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3_ncr:1_{B742141D-E18B-46AC-A9D0-E77AFEA4F486}" xr6:coauthVersionLast="47" xr6:coauthVersionMax="47" xr10:uidLastSave="{00000000-0000-0000-0000-000000000000}"/>
  <bookViews>
    <workbookView xWindow="7695" yWindow="3300" windowWidth="38700" windowHeight="15885" xr2:uid="{00000000-000D-0000-FFFF-FFFF00000000}"/>
  </bookViews>
  <sheets>
    <sheet name="Checks" sheetId="1" r:id="rId1"/>
    <sheet name="Source build" sheetId="2" r:id="rId2"/>
    <sheet name="Raw" sheetId="3" r:id="rId3"/>
    <sheet name="AI output" sheetId="4" r:id="rId4"/>
    <sheet name="Guid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06" i="4" l="1"/>
  <c r="K2006" i="4"/>
  <c r="J2006" i="4"/>
  <c r="I2006" i="4"/>
  <c r="L2005" i="4"/>
  <c r="K2005" i="4"/>
  <c r="J2005" i="4"/>
  <c r="I2005" i="4"/>
  <c r="L2004" i="4"/>
  <c r="K2004" i="4"/>
  <c r="J2004" i="4"/>
  <c r="I2004" i="4"/>
  <c r="L2003" i="4"/>
  <c r="K2003" i="4"/>
  <c r="J2003" i="4"/>
  <c r="I2003" i="4"/>
  <c r="L2002" i="4"/>
  <c r="K2002" i="4"/>
  <c r="J2002" i="4"/>
  <c r="I2002" i="4"/>
  <c r="L2001" i="4"/>
  <c r="K2001" i="4"/>
  <c r="J2001" i="4"/>
  <c r="I2001" i="4"/>
  <c r="L2000" i="4"/>
  <c r="K2000" i="4"/>
  <c r="J2000" i="4"/>
  <c r="I2000" i="4"/>
  <c r="L1999" i="4"/>
  <c r="K1999" i="4"/>
  <c r="J1999" i="4"/>
  <c r="I1999" i="4"/>
  <c r="L1998" i="4"/>
  <c r="K1998" i="4"/>
  <c r="J1998" i="4"/>
  <c r="I1998" i="4"/>
  <c r="L1997" i="4"/>
  <c r="K1997" i="4"/>
  <c r="J1997" i="4"/>
  <c r="I1997" i="4"/>
  <c r="L1996" i="4"/>
  <c r="K1996" i="4"/>
  <c r="J1996" i="4"/>
  <c r="I1996" i="4"/>
  <c r="L1995" i="4"/>
  <c r="K1995" i="4"/>
  <c r="J1995" i="4"/>
  <c r="I1995" i="4"/>
  <c r="L1994" i="4"/>
  <c r="K1994" i="4"/>
  <c r="J1994" i="4"/>
  <c r="I1994" i="4"/>
  <c r="L1993" i="4"/>
  <c r="K1993" i="4"/>
  <c r="J1993" i="4"/>
  <c r="I1993" i="4"/>
  <c r="L1992" i="4"/>
  <c r="K1992" i="4"/>
  <c r="J1992" i="4"/>
  <c r="I1992" i="4"/>
  <c r="L1991" i="4"/>
  <c r="K1991" i="4"/>
  <c r="J1991" i="4"/>
  <c r="I1991" i="4"/>
  <c r="L1990" i="4"/>
  <c r="K1990" i="4"/>
  <c r="J1990" i="4"/>
  <c r="I1990" i="4"/>
  <c r="L1989" i="4"/>
  <c r="K1989" i="4"/>
  <c r="J1989" i="4"/>
  <c r="I1989" i="4"/>
  <c r="L1988" i="4"/>
  <c r="K1988" i="4"/>
  <c r="J1988" i="4"/>
  <c r="I1988" i="4"/>
  <c r="L1987" i="4"/>
  <c r="K1987" i="4"/>
  <c r="J1987" i="4"/>
  <c r="I1987" i="4"/>
  <c r="L1986" i="4"/>
  <c r="K1986" i="4"/>
  <c r="J1986" i="4"/>
  <c r="I1986" i="4"/>
  <c r="L1985" i="4"/>
  <c r="K1985" i="4"/>
  <c r="J1985" i="4"/>
  <c r="I1985" i="4"/>
  <c r="L1984" i="4"/>
  <c r="K1984" i="4"/>
  <c r="I1984" i="4"/>
  <c r="L1983" i="4"/>
  <c r="K1983" i="4"/>
  <c r="I1983" i="4"/>
  <c r="L1982" i="4"/>
  <c r="K1982" i="4"/>
  <c r="I1982" i="4"/>
  <c r="L1981" i="4"/>
  <c r="K1981" i="4"/>
  <c r="I1981" i="4"/>
  <c r="L1980" i="4"/>
  <c r="K1980" i="4"/>
  <c r="I1980" i="4"/>
  <c r="L1979" i="4"/>
  <c r="K1979" i="4"/>
  <c r="I1979" i="4"/>
  <c r="L1978" i="4"/>
  <c r="K1978" i="4"/>
  <c r="I1978" i="4"/>
  <c r="L1977" i="4"/>
  <c r="K1977" i="4"/>
  <c r="I1977" i="4"/>
  <c r="L1976" i="4"/>
  <c r="K1976" i="4"/>
  <c r="I1976" i="4"/>
  <c r="L1975" i="4"/>
  <c r="K1975" i="4"/>
  <c r="I1975" i="4"/>
  <c r="L1974" i="4"/>
  <c r="K1974" i="4"/>
  <c r="I1974" i="4"/>
  <c r="L1973" i="4"/>
  <c r="K1973" i="4"/>
  <c r="I1973" i="4"/>
  <c r="L1972" i="4"/>
  <c r="K1972" i="4"/>
  <c r="I1972" i="4"/>
  <c r="L1971" i="4"/>
  <c r="K1971" i="4"/>
  <c r="I1971" i="4"/>
  <c r="L1970" i="4"/>
  <c r="K1970" i="4"/>
  <c r="I1970" i="4"/>
  <c r="L1969" i="4"/>
  <c r="K1969" i="4"/>
  <c r="I1969" i="4"/>
  <c r="L1968" i="4"/>
  <c r="K1968" i="4"/>
  <c r="I1968" i="4"/>
  <c r="L1967" i="4"/>
  <c r="K1967" i="4"/>
  <c r="I1967" i="4"/>
  <c r="L1966" i="4"/>
  <c r="K1966" i="4"/>
  <c r="I1966" i="4"/>
  <c r="L1965" i="4"/>
  <c r="K1965" i="4"/>
  <c r="I1965" i="4"/>
  <c r="L1964" i="4"/>
  <c r="K1964" i="4"/>
  <c r="I1964" i="4"/>
  <c r="L1963" i="4"/>
  <c r="K1963" i="4"/>
  <c r="I1963" i="4"/>
  <c r="L1962" i="4"/>
  <c r="K1962" i="4"/>
  <c r="I1962" i="4"/>
  <c r="L1961" i="4"/>
  <c r="K1961" i="4"/>
  <c r="I1961" i="4"/>
  <c r="L1960" i="4"/>
  <c r="K1960" i="4"/>
  <c r="I1960" i="4"/>
  <c r="L1959" i="4"/>
  <c r="K1959" i="4"/>
  <c r="I1959" i="4"/>
  <c r="L1958" i="4"/>
  <c r="K1958" i="4"/>
  <c r="I1958" i="4"/>
  <c r="L1957" i="4"/>
  <c r="K1957" i="4"/>
  <c r="I1957" i="4"/>
  <c r="L1956" i="4"/>
  <c r="K1956" i="4"/>
  <c r="I1956" i="4"/>
  <c r="L1955" i="4"/>
  <c r="K1955" i="4"/>
  <c r="I1955" i="4"/>
  <c r="L1954" i="4"/>
  <c r="K1954" i="4"/>
  <c r="I1954" i="4"/>
  <c r="L1953" i="4"/>
  <c r="K1953" i="4"/>
  <c r="I1953" i="4"/>
  <c r="L1952" i="4"/>
  <c r="K1952" i="4"/>
  <c r="I1952" i="4"/>
  <c r="L1951" i="4"/>
  <c r="K1951" i="4"/>
  <c r="I1951" i="4"/>
  <c r="L1950" i="4"/>
  <c r="K1950" i="4"/>
  <c r="I1950" i="4"/>
  <c r="L1949" i="4"/>
  <c r="K1949" i="4"/>
  <c r="I1949" i="4"/>
  <c r="L1948" i="4"/>
  <c r="K1948" i="4"/>
  <c r="I1948" i="4"/>
  <c r="L1947" i="4"/>
  <c r="K1947" i="4"/>
  <c r="I1947" i="4"/>
  <c r="L1946" i="4"/>
  <c r="K1946" i="4"/>
  <c r="I1946" i="4"/>
  <c r="L1945" i="4"/>
  <c r="K1945" i="4"/>
  <c r="I1945" i="4"/>
  <c r="L1944" i="4"/>
  <c r="K1944" i="4"/>
  <c r="I1944" i="4"/>
  <c r="L1943" i="4"/>
  <c r="K1943" i="4"/>
  <c r="I1943" i="4"/>
  <c r="L1942" i="4"/>
  <c r="K1942" i="4"/>
  <c r="I1942" i="4"/>
  <c r="L1941" i="4"/>
  <c r="K1941" i="4"/>
  <c r="I1941" i="4"/>
  <c r="L1940" i="4"/>
  <c r="K1940" i="4"/>
  <c r="I1940" i="4"/>
  <c r="L1939" i="4"/>
  <c r="K1939" i="4"/>
  <c r="I1939" i="4"/>
  <c r="L1938" i="4"/>
  <c r="K1938" i="4"/>
  <c r="I1938" i="4"/>
  <c r="L1937" i="4"/>
  <c r="K1937" i="4"/>
  <c r="I1937" i="4"/>
  <c r="L1936" i="4"/>
  <c r="K1936" i="4"/>
  <c r="I1936" i="4"/>
  <c r="L1935" i="4"/>
  <c r="K1935" i="4"/>
  <c r="I1935" i="4"/>
  <c r="L1934" i="4"/>
  <c r="K1934" i="4"/>
  <c r="I1934" i="4"/>
  <c r="L1933" i="4"/>
  <c r="K1933" i="4"/>
  <c r="I1933" i="4"/>
  <c r="L1932" i="4"/>
  <c r="K1932" i="4"/>
  <c r="I1932" i="4"/>
  <c r="L1931" i="4"/>
  <c r="K1931" i="4"/>
  <c r="I1931" i="4"/>
  <c r="L1930" i="4"/>
  <c r="K1930" i="4"/>
  <c r="I1930" i="4"/>
  <c r="L1929" i="4"/>
  <c r="K1929" i="4"/>
  <c r="I1929" i="4"/>
  <c r="L1928" i="4"/>
  <c r="K1928" i="4"/>
  <c r="I1928" i="4"/>
  <c r="L1927" i="4"/>
  <c r="K1927" i="4"/>
  <c r="I1927" i="4"/>
  <c r="L1926" i="4"/>
  <c r="K1926" i="4"/>
  <c r="I1926" i="4"/>
  <c r="L1925" i="4"/>
  <c r="K1925" i="4"/>
  <c r="I1925" i="4"/>
  <c r="L1924" i="4"/>
  <c r="K1924" i="4"/>
  <c r="I1924" i="4"/>
  <c r="L1923" i="4"/>
  <c r="K1923" i="4"/>
  <c r="I1923" i="4"/>
  <c r="L1922" i="4"/>
  <c r="K1922" i="4"/>
  <c r="I1922" i="4"/>
  <c r="L1921" i="4"/>
  <c r="K1921" i="4"/>
  <c r="I1921" i="4"/>
  <c r="L1920" i="4"/>
  <c r="K1920" i="4"/>
  <c r="I1920" i="4"/>
  <c r="L1919" i="4"/>
  <c r="K1919" i="4"/>
  <c r="I1919" i="4"/>
  <c r="L1918" i="4"/>
  <c r="K1918" i="4"/>
  <c r="I1918" i="4"/>
  <c r="L1917" i="4"/>
  <c r="K1917" i="4"/>
  <c r="I1917" i="4"/>
  <c r="L1916" i="4"/>
  <c r="K1916" i="4"/>
  <c r="I1916" i="4"/>
  <c r="L1915" i="4"/>
  <c r="K1915" i="4"/>
  <c r="I1915" i="4"/>
  <c r="L1914" i="4"/>
  <c r="K1914" i="4"/>
  <c r="I1914" i="4"/>
  <c r="L1913" i="4"/>
  <c r="K1913" i="4"/>
  <c r="I1913" i="4"/>
  <c r="L1912" i="4"/>
  <c r="K1912" i="4"/>
  <c r="I1912" i="4"/>
  <c r="L1911" i="4"/>
  <c r="K1911" i="4"/>
  <c r="I1911" i="4"/>
  <c r="L1910" i="4"/>
  <c r="K1910" i="4"/>
  <c r="I1910" i="4"/>
  <c r="L1909" i="4"/>
  <c r="K1909" i="4"/>
  <c r="I1909" i="4"/>
  <c r="L1908" i="4"/>
  <c r="K1908" i="4"/>
  <c r="I1908" i="4"/>
  <c r="L1907" i="4"/>
  <c r="K1907" i="4"/>
  <c r="I1907" i="4"/>
  <c r="L1906" i="4"/>
  <c r="K1906" i="4"/>
  <c r="I1906" i="4"/>
  <c r="L1905" i="4"/>
  <c r="K1905" i="4"/>
  <c r="I1905" i="4"/>
  <c r="L1904" i="4"/>
  <c r="K1904" i="4"/>
  <c r="I1904" i="4"/>
  <c r="L1903" i="4"/>
  <c r="K1903" i="4"/>
  <c r="I1903" i="4"/>
  <c r="L1902" i="4"/>
  <c r="K1902" i="4"/>
  <c r="I1902" i="4"/>
  <c r="L1901" i="4"/>
  <c r="K1901" i="4"/>
  <c r="I1901" i="4"/>
  <c r="L1900" i="4"/>
  <c r="K1900" i="4"/>
  <c r="I1900" i="4"/>
  <c r="L1899" i="4"/>
  <c r="K1899" i="4"/>
  <c r="I1899" i="4"/>
  <c r="L1898" i="4"/>
  <c r="K1898" i="4"/>
  <c r="I1898" i="4"/>
  <c r="L1897" i="4"/>
  <c r="K1897" i="4"/>
  <c r="I1897" i="4"/>
  <c r="L1896" i="4"/>
  <c r="K1896" i="4"/>
  <c r="I1896" i="4"/>
  <c r="L1895" i="4"/>
  <c r="K1895" i="4"/>
  <c r="I1895" i="4"/>
  <c r="L1894" i="4"/>
  <c r="K1894" i="4"/>
  <c r="I1894" i="4"/>
  <c r="L1893" i="4"/>
  <c r="K1893" i="4"/>
  <c r="I1893" i="4"/>
  <c r="L1892" i="4"/>
  <c r="K1892" i="4"/>
  <c r="I1892" i="4"/>
  <c r="L1891" i="4"/>
  <c r="K1891" i="4"/>
  <c r="I1891" i="4"/>
  <c r="L1890" i="4"/>
  <c r="K1890" i="4"/>
  <c r="I1890" i="4"/>
  <c r="L1889" i="4"/>
  <c r="K1889" i="4"/>
  <c r="I1889" i="4"/>
  <c r="L1888" i="4"/>
  <c r="K1888" i="4"/>
  <c r="I1888" i="4"/>
  <c r="L1887" i="4"/>
  <c r="K1887" i="4"/>
  <c r="I1887" i="4"/>
  <c r="L1886" i="4"/>
  <c r="K1886" i="4"/>
  <c r="I1886" i="4"/>
  <c r="L1885" i="4"/>
  <c r="K1885" i="4"/>
  <c r="I1885" i="4"/>
  <c r="L1884" i="4"/>
  <c r="K1884" i="4"/>
  <c r="I1884" i="4"/>
  <c r="L1883" i="4"/>
  <c r="K1883" i="4"/>
  <c r="I1883" i="4"/>
  <c r="L1882" i="4"/>
  <c r="K1882" i="4"/>
  <c r="I1882" i="4"/>
  <c r="L1881" i="4"/>
  <c r="K1881" i="4"/>
  <c r="I1881" i="4"/>
  <c r="L1880" i="4"/>
  <c r="K1880" i="4"/>
  <c r="I1880" i="4"/>
  <c r="L1879" i="4"/>
  <c r="K1879" i="4"/>
  <c r="I1879" i="4"/>
  <c r="L1878" i="4"/>
  <c r="K1878" i="4"/>
  <c r="I1878" i="4"/>
  <c r="L1877" i="4"/>
  <c r="K1877" i="4"/>
  <c r="I1877" i="4"/>
  <c r="L1876" i="4"/>
  <c r="K1876" i="4"/>
  <c r="I1876" i="4"/>
  <c r="L1875" i="4"/>
  <c r="K1875" i="4"/>
  <c r="I1875" i="4"/>
  <c r="L1874" i="4"/>
  <c r="K1874" i="4"/>
  <c r="I1874" i="4"/>
  <c r="L1873" i="4"/>
  <c r="K1873" i="4"/>
  <c r="I1873" i="4"/>
  <c r="L1872" i="4"/>
  <c r="K1872" i="4"/>
  <c r="I1872" i="4"/>
  <c r="L1871" i="4"/>
  <c r="K1871" i="4"/>
  <c r="I1871" i="4"/>
  <c r="L1870" i="4"/>
  <c r="K1870" i="4"/>
  <c r="I1870" i="4"/>
  <c r="L1869" i="4"/>
  <c r="K1869" i="4"/>
  <c r="I1869" i="4"/>
  <c r="L1868" i="4"/>
  <c r="K1868" i="4"/>
  <c r="I1868" i="4"/>
  <c r="L1867" i="4"/>
  <c r="K1867" i="4"/>
  <c r="I1867" i="4"/>
  <c r="L1866" i="4"/>
  <c r="K1866" i="4"/>
  <c r="I1866" i="4"/>
  <c r="L1865" i="4"/>
  <c r="K1865" i="4"/>
  <c r="I1865" i="4"/>
  <c r="L1864" i="4"/>
  <c r="K1864" i="4"/>
  <c r="I1864" i="4"/>
  <c r="L1863" i="4"/>
  <c r="K1863" i="4"/>
  <c r="I1863" i="4"/>
  <c r="L1862" i="4"/>
  <c r="K1862" i="4"/>
  <c r="I1862" i="4"/>
  <c r="L1861" i="4"/>
  <c r="K1861" i="4"/>
  <c r="I1861" i="4"/>
  <c r="L1860" i="4"/>
  <c r="K1860" i="4"/>
  <c r="I1860" i="4"/>
  <c r="L1859" i="4"/>
  <c r="K1859" i="4"/>
  <c r="I1859" i="4"/>
  <c r="L1858" i="4"/>
  <c r="K1858" i="4"/>
  <c r="I1858" i="4"/>
  <c r="L1857" i="4"/>
  <c r="K1857" i="4"/>
  <c r="I1857" i="4"/>
  <c r="L1856" i="4"/>
  <c r="K1856" i="4"/>
  <c r="I1856" i="4"/>
  <c r="L1855" i="4"/>
  <c r="K1855" i="4"/>
  <c r="I1855" i="4"/>
  <c r="L1854" i="4"/>
  <c r="K1854" i="4"/>
  <c r="I1854" i="4"/>
  <c r="L1853" i="4"/>
  <c r="K1853" i="4"/>
  <c r="I1853" i="4"/>
  <c r="L1852" i="4"/>
  <c r="K1852" i="4"/>
  <c r="I1852" i="4"/>
  <c r="L1851" i="4"/>
  <c r="K1851" i="4"/>
  <c r="I1851" i="4"/>
  <c r="L1850" i="4"/>
  <c r="K1850" i="4"/>
  <c r="I1850" i="4"/>
  <c r="L1849" i="4"/>
  <c r="K1849" i="4"/>
  <c r="I1849" i="4"/>
  <c r="L1848" i="4"/>
  <c r="K1848" i="4"/>
  <c r="I1848" i="4"/>
  <c r="L1847" i="4"/>
  <c r="K1847" i="4"/>
  <c r="I1847" i="4"/>
  <c r="L1846" i="4"/>
  <c r="K1846" i="4"/>
  <c r="I1846" i="4"/>
  <c r="L1845" i="4"/>
  <c r="K1845" i="4"/>
  <c r="I1845" i="4"/>
  <c r="L1844" i="4"/>
  <c r="K1844" i="4"/>
  <c r="I1844" i="4"/>
  <c r="L1843" i="4"/>
  <c r="K1843" i="4"/>
  <c r="I1843" i="4"/>
  <c r="L1842" i="4"/>
  <c r="K1842" i="4"/>
  <c r="I1842" i="4"/>
  <c r="L1841" i="4"/>
  <c r="K1841" i="4"/>
  <c r="I1841" i="4"/>
  <c r="L1840" i="4"/>
  <c r="K1840" i="4"/>
  <c r="I1840" i="4"/>
  <c r="L1839" i="4"/>
  <c r="K1839" i="4"/>
  <c r="I1839" i="4"/>
  <c r="L1838" i="4"/>
  <c r="K1838" i="4"/>
  <c r="I1838" i="4"/>
  <c r="L1837" i="4"/>
  <c r="K1837" i="4"/>
  <c r="I1837" i="4"/>
  <c r="L1836" i="4"/>
  <c r="K1836" i="4"/>
  <c r="I1836" i="4"/>
  <c r="L1835" i="4"/>
  <c r="K1835" i="4"/>
  <c r="I1835" i="4"/>
  <c r="L1834" i="4"/>
  <c r="K1834" i="4"/>
  <c r="I1834" i="4"/>
  <c r="L1833" i="4"/>
  <c r="K1833" i="4"/>
  <c r="I1833" i="4"/>
  <c r="L1832" i="4"/>
  <c r="K1832" i="4"/>
  <c r="I1832" i="4"/>
  <c r="L1831" i="4"/>
  <c r="K1831" i="4"/>
  <c r="I1831" i="4"/>
  <c r="L1830" i="4"/>
  <c r="K1830" i="4"/>
  <c r="I1830" i="4"/>
  <c r="L1829" i="4"/>
  <c r="K1829" i="4"/>
  <c r="I1829" i="4"/>
  <c r="L1828" i="4"/>
  <c r="K1828" i="4"/>
  <c r="I1828" i="4"/>
  <c r="L1827" i="4"/>
  <c r="K1827" i="4"/>
  <c r="I1827" i="4"/>
  <c r="L1826" i="4"/>
  <c r="K1826" i="4"/>
  <c r="I1826" i="4"/>
  <c r="L1825" i="4"/>
  <c r="K1825" i="4"/>
  <c r="I1825" i="4"/>
  <c r="L1824" i="4"/>
  <c r="K1824" i="4"/>
  <c r="I1824" i="4"/>
  <c r="L1823" i="4"/>
  <c r="K1823" i="4"/>
  <c r="I1823" i="4"/>
  <c r="L1822" i="4"/>
  <c r="K1822" i="4"/>
  <c r="I1822" i="4"/>
  <c r="L1821" i="4"/>
  <c r="K1821" i="4"/>
  <c r="I1821" i="4"/>
  <c r="L1820" i="4"/>
  <c r="K1820" i="4"/>
  <c r="I1820" i="4"/>
  <c r="L1819" i="4"/>
  <c r="K1819" i="4"/>
  <c r="I1819" i="4"/>
  <c r="L1818" i="4"/>
  <c r="K1818" i="4"/>
  <c r="I1818" i="4"/>
  <c r="L1817" i="4"/>
  <c r="K1817" i="4"/>
  <c r="I1817" i="4"/>
  <c r="L1816" i="4"/>
  <c r="K1816" i="4"/>
  <c r="I1816" i="4"/>
  <c r="L1815" i="4"/>
  <c r="K1815" i="4"/>
  <c r="I1815" i="4"/>
  <c r="L1814" i="4"/>
  <c r="K1814" i="4"/>
  <c r="I1814" i="4"/>
  <c r="L1813" i="4"/>
  <c r="K1813" i="4"/>
  <c r="I1813" i="4"/>
  <c r="L1812" i="4"/>
  <c r="K1812" i="4"/>
  <c r="I1812" i="4"/>
  <c r="L1811" i="4"/>
  <c r="K1811" i="4"/>
  <c r="I1811" i="4"/>
  <c r="L1810" i="4"/>
  <c r="K1810" i="4"/>
  <c r="I1810" i="4"/>
  <c r="L1809" i="4"/>
  <c r="K1809" i="4"/>
  <c r="I1809" i="4"/>
  <c r="L1808" i="4"/>
  <c r="K1808" i="4"/>
  <c r="I1808" i="4"/>
  <c r="L1807" i="4"/>
  <c r="K1807" i="4"/>
  <c r="I1807" i="4"/>
  <c r="L1806" i="4"/>
  <c r="K1806" i="4"/>
  <c r="I1806" i="4"/>
  <c r="L1805" i="4"/>
  <c r="K1805" i="4"/>
  <c r="I1805" i="4"/>
  <c r="L1804" i="4"/>
  <c r="K1804" i="4"/>
  <c r="I1804" i="4"/>
  <c r="L1803" i="4"/>
  <c r="K1803" i="4"/>
  <c r="I1803" i="4"/>
  <c r="L1802" i="4"/>
  <c r="K1802" i="4"/>
  <c r="I1802" i="4"/>
  <c r="L1801" i="4"/>
  <c r="K1801" i="4"/>
  <c r="I1801" i="4"/>
  <c r="L1800" i="4"/>
  <c r="K1800" i="4"/>
  <c r="I1800" i="4"/>
  <c r="L1799" i="4"/>
  <c r="K1799" i="4"/>
  <c r="I1799" i="4"/>
  <c r="L1798" i="4"/>
  <c r="K1798" i="4"/>
  <c r="I1798" i="4"/>
  <c r="L1797" i="4"/>
  <c r="K1797" i="4"/>
  <c r="I1797" i="4"/>
  <c r="L1796" i="4"/>
  <c r="K1796" i="4"/>
  <c r="I1796" i="4"/>
  <c r="L1795" i="4"/>
  <c r="K1795" i="4"/>
  <c r="I1795" i="4"/>
  <c r="L1794" i="4"/>
  <c r="K1794" i="4"/>
  <c r="I1794" i="4"/>
  <c r="L1793" i="4"/>
  <c r="K1793" i="4"/>
  <c r="I1793" i="4"/>
  <c r="L1792" i="4"/>
  <c r="K1792" i="4"/>
  <c r="I1792" i="4"/>
  <c r="L1791" i="4"/>
  <c r="K1791" i="4"/>
  <c r="I1791" i="4"/>
  <c r="L1790" i="4"/>
  <c r="K1790" i="4"/>
  <c r="I1790" i="4"/>
  <c r="L1789" i="4"/>
  <c r="K1789" i="4"/>
  <c r="I1789" i="4"/>
  <c r="L1788" i="4"/>
  <c r="K1788" i="4"/>
  <c r="I1788" i="4"/>
  <c r="L1787" i="4"/>
  <c r="K1787" i="4"/>
  <c r="I1787" i="4"/>
  <c r="L1786" i="4"/>
  <c r="K1786" i="4"/>
  <c r="I1786" i="4"/>
  <c r="L1785" i="4"/>
  <c r="K1785" i="4"/>
  <c r="I1785" i="4"/>
  <c r="L1784" i="4"/>
  <c r="K1784" i="4"/>
  <c r="I1784" i="4"/>
  <c r="L1783" i="4"/>
  <c r="K1783" i="4"/>
  <c r="I1783" i="4"/>
  <c r="L1782" i="4"/>
  <c r="K1782" i="4"/>
  <c r="I1782" i="4"/>
  <c r="L1781" i="4"/>
  <c r="K1781" i="4"/>
  <c r="I1781" i="4"/>
  <c r="L1780" i="4"/>
  <c r="K1780" i="4"/>
  <c r="I1780" i="4"/>
  <c r="L1779" i="4"/>
  <c r="K1779" i="4"/>
  <c r="I1779" i="4"/>
  <c r="L1778" i="4"/>
  <c r="K1778" i="4"/>
  <c r="I1778" i="4"/>
  <c r="L1777" i="4"/>
  <c r="K1777" i="4"/>
  <c r="I1777" i="4"/>
  <c r="L1776" i="4"/>
  <c r="K1776" i="4"/>
  <c r="I1776" i="4"/>
  <c r="L1775" i="4"/>
  <c r="K1775" i="4"/>
  <c r="I1775" i="4"/>
  <c r="L1774" i="4"/>
  <c r="K1774" i="4"/>
  <c r="I1774" i="4"/>
  <c r="L1773" i="4"/>
  <c r="K1773" i="4"/>
  <c r="I1773" i="4"/>
  <c r="L1772" i="4"/>
  <c r="K1772" i="4"/>
  <c r="I1772" i="4"/>
  <c r="L1771" i="4"/>
  <c r="K1771" i="4"/>
  <c r="I1771" i="4"/>
  <c r="L1770" i="4"/>
  <c r="K1770" i="4"/>
  <c r="I1770" i="4"/>
  <c r="L1769" i="4"/>
  <c r="K1769" i="4"/>
  <c r="I1769" i="4"/>
  <c r="L1768" i="4"/>
  <c r="K1768" i="4"/>
  <c r="I1768" i="4"/>
  <c r="L1767" i="4"/>
  <c r="K1767" i="4"/>
  <c r="I1767" i="4"/>
  <c r="L1766" i="4"/>
  <c r="K1766" i="4"/>
  <c r="I1766" i="4"/>
  <c r="L1765" i="4"/>
  <c r="K1765" i="4"/>
  <c r="I1765" i="4"/>
  <c r="L1764" i="4"/>
  <c r="K1764" i="4"/>
  <c r="I1764" i="4"/>
  <c r="L1763" i="4"/>
  <c r="K1763" i="4"/>
  <c r="I1763" i="4"/>
  <c r="L1762" i="4"/>
  <c r="K1762" i="4"/>
  <c r="I1762" i="4"/>
  <c r="L1761" i="4"/>
  <c r="K1761" i="4"/>
  <c r="I1761" i="4"/>
  <c r="L1760" i="4"/>
  <c r="K1760" i="4"/>
  <c r="I1760" i="4"/>
  <c r="L1759" i="4"/>
  <c r="K1759" i="4"/>
  <c r="I1759" i="4"/>
  <c r="L1758" i="4"/>
  <c r="K1758" i="4"/>
  <c r="I1758" i="4"/>
  <c r="L1757" i="4"/>
  <c r="K1757" i="4"/>
  <c r="I1757" i="4"/>
  <c r="L1756" i="4"/>
  <c r="K1756" i="4"/>
  <c r="I1756" i="4"/>
  <c r="L1755" i="4"/>
  <c r="K1755" i="4"/>
  <c r="I1755" i="4"/>
  <c r="L1754" i="4"/>
  <c r="K1754" i="4"/>
  <c r="I1754" i="4"/>
  <c r="L1753" i="4"/>
  <c r="K1753" i="4"/>
  <c r="I1753" i="4"/>
  <c r="L1752" i="4"/>
  <c r="K1752" i="4"/>
  <c r="I1752" i="4"/>
  <c r="L1751" i="4"/>
  <c r="K1751" i="4"/>
  <c r="I1751" i="4"/>
  <c r="L1750" i="4"/>
  <c r="K1750" i="4"/>
  <c r="I1750" i="4"/>
  <c r="L1749" i="4"/>
  <c r="K1749" i="4"/>
  <c r="I1749" i="4"/>
  <c r="L1748" i="4"/>
  <c r="K1748" i="4"/>
  <c r="I1748" i="4"/>
  <c r="L1747" i="4"/>
  <c r="K1747" i="4"/>
  <c r="I1747" i="4"/>
  <c r="L1746" i="4"/>
  <c r="K1746" i="4"/>
  <c r="I1746" i="4"/>
  <c r="L1745" i="4"/>
  <c r="K1745" i="4"/>
  <c r="I1745" i="4"/>
  <c r="L1744" i="4"/>
  <c r="K1744" i="4"/>
  <c r="I1744" i="4"/>
  <c r="L1743" i="4"/>
  <c r="K1743" i="4"/>
  <c r="I1743" i="4"/>
  <c r="L1742" i="4"/>
  <c r="K1742" i="4"/>
  <c r="I1742" i="4"/>
  <c r="L1741" i="4"/>
  <c r="K1741" i="4"/>
  <c r="I1741" i="4"/>
  <c r="L1740" i="4"/>
  <c r="K1740" i="4"/>
  <c r="I1740" i="4"/>
  <c r="L1739" i="4"/>
  <c r="K1739" i="4"/>
  <c r="I1739" i="4"/>
  <c r="L1738" i="4"/>
  <c r="K1738" i="4"/>
  <c r="I1738" i="4"/>
  <c r="L1737" i="4"/>
  <c r="K1737" i="4"/>
  <c r="I1737" i="4"/>
  <c r="L1736" i="4"/>
  <c r="K1736" i="4"/>
  <c r="I1736" i="4"/>
  <c r="L1735" i="4"/>
  <c r="K1735" i="4"/>
  <c r="I1735" i="4"/>
  <c r="L1734" i="4"/>
  <c r="K1734" i="4"/>
  <c r="I1734" i="4"/>
  <c r="L1733" i="4"/>
  <c r="K1733" i="4"/>
  <c r="I1733" i="4"/>
  <c r="L1732" i="4"/>
  <c r="K1732" i="4"/>
  <c r="I1732" i="4"/>
  <c r="L1731" i="4"/>
  <c r="K1731" i="4"/>
  <c r="I1731" i="4"/>
  <c r="L1730" i="4"/>
  <c r="K1730" i="4"/>
  <c r="I1730" i="4"/>
  <c r="L1729" i="4"/>
  <c r="K1729" i="4"/>
  <c r="I1729" i="4"/>
  <c r="L1728" i="4"/>
  <c r="K1728" i="4"/>
  <c r="I1728" i="4"/>
  <c r="L1727" i="4"/>
  <c r="K1727" i="4"/>
  <c r="I1727" i="4"/>
  <c r="L1726" i="4"/>
  <c r="K1726" i="4"/>
  <c r="I1726" i="4"/>
  <c r="L1725" i="4"/>
  <c r="K1725" i="4"/>
  <c r="I1725" i="4"/>
  <c r="L1724" i="4"/>
  <c r="K1724" i="4"/>
  <c r="I1724" i="4"/>
  <c r="L1723" i="4"/>
  <c r="K1723" i="4"/>
  <c r="I1723" i="4"/>
  <c r="L1722" i="4"/>
  <c r="K1722" i="4"/>
  <c r="I1722" i="4"/>
  <c r="L1721" i="4"/>
  <c r="K1721" i="4"/>
  <c r="I1721" i="4"/>
  <c r="L1720" i="4"/>
  <c r="K1720" i="4"/>
  <c r="I1720" i="4"/>
  <c r="L1719" i="4"/>
  <c r="K1719" i="4"/>
  <c r="I1719" i="4"/>
  <c r="L1718" i="4"/>
  <c r="K1718" i="4"/>
  <c r="I1718" i="4"/>
  <c r="L1717" i="4"/>
  <c r="K1717" i="4"/>
  <c r="I1717" i="4"/>
  <c r="L1716" i="4"/>
  <c r="K1716" i="4"/>
  <c r="I1716" i="4"/>
  <c r="L1715" i="4"/>
  <c r="K1715" i="4"/>
  <c r="I1715" i="4"/>
  <c r="L1714" i="4"/>
  <c r="K1714" i="4"/>
  <c r="I1714" i="4"/>
  <c r="L1713" i="4"/>
  <c r="K1713" i="4"/>
  <c r="I1713" i="4"/>
  <c r="L1712" i="4"/>
  <c r="K1712" i="4"/>
  <c r="I1712" i="4"/>
  <c r="L1711" i="4"/>
  <c r="K1711" i="4"/>
  <c r="I1711" i="4"/>
  <c r="L1710" i="4"/>
  <c r="K1710" i="4"/>
  <c r="I1710" i="4"/>
  <c r="L1709" i="4"/>
  <c r="K1709" i="4"/>
  <c r="I1709" i="4"/>
  <c r="L1708" i="4"/>
  <c r="K1708" i="4"/>
  <c r="I1708" i="4"/>
  <c r="L1707" i="4"/>
  <c r="K1707" i="4"/>
  <c r="I1707" i="4"/>
  <c r="L1706" i="4"/>
  <c r="K1706" i="4"/>
  <c r="I1706" i="4"/>
  <c r="L1705" i="4"/>
  <c r="K1705" i="4"/>
  <c r="I1705" i="4"/>
  <c r="L1704" i="4"/>
  <c r="K1704" i="4"/>
  <c r="I1704" i="4"/>
  <c r="L1703" i="4"/>
  <c r="K1703" i="4"/>
  <c r="I1703" i="4"/>
  <c r="L1702" i="4"/>
  <c r="K1702" i="4"/>
  <c r="I1702" i="4"/>
  <c r="L1701" i="4"/>
  <c r="K1701" i="4"/>
  <c r="I1701" i="4"/>
  <c r="L1700" i="4"/>
  <c r="K1700" i="4"/>
  <c r="I1700" i="4"/>
  <c r="L1699" i="4"/>
  <c r="K1699" i="4"/>
  <c r="I1699" i="4"/>
  <c r="L1698" i="4"/>
  <c r="K1698" i="4"/>
  <c r="I1698" i="4"/>
  <c r="L1697" i="4"/>
  <c r="K1697" i="4"/>
  <c r="I1697" i="4"/>
  <c r="L1696" i="4"/>
  <c r="K1696" i="4"/>
  <c r="I1696" i="4"/>
  <c r="L1695" i="4"/>
  <c r="K1695" i="4"/>
  <c r="I1695" i="4"/>
  <c r="L1694" i="4"/>
  <c r="K1694" i="4"/>
  <c r="I1694" i="4"/>
  <c r="L1693" i="4"/>
  <c r="K1693" i="4"/>
  <c r="I1693" i="4"/>
  <c r="L1692" i="4"/>
  <c r="K1692" i="4"/>
  <c r="I1692" i="4"/>
  <c r="L1691" i="4"/>
  <c r="K1691" i="4"/>
  <c r="I1691" i="4"/>
  <c r="L1690" i="4"/>
  <c r="K1690" i="4"/>
  <c r="I1690" i="4"/>
  <c r="L1689" i="4"/>
  <c r="K1689" i="4"/>
  <c r="I1689" i="4"/>
  <c r="L1688" i="4"/>
  <c r="K1688" i="4"/>
  <c r="I1688" i="4"/>
  <c r="L1687" i="4"/>
  <c r="K1687" i="4"/>
  <c r="I1687" i="4"/>
  <c r="L1686" i="4"/>
  <c r="K1686" i="4"/>
  <c r="I1686" i="4"/>
  <c r="L1685" i="4"/>
  <c r="K1685" i="4"/>
  <c r="I1685" i="4"/>
  <c r="L1684" i="4"/>
  <c r="K1684" i="4"/>
  <c r="I1684" i="4"/>
  <c r="L1683" i="4"/>
  <c r="K1683" i="4"/>
  <c r="I1683" i="4"/>
  <c r="L1682" i="4"/>
  <c r="K1682" i="4"/>
  <c r="I1682" i="4"/>
  <c r="L1681" i="4"/>
  <c r="K1681" i="4"/>
  <c r="I1681" i="4"/>
  <c r="L1680" i="4"/>
  <c r="K1680" i="4"/>
  <c r="I1680" i="4"/>
  <c r="L1679" i="4"/>
  <c r="K1679" i="4"/>
  <c r="I1679" i="4"/>
  <c r="L1678" i="4"/>
  <c r="K1678" i="4"/>
  <c r="I1678" i="4"/>
  <c r="L1677" i="4"/>
  <c r="K1677" i="4"/>
  <c r="I1677" i="4"/>
  <c r="L1676" i="4"/>
  <c r="K1676" i="4"/>
  <c r="I1676" i="4"/>
  <c r="L1675" i="4"/>
  <c r="K1675" i="4"/>
  <c r="I1675" i="4"/>
  <c r="L1674" i="4"/>
  <c r="K1674" i="4"/>
  <c r="I1674" i="4"/>
  <c r="L1673" i="4"/>
  <c r="K1673" i="4"/>
  <c r="I1673" i="4"/>
  <c r="L1672" i="4"/>
  <c r="K1672" i="4"/>
  <c r="I1672" i="4"/>
  <c r="L1671" i="4"/>
  <c r="K1671" i="4"/>
  <c r="I1671" i="4"/>
  <c r="L1670" i="4"/>
  <c r="K1670" i="4"/>
  <c r="I1670" i="4"/>
  <c r="L1669" i="4"/>
  <c r="K1669" i="4"/>
  <c r="I1669" i="4"/>
  <c r="L1668" i="4"/>
  <c r="K1668" i="4"/>
  <c r="I1668" i="4"/>
  <c r="L1667" i="4"/>
  <c r="K1667" i="4"/>
  <c r="I1667" i="4"/>
  <c r="L1666" i="4"/>
  <c r="K1666" i="4"/>
  <c r="I1666" i="4"/>
  <c r="L1665" i="4"/>
  <c r="K1665" i="4"/>
  <c r="I1665" i="4"/>
  <c r="L1664" i="4"/>
  <c r="K1664" i="4"/>
  <c r="I1664" i="4"/>
  <c r="L1663" i="4"/>
  <c r="K1663" i="4"/>
  <c r="I1663" i="4"/>
  <c r="L1662" i="4"/>
  <c r="K1662" i="4"/>
  <c r="I1662" i="4"/>
  <c r="L1661" i="4"/>
  <c r="K1661" i="4"/>
  <c r="I1661" i="4"/>
  <c r="L1660" i="4"/>
  <c r="K1660" i="4"/>
  <c r="I1660" i="4"/>
  <c r="L1659" i="4"/>
  <c r="K1659" i="4"/>
  <c r="I1659" i="4"/>
  <c r="L1658" i="4"/>
  <c r="K1658" i="4"/>
  <c r="I1658" i="4"/>
  <c r="L1657" i="4"/>
  <c r="K1657" i="4"/>
  <c r="I1657" i="4"/>
  <c r="L1656" i="4"/>
  <c r="K1656" i="4"/>
  <c r="I1656" i="4"/>
  <c r="L1655" i="4"/>
  <c r="K1655" i="4"/>
  <c r="I1655" i="4"/>
  <c r="L1654" i="4"/>
  <c r="K1654" i="4"/>
  <c r="I1654" i="4"/>
  <c r="L1653" i="4"/>
  <c r="K1653" i="4"/>
  <c r="I1653" i="4"/>
  <c r="L1652" i="4"/>
  <c r="K1652" i="4"/>
  <c r="I1652" i="4"/>
  <c r="L1651" i="4"/>
  <c r="K1651" i="4"/>
  <c r="I1651" i="4"/>
  <c r="L1650" i="4"/>
  <c r="K1650" i="4"/>
  <c r="I1650" i="4"/>
  <c r="L1649" i="4"/>
  <c r="K1649" i="4"/>
  <c r="I1649" i="4"/>
  <c r="L1648" i="4"/>
  <c r="K1648" i="4"/>
  <c r="I1648" i="4"/>
  <c r="L1647" i="4"/>
  <c r="K1647" i="4"/>
  <c r="I1647" i="4"/>
  <c r="L1646" i="4"/>
  <c r="K1646" i="4"/>
  <c r="I1646" i="4"/>
  <c r="L1645" i="4"/>
  <c r="K1645" i="4"/>
  <c r="I1645" i="4"/>
  <c r="L1644" i="4"/>
  <c r="K1644" i="4"/>
  <c r="I1644" i="4"/>
  <c r="L1643" i="4"/>
  <c r="K1643" i="4"/>
  <c r="I1643" i="4"/>
  <c r="L1642" i="4"/>
  <c r="K1642" i="4"/>
  <c r="I1642" i="4"/>
  <c r="L1641" i="4"/>
  <c r="K1641" i="4"/>
  <c r="I1641" i="4"/>
  <c r="L1640" i="4"/>
  <c r="K1640" i="4"/>
  <c r="I1640" i="4"/>
  <c r="L1639" i="4"/>
  <c r="K1639" i="4"/>
  <c r="I1639" i="4"/>
  <c r="L1638" i="4"/>
  <c r="K1638" i="4"/>
  <c r="I1638" i="4"/>
  <c r="L1637" i="4"/>
  <c r="K1637" i="4"/>
  <c r="I1637" i="4"/>
  <c r="L1636" i="4"/>
  <c r="K1636" i="4"/>
  <c r="I1636" i="4"/>
  <c r="L1635" i="4"/>
  <c r="K1635" i="4"/>
  <c r="I1635" i="4"/>
  <c r="L1634" i="4"/>
  <c r="K1634" i="4"/>
  <c r="I1634" i="4"/>
  <c r="L1633" i="4"/>
  <c r="K1633" i="4"/>
  <c r="I1633" i="4"/>
  <c r="L1632" i="4"/>
  <c r="K1632" i="4"/>
  <c r="I1632" i="4"/>
  <c r="L1631" i="4"/>
  <c r="K1631" i="4"/>
  <c r="I1631" i="4"/>
  <c r="L1630" i="4"/>
  <c r="K1630" i="4"/>
  <c r="I1630" i="4"/>
  <c r="L1629" i="4"/>
  <c r="K1629" i="4"/>
  <c r="I1629" i="4"/>
  <c r="L1628" i="4"/>
  <c r="K1628" i="4"/>
  <c r="I1628" i="4"/>
  <c r="L1627" i="4"/>
  <c r="K1627" i="4"/>
  <c r="I1627" i="4"/>
  <c r="L1626" i="4"/>
  <c r="K1626" i="4"/>
  <c r="I1626" i="4"/>
  <c r="L1625" i="4"/>
  <c r="K1625" i="4"/>
  <c r="I1625" i="4"/>
  <c r="L1624" i="4"/>
  <c r="K1624" i="4"/>
  <c r="I1624" i="4"/>
  <c r="L1623" i="4"/>
  <c r="K1623" i="4"/>
  <c r="I1623" i="4"/>
  <c r="L1622" i="4"/>
  <c r="K1622" i="4"/>
  <c r="I1622" i="4"/>
  <c r="L1621" i="4"/>
  <c r="K1621" i="4"/>
  <c r="I1621" i="4"/>
  <c r="L1620" i="4"/>
  <c r="K1620" i="4"/>
  <c r="I1620" i="4"/>
  <c r="L1619" i="4"/>
  <c r="K1619" i="4"/>
  <c r="I1619" i="4"/>
  <c r="L1618" i="4"/>
  <c r="K1618" i="4"/>
  <c r="I1618" i="4"/>
  <c r="L1617" i="4"/>
  <c r="K1617" i="4"/>
  <c r="I1617" i="4"/>
  <c r="L1616" i="4"/>
  <c r="K1616" i="4"/>
  <c r="I1616" i="4"/>
  <c r="L1615" i="4"/>
  <c r="K1615" i="4"/>
  <c r="I1615" i="4"/>
  <c r="L1614" i="4"/>
  <c r="K1614" i="4"/>
  <c r="I1614" i="4"/>
  <c r="L1613" i="4"/>
  <c r="K1613" i="4"/>
  <c r="I1613" i="4"/>
  <c r="L1612" i="4"/>
  <c r="K1612" i="4"/>
  <c r="I1612" i="4"/>
  <c r="L1611" i="4"/>
  <c r="K1611" i="4"/>
  <c r="I1611" i="4"/>
  <c r="L1610" i="4"/>
  <c r="K1610" i="4"/>
  <c r="I1610" i="4"/>
  <c r="L1609" i="4"/>
  <c r="K1609" i="4"/>
  <c r="I1609" i="4"/>
  <c r="L1608" i="4"/>
  <c r="K1608" i="4"/>
  <c r="I1608" i="4"/>
  <c r="L1607" i="4"/>
  <c r="K1607" i="4"/>
  <c r="I1607" i="4"/>
  <c r="L1606" i="4"/>
  <c r="K1606" i="4"/>
  <c r="I1606" i="4"/>
  <c r="L1605" i="4"/>
  <c r="K1605" i="4"/>
  <c r="I1605" i="4"/>
  <c r="L1604" i="4"/>
  <c r="K1604" i="4"/>
  <c r="I1604" i="4"/>
  <c r="L1603" i="4"/>
  <c r="K1603" i="4"/>
  <c r="I1603" i="4"/>
  <c r="L1602" i="4"/>
  <c r="K1602" i="4"/>
  <c r="I1602" i="4"/>
  <c r="L1601" i="4"/>
  <c r="K1601" i="4"/>
  <c r="I1601" i="4"/>
  <c r="L1600" i="4"/>
  <c r="K1600" i="4"/>
  <c r="I1600" i="4"/>
  <c r="L1599" i="4"/>
  <c r="K1599" i="4"/>
  <c r="I1599" i="4"/>
  <c r="L1598" i="4"/>
  <c r="K1598" i="4"/>
  <c r="I1598" i="4"/>
  <c r="L1597" i="4"/>
  <c r="K1597" i="4"/>
  <c r="I1597" i="4"/>
  <c r="L1596" i="4"/>
  <c r="K1596" i="4"/>
  <c r="I1596" i="4"/>
  <c r="L1595" i="4"/>
  <c r="K1595" i="4"/>
  <c r="I1595" i="4"/>
  <c r="L1594" i="4"/>
  <c r="K1594" i="4"/>
  <c r="I1594" i="4"/>
  <c r="L1593" i="4"/>
  <c r="K1593" i="4"/>
  <c r="I1593" i="4"/>
  <c r="L1592" i="4"/>
  <c r="K1592" i="4"/>
  <c r="I1592" i="4"/>
  <c r="L1591" i="4"/>
  <c r="K1591" i="4"/>
  <c r="I1591" i="4"/>
  <c r="L1590" i="4"/>
  <c r="K1590" i="4"/>
  <c r="I1590" i="4"/>
  <c r="L1589" i="4"/>
  <c r="K1589" i="4"/>
  <c r="I1589" i="4"/>
  <c r="L1588" i="4"/>
  <c r="K1588" i="4"/>
  <c r="I1588" i="4"/>
  <c r="L1587" i="4"/>
  <c r="K1587" i="4"/>
  <c r="I1587" i="4"/>
  <c r="L1586" i="4"/>
  <c r="K1586" i="4"/>
  <c r="I1586" i="4"/>
  <c r="L1585" i="4"/>
  <c r="K1585" i="4"/>
  <c r="I1585" i="4"/>
  <c r="L1584" i="4"/>
  <c r="K1584" i="4"/>
  <c r="I1584" i="4"/>
  <c r="L1583" i="4"/>
  <c r="K1583" i="4"/>
  <c r="I1583" i="4"/>
  <c r="L1582" i="4"/>
  <c r="K1582" i="4"/>
  <c r="I1582" i="4"/>
  <c r="L1581" i="4"/>
  <c r="K1581" i="4"/>
  <c r="I1581" i="4"/>
  <c r="L1580" i="4"/>
  <c r="K1580" i="4"/>
  <c r="I1580" i="4"/>
  <c r="L1579" i="4"/>
  <c r="K1579" i="4"/>
  <c r="I1579" i="4"/>
  <c r="L1578" i="4"/>
  <c r="K1578" i="4"/>
  <c r="I1578" i="4"/>
  <c r="L1577" i="4"/>
  <c r="K1577" i="4"/>
  <c r="I1577" i="4"/>
  <c r="L1576" i="4"/>
  <c r="K1576" i="4"/>
  <c r="I1576" i="4"/>
  <c r="L1575" i="4"/>
  <c r="K1575" i="4"/>
  <c r="I1575" i="4"/>
  <c r="L1574" i="4"/>
  <c r="K1574" i="4"/>
  <c r="I1574" i="4"/>
  <c r="L1573" i="4"/>
  <c r="K1573" i="4"/>
  <c r="I1573" i="4"/>
  <c r="L1572" i="4"/>
  <c r="K1572" i="4"/>
  <c r="I1572" i="4"/>
  <c r="L1571" i="4"/>
  <c r="K1571" i="4"/>
  <c r="I1571" i="4"/>
  <c r="L1570" i="4"/>
  <c r="K1570" i="4"/>
  <c r="I1570" i="4"/>
  <c r="L1569" i="4"/>
  <c r="K1569" i="4"/>
  <c r="I1569" i="4"/>
  <c r="L1568" i="4"/>
  <c r="K1568" i="4"/>
  <c r="I1568" i="4"/>
  <c r="L1567" i="4"/>
  <c r="K1567" i="4"/>
  <c r="I1567" i="4"/>
  <c r="L1566" i="4"/>
  <c r="K1566" i="4"/>
  <c r="I1566" i="4"/>
  <c r="L1565" i="4"/>
  <c r="K1565" i="4"/>
  <c r="I1565" i="4"/>
  <c r="L1564" i="4"/>
  <c r="K1564" i="4"/>
  <c r="I1564" i="4"/>
  <c r="L1563" i="4"/>
  <c r="K1563" i="4"/>
  <c r="I1563" i="4"/>
  <c r="L1562" i="4"/>
  <c r="K1562" i="4"/>
  <c r="I1562" i="4"/>
  <c r="L1561" i="4"/>
  <c r="K1561" i="4"/>
  <c r="I1561" i="4"/>
  <c r="L1560" i="4"/>
  <c r="K1560" i="4"/>
  <c r="I1560" i="4"/>
  <c r="L1559" i="4"/>
  <c r="K1559" i="4"/>
  <c r="I1559" i="4"/>
  <c r="L1558" i="4"/>
  <c r="K1558" i="4"/>
  <c r="I1558" i="4"/>
  <c r="L1557" i="4"/>
  <c r="K1557" i="4"/>
  <c r="I1557" i="4"/>
  <c r="L1556" i="4"/>
  <c r="K1556" i="4"/>
  <c r="I1556" i="4"/>
  <c r="L1555" i="4"/>
  <c r="K1555" i="4"/>
  <c r="I1555" i="4"/>
  <c r="L1554" i="4"/>
  <c r="K1554" i="4"/>
  <c r="I1554" i="4"/>
  <c r="L1553" i="4"/>
  <c r="K1553" i="4"/>
  <c r="I1553" i="4"/>
  <c r="L1552" i="4"/>
  <c r="K1552" i="4"/>
  <c r="I1552" i="4"/>
  <c r="L1551" i="4"/>
  <c r="K1551" i="4"/>
  <c r="I1551" i="4"/>
  <c r="L1550" i="4"/>
  <c r="K1550" i="4"/>
  <c r="I1550" i="4"/>
  <c r="L1549" i="4"/>
  <c r="K1549" i="4"/>
  <c r="I1549" i="4"/>
  <c r="L1548" i="4"/>
  <c r="K1548" i="4"/>
  <c r="I1548" i="4"/>
  <c r="L1547" i="4"/>
  <c r="K1547" i="4"/>
  <c r="I1547" i="4"/>
  <c r="L1546" i="4"/>
  <c r="K1546" i="4"/>
  <c r="I1546" i="4"/>
  <c r="L1545" i="4"/>
  <c r="K1545" i="4"/>
  <c r="I1545" i="4"/>
  <c r="L1544" i="4"/>
  <c r="K1544" i="4"/>
  <c r="I1544" i="4"/>
  <c r="L1543" i="4"/>
  <c r="K1543" i="4"/>
  <c r="I1543" i="4"/>
  <c r="L1542" i="4"/>
  <c r="K1542" i="4"/>
  <c r="I1542" i="4"/>
  <c r="L1541" i="4"/>
  <c r="K1541" i="4"/>
  <c r="I1541" i="4"/>
  <c r="L1540" i="4"/>
  <c r="K1540" i="4"/>
  <c r="I1540" i="4"/>
  <c r="L1539" i="4"/>
  <c r="K1539" i="4"/>
  <c r="I1539" i="4"/>
  <c r="L1538" i="4"/>
  <c r="K1538" i="4"/>
  <c r="I1538" i="4"/>
  <c r="L1537" i="4"/>
  <c r="K1537" i="4"/>
  <c r="I1537" i="4"/>
  <c r="L1536" i="4"/>
  <c r="K1536" i="4"/>
  <c r="I1536" i="4"/>
  <c r="L1535" i="4"/>
  <c r="K1535" i="4"/>
  <c r="I1535" i="4"/>
  <c r="L1534" i="4"/>
  <c r="K1534" i="4"/>
  <c r="I1534" i="4"/>
  <c r="L1533" i="4"/>
  <c r="K1533" i="4"/>
  <c r="I1533" i="4"/>
  <c r="L1532" i="4"/>
  <c r="K1532" i="4"/>
  <c r="I1532" i="4"/>
  <c r="L1531" i="4"/>
  <c r="K1531" i="4"/>
  <c r="I1531" i="4"/>
  <c r="L1530" i="4"/>
  <c r="K1530" i="4"/>
  <c r="I1530" i="4"/>
  <c r="L1529" i="4"/>
  <c r="K1529" i="4"/>
  <c r="I1529" i="4"/>
  <c r="L1528" i="4"/>
  <c r="K1528" i="4"/>
  <c r="I1528" i="4"/>
  <c r="L1527" i="4"/>
  <c r="K1527" i="4"/>
  <c r="I1527" i="4"/>
  <c r="L1526" i="4"/>
  <c r="K1526" i="4"/>
  <c r="I1526" i="4"/>
  <c r="L1525" i="4"/>
  <c r="K1525" i="4"/>
  <c r="I1525" i="4"/>
  <c r="L1524" i="4"/>
  <c r="K1524" i="4"/>
  <c r="I1524" i="4"/>
  <c r="L1523" i="4"/>
  <c r="K1523" i="4"/>
  <c r="I1523" i="4"/>
  <c r="L1522" i="4"/>
  <c r="K1522" i="4"/>
  <c r="I1522" i="4"/>
  <c r="L1521" i="4"/>
  <c r="K1521" i="4"/>
  <c r="I1521" i="4"/>
  <c r="L1520" i="4"/>
  <c r="K1520" i="4"/>
  <c r="I1520" i="4"/>
  <c r="L1519" i="4"/>
  <c r="K1519" i="4"/>
  <c r="I1519" i="4"/>
  <c r="L1518" i="4"/>
  <c r="K1518" i="4"/>
  <c r="I1518" i="4"/>
  <c r="L1517" i="4"/>
  <c r="K1517" i="4"/>
  <c r="I1517" i="4"/>
  <c r="L1516" i="4"/>
  <c r="K1516" i="4"/>
  <c r="I1516" i="4"/>
  <c r="L1515" i="4"/>
  <c r="K1515" i="4"/>
  <c r="I1515" i="4"/>
  <c r="L1514" i="4"/>
  <c r="K1514" i="4"/>
  <c r="I1514" i="4"/>
  <c r="L1513" i="4"/>
  <c r="K1513" i="4"/>
  <c r="I1513" i="4"/>
  <c r="L1512" i="4"/>
  <c r="K1512" i="4"/>
  <c r="I1512" i="4"/>
  <c r="L1511" i="4"/>
  <c r="K1511" i="4"/>
  <c r="I1511" i="4"/>
  <c r="L1510" i="4"/>
  <c r="K1510" i="4"/>
  <c r="I1510" i="4"/>
  <c r="L1509" i="4"/>
  <c r="K1509" i="4"/>
  <c r="I1509" i="4"/>
  <c r="L1508" i="4"/>
  <c r="K1508" i="4"/>
  <c r="I1508" i="4"/>
  <c r="L1507" i="4"/>
  <c r="K1507" i="4"/>
  <c r="I1507" i="4"/>
  <c r="L1506" i="4"/>
  <c r="K1506" i="4"/>
  <c r="I1506" i="4"/>
  <c r="L1505" i="4"/>
  <c r="K1505" i="4"/>
  <c r="I1505" i="4"/>
  <c r="L1504" i="4"/>
  <c r="K1504" i="4"/>
  <c r="I1504" i="4"/>
  <c r="L1503" i="4"/>
  <c r="K1503" i="4"/>
  <c r="I1503" i="4"/>
  <c r="L1502" i="4"/>
  <c r="K1502" i="4"/>
  <c r="I1502" i="4"/>
  <c r="L1501" i="4"/>
  <c r="K1501" i="4"/>
  <c r="I1501" i="4"/>
  <c r="L1500" i="4"/>
  <c r="K1500" i="4"/>
  <c r="I1500" i="4"/>
  <c r="L1499" i="4"/>
  <c r="K1499" i="4"/>
  <c r="I1499" i="4"/>
  <c r="L1498" i="4"/>
  <c r="K1498" i="4"/>
  <c r="I1498" i="4"/>
  <c r="L1497" i="4"/>
  <c r="K1497" i="4"/>
  <c r="I1497" i="4"/>
  <c r="L1496" i="4"/>
  <c r="K1496" i="4"/>
  <c r="I1496" i="4"/>
  <c r="L1495" i="4"/>
  <c r="K1495" i="4"/>
  <c r="I1495" i="4"/>
  <c r="L1494" i="4"/>
  <c r="K1494" i="4"/>
  <c r="I1494" i="4"/>
  <c r="L1493" i="4"/>
  <c r="K1493" i="4"/>
  <c r="I1493" i="4"/>
  <c r="L1492" i="4"/>
  <c r="K1492" i="4"/>
  <c r="I1492" i="4"/>
  <c r="L1491" i="4"/>
  <c r="K1491" i="4"/>
  <c r="I1491" i="4"/>
  <c r="L1490" i="4"/>
  <c r="K1490" i="4"/>
  <c r="I1490" i="4"/>
  <c r="L1489" i="4"/>
  <c r="K1489" i="4"/>
  <c r="I1489" i="4"/>
  <c r="L1488" i="4"/>
  <c r="K1488" i="4"/>
  <c r="I1488" i="4"/>
  <c r="L1487" i="4"/>
  <c r="K1487" i="4"/>
  <c r="I1487" i="4"/>
  <c r="L1486" i="4"/>
  <c r="K1486" i="4"/>
  <c r="I1486" i="4"/>
  <c r="L1485" i="4"/>
  <c r="K1485" i="4"/>
  <c r="I1485" i="4"/>
  <c r="L1484" i="4"/>
  <c r="K1484" i="4"/>
  <c r="I1484" i="4"/>
  <c r="L1483" i="4"/>
  <c r="K1483" i="4"/>
  <c r="I1483" i="4"/>
  <c r="L1482" i="4"/>
  <c r="K1482" i="4"/>
  <c r="I1482" i="4"/>
  <c r="L1481" i="4"/>
  <c r="K1481" i="4"/>
  <c r="I1481" i="4"/>
  <c r="L1480" i="4"/>
  <c r="K1480" i="4"/>
  <c r="I1480" i="4"/>
  <c r="L1479" i="4"/>
  <c r="K1479" i="4"/>
  <c r="I1479" i="4"/>
  <c r="L1478" i="4"/>
  <c r="K1478" i="4"/>
  <c r="I1478" i="4"/>
  <c r="L1477" i="4"/>
  <c r="K1477" i="4"/>
  <c r="I1477" i="4"/>
  <c r="L1476" i="4"/>
  <c r="K1476" i="4"/>
  <c r="I1476" i="4"/>
  <c r="L1475" i="4"/>
  <c r="K1475" i="4"/>
  <c r="I1475" i="4"/>
  <c r="L1474" i="4"/>
  <c r="K1474" i="4"/>
  <c r="I1474" i="4"/>
  <c r="L1473" i="4"/>
  <c r="K1473" i="4"/>
  <c r="I1473" i="4"/>
  <c r="L1472" i="4"/>
  <c r="K1472" i="4"/>
  <c r="I1472" i="4"/>
  <c r="L1471" i="4"/>
  <c r="K1471" i="4"/>
  <c r="I1471" i="4"/>
  <c r="L1470" i="4"/>
  <c r="K1470" i="4"/>
  <c r="I1470" i="4"/>
  <c r="L1469" i="4"/>
  <c r="K1469" i="4"/>
  <c r="I1469" i="4"/>
  <c r="L1468" i="4"/>
  <c r="K1468" i="4"/>
  <c r="I1468" i="4"/>
  <c r="L1467" i="4"/>
  <c r="K1467" i="4"/>
  <c r="I1467" i="4"/>
  <c r="L1466" i="4"/>
  <c r="K1466" i="4"/>
  <c r="I1466" i="4"/>
  <c r="L1465" i="4"/>
  <c r="K1465" i="4"/>
  <c r="I1465" i="4"/>
  <c r="L1464" i="4"/>
  <c r="K1464" i="4"/>
  <c r="I1464" i="4"/>
  <c r="L1463" i="4"/>
  <c r="K1463" i="4"/>
  <c r="I1463" i="4"/>
  <c r="L1462" i="4"/>
  <c r="K1462" i="4"/>
  <c r="I1462" i="4"/>
  <c r="L1461" i="4"/>
  <c r="K1461" i="4"/>
  <c r="I1461" i="4"/>
  <c r="L1460" i="4"/>
  <c r="K1460" i="4"/>
  <c r="I1460" i="4"/>
  <c r="L1459" i="4"/>
  <c r="K1459" i="4"/>
  <c r="I1459" i="4"/>
  <c r="L1458" i="4"/>
  <c r="K1458" i="4"/>
  <c r="I1458" i="4"/>
  <c r="L1457" i="4"/>
  <c r="K1457" i="4"/>
  <c r="I1457" i="4"/>
  <c r="L1456" i="4"/>
  <c r="K1456" i="4"/>
  <c r="I1456" i="4"/>
  <c r="L1455" i="4"/>
  <c r="K1455" i="4"/>
  <c r="I1455" i="4"/>
  <c r="L1454" i="4"/>
  <c r="K1454" i="4"/>
  <c r="I1454" i="4"/>
  <c r="L1453" i="4"/>
  <c r="K1453" i="4"/>
  <c r="I1453" i="4"/>
  <c r="L1452" i="4"/>
  <c r="K1452" i="4"/>
  <c r="I1452" i="4"/>
  <c r="L1451" i="4"/>
  <c r="K1451" i="4"/>
  <c r="I1451" i="4"/>
  <c r="L1450" i="4"/>
  <c r="K1450" i="4"/>
  <c r="I1450" i="4"/>
  <c r="L1449" i="4"/>
  <c r="K1449" i="4"/>
  <c r="I1449" i="4"/>
  <c r="L1448" i="4"/>
  <c r="K1448" i="4"/>
  <c r="I1448" i="4"/>
  <c r="L1447" i="4"/>
  <c r="K1447" i="4"/>
  <c r="I1447" i="4"/>
  <c r="L1446" i="4"/>
  <c r="K1446" i="4"/>
  <c r="I1446" i="4"/>
  <c r="L1445" i="4"/>
  <c r="K1445" i="4"/>
  <c r="I1445" i="4"/>
  <c r="L1444" i="4"/>
  <c r="K1444" i="4"/>
  <c r="I1444" i="4"/>
  <c r="L1443" i="4"/>
  <c r="K1443" i="4"/>
  <c r="I1443" i="4"/>
  <c r="L1442" i="4"/>
  <c r="K1442" i="4"/>
  <c r="I1442" i="4"/>
  <c r="L1441" i="4"/>
  <c r="K1441" i="4"/>
  <c r="I1441" i="4"/>
  <c r="L1440" i="4"/>
  <c r="K1440" i="4"/>
  <c r="I1440" i="4"/>
  <c r="L1439" i="4"/>
  <c r="K1439" i="4"/>
  <c r="I1439" i="4"/>
  <c r="L1438" i="4"/>
  <c r="K1438" i="4"/>
  <c r="I1438" i="4"/>
  <c r="L1437" i="4"/>
  <c r="K1437" i="4"/>
  <c r="I1437" i="4"/>
  <c r="L1436" i="4"/>
  <c r="K1436" i="4"/>
  <c r="I1436" i="4"/>
  <c r="L1435" i="4"/>
  <c r="K1435" i="4"/>
  <c r="I1435" i="4"/>
  <c r="L1434" i="4"/>
  <c r="K1434" i="4"/>
  <c r="I1434" i="4"/>
  <c r="L1433" i="4"/>
  <c r="K1433" i="4"/>
  <c r="I1433" i="4"/>
  <c r="L1432" i="4"/>
  <c r="K1432" i="4"/>
  <c r="I1432" i="4"/>
  <c r="L1431" i="4"/>
  <c r="K1431" i="4"/>
  <c r="I1431" i="4"/>
  <c r="L1430" i="4"/>
  <c r="K1430" i="4"/>
  <c r="I1430" i="4"/>
  <c r="L1429" i="4"/>
  <c r="K1429" i="4"/>
  <c r="I1429" i="4"/>
  <c r="L1428" i="4"/>
  <c r="K1428" i="4"/>
  <c r="I1428" i="4"/>
  <c r="L1427" i="4"/>
  <c r="K1427" i="4"/>
  <c r="I1427" i="4"/>
  <c r="L1426" i="4"/>
  <c r="K1426" i="4"/>
  <c r="I1426" i="4"/>
  <c r="L1425" i="4"/>
  <c r="K1425" i="4"/>
  <c r="I1425" i="4"/>
  <c r="L1424" i="4"/>
  <c r="K1424" i="4"/>
  <c r="I1424" i="4"/>
  <c r="L1423" i="4"/>
  <c r="K1423" i="4"/>
  <c r="I1423" i="4"/>
  <c r="L1422" i="4"/>
  <c r="K1422" i="4"/>
  <c r="I1422" i="4"/>
  <c r="L1421" i="4"/>
  <c r="K1421" i="4"/>
  <c r="I1421" i="4"/>
  <c r="L1420" i="4"/>
  <c r="K1420" i="4"/>
  <c r="I1420" i="4"/>
  <c r="L1419" i="4"/>
  <c r="K1419" i="4"/>
  <c r="I1419" i="4"/>
  <c r="L1418" i="4"/>
  <c r="K1418" i="4"/>
  <c r="I1418" i="4"/>
  <c r="L1417" i="4"/>
  <c r="K1417" i="4"/>
  <c r="I1417" i="4"/>
  <c r="L1416" i="4"/>
  <c r="K1416" i="4"/>
  <c r="I1416" i="4"/>
  <c r="L1415" i="4"/>
  <c r="K1415" i="4"/>
  <c r="I1415" i="4"/>
  <c r="L1414" i="4"/>
  <c r="K1414" i="4"/>
  <c r="I1414" i="4"/>
  <c r="L1413" i="4"/>
  <c r="K1413" i="4"/>
  <c r="I1413" i="4"/>
  <c r="L1412" i="4"/>
  <c r="K1412" i="4"/>
  <c r="I1412" i="4"/>
  <c r="L1411" i="4"/>
  <c r="K1411" i="4"/>
  <c r="I1411" i="4"/>
  <c r="L1410" i="4"/>
  <c r="K1410" i="4"/>
  <c r="I1410" i="4"/>
  <c r="L1409" i="4"/>
  <c r="K1409" i="4"/>
  <c r="I1409" i="4"/>
  <c r="L1408" i="4"/>
  <c r="K1408" i="4"/>
  <c r="I1408" i="4"/>
  <c r="L1407" i="4"/>
  <c r="K1407" i="4"/>
  <c r="I1407" i="4"/>
  <c r="L1406" i="4"/>
  <c r="K1406" i="4"/>
  <c r="I1406" i="4"/>
  <c r="L1405" i="4"/>
  <c r="K1405" i="4"/>
  <c r="I1405" i="4"/>
  <c r="L1404" i="4"/>
  <c r="K1404" i="4"/>
  <c r="I1404" i="4"/>
  <c r="L1403" i="4"/>
  <c r="K1403" i="4"/>
  <c r="I1403" i="4"/>
  <c r="L1402" i="4"/>
  <c r="K1402" i="4"/>
  <c r="I1402" i="4"/>
  <c r="L1401" i="4"/>
  <c r="K1401" i="4"/>
  <c r="I1401" i="4"/>
  <c r="L1400" i="4"/>
  <c r="K1400" i="4"/>
  <c r="I1400" i="4"/>
  <c r="L1399" i="4"/>
  <c r="K1399" i="4"/>
  <c r="I1399" i="4"/>
  <c r="L1398" i="4"/>
  <c r="K1398" i="4"/>
  <c r="I1398" i="4"/>
  <c r="L1397" i="4"/>
  <c r="K1397" i="4"/>
  <c r="I1397" i="4"/>
  <c r="L1396" i="4"/>
  <c r="K1396" i="4"/>
  <c r="I1396" i="4"/>
  <c r="L1395" i="4"/>
  <c r="K1395" i="4"/>
  <c r="I1395" i="4"/>
  <c r="L1394" i="4"/>
  <c r="K1394" i="4"/>
  <c r="I1394" i="4"/>
  <c r="L1393" i="4"/>
  <c r="K1393" i="4"/>
  <c r="I1393" i="4"/>
  <c r="L1392" i="4"/>
  <c r="K1392" i="4"/>
  <c r="I1392" i="4"/>
  <c r="L1391" i="4"/>
  <c r="K1391" i="4"/>
  <c r="I1391" i="4"/>
  <c r="L1390" i="4"/>
  <c r="K1390" i="4"/>
  <c r="I1390" i="4"/>
  <c r="L1389" i="4"/>
  <c r="K1389" i="4"/>
  <c r="I1389" i="4"/>
  <c r="L1388" i="4"/>
  <c r="K1388" i="4"/>
  <c r="I1388" i="4"/>
  <c r="L1387" i="4"/>
  <c r="K1387" i="4"/>
  <c r="I1387" i="4"/>
  <c r="L1386" i="4"/>
  <c r="K1386" i="4"/>
  <c r="I1386" i="4"/>
  <c r="L1385" i="4"/>
  <c r="K1385" i="4"/>
  <c r="I1385" i="4"/>
  <c r="L1384" i="4"/>
  <c r="K1384" i="4"/>
  <c r="I1384" i="4"/>
  <c r="L1383" i="4"/>
  <c r="K1383" i="4"/>
  <c r="I1383" i="4"/>
  <c r="L1382" i="4"/>
  <c r="K1382" i="4"/>
  <c r="I1382" i="4"/>
  <c r="L1381" i="4"/>
  <c r="K1381" i="4"/>
  <c r="I1381" i="4"/>
  <c r="L1380" i="4"/>
  <c r="K1380" i="4"/>
  <c r="I1380" i="4"/>
  <c r="L1379" i="4"/>
  <c r="K1379" i="4"/>
  <c r="I1379" i="4"/>
  <c r="L1378" i="4"/>
  <c r="K1378" i="4"/>
  <c r="I1378" i="4"/>
  <c r="L1377" i="4"/>
  <c r="K1377" i="4"/>
  <c r="I1377" i="4"/>
  <c r="L1376" i="4"/>
  <c r="K1376" i="4"/>
  <c r="I1376" i="4"/>
  <c r="L1375" i="4"/>
  <c r="K1375" i="4"/>
  <c r="I1375" i="4"/>
  <c r="L1374" i="4"/>
  <c r="K1374" i="4"/>
  <c r="I1374" i="4"/>
  <c r="L1373" i="4"/>
  <c r="K1373" i="4"/>
  <c r="I1373" i="4"/>
  <c r="L1372" i="4"/>
  <c r="K1372" i="4"/>
  <c r="I1372" i="4"/>
  <c r="L1371" i="4"/>
  <c r="K1371" i="4"/>
  <c r="I1371" i="4"/>
  <c r="L1370" i="4"/>
  <c r="K1370" i="4"/>
  <c r="I1370" i="4"/>
  <c r="L1369" i="4"/>
  <c r="K1369" i="4"/>
  <c r="I1369" i="4"/>
  <c r="L1368" i="4"/>
  <c r="K1368" i="4"/>
  <c r="I1368" i="4"/>
  <c r="L1367" i="4"/>
  <c r="K1367" i="4"/>
  <c r="I1367" i="4"/>
  <c r="L1366" i="4"/>
  <c r="K1366" i="4"/>
  <c r="I1366" i="4"/>
  <c r="L1365" i="4"/>
  <c r="K1365" i="4"/>
  <c r="I1365" i="4"/>
  <c r="L1364" i="4"/>
  <c r="K1364" i="4"/>
  <c r="I1364" i="4"/>
  <c r="L1363" i="4"/>
  <c r="K1363" i="4"/>
  <c r="I1363" i="4"/>
  <c r="L1362" i="4"/>
  <c r="K1362" i="4"/>
  <c r="I1362" i="4"/>
  <c r="L1361" i="4"/>
  <c r="K1361" i="4"/>
  <c r="I1361" i="4"/>
  <c r="L1360" i="4"/>
  <c r="K1360" i="4"/>
  <c r="I1360" i="4"/>
  <c r="L1359" i="4"/>
  <c r="K1359" i="4"/>
  <c r="I1359" i="4"/>
  <c r="L1358" i="4"/>
  <c r="K1358" i="4"/>
  <c r="I1358" i="4"/>
  <c r="L1357" i="4"/>
  <c r="K1357" i="4"/>
  <c r="I1357" i="4"/>
  <c r="L1356" i="4"/>
  <c r="K1356" i="4"/>
  <c r="I1356" i="4"/>
  <c r="L1355" i="4"/>
  <c r="K1355" i="4"/>
  <c r="I1355" i="4"/>
  <c r="L1354" i="4"/>
  <c r="K1354" i="4"/>
  <c r="I1354" i="4"/>
  <c r="L1353" i="4"/>
  <c r="K1353" i="4"/>
  <c r="I1353" i="4"/>
  <c r="L1352" i="4"/>
  <c r="K1352" i="4"/>
  <c r="I1352" i="4"/>
  <c r="L1351" i="4"/>
  <c r="K1351" i="4"/>
  <c r="I1351" i="4"/>
  <c r="L1350" i="4"/>
  <c r="K1350" i="4"/>
  <c r="I1350" i="4"/>
  <c r="L1349" i="4"/>
  <c r="K1349" i="4"/>
  <c r="I1349" i="4"/>
  <c r="L1348" i="4"/>
  <c r="K1348" i="4"/>
  <c r="I1348" i="4"/>
  <c r="L1347" i="4"/>
  <c r="K1347" i="4"/>
  <c r="I1347" i="4"/>
  <c r="L1346" i="4"/>
  <c r="K1346" i="4"/>
  <c r="I1346" i="4"/>
  <c r="L1345" i="4"/>
  <c r="K1345" i="4"/>
  <c r="I1345" i="4"/>
  <c r="L1344" i="4"/>
  <c r="K1344" i="4"/>
  <c r="I1344" i="4"/>
  <c r="L1343" i="4"/>
  <c r="K1343" i="4"/>
  <c r="I1343" i="4"/>
  <c r="L1342" i="4"/>
  <c r="K1342" i="4"/>
  <c r="I1342" i="4"/>
  <c r="L1341" i="4"/>
  <c r="K1341" i="4"/>
  <c r="I1341" i="4"/>
  <c r="L1340" i="4"/>
  <c r="K1340" i="4"/>
  <c r="I1340" i="4"/>
  <c r="L1339" i="4"/>
  <c r="K1339" i="4"/>
  <c r="I1339" i="4"/>
  <c r="L1338" i="4"/>
  <c r="K1338" i="4"/>
  <c r="I1338" i="4"/>
  <c r="L1337" i="4"/>
  <c r="K1337" i="4"/>
  <c r="I1337" i="4"/>
  <c r="L1336" i="4"/>
  <c r="K1336" i="4"/>
  <c r="I1336" i="4"/>
  <c r="L1335" i="4"/>
  <c r="K1335" i="4"/>
  <c r="I1335" i="4"/>
  <c r="L1334" i="4"/>
  <c r="K1334" i="4"/>
  <c r="I1334" i="4"/>
  <c r="L1333" i="4"/>
  <c r="K1333" i="4"/>
  <c r="I1333" i="4"/>
  <c r="L1332" i="4"/>
  <c r="K1332" i="4"/>
  <c r="I1332" i="4"/>
  <c r="L1331" i="4"/>
  <c r="K1331" i="4"/>
  <c r="I1331" i="4"/>
  <c r="L1330" i="4"/>
  <c r="K1330" i="4"/>
  <c r="I1330" i="4"/>
  <c r="L1329" i="4"/>
  <c r="K1329" i="4"/>
  <c r="I1329" i="4"/>
  <c r="L1328" i="4"/>
  <c r="K1328" i="4"/>
  <c r="I1328" i="4"/>
  <c r="L1327" i="4"/>
  <c r="K1327" i="4"/>
  <c r="I1327" i="4"/>
  <c r="L1326" i="4"/>
  <c r="K1326" i="4"/>
  <c r="I1326" i="4"/>
  <c r="L1325" i="4"/>
  <c r="K1325" i="4"/>
  <c r="I1325" i="4"/>
  <c r="L1324" i="4"/>
  <c r="K1324" i="4"/>
  <c r="I1324" i="4"/>
  <c r="L1323" i="4"/>
  <c r="K1323" i="4"/>
  <c r="I1323" i="4"/>
  <c r="L1322" i="4"/>
  <c r="K1322" i="4"/>
  <c r="I1322" i="4"/>
  <c r="L1321" i="4"/>
  <c r="K1321" i="4"/>
  <c r="I1321" i="4"/>
  <c r="L1320" i="4"/>
  <c r="K1320" i="4"/>
  <c r="I1320" i="4"/>
  <c r="L1319" i="4"/>
  <c r="K1319" i="4"/>
  <c r="I1319" i="4"/>
  <c r="L1318" i="4"/>
  <c r="K1318" i="4"/>
  <c r="I1318" i="4"/>
  <c r="L1317" i="4"/>
  <c r="K1317" i="4"/>
  <c r="I1317" i="4"/>
  <c r="L1316" i="4"/>
  <c r="K1316" i="4"/>
  <c r="I1316" i="4"/>
  <c r="L1315" i="4"/>
  <c r="K1315" i="4"/>
  <c r="I1315" i="4"/>
  <c r="L1314" i="4"/>
  <c r="K1314" i="4"/>
  <c r="I1314" i="4"/>
  <c r="L1313" i="4"/>
  <c r="K1313" i="4"/>
  <c r="I1313" i="4"/>
  <c r="L1312" i="4"/>
  <c r="K1312" i="4"/>
  <c r="I1312" i="4"/>
  <c r="L1311" i="4"/>
  <c r="K1311" i="4"/>
  <c r="I1311" i="4"/>
  <c r="L1310" i="4"/>
  <c r="K1310" i="4"/>
  <c r="I1310" i="4"/>
  <c r="L1309" i="4"/>
  <c r="K1309" i="4"/>
  <c r="I1309" i="4"/>
  <c r="L1308" i="4"/>
  <c r="K1308" i="4"/>
  <c r="I1308" i="4"/>
  <c r="L1307" i="4"/>
  <c r="K1307" i="4"/>
  <c r="I1307" i="4"/>
  <c r="L1306" i="4"/>
  <c r="K1306" i="4"/>
  <c r="I1306" i="4"/>
  <c r="L1305" i="4"/>
  <c r="K1305" i="4"/>
  <c r="I1305" i="4"/>
  <c r="L1304" i="4"/>
  <c r="K1304" i="4"/>
  <c r="I1304" i="4"/>
  <c r="L1303" i="4"/>
  <c r="K1303" i="4"/>
  <c r="I1303" i="4"/>
  <c r="L1302" i="4"/>
  <c r="K1302" i="4"/>
  <c r="I1302" i="4"/>
  <c r="L1301" i="4"/>
  <c r="K1301" i="4"/>
  <c r="I1301" i="4"/>
  <c r="L1300" i="4"/>
  <c r="K1300" i="4"/>
  <c r="I1300" i="4"/>
  <c r="L1299" i="4"/>
  <c r="K1299" i="4"/>
  <c r="I1299" i="4"/>
  <c r="L1298" i="4"/>
  <c r="K1298" i="4"/>
  <c r="I1298" i="4"/>
  <c r="L1297" i="4"/>
  <c r="K1297" i="4"/>
  <c r="I1297" i="4"/>
  <c r="L1296" i="4"/>
  <c r="K1296" i="4"/>
  <c r="I1296" i="4"/>
  <c r="L1295" i="4"/>
  <c r="K1295" i="4"/>
  <c r="I1295" i="4"/>
  <c r="L1294" i="4"/>
  <c r="K1294" i="4"/>
  <c r="I1294" i="4"/>
  <c r="L1293" i="4"/>
  <c r="K1293" i="4"/>
  <c r="I1293" i="4"/>
  <c r="L1292" i="4"/>
  <c r="K1292" i="4"/>
  <c r="I1292" i="4"/>
  <c r="L1291" i="4"/>
  <c r="K1291" i="4"/>
  <c r="I1291" i="4"/>
  <c r="L1290" i="4"/>
  <c r="K1290" i="4"/>
  <c r="I1290" i="4"/>
  <c r="L1289" i="4"/>
  <c r="K1289" i="4"/>
  <c r="I1289" i="4"/>
  <c r="L1288" i="4"/>
  <c r="K1288" i="4"/>
  <c r="I1288" i="4"/>
  <c r="L1287" i="4"/>
  <c r="K1287" i="4"/>
  <c r="I1287" i="4"/>
  <c r="L1286" i="4"/>
  <c r="K1286" i="4"/>
  <c r="I1286" i="4"/>
  <c r="L1285" i="4"/>
  <c r="K1285" i="4"/>
  <c r="I1285" i="4"/>
  <c r="L1284" i="4"/>
  <c r="K1284" i="4"/>
  <c r="I1284" i="4"/>
  <c r="L1283" i="4"/>
  <c r="K1283" i="4"/>
  <c r="I1283" i="4"/>
  <c r="L1282" i="4"/>
  <c r="K1282" i="4"/>
  <c r="I1282" i="4"/>
  <c r="L1281" i="4"/>
  <c r="K1281" i="4"/>
  <c r="I1281" i="4"/>
  <c r="L1280" i="4"/>
  <c r="K1280" i="4"/>
  <c r="I1280" i="4"/>
  <c r="L1279" i="4"/>
  <c r="K1279" i="4"/>
  <c r="I1279" i="4"/>
  <c r="L1278" i="4"/>
  <c r="K1278" i="4"/>
  <c r="I1278" i="4"/>
  <c r="L1277" i="4"/>
  <c r="K1277" i="4"/>
  <c r="I1277" i="4"/>
  <c r="L1276" i="4"/>
  <c r="K1276" i="4"/>
  <c r="I1276" i="4"/>
  <c r="L1275" i="4"/>
  <c r="K1275" i="4"/>
  <c r="I1275" i="4"/>
  <c r="L1274" i="4"/>
  <c r="K1274" i="4"/>
  <c r="I1274" i="4"/>
  <c r="L1273" i="4"/>
  <c r="K1273" i="4"/>
  <c r="I1273" i="4"/>
  <c r="L1272" i="4"/>
  <c r="K1272" i="4"/>
  <c r="I1272" i="4"/>
  <c r="L1271" i="4"/>
  <c r="K1271" i="4"/>
  <c r="I1271" i="4"/>
  <c r="L1270" i="4"/>
  <c r="K1270" i="4"/>
  <c r="I1270" i="4"/>
  <c r="L1269" i="4"/>
  <c r="K1269" i="4"/>
  <c r="I1269" i="4"/>
  <c r="L1268" i="4"/>
  <c r="K1268" i="4"/>
  <c r="I1268" i="4"/>
  <c r="L1267" i="4"/>
  <c r="K1267" i="4"/>
  <c r="I1267" i="4"/>
  <c r="L1266" i="4"/>
  <c r="K1266" i="4"/>
  <c r="I1266" i="4"/>
  <c r="L1265" i="4"/>
  <c r="K1265" i="4"/>
  <c r="I1265" i="4"/>
  <c r="L1264" i="4"/>
  <c r="K1264" i="4"/>
  <c r="I1264" i="4"/>
  <c r="L1263" i="4"/>
  <c r="K1263" i="4"/>
  <c r="I1263" i="4"/>
  <c r="L1262" i="4"/>
  <c r="K1262" i="4"/>
  <c r="I1262" i="4"/>
  <c r="L1261" i="4"/>
  <c r="K1261" i="4"/>
  <c r="I1261" i="4"/>
  <c r="L1260" i="4"/>
  <c r="K1260" i="4"/>
  <c r="I1260" i="4"/>
  <c r="L1259" i="4"/>
  <c r="K1259" i="4"/>
  <c r="I1259" i="4"/>
  <c r="L1258" i="4"/>
  <c r="K1258" i="4"/>
  <c r="I1258" i="4"/>
  <c r="L1257" i="4"/>
  <c r="K1257" i="4"/>
  <c r="I1257" i="4"/>
  <c r="L1256" i="4"/>
  <c r="K1256" i="4"/>
  <c r="I1256" i="4"/>
  <c r="L1255" i="4"/>
  <c r="K1255" i="4"/>
  <c r="I1255" i="4"/>
  <c r="L1254" i="4"/>
  <c r="K1254" i="4"/>
  <c r="I1254" i="4"/>
  <c r="L1253" i="4"/>
  <c r="K1253" i="4"/>
  <c r="I1253" i="4"/>
  <c r="L1252" i="4"/>
  <c r="K1252" i="4"/>
  <c r="I1252" i="4"/>
  <c r="L1251" i="4"/>
  <c r="K1251" i="4"/>
  <c r="I1251" i="4"/>
  <c r="L1250" i="4"/>
  <c r="K1250" i="4"/>
  <c r="I1250" i="4"/>
  <c r="L1249" i="4"/>
  <c r="K1249" i="4"/>
  <c r="I1249" i="4"/>
  <c r="L1248" i="4"/>
  <c r="K1248" i="4"/>
  <c r="I1248" i="4"/>
  <c r="L1247" i="4"/>
  <c r="K1247" i="4"/>
  <c r="I1247" i="4"/>
  <c r="L1246" i="4"/>
  <c r="K1246" i="4"/>
  <c r="I1246" i="4"/>
  <c r="L1245" i="4"/>
  <c r="K1245" i="4"/>
  <c r="I1245" i="4"/>
  <c r="L1244" i="4"/>
  <c r="K1244" i="4"/>
  <c r="I1244" i="4"/>
  <c r="L1243" i="4"/>
  <c r="K1243" i="4"/>
  <c r="I1243" i="4"/>
  <c r="L1242" i="4"/>
  <c r="K1242" i="4"/>
  <c r="I1242" i="4"/>
  <c r="L1241" i="4"/>
  <c r="K1241" i="4"/>
  <c r="I1241" i="4"/>
  <c r="L1240" i="4"/>
  <c r="K1240" i="4"/>
  <c r="I1240" i="4"/>
  <c r="L1239" i="4"/>
  <c r="K1239" i="4"/>
  <c r="I1239" i="4"/>
  <c r="L1238" i="4"/>
  <c r="K1238" i="4"/>
  <c r="I1238" i="4"/>
  <c r="L1237" i="4"/>
  <c r="K1237" i="4"/>
  <c r="I1237" i="4"/>
  <c r="L1236" i="4"/>
  <c r="K1236" i="4"/>
  <c r="I1236" i="4"/>
  <c r="L1235" i="4"/>
  <c r="K1235" i="4"/>
  <c r="I1235" i="4"/>
  <c r="L1234" i="4"/>
  <c r="K1234" i="4"/>
  <c r="I1234" i="4"/>
  <c r="L1233" i="4"/>
  <c r="K1233" i="4"/>
  <c r="I1233" i="4"/>
  <c r="L1232" i="4"/>
  <c r="K1232" i="4"/>
  <c r="I1232" i="4"/>
  <c r="L1231" i="4"/>
  <c r="K1231" i="4"/>
  <c r="I1231" i="4"/>
  <c r="L1230" i="4"/>
  <c r="K1230" i="4"/>
  <c r="I1230" i="4"/>
  <c r="L1229" i="4"/>
  <c r="K1229" i="4"/>
  <c r="I1229" i="4"/>
  <c r="L1228" i="4"/>
  <c r="K1228" i="4"/>
  <c r="I1228" i="4"/>
  <c r="L1227" i="4"/>
  <c r="K1227" i="4"/>
  <c r="I1227" i="4"/>
  <c r="L1226" i="4"/>
  <c r="K1226" i="4"/>
  <c r="I1226" i="4"/>
  <c r="L1225" i="4"/>
  <c r="K1225" i="4"/>
  <c r="I1225" i="4"/>
  <c r="L1224" i="4"/>
  <c r="K1224" i="4"/>
  <c r="I1224" i="4"/>
  <c r="L1223" i="4"/>
  <c r="K1223" i="4"/>
  <c r="I1223" i="4"/>
  <c r="L1222" i="4"/>
  <c r="K1222" i="4"/>
  <c r="I1222" i="4"/>
  <c r="L1221" i="4"/>
  <c r="K1221" i="4"/>
  <c r="I1221" i="4"/>
  <c r="L1220" i="4"/>
  <c r="K1220" i="4"/>
  <c r="I1220" i="4"/>
  <c r="L1219" i="4"/>
  <c r="K1219" i="4"/>
  <c r="I1219" i="4"/>
  <c r="L1218" i="4"/>
  <c r="K1218" i="4"/>
  <c r="I1218" i="4"/>
  <c r="L1217" i="4"/>
  <c r="K1217" i="4"/>
  <c r="I1217" i="4"/>
  <c r="L1216" i="4"/>
  <c r="K1216" i="4"/>
  <c r="I1216" i="4"/>
  <c r="L1215" i="4"/>
  <c r="K1215" i="4"/>
  <c r="I1215" i="4"/>
  <c r="L1214" i="4"/>
  <c r="K1214" i="4"/>
  <c r="I1214" i="4"/>
  <c r="L1213" i="4"/>
  <c r="K1213" i="4"/>
  <c r="I1213" i="4"/>
  <c r="L1212" i="4"/>
  <c r="K1212" i="4"/>
  <c r="I1212" i="4"/>
  <c r="L1211" i="4"/>
  <c r="K1211" i="4"/>
  <c r="I1211" i="4"/>
  <c r="L1210" i="4"/>
  <c r="K1210" i="4"/>
  <c r="I1210" i="4"/>
  <c r="L1209" i="4"/>
  <c r="K1209" i="4"/>
  <c r="I1209" i="4"/>
  <c r="L1208" i="4"/>
  <c r="K1208" i="4"/>
  <c r="I1208" i="4"/>
  <c r="L1207" i="4"/>
  <c r="K1207" i="4"/>
  <c r="I1207" i="4"/>
  <c r="L1206" i="4"/>
  <c r="K1206" i="4"/>
  <c r="I1206" i="4"/>
  <c r="L1205" i="4"/>
  <c r="K1205" i="4"/>
  <c r="I1205" i="4"/>
  <c r="L1204" i="4"/>
  <c r="K1204" i="4"/>
  <c r="I1204" i="4"/>
  <c r="L1203" i="4"/>
  <c r="K1203" i="4"/>
  <c r="I1203" i="4"/>
  <c r="L1202" i="4"/>
  <c r="K1202" i="4"/>
  <c r="I1202" i="4"/>
  <c r="L1201" i="4"/>
  <c r="K1201" i="4"/>
  <c r="I1201" i="4"/>
  <c r="L1200" i="4"/>
  <c r="K1200" i="4"/>
  <c r="I1200" i="4"/>
  <c r="L1199" i="4"/>
  <c r="K1199" i="4"/>
  <c r="I1199" i="4"/>
  <c r="L1198" i="4"/>
  <c r="K1198" i="4"/>
  <c r="I1198" i="4"/>
  <c r="L1197" i="4"/>
  <c r="K1197" i="4"/>
  <c r="I1197" i="4"/>
  <c r="L1196" i="4"/>
  <c r="K1196" i="4"/>
  <c r="I1196" i="4"/>
  <c r="L1195" i="4"/>
  <c r="K1195" i="4"/>
  <c r="I1195" i="4"/>
  <c r="L1194" i="4"/>
  <c r="K1194" i="4"/>
  <c r="I1194" i="4"/>
  <c r="L1193" i="4"/>
  <c r="K1193" i="4"/>
  <c r="I1193" i="4"/>
  <c r="L1192" i="4"/>
  <c r="K1192" i="4"/>
  <c r="I1192" i="4"/>
  <c r="L1191" i="4"/>
  <c r="K1191" i="4"/>
  <c r="I1191" i="4"/>
  <c r="L1190" i="4"/>
  <c r="K1190" i="4"/>
  <c r="I1190" i="4"/>
  <c r="L1189" i="4"/>
  <c r="K1189" i="4"/>
  <c r="I1189" i="4"/>
  <c r="L1188" i="4"/>
  <c r="K1188" i="4"/>
  <c r="I1188" i="4"/>
  <c r="L1187" i="4"/>
  <c r="K1187" i="4"/>
  <c r="I1187" i="4"/>
  <c r="L1186" i="4"/>
  <c r="K1186" i="4"/>
  <c r="I1186" i="4"/>
  <c r="L1185" i="4"/>
  <c r="K1185" i="4"/>
  <c r="I1185" i="4"/>
  <c r="L1184" i="4"/>
  <c r="K1184" i="4"/>
  <c r="I1184" i="4"/>
  <c r="L1183" i="4"/>
  <c r="K1183" i="4"/>
  <c r="I1183" i="4"/>
  <c r="L1182" i="4"/>
  <c r="K1182" i="4"/>
  <c r="I1182" i="4"/>
  <c r="L1181" i="4"/>
  <c r="K1181" i="4"/>
  <c r="I1181" i="4"/>
  <c r="L1180" i="4"/>
  <c r="K1180" i="4"/>
  <c r="I1180" i="4"/>
  <c r="L1179" i="4"/>
  <c r="K1179" i="4"/>
  <c r="I1179" i="4"/>
  <c r="L1178" i="4"/>
  <c r="K1178" i="4"/>
  <c r="I1178" i="4"/>
  <c r="L1177" i="4"/>
  <c r="K1177" i="4"/>
  <c r="I1177" i="4"/>
  <c r="L1176" i="4"/>
  <c r="K1176" i="4"/>
  <c r="I1176" i="4"/>
  <c r="L1175" i="4"/>
  <c r="K1175" i="4"/>
  <c r="I1175" i="4"/>
  <c r="L1174" i="4"/>
  <c r="K1174" i="4"/>
  <c r="I1174" i="4"/>
  <c r="L1173" i="4"/>
  <c r="K1173" i="4"/>
  <c r="I1173" i="4"/>
  <c r="L1172" i="4"/>
  <c r="K1172" i="4"/>
  <c r="I1172" i="4"/>
  <c r="L1171" i="4"/>
  <c r="K1171" i="4"/>
  <c r="I1171" i="4"/>
  <c r="L1170" i="4"/>
  <c r="K1170" i="4"/>
  <c r="I1170" i="4"/>
  <c r="L1169" i="4"/>
  <c r="K1169" i="4"/>
  <c r="I1169" i="4"/>
  <c r="L1168" i="4"/>
  <c r="K1168" i="4"/>
  <c r="I1168" i="4"/>
  <c r="L1167" i="4"/>
  <c r="K1167" i="4"/>
  <c r="I1167" i="4"/>
  <c r="L1166" i="4"/>
  <c r="K1166" i="4"/>
  <c r="I1166" i="4"/>
  <c r="L1165" i="4"/>
  <c r="K1165" i="4"/>
  <c r="I1165" i="4"/>
  <c r="L1164" i="4"/>
  <c r="K1164" i="4"/>
  <c r="I1164" i="4"/>
  <c r="L1163" i="4"/>
  <c r="K1163" i="4"/>
  <c r="I1163" i="4"/>
  <c r="L1162" i="4"/>
  <c r="K1162" i="4"/>
  <c r="I1162" i="4"/>
  <c r="L1161" i="4"/>
  <c r="K1161" i="4"/>
  <c r="I1161" i="4"/>
  <c r="L1160" i="4"/>
  <c r="K1160" i="4"/>
  <c r="I1160" i="4"/>
  <c r="L1159" i="4"/>
  <c r="K1159" i="4"/>
  <c r="I1159" i="4"/>
  <c r="L1158" i="4"/>
  <c r="K1158" i="4"/>
  <c r="I1158" i="4"/>
  <c r="L1157" i="4"/>
  <c r="K1157" i="4"/>
  <c r="I1157" i="4"/>
  <c r="L1156" i="4"/>
  <c r="K1156" i="4"/>
  <c r="I1156" i="4"/>
  <c r="L1155" i="4"/>
  <c r="K1155" i="4"/>
  <c r="I1155" i="4"/>
  <c r="L1154" i="4"/>
  <c r="K1154" i="4"/>
  <c r="I1154" i="4"/>
  <c r="L1153" i="4"/>
  <c r="K1153" i="4"/>
  <c r="I1153" i="4"/>
  <c r="L1152" i="4"/>
  <c r="K1152" i="4"/>
  <c r="I1152" i="4"/>
  <c r="L1151" i="4"/>
  <c r="K1151" i="4"/>
  <c r="I1151" i="4"/>
  <c r="L1150" i="4"/>
  <c r="K1150" i="4"/>
  <c r="I1150" i="4"/>
  <c r="L1149" i="4"/>
  <c r="K1149" i="4"/>
  <c r="I1149" i="4"/>
  <c r="L1148" i="4"/>
  <c r="K1148" i="4"/>
  <c r="I1148" i="4"/>
  <c r="L1147" i="4"/>
  <c r="K1147" i="4"/>
  <c r="I1147" i="4"/>
  <c r="L1146" i="4"/>
  <c r="K1146" i="4"/>
  <c r="I1146" i="4"/>
  <c r="L1145" i="4"/>
  <c r="K1145" i="4"/>
  <c r="I1145" i="4"/>
  <c r="L1144" i="4"/>
  <c r="K1144" i="4"/>
  <c r="I1144" i="4"/>
  <c r="L1143" i="4"/>
  <c r="K1143" i="4"/>
  <c r="I1143" i="4"/>
  <c r="L1142" i="4"/>
  <c r="K1142" i="4"/>
  <c r="I1142" i="4"/>
  <c r="L1141" i="4"/>
  <c r="K1141" i="4"/>
  <c r="I1141" i="4"/>
  <c r="L1140" i="4"/>
  <c r="K1140" i="4"/>
  <c r="I1140" i="4"/>
  <c r="L1139" i="4"/>
  <c r="K1139" i="4"/>
  <c r="I1139" i="4"/>
  <c r="L1138" i="4"/>
  <c r="K1138" i="4"/>
  <c r="I1138" i="4"/>
  <c r="L1137" i="4"/>
  <c r="K1137" i="4"/>
  <c r="I1137" i="4"/>
  <c r="L1136" i="4"/>
  <c r="K1136" i="4"/>
  <c r="I1136" i="4"/>
  <c r="L1135" i="4"/>
  <c r="K1135" i="4"/>
  <c r="I1135" i="4"/>
  <c r="L1134" i="4"/>
  <c r="K1134" i="4"/>
  <c r="I1134" i="4"/>
  <c r="L1133" i="4"/>
  <c r="K1133" i="4"/>
  <c r="I1133" i="4"/>
  <c r="L1132" i="4"/>
  <c r="K1132" i="4"/>
  <c r="I1132" i="4"/>
  <c r="L1131" i="4"/>
  <c r="K1131" i="4"/>
  <c r="I1131" i="4"/>
  <c r="L1130" i="4"/>
  <c r="K1130" i="4"/>
  <c r="I1130" i="4"/>
  <c r="L1129" i="4"/>
  <c r="K1129" i="4"/>
  <c r="I1129" i="4"/>
  <c r="L1128" i="4"/>
  <c r="K1128" i="4"/>
  <c r="I1128" i="4"/>
  <c r="L1127" i="4"/>
  <c r="K1127" i="4"/>
  <c r="I1127" i="4"/>
  <c r="L1126" i="4"/>
  <c r="K1126" i="4"/>
  <c r="I1126" i="4"/>
  <c r="L1125" i="4"/>
  <c r="K1125" i="4"/>
  <c r="I1125" i="4"/>
  <c r="L1124" i="4"/>
  <c r="K1124" i="4"/>
  <c r="I1124" i="4"/>
  <c r="L1123" i="4"/>
  <c r="K1123" i="4"/>
  <c r="I1123" i="4"/>
  <c r="L1122" i="4"/>
  <c r="K1122" i="4"/>
  <c r="I1122" i="4"/>
  <c r="L1121" i="4"/>
  <c r="K1121" i="4"/>
  <c r="I1121" i="4"/>
  <c r="L1120" i="4"/>
  <c r="K1120" i="4"/>
  <c r="I1120" i="4"/>
  <c r="L1119" i="4"/>
  <c r="K1119" i="4"/>
  <c r="I1119" i="4"/>
  <c r="L1118" i="4"/>
  <c r="K1118" i="4"/>
  <c r="I1118" i="4"/>
  <c r="L1117" i="4"/>
  <c r="K1117" i="4"/>
  <c r="I1117" i="4"/>
  <c r="L1116" i="4"/>
  <c r="K1116" i="4"/>
  <c r="I1116" i="4"/>
  <c r="L1115" i="4"/>
  <c r="K1115" i="4"/>
  <c r="I1115" i="4"/>
  <c r="L1114" i="4"/>
  <c r="K1114" i="4"/>
  <c r="I1114" i="4"/>
  <c r="L1113" i="4"/>
  <c r="K1113" i="4"/>
  <c r="I1113" i="4"/>
  <c r="L1112" i="4"/>
  <c r="K1112" i="4"/>
  <c r="I1112" i="4"/>
  <c r="L1111" i="4"/>
  <c r="K1111" i="4"/>
  <c r="I1111" i="4"/>
  <c r="L1110" i="4"/>
  <c r="K1110" i="4"/>
  <c r="I1110" i="4"/>
  <c r="L1109" i="4"/>
  <c r="K1109" i="4"/>
  <c r="I1109" i="4"/>
  <c r="L1108" i="4"/>
  <c r="K1108" i="4"/>
  <c r="I1108" i="4"/>
  <c r="L1107" i="4"/>
  <c r="K1107" i="4"/>
  <c r="I1107" i="4"/>
  <c r="L1106" i="4"/>
  <c r="K1106" i="4"/>
  <c r="I1106" i="4"/>
  <c r="L1105" i="4"/>
  <c r="K1105" i="4"/>
  <c r="I1105" i="4"/>
  <c r="L1104" i="4"/>
  <c r="K1104" i="4"/>
  <c r="I1104" i="4"/>
  <c r="L1103" i="4"/>
  <c r="K1103" i="4"/>
  <c r="I1103" i="4"/>
  <c r="L1102" i="4"/>
  <c r="K1102" i="4"/>
  <c r="I1102" i="4"/>
  <c r="L1101" i="4"/>
  <c r="K1101" i="4"/>
  <c r="I1101" i="4"/>
  <c r="L1100" i="4"/>
  <c r="K1100" i="4"/>
  <c r="I1100" i="4"/>
  <c r="L1099" i="4"/>
  <c r="K1099" i="4"/>
  <c r="I1099" i="4"/>
  <c r="L1098" i="4"/>
  <c r="K1098" i="4"/>
  <c r="I1098" i="4"/>
  <c r="L1097" i="4"/>
  <c r="K1097" i="4"/>
  <c r="I1097" i="4"/>
  <c r="L1096" i="4"/>
  <c r="K1096" i="4"/>
  <c r="I1096" i="4"/>
  <c r="L1095" i="4"/>
  <c r="K1095" i="4"/>
  <c r="I1095" i="4"/>
  <c r="L1094" i="4"/>
  <c r="K1094" i="4"/>
  <c r="I1094" i="4"/>
  <c r="L1093" i="4"/>
  <c r="K1093" i="4"/>
  <c r="I1093" i="4"/>
  <c r="L1092" i="4"/>
  <c r="K1092" i="4"/>
  <c r="I1092" i="4"/>
  <c r="L1091" i="4"/>
  <c r="K1091" i="4"/>
  <c r="I1091" i="4"/>
  <c r="L1090" i="4"/>
  <c r="K1090" i="4"/>
  <c r="I1090" i="4"/>
  <c r="L1089" i="4"/>
  <c r="K1089" i="4"/>
  <c r="I1089" i="4"/>
  <c r="L1088" i="4"/>
  <c r="K1088" i="4"/>
  <c r="I1088" i="4"/>
  <c r="L1087" i="4"/>
  <c r="K1087" i="4"/>
  <c r="I1087" i="4"/>
  <c r="L1086" i="4"/>
  <c r="K1086" i="4"/>
  <c r="I1086" i="4"/>
  <c r="L1085" i="4"/>
  <c r="K1085" i="4"/>
  <c r="I1085" i="4"/>
  <c r="L1084" i="4"/>
  <c r="K1084" i="4"/>
  <c r="I1084" i="4"/>
  <c r="L1083" i="4"/>
  <c r="K1083" i="4"/>
  <c r="I1083" i="4"/>
  <c r="L1082" i="4"/>
  <c r="K1082" i="4"/>
  <c r="I1082" i="4"/>
  <c r="L1081" i="4"/>
  <c r="K1081" i="4"/>
  <c r="I1081" i="4"/>
  <c r="L1080" i="4"/>
  <c r="K1080" i="4"/>
  <c r="I1080" i="4"/>
  <c r="L1079" i="4"/>
  <c r="K1079" i="4"/>
  <c r="I1079" i="4"/>
  <c r="L1078" i="4"/>
  <c r="K1078" i="4"/>
  <c r="I1078" i="4"/>
  <c r="L1077" i="4"/>
  <c r="K1077" i="4"/>
  <c r="I1077" i="4"/>
  <c r="L1076" i="4"/>
  <c r="K1076" i="4"/>
  <c r="I1076" i="4"/>
  <c r="L1075" i="4"/>
  <c r="K1075" i="4"/>
  <c r="I1075" i="4"/>
  <c r="L1074" i="4"/>
  <c r="K1074" i="4"/>
  <c r="I1074" i="4"/>
  <c r="L1073" i="4"/>
  <c r="K1073" i="4"/>
  <c r="I1073" i="4"/>
  <c r="L1072" i="4"/>
  <c r="K1072" i="4"/>
  <c r="I1072" i="4"/>
  <c r="L1071" i="4"/>
  <c r="K1071" i="4"/>
  <c r="I1071" i="4"/>
  <c r="L1070" i="4"/>
  <c r="K1070" i="4"/>
  <c r="I1070" i="4"/>
  <c r="L1069" i="4"/>
  <c r="K1069" i="4"/>
  <c r="I1069" i="4"/>
  <c r="L1068" i="4"/>
  <c r="K1068" i="4"/>
  <c r="I1068" i="4"/>
  <c r="L1067" i="4"/>
  <c r="K1067" i="4"/>
  <c r="I1067" i="4"/>
  <c r="L1066" i="4"/>
  <c r="K1066" i="4"/>
  <c r="I1066" i="4"/>
  <c r="L1065" i="4"/>
  <c r="K1065" i="4"/>
  <c r="I1065" i="4"/>
  <c r="L1064" i="4"/>
  <c r="K1064" i="4"/>
  <c r="I1064" i="4"/>
  <c r="L1063" i="4"/>
  <c r="K1063" i="4"/>
  <c r="I1063" i="4"/>
  <c r="L1062" i="4"/>
  <c r="K1062" i="4"/>
  <c r="I1062" i="4"/>
  <c r="L1061" i="4"/>
  <c r="K1061" i="4"/>
  <c r="I1061" i="4"/>
  <c r="L1060" i="4"/>
  <c r="K1060" i="4"/>
  <c r="I1060" i="4"/>
  <c r="L1059" i="4"/>
  <c r="K1059" i="4"/>
  <c r="I1059" i="4"/>
  <c r="L1058" i="4"/>
  <c r="K1058" i="4"/>
  <c r="I1058" i="4"/>
  <c r="L1057" i="4"/>
  <c r="K1057" i="4"/>
  <c r="I1057" i="4"/>
  <c r="L1056" i="4"/>
  <c r="K1056" i="4"/>
  <c r="I1056" i="4"/>
  <c r="L1055" i="4"/>
  <c r="K1055" i="4"/>
  <c r="I1055" i="4"/>
  <c r="L1054" i="4"/>
  <c r="K1054" i="4"/>
  <c r="I1054" i="4"/>
  <c r="L1053" i="4"/>
  <c r="K1053" i="4"/>
  <c r="I1053" i="4"/>
  <c r="L1052" i="4"/>
  <c r="K1052" i="4"/>
  <c r="I1052" i="4"/>
  <c r="L1051" i="4"/>
  <c r="K1051" i="4"/>
  <c r="I1051" i="4"/>
  <c r="L1050" i="4"/>
  <c r="K1050" i="4"/>
  <c r="I1050" i="4"/>
  <c r="L1049" i="4"/>
  <c r="K1049" i="4"/>
  <c r="I1049" i="4"/>
  <c r="L1048" i="4"/>
  <c r="K1048" i="4"/>
  <c r="I1048" i="4"/>
  <c r="L1047" i="4"/>
  <c r="K1047" i="4"/>
  <c r="I1047" i="4"/>
  <c r="L1046" i="4"/>
  <c r="K1046" i="4"/>
  <c r="I1046" i="4"/>
  <c r="L1045" i="4"/>
  <c r="K1045" i="4"/>
  <c r="I1045" i="4"/>
  <c r="L1044" i="4"/>
  <c r="K1044" i="4"/>
  <c r="I1044" i="4"/>
  <c r="L1043" i="4"/>
  <c r="K1043" i="4"/>
  <c r="I1043" i="4"/>
  <c r="L1042" i="4"/>
  <c r="K1042" i="4"/>
  <c r="I1042" i="4"/>
  <c r="L1041" i="4"/>
  <c r="K1041" i="4"/>
  <c r="I1041" i="4"/>
  <c r="L1040" i="4"/>
  <c r="K1040" i="4"/>
  <c r="I1040" i="4"/>
  <c r="L1039" i="4"/>
  <c r="K1039" i="4"/>
  <c r="I1039" i="4"/>
  <c r="L1038" i="4"/>
  <c r="K1038" i="4"/>
  <c r="I1038" i="4"/>
  <c r="L1037" i="4"/>
  <c r="K1037" i="4"/>
  <c r="I1037" i="4"/>
  <c r="L1036" i="4"/>
  <c r="K1036" i="4"/>
  <c r="I1036" i="4"/>
  <c r="L1035" i="4"/>
  <c r="K1035" i="4"/>
  <c r="I1035" i="4"/>
  <c r="L1034" i="4"/>
  <c r="K1034" i="4"/>
  <c r="I1034" i="4"/>
  <c r="L1033" i="4"/>
  <c r="K1033" i="4"/>
  <c r="I1033" i="4"/>
  <c r="L1032" i="4"/>
  <c r="K1032" i="4"/>
  <c r="I1032" i="4"/>
  <c r="L1031" i="4"/>
  <c r="K1031" i="4"/>
  <c r="I1031" i="4"/>
  <c r="L1030" i="4"/>
  <c r="K1030" i="4"/>
  <c r="I1030" i="4"/>
  <c r="L1029" i="4"/>
  <c r="K1029" i="4"/>
  <c r="I1029" i="4"/>
  <c r="L1028" i="4"/>
  <c r="K1028" i="4"/>
  <c r="I1028" i="4"/>
  <c r="L1027" i="4"/>
  <c r="K1027" i="4"/>
  <c r="I1027" i="4"/>
  <c r="L1026" i="4"/>
  <c r="K1026" i="4"/>
  <c r="I1026" i="4"/>
  <c r="L1025" i="4"/>
  <c r="K1025" i="4"/>
  <c r="I1025" i="4"/>
  <c r="L1024" i="4"/>
  <c r="K1024" i="4"/>
  <c r="I1024" i="4"/>
  <c r="L1023" i="4"/>
  <c r="K1023" i="4"/>
  <c r="I1023" i="4"/>
  <c r="L1022" i="4"/>
  <c r="K1022" i="4"/>
  <c r="I1022" i="4"/>
  <c r="L1021" i="4"/>
  <c r="K1021" i="4"/>
  <c r="I1021" i="4"/>
  <c r="L1020" i="4"/>
  <c r="K1020" i="4"/>
  <c r="I1020" i="4"/>
  <c r="L1019" i="4"/>
  <c r="K1019" i="4"/>
  <c r="I1019" i="4"/>
  <c r="L1018" i="4"/>
  <c r="K1018" i="4"/>
  <c r="I1018" i="4"/>
  <c r="L1017" i="4"/>
  <c r="K1017" i="4"/>
  <c r="I1017" i="4"/>
  <c r="L1016" i="4"/>
  <c r="K1016" i="4"/>
  <c r="I1016" i="4"/>
  <c r="L1015" i="4"/>
  <c r="K1015" i="4"/>
  <c r="I1015" i="4"/>
  <c r="L1014" i="4"/>
  <c r="K1014" i="4"/>
  <c r="I1014" i="4"/>
  <c r="L1013" i="4"/>
  <c r="K1013" i="4"/>
  <c r="I1013" i="4"/>
  <c r="L1012" i="4"/>
  <c r="K1012" i="4"/>
  <c r="I1012" i="4"/>
  <c r="L1011" i="4"/>
  <c r="K1011" i="4"/>
  <c r="I1011" i="4"/>
  <c r="L1010" i="4"/>
  <c r="K1010" i="4"/>
  <c r="I1010" i="4"/>
  <c r="L1009" i="4"/>
  <c r="K1009" i="4"/>
  <c r="I1009" i="4"/>
  <c r="L1008" i="4"/>
  <c r="K1008" i="4"/>
  <c r="I1008" i="4"/>
  <c r="L1007" i="4"/>
  <c r="K1007" i="4"/>
  <c r="I1007" i="4"/>
  <c r="L1006" i="4"/>
  <c r="K1006" i="4"/>
  <c r="I1006" i="4"/>
  <c r="L1005" i="4"/>
  <c r="K1005" i="4"/>
  <c r="I1005" i="4"/>
  <c r="L1004" i="4"/>
  <c r="K1004" i="4"/>
  <c r="I1004" i="4"/>
  <c r="L1003" i="4"/>
  <c r="K1003" i="4"/>
  <c r="I1003" i="4"/>
  <c r="L1002" i="4"/>
  <c r="K1002" i="4"/>
  <c r="I1002" i="4"/>
  <c r="L1001" i="4"/>
  <c r="K1001" i="4"/>
  <c r="I1001" i="4"/>
  <c r="L1000" i="4"/>
  <c r="K1000" i="4"/>
  <c r="I1000" i="4"/>
  <c r="L999" i="4"/>
  <c r="K999" i="4"/>
  <c r="I999" i="4"/>
  <c r="L998" i="4"/>
  <c r="K998" i="4"/>
  <c r="I998" i="4"/>
  <c r="L997" i="4"/>
  <c r="K997" i="4"/>
  <c r="I997" i="4"/>
  <c r="L996" i="4"/>
  <c r="K996" i="4"/>
  <c r="I996" i="4"/>
  <c r="L995" i="4"/>
  <c r="K995" i="4"/>
  <c r="I995" i="4"/>
  <c r="L994" i="4"/>
  <c r="K994" i="4"/>
  <c r="I994" i="4"/>
  <c r="L993" i="4"/>
  <c r="K993" i="4"/>
  <c r="I993" i="4"/>
  <c r="L992" i="4"/>
  <c r="K992" i="4"/>
  <c r="I992" i="4"/>
  <c r="L991" i="4"/>
  <c r="K991" i="4"/>
  <c r="I991" i="4"/>
  <c r="L990" i="4"/>
  <c r="K990" i="4"/>
  <c r="I990" i="4"/>
  <c r="L989" i="4"/>
  <c r="K989" i="4"/>
  <c r="I989" i="4"/>
  <c r="L988" i="4"/>
  <c r="K988" i="4"/>
  <c r="I988" i="4"/>
  <c r="L987" i="4"/>
  <c r="K987" i="4"/>
  <c r="I987" i="4"/>
  <c r="L986" i="4"/>
  <c r="K986" i="4"/>
  <c r="I986" i="4"/>
  <c r="L985" i="4"/>
  <c r="K985" i="4"/>
  <c r="I985" i="4"/>
  <c r="L984" i="4"/>
  <c r="K984" i="4"/>
  <c r="I984" i="4"/>
  <c r="L983" i="4"/>
  <c r="K983" i="4"/>
  <c r="I983" i="4"/>
  <c r="L982" i="4"/>
  <c r="K982" i="4"/>
  <c r="I982" i="4"/>
  <c r="L981" i="4"/>
  <c r="K981" i="4"/>
  <c r="I981" i="4"/>
  <c r="L980" i="4"/>
  <c r="K980" i="4"/>
  <c r="I980" i="4"/>
  <c r="L979" i="4"/>
  <c r="K979" i="4"/>
  <c r="I979" i="4"/>
  <c r="L978" i="4"/>
  <c r="K978" i="4"/>
  <c r="I978" i="4"/>
  <c r="L977" i="4"/>
  <c r="K977" i="4"/>
  <c r="I977" i="4"/>
  <c r="L976" i="4"/>
  <c r="K976" i="4"/>
  <c r="I976" i="4"/>
  <c r="L975" i="4"/>
  <c r="K975" i="4"/>
  <c r="I975" i="4"/>
  <c r="L974" i="4"/>
  <c r="K974" i="4"/>
  <c r="I974" i="4"/>
  <c r="L973" i="4"/>
  <c r="K973" i="4"/>
  <c r="I973" i="4"/>
  <c r="L972" i="4"/>
  <c r="K972" i="4"/>
  <c r="I972" i="4"/>
  <c r="L971" i="4"/>
  <c r="K971" i="4"/>
  <c r="I971" i="4"/>
  <c r="L970" i="4"/>
  <c r="K970" i="4"/>
  <c r="I970" i="4"/>
  <c r="L969" i="4"/>
  <c r="K969" i="4"/>
  <c r="I969" i="4"/>
  <c r="L968" i="4"/>
  <c r="K968" i="4"/>
  <c r="I968" i="4"/>
  <c r="L967" i="4"/>
  <c r="K967" i="4"/>
  <c r="I967" i="4"/>
  <c r="L966" i="4"/>
  <c r="K966" i="4"/>
  <c r="I966" i="4"/>
  <c r="L965" i="4"/>
  <c r="K965" i="4"/>
  <c r="I965" i="4"/>
  <c r="L964" i="4"/>
  <c r="K964" i="4"/>
  <c r="I964" i="4"/>
  <c r="L963" i="4"/>
  <c r="K963" i="4"/>
  <c r="I963" i="4"/>
  <c r="L962" i="4"/>
  <c r="K962" i="4"/>
  <c r="I962" i="4"/>
  <c r="L961" i="4"/>
  <c r="K961" i="4"/>
  <c r="I961" i="4"/>
  <c r="L960" i="4"/>
  <c r="K960" i="4"/>
  <c r="I960" i="4"/>
  <c r="L959" i="4"/>
  <c r="K959" i="4"/>
  <c r="I959" i="4"/>
  <c r="L958" i="4"/>
  <c r="K958" i="4"/>
  <c r="I958" i="4"/>
  <c r="L957" i="4"/>
  <c r="K957" i="4"/>
  <c r="I957" i="4"/>
  <c r="L956" i="4"/>
  <c r="K956" i="4"/>
  <c r="I956" i="4"/>
  <c r="L955" i="4"/>
  <c r="K955" i="4"/>
  <c r="I955" i="4"/>
  <c r="L954" i="4"/>
  <c r="K954" i="4"/>
  <c r="I954" i="4"/>
  <c r="L953" i="4"/>
  <c r="K953" i="4"/>
  <c r="I953" i="4"/>
  <c r="L952" i="4"/>
  <c r="K952" i="4"/>
  <c r="I952" i="4"/>
  <c r="L951" i="4"/>
  <c r="K951" i="4"/>
  <c r="I951" i="4"/>
  <c r="L950" i="4"/>
  <c r="K950" i="4"/>
  <c r="I950" i="4"/>
  <c r="L949" i="4"/>
  <c r="K949" i="4"/>
  <c r="I949" i="4"/>
  <c r="L948" i="4"/>
  <c r="K948" i="4"/>
  <c r="I948" i="4"/>
  <c r="L947" i="4"/>
  <c r="K947" i="4"/>
  <c r="I947" i="4"/>
  <c r="L946" i="4"/>
  <c r="K946" i="4"/>
  <c r="I946" i="4"/>
  <c r="L945" i="4"/>
  <c r="K945" i="4"/>
  <c r="I945" i="4"/>
  <c r="L944" i="4"/>
  <c r="K944" i="4"/>
  <c r="I944" i="4"/>
  <c r="L943" i="4"/>
  <c r="K943" i="4"/>
  <c r="I943" i="4"/>
  <c r="L942" i="4"/>
  <c r="K942" i="4"/>
  <c r="I942" i="4"/>
  <c r="L941" i="4"/>
  <c r="K941" i="4"/>
  <c r="I941" i="4"/>
  <c r="L940" i="4"/>
  <c r="K940" i="4"/>
  <c r="I940" i="4"/>
  <c r="L939" i="4"/>
  <c r="K939" i="4"/>
  <c r="I939" i="4"/>
  <c r="L938" i="4"/>
  <c r="K938" i="4"/>
  <c r="I938" i="4"/>
  <c r="L937" i="4"/>
  <c r="K937" i="4"/>
  <c r="I937" i="4"/>
  <c r="L936" i="4"/>
  <c r="K936" i="4"/>
  <c r="I936" i="4"/>
  <c r="L935" i="4"/>
  <c r="K935" i="4"/>
  <c r="I935" i="4"/>
  <c r="L934" i="4"/>
  <c r="K934" i="4"/>
  <c r="I934" i="4"/>
  <c r="L933" i="4"/>
  <c r="K933" i="4"/>
  <c r="I933" i="4"/>
  <c r="L932" i="4"/>
  <c r="K932" i="4"/>
  <c r="I932" i="4"/>
  <c r="L931" i="4"/>
  <c r="K931" i="4"/>
  <c r="I931" i="4"/>
  <c r="L930" i="4"/>
  <c r="K930" i="4"/>
  <c r="I930" i="4"/>
  <c r="L929" i="4"/>
  <c r="K929" i="4"/>
  <c r="I929" i="4"/>
  <c r="L928" i="4"/>
  <c r="K928" i="4"/>
  <c r="I928" i="4"/>
  <c r="L927" i="4"/>
  <c r="K927" i="4"/>
  <c r="I927" i="4"/>
  <c r="L926" i="4"/>
  <c r="K926" i="4"/>
  <c r="I926" i="4"/>
  <c r="L925" i="4"/>
  <c r="K925" i="4"/>
  <c r="I925" i="4"/>
  <c r="L924" i="4"/>
  <c r="K924" i="4"/>
  <c r="I924" i="4"/>
  <c r="L923" i="4"/>
  <c r="K923" i="4"/>
  <c r="I923" i="4"/>
  <c r="L922" i="4"/>
  <c r="K922" i="4"/>
  <c r="I922" i="4"/>
  <c r="L921" i="4"/>
  <c r="K921" i="4"/>
  <c r="I921" i="4"/>
  <c r="L920" i="4"/>
  <c r="K920" i="4"/>
  <c r="I920" i="4"/>
  <c r="L919" i="4"/>
  <c r="K919" i="4"/>
  <c r="I919" i="4"/>
  <c r="L918" i="4"/>
  <c r="K918" i="4"/>
  <c r="I918" i="4"/>
  <c r="L917" i="4"/>
  <c r="K917" i="4"/>
  <c r="I917" i="4"/>
  <c r="L916" i="4"/>
  <c r="K916" i="4"/>
  <c r="I916" i="4"/>
  <c r="L915" i="4"/>
  <c r="K915" i="4"/>
  <c r="I915" i="4"/>
  <c r="L914" i="4"/>
  <c r="K914" i="4"/>
  <c r="I914" i="4"/>
  <c r="L913" i="4"/>
  <c r="K913" i="4"/>
  <c r="I913" i="4"/>
  <c r="L912" i="4"/>
  <c r="K912" i="4"/>
  <c r="I912" i="4"/>
  <c r="L911" i="4"/>
  <c r="K911" i="4"/>
  <c r="I911" i="4"/>
  <c r="L910" i="4"/>
  <c r="K910" i="4"/>
  <c r="I910" i="4"/>
  <c r="L909" i="4"/>
  <c r="K909" i="4"/>
  <c r="I909" i="4"/>
  <c r="L908" i="4"/>
  <c r="K908" i="4"/>
  <c r="I908" i="4"/>
  <c r="L907" i="4"/>
  <c r="K907" i="4"/>
  <c r="I907" i="4"/>
  <c r="L906" i="4"/>
  <c r="K906" i="4"/>
  <c r="I906" i="4"/>
  <c r="L905" i="4"/>
  <c r="K905" i="4"/>
  <c r="I905" i="4"/>
  <c r="L904" i="4"/>
  <c r="K904" i="4"/>
  <c r="I904" i="4"/>
  <c r="L903" i="4"/>
  <c r="K903" i="4"/>
  <c r="I903" i="4"/>
  <c r="L902" i="4"/>
  <c r="K902" i="4"/>
  <c r="I902" i="4"/>
  <c r="L901" i="4"/>
  <c r="K901" i="4"/>
  <c r="I901" i="4"/>
  <c r="L900" i="4"/>
  <c r="K900" i="4"/>
  <c r="I900" i="4"/>
  <c r="L899" i="4"/>
  <c r="K899" i="4"/>
  <c r="I899" i="4"/>
  <c r="L898" i="4"/>
  <c r="K898" i="4"/>
  <c r="I898" i="4"/>
  <c r="L897" i="4"/>
  <c r="K897" i="4"/>
  <c r="I897" i="4"/>
  <c r="L896" i="4"/>
  <c r="K896" i="4"/>
  <c r="I896" i="4"/>
  <c r="L895" i="4"/>
  <c r="K895" i="4"/>
  <c r="I895" i="4"/>
  <c r="L894" i="4"/>
  <c r="K894" i="4"/>
  <c r="I894" i="4"/>
  <c r="L893" i="4"/>
  <c r="K893" i="4"/>
  <c r="I893" i="4"/>
  <c r="L892" i="4"/>
  <c r="K892" i="4"/>
  <c r="I892" i="4"/>
  <c r="L891" i="4"/>
  <c r="K891" i="4"/>
  <c r="I891" i="4"/>
  <c r="L890" i="4"/>
  <c r="K890" i="4"/>
  <c r="I890" i="4"/>
  <c r="L889" i="4"/>
  <c r="K889" i="4"/>
  <c r="I889" i="4"/>
  <c r="L888" i="4"/>
  <c r="K888" i="4"/>
  <c r="I888" i="4"/>
  <c r="L887" i="4"/>
  <c r="K887" i="4"/>
  <c r="I887" i="4"/>
  <c r="L886" i="4"/>
  <c r="K886" i="4"/>
  <c r="I886" i="4"/>
  <c r="L885" i="4"/>
  <c r="K885" i="4"/>
  <c r="I885" i="4"/>
  <c r="L884" i="4"/>
  <c r="K884" i="4"/>
  <c r="I884" i="4"/>
  <c r="L883" i="4"/>
  <c r="K883" i="4"/>
  <c r="I883" i="4"/>
  <c r="L882" i="4"/>
  <c r="K882" i="4"/>
  <c r="I882" i="4"/>
  <c r="L881" i="4"/>
  <c r="K881" i="4"/>
  <c r="I881" i="4"/>
  <c r="L880" i="4"/>
  <c r="K880" i="4"/>
  <c r="I880" i="4"/>
  <c r="L879" i="4"/>
  <c r="K879" i="4"/>
  <c r="I879" i="4"/>
  <c r="L878" i="4"/>
  <c r="K878" i="4"/>
  <c r="I878" i="4"/>
  <c r="L877" i="4"/>
  <c r="K877" i="4"/>
  <c r="I877" i="4"/>
  <c r="L876" i="4"/>
  <c r="K876" i="4"/>
  <c r="I876" i="4"/>
  <c r="L875" i="4"/>
  <c r="K875" i="4"/>
  <c r="I875" i="4"/>
  <c r="L874" i="4"/>
  <c r="K874" i="4"/>
  <c r="I874" i="4"/>
  <c r="L873" i="4"/>
  <c r="K873" i="4"/>
  <c r="I873" i="4"/>
  <c r="L872" i="4"/>
  <c r="K872" i="4"/>
  <c r="I872" i="4"/>
  <c r="L871" i="4"/>
  <c r="K871" i="4"/>
  <c r="I871" i="4"/>
  <c r="L870" i="4"/>
  <c r="K870" i="4"/>
  <c r="I870" i="4"/>
  <c r="L869" i="4"/>
  <c r="K869" i="4"/>
  <c r="I869" i="4"/>
  <c r="L868" i="4"/>
  <c r="K868" i="4"/>
  <c r="I868" i="4"/>
  <c r="L867" i="4"/>
  <c r="K867" i="4"/>
  <c r="I867" i="4"/>
  <c r="L866" i="4"/>
  <c r="K866" i="4"/>
  <c r="I866" i="4"/>
  <c r="L865" i="4"/>
  <c r="K865" i="4"/>
  <c r="I865" i="4"/>
  <c r="L864" i="4"/>
  <c r="K864" i="4"/>
  <c r="I864" i="4"/>
  <c r="L863" i="4"/>
  <c r="K863" i="4"/>
  <c r="I863" i="4"/>
  <c r="L862" i="4"/>
  <c r="K862" i="4"/>
  <c r="I862" i="4"/>
  <c r="L861" i="4"/>
  <c r="K861" i="4"/>
  <c r="I861" i="4"/>
  <c r="L860" i="4"/>
  <c r="K860" i="4"/>
  <c r="I860" i="4"/>
  <c r="L859" i="4"/>
  <c r="K859" i="4"/>
  <c r="I859" i="4"/>
  <c r="L858" i="4"/>
  <c r="K858" i="4"/>
  <c r="I858" i="4"/>
  <c r="L857" i="4"/>
  <c r="K857" i="4"/>
  <c r="I857" i="4"/>
  <c r="L856" i="4"/>
  <c r="K856" i="4"/>
  <c r="I856" i="4"/>
  <c r="L855" i="4"/>
  <c r="K855" i="4"/>
  <c r="I855" i="4"/>
  <c r="L854" i="4"/>
  <c r="K854" i="4"/>
  <c r="I854" i="4"/>
  <c r="L853" i="4"/>
  <c r="K853" i="4"/>
  <c r="I853" i="4"/>
  <c r="L852" i="4"/>
  <c r="K852" i="4"/>
  <c r="I852" i="4"/>
  <c r="L851" i="4"/>
  <c r="K851" i="4"/>
  <c r="I851" i="4"/>
  <c r="L850" i="4"/>
  <c r="K850" i="4"/>
  <c r="I850" i="4"/>
  <c r="L849" i="4"/>
  <c r="K849" i="4"/>
  <c r="I849" i="4"/>
  <c r="L848" i="4"/>
  <c r="K848" i="4"/>
  <c r="I848" i="4"/>
  <c r="L847" i="4"/>
  <c r="K847" i="4"/>
  <c r="I847" i="4"/>
  <c r="L846" i="4"/>
  <c r="K846" i="4"/>
  <c r="I846" i="4"/>
  <c r="L845" i="4"/>
  <c r="K845" i="4"/>
  <c r="I845" i="4"/>
  <c r="L844" i="4"/>
  <c r="K844" i="4"/>
  <c r="I844" i="4"/>
  <c r="L843" i="4"/>
  <c r="K843" i="4"/>
  <c r="I843" i="4"/>
  <c r="L842" i="4"/>
  <c r="K842" i="4"/>
  <c r="I842" i="4"/>
  <c r="L841" i="4"/>
  <c r="K841" i="4"/>
  <c r="I841" i="4"/>
  <c r="L840" i="4"/>
  <c r="K840" i="4"/>
  <c r="I840" i="4"/>
  <c r="L839" i="4"/>
  <c r="K839" i="4"/>
  <c r="I839" i="4"/>
  <c r="L838" i="4"/>
  <c r="K838" i="4"/>
  <c r="I838" i="4"/>
  <c r="L837" i="4"/>
  <c r="K837" i="4"/>
  <c r="I837" i="4"/>
  <c r="L836" i="4"/>
  <c r="K836" i="4"/>
  <c r="I836" i="4"/>
  <c r="L835" i="4"/>
  <c r="K835" i="4"/>
  <c r="I835" i="4"/>
  <c r="L834" i="4"/>
  <c r="K834" i="4"/>
  <c r="I834" i="4"/>
  <c r="L833" i="4"/>
  <c r="K833" i="4"/>
  <c r="I833" i="4"/>
  <c r="L832" i="4"/>
  <c r="K832" i="4"/>
  <c r="I832" i="4"/>
  <c r="L831" i="4"/>
  <c r="K831" i="4"/>
  <c r="I831" i="4"/>
  <c r="L830" i="4"/>
  <c r="K830" i="4"/>
  <c r="I830" i="4"/>
  <c r="L829" i="4"/>
  <c r="K829" i="4"/>
  <c r="I829" i="4"/>
  <c r="L828" i="4"/>
  <c r="K828" i="4"/>
  <c r="I828" i="4"/>
  <c r="L827" i="4"/>
  <c r="K827" i="4"/>
  <c r="I827" i="4"/>
  <c r="L826" i="4"/>
  <c r="K826" i="4"/>
  <c r="I826" i="4"/>
  <c r="L825" i="4"/>
  <c r="K825" i="4"/>
  <c r="I825" i="4"/>
  <c r="L824" i="4"/>
  <c r="K824" i="4"/>
  <c r="I824" i="4"/>
  <c r="L823" i="4"/>
  <c r="K823" i="4"/>
  <c r="I823" i="4"/>
  <c r="L822" i="4"/>
  <c r="K822" i="4"/>
  <c r="I822" i="4"/>
  <c r="L821" i="4"/>
  <c r="K821" i="4"/>
  <c r="I821" i="4"/>
  <c r="L820" i="4"/>
  <c r="K820" i="4"/>
  <c r="I820" i="4"/>
  <c r="L819" i="4"/>
  <c r="K819" i="4"/>
  <c r="I819" i="4"/>
  <c r="L818" i="4"/>
  <c r="K818" i="4"/>
  <c r="I818" i="4"/>
  <c r="L817" i="4"/>
  <c r="K817" i="4"/>
  <c r="I817" i="4"/>
  <c r="L816" i="4"/>
  <c r="K816" i="4"/>
  <c r="I816" i="4"/>
  <c r="L815" i="4"/>
  <c r="K815" i="4"/>
  <c r="I815" i="4"/>
  <c r="L814" i="4"/>
  <c r="K814" i="4"/>
  <c r="I814" i="4"/>
  <c r="L813" i="4"/>
  <c r="K813" i="4"/>
  <c r="I813" i="4"/>
  <c r="L812" i="4"/>
  <c r="K812" i="4"/>
  <c r="I812" i="4"/>
  <c r="L811" i="4"/>
  <c r="K811" i="4"/>
  <c r="I811" i="4"/>
  <c r="L810" i="4"/>
  <c r="K810" i="4"/>
  <c r="I810" i="4"/>
  <c r="L809" i="4"/>
  <c r="K809" i="4"/>
  <c r="I809" i="4"/>
  <c r="L808" i="4"/>
  <c r="K808" i="4"/>
  <c r="I808" i="4"/>
  <c r="L807" i="4"/>
  <c r="K807" i="4"/>
  <c r="I807" i="4"/>
  <c r="L806" i="4"/>
  <c r="K806" i="4"/>
  <c r="I806" i="4"/>
  <c r="L805" i="4"/>
  <c r="K805" i="4"/>
  <c r="I805" i="4"/>
  <c r="L804" i="4"/>
  <c r="K804" i="4"/>
  <c r="I804" i="4"/>
  <c r="L803" i="4"/>
  <c r="K803" i="4"/>
  <c r="I803" i="4"/>
  <c r="L802" i="4"/>
  <c r="K802" i="4"/>
  <c r="I802" i="4"/>
  <c r="L801" i="4"/>
  <c r="K801" i="4"/>
  <c r="I801" i="4"/>
  <c r="L800" i="4"/>
  <c r="K800" i="4"/>
  <c r="I800" i="4"/>
  <c r="L799" i="4"/>
  <c r="K799" i="4"/>
  <c r="I799" i="4"/>
  <c r="L798" i="4"/>
  <c r="K798" i="4"/>
  <c r="I798" i="4"/>
  <c r="L797" i="4"/>
  <c r="K797" i="4"/>
  <c r="I797" i="4"/>
  <c r="L796" i="4"/>
  <c r="K796" i="4"/>
  <c r="I796" i="4"/>
  <c r="L795" i="4"/>
  <c r="K795" i="4"/>
  <c r="I795" i="4"/>
  <c r="L794" i="4"/>
  <c r="K794" i="4"/>
  <c r="I794" i="4"/>
  <c r="L793" i="4"/>
  <c r="K793" i="4"/>
  <c r="I793" i="4"/>
  <c r="L792" i="4"/>
  <c r="K792" i="4"/>
  <c r="I792" i="4"/>
  <c r="L791" i="4"/>
  <c r="K791" i="4"/>
  <c r="I791" i="4"/>
  <c r="L790" i="4"/>
  <c r="K790" i="4"/>
  <c r="I790" i="4"/>
  <c r="L789" i="4"/>
  <c r="K789" i="4"/>
  <c r="I789" i="4"/>
  <c r="L788" i="4"/>
  <c r="K788" i="4"/>
  <c r="I788" i="4"/>
  <c r="L787" i="4"/>
  <c r="K787" i="4"/>
  <c r="I787" i="4"/>
  <c r="L786" i="4"/>
  <c r="K786" i="4"/>
  <c r="I786" i="4"/>
  <c r="L785" i="4"/>
  <c r="K785" i="4"/>
  <c r="I785" i="4"/>
  <c r="L784" i="4"/>
  <c r="K784" i="4"/>
  <c r="I784" i="4"/>
  <c r="L783" i="4"/>
  <c r="K783" i="4"/>
  <c r="I783" i="4"/>
  <c r="L782" i="4"/>
  <c r="K782" i="4"/>
  <c r="I782" i="4"/>
  <c r="L781" i="4"/>
  <c r="K781" i="4"/>
  <c r="I781" i="4"/>
  <c r="L780" i="4"/>
  <c r="K780" i="4"/>
  <c r="I780" i="4"/>
  <c r="L779" i="4"/>
  <c r="K779" i="4"/>
  <c r="I779" i="4"/>
  <c r="L778" i="4"/>
  <c r="K778" i="4"/>
  <c r="I778" i="4"/>
  <c r="L777" i="4"/>
  <c r="K777" i="4"/>
  <c r="I777" i="4"/>
  <c r="L776" i="4"/>
  <c r="K776" i="4"/>
  <c r="I776" i="4"/>
  <c r="L775" i="4"/>
  <c r="K775" i="4"/>
  <c r="I775" i="4"/>
  <c r="L774" i="4"/>
  <c r="K774" i="4"/>
  <c r="I774" i="4"/>
  <c r="L773" i="4"/>
  <c r="K773" i="4"/>
  <c r="I773" i="4"/>
  <c r="L772" i="4"/>
  <c r="K772" i="4"/>
  <c r="I772" i="4"/>
  <c r="L771" i="4"/>
  <c r="K771" i="4"/>
  <c r="I771" i="4"/>
  <c r="L770" i="4"/>
  <c r="K770" i="4"/>
  <c r="I770" i="4"/>
  <c r="L769" i="4"/>
  <c r="K769" i="4"/>
  <c r="I769" i="4"/>
  <c r="L768" i="4"/>
  <c r="K768" i="4"/>
  <c r="I768" i="4"/>
  <c r="L767" i="4"/>
  <c r="K767" i="4"/>
  <c r="I767" i="4"/>
  <c r="L766" i="4"/>
  <c r="K766" i="4"/>
  <c r="I766" i="4"/>
  <c r="L765" i="4"/>
  <c r="K765" i="4"/>
  <c r="I765" i="4"/>
  <c r="L764" i="4"/>
  <c r="K764" i="4"/>
  <c r="I764" i="4"/>
  <c r="L763" i="4"/>
  <c r="K763" i="4"/>
  <c r="I763" i="4"/>
  <c r="L762" i="4"/>
  <c r="K762" i="4"/>
  <c r="I762" i="4"/>
  <c r="L761" i="4"/>
  <c r="K761" i="4"/>
  <c r="I761" i="4"/>
  <c r="L760" i="4"/>
  <c r="K760" i="4"/>
  <c r="I760" i="4"/>
  <c r="L759" i="4"/>
  <c r="K759" i="4"/>
  <c r="I759" i="4"/>
  <c r="L758" i="4"/>
  <c r="K758" i="4"/>
  <c r="I758" i="4"/>
  <c r="L757" i="4"/>
  <c r="K757" i="4"/>
  <c r="I757" i="4"/>
  <c r="L756" i="4"/>
  <c r="K756" i="4"/>
  <c r="I756" i="4"/>
  <c r="L755" i="4"/>
  <c r="K755" i="4"/>
  <c r="I755" i="4"/>
  <c r="L754" i="4"/>
  <c r="K754" i="4"/>
  <c r="I754" i="4"/>
  <c r="L753" i="4"/>
  <c r="K753" i="4"/>
  <c r="I753" i="4"/>
  <c r="L752" i="4"/>
  <c r="K752" i="4"/>
  <c r="I752" i="4"/>
  <c r="L751" i="4"/>
  <c r="K751" i="4"/>
  <c r="I751" i="4"/>
  <c r="L750" i="4"/>
  <c r="K750" i="4"/>
  <c r="I750" i="4"/>
  <c r="L749" i="4"/>
  <c r="K749" i="4"/>
  <c r="I749" i="4"/>
  <c r="L748" i="4"/>
  <c r="K748" i="4"/>
  <c r="I748" i="4"/>
  <c r="L747" i="4"/>
  <c r="K747" i="4"/>
  <c r="I747" i="4"/>
  <c r="L746" i="4"/>
  <c r="K746" i="4"/>
  <c r="I746" i="4"/>
  <c r="L745" i="4"/>
  <c r="K745" i="4"/>
  <c r="I745" i="4"/>
  <c r="L744" i="4"/>
  <c r="K744" i="4"/>
  <c r="I744" i="4"/>
  <c r="L743" i="4"/>
  <c r="K743" i="4"/>
  <c r="I743" i="4"/>
  <c r="L742" i="4"/>
  <c r="K742" i="4"/>
  <c r="I742" i="4"/>
  <c r="L741" i="4"/>
  <c r="K741" i="4"/>
  <c r="I741" i="4"/>
  <c r="L740" i="4"/>
  <c r="K740" i="4"/>
  <c r="I740" i="4"/>
  <c r="L739" i="4"/>
  <c r="K739" i="4"/>
  <c r="I739" i="4"/>
  <c r="L738" i="4"/>
  <c r="K738" i="4"/>
  <c r="I738" i="4"/>
  <c r="L737" i="4"/>
  <c r="K737" i="4"/>
  <c r="I737" i="4"/>
  <c r="L736" i="4"/>
  <c r="K736" i="4"/>
  <c r="I736" i="4"/>
  <c r="L735" i="4"/>
  <c r="K735" i="4"/>
  <c r="I735" i="4"/>
  <c r="L734" i="4"/>
  <c r="K734" i="4"/>
  <c r="I734" i="4"/>
  <c r="L733" i="4"/>
  <c r="K733" i="4"/>
  <c r="I733" i="4"/>
  <c r="L732" i="4"/>
  <c r="K732" i="4"/>
  <c r="I732" i="4"/>
  <c r="L731" i="4"/>
  <c r="K731" i="4"/>
  <c r="I731" i="4"/>
  <c r="L730" i="4"/>
  <c r="K730" i="4"/>
  <c r="I730" i="4"/>
  <c r="L729" i="4"/>
  <c r="K729" i="4"/>
  <c r="I729" i="4"/>
  <c r="L728" i="4"/>
  <c r="K728" i="4"/>
  <c r="I728" i="4"/>
  <c r="L727" i="4"/>
  <c r="K727" i="4"/>
  <c r="I727" i="4"/>
  <c r="L726" i="4"/>
  <c r="K726" i="4"/>
  <c r="I726" i="4"/>
  <c r="L725" i="4"/>
  <c r="K725" i="4"/>
  <c r="I725" i="4"/>
  <c r="L724" i="4"/>
  <c r="K724" i="4"/>
  <c r="I724" i="4"/>
  <c r="L723" i="4"/>
  <c r="K723" i="4"/>
  <c r="I723" i="4"/>
  <c r="L722" i="4"/>
  <c r="K722" i="4"/>
  <c r="I722" i="4"/>
  <c r="L721" i="4"/>
  <c r="K721" i="4"/>
  <c r="I721" i="4"/>
  <c r="L720" i="4"/>
  <c r="K720" i="4"/>
  <c r="I720" i="4"/>
  <c r="L719" i="4"/>
  <c r="K719" i="4"/>
  <c r="I719" i="4"/>
  <c r="L718" i="4"/>
  <c r="K718" i="4"/>
  <c r="I718" i="4"/>
  <c r="L717" i="4"/>
  <c r="K717" i="4"/>
  <c r="I717" i="4"/>
  <c r="L716" i="4"/>
  <c r="K716" i="4"/>
  <c r="I716" i="4"/>
  <c r="L715" i="4"/>
  <c r="K715" i="4"/>
  <c r="I715" i="4"/>
  <c r="L714" i="4"/>
  <c r="K714" i="4"/>
  <c r="I714" i="4"/>
  <c r="L713" i="4"/>
  <c r="K713" i="4"/>
  <c r="I713" i="4"/>
  <c r="L712" i="4"/>
  <c r="K712" i="4"/>
  <c r="I712" i="4"/>
  <c r="L711" i="4"/>
  <c r="K711" i="4"/>
  <c r="I711" i="4"/>
  <c r="L710" i="4"/>
  <c r="K710" i="4"/>
  <c r="I710" i="4"/>
  <c r="L709" i="4"/>
  <c r="K709" i="4"/>
  <c r="I709" i="4"/>
  <c r="L708" i="4"/>
  <c r="K708" i="4"/>
  <c r="I708" i="4"/>
  <c r="L707" i="4"/>
  <c r="K707" i="4"/>
  <c r="I707" i="4"/>
  <c r="L706" i="4"/>
  <c r="K706" i="4"/>
  <c r="I706" i="4"/>
  <c r="L705" i="4"/>
  <c r="K705" i="4"/>
  <c r="I705" i="4"/>
  <c r="L704" i="4"/>
  <c r="K704" i="4"/>
  <c r="I704" i="4"/>
  <c r="L703" i="4"/>
  <c r="K703" i="4"/>
  <c r="I703" i="4"/>
  <c r="L702" i="4"/>
  <c r="K702" i="4"/>
  <c r="I702" i="4"/>
  <c r="L701" i="4"/>
  <c r="K701" i="4"/>
  <c r="I701" i="4"/>
  <c r="L700" i="4"/>
  <c r="K700" i="4"/>
  <c r="I700" i="4"/>
  <c r="L699" i="4"/>
  <c r="K699" i="4"/>
  <c r="I699" i="4"/>
  <c r="L698" i="4"/>
  <c r="K698" i="4"/>
  <c r="I698" i="4"/>
  <c r="L697" i="4"/>
  <c r="K697" i="4"/>
  <c r="I697" i="4"/>
  <c r="L696" i="4"/>
  <c r="K696" i="4"/>
  <c r="I696" i="4"/>
  <c r="L695" i="4"/>
  <c r="K695" i="4"/>
  <c r="I695" i="4"/>
  <c r="L694" i="4"/>
  <c r="K694" i="4"/>
  <c r="I694" i="4"/>
  <c r="L693" i="4"/>
  <c r="K693" i="4"/>
  <c r="I693" i="4"/>
  <c r="L692" i="4"/>
  <c r="K692" i="4"/>
  <c r="I692" i="4"/>
  <c r="L691" i="4"/>
  <c r="K691" i="4"/>
  <c r="I691" i="4"/>
  <c r="L690" i="4"/>
  <c r="K690" i="4"/>
  <c r="I690" i="4"/>
  <c r="L689" i="4"/>
  <c r="K689" i="4"/>
  <c r="I689" i="4"/>
  <c r="L688" i="4"/>
  <c r="K688" i="4"/>
  <c r="I688" i="4"/>
  <c r="L687" i="4"/>
  <c r="K687" i="4"/>
  <c r="I687" i="4"/>
  <c r="L686" i="4"/>
  <c r="K686" i="4"/>
  <c r="I686" i="4"/>
  <c r="L685" i="4"/>
  <c r="K685" i="4"/>
  <c r="I685" i="4"/>
  <c r="L684" i="4"/>
  <c r="K684" i="4"/>
  <c r="I684" i="4"/>
  <c r="L683" i="4"/>
  <c r="K683" i="4"/>
  <c r="I683" i="4"/>
  <c r="L682" i="4"/>
  <c r="K682" i="4"/>
  <c r="I682" i="4"/>
  <c r="L681" i="4"/>
  <c r="K681" i="4"/>
  <c r="I681" i="4"/>
  <c r="L680" i="4"/>
  <c r="K680" i="4"/>
  <c r="I680" i="4"/>
  <c r="L679" i="4"/>
  <c r="K679" i="4"/>
  <c r="I679" i="4"/>
  <c r="L678" i="4"/>
  <c r="K678" i="4"/>
  <c r="I678" i="4"/>
  <c r="L677" i="4"/>
  <c r="K677" i="4"/>
  <c r="I677" i="4"/>
  <c r="L676" i="4"/>
  <c r="K676" i="4"/>
  <c r="I676" i="4"/>
  <c r="L675" i="4"/>
  <c r="K675" i="4"/>
  <c r="I675" i="4"/>
  <c r="L674" i="4"/>
  <c r="K674" i="4"/>
  <c r="I674" i="4"/>
  <c r="L673" i="4"/>
  <c r="K673" i="4"/>
  <c r="I673" i="4"/>
  <c r="L672" i="4"/>
  <c r="K672" i="4"/>
  <c r="I672" i="4"/>
  <c r="L671" i="4"/>
  <c r="K671" i="4"/>
  <c r="I671" i="4"/>
  <c r="L670" i="4"/>
  <c r="K670" i="4"/>
  <c r="I670" i="4"/>
  <c r="L669" i="4"/>
  <c r="K669" i="4"/>
  <c r="I669" i="4"/>
  <c r="L668" i="4"/>
  <c r="K668" i="4"/>
  <c r="I668" i="4"/>
  <c r="L667" i="4"/>
  <c r="K667" i="4"/>
  <c r="I667" i="4"/>
  <c r="L666" i="4"/>
  <c r="K666" i="4"/>
  <c r="I666" i="4"/>
  <c r="L665" i="4"/>
  <c r="K665" i="4"/>
  <c r="I665" i="4"/>
  <c r="L664" i="4"/>
  <c r="K664" i="4"/>
  <c r="I664" i="4"/>
  <c r="L663" i="4"/>
  <c r="K663" i="4"/>
  <c r="I663" i="4"/>
  <c r="L662" i="4"/>
  <c r="K662" i="4"/>
  <c r="I662" i="4"/>
  <c r="L661" i="4"/>
  <c r="K661" i="4"/>
  <c r="I661" i="4"/>
  <c r="L660" i="4"/>
  <c r="K660" i="4"/>
  <c r="I660" i="4"/>
  <c r="L659" i="4"/>
  <c r="K659" i="4"/>
  <c r="I659" i="4"/>
  <c r="L658" i="4"/>
  <c r="K658" i="4"/>
  <c r="I658" i="4"/>
  <c r="L657" i="4"/>
  <c r="K657" i="4"/>
  <c r="I657" i="4"/>
  <c r="L656" i="4"/>
  <c r="K656" i="4"/>
  <c r="I656" i="4"/>
  <c r="L655" i="4"/>
  <c r="K655" i="4"/>
  <c r="I655" i="4"/>
  <c r="L654" i="4"/>
  <c r="K654" i="4"/>
  <c r="I654" i="4"/>
  <c r="L653" i="4"/>
  <c r="K653" i="4"/>
  <c r="I653" i="4"/>
  <c r="L652" i="4"/>
  <c r="K652" i="4"/>
  <c r="I652" i="4"/>
  <c r="L651" i="4"/>
  <c r="K651" i="4"/>
  <c r="I651" i="4"/>
  <c r="L650" i="4"/>
  <c r="K650" i="4"/>
  <c r="I650" i="4"/>
  <c r="L649" i="4"/>
  <c r="K649" i="4"/>
  <c r="I649" i="4"/>
  <c r="L648" i="4"/>
  <c r="K648" i="4"/>
  <c r="I648" i="4"/>
  <c r="L647" i="4"/>
  <c r="K647" i="4"/>
  <c r="I647" i="4"/>
  <c r="L646" i="4"/>
  <c r="K646" i="4"/>
  <c r="I646" i="4"/>
  <c r="L645" i="4"/>
  <c r="K645" i="4"/>
  <c r="I645" i="4"/>
  <c r="L644" i="4"/>
  <c r="K644" i="4"/>
  <c r="I644" i="4"/>
  <c r="L643" i="4"/>
  <c r="K643" i="4"/>
  <c r="I643" i="4"/>
  <c r="L642" i="4"/>
  <c r="K642" i="4"/>
  <c r="I642" i="4"/>
  <c r="L641" i="4"/>
  <c r="K641" i="4"/>
  <c r="I641" i="4"/>
  <c r="L640" i="4"/>
  <c r="K640" i="4"/>
  <c r="I640" i="4"/>
  <c r="L639" i="4"/>
  <c r="K639" i="4"/>
  <c r="I639" i="4"/>
  <c r="L638" i="4"/>
  <c r="K638" i="4"/>
  <c r="I638" i="4"/>
  <c r="L637" i="4"/>
  <c r="K637" i="4"/>
  <c r="I637" i="4"/>
  <c r="L636" i="4"/>
  <c r="K636" i="4"/>
  <c r="I636" i="4"/>
  <c r="L635" i="4"/>
  <c r="K635" i="4"/>
  <c r="I635" i="4"/>
  <c r="L634" i="4"/>
  <c r="K634" i="4"/>
  <c r="I634" i="4"/>
  <c r="L633" i="4"/>
  <c r="K633" i="4"/>
  <c r="I633" i="4"/>
  <c r="L632" i="4"/>
  <c r="K632" i="4"/>
  <c r="I632" i="4"/>
  <c r="L631" i="4"/>
  <c r="K631" i="4"/>
  <c r="I631" i="4"/>
  <c r="L630" i="4"/>
  <c r="K630" i="4"/>
  <c r="I630" i="4"/>
  <c r="L629" i="4"/>
  <c r="K629" i="4"/>
  <c r="I629" i="4"/>
  <c r="L628" i="4"/>
  <c r="K628" i="4"/>
  <c r="I628" i="4"/>
  <c r="L627" i="4"/>
  <c r="K627" i="4"/>
  <c r="I627" i="4"/>
  <c r="L626" i="4"/>
  <c r="K626" i="4"/>
  <c r="I626" i="4"/>
  <c r="L625" i="4"/>
  <c r="K625" i="4"/>
  <c r="I625" i="4"/>
  <c r="L624" i="4"/>
  <c r="K624" i="4"/>
  <c r="I624" i="4"/>
  <c r="L623" i="4"/>
  <c r="K623" i="4"/>
  <c r="I623" i="4"/>
  <c r="L622" i="4"/>
  <c r="K622" i="4"/>
  <c r="I622" i="4"/>
  <c r="L621" i="4"/>
  <c r="K621" i="4"/>
  <c r="I621" i="4"/>
  <c r="L620" i="4"/>
  <c r="K620" i="4"/>
  <c r="I620" i="4"/>
  <c r="L619" i="4"/>
  <c r="K619" i="4"/>
  <c r="I619" i="4"/>
  <c r="L618" i="4"/>
  <c r="K618" i="4"/>
  <c r="I618" i="4"/>
  <c r="L617" i="4"/>
  <c r="K617" i="4"/>
  <c r="I617" i="4"/>
  <c r="L616" i="4"/>
  <c r="K616" i="4"/>
  <c r="I616" i="4"/>
  <c r="L615" i="4"/>
  <c r="K615" i="4"/>
  <c r="I615" i="4"/>
  <c r="L614" i="4"/>
  <c r="K614" i="4"/>
  <c r="I614" i="4"/>
  <c r="L613" i="4"/>
  <c r="K613" i="4"/>
  <c r="I613" i="4"/>
  <c r="L612" i="4"/>
  <c r="K612" i="4"/>
  <c r="I612" i="4"/>
  <c r="L611" i="4"/>
  <c r="K611" i="4"/>
  <c r="I611" i="4"/>
  <c r="L610" i="4"/>
  <c r="K610" i="4"/>
  <c r="I610" i="4"/>
  <c r="L609" i="4"/>
  <c r="K609" i="4"/>
  <c r="I609" i="4"/>
  <c r="L608" i="4"/>
  <c r="K608" i="4"/>
  <c r="I608" i="4"/>
  <c r="L607" i="4"/>
  <c r="K607" i="4"/>
  <c r="I607" i="4"/>
  <c r="L606" i="4"/>
  <c r="K606" i="4"/>
  <c r="I606" i="4"/>
  <c r="L605" i="4"/>
  <c r="K605" i="4"/>
  <c r="I605" i="4"/>
  <c r="L604" i="4"/>
  <c r="K604" i="4"/>
  <c r="I604" i="4"/>
  <c r="L603" i="4"/>
  <c r="K603" i="4"/>
  <c r="I603" i="4"/>
  <c r="L602" i="4"/>
  <c r="K602" i="4"/>
  <c r="I602" i="4"/>
  <c r="L601" i="4"/>
  <c r="K601" i="4"/>
  <c r="I601" i="4"/>
  <c r="L600" i="4"/>
  <c r="K600" i="4"/>
  <c r="I600" i="4"/>
  <c r="L599" i="4"/>
  <c r="K599" i="4"/>
  <c r="I599" i="4"/>
  <c r="L598" i="4"/>
  <c r="K598" i="4"/>
  <c r="I598" i="4"/>
  <c r="L597" i="4"/>
  <c r="K597" i="4"/>
  <c r="I597" i="4"/>
  <c r="L596" i="4"/>
  <c r="K596" i="4"/>
  <c r="I596" i="4"/>
  <c r="L595" i="4"/>
  <c r="K595" i="4"/>
  <c r="I595" i="4"/>
  <c r="L594" i="4"/>
  <c r="K594" i="4"/>
  <c r="I594" i="4"/>
  <c r="L593" i="4"/>
  <c r="K593" i="4"/>
  <c r="I593" i="4"/>
  <c r="L592" i="4"/>
  <c r="K592" i="4"/>
  <c r="I592" i="4"/>
  <c r="L591" i="4"/>
  <c r="K591" i="4"/>
  <c r="I591" i="4"/>
  <c r="L590" i="4"/>
  <c r="K590" i="4"/>
  <c r="I590" i="4"/>
  <c r="L589" i="4"/>
  <c r="K589" i="4"/>
  <c r="I589" i="4"/>
  <c r="L588" i="4"/>
  <c r="K588" i="4"/>
  <c r="I588" i="4"/>
  <c r="L587" i="4"/>
  <c r="K587" i="4"/>
  <c r="I587" i="4"/>
  <c r="L586" i="4"/>
  <c r="K586" i="4"/>
  <c r="I586" i="4"/>
  <c r="L585" i="4"/>
  <c r="K585" i="4"/>
  <c r="I585" i="4"/>
  <c r="L584" i="4"/>
  <c r="K584" i="4"/>
  <c r="I584" i="4"/>
  <c r="L583" i="4"/>
  <c r="K583" i="4"/>
  <c r="I583" i="4"/>
  <c r="L582" i="4"/>
  <c r="K582" i="4"/>
  <c r="I582" i="4"/>
  <c r="L581" i="4"/>
  <c r="K581" i="4"/>
  <c r="I581" i="4"/>
  <c r="L580" i="4"/>
  <c r="K580" i="4"/>
  <c r="I580" i="4"/>
  <c r="L579" i="4"/>
  <c r="K579" i="4"/>
  <c r="I579" i="4"/>
  <c r="L578" i="4"/>
  <c r="K578" i="4"/>
  <c r="I578" i="4"/>
  <c r="L577" i="4"/>
  <c r="K577" i="4"/>
  <c r="I577" i="4"/>
  <c r="L576" i="4"/>
  <c r="K576" i="4"/>
  <c r="I576" i="4"/>
  <c r="L575" i="4"/>
  <c r="K575" i="4"/>
  <c r="I575" i="4"/>
  <c r="L574" i="4"/>
  <c r="K574" i="4"/>
  <c r="I574" i="4"/>
  <c r="L573" i="4"/>
  <c r="K573" i="4"/>
  <c r="I573" i="4"/>
  <c r="L572" i="4"/>
  <c r="K572" i="4"/>
  <c r="I572" i="4"/>
  <c r="L571" i="4"/>
  <c r="K571" i="4"/>
  <c r="I571" i="4"/>
  <c r="L570" i="4"/>
  <c r="K570" i="4"/>
  <c r="I570" i="4"/>
  <c r="L569" i="4"/>
  <c r="K569" i="4"/>
  <c r="I569" i="4"/>
  <c r="L568" i="4"/>
  <c r="K568" i="4"/>
  <c r="I568" i="4"/>
  <c r="L567" i="4"/>
  <c r="K567" i="4"/>
  <c r="I567" i="4"/>
  <c r="L566" i="4"/>
  <c r="K566" i="4"/>
  <c r="I566" i="4"/>
  <c r="L565" i="4"/>
  <c r="K565" i="4"/>
  <c r="I565" i="4"/>
  <c r="L564" i="4"/>
  <c r="K564" i="4"/>
  <c r="I564" i="4"/>
  <c r="L563" i="4"/>
  <c r="K563" i="4"/>
  <c r="I563" i="4"/>
  <c r="L562" i="4"/>
  <c r="K562" i="4"/>
  <c r="I562" i="4"/>
  <c r="L561" i="4"/>
  <c r="K561" i="4"/>
  <c r="I561" i="4"/>
  <c r="L560" i="4"/>
  <c r="K560" i="4"/>
  <c r="I560" i="4"/>
  <c r="L559" i="4"/>
  <c r="K559" i="4"/>
  <c r="I559" i="4"/>
  <c r="L558" i="4"/>
  <c r="K558" i="4"/>
  <c r="I558" i="4"/>
  <c r="L557" i="4"/>
  <c r="K557" i="4"/>
  <c r="I557" i="4"/>
  <c r="L556" i="4"/>
  <c r="K556" i="4"/>
  <c r="I556" i="4"/>
  <c r="L555" i="4"/>
  <c r="K555" i="4"/>
  <c r="I555" i="4"/>
  <c r="L554" i="4"/>
  <c r="K554" i="4"/>
  <c r="I554" i="4"/>
  <c r="L553" i="4"/>
  <c r="K553" i="4"/>
  <c r="I553" i="4"/>
  <c r="L552" i="4"/>
  <c r="K552" i="4"/>
  <c r="I552" i="4"/>
  <c r="L551" i="4"/>
  <c r="K551" i="4"/>
  <c r="I551" i="4"/>
  <c r="L550" i="4"/>
  <c r="K550" i="4"/>
  <c r="I550" i="4"/>
  <c r="L549" i="4"/>
  <c r="K549" i="4"/>
  <c r="I549" i="4"/>
  <c r="L548" i="4"/>
  <c r="K548" i="4"/>
  <c r="I548" i="4"/>
  <c r="L547" i="4"/>
  <c r="K547" i="4"/>
  <c r="I547" i="4"/>
  <c r="L546" i="4"/>
  <c r="K546" i="4"/>
  <c r="I546" i="4"/>
  <c r="L545" i="4"/>
  <c r="K545" i="4"/>
  <c r="I545" i="4"/>
  <c r="L544" i="4"/>
  <c r="K544" i="4"/>
  <c r="I544" i="4"/>
  <c r="L543" i="4"/>
  <c r="K543" i="4"/>
  <c r="I543" i="4"/>
  <c r="L542" i="4"/>
  <c r="K542" i="4"/>
  <c r="I542" i="4"/>
  <c r="L541" i="4"/>
  <c r="K541" i="4"/>
  <c r="I541" i="4"/>
  <c r="L540" i="4"/>
  <c r="K540" i="4"/>
  <c r="I540" i="4"/>
  <c r="L539" i="4"/>
  <c r="K539" i="4"/>
  <c r="I539" i="4"/>
  <c r="L538" i="4"/>
  <c r="K538" i="4"/>
  <c r="I538" i="4"/>
  <c r="L537" i="4"/>
  <c r="K537" i="4"/>
  <c r="I537" i="4"/>
  <c r="L536" i="4"/>
  <c r="K536" i="4"/>
  <c r="I536" i="4"/>
  <c r="L535" i="4"/>
  <c r="K535" i="4"/>
  <c r="I535" i="4"/>
  <c r="L534" i="4"/>
  <c r="K534" i="4"/>
  <c r="I534" i="4"/>
  <c r="L533" i="4"/>
  <c r="K533" i="4"/>
  <c r="I533" i="4"/>
  <c r="L532" i="4"/>
  <c r="K532" i="4"/>
  <c r="I532" i="4"/>
  <c r="L531" i="4"/>
  <c r="K531" i="4"/>
  <c r="I531" i="4"/>
  <c r="L530" i="4"/>
  <c r="K530" i="4"/>
  <c r="I530" i="4"/>
  <c r="L529" i="4"/>
  <c r="K529" i="4"/>
  <c r="I529" i="4"/>
  <c r="L528" i="4"/>
  <c r="K528" i="4"/>
  <c r="I528" i="4"/>
  <c r="L527" i="4"/>
  <c r="K527" i="4"/>
  <c r="I527" i="4"/>
  <c r="L526" i="4"/>
  <c r="K526" i="4"/>
  <c r="I526" i="4"/>
  <c r="L525" i="4"/>
  <c r="K525" i="4"/>
  <c r="I525" i="4"/>
  <c r="L524" i="4"/>
  <c r="K524" i="4"/>
  <c r="I524" i="4"/>
  <c r="L523" i="4"/>
  <c r="K523" i="4"/>
  <c r="I523" i="4"/>
  <c r="L522" i="4"/>
  <c r="K522" i="4"/>
  <c r="I522" i="4"/>
  <c r="L521" i="4"/>
  <c r="K521" i="4"/>
  <c r="I521" i="4"/>
  <c r="L520" i="4"/>
  <c r="K520" i="4"/>
  <c r="I520" i="4"/>
  <c r="L519" i="4"/>
  <c r="K519" i="4"/>
  <c r="I519" i="4"/>
  <c r="L518" i="4"/>
  <c r="K518" i="4"/>
  <c r="I518" i="4"/>
  <c r="L517" i="4"/>
  <c r="K517" i="4"/>
  <c r="I517" i="4"/>
  <c r="L516" i="4"/>
  <c r="K516" i="4"/>
  <c r="I516" i="4"/>
  <c r="L515" i="4"/>
  <c r="K515" i="4"/>
  <c r="I515" i="4"/>
  <c r="L514" i="4"/>
  <c r="K514" i="4"/>
  <c r="I514" i="4"/>
  <c r="L513" i="4"/>
  <c r="K513" i="4"/>
  <c r="I513" i="4"/>
  <c r="L512" i="4"/>
  <c r="K512" i="4"/>
  <c r="I512" i="4"/>
  <c r="L511" i="4"/>
  <c r="K511" i="4"/>
  <c r="I511" i="4"/>
  <c r="L510" i="4"/>
  <c r="K510" i="4"/>
  <c r="I510" i="4"/>
  <c r="L509" i="4"/>
  <c r="K509" i="4"/>
  <c r="I509" i="4"/>
  <c r="L508" i="4"/>
  <c r="K508" i="4"/>
  <c r="I508" i="4"/>
  <c r="L507" i="4"/>
  <c r="K507" i="4"/>
  <c r="I507" i="4"/>
  <c r="L506" i="4"/>
  <c r="K506" i="4"/>
  <c r="I506" i="4"/>
  <c r="L505" i="4"/>
  <c r="K505" i="4"/>
  <c r="I505" i="4"/>
  <c r="L504" i="4"/>
  <c r="K504" i="4"/>
  <c r="I504" i="4"/>
  <c r="L503" i="4"/>
  <c r="K503" i="4"/>
  <c r="I503" i="4"/>
  <c r="L502" i="4"/>
  <c r="K502" i="4"/>
  <c r="I502" i="4"/>
  <c r="L501" i="4"/>
  <c r="K501" i="4"/>
  <c r="I501" i="4"/>
  <c r="L500" i="4"/>
  <c r="K500" i="4"/>
  <c r="I500" i="4"/>
  <c r="L499" i="4"/>
  <c r="K499" i="4"/>
  <c r="I499" i="4"/>
  <c r="L498" i="4"/>
  <c r="K498" i="4"/>
  <c r="I498" i="4"/>
  <c r="L497" i="4"/>
  <c r="K497" i="4"/>
  <c r="I497" i="4"/>
  <c r="L496" i="4"/>
  <c r="K496" i="4"/>
  <c r="I496" i="4"/>
  <c r="L495" i="4"/>
  <c r="K495" i="4"/>
  <c r="I495" i="4"/>
  <c r="L494" i="4"/>
  <c r="K494" i="4"/>
  <c r="I494" i="4"/>
  <c r="L493" i="4"/>
  <c r="K493" i="4"/>
  <c r="I493" i="4"/>
  <c r="L492" i="4"/>
  <c r="K492" i="4"/>
  <c r="I492" i="4"/>
  <c r="L491" i="4"/>
  <c r="K491" i="4"/>
  <c r="I491" i="4"/>
  <c r="L490" i="4"/>
  <c r="K490" i="4"/>
  <c r="I490" i="4"/>
  <c r="L489" i="4"/>
  <c r="K489" i="4"/>
  <c r="I489" i="4"/>
  <c r="L488" i="4"/>
  <c r="K488" i="4"/>
  <c r="I488" i="4"/>
  <c r="L487" i="4"/>
  <c r="K487" i="4"/>
  <c r="I487" i="4"/>
  <c r="L486" i="4"/>
  <c r="K486" i="4"/>
  <c r="I486" i="4"/>
  <c r="L485" i="4"/>
  <c r="K485" i="4"/>
  <c r="I485" i="4"/>
  <c r="L484" i="4"/>
  <c r="K484" i="4"/>
  <c r="I484" i="4"/>
  <c r="L483" i="4"/>
  <c r="K483" i="4"/>
  <c r="I483" i="4"/>
  <c r="L482" i="4"/>
  <c r="K482" i="4"/>
  <c r="I482" i="4"/>
  <c r="L481" i="4"/>
  <c r="K481" i="4"/>
  <c r="I481" i="4"/>
  <c r="L480" i="4"/>
  <c r="K480" i="4"/>
  <c r="I480" i="4"/>
  <c r="L479" i="4"/>
  <c r="K479" i="4"/>
  <c r="I479" i="4"/>
  <c r="L478" i="4"/>
  <c r="K478" i="4"/>
  <c r="I478" i="4"/>
  <c r="L477" i="4"/>
  <c r="K477" i="4"/>
  <c r="I477" i="4"/>
  <c r="L476" i="4"/>
  <c r="K476" i="4"/>
  <c r="I476" i="4"/>
  <c r="L475" i="4"/>
  <c r="K475" i="4"/>
  <c r="I475" i="4"/>
  <c r="L474" i="4"/>
  <c r="K474" i="4"/>
  <c r="I474" i="4"/>
  <c r="L473" i="4"/>
  <c r="K473" i="4"/>
  <c r="I473" i="4"/>
  <c r="L472" i="4"/>
  <c r="K472" i="4"/>
  <c r="I472" i="4"/>
  <c r="L471" i="4"/>
  <c r="K471" i="4"/>
  <c r="I471" i="4"/>
  <c r="L470" i="4"/>
  <c r="K470" i="4"/>
  <c r="I470" i="4"/>
  <c r="L469" i="4"/>
  <c r="K469" i="4"/>
  <c r="I469" i="4"/>
  <c r="L468" i="4"/>
  <c r="K468" i="4"/>
  <c r="I468" i="4"/>
  <c r="L467" i="4"/>
  <c r="K467" i="4"/>
  <c r="I467" i="4"/>
  <c r="L466" i="4"/>
  <c r="K466" i="4"/>
  <c r="I466" i="4"/>
  <c r="L465" i="4"/>
  <c r="K465" i="4"/>
  <c r="I465" i="4"/>
  <c r="L464" i="4"/>
  <c r="K464" i="4"/>
  <c r="I464" i="4"/>
  <c r="L463" i="4"/>
  <c r="K463" i="4"/>
  <c r="I463" i="4"/>
  <c r="L462" i="4"/>
  <c r="K462" i="4"/>
  <c r="I462" i="4"/>
  <c r="L461" i="4"/>
  <c r="K461" i="4"/>
  <c r="I461" i="4"/>
  <c r="L460" i="4"/>
  <c r="K460" i="4"/>
  <c r="I460" i="4"/>
  <c r="L459" i="4"/>
  <c r="K459" i="4"/>
  <c r="I459" i="4"/>
  <c r="L458" i="4"/>
  <c r="K458" i="4"/>
  <c r="I458" i="4"/>
  <c r="L457" i="4"/>
  <c r="K457" i="4"/>
  <c r="I457" i="4"/>
  <c r="L456" i="4"/>
  <c r="K456" i="4"/>
  <c r="I456" i="4"/>
  <c r="L455" i="4"/>
  <c r="K455" i="4"/>
  <c r="I455" i="4"/>
  <c r="L454" i="4"/>
  <c r="K454" i="4"/>
  <c r="I454" i="4"/>
  <c r="L453" i="4"/>
  <c r="K453" i="4"/>
  <c r="I453" i="4"/>
  <c r="L452" i="4"/>
  <c r="K452" i="4"/>
  <c r="I452" i="4"/>
  <c r="L451" i="4"/>
  <c r="K451" i="4"/>
  <c r="I451" i="4"/>
  <c r="L450" i="4"/>
  <c r="K450" i="4"/>
  <c r="I450" i="4"/>
  <c r="L449" i="4"/>
  <c r="K449" i="4"/>
  <c r="I449" i="4"/>
  <c r="L448" i="4"/>
  <c r="K448" i="4"/>
  <c r="I448" i="4"/>
  <c r="L447" i="4"/>
  <c r="K447" i="4"/>
  <c r="I447" i="4"/>
  <c r="L446" i="4"/>
  <c r="K446" i="4"/>
  <c r="I446" i="4"/>
  <c r="L445" i="4"/>
  <c r="K445" i="4"/>
  <c r="I445" i="4"/>
  <c r="L444" i="4"/>
  <c r="K444" i="4"/>
  <c r="I444" i="4"/>
  <c r="L443" i="4"/>
  <c r="K443" i="4"/>
  <c r="I443" i="4"/>
  <c r="L442" i="4"/>
  <c r="K442" i="4"/>
  <c r="I442" i="4"/>
  <c r="L441" i="4"/>
  <c r="K441" i="4"/>
  <c r="I441" i="4"/>
  <c r="L440" i="4"/>
  <c r="K440" i="4"/>
  <c r="I440" i="4"/>
  <c r="L439" i="4"/>
  <c r="K439" i="4"/>
  <c r="I439" i="4"/>
  <c r="L438" i="4"/>
  <c r="K438" i="4"/>
  <c r="I438" i="4"/>
  <c r="L437" i="4"/>
  <c r="K437" i="4"/>
  <c r="I437" i="4"/>
  <c r="L436" i="4"/>
  <c r="K436" i="4"/>
  <c r="I436" i="4"/>
  <c r="L435" i="4"/>
  <c r="K435" i="4"/>
  <c r="I435" i="4"/>
  <c r="L434" i="4"/>
  <c r="K434" i="4"/>
  <c r="I434" i="4"/>
  <c r="L433" i="4"/>
  <c r="K433" i="4"/>
  <c r="I433" i="4"/>
  <c r="L432" i="4"/>
  <c r="K432" i="4"/>
  <c r="I432" i="4"/>
  <c r="L431" i="4"/>
  <c r="K431" i="4"/>
  <c r="I431" i="4"/>
  <c r="L430" i="4"/>
  <c r="K430" i="4"/>
  <c r="I430" i="4"/>
  <c r="L429" i="4"/>
  <c r="K429" i="4"/>
  <c r="I429" i="4"/>
  <c r="L428" i="4"/>
  <c r="K428" i="4"/>
  <c r="I428" i="4"/>
  <c r="L427" i="4"/>
  <c r="K427" i="4"/>
  <c r="I427" i="4"/>
  <c r="L426" i="4"/>
  <c r="K426" i="4"/>
  <c r="I426" i="4"/>
  <c r="L425" i="4"/>
  <c r="K425" i="4"/>
  <c r="I425" i="4"/>
  <c r="L424" i="4"/>
  <c r="K424" i="4"/>
  <c r="I424" i="4"/>
  <c r="L423" i="4"/>
  <c r="K423" i="4"/>
  <c r="I423" i="4"/>
  <c r="L422" i="4"/>
  <c r="K422" i="4"/>
  <c r="I422" i="4"/>
  <c r="L421" i="4"/>
  <c r="K421" i="4"/>
  <c r="I421" i="4"/>
  <c r="L420" i="4"/>
  <c r="K420" i="4"/>
  <c r="I420" i="4"/>
  <c r="L419" i="4"/>
  <c r="K419" i="4"/>
  <c r="I419" i="4"/>
  <c r="L418" i="4"/>
  <c r="K418" i="4"/>
  <c r="I418" i="4"/>
  <c r="L417" i="4"/>
  <c r="K417" i="4"/>
  <c r="I417" i="4"/>
  <c r="L416" i="4"/>
  <c r="K416" i="4"/>
  <c r="I416" i="4"/>
  <c r="L415" i="4"/>
  <c r="K415" i="4"/>
  <c r="I415" i="4"/>
  <c r="L414" i="4"/>
  <c r="K414" i="4"/>
  <c r="I414" i="4"/>
  <c r="L413" i="4"/>
  <c r="K413" i="4"/>
  <c r="I413" i="4"/>
  <c r="L412" i="4"/>
  <c r="K412" i="4"/>
  <c r="I412" i="4"/>
  <c r="L411" i="4"/>
  <c r="K411" i="4"/>
  <c r="I411" i="4"/>
  <c r="L410" i="4"/>
  <c r="K410" i="4"/>
  <c r="I410" i="4"/>
  <c r="L409" i="4"/>
  <c r="K409" i="4"/>
  <c r="I409" i="4"/>
  <c r="L408" i="4"/>
  <c r="K408" i="4"/>
  <c r="I408" i="4"/>
  <c r="L407" i="4"/>
  <c r="K407" i="4"/>
  <c r="I407" i="4"/>
  <c r="L406" i="4"/>
  <c r="K406" i="4"/>
  <c r="I406" i="4"/>
  <c r="L405" i="4"/>
  <c r="K405" i="4"/>
  <c r="I405" i="4"/>
  <c r="L404" i="4"/>
  <c r="K404" i="4"/>
  <c r="I404" i="4"/>
  <c r="L403" i="4"/>
  <c r="K403" i="4"/>
  <c r="I403" i="4"/>
  <c r="L402" i="4"/>
  <c r="K402" i="4"/>
  <c r="I402" i="4"/>
  <c r="L401" i="4"/>
  <c r="K401" i="4"/>
  <c r="I401" i="4"/>
  <c r="L400" i="4"/>
  <c r="K400" i="4"/>
  <c r="I400" i="4"/>
  <c r="L399" i="4"/>
  <c r="K399" i="4"/>
  <c r="I399" i="4"/>
  <c r="L398" i="4"/>
  <c r="K398" i="4"/>
  <c r="I398" i="4"/>
  <c r="L397" i="4"/>
  <c r="K397" i="4"/>
  <c r="I397" i="4"/>
  <c r="L396" i="4"/>
  <c r="K396" i="4"/>
  <c r="I396" i="4"/>
  <c r="L395" i="4"/>
  <c r="K395" i="4"/>
  <c r="I395" i="4"/>
  <c r="L394" i="4"/>
  <c r="K394" i="4"/>
  <c r="I394" i="4"/>
  <c r="L393" i="4"/>
  <c r="K393" i="4"/>
  <c r="I393" i="4"/>
  <c r="L392" i="4"/>
  <c r="K392" i="4"/>
  <c r="I392" i="4"/>
  <c r="L391" i="4"/>
  <c r="K391" i="4"/>
  <c r="I391" i="4"/>
  <c r="L390" i="4"/>
  <c r="K390" i="4"/>
  <c r="I390" i="4"/>
  <c r="L389" i="4"/>
  <c r="K389" i="4"/>
  <c r="I389" i="4"/>
  <c r="L388" i="4"/>
  <c r="K388" i="4"/>
  <c r="I388" i="4"/>
  <c r="L387" i="4"/>
  <c r="K387" i="4"/>
  <c r="I387" i="4"/>
  <c r="L386" i="4"/>
  <c r="K386" i="4"/>
  <c r="I386" i="4"/>
  <c r="L385" i="4"/>
  <c r="K385" i="4"/>
  <c r="I385" i="4"/>
  <c r="L384" i="4"/>
  <c r="K384" i="4"/>
  <c r="I384" i="4"/>
  <c r="L383" i="4"/>
  <c r="K383" i="4"/>
  <c r="I383" i="4"/>
  <c r="L382" i="4"/>
  <c r="K382" i="4"/>
  <c r="I382" i="4"/>
  <c r="L381" i="4"/>
  <c r="K381" i="4"/>
  <c r="I381" i="4"/>
  <c r="L380" i="4"/>
  <c r="K380" i="4"/>
  <c r="I380" i="4"/>
  <c r="L379" i="4"/>
  <c r="K379" i="4"/>
  <c r="I379" i="4"/>
  <c r="L378" i="4"/>
  <c r="K378" i="4"/>
  <c r="I378" i="4"/>
  <c r="L377" i="4"/>
  <c r="K377" i="4"/>
  <c r="I377" i="4"/>
  <c r="L376" i="4"/>
  <c r="K376" i="4"/>
  <c r="I376" i="4"/>
  <c r="L375" i="4"/>
  <c r="K375" i="4"/>
  <c r="I375" i="4"/>
  <c r="L374" i="4"/>
  <c r="K374" i="4"/>
  <c r="I374" i="4"/>
  <c r="L373" i="4"/>
  <c r="K373" i="4"/>
  <c r="I373" i="4"/>
  <c r="L372" i="4"/>
  <c r="K372" i="4"/>
  <c r="I372" i="4"/>
  <c r="L371" i="4"/>
  <c r="K371" i="4"/>
  <c r="I371" i="4"/>
  <c r="L370" i="4"/>
  <c r="K370" i="4"/>
  <c r="I370" i="4"/>
  <c r="L369" i="4"/>
  <c r="K369" i="4"/>
  <c r="I369" i="4"/>
  <c r="L368" i="4"/>
  <c r="K368" i="4"/>
  <c r="I368" i="4"/>
  <c r="L367" i="4"/>
  <c r="K367" i="4"/>
  <c r="I367" i="4"/>
  <c r="L366" i="4"/>
  <c r="K366" i="4"/>
  <c r="I366" i="4"/>
  <c r="L365" i="4"/>
  <c r="K365" i="4"/>
  <c r="I365" i="4"/>
  <c r="L364" i="4"/>
  <c r="K364" i="4"/>
  <c r="I364" i="4"/>
  <c r="P364" i="4" s="1"/>
  <c r="L363" i="4"/>
  <c r="K363" i="4"/>
  <c r="I363" i="4"/>
  <c r="L362" i="4"/>
  <c r="K362" i="4"/>
  <c r="I362" i="4"/>
  <c r="L361" i="4"/>
  <c r="K361" i="4"/>
  <c r="I361" i="4"/>
  <c r="L360" i="4"/>
  <c r="K360" i="4"/>
  <c r="I360" i="4"/>
  <c r="L359" i="4"/>
  <c r="K359" i="4"/>
  <c r="I359" i="4"/>
  <c r="L358" i="4"/>
  <c r="K358" i="4"/>
  <c r="I358" i="4"/>
  <c r="L357" i="4"/>
  <c r="K357" i="4"/>
  <c r="I357" i="4"/>
  <c r="L356" i="4"/>
  <c r="K356" i="4"/>
  <c r="I356" i="4"/>
  <c r="L355" i="4"/>
  <c r="K355" i="4"/>
  <c r="I355" i="4"/>
  <c r="L354" i="4"/>
  <c r="K354" i="4"/>
  <c r="I354" i="4"/>
  <c r="L353" i="4"/>
  <c r="K353" i="4"/>
  <c r="I353" i="4"/>
  <c r="L352" i="4"/>
  <c r="K352" i="4"/>
  <c r="I352" i="4"/>
  <c r="L351" i="4"/>
  <c r="K351" i="4"/>
  <c r="I351" i="4"/>
  <c r="L350" i="4"/>
  <c r="K350" i="4"/>
  <c r="I350" i="4"/>
  <c r="L349" i="4"/>
  <c r="K349" i="4"/>
  <c r="I349" i="4"/>
  <c r="L348" i="4"/>
  <c r="K348" i="4"/>
  <c r="I348" i="4"/>
  <c r="L347" i="4"/>
  <c r="K347" i="4"/>
  <c r="I347" i="4"/>
  <c r="L346" i="4"/>
  <c r="K346" i="4"/>
  <c r="I346" i="4"/>
  <c r="L345" i="4"/>
  <c r="K345" i="4"/>
  <c r="I345" i="4"/>
  <c r="L344" i="4"/>
  <c r="K344" i="4"/>
  <c r="I344" i="4"/>
  <c r="L343" i="4"/>
  <c r="K343" i="4"/>
  <c r="I343" i="4"/>
  <c r="L342" i="4"/>
  <c r="K342" i="4"/>
  <c r="I342" i="4"/>
  <c r="L341" i="4"/>
  <c r="K341" i="4"/>
  <c r="I341" i="4"/>
  <c r="L340" i="4"/>
  <c r="K340" i="4"/>
  <c r="I340" i="4"/>
  <c r="L339" i="4"/>
  <c r="K339" i="4"/>
  <c r="I339" i="4"/>
  <c r="L338" i="4"/>
  <c r="K338" i="4"/>
  <c r="I338" i="4"/>
  <c r="L337" i="4"/>
  <c r="K337" i="4"/>
  <c r="I337" i="4"/>
  <c r="L336" i="4"/>
  <c r="K336" i="4"/>
  <c r="I336" i="4"/>
  <c r="L335" i="4"/>
  <c r="K335" i="4"/>
  <c r="I335" i="4"/>
  <c r="L334" i="4"/>
  <c r="K334" i="4"/>
  <c r="I334" i="4"/>
  <c r="L333" i="4"/>
  <c r="K333" i="4"/>
  <c r="I333" i="4"/>
  <c r="L332" i="4"/>
  <c r="K332" i="4"/>
  <c r="I332" i="4"/>
  <c r="L331" i="4"/>
  <c r="K331" i="4"/>
  <c r="I331" i="4"/>
  <c r="L330" i="4"/>
  <c r="K330" i="4"/>
  <c r="I330" i="4"/>
  <c r="L329" i="4"/>
  <c r="K329" i="4"/>
  <c r="I329" i="4"/>
  <c r="L328" i="4"/>
  <c r="K328" i="4"/>
  <c r="I328" i="4"/>
  <c r="L327" i="4"/>
  <c r="K327" i="4"/>
  <c r="I327" i="4"/>
  <c r="L326" i="4"/>
  <c r="K326" i="4"/>
  <c r="I326" i="4"/>
  <c r="L325" i="4"/>
  <c r="K325" i="4"/>
  <c r="I325" i="4"/>
  <c r="L324" i="4"/>
  <c r="K324" i="4"/>
  <c r="I324" i="4"/>
  <c r="L323" i="4"/>
  <c r="K323" i="4"/>
  <c r="I323" i="4"/>
  <c r="L322" i="4"/>
  <c r="K322" i="4"/>
  <c r="I322" i="4"/>
  <c r="L321" i="4"/>
  <c r="K321" i="4"/>
  <c r="I321" i="4"/>
  <c r="L320" i="4"/>
  <c r="K320" i="4"/>
  <c r="I320" i="4"/>
  <c r="L319" i="4"/>
  <c r="K319" i="4"/>
  <c r="I319" i="4"/>
  <c r="L318" i="4"/>
  <c r="K318" i="4"/>
  <c r="I318" i="4"/>
  <c r="L317" i="4"/>
  <c r="K317" i="4"/>
  <c r="I317" i="4"/>
  <c r="L316" i="4"/>
  <c r="K316" i="4"/>
  <c r="I316" i="4"/>
  <c r="L315" i="4"/>
  <c r="K315" i="4"/>
  <c r="I315" i="4"/>
  <c r="L314" i="4"/>
  <c r="K314" i="4"/>
  <c r="I314" i="4"/>
  <c r="L313" i="4"/>
  <c r="K313" i="4"/>
  <c r="I313" i="4"/>
  <c r="L312" i="4"/>
  <c r="K312" i="4"/>
  <c r="I312" i="4"/>
  <c r="L311" i="4"/>
  <c r="K311" i="4"/>
  <c r="I311" i="4"/>
  <c r="L310" i="4"/>
  <c r="K310" i="4"/>
  <c r="I310" i="4"/>
  <c r="L309" i="4"/>
  <c r="K309" i="4"/>
  <c r="I309" i="4"/>
  <c r="L308" i="4"/>
  <c r="K308" i="4"/>
  <c r="I308" i="4"/>
  <c r="L307" i="4"/>
  <c r="K307" i="4"/>
  <c r="I307" i="4"/>
  <c r="L306" i="4"/>
  <c r="K306" i="4"/>
  <c r="I306" i="4"/>
  <c r="L305" i="4"/>
  <c r="K305" i="4"/>
  <c r="I305" i="4"/>
  <c r="L304" i="4"/>
  <c r="K304" i="4"/>
  <c r="I304" i="4"/>
  <c r="L303" i="4"/>
  <c r="K303" i="4"/>
  <c r="I303" i="4"/>
  <c r="L302" i="4"/>
  <c r="K302" i="4"/>
  <c r="I302" i="4"/>
  <c r="L301" i="4"/>
  <c r="K301" i="4"/>
  <c r="I301" i="4"/>
  <c r="L300" i="4"/>
  <c r="K300" i="4"/>
  <c r="I300" i="4"/>
  <c r="L299" i="4"/>
  <c r="K299" i="4"/>
  <c r="I299" i="4"/>
  <c r="L298" i="4"/>
  <c r="K298" i="4"/>
  <c r="I298" i="4"/>
  <c r="L297" i="4"/>
  <c r="K297" i="4"/>
  <c r="I297" i="4"/>
  <c r="L296" i="4"/>
  <c r="K296" i="4"/>
  <c r="I296" i="4"/>
  <c r="L295" i="4"/>
  <c r="K295" i="4"/>
  <c r="I295" i="4"/>
  <c r="L294" i="4"/>
  <c r="K294" i="4"/>
  <c r="I294" i="4"/>
  <c r="L293" i="4"/>
  <c r="K293" i="4"/>
  <c r="I293" i="4"/>
  <c r="L292" i="4"/>
  <c r="K292" i="4"/>
  <c r="I292" i="4"/>
  <c r="L291" i="4"/>
  <c r="K291" i="4"/>
  <c r="I291" i="4"/>
  <c r="L290" i="4"/>
  <c r="K290" i="4"/>
  <c r="I290" i="4"/>
  <c r="L289" i="4"/>
  <c r="K289" i="4"/>
  <c r="I289" i="4"/>
  <c r="L288" i="4"/>
  <c r="K288" i="4"/>
  <c r="I288" i="4"/>
  <c r="L287" i="4"/>
  <c r="K287" i="4"/>
  <c r="I287" i="4"/>
  <c r="L286" i="4"/>
  <c r="K286" i="4"/>
  <c r="I286" i="4"/>
  <c r="L285" i="4"/>
  <c r="K285" i="4"/>
  <c r="I285" i="4"/>
  <c r="L284" i="4"/>
  <c r="K284" i="4"/>
  <c r="I284" i="4"/>
  <c r="L283" i="4"/>
  <c r="K283" i="4"/>
  <c r="I283" i="4"/>
  <c r="L282" i="4"/>
  <c r="K282" i="4"/>
  <c r="I282" i="4"/>
  <c r="L281" i="4"/>
  <c r="K281" i="4"/>
  <c r="I281" i="4"/>
  <c r="L280" i="4"/>
  <c r="K280" i="4"/>
  <c r="I280" i="4"/>
  <c r="L279" i="4"/>
  <c r="K279" i="4"/>
  <c r="I279" i="4"/>
  <c r="L278" i="4"/>
  <c r="K278" i="4"/>
  <c r="I278" i="4"/>
  <c r="L277" i="4"/>
  <c r="K277" i="4"/>
  <c r="I277" i="4"/>
  <c r="L276" i="4"/>
  <c r="K276" i="4"/>
  <c r="I276" i="4"/>
  <c r="L275" i="4"/>
  <c r="K275" i="4"/>
  <c r="I275" i="4"/>
  <c r="L274" i="4"/>
  <c r="K274" i="4"/>
  <c r="I274" i="4"/>
  <c r="L273" i="4"/>
  <c r="K273" i="4"/>
  <c r="I273" i="4"/>
  <c r="L272" i="4"/>
  <c r="K272" i="4"/>
  <c r="I272" i="4"/>
  <c r="L271" i="4"/>
  <c r="K271" i="4"/>
  <c r="I271" i="4"/>
  <c r="L270" i="4"/>
  <c r="K270" i="4"/>
  <c r="I270" i="4"/>
  <c r="L269" i="4"/>
  <c r="K269" i="4"/>
  <c r="I269" i="4"/>
  <c r="L268" i="4"/>
  <c r="K268" i="4"/>
  <c r="I268" i="4"/>
  <c r="L267" i="4"/>
  <c r="K267" i="4"/>
  <c r="I267" i="4"/>
  <c r="L266" i="4"/>
  <c r="K266" i="4"/>
  <c r="I266" i="4"/>
  <c r="L265" i="4"/>
  <c r="K265" i="4"/>
  <c r="I265" i="4"/>
  <c r="L264" i="4"/>
  <c r="K264" i="4"/>
  <c r="I264" i="4"/>
  <c r="L263" i="4"/>
  <c r="K263" i="4"/>
  <c r="I263" i="4"/>
  <c r="L262" i="4"/>
  <c r="K262" i="4"/>
  <c r="I262" i="4"/>
  <c r="L261" i="4"/>
  <c r="K261" i="4"/>
  <c r="I261" i="4"/>
  <c r="L260" i="4"/>
  <c r="K260" i="4"/>
  <c r="I260" i="4"/>
  <c r="L259" i="4"/>
  <c r="K259" i="4"/>
  <c r="I259" i="4"/>
  <c r="L258" i="4"/>
  <c r="K258" i="4"/>
  <c r="I258" i="4"/>
  <c r="L257" i="4"/>
  <c r="K257" i="4"/>
  <c r="I257" i="4"/>
  <c r="L256" i="4"/>
  <c r="K256" i="4"/>
  <c r="I256" i="4"/>
  <c r="L255" i="4"/>
  <c r="K255" i="4"/>
  <c r="I255" i="4"/>
  <c r="L254" i="4"/>
  <c r="K254" i="4"/>
  <c r="I254" i="4"/>
  <c r="L253" i="4"/>
  <c r="K253" i="4"/>
  <c r="I253" i="4"/>
  <c r="L252" i="4"/>
  <c r="K252" i="4"/>
  <c r="I252" i="4"/>
  <c r="L251" i="4"/>
  <c r="K251" i="4"/>
  <c r="I251" i="4"/>
  <c r="L250" i="4"/>
  <c r="K250" i="4"/>
  <c r="I250" i="4"/>
  <c r="L249" i="4"/>
  <c r="K249" i="4"/>
  <c r="I249" i="4"/>
  <c r="L248" i="4"/>
  <c r="K248" i="4"/>
  <c r="I248" i="4"/>
  <c r="L247" i="4"/>
  <c r="K247" i="4"/>
  <c r="I247" i="4"/>
  <c r="L246" i="4"/>
  <c r="K246" i="4"/>
  <c r="I246" i="4"/>
  <c r="L245" i="4"/>
  <c r="K245" i="4"/>
  <c r="I245" i="4"/>
  <c r="L244" i="4"/>
  <c r="K244" i="4"/>
  <c r="I244" i="4"/>
  <c r="L243" i="4"/>
  <c r="K243" i="4"/>
  <c r="I243" i="4"/>
  <c r="L242" i="4"/>
  <c r="K242" i="4"/>
  <c r="I242" i="4"/>
  <c r="L241" i="4"/>
  <c r="K241" i="4"/>
  <c r="I241" i="4"/>
  <c r="L240" i="4"/>
  <c r="K240" i="4"/>
  <c r="I240" i="4"/>
  <c r="L239" i="4"/>
  <c r="K239" i="4"/>
  <c r="I239" i="4"/>
  <c r="L238" i="4"/>
  <c r="K238" i="4"/>
  <c r="I238" i="4"/>
  <c r="L237" i="4"/>
  <c r="K237" i="4"/>
  <c r="I237" i="4"/>
  <c r="L236" i="4"/>
  <c r="K236" i="4"/>
  <c r="I236" i="4"/>
  <c r="L235" i="4"/>
  <c r="K235" i="4"/>
  <c r="I235" i="4"/>
  <c r="L234" i="4"/>
  <c r="K234" i="4"/>
  <c r="I234" i="4"/>
  <c r="L233" i="4"/>
  <c r="K233" i="4"/>
  <c r="I233" i="4"/>
  <c r="L232" i="4"/>
  <c r="K232" i="4"/>
  <c r="I232" i="4"/>
  <c r="L231" i="4"/>
  <c r="K231" i="4"/>
  <c r="I231" i="4"/>
  <c r="L230" i="4"/>
  <c r="K230" i="4"/>
  <c r="I230" i="4"/>
  <c r="L229" i="4"/>
  <c r="K229" i="4"/>
  <c r="I229" i="4"/>
  <c r="L228" i="4"/>
  <c r="K228" i="4"/>
  <c r="I228" i="4"/>
  <c r="L227" i="4"/>
  <c r="K227" i="4"/>
  <c r="I227" i="4"/>
  <c r="L226" i="4"/>
  <c r="K226" i="4"/>
  <c r="I226" i="4"/>
  <c r="L225" i="4"/>
  <c r="K225" i="4"/>
  <c r="I225" i="4"/>
  <c r="L224" i="4"/>
  <c r="K224" i="4"/>
  <c r="I224" i="4"/>
  <c r="L223" i="4"/>
  <c r="K223" i="4"/>
  <c r="I223" i="4"/>
  <c r="L222" i="4"/>
  <c r="K222" i="4"/>
  <c r="I222" i="4"/>
  <c r="L221" i="4"/>
  <c r="K221" i="4"/>
  <c r="I221" i="4"/>
  <c r="L220" i="4"/>
  <c r="K220" i="4"/>
  <c r="I220" i="4"/>
  <c r="L219" i="4"/>
  <c r="K219" i="4"/>
  <c r="I219" i="4"/>
  <c r="L218" i="4"/>
  <c r="K218" i="4"/>
  <c r="I218" i="4"/>
  <c r="L217" i="4"/>
  <c r="K217" i="4"/>
  <c r="I217" i="4"/>
  <c r="L216" i="4"/>
  <c r="K216" i="4"/>
  <c r="I216" i="4"/>
  <c r="L215" i="4"/>
  <c r="K215" i="4"/>
  <c r="I215" i="4"/>
  <c r="L214" i="4"/>
  <c r="K214" i="4"/>
  <c r="I214" i="4"/>
  <c r="L213" i="4"/>
  <c r="K213" i="4"/>
  <c r="I213" i="4"/>
  <c r="L212" i="4"/>
  <c r="K212" i="4"/>
  <c r="I212" i="4"/>
  <c r="L211" i="4"/>
  <c r="K211" i="4"/>
  <c r="I211" i="4"/>
  <c r="L210" i="4"/>
  <c r="K210" i="4"/>
  <c r="I210" i="4"/>
  <c r="L209" i="4"/>
  <c r="K209" i="4"/>
  <c r="I209" i="4"/>
  <c r="L208" i="4"/>
  <c r="K208" i="4"/>
  <c r="I208" i="4"/>
  <c r="L207" i="4"/>
  <c r="K207" i="4"/>
  <c r="I207" i="4"/>
  <c r="L206" i="4"/>
  <c r="K206" i="4"/>
  <c r="I206" i="4"/>
  <c r="L205" i="4"/>
  <c r="K205" i="4"/>
  <c r="I205" i="4"/>
  <c r="L204" i="4"/>
  <c r="K204" i="4"/>
  <c r="I204" i="4"/>
  <c r="L203" i="4"/>
  <c r="K203" i="4"/>
  <c r="I203" i="4"/>
  <c r="L202" i="4"/>
  <c r="K202" i="4"/>
  <c r="I202" i="4"/>
  <c r="L201" i="4"/>
  <c r="K201" i="4"/>
  <c r="I201" i="4"/>
  <c r="L200" i="4"/>
  <c r="K200" i="4"/>
  <c r="I200" i="4"/>
  <c r="L199" i="4"/>
  <c r="K199" i="4"/>
  <c r="I199" i="4"/>
  <c r="L198" i="4"/>
  <c r="K198" i="4"/>
  <c r="I198" i="4"/>
  <c r="L197" i="4"/>
  <c r="K197" i="4"/>
  <c r="I197" i="4"/>
  <c r="L196" i="4"/>
  <c r="K196" i="4"/>
  <c r="I196" i="4"/>
  <c r="L195" i="4"/>
  <c r="K195" i="4"/>
  <c r="I195" i="4"/>
  <c r="L194" i="4"/>
  <c r="K194" i="4"/>
  <c r="I194" i="4"/>
  <c r="L193" i="4"/>
  <c r="K193" i="4"/>
  <c r="I193" i="4"/>
  <c r="L192" i="4"/>
  <c r="K192" i="4"/>
  <c r="I192" i="4"/>
  <c r="L191" i="4"/>
  <c r="K191" i="4"/>
  <c r="I191" i="4"/>
  <c r="L190" i="4"/>
  <c r="K190" i="4"/>
  <c r="I190" i="4"/>
  <c r="L189" i="4"/>
  <c r="K189" i="4"/>
  <c r="I189" i="4"/>
  <c r="L188" i="4"/>
  <c r="K188" i="4"/>
  <c r="I188" i="4"/>
  <c r="L187" i="4"/>
  <c r="K187" i="4"/>
  <c r="I187" i="4"/>
  <c r="L186" i="4"/>
  <c r="K186" i="4"/>
  <c r="I186" i="4"/>
  <c r="L185" i="4"/>
  <c r="K185" i="4"/>
  <c r="I185" i="4"/>
  <c r="L184" i="4"/>
  <c r="K184" i="4"/>
  <c r="I184" i="4"/>
  <c r="L183" i="4"/>
  <c r="K183" i="4"/>
  <c r="I183" i="4"/>
  <c r="L182" i="4"/>
  <c r="K182" i="4"/>
  <c r="I182" i="4"/>
  <c r="L181" i="4"/>
  <c r="K181" i="4"/>
  <c r="I181" i="4"/>
  <c r="L180" i="4"/>
  <c r="K180" i="4"/>
  <c r="I180" i="4"/>
  <c r="L179" i="4"/>
  <c r="K179" i="4"/>
  <c r="I179" i="4"/>
  <c r="L178" i="4"/>
  <c r="K178" i="4"/>
  <c r="I178" i="4"/>
  <c r="L177" i="4"/>
  <c r="K177" i="4"/>
  <c r="I177" i="4"/>
  <c r="L176" i="4"/>
  <c r="K176" i="4"/>
  <c r="I176" i="4"/>
  <c r="L175" i="4"/>
  <c r="K175" i="4"/>
  <c r="I175" i="4"/>
  <c r="L174" i="4"/>
  <c r="K174" i="4"/>
  <c r="I174" i="4"/>
  <c r="L173" i="4"/>
  <c r="K173" i="4"/>
  <c r="I173" i="4"/>
  <c r="L172" i="4"/>
  <c r="K172" i="4"/>
  <c r="I172" i="4"/>
  <c r="L171" i="4"/>
  <c r="K171" i="4"/>
  <c r="I171" i="4"/>
  <c r="L170" i="4"/>
  <c r="K170" i="4"/>
  <c r="I170" i="4"/>
  <c r="L169" i="4"/>
  <c r="K169" i="4"/>
  <c r="I169" i="4"/>
  <c r="L168" i="4"/>
  <c r="K168" i="4"/>
  <c r="I168" i="4"/>
  <c r="L167" i="4"/>
  <c r="K167" i="4"/>
  <c r="I167" i="4"/>
  <c r="L166" i="4"/>
  <c r="K166" i="4"/>
  <c r="I166" i="4"/>
  <c r="L165" i="4"/>
  <c r="K165" i="4"/>
  <c r="I165" i="4"/>
  <c r="L164" i="4"/>
  <c r="K164" i="4"/>
  <c r="I164" i="4"/>
  <c r="L163" i="4"/>
  <c r="K163" i="4"/>
  <c r="I163" i="4"/>
  <c r="L162" i="4"/>
  <c r="K162" i="4"/>
  <c r="I162" i="4"/>
  <c r="L161" i="4"/>
  <c r="K161" i="4"/>
  <c r="I161" i="4"/>
  <c r="L160" i="4"/>
  <c r="K160" i="4"/>
  <c r="I160" i="4"/>
  <c r="L159" i="4"/>
  <c r="K159" i="4"/>
  <c r="I159" i="4"/>
  <c r="L158" i="4"/>
  <c r="K158" i="4"/>
  <c r="I158" i="4"/>
  <c r="L157" i="4"/>
  <c r="K157" i="4"/>
  <c r="I157" i="4"/>
  <c r="L156" i="4"/>
  <c r="K156" i="4"/>
  <c r="I156" i="4"/>
  <c r="L155" i="4"/>
  <c r="K155" i="4"/>
  <c r="I155" i="4"/>
  <c r="L154" i="4"/>
  <c r="K154" i="4"/>
  <c r="I154" i="4"/>
  <c r="L153" i="4"/>
  <c r="K153" i="4"/>
  <c r="I153" i="4"/>
  <c r="L152" i="4"/>
  <c r="K152" i="4"/>
  <c r="I152" i="4"/>
  <c r="L151" i="4"/>
  <c r="K151" i="4"/>
  <c r="I151" i="4"/>
  <c r="L150" i="4"/>
  <c r="K150" i="4"/>
  <c r="I150" i="4"/>
  <c r="L149" i="4"/>
  <c r="K149" i="4"/>
  <c r="I149" i="4"/>
  <c r="L148" i="4"/>
  <c r="K148" i="4"/>
  <c r="I148" i="4"/>
  <c r="L147" i="4"/>
  <c r="K147" i="4"/>
  <c r="I147" i="4"/>
  <c r="L146" i="4"/>
  <c r="K146" i="4"/>
  <c r="I146" i="4"/>
  <c r="L145" i="4"/>
  <c r="K145" i="4"/>
  <c r="I145" i="4"/>
  <c r="L144" i="4"/>
  <c r="K144" i="4"/>
  <c r="I144" i="4"/>
  <c r="L143" i="4"/>
  <c r="K143" i="4"/>
  <c r="I143" i="4"/>
  <c r="L142" i="4"/>
  <c r="K142" i="4"/>
  <c r="I142" i="4"/>
  <c r="L141" i="4"/>
  <c r="K141" i="4"/>
  <c r="I141" i="4"/>
  <c r="L140" i="4"/>
  <c r="K140" i="4"/>
  <c r="I140" i="4"/>
  <c r="L139" i="4"/>
  <c r="K139" i="4"/>
  <c r="I139" i="4"/>
  <c r="L138" i="4"/>
  <c r="K138" i="4"/>
  <c r="I138" i="4"/>
  <c r="L137" i="4"/>
  <c r="K137" i="4"/>
  <c r="I137" i="4"/>
  <c r="L136" i="4"/>
  <c r="K136" i="4"/>
  <c r="I136" i="4"/>
  <c r="L135" i="4"/>
  <c r="K135" i="4"/>
  <c r="I135" i="4"/>
  <c r="L134" i="4"/>
  <c r="K134" i="4"/>
  <c r="I134" i="4"/>
  <c r="L133" i="4"/>
  <c r="K133" i="4"/>
  <c r="I133" i="4"/>
  <c r="L132" i="4"/>
  <c r="K132" i="4"/>
  <c r="I132" i="4"/>
  <c r="L131" i="4"/>
  <c r="K131" i="4"/>
  <c r="I131" i="4"/>
  <c r="L130" i="4"/>
  <c r="K130" i="4"/>
  <c r="I130" i="4"/>
  <c r="L129" i="4"/>
  <c r="K129" i="4"/>
  <c r="I129" i="4"/>
  <c r="L128" i="4"/>
  <c r="K128" i="4"/>
  <c r="I128" i="4"/>
  <c r="L127" i="4"/>
  <c r="K127" i="4"/>
  <c r="I127" i="4"/>
  <c r="L126" i="4"/>
  <c r="K126" i="4"/>
  <c r="I126" i="4"/>
  <c r="L125" i="4"/>
  <c r="K125" i="4"/>
  <c r="I125" i="4"/>
  <c r="L124" i="4"/>
  <c r="K124" i="4"/>
  <c r="I124" i="4"/>
  <c r="L123" i="4"/>
  <c r="K123" i="4"/>
  <c r="I123" i="4"/>
  <c r="L122" i="4"/>
  <c r="K122" i="4"/>
  <c r="I122" i="4"/>
  <c r="L121" i="4"/>
  <c r="K121" i="4"/>
  <c r="I121" i="4"/>
  <c r="L120" i="4"/>
  <c r="K120" i="4"/>
  <c r="I120" i="4"/>
  <c r="L119" i="4"/>
  <c r="K119" i="4"/>
  <c r="I119" i="4"/>
  <c r="L118" i="4"/>
  <c r="K118" i="4"/>
  <c r="I118" i="4"/>
  <c r="L117" i="4"/>
  <c r="K117" i="4"/>
  <c r="I117" i="4"/>
  <c r="L116" i="4"/>
  <c r="K116" i="4"/>
  <c r="I116" i="4"/>
  <c r="L115" i="4"/>
  <c r="K115" i="4"/>
  <c r="I115" i="4"/>
  <c r="L114" i="4"/>
  <c r="K114" i="4"/>
  <c r="I114" i="4"/>
  <c r="L113" i="4"/>
  <c r="K113" i="4"/>
  <c r="I113" i="4"/>
  <c r="L112" i="4"/>
  <c r="K112" i="4"/>
  <c r="I112" i="4"/>
  <c r="L111" i="4"/>
  <c r="K111" i="4"/>
  <c r="I111" i="4"/>
  <c r="L110" i="4"/>
  <c r="K110" i="4"/>
  <c r="I110" i="4"/>
  <c r="L109" i="4"/>
  <c r="K109" i="4"/>
  <c r="I109" i="4"/>
  <c r="L108" i="4"/>
  <c r="K108" i="4"/>
  <c r="I108" i="4"/>
  <c r="L107" i="4"/>
  <c r="K107" i="4"/>
  <c r="I107" i="4"/>
  <c r="L106" i="4"/>
  <c r="K106" i="4"/>
  <c r="I106" i="4"/>
  <c r="L105" i="4"/>
  <c r="K105" i="4"/>
  <c r="I105" i="4"/>
  <c r="L104" i="4"/>
  <c r="K104" i="4"/>
  <c r="I104" i="4"/>
  <c r="L103" i="4"/>
  <c r="K103" i="4"/>
  <c r="I103" i="4"/>
  <c r="L102" i="4"/>
  <c r="K102" i="4"/>
  <c r="I102" i="4"/>
  <c r="L101" i="4"/>
  <c r="K101" i="4"/>
  <c r="I101" i="4"/>
  <c r="L100" i="4"/>
  <c r="K100" i="4"/>
  <c r="I100" i="4"/>
  <c r="L99" i="4"/>
  <c r="K99" i="4"/>
  <c r="I99" i="4"/>
  <c r="L98" i="4"/>
  <c r="K98" i="4"/>
  <c r="I98" i="4"/>
  <c r="L97" i="4"/>
  <c r="K97" i="4"/>
  <c r="I97" i="4"/>
  <c r="L96" i="4"/>
  <c r="K96" i="4"/>
  <c r="I96" i="4"/>
  <c r="L95" i="4"/>
  <c r="K95" i="4"/>
  <c r="I95" i="4"/>
  <c r="L94" i="4"/>
  <c r="K94" i="4"/>
  <c r="I94" i="4"/>
  <c r="L93" i="4"/>
  <c r="K93" i="4"/>
  <c r="I93" i="4"/>
  <c r="L92" i="4"/>
  <c r="K92" i="4"/>
  <c r="I92" i="4"/>
  <c r="L91" i="4"/>
  <c r="K91" i="4"/>
  <c r="I91" i="4"/>
  <c r="L90" i="4"/>
  <c r="K90" i="4"/>
  <c r="I90" i="4"/>
  <c r="L89" i="4"/>
  <c r="K89" i="4"/>
  <c r="I89" i="4"/>
  <c r="L88" i="4"/>
  <c r="K88" i="4"/>
  <c r="I88" i="4"/>
  <c r="L87" i="4"/>
  <c r="K87" i="4"/>
  <c r="I87" i="4"/>
  <c r="L86" i="4"/>
  <c r="K86" i="4"/>
  <c r="I86" i="4"/>
  <c r="L85" i="4"/>
  <c r="K85" i="4"/>
  <c r="I85" i="4"/>
  <c r="L84" i="4"/>
  <c r="K84" i="4"/>
  <c r="I84" i="4"/>
  <c r="L83" i="4"/>
  <c r="K83" i="4"/>
  <c r="I83" i="4"/>
  <c r="L82" i="4"/>
  <c r="K82" i="4"/>
  <c r="I82" i="4"/>
  <c r="L81" i="4"/>
  <c r="K81" i="4"/>
  <c r="I81" i="4"/>
  <c r="L80" i="4"/>
  <c r="K80" i="4"/>
  <c r="I80" i="4"/>
  <c r="L79" i="4"/>
  <c r="K79" i="4"/>
  <c r="I79" i="4"/>
  <c r="L78" i="4"/>
  <c r="K78" i="4"/>
  <c r="I78" i="4"/>
  <c r="L77" i="4"/>
  <c r="K77" i="4"/>
  <c r="I77" i="4"/>
  <c r="L76" i="4"/>
  <c r="K76" i="4"/>
  <c r="I76" i="4"/>
  <c r="L75" i="4"/>
  <c r="K75" i="4"/>
  <c r="I75" i="4"/>
  <c r="L74" i="4"/>
  <c r="K74" i="4"/>
  <c r="I74" i="4"/>
  <c r="L73" i="4"/>
  <c r="K73" i="4"/>
  <c r="I73" i="4"/>
  <c r="L72" i="4"/>
  <c r="K72" i="4"/>
  <c r="I72" i="4"/>
  <c r="L71" i="4"/>
  <c r="K71" i="4"/>
  <c r="I71" i="4"/>
  <c r="L70" i="4"/>
  <c r="K70" i="4"/>
  <c r="I70" i="4"/>
  <c r="L69" i="4"/>
  <c r="K69" i="4"/>
  <c r="I69" i="4"/>
  <c r="L68" i="4"/>
  <c r="K68" i="4"/>
  <c r="I68" i="4"/>
  <c r="L67" i="4"/>
  <c r="K67" i="4"/>
  <c r="I67" i="4"/>
  <c r="L66" i="4"/>
  <c r="K66" i="4"/>
  <c r="I66" i="4"/>
  <c r="L65" i="4"/>
  <c r="K65" i="4"/>
  <c r="I65" i="4"/>
  <c r="L64" i="4"/>
  <c r="K64" i="4"/>
  <c r="I64" i="4"/>
  <c r="L63" i="4"/>
  <c r="K63" i="4"/>
  <c r="I63" i="4"/>
  <c r="L62" i="4"/>
  <c r="K62" i="4"/>
  <c r="I62" i="4"/>
  <c r="L61" i="4"/>
  <c r="K61" i="4"/>
  <c r="I61" i="4"/>
  <c r="L60" i="4"/>
  <c r="K60" i="4"/>
  <c r="I60" i="4"/>
  <c r="L59" i="4"/>
  <c r="K59" i="4"/>
  <c r="I59" i="4"/>
  <c r="L58" i="4"/>
  <c r="K58" i="4"/>
  <c r="I58" i="4"/>
  <c r="L57" i="4"/>
  <c r="K57" i="4"/>
  <c r="I57" i="4"/>
  <c r="L56" i="4"/>
  <c r="K56" i="4"/>
  <c r="I56" i="4"/>
  <c r="L55" i="4"/>
  <c r="K55" i="4"/>
  <c r="I55" i="4"/>
  <c r="L54" i="4"/>
  <c r="K54" i="4"/>
  <c r="I54" i="4"/>
  <c r="L53" i="4"/>
  <c r="K53" i="4"/>
  <c r="I53" i="4"/>
  <c r="L52" i="4"/>
  <c r="K52" i="4"/>
  <c r="I52" i="4"/>
  <c r="L51" i="4"/>
  <c r="K51" i="4"/>
  <c r="I51" i="4"/>
  <c r="L50" i="4"/>
  <c r="K50" i="4"/>
  <c r="I50" i="4"/>
  <c r="L49" i="4"/>
  <c r="K49" i="4"/>
  <c r="I49" i="4"/>
  <c r="L48" i="4"/>
  <c r="K48" i="4"/>
  <c r="I48" i="4"/>
  <c r="L47" i="4"/>
  <c r="K47" i="4"/>
  <c r="I47" i="4"/>
  <c r="L46" i="4"/>
  <c r="K46" i="4"/>
  <c r="I46" i="4"/>
  <c r="L45" i="4"/>
  <c r="K45" i="4"/>
  <c r="I45" i="4"/>
  <c r="L44" i="4"/>
  <c r="K44" i="4"/>
  <c r="I44" i="4"/>
  <c r="L43" i="4"/>
  <c r="K43" i="4"/>
  <c r="I43" i="4"/>
  <c r="L42" i="4"/>
  <c r="K42" i="4"/>
  <c r="I42" i="4"/>
  <c r="L41" i="4"/>
  <c r="K41" i="4"/>
  <c r="I41" i="4"/>
  <c r="L40" i="4"/>
  <c r="K40" i="4"/>
  <c r="I40" i="4"/>
  <c r="L39" i="4"/>
  <c r="K39" i="4"/>
  <c r="I39" i="4"/>
  <c r="L38" i="4"/>
  <c r="K38" i="4"/>
  <c r="I38" i="4"/>
  <c r="L37" i="4"/>
  <c r="K37" i="4"/>
  <c r="I37" i="4"/>
  <c r="L36" i="4"/>
  <c r="K36" i="4"/>
  <c r="I36" i="4"/>
  <c r="L35" i="4"/>
  <c r="K35" i="4"/>
  <c r="I35" i="4"/>
  <c r="L34" i="4"/>
  <c r="K34" i="4"/>
  <c r="I34" i="4"/>
  <c r="L33" i="4"/>
  <c r="K33" i="4"/>
  <c r="I33" i="4"/>
  <c r="L32" i="4"/>
  <c r="K32" i="4"/>
  <c r="I32" i="4"/>
  <c r="L31" i="4"/>
  <c r="K31" i="4"/>
  <c r="I31" i="4"/>
  <c r="L30" i="4"/>
  <c r="K30" i="4"/>
  <c r="I30" i="4"/>
  <c r="L29" i="4"/>
  <c r="K29" i="4"/>
  <c r="I29" i="4"/>
  <c r="L28" i="4"/>
  <c r="K28" i="4"/>
  <c r="I28" i="4"/>
  <c r="L27" i="4"/>
  <c r="K27" i="4"/>
  <c r="I27" i="4"/>
  <c r="L26" i="4"/>
  <c r="K26" i="4"/>
  <c r="I26" i="4"/>
  <c r="L25" i="4"/>
  <c r="K25" i="4"/>
  <c r="I25" i="4"/>
  <c r="L24" i="4"/>
  <c r="K24" i="4"/>
  <c r="I24" i="4"/>
  <c r="L23" i="4"/>
  <c r="K23" i="4"/>
  <c r="I23" i="4"/>
  <c r="L22" i="4"/>
  <c r="K22" i="4"/>
  <c r="I22" i="4"/>
  <c r="L21" i="4"/>
  <c r="K21" i="4"/>
  <c r="I21" i="4"/>
  <c r="L20" i="4"/>
  <c r="K20" i="4"/>
  <c r="I20" i="4"/>
  <c r="L19" i="4"/>
  <c r="K19" i="4"/>
  <c r="I19" i="4"/>
  <c r="L18" i="4"/>
  <c r="K18" i="4"/>
  <c r="I18" i="4"/>
  <c r="L17" i="4"/>
  <c r="K17" i="4"/>
  <c r="I17" i="4"/>
  <c r="L16" i="4"/>
  <c r="K16" i="4"/>
  <c r="I16" i="4"/>
  <c r="L15" i="4"/>
  <c r="K15" i="4"/>
  <c r="I15" i="4"/>
  <c r="L14" i="4"/>
  <c r="K14" i="4"/>
  <c r="I14" i="4"/>
  <c r="L13" i="4"/>
  <c r="K13" i="4"/>
  <c r="I13" i="4"/>
  <c r="L12" i="4"/>
  <c r="K12" i="4"/>
  <c r="I12" i="4"/>
  <c r="L11" i="4"/>
  <c r="K11" i="4"/>
  <c r="I11" i="4"/>
  <c r="L10" i="4"/>
  <c r="K10" i="4"/>
  <c r="I10" i="4"/>
  <c r="L9" i="4"/>
  <c r="K9" i="4"/>
  <c r="I9" i="4"/>
  <c r="L8" i="4"/>
  <c r="K8" i="4"/>
  <c r="I8" i="4"/>
  <c r="L7" i="4"/>
  <c r="K7" i="4"/>
  <c r="I7" i="4"/>
  <c r="X2006" i="2"/>
  <c r="S2006" i="2"/>
  <c r="Q2006" i="2"/>
  <c r="P2006" i="2"/>
  <c r="L2006" i="2"/>
  <c r="K2006" i="2"/>
  <c r="H2006" i="2"/>
  <c r="I2006" i="2" s="1"/>
  <c r="J2006" i="2" s="1"/>
  <c r="C2006" i="2"/>
  <c r="B2006" i="2"/>
  <c r="A2006" i="2"/>
  <c r="X2005" i="2"/>
  <c r="S2005" i="2"/>
  <c r="Q2005" i="2"/>
  <c r="P2005" i="2"/>
  <c r="L2005" i="2"/>
  <c r="K2005" i="2"/>
  <c r="H2005" i="2"/>
  <c r="I2005" i="2" s="1"/>
  <c r="J2005" i="2" s="1"/>
  <c r="C2005" i="2"/>
  <c r="B2005" i="2"/>
  <c r="A2005" i="2"/>
  <c r="X2004" i="2"/>
  <c r="S2004" i="2"/>
  <c r="Q2004" i="2"/>
  <c r="P2004" i="2"/>
  <c r="L2004" i="2"/>
  <c r="K2004" i="2"/>
  <c r="H2004" i="2"/>
  <c r="I2004" i="2" s="1"/>
  <c r="J2004" i="2" s="1"/>
  <c r="C2004" i="2"/>
  <c r="B2004" i="2"/>
  <c r="A2004" i="2"/>
  <c r="X2003" i="2"/>
  <c r="S2003" i="2"/>
  <c r="Q2003" i="2"/>
  <c r="P2003" i="2"/>
  <c r="L2003" i="2"/>
  <c r="K2003" i="2"/>
  <c r="H2003" i="2"/>
  <c r="I2003" i="2" s="1"/>
  <c r="J2003" i="2" s="1"/>
  <c r="C2003" i="2"/>
  <c r="B2003" i="2"/>
  <c r="A2003" i="2"/>
  <c r="X2002" i="2"/>
  <c r="S2002" i="2"/>
  <c r="Q2002" i="2"/>
  <c r="P2002" i="2"/>
  <c r="L2002" i="2"/>
  <c r="K2002" i="2"/>
  <c r="H2002" i="2"/>
  <c r="I2002" i="2" s="1"/>
  <c r="J2002" i="2" s="1"/>
  <c r="C2002" i="2"/>
  <c r="B2002" i="2"/>
  <c r="A2002" i="2"/>
  <c r="X2001" i="2"/>
  <c r="S2001" i="2"/>
  <c r="Q2001" i="2"/>
  <c r="P2001" i="2"/>
  <c r="L2001" i="2"/>
  <c r="K2001" i="2"/>
  <c r="H2001" i="2"/>
  <c r="I2001" i="2" s="1"/>
  <c r="J2001" i="2" s="1"/>
  <c r="C2001" i="2"/>
  <c r="B2001" i="2"/>
  <c r="A2001" i="2"/>
  <c r="X2000" i="2"/>
  <c r="S2000" i="2"/>
  <c r="Q2000" i="2"/>
  <c r="P2000" i="2"/>
  <c r="L2000" i="2"/>
  <c r="K2000" i="2"/>
  <c r="H2000" i="2"/>
  <c r="I2000" i="2" s="1"/>
  <c r="J2000" i="2" s="1"/>
  <c r="C2000" i="2"/>
  <c r="B2000" i="2"/>
  <c r="A2000" i="2"/>
  <c r="X1999" i="2"/>
  <c r="S1999" i="2"/>
  <c r="Q1999" i="2"/>
  <c r="P1999" i="2"/>
  <c r="L1999" i="2"/>
  <c r="K1999" i="2"/>
  <c r="H1999" i="2"/>
  <c r="I1999" i="2" s="1"/>
  <c r="J1999" i="2" s="1"/>
  <c r="C1999" i="2"/>
  <c r="B1999" i="2"/>
  <c r="A1999" i="2"/>
  <c r="X1998" i="2"/>
  <c r="S1998" i="2"/>
  <c r="Q1998" i="2"/>
  <c r="P1998" i="2"/>
  <c r="L1998" i="2"/>
  <c r="K1998" i="2"/>
  <c r="H1998" i="2"/>
  <c r="I1998" i="2" s="1"/>
  <c r="J1998" i="2" s="1"/>
  <c r="C1998" i="2"/>
  <c r="B1998" i="2"/>
  <c r="A1998" i="2"/>
  <c r="X1997" i="2"/>
  <c r="S1997" i="2"/>
  <c r="Q1997" i="2"/>
  <c r="P1997" i="2"/>
  <c r="L1997" i="2"/>
  <c r="K1997" i="2"/>
  <c r="H1997" i="2"/>
  <c r="I1997" i="2" s="1"/>
  <c r="J1997" i="2" s="1"/>
  <c r="C1997" i="2"/>
  <c r="B1997" i="2"/>
  <c r="A1997" i="2"/>
  <c r="X1996" i="2"/>
  <c r="S1996" i="2"/>
  <c r="Q1996" i="2"/>
  <c r="P1996" i="2"/>
  <c r="L1996" i="2"/>
  <c r="K1996" i="2"/>
  <c r="H1996" i="2"/>
  <c r="I1996" i="2" s="1"/>
  <c r="J1996" i="2" s="1"/>
  <c r="C1996" i="2"/>
  <c r="B1996" i="2"/>
  <c r="A1996" i="2"/>
  <c r="X1995" i="2"/>
  <c r="S1995" i="2"/>
  <c r="Q1995" i="2"/>
  <c r="P1995" i="2"/>
  <c r="L1995" i="2"/>
  <c r="K1995" i="2"/>
  <c r="H1995" i="2"/>
  <c r="I1995" i="2" s="1"/>
  <c r="J1995" i="2" s="1"/>
  <c r="C1995" i="2"/>
  <c r="B1995" i="2"/>
  <c r="A1995" i="2"/>
  <c r="X1994" i="2"/>
  <c r="S1994" i="2"/>
  <c r="Q1994" i="2"/>
  <c r="P1994" i="2"/>
  <c r="L1994" i="2"/>
  <c r="K1994" i="2"/>
  <c r="H1994" i="2"/>
  <c r="I1994" i="2" s="1"/>
  <c r="J1994" i="2" s="1"/>
  <c r="C1994" i="2"/>
  <c r="B1994" i="2"/>
  <c r="A1994" i="2"/>
  <c r="X1993" i="2"/>
  <c r="S1993" i="2"/>
  <c r="Q1993" i="2"/>
  <c r="P1993" i="2"/>
  <c r="L1993" i="2"/>
  <c r="K1993" i="2"/>
  <c r="H1993" i="2"/>
  <c r="I1993" i="2" s="1"/>
  <c r="J1993" i="2" s="1"/>
  <c r="C1993" i="2"/>
  <c r="B1993" i="2"/>
  <c r="A1993" i="2"/>
  <c r="X1992" i="2"/>
  <c r="S1992" i="2"/>
  <c r="Q1992" i="2"/>
  <c r="P1992" i="2"/>
  <c r="L1992" i="2"/>
  <c r="K1992" i="2"/>
  <c r="H1992" i="2"/>
  <c r="I1992" i="2" s="1"/>
  <c r="J1992" i="2" s="1"/>
  <c r="C1992" i="2"/>
  <c r="B1992" i="2"/>
  <c r="A1992" i="2"/>
  <c r="X1991" i="2"/>
  <c r="S1991" i="2"/>
  <c r="Q1991" i="2"/>
  <c r="P1991" i="2"/>
  <c r="L1991" i="2"/>
  <c r="K1991" i="2"/>
  <c r="H1991" i="2"/>
  <c r="I1991" i="2" s="1"/>
  <c r="J1991" i="2" s="1"/>
  <c r="C1991" i="2"/>
  <c r="B1991" i="2"/>
  <c r="A1991" i="2"/>
  <c r="X1990" i="2"/>
  <c r="S1990" i="2"/>
  <c r="Q1990" i="2"/>
  <c r="P1990" i="2"/>
  <c r="L1990" i="2"/>
  <c r="K1990" i="2"/>
  <c r="H1990" i="2"/>
  <c r="I1990" i="2" s="1"/>
  <c r="J1990" i="2" s="1"/>
  <c r="C1990" i="2"/>
  <c r="B1990" i="2"/>
  <c r="A1990" i="2"/>
  <c r="X1989" i="2"/>
  <c r="S1989" i="2"/>
  <c r="Q1989" i="2"/>
  <c r="P1989" i="2"/>
  <c r="L1989" i="2"/>
  <c r="K1989" i="2"/>
  <c r="H1989" i="2"/>
  <c r="I1989" i="2" s="1"/>
  <c r="J1989" i="2" s="1"/>
  <c r="C1989" i="2"/>
  <c r="B1989" i="2"/>
  <c r="A1989" i="2"/>
  <c r="X1988" i="2"/>
  <c r="S1988" i="2"/>
  <c r="Q1988" i="2"/>
  <c r="P1988" i="2"/>
  <c r="L1988" i="2"/>
  <c r="K1988" i="2"/>
  <c r="H1988" i="2"/>
  <c r="I1988" i="2" s="1"/>
  <c r="J1988" i="2" s="1"/>
  <c r="C1988" i="2"/>
  <c r="B1988" i="2"/>
  <c r="A1988" i="2"/>
  <c r="X1987" i="2"/>
  <c r="S1987" i="2"/>
  <c r="Q1987" i="2"/>
  <c r="P1987" i="2"/>
  <c r="L1987" i="2"/>
  <c r="K1987" i="2"/>
  <c r="H1987" i="2"/>
  <c r="I1987" i="2" s="1"/>
  <c r="J1987" i="2" s="1"/>
  <c r="C1987" i="2"/>
  <c r="B1987" i="2"/>
  <c r="A1987" i="2"/>
  <c r="X1986" i="2"/>
  <c r="S1986" i="2"/>
  <c r="R1986" i="2"/>
  <c r="Q1986" i="2"/>
  <c r="P1986" i="2"/>
  <c r="L1986" i="2"/>
  <c r="K1986" i="2"/>
  <c r="H1986" i="2"/>
  <c r="I1986" i="2" s="1"/>
  <c r="J1986" i="2" s="1"/>
  <c r="C1986" i="2"/>
  <c r="B1986" i="2"/>
  <c r="A1986" i="2"/>
  <c r="X1985" i="2"/>
  <c r="S1985" i="2"/>
  <c r="R1985" i="2"/>
  <c r="Q1985" i="2"/>
  <c r="P1985" i="2"/>
  <c r="L1985" i="2"/>
  <c r="K1985" i="2"/>
  <c r="H1985" i="2"/>
  <c r="I1985" i="2" s="1"/>
  <c r="J1985" i="2" s="1"/>
  <c r="C1985" i="2"/>
  <c r="B1985" i="2"/>
  <c r="A1985" i="2"/>
  <c r="X1984" i="2"/>
  <c r="S1984" i="2"/>
  <c r="R1984" i="2"/>
  <c r="Q1984" i="2"/>
  <c r="P1984" i="2"/>
  <c r="L1984" i="2"/>
  <c r="K1984" i="2"/>
  <c r="H1984" i="2"/>
  <c r="I1984" i="2" s="1"/>
  <c r="J1984" i="2" s="1"/>
  <c r="C1984" i="2"/>
  <c r="B1984" i="2"/>
  <c r="A1984" i="2"/>
  <c r="X1983" i="2"/>
  <c r="S1983" i="2"/>
  <c r="R1983" i="2"/>
  <c r="Q1983" i="2"/>
  <c r="P1983" i="2"/>
  <c r="L1983" i="2"/>
  <c r="K1983" i="2"/>
  <c r="H1983" i="2"/>
  <c r="I1983" i="2" s="1"/>
  <c r="J1983" i="2" s="1"/>
  <c r="C1983" i="2"/>
  <c r="B1983" i="2"/>
  <c r="A1983" i="2"/>
  <c r="X1982" i="2"/>
  <c r="S1982" i="2"/>
  <c r="R1982" i="2"/>
  <c r="Q1982" i="2"/>
  <c r="P1982" i="2"/>
  <c r="L1982" i="2"/>
  <c r="K1982" i="2"/>
  <c r="H1982" i="2"/>
  <c r="I1982" i="2" s="1"/>
  <c r="J1982" i="2" s="1"/>
  <c r="C1982" i="2"/>
  <c r="B1982" i="2"/>
  <c r="A1982" i="2"/>
  <c r="X1981" i="2"/>
  <c r="S1981" i="2"/>
  <c r="R1981" i="2"/>
  <c r="Q1981" i="2"/>
  <c r="P1981" i="2"/>
  <c r="L1981" i="2"/>
  <c r="K1981" i="2"/>
  <c r="H1981" i="2"/>
  <c r="I1981" i="2" s="1"/>
  <c r="J1981" i="2" s="1"/>
  <c r="C1981" i="2"/>
  <c r="B1981" i="2"/>
  <c r="A1981" i="2"/>
  <c r="X1980" i="2"/>
  <c r="S1980" i="2"/>
  <c r="R1980" i="2"/>
  <c r="Q1980" i="2"/>
  <c r="P1980" i="2"/>
  <c r="L1980" i="2"/>
  <c r="K1980" i="2"/>
  <c r="H1980" i="2"/>
  <c r="I1980" i="2" s="1"/>
  <c r="J1980" i="2" s="1"/>
  <c r="C1980" i="2"/>
  <c r="B1980" i="2"/>
  <c r="A1980" i="2"/>
  <c r="X1979" i="2"/>
  <c r="S1979" i="2"/>
  <c r="R1979" i="2"/>
  <c r="Q1979" i="2"/>
  <c r="P1979" i="2"/>
  <c r="L1979" i="2"/>
  <c r="K1979" i="2"/>
  <c r="H1979" i="2"/>
  <c r="I1979" i="2" s="1"/>
  <c r="J1979" i="2" s="1"/>
  <c r="C1979" i="2"/>
  <c r="B1979" i="2"/>
  <c r="A1979" i="2"/>
  <c r="X1978" i="2"/>
  <c r="S1978" i="2"/>
  <c r="R1978" i="2"/>
  <c r="Q1978" i="2"/>
  <c r="P1978" i="2"/>
  <c r="L1978" i="2"/>
  <c r="K1978" i="2"/>
  <c r="H1978" i="2"/>
  <c r="I1978" i="2" s="1"/>
  <c r="J1978" i="2" s="1"/>
  <c r="C1978" i="2"/>
  <c r="B1978" i="2"/>
  <c r="A1978" i="2"/>
  <c r="X1977" i="2"/>
  <c r="S1977" i="2"/>
  <c r="R1977" i="2"/>
  <c r="Q1977" i="2"/>
  <c r="P1977" i="2"/>
  <c r="L1977" i="2"/>
  <c r="K1977" i="2"/>
  <c r="H1977" i="2"/>
  <c r="I1977" i="2" s="1"/>
  <c r="J1977" i="2" s="1"/>
  <c r="C1977" i="2"/>
  <c r="B1977" i="2"/>
  <c r="A1977" i="2"/>
  <c r="X1976" i="2"/>
  <c r="S1976" i="2"/>
  <c r="R1976" i="2"/>
  <c r="Q1976" i="2"/>
  <c r="P1976" i="2"/>
  <c r="L1976" i="2"/>
  <c r="K1976" i="2"/>
  <c r="H1976" i="2"/>
  <c r="I1976" i="2" s="1"/>
  <c r="J1976" i="2" s="1"/>
  <c r="C1976" i="2"/>
  <c r="B1976" i="2"/>
  <c r="A1976" i="2"/>
  <c r="X1975" i="2"/>
  <c r="S1975" i="2"/>
  <c r="R1975" i="2"/>
  <c r="Q1975" i="2"/>
  <c r="P1975" i="2"/>
  <c r="L1975" i="2"/>
  <c r="K1975" i="2"/>
  <c r="H1975" i="2"/>
  <c r="I1975" i="2" s="1"/>
  <c r="J1975" i="2" s="1"/>
  <c r="C1975" i="2"/>
  <c r="B1975" i="2"/>
  <c r="A1975" i="2"/>
  <c r="X1974" i="2"/>
  <c r="S1974" i="2"/>
  <c r="R1974" i="2"/>
  <c r="Q1974" i="2"/>
  <c r="P1974" i="2"/>
  <c r="L1974" i="2"/>
  <c r="K1974" i="2"/>
  <c r="H1974" i="2"/>
  <c r="I1974" i="2" s="1"/>
  <c r="J1974" i="2" s="1"/>
  <c r="C1974" i="2"/>
  <c r="B1974" i="2"/>
  <c r="A1974" i="2"/>
  <c r="X1973" i="2"/>
  <c r="S1973" i="2"/>
  <c r="R1973" i="2"/>
  <c r="Q1973" i="2"/>
  <c r="P1973" i="2"/>
  <c r="L1973" i="2"/>
  <c r="K1973" i="2"/>
  <c r="H1973" i="2"/>
  <c r="I1973" i="2" s="1"/>
  <c r="J1973" i="2" s="1"/>
  <c r="C1973" i="2"/>
  <c r="B1973" i="2"/>
  <c r="A1973" i="2"/>
  <c r="X1972" i="2"/>
  <c r="S1972" i="2"/>
  <c r="R1972" i="2"/>
  <c r="Q1972" i="2"/>
  <c r="P1972" i="2"/>
  <c r="L1972" i="2"/>
  <c r="K1972" i="2"/>
  <c r="H1972" i="2"/>
  <c r="I1972" i="2" s="1"/>
  <c r="J1972" i="2" s="1"/>
  <c r="C1972" i="2"/>
  <c r="B1972" i="2"/>
  <c r="A1972" i="2"/>
  <c r="X1971" i="2"/>
  <c r="S1971" i="2"/>
  <c r="R1971" i="2"/>
  <c r="Q1971" i="2"/>
  <c r="P1971" i="2"/>
  <c r="L1971" i="2"/>
  <c r="K1971" i="2"/>
  <c r="H1971" i="2"/>
  <c r="I1971" i="2" s="1"/>
  <c r="J1971" i="2" s="1"/>
  <c r="C1971" i="2"/>
  <c r="B1971" i="2"/>
  <c r="A1971" i="2"/>
  <c r="X1970" i="2"/>
  <c r="S1970" i="2"/>
  <c r="R1970" i="2"/>
  <c r="Q1970" i="2"/>
  <c r="P1970" i="2"/>
  <c r="L1970" i="2"/>
  <c r="K1970" i="2"/>
  <c r="H1970" i="2"/>
  <c r="I1970" i="2" s="1"/>
  <c r="J1970" i="2" s="1"/>
  <c r="C1970" i="2"/>
  <c r="B1970" i="2"/>
  <c r="A1970" i="2"/>
  <c r="X1969" i="2"/>
  <c r="S1969" i="2"/>
  <c r="R1969" i="2"/>
  <c r="Q1969" i="2"/>
  <c r="P1969" i="2"/>
  <c r="L1969" i="2"/>
  <c r="K1969" i="2"/>
  <c r="H1969" i="2"/>
  <c r="I1969" i="2" s="1"/>
  <c r="J1969" i="2" s="1"/>
  <c r="C1969" i="2"/>
  <c r="B1969" i="2"/>
  <c r="A1969" i="2"/>
  <c r="X1968" i="2"/>
  <c r="S1968" i="2"/>
  <c r="R1968" i="2"/>
  <c r="Q1968" i="2"/>
  <c r="P1968" i="2"/>
  <c r="L1968" i="2"/>
  <c r="K1968" i="2"/>
  <c r="H1968" i="2"/>
  <c r="I1968" i="2" s="1"/>
  <c r="J1968" i="2" s="1"/>
  <c r="C1968" i="2"/>
  <c r="B1968" i="2"/>
  <c r="A1968" i="2"/>
  <c r="X1967" i="2"/>
  <c r="S1967" i="2"/>
  <c r="R1967" i="2"/>
  <c r="Q1967" i="2"/>
  <c r="P1967" i="2"/>
  <c r="L1967" i="2"/>
  <c r="K1967" i="2"/>
  <c r="H1967" i="2"/>
  <c r="I1967" i="2" s="1"/>
  <c r="J1967" i="2" s="1"/>
  <c r="C1967" i="2"/>
  <c r="B1967" i="2"/>
  <c r="A1967" i="2"/>
  <c r="X1966" i="2"/>
  <c r="S1966" i="2"/>
  <c r="R1966" i="2"/>
  <c r="Q1966" i="2"/>
  <c r="P1966" i="2"/>
  <c r="L1966" i="2"/>
  <c r="K1966" i="2"/>
  <c r="H1966" i="2"/>
  <c r="I1966" i="2" s="1"/>
  <c r="J1966" i="2" s="1"/>
  <c r="C1966" i="2"/>
  <c r="B1966" i="2"/>
  <c r="A1966" i="2"/>
  <c r="X1965" i="2"/>
  <c r="S1965" i="2"/>
  <c r="R1965" i="2"/>
  <c r="Q1965" i="2"/>
  <c r="P1965" i="2"/>
  <c r="L1965" i="2"/>
  <c r="K1965" i="2"/>
  <c r="H1965" i="2"/>
  <c r="I1965" i="2" s="1"/>
  <c r="J1965" i="2" s="1"/>
  <c r="C1965" i="2"/>
  <c r="B1965" i="2"/>
  <c r="A1965" i="2"/>
  <c r="X1964" i="2"/>
  <c r="S1964" i="2"/>
  <c r="R1964" i="2"/>
  <c r="Q1964" i="2"/>
  <c r="P1964" i="2"/>
  <c r="L1964" i="2"/>
  <c r="K1964" i="2"/>
  <c r="H1964" i="2"/>
  <c r="I1964" i="2" s="1"/>
  <c r="J1964" i="2" s="1"/>
  <c r="C1964" i="2"/>
  <c r="B1964" i="2"/>
  <c r="A1964" i="2"/>
  <c r="X1963" i="2"/>
  <c r="S1963" i="2"/>
  <c r="R1963" i="2"/>
  <c r="Q1963" i="2"/>
  <c r="P1963" i="2"/>
  <c r="L1963" i="2"/>
  <c r="K1963" i="2"/>
  <c r="H1963" i="2"/>
  <c r="I1963" i="2" s="1"/>
  <c r="J1963" i="2" s="1"/>
  <c r="C1963" i="2"/>
  <c r="B1963" i="2"/>
  <c r="A1963" i="2"/>
  <c r="X1962" i="2"/>
  <c r="S1962" i="2"/>
  <c r="R1962" i="2"/>
  <c r="Q1962" i="2"/>
  <c r="P1962" i="2"/>
  <c r="L1962" i="2"/>
  <c r="K1962" i="2"/>
  <c r="H1962" i="2"/>
  <c r="I1962" i="2" s="1"/>
  <c r="J1962" i="2" s="1"/>
  <c r="C1962" i="2"/>
  <c r="B1962" i="2"/>
  <c r="A1962" i="2"/>
  <c r="X1961" i="2"/>
  <c r="S1961" i="2"/>
  <c r="R1961" i="2"/>
  <c r="Q1961" i="2"/>
  <c r="P1961" i="2"/>
  <c r="L1961" i="2"/>
  <c r="K1961" i="2"/>
  <c r="H1961" i="2"/>
  <c r="I1961" i="2" s="1"/>
  <c r="J1961" i="2" s="1"/>
  <c r="C1961" i="2"/>
  <c r="B1961" i="2"/>
  <c r="A1961" i="2"/>
  <c r="X1960" i="2"/>
  <c r="S1960" i="2"/>
  <c r="R1960" i="2"/>
  <c r="Q1960" i="2"/>
  <c r="P1960" i="2"/>
  <c r="L1960" i="2"/>
  <c r="K1960" i="2"/>
  <c r="H1960" i="2"/>
  <c r="I1960" i="2" s="1"/>
  <c r="J1960" i="2" s="1"/>
  <c r="C1960" i="2"/>
  <c r="B1960" i="2"/>
  <c r="A1960" i="2"/>
  <c r="X1959" i="2"/>
  <c r="S1959" i="2"/>
  <c r="R1959" i="2"/>
  <c r="Q1959" i="2"/>
  <c r="P1959" i="2"/>
  <c r="L1959" i="2"/>
  <c r="K1959" i="2"/>
  <c r="H1959" i="2"/>
  <c r="I1959" i="2" s="1"/>
  <c r="J1959" i="2" s="1"/>
  <c r="C1959" i="2"/>
  <c r="B1959" i="2"/>
  <c r="A1959" i="2"/>
  <c r="X1958" i="2"/>
  <c r="S1958" i="2"/>
  <c r="R1958" i="2"/>
  <c r="Q1958" i="2"/>
  <c r="P1958" i="2"/>
  <c r="L1958" i="2"/>
  <c r="K1958" i="2"/>
  <c r="H1958" i="2"/>
  <c r="I1958" i="2" s="1"/>
  <c r="J1958" i="2" s="1"/>
  <c r="C1958" i="2"/>
  <c r="B1958" i="2"/>
  <c r="A1958" i="2"/>
  <c r="X1957" i="2"/>
  <c r="S1957" i="2"/>
  <c r="R1957" i="2"/>
  <c r="Q1957" i="2"/>
  <c r="P1957" i="2"/>
  <c r="L1957" i="2"/>
  <c r="K1957" i="2"/>
  <c r="H1957" i="2"/>
  <c r="I1957" i="2" s="1"/>
  <c r="J1957" i="2" s="1"/>
  <c r="C1957" i="2"/>
  <c r="B1957" i="2"/>
  <c r="A1957" i="2"/>
  <c r="X1956" i="2"/>
  <c r="S1956" i="2"/>
  <c r="R1956" i="2"/>
  <c r="Q1956" i="2"/>
  <c r="P1956" i="2"/>
  <c r="L1956" i="2"/>
  <c r="K1956" i="2"/>
  <c r="H1956" i="2"/>
  <c r="I1956" i="2" s="1"/>
  <c r="J1956" i="2" s="1"/>
  <c r="C1956" i="2"/>
  <c r="B1956" i="2"/>
  <c r="A1956" i="2"/>
  <c r="X1955" i="2"/>
  <c r="S1955" i="2"/>
  <c r="R1955" i="2"/>
  <c r="Q1955" i="2"/>
  <c r="P1955" i="2"/>
  <c r="L1955" i="2"/>
  <c r="K1955" i="2"/>
  <c r="H1955" i="2"/>
  <c r="I1955" i="2" s="1"/>
  <c r="J1955" i="2" s="1"/>
  <c r="C1955" i="2"/>
  <c r="B1955" i="2"/>
  <c r="A1955" i="2"/>
  <c r="X1954" i="2"/>
  <c r="S1954" i="2"/>
  <c r="R1954" i="2"/>
  <c r="Q1954" i="2"/>
  <c r="P1954" i="2"/>
  <c r="L1954" i="2"/>
  <c r="K1954" i="2"/>
  <c r="H1954" i="2"/>
  <c r="I1954" i="2" s="1"/>
  <c r="J1954" i="2" s="1"/>
  <c r="C1954" i="2"/>
  <c r="B1954" i="2"/>
  <c r="A1954" i="2"/>
  <c r="X1953" i="2"/>
  <c r="S1953" i="2"/>
  <c r="R1953" i="2"/>
  <c r="Q1953" i="2"/>
  <c r="P1953" i="2"/>
  <c r="L1953" i="2"/>
  <c r="K1953" i="2"/>
  <c r="H1953" i="2"/>
  <c r="I1953" i="2" s="1"/>
  <c r="J1953" i="2" s="1"/>
  <c r="C1953" i="2"/>
  <c r="B1953" i="2"/>
  <c r="A1953" i="2"/>
  <c r="X1952" i="2"/>
  <c r="S1952" i="2"/>
  <c r="R1952" i="2"/>
  <c r="Q1952" i="2"/>
  <c r="P1952" i="2"/>
  <c r="L1952" i="2"/>
  <c r="K1952" i="2"/>
  <c r="H1952" i="2"/>
  <c r="I1952" i="2" s="1"/>
  <c r="J1952" i="2" s="1"/>
  <c r="C1952" i="2"/>
  <c r="B1952" i="2"/>
  <c r="A1952" i="2"/>
  <c r="X1951" i="2"/>
  <c r="S1951" i="2"/>
  <c r="R1951" i="2"/>
  <c r="Q1951" i="2"/>
  <c r="P1951" i="2"/>
  <c r="L1951" i="2"/>
  <c r="K1951" i="2"/>
  <c r="H1951" i="2"/>
  <c r="I1951" i="2" s="1"/>
  <c r="J1951" i="2" s="1"/>
  <c r="C1951" i="2"/>
  <c r="B1951" i="2"/>
  <c r="A1951" i="2"/>
  <c r="X1950" i="2"/>
  <c r="S1950" i="2"/>
  <c r="R1950" i="2"/>
  <c r="Q1950" i="2"/>
  <c r="P1950" i="2"/>
  <c r="L1950" i="2"/>
  <c r="K1950" i="2"/>
  <c r="H1950" i="2"/>
  <c r="I1950" i="2" s="1"/>
  <c r="J1950" i="2" s="1"/>
  <c r="C1950" i="2"/>
  <c r="B1950" i="2"/>
  <c r="A1950" i="2"/>
  <c r="X1949" i="2"/>
  <c r="S1949" i="2"/>
  <c r="R1949" i="2"/>
  <c r="Q1949" i="2"/>
  <c r="P1949" i="2"/>
  <c r="L1949" i="2"/>
  <c r="K1949" i="2"/>
  <c r="H1949" i="2"/>
  <c r="I1949" i="2" s="1"/>
  <c r="J1949" i="2" s="1"/>
  <c r="C1949" i="2"/>
  <c r="B1949" i="2"/>
  <c r="A1949" i="2"/>
  <c r="J1949" i="4" s="1"/>
  <c r="X1948" i="2"/>
  <c r="S1948" i="2"/>
  <c r="R1948" i="2"/>
  <c r="Q1948" i="2"/>
  <c r="P1948" i="2"/>
  <c r="L1948" i="2"/>
  <c r="K1948" i="2"/>
  <c r="H1948" i="2"/>
  <c r="I1948" i="2" s="1"/>
  <c r="J1948" i="2" s="1"/>
  <c r="C1948" i="2"/>
  <c r="B1948" i="2"/>
  <c r="A1948" i="2"/>
  <c r="J1948" i="4" s="1"/>
  <c r="X1947" i="2"/>
  <c r="S1947" i="2"/>
  <c r="R1947" i="2"/>
  <c r="Q1947" i="2"/>
  <c r="P1947" i="2"/>
  <c r="L1947" i="2"/>
  <c r="K1947" i="2"/>
  <c r="H1947" i="2"/>
  <c r="I1947" i="2" s="1"/>
  <c r="J1947" i="2" s="1"/>
  <c r="C1947" i="2"/>
  <c r="B1947" i="2"/>
  <c r="A1947" i="2"/>
  <c r="J1947" i="4" s="1"/>
  <c r="X1946" i="2"/>
  <c r="S1946" i="2"/>
  <c r="R1946" i="2"/>
  <c r="Q1946" i="2"/>
  <c r="P1946" i="2"/>
  <c r="L1946" i="2"/>
  <c r="K1946" i="2"/>
  <c r="H1946" i="2"/>
  <c r="I1946" i="2" s="1"/>
  <c r="J1946" i="2" s="1"/>
  <c r="C1946" i="2"/>
  <c r="B1946" i="2"/>
  <c r="A1946" i="2"/>
  <c r="J1946" i="4" s="1"/>
  <c r="X1945" i="2"/>
  <c r="S1945" i="2"/>
  <c r="R1945" i="2"/>
  <c r="Q1945" i="2"/>
  <c r="P1945" i="2"/>
  <c r="L1945" i="2"/>
  <c r="K1945" i="2"/>
  <c r="H1945" i="2"/>
  <c r="I1945" i="2" s="1"/>
  <c r="J1945" i="2" s="1"/>
  <c r="C1945" i="2"/>
  <c r="B1945" i="2"/>
  <c r="A1945" i="2"/>
  <c r="J1945" i="4" s="1"/>
  <c r="X1944" i="2"/>
  <c r="S1944" i="2"/>
  <c r="R1944" i="2"/>
  <c r="Q1944" i="2"/>
  <c r="P1944" i="2"/>
  <c r="L1944" i="2"/>
  <c r="K1944" i="2"/>
  <c r="H1944" i="2"/>
  <c r="I1944" i="2" s="1"/>
  <c r="J1944" i="2" s="1"/>
  <c r="C1944" i="2"/>
  <c r="B1944" i="2"/>
  <c r="A1944" i="2"/>
  <c r="J1944" i="4" s="1"/>
  <c r="X1943" i="2"/>
  <c r="S1943" i="2"/>
  <c r="R1943" i="2"/>
  <c r="Q1943" i="2"/>
  <c r="P1943" i="2"/>
  <c r="L1943" i="2"/>
  <c r="K1943" i="2"/>
  <c r="H1943" i="2"/>
  <c r="I1943" i="2" s="1"/>
  <c r="J1943" i="2" s="1"/>
  <c r="C1943" i="2"/>
  <c r="B1943" i="2"/>
  <c r="A1943" i="2"/>
  <c r="J1943" i="4" s="1"/>
  <c r="X1942" i="2"/>
  <c r="S1942" i="2"/>
  <c r="R1942" i="2"/>
  <c r="Q1942" i="2"/>
  <c r="P1942" i="2"/>
  <c r="L1942" i="2"/>
  <c r="K1942" i="2"/>
  <c r="H1942" i="2"/>
  <c r="I1942" i="2" s="1"/>
  <c r="J1942" i="2" s="1"/>
  <c r="C1942" i="2"/>
  <c r="B1942" i="2"/>
  <c r="A1942" i="2"/>
  <c r="J1942" i="4" s="1"/>
  <c r="X1941" i="2"/>
  <c r="S1941" i="2"/>
  <c r="R1941" i="2"/>
  <c r="Q1941" i="2"/>
  <c r="P1941" i="2"/>
  <c r="L1941" i="2"/>
  <c r="K1941" i="2"/>
  <c r="H1941" i="2"/>
  <c r="I1941" i="2" s="1"/>
  <c r="J1941" i="2" s="1"/>
  <c r="C1941" i="2"/>
  <c r="B1941" i="2"/>
  <c r="A1941" i="2"/>
  <c r="J1941" i="4" s="1"/>
  <c r="X1940" i="2"/>
  <c r="S1940" i="2"/>
  <c r="R1940" i="2"/>
  <c r="Q1940" i="2"/>
  <c r="P1940" i="2"/>
  <c r="L1940" i="2"/>
  <c r="K1940" i="2"/>
  <c r="H1940" i="2"/>
  <c r="I1940" i="2" s="1"/>
  <c r="J1940" i="2" s="1"/>
  <c r="C1940" i="2"/>
  <c r="B1940" i="2"/>
  <c r="A1940" i="2"/>
  <c r="J1940" i="4" s="1"/>
  <c r="X1939" i="2"/>
  <c r="S1939" i="2"/>
  <c r="R1939" i="2"/>
  <c r="Q1939" i="2"/>
  <c r="P1939" i="2"/>
  <c r="L1939" i="2"/>
  <c r="K1939" i="2"/>
  <c r="H1939" i="2"/>
  <c r="I1939" i="2" s="1"/>
  <c r="J1939" i="2" s="1"/>
  <c r="C1939" i="2"/>
  <c r="B1939" i="2"/>
  <c r="A1939" i="2"/>
  <c r="J1939" i="4" s="1"/>
  <c r="X1938" i="2"/>
  <c r="S1938" i="2"/>
  <c r="R1938" i="2"/>
  <c r="Q1938" i="2"/>
  <c r="P1938" i="2"/>
  <c r="L1938" i="2"/>
  <c r="K1938" i="2"/>
  <c r="H1938" i="2"/>
  <c r="I1938" i="2" s="1"/>
  <c r="J1938" i="2" s="1"/>
  <c r="C1938" i="2"/>
  <c r="B1938" i="2"/>
  <c r="A1938" i="2"/>
  <c r="J1938" i="4" s="1"/>
  <c r="X1937" i="2"/>
  <c r="S1937" i="2"/>
  <c r="R1937" i="2"/>
  <c r="Q1937" i="2"/>
  <c r="P1937" i="2"/>
  <c r="L1937" i="2"/>
  <c r="K1937" i="2"/>
  <c r="H1937" i="2"/>
  <c r="I1937" i="2" s="1"/>
  <c r="J1937" i="2" s="1"/>
  <c r="C1937" i="2"/>
  <c r="B1937" i="2"/>
  <c r="A1937" i="2"/>
  <c r="J1937" i="4" s="1"/>
  <c r="X1936" i="2"/>
  <c r="S1936" i="2"/>
  <c r="R1936" i="2"/>
  <c r="Q1936" i="2"/>
  <c r="P1936" i="2"/>
  <c r="L1936" i="2"/>
  <c r="K1936" i="2"/>
  <c r="H1936" i="2"/>
  <c r="I1936" i="2" s="1"/>
  <c r="J1936" i="2" s="1"/>
  <c r="C1936" i="2"/>
  <c r="B1936" i="2"/>
  <c r="A1936" i="2"/>
  <c r="J1936" i="4" s="1"/>
  <c r="X1935" i="2"/>
  <c r="S1935" i="2"/>
  <c r="R1935" i="2"/>
  <c r="Q1935" i="2"/>
  <c r="P1935" i="2"/>
  <c r="L1935" i="2"/>
  <c r="K1935" i="2"/>
  <c r="H1935" i="2"/>
  <c r="I1935" i="2" s="1"/>
  <c r="J1935" i="2" s="1"/>
  <c r="C1935" i="2"/>
  <c r="B1935" i="2"/>
  <c r="A1935" i="2"/>
  <c r="J1935" i="4" s="1"/>
  <c r="X1934" i="2"/>
  <c r="S1934" i="2"/>
  <c r="R1934" i="2"/>
  <c r="Q1934" i="2"/>
  <c r="P1934" i="2"/>
  <c r="L1934" i="2"/>
  <c r="K1934" i="2"/>
  <c r="H1934" i="2"/>
  <c r="I1934" i="2" s="1"/>
  <c r="J1934" i="2" s="1"/>
  <c r="C1934" i="2"/>
  <c r="B1934" i="2"/>
  <c r="A1934" i="2"/>
  <c r="J1934" i="4" s="1"/>
  <c r="X1933" i="2"/>
  <c r="S1933" i="2"/>
  <c r="R1933" i="2"/>
  <c r="Q1933" i="2"/>
  <c r="P1933" i="2"/>
  <c r="L1933" i="2"/>
  <c r="K1933" i="2"/>
  <c r="H1933" i="2"/>
  <c r="I1933" i="2" s="1"/>
  <c r="J1933" i="2" s="1"/>
  <c r="C1933" i="2"/>
  <c r="B1933" i="2"/>
  <c r="A1933" i="2"/>
  <c r="X1932" i="2"/>
  <c r="S1932" i="2"/>
  <c r="R1932" i="2"/>
  <c r="Q1932" i="2"/>
  <c r="P1932" i="2"/>
  <c r="L1932" i="2"/>
  <c r="K1932" i="2"/>
  <c r="H1932" i="2"/>
  <c r="I1932" i="2" s="1"/>
  <c r="J1932" i="2" s="1"/>
  <c r="C1932" i="2"/>
  <c r="B1932" i="2"/>
  <c r="A1932" i="2"/>
  <c r="X1931" i="2"/>
  <c r="S1931" i="2"/>
  <c r="R1931" i="2"/>
  <c r="Q1931" i="2"/>
  <c r="P1931" i="2"/>
  <c r="L1931" i="2"/>
  <c r="K1931" i="2"/>
  <c r="H1931" i="2"/>
  <c r="I1931" i="2" s="1"/>
  <c r="J1931" i="2" s="1"/>
  <c r="C1931" i="2"/>
  <c r="B1931" i="2"/>
  <c r="A1931" i="2"/>
  <c r="X1930" i="2"/>
  <c r="S1930" i="2"/>
  <c r="R1930" i="2"/>
  <c r="Q1930" i="2"/>
  <c r="P1930" i="2"/>
  <c r="L1930" i="2"/>
  <c r="K1930" i="2"/>
  <c r="H1930" i="2"/>
  <c r="I1930" i="2" s="1"/>
  <c r="J1930" i="2" s="1"/>
  <c r="C1930" i="2"/>
  <c r="B1930" i="2"/>
  <c r="A1930" i="2"/>
  <c r="X1929" i="2"/>
  <c r="S1929" i="2"/>
  <c r="R1929" i="2"/>
  <c r="Q1929" i="2"/>
  <c r="P1929" i="2"/>
  <c r="L1929" i="2"/>
  <c r="K1929" i="2"/>
  <c r="H1929" i="2"/>
  <c r="I1929" i="2" s="1"/>
  <c r="J1929" i="2" s="1"/>
  <c r="C1929" i="2"/>
  <c r="B1929" i="2"/>
  <c r="A1929" i="2"/>
  <c r="X1928" i="2"/>
  <c r="S1928" i="2"/>
  <c r="R1928" i="2"/>
  <c r="Q1928" i="2"/>
  <c r="P1928" i="2"/>
  <c r="L1928" i="2"/>
  <c r="K1928" i="2"/>
  <c r="H1928" i="2"/>
  <c r="I1928" i="2" s="1"/>
  <c r="J1928" i="2" s="1"/>
  <c r="C1928" i="2"/>
  <c r="B1928" i="2"/>
  <c r="A1928" i="2"/>
  <c r="X1927" i="2"/>
  <c r="S1927" i="2"/>
  <c r="R1927" i="2"/>
  <c r="Q1927" i="2"/>
  <c r="P1927" i="2"/>
  <c r="L1927" i="2"/>
  <c r="K1927" i="2"/>
  <c r="H1927" i="2"/>
  <c r="I1927" i="2" s="1"/>
  <c r="J1927" i="2" s="1"/>
  <c r="C1927" i="2"/>
  <c r="B1927" i="2"/>
  <c r="A1927" i="2"/>
  <c r="X1926" i="2"/>
  <c r="S1926" i="2"/>
  <c r="R1926" i="2"/>
  <c r="Q1926" i="2"/>
  <c r="P1926" i="2"/>
  <c r="L1926" i="2"/>
  <c r="K1926" i="2"/>
  <c r="H1926" i="2"/>
  <c r="I1926" i="2" s="1"/>
  <c r="J1926" i="2" s="1"/>
  <c r="C1926" i="2"/>
  <c r="B1926" i="2"/>
  <c r="A1926" i="2"/>
  <c r="X1925" i="2"/>
  <c r="S1925" i="2"/>
  <c r="R1925" i="2"/>
  <c r="Q1925" i="2"/>
  <c r="P1925" i="2"/>
  <c r="L1925" i="2"/>
  <c r="K1925" i="2"/>
  <c r="H1925" i="2"/>
  <c r="I1925" i="2" s="1"/>
  <c r="J1925" i="2" s="1"/>
  <c r="C1925" i="2"/>
  <c r="B1925" i="2"/>
  <c r="A1925" i="2"/>
  <c r="X1924" i="2"/>
  <c r="S1924" i="2"/>
  <c r="R1924" i="2"/>
  <c r="Q1924" i="2"/>
  <c r="P1924" i="2"/>
  <c r="L1924" i="2"/>
  <c r="K1924" i="2"/>
  <c r="H1924" i="2"/>
  <c r="I1924" i="2" s="1"/>
  <c r="J1924" i="2" s="1"/>
  <c r="C1924" i="2"/>
  <c r="B1924" i="2"/>
  <c r="A1924" i="2"/>
  <c r="X1923" i="2"/>
  <c r="S1923" i="2"/>
  <c r="R1923" i="2"/>
  <c r="Q1923" i="2"/>
  <c r="P1923" i="2"/>
  <c r="L1923" i="2"/>
  <c r="K1923" i="2"/>
  <c r="H1923" i="2"/>
  <c r="I1923" i="2" s="1"/>
  <c r="J1923" i="2" s="1"/>
  <c r="C1923" i="2"/>
  <c r="B1923" i="2"/>
  <c r="A1923" i="2"/>
  <c r="X1922" i="2"/>
  <c r="S1922" i="2"/>
  <c r="R1922" i="2"/>
  <c r="Q1922" i="2"/>
  <c r="P1922" i="2"/>
  <c r="L1922" i="2"/>
  <c r="K1922" i="2"/>
  <c r="H1922" i="2"/>
  <c r="I1922" i="2" s="1"/>
  <c r="J1922" i="2" s="1"/>
  <c r="C1922" i="2"/>
  <c r="B1922" i="2"/>
  <c r="A1922" i="2"/>
  <c r="X1921" i="2"/>
  <c r="S1921" i="2"/>
  <c r="R1921" i="2"/>
  <c r="Q1921" i="2"/>
  <c r="P1921" i="2"/>
  <c r="L1921" i="2"/>
  <c r="K1921" i="2"/>
  <c r="H1921" i="2"/>
  <c r="I1921" i="2" s="1"/>
  <c r="J1921" i="2" s="1"/>
  <c r="C1921" i="2"/>
  <c r="B1921" i="2"/>
  <c r="A1921" i="2"/>
  <c r="X1920" i="2"/>
  <c r="S1920" i="2"/>
  <c r="R1920" i="2"/>
  <c r="Q1920" i="2"/>
  <c r="P1920" i="2"/>
  <c r="L1920" i="2"/>
  <c r="K1920" i="2"/>
  <c r="H1920" i="2"/>
  <c r="I1920" i="2" s="1"/>
  <c r="J1920" i="2" s="1"/>
  <c r="C1920" i="2"/>
  <c r="B1920" i="2"/>
  <c r="A1920" i="2"/>
  <c r="X1919" i="2"/>
  <c r="S1919" i="2"/>
  <c r="R1919" i="2"/>
  <c r="Q1919" i="2"/>
  <c r="P1919" i="2"/>
  <c r="L1919" i="2"/>
  <c r="K1919" i="2"/>
  <c r="H1919" i="2"/>
  <c r="I1919" i="2" s="1"/>
  <c r="J1919" i="2" s="1"/>
  <c r="C1919" i="2"/>
  <c r="B1919" i="2"/>
  <c r="A1919" i="2"/>
  <c r="X1918" i="2"/>
  <c r="S1918" i="2"/>
  <c r="R1918" i="2"/>
  <c r="Q1918" i="2"/>
  <c r="P1918" i="2"/>
  <c r="L1918" i="2"/>
  <c r="K1918" i="2"/>
  <c r="H1918" i="2"/>
  <c r="I1918" i="2" s="1"/>
  <c r="J1918" i="2" s="1"/>
  <c r="C1918" i="2"/>
  <c r="B1918" i="2"/>
  <c r="A1918" i="2"/>
  <c r="X1917" i="2"/>
  <c r="S1917" i="2"/>
  <c r="R1917" i="2"/>
  <c r="Q1917" i="2"/>
  <c r="P1917" i="2"/>
  <c r="L1917" i="2"/>
  <c r="K1917" i="2"/>
  <c r="H1917" i="2"/>
  <c r="I1917" i="2" s="1"/>
  <c r="J1917" i="2" s="1"/>
  <c r="C1917" i="2"/>
  <c r="B1917" i="2"/>
  <c r="A1917" i="2"/>
  <c r="X1916" i="2"/>
  <c r="S1916" i="2"/>
  <c r="R1916" i="2"/>
  <c r="Q1916" i="2"/>
  <c r="P1916" i="2"/>
  <c r="L1916" i="2"/>
  <c r="K1916" i="2"/>
  <c r="H1916" i="2"/>
  <c r="I1916" i="2" s="1"/>
  <c r="J1916" i="2" s="1"/>
  <c r="C1916" i="2"/>
  <c r="B1916" i="2"/>
  <c r="A1916" i="2"/>
  <c r="X1915" i="2"/>
  <c r="S1915" i="2"/>
  <c r="R1915" i="2"/>
  <c r="Q1915" i="2"/>
  <c r="P1915" i="2"/>
  <c r="L1915" i="2"/>
  <c r="K1915" i="2"/>
  <c r="H1915" i="2"/>
  <c r="I1915" i="2" s="1"/>
  <c r="J1915" i="2" s="1"/>
  <c r="C1915" i="2"/>
  <c r="B1915" i="2"/>
  <c r="A1915" i="2"/>
  <c r="X1914" i="2"/>
  <c r="S1914" i="2"/>
  <c r="R1914" i="2"/>
  <c r="Q1914" i="2"/>
  <c r="P1914" i="2"/>
  <c r="L1914" i="2"/>
  <c r="K1914" i="2"/>
  <c r="H1914" i="2"/>
  <c r="I1914" i="2" s="1"/>
  <c r="J1914" i="2" s="1"/>
  <c r="C1914" i="2"/>
  <c r="B1914" i="2"/>
  <c r="A1914" i="2"/>
  <c r="X1913" i="2"/>
  <c r="S1913" i="2"/>
  <c r="R1913" i="2"/>
  <c r="Q1913" i="2"/>
  <c r="P1913" i="2"/>
  <c r="L1913" i="2"/>
  <c r="K1913" i="2"/>
  <c r="H1913" i="2"/>
  <c r="I1913" i="2" s="1"/>
  <c r="J1913" i="2" s="1"/>
  <c r="C1913" i="2"/>
  <c r="B1913" i="2"/>
  <c r="A1913" i="2"/>
  <c r="X1912" i="2"/>
  <c r="S1912" i="2"/>
  <c r="R1912" i="2"/>
  <c r="Q1912" i="2"/>
  <c r="P1912" i="2"/>
  <c r="L1912" i="2"/>
  <c r="K1912" i="2"/>
  <c r="H1912" i="2"/>
  <c r="I1912" i="2" s="1"/>
  <c r="J1912" i="2" s="1"/>
  <c r="C1912" i="2"/>
  <c r="B1912" i="2"/>
  <c r="A1912" i="2"/>
  <c r="X1911" i="2"/>
  <c r="S1911" i="2"/>
  <c r="R1911" i="2"/>
  <c r="Q1911" i="2"/>
  <c r="P1911" i="2"/>
  <c r="L1911" i="2"/>
  <c r="K1911" i="2"/>
  <c r="H1911" i="2"/>
  <c r="I1911" i="2" s="1"/>
  <c r="J1911" i="2" s="1"/>
  <c r="C1911" i="2"/>
  <c r="B1911" i="2"/>
  <c r="A1911" i="2"/>
  <c r="X1910" i="2"/>
  <c r="S1910" i="2"/>
  <c r="R1910" i="2"/>
  <c r="Q1910" i="2"/>
  <c r="P1910" i="2"/>
  <c r="L1910" i="2"/>
  <c r="K1910" i="2"/>
  <c r="H1910" i="2"/>
  <c r="I1910" i="2" s="1"/>
  <c r="J1910" i="2" s="1"/>
  <c r="C1910" i="2"/>
  <c r="B1910" i="2"/>
  <c r="A1910" i="2"/>
  <c r="X1909" i="2"/>
  <c r="S1909" i="2"/>
  <c r="R1909" i="2"/>
  <c r="Q1909" i="2"/>
  <c r="P1909" i="2"/>
  <c r="L1909" i="2"/>
  <c r="K1909" i="2"/>
  <c r="H1909" i="2"/>
  <c r="I1909" i="2" s="1"/>
  <c r="J1909" i="2" s="1"/>
  <c r="C1909" i="2"/>
  <c r="B1909" i="2"/>
  <c r="A1909" i="2"/>
  <c r="X1908" i="2"/>
  <c r="S1908" i="2"/>
  <c r="R1908" i="2"/>
  <c r="Q1908" i="2"/>
  <c r="P1908" i="2"/>
  <c r="L1908" i="2"/>
  <c r="K1908" i="2"/>
  <c r="H1908" i="2"/>
  <c r="I1908" i="2" s="1"/>
  <c r="J1908" i="2" s="1"/>
  <c r="C1908" i="2"/>
  <c r="B1908" i="2"/>
  <c r="A1908" i="2"/>
  <c r="X1907" i="2"/>
  <c r="S1907" i="2"/>
  <c r="R1907" i="2"/>
  <c r="Q1907" i="2"/>
  <c r="P1907" i="2"/>
  <c r="L1907" i="2"/>
  <c r="K1907" i="2"/>
  <c r="H1907" i="2"/>
  <c r="I1907" i="2" s="1"/>
  <c r="J1907" i="2" s="1"/>
  <c r="C1907" i="2"/>
  <c r="B1907" i="2"/>
  <c r="A1907" i="2"/>
  <c r="X1906" i="2"/>
  <c r="S1906" i="2"/>
  <c r="R1906" i="2"/>
  <c r="Q1906" i="2"/>
  <c r="P1906" i="2"/>
  <c r="L1906" i="2"/>
  <c r="K1906" i="2"/>
  <c r="H1906" i="2"/>
  <c r="I1906" i="2" s="1"/>
  <c r="J1906" i="2" s="1"/>
  <c r="C1906" i="2"/>
  <c r="B1906" i="2"/>
  <c r="A1906" i="2"/>
  <c r="X1905" i="2"/>
  <c r="S1905" i="2"/>
  <c r="R1905" i="2"/>
  <c r="Q1905" i="2"/>
  <c r="P1905" i="2"/>
  <c r="L1905" i="2"/>
  <c r="K1905" i="2"/>
  <c r="H1905" i="2"/>
  <c r="I1905" i="2" s="1"/>
  <c r="J1905" i="2" s="1"/>
  <c r="C1905" i="2"/>
  <c r="B1905" i="2"/>
  <c r="A1905" i="2"/>
  <c r="X1904" i="2"/>
  <c r="S1904" i="2"/>
  <c r="R1904" i="2"/>
  <c r="Q1904" i="2"/>
  <c r="P1904" i="2"/>
  <c r="L1904" i="2"/>
  <c r="K1904" i="2"/>
  <c r="H1904" i="2"/>
  <c r="I1904" i="2" s="1"/>
  <c r="J1904" i="2" s="1"/>
  <c r="C1904" i="2"/>
  <c r="B1904" i="2"/>
  <c r="A1904" i="2"/>
  <c r="X1903" i="2"/>
  <c r="S1903" i="2"/>
  <c r="R1903" i="2"/>
  <c r="Q1903" i="2"/>
  <c r="P1903" i="2"/>
  <c r="L1903" i="2"/>
  <c r="K1903" i="2"/>
  <c r="H1903" i="2"/>
  <c r="I1903" i="2" s="1"/>
  <c r="J1903" i="2" s="1"/>
  <c r="C1903" i="2"/>
  <c r="B1903" i="2"/>
  <c r="A1903" i="2"/>
  <c r="X1902" i="2"/>
  <c r="S1902" i="2"/>
  <c r="R1902" i="2"/>
  <c r="Q1902" i="2"/>
  <c r="P1902" i="2"/>
  <c r="L1902" i="2"/>
  <c r="K1902" i="2"/>
  <c r="H1902" i="2"/>
  <c r="I1902" i="2" s="1"/>
  <c r="J1902" i="2" s="1"/>
  <c r="C1902" i="2"/>
  <c r="B1902" i="2"/>
  <c r="A1902" i="2"/>
  <c r="X1901" i="2"/>
  <c r="S1901" i="2"/>
  <c r="R1901" i="2"/>
  <c r="Q1901" i="2"/>
  <c r="P1901" i="2"/>
  <c r="L1901" i="2"/>
  <c r="K1901" i="2"/>
  <c r="H1901" i="2"/>
  <c r="I1901" i="2" s="1"/>
  <c r="J1901" i="2" s="1"/>
  <c r="C1901" i="2"/>
  <c r="B1901" i="2"/>
  <c r="A1901" i="2"/>
  <c r="X1900" i="2"/>
  <c r="S1900" i="2"/>
  <c r="R1900" i="2"/>
  <c r="Q1900" i="2"/>
  <c r="P1900" i="2"/>
  <c r="L1900" i="2"/>
  <c r="K1900" i="2"/>
  <c r="H1900" i="2"/>
  <c r="I1900" i="2" s="1"/>
  <c r="J1900" i="2" s="1"/>
  <c r="C1900" i="2"/>
  <c r="B1900" i="2"/>
  <c r="A1900" i="2"/>
  <c r="X1899" i="2"/>
  <c r="S1899" i="2"/>
  <c r="R1899" i="2"/>
  <c r="Q1899" i="2"/>
  <c r="P1899" i="2"/>
  <c r="L1899" i="2"/>
  <c r="K1899" i="2"/>
  <c r="H1899" i="2"/>
  <c r="I1899" i="2" s="1"/>
  <c r="J1899" i="2" s="1"/>
  <c r="C1899" i="2"/>
  <c r="B1899" i="2"/>
  <c r="A1899" i="2"/>
  <c r="X1898" i="2"/>
  <c r="S1898" i="2"/>
  <c r="R1898" i="2"/>
  <c r="Q1898" i="2"/>
  <c r="P1898" i="2"/>
  <c r="L1898" i="2"/>
  <c r="K1898" i="2"/>
  <c r="H1898" i="2"/>
  <c r="I1898" i="2" s="1"/>
  <c r="J1898" i="2" s="1"/>
  <c r="C1898" i="2"/>
  <c r="B1898" i="2"/>
  <c r="A1898" i="2"/>
  <c r="X1897" i="2"/>
  <c r="S1897" i="2"/>
  <c r="R1897" i="2"/>
  <c r="Q1897" i="2"/>
  <c r="P1897" i="2"/>
  <c r="L1897" i="2"/>
  <c r="K1897" i="2"/>
  <c r="H1897" i="2"/>
  <c r="I1897" i="2" s="1"/>
  <c r="J1897" i="2" s="1"/>
  <c r="C1897" i="2"/>
  <c r="B1897" i="2"/>
  <c r="A1897" i="2"/>
  <c r="X1896" i="2"/>
  <c r="S1896" i="2"/>
  <c r="R1896" i="2"/>
  <c r="Q1896" i="2"/>
  <c r="P1896" i="2"/>
  <c r="L1896" i="2"/>
  <c r="K1896" i="2"/>
  <c r="H1896" i="2"/>
  <c r="I1896" i="2" s="1"/>
  <c r="J1896" i="2" s="1"/>
  <c r="C1896" i="2"/>
  <c r="B1896" i="2"/>
  <c r="A1896" i="2"/>
  <c r="X1895" i="2"/>
  <c r="S1895" i="2"/>
  <c r="R1895" i="2"/>
  <c r="Q1895" i="2"/>
  <c r="P1895" i="2"/>
  <c r="L1895" i="2"/>
  <c r="K1895" i="2"/>
  <c r="H1895" i="2"/>
  <c r="I1895" i="2" s="1"/>
  <c r="J1895" i="2" s="1"/>
  <c r="C1895" i="2"/>
  <c r="B1895" i="2"/>
  <c r="A1895" i="2"/>
  <c r="X1894" i="2"/>
  <c r="S1894" i="2"/>
  <c r="R1894" i="2"/>
  <c r="Q1894" i="2"/>
  <c r="P1894" i="2"/>
  <c r="L1894" i="2"/>
  <c r="K1894" i="2"/>
  <c r="H1894" i="2"/>
  <c r="I1894" i="2" s="1"/>
  <c r="J1894" i="2" s="1"/>
  <c r="C1894" i="2"/>
  <c r="B1894" i="2"/>
  <c r="A1894" i="2"/>
  <c r="X1893" i="2"/>
  <c r="S1893" i="2"/>
  <c r="R1893" i="2"/>
  <c r="Q1893" i="2"/>
  <c r="P1893" i="2"/>
  <c r="L1893" i="2"/>
  <c r="K1893" i="2"/>
  <c r="H1893" i="2"/>
  <c r="I1893" i="2" s="1"/>
  <c r="J1893" i="2" s="1"/>
  <c r="C1893" i="2"/>
  <c r="B1893" i="2"/>
  <c r="A1893" i="2"/>
  <c r="X1892" i="2"/>
  <c r="S1892" i="2"/>
  <c r="R1892" i="2"/>
  <c r="Q1892" i="2"/>
  <c r="P1892" i="2"/>
  <c r="L1892" i="2"/>
  <c r="K1892" i="2"/>
  <c r="H1892" i="2"/>
  <c r="I1892" i="2" s="1"/>
  <c r="J1892" i="2" s="1"/>
  <c r="C1892" i="2"/>
  <c r="B1892" i="2"/>
  <c r="A1892" i="2"/>
  <c r="X1891" i="2"/>
  <c r="S1891" i="2"/>
  <c r="R1891" i="2"/>
  <c r="Q1891" i="2"/>
  <c r="P1891" i="2"/>
  <c r="L1891" i="2"/>
  <c r="K1891" i="2"/>
  <c r="H1891" i="2"/>
  <c r="I1891" i="2" s="1"/>
  <c r="J1891" i="2" s="1"/>
  <c r="C1891" i="2"/>
  <c r="B1891" i="2"/>
  <c r="A1891" i="2"/>
  <c r="X1890" i="2"/>
  <c r="S1890" i="2"/>
  <c r="R1890" i="2"/>
  <c r="Q1890" i="2"/>
  <c r="P1890" i="2"/>
  <c r="L1890" i="2"/>
  <c r="K1890" i="2"/>
  <c r="H1890" i="2"/>
  <c r="I1890" i="2" s="1"/>
  <c r="J1890" i="2" s="1"/>
  <c r="C1890" i="2"/>
  <c r="B1890" i="2"/>
  <c r="A1890" i="2"/>
  <c r="X1889" i="2"/>
  <c r="S1889" i="2"/>
  <c r="R1889" i="2"/>
  <c r="Q1889" i="2"/>
  <c r="P1889" i="2"/>
  <c r="L1889" i="2"/>
  <c r="K1889" i="2"/>
  <c r="H1889" i="2"/>
  <c r="I1889" i="2" s="1"/>
  <c r="J1889" i="2" s="1"/>
  <c r="C1889" i="2"/>
  <c r="B1889" i="2"/>
  <c r="A1889" i="2"/>
  <c r="X1888" i="2"/>
  <c r="S1888" i="2"/>
  <c r="R1888" i="2"/>
  <c r="Q1888" i="2"/>
  <c r="P1888" i="2"/>
  <c r="L1888" i="2"/>
  <c r="K1888" i="2"/>
  <c r="H1888" i="2"/>
  <c r="I1888" i="2" s="1"/>
  <c r="J1888" i="2" s="1"/>
  <c r="C1888" i="2"/>
  <c r="B1888" i="2"/>
  <c r="A1888" i="2"/>
  <c r="X1887" i="2"/>
  <c r="S1887" i="2"/>
  <c r="R1887" i="2"/>
  <c r="Q1887" i="2"/>
  <c r="P1887" i="2"/>
  <c r="L1887" i="2"/>
  <c r="K1887" i="2"/>
  <c r="H1887" i="2"/>
  <c r="I1887" i="2" s="1"/>
  <c r="J1887" i="2" s="1"/>
  <c r="C1887" i="2"/>
  <c r="B1887" i="2"/>
  <c r="A1887" i="2"/>
  <c r="X1886" i="2"/>
  <c r="S1886" i="2"/>
  <c r="R1886" i="2"/>
  <c r="Q1886" i="2"/>
  <c r="P1886" i="2"/>
  <c r="L1886" i="2"/>
  <c r="K1886" i="2"/>
  <c r="H1886" i="2"/>
  <c r="I1886" i="2" s="1"/>
  <c r="J1886" i="2" s="1"/>
  <c r="C1886" i="2"/>
  <c r="B1886" i="2"/>
  <c r="A1886" i="2"/>
  <c r="X1885" i="2"/>
  <c r="S1885" i="2"/>
  <c r="R1885" i="2"/>
  <c r="Q1885" i="2"/>
  <c r="P1885" i="2"/>
  <c r="L1885" i="2"/>
  <c r="K1885" i="2"/>
  <c r="H1885" i="2"/>
  <c r="I1885" i="2" s="1"/>
  <c r="J1885" i="2" s="1"/>
  <c r="C1885" i="2"/>
  <c r="B1885" i="2"/>
  <c r="A1885" i="2"/>
  <c r="X1884" i="2"/>
  <c r="S1884" i="2"/>
  <c r="R1884" i="2"/>
  <c r="Q1884" i="2"/>
  <c r="P1884" i="2"/>
  <c r="L1884" i="2"/>
  <c r="K1884" i="2"/>
  <c r="H1884" i="2"/>
  <c r="I1884" i="2" s="1"/>
  <c r="J1884" i="2" s="1"/>
  <c r="C1884" i="2"/>
  <c r="B1884" i="2"/>
  <c r="A1884" i="2"/>
  <c r="X1883" i="2"/>
  <c r="S1883" i="2"/>
  <c r="R1883" i="2"/>
  <c r="Q1883" i="2"/>
  <c r="P1883" i="2"/>
  <c r="L1883" i="2"/>
  <c r="K1883" i="2"/>
  <c r="H1883" i="2"/>
  <c r="I1883" i="2" s="1"/>
  <c r="J1883" i="2" s="1"/>
  <c r="C1883" i="2"/>
  <c r="B1883" i="2"/>
  <c r="A1883" i="2"/>
  <c r="X1882" i="2"/>
  <c r="S1882" i="2"/>
  <c r="R1882" i="2"/>
  <c r="Q1882" i="2"/>
  <c r="P1882" i="2"/>
  <c r="L1882" i="2"/>
  <c r="K1882" i="2"/>
  <c r="H1882" i="2"/>
  <c r="I1882" i="2" s="1"/>
  <c r="J1882" i="2" s="1"/>
  <c r="C1882" i="2"/>
  <c r="B1882" i="2"/>
  <c r="A1882" i="2"/>
  <c r="X1881" i="2"/>
  <c r="S1881" i="2"/>
  <c r="R1881" i="2"/>
  <c r="Q1881" i="2"/>
  <c r="P1881" i="2"/>
  <c r="L1881" i="2"/>
  <c r="K1881" i="2"/>
  <c r="H1881" i="2"/>
  <c r="I1881" i="2" s="1"/>
  <c r="J1881" i="2" s="1"/>
  <c r="C1881" i="2"/>
  <c r="B1881" i="2"/>
  <c r="A1881" i="2"/>
  <c r="X1880" i="2"/>
  <c r="S1880" i="2"/>
  <c r="R1880" i="2"/>
  <c r="Q1880" i="2"/>
  <c r="P1880" i="2"/>
  <c r="L1880" i="2"/>
  <c r="K1880" i="2"/>
  <c r="H1880" i="2"/>
  <c r="I1880" i="2" s="1"/>
  <c r="J1880" i="2" s="1"/>
  <c r="C1880" i="2"/>
  <c r="B1880" i="2"/>
  <c r="A1880" i="2"/>
  <c r="X1879" i="2"/>
  <c r="S1879" i="2"/>
  <c r="R1879" i="2"/>
  <c r="Q1879" i="2"/>
  <c r="P1879" i="2"/>
  <c r="L1879" i="2"/>
  <c r="K1879" i="2"/>
  <c r="H1879" i="2"/>
  <c r="I1879" i="2" s="1"/>
  <c r="J1879" i="2" s="1"/>
  <c r="C1879" i="2"/>
  <c r="B1879" i="2"/>
  <c r="A1879" i="2"/>
  <c r="X1878" i="2"/>
  <c r="S1878" i="2"/>
  <c r="R1878" i="2"/>
  <c r="Q1878" i="2"/>
  <c r="P1878" i="2"/>
  <c r="L1878" i="2"/>
  <c r="K1878" i="2"/>
  <c r="H1878" i="2"/>
  <c r="I1878" i="2" s="1"/>
  <c r="J1878" i="2" s="1"/>
  <c r="C1878" i="2"/>
  <c r="B1878" i="2"/>
  <c r="A1878" i="2"/>
  <c r="X1877" i="2"/>
  <c r="S1877" i="2"/>
  <c r="R1877" i="2"/>
  <c r="Q1877" i="2"/>
  <c r="P1877" i="2"/>
  <c r="L1877" i="2"/>
  <c r="K1877" i="2"/>
  <c r="H1877" i="2"/>
  <c r="I1877" i="2" s="1"/>
  <c r="J1877" i="2" s="1"/>
  <c r="C1877" i="2"/>
  <c r="B1877" i="2"/>
  <c r="A1877" i="2"/>
  <c r="X1876" i="2"/>
  <c r="S1876" i="2"/>
  <c r="R1876" i="2"/>
  <c r="Q1876" i="2"/>
  <c r="P1876" i="2"/>
  <c r="L1876" i="2"/>
  <c r="K1876" i="2"/>
  <c r="H1876" i="2"/>
  <c r="I1876" i="2" s="1"/>
  <c r="J1876" i="2" s="1"/>
  <c r="C1876" i="2"/>
  <c r="B1876" i="2"/>
  <c r="A1876" i="2"/>
  <c r="X1875" i="2"/>
  <c r="S1875" i="2"/>
  <c r="R1875" i="2"/>
  <c r="Q1875" i="2"/>
  <c r="P1875" i="2"/>
  <c r="L1875" i="2"/>
  <c r="K1875" i="2"/>
  <c r="H1875" i="2"/>
  <c r="I1875" i="2" s="1"/>
  <c r="J1875" i="2" s="1"/>
  <c r="C1875" i="2"/>
  <c r="B1875" i="2"/>
  <c r="A1875" i="2"/>
  <c r="X1874" i="2"/>
  <c r="S1874" i="2"/>
  <c r="R1874" i="2"/>
  <c r="Q1874" i="2"/>
  <c r="P1874" i="2"/>
  <c r="L1874" i="2"/>
  <c r="K1874" i="2"/>
  <c r="H1874" i="2"/>
  <c r="I1874" i="2" s="1"/>
  <c r="J1874" i="2" s="1"/>
  <c r="C1874" i="2"/>
  <c r="B1874" i="2"/>
  <c r="A1874" i="2"/>
  <c r="X1873" i="2"/>
  <c r="S1873" i="2"/>
  <c r="R1873" i="2"/>
  <c r="Q1873" i="2"/>
  <c r="P1873" i="2"/>
  <c r="L1873" i="2"/>
  <c r="K1873" i="2"/>
  <c r="H1873" i="2"/>
  <c r="I1873" i="2" s="1"/>
  <c r="J1873" i="2" s="1"/>
  <c r="C1873" i="2"/>
  <c r="B1873" i="2"/>
  <c r="A1873" i="2"/>
  <c r="X1872" i="2"/>
  <c r="S1872" i="2"/>
  <c r="R1872" i="2"/>
  <c r="Q1872" i="2"/>
  <c r="P1872" i="2"/>
  <c r="L1872" i="2"/>
  <c r="K1872" i="2"/>
  <c r="H1872" i="2"/>
  <c r="I1872" i="2" s="1"/>
  <c r="J1872" i="2" s="1"/>
  <c r="C1872" i="2"/>
  <c r="B1872" i="2"/>
  <c r="A1872" i="2"/>
  <c r="X1871" i="2"/>
  <c r="S1871" i="2"/>
  <c r="R1871" i="2"/>
  <c r="Q1871" i="2"/>
  <c r="P1871" i="2"/>
  <c r="L1871" i="2"/>
  <c r="K1871" i="2"/>
  <c r="H1871" i="2"/>
  <c r="I1871" i="2" s="1"/>
  <c r="J1871" i="2" s="1"/>
  <c r="C1871" i="2"/>
  <c r="B1871" i="2"/>
  <c r="A1871" i="2"/>
  <c r="X1870" i="2"/>
  <c r="S1870" i="2"/>
  <c r="R1870" i="2"/>
  <c r="Q1870" i="2"/>
  <c r="P1870" i="2"/>
  <c r="L1870" i="2"/>
  <c r="K1870" i="2"/>
  <c r="H1870" i="2"/>
  <c r="I1870" i="2" s="1"/>
  <c r="J1870" i="2" s="1"/>
  <c r="C1870" i="2"/>
  <c r="B1870" i="2"/>
  <c r="A1870" i="2"/>
  <c r="X1869" i="2"/>
  <c r="S1869" i="2"/>
  <c r="R1869" i="2"/>
  <c r="Q1869" i="2"/>
  <c r="P1869" i="2"/>
  <c r="L1869" i="2"/>
  <c r="K1869" i="2"/>
  <c r="H1869" i="2"/>
  <c r="I1869" i="2" s="1"/>
  <c r="J1869" i="2" s="1"/>
  <c r="C1869" i="2"/>
  <c r="B1869" i="2"/>
  <c r="A1869" i="2"/>
  <c r="X1868" i="2"/>
  <c r="S1868" i="2"/>
  <c r="R1868" i="2"/>
  <c r="Q1868" i="2"/>
  <c r="P1868" i="2"/>
  <c r="L1868" i="2"/>
  <c r="K1868" i="2"/>
  <c r="H1868" i="2"/>
  <c r="I1868" i="2" s="1"/>
  <c r="J1868" i="2" s="1"/>
  <c r="C1868" i="2"/>
  <c r="B1868" i="2"/>
  <c r="A1868" i="2"/>
  <c r="X1867" i="2"/>
  <c r="S1867" i="2"/>
  <c r="R1867" i="2"/>
  <c r="Q1867" i="2"/>
  <c r="P1867" i="2"/>
  <c r="L1867" i="2"/>
  <c r="K1867" i="2"/>
  <c r="H1867" i="2"/>
  <c r="I1867" i="2" s="1"/>
  <c r="J1867" i="2" s="1"/>
  <c r="C1867" i="2"/>
  <c r="B1867" i="2"/>
  <c r="A1867" i="2"/>
  <c r="X1866" i="2"/>
  <c r="S1866" i="2"/>
  <c r="R1866" i="2"/>
  <c r="Q1866" i="2"/>
  <c r="P1866" i="2"/>
  <c r="L1866" i="2"/>
  <c r="K1866" i="2"/>
  <c r="H1866" i="2"/>
  <c r="I1866" i="2" s="1"/>
  <c r="J1866" i="2" s="1"/>
  <c r="C1866" i="2"/>
  <c r="B1866" i="2"/>
  <c r="A1866" i="2"/>
  <c r="X1865" i="2"/>
  <c r="S1865" i="2"/>
  <c r="R1865" i="2"/>
  <c r="Q1865" i="2"/>
  <c r="P1865" i="2"/>
  <c r="L1865" i="2"/>
  <c r="K1865" i="2"/>
  <c r="H1865" i="2"/>
  <c r="I1865" i="2" s="1"/>
  <c r="J1865" i="2" s="1"/>
  <c r="C1865" i="2"/>
  <c r="B1865" i="2"/>
  <c r="A1865" i="2"/>
  <c r="X1864" i="2"/>
  <c r="S1864" i="2"/>
  <c r="R1864" i="2"/>
  <c r="Q1864" i="2"/>
  <c r="P1864" i="2"/>
  <c r="L1864" i="2"/>
  <c r="K1864" i="2"/>
  <c r="H1864" i="2"/>
  <c r="I1864" i="2" s="1"/>
  <c r="J1864" i="2" s="1"/>
  <c r="C1864" i="2"/>
  <c r="B1864" i="2"/>
  <c r="A1864" i="2"/>
  <c r="X1863" i="2"/>
  <c r="S1863" i="2"/>
  <c r="R1863" i="2"/>
  <c r="Q1863" i="2"/>
  <c r="P1863" i="2"/>
  <c r="L1863" i="2"/>
  <c r="K1863" i="2"/>
  <c r="H1863" i="2"/>
  <c r="I1863" i="2" s="1"/>
  <c r="J1863" i="2" s="1"/>
  <c r="C1863" i="2"/>
  <c r="B1863" i="2"/>
  <c r="A1863" i="2"/>
  <c r="X1862" i="2"/>
  <c r="S1862" i="2"/>
  <c r="R1862" i="2"/>
  <c r="Q1862" i="2"/>
  <c r="P1862" i="2"/>
  <c r="L1862" i="2"/>
  <c r="K1862" i="2"/>
  <c r="H1862" i="2"/>
  <c r="I1862" i="2" s="1"/>
  <c r="J1862" i="2" s="1"/>
  <c r="C1862" i="2"/>
  <c r="B1862" i="2"/>
  <c r="A1862" i="2"/>
  <c r="X1861" i="2"/>
  <c r="S1861" i="2"/>
  <c r="R1861" i="2"/>
  <c r="Q1861" i="2"/>
  <c r="P1861" i="2"/>
  <c r="L1861" i="2"/>
  <c r="K1861" i="2"/>
  <c r="H1861" i="2"/>
  <c r="I1861" i="2" s="1"/>
  <c r="J1861" i="2" s="1"/>
  <c r="C1861" i="2"/>
  <c r="B1861" i="2"/>
  <c r="A1861" i="2"/>
  <c r="X1860" i="2"/>
  <c r="S1860" i="2"/>
  <c r="R1860" i="2"/>
  <c r="Q1860" i="2"/>
  <c r="P1860" i="2"/>
  <c r="L1860" i="2"/>
  <c r="K1860" i="2"/>
  <c r="H1860" i="2"/>
  <c r="I1860" i="2" s="1"/>
  <c r="J1860" i="2" s="1"/>
  <c r="C1860" i="2"/>
  <c r="B1860" i="2"/>
  <c r="A1860" i="2"/>
  <c r="X1859" i="2"/>
  <c r="S1859" i="2"/>
  <c r="R1859" i="2"/>
  <c r="Q1859" i="2"/>
  <c r="P1859" i="2"/>
  <c r="L1859" i="2"/>
  <c r="K1859" i="2"/>
  <c r="H1859" i="2"/>
  <c r="I1859" i="2" s="1"/>
  <c r="J1859" i="2" s="1"/>
  <c r="C1859" i="2"/>
  <c r="B1859" i="2"/>
  <c r="A1859" i="2"/>
  <c r="X1858" i="2"/>
  <c r="S1858" i="2"/>
  <c r="R1858" i="2"/>
  <c r="Q1858" i="2"/>
  <c r="P1858" i="2"/>
  <c r="L1858" i="2"/>
  <c r="K1858" i="2"/>
  <c r="H1858" i="2"/>
  <c r="I1858" i="2" s="1"/>
  <c r="J1858" i="2" s="1"/>
  <c r="C1858" i="2"/>
  <c r="B1858" i="2"/>
  <c r="A1858" i="2"/>
  <c r="X1857" i="2"/>
  <c r="S1857" i="2"/>
  <c r="R1857" i="2"/>
  <c r="Q1857" i="2"/>
  <c r="P1857" i="2"/>
  <c r="L1857" i="2"/>
  <c r="K1857" i="2"/>
  <c r="H1857" i="2"/>
  <c r="I1857" i="2" s="1"/>
  <c r="J1857" i="2" s="1"/>
  <c r="C1857" i="2"/>
  <c r="B1857" i="2"/>
  <c r="A1857" i="2"/>
  <c r="X1856" i="2"/>
  <c r="S1856" i="2"/>
  <c r="R1856" i="2"/>
  <c r="Q1856" i="2"/>
  <c r="P1856" i="2"/>
  <c r="L1856" i="2"/>
  <c r="K1856" i="2"/>
  <c r="H1856" i="2"/>
  <c r="I1856" i="2" s="1"/>
  <c r="J1856" i="2" s="1"/>
  <c r="C1856" i="2"/>
  <c r="B1856" i="2"/>
  <c r="A1856" i="2"/>
  <c r="X1855" i="2"/>
  <c r="S1855" i="2"/>
  <c r="R1855" i="2"/>
  <c r="Q1855" i="2"/>
  <c r="P1855" i="2"/>
  <c r="L1855" i="2"/>
  <c r="K1855" i="2"/>
  <c r="H1855" i="2"/>
  <c r="I1855" i="2" s="1"/>
  <c r="J1855" i="2" s="1"/>
  <c r="C1855" i="2"/>
  <c r="B1855" i="2"/>
  <c r="A1855" i="2"/>
  <c r="X1854" i="2"/>
  <c r="S1854" i="2"/>
  <c r="R1854" i="2"/>
  <c r="Q1854" i="2"/>
  <c r="P1854" i="2"/>
  <c r="L1854" i="2"/>
  <c r="K1854" i="2"/>
  <c r="H1854" i="2"/>
  <c r="I1854" i="2" s="1"/>
  <c r="J1854" i="2" s="1"/>
  <c r="C1854" i="2"/>
  <c r="B1854" i="2"/>
  <c r="A1854" i="2"/>
  <c r="X1853" i="2"/>
  <c r="S1853" i="2"/>
  <c r="R1853" i="2"/>
  <c r="Q1853" i="2"/>
  <c r="P1853" i="2"/>
  <c r="L1853" i="2"/>
  <c r="K1853" i="2"/>
  <c r="H1853" i="2"/>
  <c r="I1853" i="2" s="1"/>
  <c r="J1853" i="2" s="1"/>
  <c r="C1853" i="2"/>
  <c r="B1853" i="2"/>
  <c r="A1853" i="2"/>
  <c r="X1852" i="2"/>
  <c r="S1852" i="2"/>
  <c r="R1852" i="2"/>
  <c r="Q1852" i="2"/>
  <c r="P1852" i="2"/>
  <c r="L1852" i="2"/>
  <c r="K1852" i="2"/>
  <c r="H1852" i="2"/>
  <c r="I1852" i="2" s="1"/>
  <c r="J1852" i="2" s="1"/>
  <c r="C1852" i="2"/>
  <c r="B1852" i="2"/>
  <c r="A1852" i="2"/>
  <c r="X1851" i="2"/>
  <c r="S1851" i="2"/>
  <c r="R1851" i="2"/>
  <c r="Q1851" i="2"/>
  <c r="P1851" i="2"/>
  <c r="L1851" i="2"/>
  <c r="K1851" i="2"/>
  <c r="H1851" i="2"/>
  <c r="I1851" i="2" s="1"/>
  <c r="J1851" i="2" s="1"/>
  <c r="C1851" i="2"/>
  <c r="B1851" i="2"/>
  <c r="A1851" i="2"/>
  <c r="X1850" i="2"/>
  <c r="S1850" i="2"/>
  <c r="R1850" i="2"/>
  <c r="Q1850" i="2"/>
  <c r="P1850" i="2"/>
  <c r="L1850" i="2"/>
  <c r="K1850" i="2"/>
  <c r="H1850" i="2"/>
  <c r="I1850" i="2" s="1"/>
  <c r="J1850" i="2" s="1"/>
  <c r="C1850" i="2"/>
  <c r="B1850" i="2"/>
  <c r="A1850" i="2"/>
  <c r="X1849" i="2"/>
  <c r="S1849" i="2"/>
  <c r="R1849" i="2"/>
  <c r="Q1849" i="2"/>
  <c r="P1849" i="2"/>
  <c r="L1849" i="2"/>
  <c r="K1849" i="2"/>
  <c r="H1849" i="2"/>
  <c r="I1849" i="2" s="1"/>
  <c r="J1849" i="2" s="1"/>
  <c r="C1849" i="2"/>
  <c r="B1849" i="2"/>
  <c r="A1849" i="2"/>
  <c r="X1848" i="2"/>
  <c r="S1848" i="2"/>
  <c r="R1848" i="2"/>
  <c r="Q1848" i="2"/>
  <c r="P1848" i="2"/>
  <c r="L1848" i="2"/>
  <c r="K1848" i="2"/>
  <c r="H1848" i="2"/>
  <c r="I1848" i="2" s="1"/>
  <c r="J1848" i="2" s="1"/>
  <c r="C1848" i="2"/>
  <c r="B1848" i="2"/>
  <c r="A1848" i="2"/>
  <c r="X1847" i="2"/>
  <c r="S1847" i="2"/>
  <c r="R1847" i="2"/>
  <c r="Q1847" i="2"/>
  <c r="P1847" i="2"/>
  <c r="L1847" i="2"/>
  <c r="K1847" i="2"/>
  <c r="H1847" i="2"/>
  <c r="I1847" i="2" s="1"/>
  <c r="J1847" i="2" s="1"/>
  <c r="C1847" i="2"/>
  <c r="B1847" i="2"/>
  <c r="A1847" i="2"/>
  <c r="X1846" i="2"/>
  <c r="S1846" i="2"/>
  <c r="R1846" i="2"/>
  <c r="Q1846" i="2"/>
  <c r="P1846" i="2"/>
  <c r="L1846" i="2"/>
  <c r="K1846" i="2"/>
  <c r="H1846" i="2"/>
  <c r="I1846" i="2" s="1"/>
  <c r="J1846" i="2" s="1"/>
  <c r="C1846" i="2"/>
  <c r="B1846" i="2"/>
  <c r="A1846" i="2"/>
  <c r="X1845" i="2"/>
  <c r="S1845" i="2"/>
  <c r="R1845" i="2"/>
  <c r="Q1845" i="2"/>
  <c r="P1845" i="2"/>
  <c r="L1845" i="2"/>
  <c r="K1845" i="2"/>
  <c r="H1845" i="2"/>
  <c r="I1845" i="2" s="1"/>
  <c r="J1845" i="2" s="1"/>
  <c r="C1845" i="2"/>
  <c r="B1845" i="2"/>
  <c r="A1845" i="2"/>
  <c r="X1844" i="2"/>
  <c r="S1844" i="2"/>
  <c r="R1844" i="2"/>
  <c r="Q1844" i="2"/>
  <c r="P1844" i="2"/>
  <c r="L1844" i="2"/>
  <c r="K1844" i="2"/>
  <c r="H1844" i="2"/>
  <c r="I1844" i="2" s="1"/>
  <c r="J1844" i="2" s="1"/>
  <c r="C1844" i="2"/>
  <c r="B1844" i="2"/>
  <c r="A1844" i="2"/>
  <c r="X1843" i="2"/>
  <c r="S1843" i="2"/>
  <c r="R1843" i="2"/>
  <c r="Q1843" i="2"/>
  <c r="P1843" i="2"/>
  <c r="L1843" i="2"/>
  <c r="K1843" i="2"/>
  <c r="H1843" i="2"/>
  <c r="I1843" i="2" s="1"/>
  <c r="J1843" i="2" s="1"/>
  <c r="C1843" i="2"/>
  <c r="B1843" i="2"/>
  <c r="A1843" i="2"/>
  <c r="X1842" i="2"/>
  <c r="S1842" i="2"/>
  <c r="R1842" i="2"/>
  <c r="Q1842" i="2"/>
  <c r="P1842" i="2"/>
  <c r="L1842" i="2"/>
  <c r="K1842" i="2"/>
  <c r="H1842" i="2"/>
  <c r="I1842" i="2" s="1"/>
  <c r="J1842" i="2" s="1"/>
  <c r="C1842" i="2"/>
  <c r="B1842" i="2"/>
  <c r="A1842" i="2"/>
  <c r="X1841" i="2"/>
  <c r="S1841" i="2"/>
  <c r="R1841" i="2"/>
  <c r="Q1841" i="2"/>
  <c r="P1841" i="2"/>
  <c r="L1841" i="2"/>
  <c r="K1841" i="2"/>
  <c r="H1841" i="2"/>
  <c r="I1841" i="2" s="1"/>
  <c r="J1841" i="2" s="1"/>
  <c r="C1841" i="2"/>
  <c r="B1841" i="2"/>
  <c r="A1841" i="2"/>
  <c r="X1840" i="2"/>
  <c r="S1840" i="2"/>
  <c r="R1840" i="2"/>
  <c r="Q1840" i="2"/>
  <c r="P1840" i="2"/>
  <c r="L1840" i="2"/>
  <c r="K1840" i="2"/>
  <c r="H1840" i="2"/>
  <c r="I1840" i="2" s="1"/>
  <c r="J1840" i="2" s="1"/>
  <c r="C1840" i="2"/>
  <c r="B1840" i="2"/>
  <c r="A1840" i="2"/>
  <c r="X1839" i="2"/>
  <c r="S1839" i="2"/>
  <c r="R1839" i="2"/>
  <c r="Q1839" i="2"/>
  <c r="P1839" i="2"/>
  <c r="L1839" i="2"/>
  <c r="K1839" i="2"/>
  <c r="H1839" i="2"/>
  <c r="I1839" i="2" s="1"/>
  <c r="J1839" i="2" s="1"/>
  <c r="C1839" i="2"/>
  <c r="B1839" i="2"/>
  <c r="A1839" i="2"/>
  <c r="X1838" i="2"/>
  <c r="S1838" i="2"/>
  <c r="R1838" i="2"/>
  <c r="Q1838" i="2"/>
  <c r="P1838" i="2"/>
  <c r="L1838" i="2"/>
  <c r="K1838" i="2"/>
  <c r="H1838" i="2"/>
  <c r="I1838" i="2" s="1"/>
  <c r="J1838" i="2" s="1"/>
  <c r="C1838" i="2"/>
  <c r="B1838" i="2"/>
  <c r="A1838" i="2"/>
  <c r="X1837" i="2"/>
  <c r="S1837" i="2"/>
  <c r="R1837" i="2"/>
  <c r="Q1837" i="2"/>
  <c r="P1837" i="2"/>
  <c r="L1837" i="2"/>
  <c r="K1837" i="2"/>
  <c r="H1837" i="2"/>
  <c r="I1837" i="2" s="1"/>
  <c r="J1837" i="2" s="1"/>
  <c r="C1837" i="2"/>
  <c r="B1837" i="2"/>
  <c r="A1837" i="2"/>
  <c r="X1836" i="2"/>
  <c r="S1836" i="2"/>
  <c r="R1836" i="2"/>
  <c r="Q1836" i="2"/>
  <c r="P1836" i="2"/>
  <c r="L1836" i="2"/>
  <c r="K1836" i="2"/>
  <c r="H1836" i="2"/>
  <c r="I1836" i="2" s="1"/>
  <c r="J1836" i="2" s="1"/>
  <c r="C1836" i="2"/>
  <c r="B1836" i="2"/>
  <c r="A1836" i="2"/>
  <c r="X1835" i="2"/>
  <c r="S1835" i="2"/>
  <c r="R1835" i="2"/>
  <c r="Q1835" i="2"/>
  <c r="P1835" i="2"/>
  <c r="L1835" i="2"/>
  <c r="K1835" i="2"/>
  <c r="H1835" i="2"/>
  <c r="I1835" i="2" s="1"/>
  <c r="J1835" i="2" s="1"/>
  <c r="C1835" i="2"/>
  <c r="B1835" i="2"/>
  <c r="A1835" i="2"/>
  <c r="X1834" i="2"/>
  <c r="S1834" i="2"/>
  <c r="R1834" i="2"/>
  <c r="Q1834" i="2"/>
  <c r="P1834" i="2"/>
  <c r="L1834" i="2"/>
  <c r="K1834" i="2"/>
  <c r="H1834" i="2"/>
  <c r="I1834" i="2" s="1"/>
  <c r="J1834" i="2" s="1"/>
  <c r="C1834" i="2"/>
  <c r="B1834" i="2"/>
  <c r="A1834" i="2"/>
  <c r="X1833" i="2"/>
  <c r="S1833" i="2"/>
  <c r="R1833" i="2"/>
  <c r="Q1833" i="2"/>
  <c r="P1833" i="2"/>
  <c r="L1833" i="2"/>
  <c r="K1833" i="2"/>
  <c r="H1833" i="2"/>
  <c r="I1833" i="2" s="1"/>
  <c r="J1833" i="2" s="1"/>
  <c r="C1833" i="2"/>
  <c r="B1833" i="2"/>
  <c r="A1833" i="2"/>
  <c r="X1832" i="2"/>
  <c r="S1832" i="2"/>
  <c r="R1832" i="2"/>
  <c r="Q1832" i="2"/>
  <c r="P1832" i="2"/>
  <c r="L1832" i="2"/>
  <c r="K1832" i="2"/>
  <c r="H1832" i="2"/>
  <c r="I1832" i="2" s="1"/>
  <c r="J1832" i="2" s="1"/>
  <c r="C1832" i="2"/>
  <c r="B1832" i="2"/>
  <c r="A1832" i="2"/>
  <c r="X1831" i="2"/>
  <c r="S1831" i="2"/>
  <c r="R1831" i="2"/>
  <c r="Q1831" i="2"/>
  <c r="P1831" i="2"/>
  <c r="L1831" i="2"/>
  <c r="K1831" i="2"/>
  <c r="H1831" i="2"/>
  <c r="I1831" i="2" s="1"/>
  <c r="J1831" i="2" s="1"/>
  <c r="C1831" i="2"/>
  <c r="B1831" i="2"/>
  <c r="A1831" i="2"/>
  <c r="X1830" i="2"/>
  <c r="S1830" i="2"/>
  <c r="R1830" i="2"/>
  <c r="Q1830" i="2"/>
  <c r="P1830" i="2"/>
  <c r="L1830" i="2"/>
  <c r="K1830" i="2"/>
  <c r="H1830" i="2"/>
  <c r="I1830" i="2" s="1"/>
  <c r="J1830" i="2" s="1"/>
  <c r="C1830" i="2"/>
  <c r="B1830" i="2"/>
  <c r="A1830" i="2"/>
  <c r="X1829" i="2"/>
  <c r="S1829" i="2"/>
  <c r="R1829" i="2"/>
  <c r="Q1829" i="2"/>
  <c r="P1829" i="2"/>
  <c r="L1829" i="2"/>
  <c r="K1829" i="2"/>
  <c r="H1829" i="2"/>
  <c r="I1829" i="2" s="1"/>
  <c r="J1829" i="2" s="1"/>
  <c r="C1829" i="2"/>
  <c r="B1829" i="2"/>
  <c r="A1829" i="2"/>
  <c r="X1828" i="2"/>
  <c r="S1828" i="2"/>
  <c r="R1828" i="2"/>
  <c r="Q1828" i="2"/>
  <c r="P1828" i="2"/>
  <c r="L1828" i="2"/>
  <c r="K1828" i="2"/>
  <c r="H1828" i="2"/>
  <c r="I1828" i="2" s="1"/>
  <c r="J1828" i="2" s="1"/>
  <c r="C1828" i="2"/>
  <c r="B1828" i="2"/>
  <c r="A1828" i="2"/>
  <c r="X1827" i="2"/>
  <c r="S1827" i="2"/>
  <c r="R1827" i="2"/>
  <c r="Q1827" i="2"/>
  <c r="P1827" i="2"/>
  <c r="L1827" i="2"/>
  <c r="K1827" i="2"/>
  <c r="H1827" i="2"/>
  <c r="I1827" i="2" s="1"/>
  <c r="J1827" i="2" s="1"/>
  <c r="C1827" i="2"/>
  <c r="B1827" i="2"/>
  <c r="A1827" i="2"/>
  <c r="X1826" i="2"/>
  <c r="S1826" i="2"/>
  <c r="R1826" i="2"/>
  <c r="Q1826" i="2"/>
  <c r="P1826" i="2"/>
  <c r="L1826" i="2"/>
  <c r="K1826" i="2"/>
  <c r="H1826" i="2"/>
  <c r="I1826" i="2" s="1"/>
  <c r="J1826" i="2" s="1"/>
  <c r="C1826" i="2"/>
  <c r="B1826" i="2"/>
  <c r="A1826" i="2"/>
  <c r="X1825" i="2"/>
  <c r="S1825" i="2"/>
  <c r="R1825" i="2"/>
  <c r="Q1825" i="2"/>
  <c r="P1825" i="2"/>
  <c r="L1825" i="2"/>
  <c r="K1825" i="2"/>
  <c r="H1825" i="2"/>
  <c r="I1825" i="2" s="1"/>
  <c r="J1825" i="2" s="1"/>
  <c r="C1825" i="2"/>
  <c r="B1825" i="2"/>
  <c r="A1825" i="2"/>
  <c r="X1824" i="2"/>
  <c r="S1824" i="2"/>
  <c r="R1824" i="2"/>
  <c r="Q1824" i="2"/>
  <c r="P1824" i="2"/>
  <c r="L1824" i="2"/>
  <c r="K1824" i="2"/>
  <c r="H1824" i="2"/>
  <c r="I1824" i="2" s="1"/>
  <c r="J1824" i="2" s="1"/>
  <c r="C1824" i="2"/>
  <c r="B1824" i="2"/>
  <c r="A1824" i="2"/>
  <c r="X1823" i="2"/>
  <c r="S1823" i="2"/>
  <c r="R1823" i="2"/>
  <c r="Q1823" i="2"/>
  <c r="P1823" i="2"/>
  <c r="L1823" i="2"/>
  <c r="K1823" i="2"/>
  <c r="H1823" i="2"/>
  <c r="I1823" i="2" s="1"/>
  <c r="J1823" i="2" s="1"/>
  <c r="C1823" i="2"/>
  <c r="B1823" i="2"/>
  <c r="A1823" i="2"/>
  <c r="X1822" i="2"/>
  <c r="S1822" i="2"/>
  <c r="R1822" i="2"/>
  <c r="Q1822" i="2"/>
  <c r="P1822" i="2"/>
  <c r="L1822" i="2"/>
  <c r="K1822" i="2"/>
  <c r="H1822" i="2"/>
  <c r="I1822" i="2" s="1"/>
  <c r="J1822" i="2" s="1"/>
  <c r="C1822" i="2"/>
  <c r="B1822" i="2"/>
  <c r="A1822" i="2"/>
  <c r="X1821" i="2"/>
  <c r="S1821" i="2"/>
  <c r="R1821" i="2"/>
  <c r="Q1821" i="2"/>
  <c r="P1821" i="2"/>
  <c r="L1821" i="2"/>
  <c r="K1821" i="2"/>
  <c r="H1821" i="2"/>
  <c r="I1821" i="2" s="1"/>
  <c r="J1821" i="2" s="1"/>
  <c r="C1821" i="2"/>
  <c r="B1821" i="2"/>
  <c r="A1821" i="2"/>
  <c r="X1820" i="2"/>
  <c r="S1820" i="2"/>
  <c r="R1820" i="2"/>
  <c r="Q1820" i="2"/>
  <c r="P1820" i="2"/>
  <c r="L1820" i="2"/>
  <c r="K1820" i="2"/>
  <c r="H1820" i="2"/>
  <c r="I1820" i="2" s="1"/>
  <c r="J1820" i="2" s="1"/>
  <c r="C1820" i="2"/>
  <c r="B1820" i="2"/>
  <c r="A1820" i="2"/>
  <c r="X1819" i="2"/>
  <c r="S1819" i="2"/>
  <c r="R1819" i="2"/>
  <c r="Q1819" i="2"/>
  <c r="P1819" i="2"/>
  <c r="L1819" i="2"/>
  <c r="K1819" i="2"/>
  <c r="H1819" i="2"/>
  <c r="I1819" i="2" s="1"/>
  <c r="J1819" i="2" s="1"/>
  <c r="C1819" i="2"/>
  <c r="B1819" i="2"/>
  <c r="A1819" i="2"/>
  <c r="X1818" i="2"/>
  <c r="S1818" i="2"/>
  <c r="R1818" i="2"/>
  <c r="Q1818" i="2"/>
  <c r="P1818" i="2"/>
  <c r="L1818" i="2"/>
  <c r="K1818" i="2"/>
  <c r="H1818" i="2"/>
  <c r="I1818" i="2" s="1"/>
  <c r="J1818" i="2" s="1"/>
  <c r="C1818" i="2"/>
  <c r="B1818" i="2"/>
  <c r="A1818" i="2"/>
  <c r="X1817" i="2"/>
  <c r="S1817" i="2"/>
  <c r="R1817" i="2"/>
  <c r="Q1817" i="2"/>
  <c r="P1817" i="2"/>
  <c r="L1817" i="2"/>
  <c r="K1817" i="2"/>
  <c r="H1817" i="2"/>
  <c r="I1817" i="2" s="1"/>
  <c r="J1817" i="2" s="1"/>
  <c r="C1817" i="2"/>
  <c r="B1817" i="2"/>
  <c r="A1817" i="2"/>
  <c r="X1816" i="2"/>
  <c r="S1816" i="2"/>
  <c r="R1816" i="2"/>
  <c r="Q1816" i="2"/>
  <c r="P1816" i="2"/>
  <c r="L1816" i="2"/>
  <c r="K1816" i="2"/>
  <c r="H1816" i="2"/>
  <c r="I1816" i="2" s="1"/>
  <c r="J1816" i="2" s="1"/>
  <c r="C1816" i="2"/>
  <c r="B1816" i="2"/>
  <c r="A1816" i="2"/>
  <c r="X1815" i="2"/>
  <c r="S1815" i="2"/>
  <c r="R1815" i="2"/>
  <c r="Q1815" i="2"/>
  <c r="P1815" i="2"/>
  <c r="L1815" i="2"/>
  <c r="K1815" i="2"/>
  <c r="H1815" i="2"/>
  <c r="I1815" i="2" s="1"/>
  <c r="J1815" i="2" s="1"/>
  <c r="C1815" i="2"/>
  <c r="B1815" i="2"/>
  <c r="A1815" i="2"/>
  <c r="X1814" i="2"/>
  <c r="S1814" i="2"/>
  <c r="R1814" i="2"/>
  <c r="Q1814" i="2"/>
  <c r="P1814" i="2"/>
  <c r="L1814" i="2"/>
  <c r="K1814" i="2"/>
  <c r="H1814" i="2"/>
  <c r="I1814" i="2" s="1"/>
  <c r="J1814" i="2" s="1"/>
  <c r="C1814" i="2"/>
  <c r="B1814" i="2"/>
  <c r="A1814" i="2"/>
  <c r="X1813" i="2"/>
  <c r="S1813" i="2"/>
  <c r="R1813" i="2"/>
  <c r="Q1813" i="2"/>
  <c r="P1813" i="2"/>
  <c r="L1813" i="2"/>
  <c r="K1813" i="2"/>
  <c r="H1813" i="2"/>
  <c r="I1813" i="2" s="1"/>
  <c r="J1813" i="2" s="1"/>
  <c r="C1813" i="2"/>
  <c r="B1813" i="2"/>
  <c r="A1813" i="2"/>
  <c r="X1812" i="2"/>
  <c r="S1812" i="2"/>
  <c r="R1812" i="2"/>
  <c r="Q1812" i="2"/>
  <c r="P1812" i="2"/>
  <c r="L1812" i="2"/>
  <c r="K1812" i="2"/>
  <c r="H1812" i="2"/>
  <c r="I1812" i="2" s="1"/>
  <c r="J1812" i="2" s="1"/>
  <c r="C1812" i="2"/>
  <c r="B1812" i="2"/>
  <c r="A1812" i="2"/>
  <c r="X1811" i="2"/>
  <c r="S1811" i="2"/>
  <c r="R1811" i="2"/>
  <c r="Q1811" i="2"/>
  <c r="P1811" i="2"/>
  <c r="L1811" i="2"/>
  <c r="K1811" i="2"/>
  <c r="H1811" i="2"/>
  <c r="I1811" i="2" s="1"/>
  <c r="J1811" i="2" s="1"/>
  <c r="C1811" i="2"/>
  <c r="B1811" i="2"/>
  <c r="A1811" i="2"/>
  <c r="X1810" i="2"/>
  <c r="S1810" i="2"/>
  <c r="R1810" i="2"/>
  <c r="Q1810" i="2"/>
  <c r="P1810" i="2"/>
  <c r="L1810" i="2"/>
  <c r="K1810" i="2"/>
  <c r="H1810" i="2"/>
  <c r="I1810" i="2" s="1"/>
  <c r="J1810" i="2" s="1"/>
  <c r="C1810" i="2"/>
  <c r="B1810" i="2"/>
  <c r="A1810" i="2"/>
  <c r="X1809" i="2"/>
  <c r="S1809" i="2"/>
  <c r="R1809" i="2"/>
  <c r="Q1809" i="2"/>
  <c r="P1809" i="2"/>
  <c r="L1809" i="2"/>
  <c r="K1809" i="2"/>
  <c r="H1809" i="2"/>
  <c r="I1809" i="2" s="1"/>
  <c r="J1809" i="2" s="1"/>
  <c r="C1809" i="2"/>
  <c r="B1809" i="2"/>
  <c r="A1809" i="2"/>
  <c r="X1808" i="2"/>
  <c r="S1808" i="2"/>
  <c r="R1808" i="2"/>
  <c r="Q1808" i="2"/>
  <c r="P1808" i="2"/>
  <c r="L1808" i="2"/>
  <c r="K1808" i="2"/>
  <c r="H1808" i="2"/>
  <c r="I1808" i="2" s="1"/>
  <c r="J1808" i="2" s="1"/>
  <c r="C1808" i="2"/>
  <c r="B1808" i="2"/>
  <c r="A1808" i="2"/>
  <c r="X1807" i="2"/>
  <c r="S1807" i="2"/>
  <c r="R1807" i="2"/>
  <c r="Q1807" i="2"/>
  <c r="P1807" i="2"/>
  <c r="L1807" i="2"/>
  <c r="K1807" i="2"/>
  <c r="H1807" i="2"/>
  <c r="I1807" i="2" s="1"/>
  <c r="J1807" i="2" s="1"/>
  <c r="C1807" i="2"/>
  <c r="B1807" i="2"/>
  <c r="A1807" i="2"/>
  <c r="X1806" i="2"/>
  <c r="S1806" i="2"/>
  <c r="R1806" i="2"/>
  <c r="Q1806" i="2"/>
  <c r="P1806" i="2"/>
  <c r="L1806" i="2"/>
  <c r="K1806" i="2"/>
  <c r="H1806" i="2"/>
  <c r="I1806" i="2" s="1"/>
  <c r="J1806" i="2" s="1"/>
  <c r="C1806" i="2"/>
  <c r="B1806" i="2"/>
  <c r="A1806" i="2"/>
  <c r="X1805" i="2"/>
  <c r="S1805" i="2"/>
  <c r="R1805" i="2"/>
  <c r="Q1805" i="2"/>
  <c r="P1805" i="2"/>
  <c r="L1805" i="2"/>
  <c r="K1805" i="2"/>
  <c r="H1805" i="2"/>
  <c r="I1805" i="2" s="1"/>
  <c r="J1805" i="2" s="1"/>
  <c r="C1805" i="2"/>
  <c r="B1805" i="2"/>
  <c r="A1805" i="2"/>
  <c r="X1804" i="2"/>
  <c r="S1804" i="2"/>
  <c r="R1804" i="2"/>
  <c r="Q1804" i="2"/>
  <c r="P1804" i="2"/>
  <c r="L1804" i="2"/>
  <c r="K1804" i="2"/>
  <c r="H1804" i="2"/>
  <c r="I1804" i="2" s="1"/>
  <c r="J1804" i="2" s="1"/>
  <c r="C1804" i="2"/>
  <c r="B1804" i="2"/>
  <c r="A1804" i="2"/>
  <c r="X1803" i="2"/>
  <c r="S1803" i="2"/>
  <c r="R1803" i="2"/>
  <c r="Q1803" i="2"/>
  <c r="P1803" i="2"/>
  <c r="L1803" i="2"/>
  <c r="K1803" i="2"/>
  <c r="H1803" i="2"/>
  <c r="I1803" i="2" s="1"/>
  <c r="J1803" i="2" s="1"/>
  <c r="C1803" i="2"/>
  <c r="B1803" i="2"/>
  <c r="A1803" i="2"/>
  <c r="X1802" i="2"/>
  <c r="S1802" i="2"/>
  <c r="R1802" i="2"/>
  <c r="Q1802" i="2"/>
  <c r="P1802" i="2"/>
  <c r="L1802" i="2"/>
  <c r="K1802" i="2"/>
  <c r="H1802" i="2"/>
  <c r="I1802" i="2" s="1"/>
  <c r="J1802" i="2" s="1"/>
  <c r="C1802" i="2"/>
  <c r="B1802" i="2"/>
  <c r="A1802" i="2"/>
  <c r="X1801" i="2"/>
  <c r="S1801" i="2"/>
  <c r="R1801" i="2"/>
  <c r="Q1801" i="2"/>
  <c r="P1801" i="2"/>
  <c r="L1801" i="2"/>
  <c r="K1801" i="2"/>
  <c r="H1801" i="2"/>
  <c r="I1801" i="2" s="1"/>
  <c r="J1801" i="2" s="1"/>
  <c r="C1801" i="2"/>
  <c r="B1801" i="2"/>
  <c r="A1801" i="2"/>
  <c r="X1800" i="2"/>
  <c r="S1800" i="2"/>
  <c r="R1800" i="2"/>
  <c r="Q1800" i="2"/>
  <c r="P1800" i="2"/>
  <c r="L1800" i="2"/>
  <c r="K1800" i="2"/>
  <c r="H1800" i="2"/>
  <c r="I1800" i="2" s="1"/>
  <c r="J1800" i="2" s="1"/>
  <c r="C1800" i="2"/>
  <c r="B1800" i="2"/>
  <c r="A1800" i="2"/>
  <c r="X1799" i="2"/>
  <c r="S1799" i="2"/>
  <c r="R1799" i="2"/>
  <c r="Q1799" i="2"/>
  <c r="P1799" i="2"/>
  <c r="L1799" i="2"/>
  <c r="K1799" i="2"/>
  <c r="H1799" i="2"/>
  <c r="I1799" i="2" s="1"/>
  <c r="J1799" i="2" s="1"/>
  <c r="C1799" i="2"/>
  <c r="B1799" i="2"/>
  <c r="A1799" i="2"/>
  <c r="X1798" i="2"/>
  <c r="S1798" i="2"/>
  <c r="R1798" i="2"/>
  <c r="Q1798" i="2"/>
  <c r="P1798" i="2"/>
  <c r="L1798" i="2"/>
  <c r="K1798" i="2"/>
  <c r="H1798" i="2"/>
  <c r="I1798" i="2" s="1"/>
  <c r="J1798" i="2" s="1"/>
  <c r="C1798" i="2"/>
  <c r="B1798" i="2"/>
  <c r="A1798" i="2"/>
  <c r="X1797" i="2"/>
  <c r="S1797" i="2"/>
  <c r="R1797" i="2"/>
  <c r="Q1797" i="2"/>
  <c r="P1797" i="2"/>
  <c r="L1797" i="2"/>
  <c r="K1797" i="2"/>
  <c r="H1797" i="2"/>
  <c r="I1797" i="2" s="1"/>
  <c r="J1797" i="2" s="1"/>
  <c r="C1797" i="2"/>
  <c r="B1797" i="2"/>
  <c r="A1797" i="2"/>
  <c r="X1796" i="2"/>
  <c r="S1796" i="2"/>
  <c r="R1796" i="2"/>
  <c r="Q1796" i="2"/>
  <c r="P1796" i="2"/>
  <c r="L1796" i="2"/>
  <c r="K1796" i="2"/>
  <c r="H1796" i="2"/>
  <c r="I1796" i="2" s="1"/>
  <c r="J1796" i="2" s="1"/>
  <c r="C1796" i="2"/>
  <c r="B1796" i="2"/>
  <c r="A1796" i="2"/>
  <c r="X1795" i="2"/>
  <c r="S1795" i="2"/>
  <c r="R1795" i="2"/>
  <c r="Q1795" i="2"/>
  <c r="P1795" i="2"/>
  <c r="L1795" i="2"/>
  <c r="K1795" i="2"/>
  <c r="H1795" i="2"/>
  <c r="I1795" i="2" s="1"/>
  <c r="J1795" i="2" s="1"/>
  <c r="C1795" i="2"/>
  <c r="B1795" i="2"/>
  <c r="A1795" i="2"/>
  <c r="X1794" i="2"/>
  <c r="S1794" i="2"/>
  <c r="R1794" i="2"/>
  <c r="Q1794" i="2"/>
  <c r="P1794" i="2"/>
  <c r="L1794" i="2"/>
  <c r="K1794" i="2"/>
  <c r="H1794" i="2"/>
  <c r="I1794" i="2" s="1"/>
  <c r="J1794" i="2" s="1"/>
  <c r="C1794" i="2"/>
  <c r="B1794" i="2"/>
  <c r="A1794" i="2"/>
  <c r="X1793" i="2"/>
  <c r="S1793" i="2"/>
  <c r="R1793" i="2"/>
  <c r="Q1793" i="2"/>
  <c r="P1793" i="2"/>
  <c r="L1793" i="2"/>
  <c r="K1793" i="2"/>
  <c r="H1793" i="2"/>
  <c r="I1793" i="2" s="1"/>
  <c r="J1793" i="2" s="1"/>
  <c r="C1793" i="2"/>
  <c r="B1793" i="2"/>
  <c r="A1793" i="2"/>
  <c r="X1792" i="2"/>
  <c r="S1792" i="2"/>
  <c r="R1792" i="2"/>
  <c r="Q1792" i="2"/>
  <c r="P1792" i="2"/>
  <c r="L1792" i="2"/>
  <c r="K1792" i="2"/>
  <c r="H1792" i="2"/>
  <c r="I1792" i="2" s="1"/>
  <c r="J1792" i="2" s="1"/>
  <c r="C1792" i="2"/>
  <c r="B1792" i="2"/>
  <c r="A1792" i="2"/>
  <c r="X1791" i="2"/>
  <c r="S1791" i="2"/>
  <c r="R1791" i="2"/>
  <c r="Q1791" i="2"/>
  <c r="P1791" i="2"/>
  <c r="L1791" i="2"/>
  <c r="K1791" i="2"/>
  <c r="H1791" i="2"/>
  <c r="I1791" i="2" s="1"/>
  <c r="J1791" i="2" s="1"/>
  <c r="C1791" i="2"/>
  <c r="B1791" i="2"/>
  <c r="A1791" i="2"/>
  <c r="X1790" i="2"/>
  <c r="S1790" i="2"/>
  <c r="R1790" i="2"/>
  <c r="Q1790" i="2"/>
  <c r="P1790" i="2"/>
  <c r="L1790" i="2"/>
  <c r="K1790" i="2"/>
  <c r="H1790" i="2"/>
  <c r="I1790" i="2" s="1"/>
  <c r="J1790" i="2" s="1"/>
  <c r="C1790" i="2"/>
  <c r="B1790" i="2"/>
  <c r="A1790" i="2"/>
  <c r="X1789" i="2"/>
  <c r="S1789" i="2"/>
  <c r="R1789" i="2"/>
  <c r="Q1789" i="2"/>
  <c r="P1789" i="2"/>
  <c r="L1789" i="2"/>
  <c r="K1789" i="2"/>
  <c r="H1789" i="2"/>
  <c r="I1789" i="2" s="1"/>
  <c r="J1789" i="2" s="1"/>
  <c r="C1789" i="2"/>
  <c r="B1789" i="2"/>
  <c r="A1789" i="2"/>
  <c r="X1788" i="2"/>
  <c r="S1788" i="2"/>
  <c r="R1788" i="2"/>
  <c r="Q1788" i="2"/>
  <c r="P1788" i="2"/>
  <c r="L1788" i="2"/>
  <c r="K1788" i="2"/>
  <c r="H1788" i="2"/>
  <c r="I1788" i="2" s="1"/>
  <c r="J1788" i="2" s="1"/>
  <c r="C1788" i="2"/>
  <c r="B1788" i="2"/>
  <c r="A1788" i="2"/>
  <c r="X1787" i="2"/>
  <c r="S1787" i="2"/>
  <c r="R1787" i="2"/>
  <c r="Q1787" i="2"/>
  <c r="P1787" i="2"/>
  <c r="L1787" i="2"/>
  <c r="K1787" i="2"/>
  <c r="H1787" i="2"/>
  <c r="I1787" i="2" s="1"/>
  <c r="J1787" i="2" s="1"/>
  <c r="C1787" i="2"/>
  <c r="B1787" i="2"/>
  <c r="A1787" i="2"/>
  <c r="J1787" i="4" s="1"/>
  <c r="X1786" i="2"/>
  <c r="S1786" i="2"/>
  <c r="R1786" i="2"/>
  <c r="Q1786" i="2"/>
  <c r="P1786" i="2"/>
  <c r="L1786" i="2"/>
  <c r="K1786" i="2"/>
  <c r="H1786" i="2"/>
  <c r="I1786" i="2" s="1"/>
  <c r="J1786" i="2" s="1"/>
  <c r="C1786" i="2"/>
  <c r="B1786" i="2"/>
  <c r="A1786" i="2"/>
  <c r="J1786" i="4" s="1"/>
  <c r="X1785" i="2"/>
  <c r="S1785" i="2"/>
  <c r="R1785" i="2"/>
  <c r="Q1785" i="2"/>
  <c r="P1785" i="2"/>
  <c r="L1785" i="2"/>
  <c r="K1785" i="2"/>
  <c r="H1785" i="2"/>
  <c r="I1785" i="2" s="1"/>
  <c r="J1785" i="2" s="1"/>
  <c r="C1785" i="2"/>
  <c r="B1785" i="2"/>
  <c r="A1785" i="2"/>
  <c r="J1785" i="4" s="1"/>
  <c r="X1784" i="2"/>
  <c r="S1784" i="2"/>
  <c r="R1784" i="2"/>
  <c r="Q1784" i="2"/>
  <c r="P1784" i="2"/>
  <c r="L1784" i="2"/>
  <c r="K1784" i="2"/>
  <c r="H1784" i="2"/>
  <c r="I1784" i="2" s="1"/>
  <c r="J1784" i="2" s="1"/>
  <c r="C1784" i="2"/>
  <c r="B1784" i="2"/>
  <c r="A1784" i="2"/>
  <c r="J1784" i="4" s="1"/>
  <c r="X1783" i="2"/>
  <c r="S1783" i="2"/>
  <c r="R1783" i="2"/>
  <c r="Q1783" i="2"/>
  <c r="P1783" i="2"/>
  <c r="L1783" i="2"/>
  <c r="K1783" i="2"/>
  <c r="H1783" i="2"/>
  <c r="I1783" i="2" s="1"/>
  <c r="J1783" i="2" s="1"/>
  <c r="C1783" i="2"/>
  <c r="B1783" i="2"/>
  <c r="A1783" i="2"/>
  <c r="J1783" i="4" s="1"/>
  <c r="X1782" i="2"/>
  <c r="S1782" i="2"/>
  <c r="R1782" i="2"/>
  <c r="Q1782" i="2"/>
  <c r="P1782" i="2"/>
  <c r="L1782" i="2"/>
  <c r="K1782" i="2"/>
  <c r="H1782" i="2"/>
  <c r="I1782" i="2" s="1"/>
  <c r="J1782" i="2" s="1"/>
  <c r="C1782" i="2"/>
  <c r="B1782" i="2"/>
  <c r="A1782" i="2"/>
  <c r="J1782" i="4" s="1"/>
  <c r="X1781" i="2"/>
  <c r="S1781" i="2"/>
  <c r="R1781" i="2"/>
  <c r="Q1781" i="2"/>
  <c r="P1781" i="2"/>
  <c r="L1781" i="2"/>
  <c r="K1781" i="2"/>
  <c r="H1781" i="2"/>
  <c r="I1781" i="2" s="1"/>
  <c r="J1781" i="2" s="1"/>
  <c r="C1781" i="2"/>
  <c r="B1781" i="2"/>
  <c r="A1781" i="2"/>
  <c r="J1781" i="4" s="1"/>
  <c r="X1780" i="2"/>
  <c r="S1780" i="2"/>
  <c r="R1780" i="2"/>
  <c r="Q1780" i="2"/>
  <c r="P1780" i="2"/>
  <c r="L1780" i="2"/>
  <c r="K1780" i="2"/>
  <c r="H1780" i="2"/>
  <c r="I1780" i="2" s="1"/>
  <c r="J1780" i="2" s="1"/>
  <c r="C1780" i="2"/>
  <c r="B1780" i="2"/>
  <c r="A1780" i="2"/>
  <c r="J1780" i="4" s="1"/>
  <c r="X1779" i="2"/>
  <c r="S1779" i="2"/>
  <c r="R1779" i="2"/>
  <c r="Q1779" i="2"/>
  <c r="P1779" i="2"/>
  <c r="L1779" i="2"/>
  <c r="K1779" i="2"/>
  <c r="H1779" i="2"/>
  <c r="I1779" i="2" s="1"/>
  <c r="J1779" i="2" s="1"/>
  <c r="C1779" i="2"/>
  <c r="B1779" i="2"/>
  <c r="A1779" i="2"/>
  <c r="J1779" i="4" s="1"/>
  <c r="X1778" i="2"/>
  <c r="S1778" i="2"/>
  <c r="R1778" i="2"/>
  <c r="Q1778" i="2"/>
  <c r="P1778" i="2"/>
  <c r="L1778" i="2"/>
  <c r="K1778" i="2"/>
  <c r="H1778" i="2"/>
  <c r="I1778" i="2" s="1"/>
  <c r="J1778" i="2" s="1"/>
  <c r="C1778" i="2"/>
  <c r="B1778" i="2"/>
  <c r="A1778" i="2"/>
  <c r="J1778" i="4" s="1"/>
  <c r="X1777" i="2"/>
  <c r="S1777" i="2"/>
  <c r="R1777" i="2"/>
  <c r="Q1777" i="2"/>
  <c r="P1777" i="2"/>
  <c r="L1777" i="2"/>
  <c r="K1777" i="2"/>
  <c r="H1777" i="2"/>
  <c r="I1777" i="2" s="1"/>
  <c r="J1777" i="2" s="1"/>
  <c r="C1777" i="2"/>
  <c r="B1777" i="2"/>
  <c r="A1777" i="2"/>
  <c r="J1777" i="4" s="1"/>
  <c r="X1776" i="2"/>
  <c r="S1776" i="2"/>
  <c r="R1776" i="2"/>
  <c r="Q1776" i="2"/>
  <c r="P1776" i="2"/>
  <c r="L1776" i="2"/>
  <c r="K1776" i="2"/>
  <c r="H1776" i="2"/>
  <c r="I1776" i="2" s="1"/>
  <c r="J1776" i="2" s="1"/>
  <c r="C1776" i="2"/>
  <c r="B1776" i="2"/>
  <c r="A1776" i="2"/>
  <c r="J1776" i="4" s="1"/>
  <c r="X1775" i="2"/>
  <c r="S1775" i="2"/>
  <c r="R1775" i="2"/>
  <c r="Q1775" i="2"/>
  <c r="P1775" i="2"/>
  <c r="L1775" i="2"/>
  <c r="K1775" i="2"/>
  <c r="H1775" i="2"/>
  <c r="I1775" i="2" s="1"/>
  <c r="J1775" i="2" s="1"/>
  <c r="C1775" i="2"/>
  <c r="B1775" i="2"/>
  <c r="A1775" i="2"/>
  <c r="J1775" i="4" s="1"/>
  <c r="X1774" i="2"/>
  <c r="S1774" i="2"/>
  <c r="R1774" i="2"/>
  <c r="Q1774" i="2"/>
  <c r="P1774" i="2"/>
  <c r="L1774" i="2"/>
  <c r="K1774" i="2"/>
  <c r="H1774" i="2"/>
  <c r="I1774" i="2" s="1"/>
  <c r="J1774" i="2" s="1"/>
  <c r="C1774" i="2"/>
  <c r="B1774" i="2"/>
  <c r="A1774" i="2"/>
  <c r="J1774" i="4" s="1"/>
  <c r="X1773" i="2"/>
  <c r="S1773" i="2"/>
  <c r="R1773" i="2"/>
  <c r="Q1773" i="2"/>
  <c r="P1773" i="2"/>
  <c r="L1773" i="2"/>
  <c r="K1773" i="2"/>
  <c r="H1773" i="2"/>
  <c r="I1773" i="2" s="1"/>
  <c r="J1773" i="2" s="1"/>
  <c r="C1773" i="2"/>
  <c r="B1773" i="2"/>
  <c r="A1773" i="2"/>
  <c r="J1773" i="4" s="1"/>
  <c r="X1772" i="2"/>
  <c r="S1772" i="2"/>
  <c r="R1772" i="2"/>
  <c r="Q1772" i="2"/>
  <c r="P1772" i="2"/>
  <c r="L1772" i="2"/>
  <c r="K1772" i="2"/>
  <c r="H1772" i="2"/>
  <c r="I1772" i="2" s="1"/>
  <c r="J1772" i="2" s="1"/>
  <c r="C1772" i="2"/>
  <c r="B1772" i="2"/>
  <c r="A1772" i="2"/>
  <c r="J1772" i="4" s="1"/>
  <c r="X1771" i="2"/>
  <c r="S1771" i="2"/>
  <c r="R1771" i="2"/>
  <c r="Q1771" i="2"/>
  <c r="P1771" i="2"/>
  <c r="L1771" i="2"/>
  <c r="K1771" i="2"/>
  <c r="H1771" i="2"/>
  <c r="I1771" i="2" s="1"/>
  <c r="J1771" i="2" s="1"/>
  <c r="C1771" i="2"/>
  <c r="B1771" i="2"/>
  <c r="A1771" i="2"/>
  <c r="J1771" i="4" s="1"/>
  <c r="X1770" i="2"/>
  <c r="S1770" i="2"/>
  <c r="R1770" i="2"/>
  <c r="Q1770" i="2"/>
  <c r="P1770" i="2"/>
  <c r="L1770" i="2"/>
  <c r="K1770" i="2"/>
  <c r="H1770" i="2"/>
  <c r="I1770" i="2" s="1"/>
  <c r="J1770" i="2" s="1"/>
  <c r="C1770" i="2"/>
  <c r="B1770" i="2"/>
  <c r="A1770" i="2"/>
  <c r="J1770" i="4" s="1"/>
  <c r="X1769" i="2"/>
  <c r="S1769" i="2"/>
  <c r="R1769" i="2"/>
  <c r="Q1769" i="2"/>
  <c r="P1769" i="2"/>
  <c r="L1769" i="2"/>
  <c r="K1769" i="2"/>
  <c r="H1769" i="2"/>
  <c r="I1769" i="2" s="1"/>
  <c r="J1769" i="2" s="1"/>
  <c r="C1769" i="2"/>
  <c r="B1769" i="2"/>
  <c r="A1769" i="2"/>
  <c r="J1769" i="4" s="1"/>
  <c r="X1768" i="2"/>
  <c r="S1768" i="2"/>
  <c r="R1768" i="2"/>
  <c r="Q1768" i="2"/>
  <c r="P1768" i="2"/>
  <c r="L1768" i="2"/>
  <c r="K1768" i="2"/>
  <c r="H1768" i="2"/>
  <c r="I1768" i="2" s="1"/>
  <c r="J1768" i="2" s="1"/>
  <c r="C1768" i="2"/>
  <c r="B1768" i="2"/>
  <c r="A1768" i="2"/>
  <c r="J1768" i="4" s="1"/>
  <c r="X1767" i="2"/>
  <c r="S1767" i="2"/>
  <c r="R1767" i="2"/>
  <c r="Q1767" i="2"/>
  <c r="P1767" i="2"/>
  <c r="L1767" i="2"/>
  <c r="K1767" i="2"/>
  <c r="H1767" i="2"/>
  <c r="I1767" i="2" s="1"/>
  <c r="J1767" i="2" s="1"/>
  <c r="C1767" i="2"/>
  <c r="B1767" i="2"/>
  <c r="A1767" i="2"/>
  <c r="J1767" i="4" s="1"/>
  <c r="X1766" i="2"/>
  <c r="S1766" i="2"/>
  <c r="R1766" i="2"/>
  <c r="Q1766" i="2"/>
  <c r="P1766" i="2"/>
  <c r="L1766" i="2"/>
  <c r="K1766" i="2"/>
  <c r="H1766" i="2"/>
  <c r="I1766" i="2" s="1"/>
  <c r="J1766" i="2" s="1"/>
  <c r="C1766" i="2"/>
  <c r="B1766" i="2"/>
  <c r="A1766" i="2"/>
  <c r="J1766" i="4" s="1"/>
  <c r="X1765" i="2"/>
  <c r="S1765" i="2"/>
  <c r="R1765" i="2"/>
  <c r="Q1765" i="2"/>
  <c r="P1765" i="2"/>
  <c r="L1765" i="2"/>
  <c r="K1765" i="2"/>
  <c r="H1765" i="2"/>
  <c r="I1765" i="2" s="1"/>
  <c r="J1765" i="2" s="1"/>
  <c r="C1765" i="2"/>
  <c r="B1765" i="2"/>
  <c r="A1765" i="2"/>
  <c r="J1765" i="4" s="1"/>
  <c r="X1764" i="2"/>
  <c r="S1764" i="2"/>
  <c r="R1764" i="2"/>
  <c r="Q1764" i="2"/>
  <c r="P1764" i="2"/>
  <c r="L1764" i="2"/>
  <c r="K1764" i="2"/>
  <c r="H1764" i="2"/>
  <c r="I1764" i="2" s="1"/>
  <c r="J1764" i="2" s="1"/>
  <c r="C1764" i="2"/>
  <c r="B1764" i="2"/>
  <c r="A1764" i="2"/>
  <c r="J1764" i="4" s="1"/>
  <c r="X1763" i="2"/>
  <c r="S1763" i="2"/>
  <c r="R1763" i="2"/>
  <c r="Q1763" i="2"/>
  <c r="P1763" i="2"/>
  <c r="L1763" i="2"/>
  <c r="K1763" i="2"/>
  <c r="H1763" i="2"/>
  <c r="I1763" i="2" s="1"/>
  <c r="J1763" i="2" s="1"/>
  <c r="C1763" i="2"/>
  <c r="B1763" i="2"/>
  <c r="A1763" i="2"/>
  <c r="J1763" i="4" s="1"/>
  <c r="X1762" i="2"/>
  <c r="S1762" i="2"/>
  <c r="R1762" i="2"/>
  <c r="Q1762" i="2"/>
  <c r="P1762" i="2"/>
  <c r="L1762" i="2"/>
  <c r="K1762" i="2"/>
  <c r="H1762" i="2"/>
  <c r="I1762" i="2" s="1"/>
  <c r="J1762" i="2" s="1"/>
  <c r="C1762" i="2"/>
  <c r="B1762" i="2"/>
  <c r="A1762" i="2"/>
  <c r="J1762" i="4" s="1"/>
  <c r="X1761" i="2"/>
  <c r="S1761" i="2"/>
  <c r="R1761" i="2"/>
  <c r="Q1761" i="2"/>
  <c r="P1761" i="2"/>
  <c r="L1761" i="2"/>
  <c r="K1761" i="2"/>
  <c r="H1761" i="2"/>
  <c r="I1761" i="2" s="1"/>
  <c r="J1761" i="2" s="1"/>
  <c r="C1761" i="2"/>
  <c r="B1761" i="2"/>
  <c r="A1761" i="2"/>
  <c r="J1761" i="4" s="1"/>
  <c r="X1760" i="2"/>
  <c r="S1760" i="2"/>
  <c r="R1760" i="2"/>
  <c r="Q1760" i="2"/>
  <c r="P1760" i="2"/>
  <c r="L1760" i="2"/>
  <c r="K1760" i="2"/>
  <c r="H1760" i="2"/>
  <c r="I1760" i="2" s="1"/>
  <c r="J1760" i="2" s="1"/>
  <c r="C1760" i="2"/>
  <c r="B1760" i="2"/>
  <c r="A1760" i="2"/>
  <c r="J1760" i="4" s="1"/>
  <c r="X1759" i="2"/>
  <c r="S1759" i="2"/>
  <c r="R1759" i="2"/>
  <c r="Q1759" i="2"/>
  <c r="P1759" i="2"/>
  <c r="L1759" i="2"/>
  <c r="K1759" i="2"/>
  <c r="H1759" i="2"/>
  <c r="I1759" i="2" s="1"/>
  <c r="J1759" i="2" s="1"/>
  <c r="C1759" i="2"/>
  <c r="B1759" i="2"/>
  <c r="A1759" i="2"/>
  <c r="J1759" i="4" s="1"/>
  <c r="X1758" i="2"/>
  <c r="S1758" i="2"/>
  <c r="R1758" i="2"/>
  <c r="Q1758" i="2"/>
  <c r="P1758" i="2"/>
  <c r="L1758" i="2"/>
  <c r="K1758" i="2"/>
  <c r="H1758" i="2"/>
  <c r="I1758" i="2" s="1"/>
  <c r="J1758" i="2" s="1"/>
  <c r="C1758" i="2"/>
  <c r="B1758" i="2"/>
  <c r="A1758" i="2"/>
  <c r="J1758" i="4" s="1"/>
  <c r="X1757" i="2"/>
  <c r="S1757" i="2"/>
  <c r="R1757" i="2"/>
  <c r="Q1757" i="2"/>
  <c r="P1757" i="2"/>
  <c r="L1757" i="2"/>
  <c r="K1757" i="2"/>
  <c r="H1757" i="2"/>
  <c r="I1757" i="2" s="1"/>
  <c r="J1757" i="2" s="1"/>
  <c r="C1757" i="2"/>
  <c r="B1757" i="2"/>
  <c r="A1757" i="2"/>
  <c r="J1757" i="4" s="1"/>
  <c r="X1756" i="2"/>
  <c r="S1756" i="2"/>
  <c r="R1756" i="2"/>
  <c r="Q1756" i="2"/>
  <c r="P1756" i="2"/>
  <c r="L1756" i="2"/>
  <c r="K1756" i="2"/>
  <c r="H1756" i="2"/>
  <c r="I1756" i="2" s="1"/>
  <c r="J1756" i="2" s="1"/>
  <c r="C1756" i="2"/>
  <c r="B1756" i="2"/>
  <c r="A1756" i="2"/>
  <c r="J1756" i="4" s="1"/>
  <c r="X1755" i="2"/>
  <c r="S1755" i="2"/>
  <c r="R1755" i="2"/>
  <c r="Q1755" i="2"/>
  <c r="P1755" i="2"/>
  <c r="L1755" i="2"/>
  <c r="K1755" i="2"/>
  <c r="H1755" i="2"/>
  <c r="I1755" i="2" s="1"/>
  <c r="J1755" i="2" s="1"/>
  <c r="C1755" i="2"/>
  <c r="B1755" i="2"/>
  <c r="A1755" i="2"/>
  <c r="J1755" i="4" s="1"/>
  <c r="X1754" i="2"/>
  <c r="S1754" i="2"/>
  <c r="R1754" i="2"/>
  <c r="Q1754" i="2"/>
  <c r="P1754" i="2"/>
  <c r="L1754" i="2"/>
  <c r="K1754" i="2"/>
  <c r="H1754" i="2"/>
  <c r="I1754" i="2" s="1"/>
  <c r="J1754" i="2" s="1"/>
  <c r="C1754" i="2"/>
  <c r="B1754" i="2"/>
  <c r="A1754" i="2"/>
  <c r="J1754" i="4" s="1"/>
  <c r="X1753" i="2"/>
  <c r="S1753" i="2"/>
  <c r="R1753" i="2"/>
  <c r="Q1753" i="2"/>
  <c r="P1753" i="2"/>
  <c r="L1753" i="2"/>
  <c r="K1753" i="2"/>
  <c r="H1753" i="2"/>
  <c r="I1753" i="2" s="1"/>
  <c r="J1753" i="2" s="1"/>
  <c r="C1753" i="2"/>
  <c r="B1753" i="2"/>
  <c r="A1753" i="2"/>
  <c r="J1753" i="4" s="1"/>
  <c r="X1752" i="2"/>
  <c r="S1752" i="2"/>
  <c r="R1752" i="2"/>
  <c r="Q1752" i="2"/>
  <c r="P1752" i="2"/>
  <c r="L1752" i="2"/>
  <c r="K1752" i="2"/>
  <c r="H1752" i="2"/>
  <c r="I1752" i="2" s="1"/>
  <c r="J1752" i="2" s="1"/>
  <c r="C1752" i="2"/>
  <c r="B1752" i="2"/>
  <c r="A1752" i="2"/>
  <c r="J1752" i="4" s="1"/>
  <c r="X1751" i="2"/>
  <c r="S1751" i="2"/>
  <c r="R1751" i="2"/>
  <c r="Q1751" i="2"/>
  <c r="P1751" i="2"/>
  <c r="L1751" i="2"/>
  <c r="K1751" i="2"/>
  <c r="H1751" i="2"/>
  <c r="I1751" i="2" s="1"/>
  <c r="J1751" i="2" s="1"/>
  <c r="C1751" i="2"/>
  <c r="B1751" i="2"/>
  <c r="A1751" i="2"/>
  <c r="J1751" i="4" s="1"/>
  <c r="X1750" i="2"/>
  <c r="S1750" i="2"/>
  <c r="R1750" i="2"/>
  <c r="Q1750" i="2"/>
  <c r="P1750" i="2"/>
  <c r="L1750" i="2"/>
  <c r="K1750" i="2"/>
  <c r="H1750" i="2"/>
  <c r="I1750" i="2" s="1"/>
  <c r="J1750" i="2" s="1"/>
  <c r="C1750" i="2"/>
  <c r="B1750" i="2"/>
  <c r="A1750" i="2"/>
  <c r="J1750" i="4" s="1"/>
  <c r="X1749" i="2"/>
  <c r="S1749" i="2"/>
  <c r="R1749" i="2"/>
  <c r="Q1749" i="2"/>
  <c r="P1749" i="2"/>
  <c r="L1749" i="2"/>
  <c r="K1749" i="2"/>
  <c r="H1749" i="2"/>
  <c r="I1749" i="2" s="1"/>
  <c r="J1749" i="2" s="1"/>
  <c r="C1749" i="2"/>
  <c r="B1749" i="2"/>
  <c r="A1749" i="2"/>
  <c r="J1749" i="4" s="1"/>
  <c r="X1748" i="2"/>
  <c r="S1748" i="2"/>
  <c r="R1748" i="2"/>
  <c r="Q1748" i="2"/>
  <c r="P1748" i="2"/>
  <c r="L1748" i="2"/>
  <c r="K1748" i="2"/>
  <c r="H1748" i="2"/>
  <c r="I1748" i="2" s="1"/>
  <c r="J1748" i="2" s="1"/>
  <c r="C1748" i="2"/>
  <c r="B1748" i="2"/>
  <c r="A1748" i="2"/>
  <c r="J1748" i="4" s="1"/>
  <c r="X1747" i="2"/>
  <c r="S1747" i="2"/>
  <c r="R1747" i="2"/>
  <c r="Q1747" i="2"/>
  <c r="P1747" i="2"/>
  <c r="L1747" i="2"/>
  <c r="K1747" i="2"/>
  <c r="H1747" i="2"/>
  <c r="I1747" i="2" s="1"/>
  <c r="J1747" i="2" s="1"/>
  <c r="C1747" i="2"/>
  <c r="B1747" i="2"/>
  <c r="A1747" i="2"/>
  <c r="J1747" i="4" s="1"/>
  <c r="X1746" i="2"/>
  <c r="S1746" i="2"/>
  <c r="R1746" i="2"/>
  <c r="Q1746" i="2"/>
  <c r="P1746" i="2"/>
  <c r="L1746" i="2"/>
  <c r="K1746" i="2"/>
  <c r="H1746" i="2"/>
  <c r="I1746" i="2" s="1"/>
  <c r="J1746" i="2" s="1"/>
  <c r="C1746" i="2"/>
  <c r="B1746" i="2"/>
  <c r="A1746" i="2"/>
  <c r="J1746" i="4" s="1"/>
  <c r="X1745" i="2"/>
  <c r="S1745" i="2"/>
  <c r="R1745" i="2"/>
  <c r="Q1745" i="2"/>
  <c r="P1745" i="2"/>
  <c r="L1745" i="2"/>
  <c r="K1745" i="2"/>
  <c r="H1745" i="2"/>
  <c r="I1745" i="2" s="1"/>
  <c r="J1745" i="2" s="1"/>
  <c r="C1745" i="2"/>
  <c r="B1745" i="2"/>
  <c r="A1745" i="2"/>
  <c r="J1745" i="4" s="1"/>
  <c r="X1744" i="2"/>
  <c r="S1744" i="2"/>
  <c r="R1744" i="2"/>
  <c r="Q1744" i="2"/>
  <c r="P1744" i="2"/>
  <c r="L1744" i="2"/>
  <c r="K1744" i="2"/>
  <c r="H1744" i="2"/>
  <c r="I1744" i="2" s="1"/>
  <c r="J1744" i="2" s="1"/>
  <c r="C1744" i="2"/>
  <c r="B1744" i="2"/>
  <c r="A1744" i="2"/>
  <c r="J1744" i="4" s="1"/>
  <c r="X1743" i="2"/>
  <c r="S1743" i="2"/>
  <c r="R1743" i="2"/>
  <c r="Q1743" i="2"/>
  <c r="P1743" i="2"/>
  <c r="L1743" i="2"/>
  <c r="K1743" i="2"/>
  <c r="H1743" i="2"/>
  <c r="I1743" i="2" s="1"/>
  <c r="J1743" i="2" s="1"/>
  <c r="C1743" i="2"/>
  <c r="B1743" i="2"/>
  <c r="A1743" i="2"/>
  <c r="J1743" i="4" s="1"/>
  <c r="X1742" i="2"/>
  <c r="S1742" i="2"/>
  <c r="R1742" i="2"/>
  <c r="Q1742" i="2"/>
  <c r="P1742" i="2"/>
  <c r="L1742" i="2"/>
  <c r="K1742" i="2"/>
  <c r="H1742" i="2"/>
  <c r="I1742" i="2" s="1"/>
  <c r="J1742" i="2" s="1"/>
  <c r="C1742" i="2"/>
  <c r="B1742" i="2"/>
  <c r="A1742" i="2"/>
  <c r="J1742" i="4" s="1"/>
  <c r="X1741" i="2"/>
  <c r="S1741" i="2"/>
  <c r="R1741" i="2"/>
  <c r="Q1741" i="2"/>
  <c r="P1741" i="2"/>
  <c r="L1741" i="2"/>
  <c r="K1741" i="2"/>
  <c r="H1741" i="2"/>
  <c r="I1741" i="2" s="1"/>
  <c r="J1741" i="2" s="1"/>
  <c r="C1741" i="2"/>
  <c r="B1741" i="2"/>
  <c r="A1741" i="2"/>
  <c r="J1741" i="4" s="1"/>
  <c r="X1740" i="2"/>
  <c r="S1740" i="2"/>
  <c r="R1740" i="2"/>
  <c r="Q1740" i="2"/>
  <c r="P1740" i="2"/>
  <c r="L1740" i="2"/>
  <c r="K1740" i="2"/>
  <c r="H1740" i="2"/>
  <c r="I1740" i="2" s="1"/>
  <c r="J1740" i="2" s="1"/>
  <c r="C1740" i="2"/>
  <c r="B1740" i="2"/>
  <c r="A1740" i="2"/>
  <c r="J1740" i="4" s="1"/>
  <c r="X1739" i="2"/>
  <c r="S1739" i="2"/>
  <c r="R1739" i="2"/>
  <c r="Q1739" i="2"/>
  <c r="P1739" i="2"/>
  <c r="L1739" i="2"/>
  <c r="K1739" i="2"/>
  <c r="H1739" i="2"/>
  <c r="I1739" i="2" s="1"/>
  <c r="J1739" i="2" s="1"/>
  <c r="C1739" i="2"/>
  <c r="B1739" i="2"/>
  <c r="A1739" i="2"/>
  <c r="J1739" i="4" s="1"/>
  <c r="X1738" i="2"/>
  <c r="S1738" i="2"/>
  <c r="R1738" i="2"/>
  <c r="Q1738" i="2"/>
  <c r="P1738" i="2"/>
  <c r="L1738" i="2"/>
  <c r="K1738" i="2"/>
  <c r="H1738" i="2"/>
  <c r="I1738" i="2" s="1"/>
  <c r="J1738" i="2" s="1"/>
  <c r="C1738" i="2"/>
  <c r="B1738" i="2"/>
  <c r="A1738" i="2"/>
  <c r="J1738" i="4" s="1"/>
  <c r="X1737" i="2"/>
  <c r="S1737" i="2"/>
  <c r="R1737" i="2"/>
  <c r="Q1737" i="2"/>
  <c r="P1737" i="2"/>
  <c r="L1737" i="2"/>
  <c r="K1737" i="2"/>
  <c r="H1737" i="2"/>
  <c r="I1737" i="2" s="1"/>
  <c r="J1737" i="2" s="1"/>
  <c r="C1737" i="2"/>
  <c r="B1737" i="2"/>
  <c r="A1737" i="2"/>
  <c r="J1737" i="4" s="1"/>
  <c r="X1736" i="2"/>
  <c r="S1736" i="2"/>
  <c r="R1736" i="2"/>
  <c r="Q1736" i="2"/>
  <c r="P1736" i="2"/>
  <c r="L1736" i="2"/>
  <c r="K1736" i="2"/>
  <c r="H1736" i="2"/>
  <c r="I1736" i="2" s="1"/>
  <c r="J1736" i="2" s="1"/>
  <c r="C1736" i="2"/>
  <c r="B1736" i="2"/>
  <c r="A1736" i="2"/>
  <c r="J1736" i="4" s="1"/>
  <c r="X1735" i="2"/>
  <c r="S1735" i="2"/>
  <c r="R1735" i="2"/>
  <c r="Q1735" i="2"/>
  <c r="P1735" i="2"/>
  <c r="L1735" i="2"/>
  <c r="K1735" i="2"/>
  <c r="H1735" i="2"/>
  <c r="I1735" i="2" s="1"/>
  <c r="J1735" i="2" s="1"/>
  <c r="C1735" i="2"/>
  <c r="B1735" i="2"/>
  <c r="A1735" i="2"/>
  <c r="J1735" i="4" s="1"/>
  <c r="X1734" i="2"/>
  <c r="S1734" i="2"/>
  <c r="R1734" i="2"/>
  <c r="Q1734" i="2"/>
  <c r="P1734" i="2"/>
  <c r="L1734" i="2"/>
  <c r="K1734" i="2"/>
  <c r="H1734" i="2"/>
  <c r="I1734" i="2" s="1"/>
  <c r="J1734" i="2" s="1"/>
  <c r="C1734" i="2"/>
  <c r="B1734" i="2"/>
  <c r="A1734" i="2"/>
  <c r="X1733" i="2"/>
  <c r="S1733" i="2"/>
  <c r="R1733" i="2"/>
  <c r="Q1733" i="2"/>
  <c r="P1733" i="2"/>
  <c r="L1733" i="2"/>
  <c r="K1733" i="2"/>
  <c r="H1733" i="2"/>
  <c r="I1733" i="2" s="1"/>
  <c r="J1733" i="2" s="1"/>
  <c r="C1733" i="2"/>
  <c r="B1733" i="2"/>
  <c r="A1733" i="2"/>
  <c r="X1732" i="2"/>
  <c r="S1732" i="2"/>
  <c r="R1732" i="2"/>
  <c r="Q1732" i="2"/>
  <c r="P1732" i="2"/>
  <c r="L1732" i="2"/>
  <c r="K1732" i="2"/>
  <c r="H1732" i="2"/>
  <c r="I1732" i="2" s="1"/>
  <c r="J1732" i="2" s="1"/>
  <c r="C1732" i="2"/>
  <c r="B1732" i="2"/>
  <c r="A1732" i="2"/>
  <c r="X1731" i="2"/>
  <c r="S1731" i="2"/>
  <c r="R1731" i="2"/>
  <c r="Q1731" i="2"/>
  <c r="P1731" i="2"/>
  <c r="L1731" i="2"/>
  <c r="K1731" i="2"/>
  <c r="H1731" i="2"/>
  <c r="I1731" i="2" s="1"/>
  <c r="J1731" i="2" s="1"/>
  <c r="C1731" i="2"/>
  <c r="B1731" i="2"/>
  <c r="A1731" i="2"/>
  <c r="X1730" i="2"/>
  <c r="S1730" i="2"/>
  <c r="R1730" i="2"/>
  <c r="Q1730" i="2"/>
  <c r="P1730" i="2"/>
  <c r="L1730" i="2"/>
  <c r="K1730" i="2"/>
  <c r="H1730" i="2"/>
  <c r="I1730" i="2" s="1"/>
  <c r="J1730" i="2" s="1"/>
  <c r="C1730" i="2"/>
  <c r="B1730" i="2"/>
  <c r="A1730" i="2"/>
  <c r="X1729" i="2"/>
  <c r="S1729" i="2"/>
  <c r="R1729" i="2"/>
  <c r="Q1729" i="2"/>
  <c r="P1729" i="2"/>
  <c r="L1729" i="2"/>
  <c r="K1729" i="2"/>
  <c r="H1729" i="2"/>
  <c r="I1729" i="2" s="1"/>
  <c r="J1729" i="2" s="1"/>
  <c r="C1729" i="2"/>
  <c r="B1729" i="2"/>
  <c r="A1729" i="2"/>
  <c r="X1728" i="2"/>
  <c r="S1728" i="2"/>
  <c r="R1728" i="2"/>
  <c r="Q1728" i="2"/>
  <c r="P1728" i="2"/>
  <c r="L1728" i="2"/>
  <c r="K1728" i="2"/>
  <c r="H1728" i="2"/>
  <c r="I1728" i="2" s="1"/>
  <c r="J1728" i="2" s="1"/>
  <c r="C1728" i="2"/>
  <c r="B1728" i="2"/>
  <c r="A1728" i="2"/>
  <c r="X1727" i="2"/>
  <c r="S1727" i="2"/>
  <c r="R1727" i="2"/>
  <c r="Q1727" i="2"/>
  <c r="P1727" i="2"/>
  <c r="L1727" i="2"/>
  <c r="K1727" i="2"/>
  <c r="H1727" i="2"/>
  <c r="I1727" i="2" s="1"/>
  <c r="J1727" i="2" s="1"/>
  <c r="C1727" i="2"/>
  <c r="B1727" i="2"/>
  <c r="A1727" i="2"/>
  <c r="X1726" i="2"/>
  <c r="S1726" i="2"/>
  <c r="R1726" i="2"/>
  <c r="Q1726" i="2"/>
  <c r="P1726" i="2"/>
  <c r="L1726" i="2"/>
  <c r="K1726" i="2"/>
  <c r="H1726" i="2"/>
  <c r="I1726" i="2" s="1"/>
  <c r="J1726" i="2" s="1"/>
  <c r="C1726" i="2"/>
  <c r="B1726" i="2"/>
  <c r="A1726" i="2"/>
  <c r="X1725" i="2"/>
  <c r="S1725" i="2"/>
  <c r="R1725" i="2"/>
  <c r="Q1725" i="2"/>
  <c r="P1725" i="2"/>
  <c r="L1725" i="2"/>
  <c r="K1725" i="2"/>
  <c r="H1725" i="2"/>
  <c r="I1725" i="2" s="1"/>
  <c r="J1725" i="2" s="1"/>
  <c r="C1725" i="2"/>
  <c r="B1725" i="2"/>
  <c r="A1725" i="2"/>
  <c r="X1724" i="2"/>
  <c r="S1724" i="2"/>
  <c r="R1724" i="2"/>
  <c r="Q1724" i="2"/>
  <c r="P1724" i="2"/>
  <c r="L1724" i="2"/>
  <c r="K1724" i="2"/>
  <c r="H1724" i="2"/>
  <c r="I1724" i="2" s="1"/>
  <c r="J1724" i="2" s="1"/>
  <c r="C1724" i="2"/>
  <c r="B1724" i="2"/>
  <c r="A1724" i="2"/>
  <c r="X1723" i="2"/>
  <c r="S1723" i="2"/>
  <c r="R1723" i="2"/>
  <c r="Q1723" i="2"/>
  <c r="P1723" i="2"/>
  <c r="L1723" i="2"/>
  <c r="K1723" i="2"/>
  <c r="H1723" i="2"/>
  <c r="I1723" i="2" s="1"/>
  <c r="J1723" i="2" s="1"/>
  <c r="C1723" i="2"/>
  <c r="B1723" i="2"/>
  <c r="A1723" i="2"/>
  <c r="X1722" i="2"/>
  <c r="S1722" i="2"/>
  <c r="R1722" i="2"/>
  <c r="Q1722" i="2"/>
  <c r="P1722" i="2"/>
  <c r="L1722" i="2"/>
  <c r="K1722" i="2"/>
  <c r="H1722" i="2"/>
  <c r="I1722" i="2" s="1"/>
  <c r="J1722" i="2" s="1"/>
  <c r="C1722" i="2"/>
  <c r="B1722" i="2"/>
  <c r="A1722" i="2"/>
  <c r="X1721" i="2"/>
  <c r="S1721" i="2"/>
  <c r="R1721" i="2"/>
  <c r="Q1721" i="2"/>
  <c r="P1721" i="2"/>
  <c r="L1721" i="2"/>
  <c r="K1721" i="2"/>
  <c r="H1721" i="2"/>
  <c r="I1721" i="2" s="1"/>
  <c r="J1721" i="2" s="1"/>
  <c r="C1721" i="2"/>
  <c r="B1721" i="2"/>
  <c r="A1721" i="2"/>
  <c r="X1720" i="2"/>
  <c r="S1720" i="2"/>
  <c r="R1720" i="2"/>
  <c r="Q1720" i="2"/>
  <c r="P1720" i="2"/>
  <c r="L1720" i="2"/>
  <c r="K1720" i="2"/>
  <c r="H1720" i="2"/>
  <c r="I1720" i="2" s="1"/>
  <c r="J1720" i="2" s="1"/>
  <c r="C1720" i="2"/>
  <c r="B1720" i="2"/>
  <c r="A1720" i="2"/>
  <c r="X1719" i="2"/>
  <c r="S1719" i="2"/>
  <c r="R1719" i="2"/>
  <c r="Q1719" i="2"/>
  <c r="P1719" i="2"/>
  <c r="L1719" i="2"/>
  <c r="K1719" i="2"/>
  <c r="H1719" i="2"/>
  <c r="I1719" i="2" s="1"/>
  <c r="J1719" i="2" s="1"/>
  <c r="C1719" i="2"/>
  <c r="B1719" i="2"/>
  <c r="A1719" i="2"/>
  <c r="X1718" i="2"/>
  <c r="S1718" i="2"/>
  <c r="R1718" i="2"/>
  <c r="Q1718" i="2"/>
  <c r="P1718" i="2"/>
  <c r="L1718" i="2"/>
  <c r="K1718" i="2"/>
  <c r="H1718" i="2"/>
  <c r="I1718" i="2" s="1"/>
  <c r="J1718" i="2" s="1"/>
  <c r="C1718" i="2"/>
  <c r="B1718" i="2"/>
  <c r="A1718" i="2"/>
  <c r="X1717" i="2"/>
  <c r="S1717" i="2"/>
  <c r="R1717" i="2"/>
  <c r="Q1717" i="2"/>
  <c r="P1717" i="2"/>
  <c r="L1717" i="2"/>
  <c r="K1717" i="2"/>
  <c r="H1717" i="2"/>
  <c r="I1717" i="2" s="1"/>
  <c r="J1717" i="2" s="1"/>
  <c r="C1717" i="2"/>
  <c r="B1717" i="2"/>
  <c r="A1717" i="2"/>
  <c r="X1716" i="2"/>
  <c r="S1716" i="2"/>
  <c r="R1716" i="2"/>
  <c r="Q1716" i="2"/>
  <c r="P1716" i="2"/>
  <c r="L1716" i="2"/>
  <c r="K1716" i="2"/>
  <c r="H1716" i="2"/>
  <c r="I1716" i="2" s="1"/>
  <c r="J1716" i="2" s="1"/>
  <c r="C1716" i="2"/>
  <c r="B1716" i="2"/>
  <c r="A1716" i="2"/>
  <c r="X1715" i="2"/>
  <c r="S1715" i="2"/>
  <c r="R1715" i="2"/>
  <c r="Q1715" i="2"/>
  <c r="P1715" i="2"/>
  <c r="L1715" i="2"/>
  <c r="K1715" i="2"/>
  <c r="H1715" i="2"/>
  <c r="I1715" i="2" s="1"/>
  <c r="J1715" i="2" s="1"/>
  <c r="C1715" i="2"/>
  <c r="B1715" i="2"/>
  <c r="A1715" i="2"/>
  <c r="X1714" i="2"/>
  <c r="S1714" i="2"/>
  <c r="R1714" i="2"/>
  <c r="Q1714" i="2"/>
  <c r="P1714" i="2"/>
  <c r="L1714" i="2"/>
  <c r="K1714" i="2"/>
  <c r="H1714" i="2"/>
  <c r="I1714" i="2" s="1"/>
  <c r="J1714" i="2" s="1"/>
  <c r="C1714" i="2"/>
  <c r="B1714" i="2"/>
  <c r="A1714" i="2"/>
  <c r="X1713" i="2"/>
  <c r="S1713" i="2"/>
  <c r="R1713" i="2"/>
  <c r="Q1713" i="2"/>
  <c r="P1713" i="2"/>
  <c r="L1713" i="2"/>
  <c r="K1713" i="2"/>
  <c r="H1713" i="2"/>
  <c r="I1713" i="2" s="1"/>
  <c r="J1713" i="2" s="1"/>
  <c r="C1713" i="2"/>
  <c r="B1713" i="2"/>
  <c r="A1713" i="2"/>
  <c r="X1712" i="2"/>
  <c r="S1712" i="2"/>
  <c r="R1712" i="2"/>
  <c r="Q1712" i="2"/>
  <c r="P1712" i="2"/>
  <c r="L1712" i="2"/>
  <c r="K1712" i="2"/>
  <c r="H1712" i="2"/>
  <c r="I1712" i="2" s="1"/>
  <c r="J1712" i="2" s="1"/>
  <c r="C1712" i="2"/>
  <c r="B1712" i="2"/>
  <c r="A1712" i="2"/>
  <c r="X1711" i="2"/>
  <c r="S1711" i="2"/>
  <c r="R1711" i="2"/>
  <c r="Q1711" i="2"/>
  <c r="P1711" i="2"/>
  <c r="L1711" i="2"/>
  <c r="K1711" i="2"/>
  <c r="H1711" i="2"/>
  <c r="I1711" i="2" s="1"/>
  <c r="J1711" i="2" s="1"/>
  <c r="C1711" i="2"/>
  <c r="B1711" i="2"/>
  <c r="A1711" i="2"/>
  <c r="X1710" i="2"/>
  <c r="S1710" i="2"/>
  <c r="R1710" i="2"/>
  <c r="Q1710" i="2"/>
  <c r="P1710" i="2"/>
  <c r="L1710" i="2"/>
  <c r="K1710" i="2"/>
  <c r="H1710" i="2"/>
  <c r="I1710" i="2" s="1"/>
  <c r="J1710" i="2" s="1"/>
  <c r="C1710" i="2"/>
  <c r="B1710" i="2"/>
  <c r="A1710" i="2"/>
  <c r="X1709" i="2"/>
  <c r="S1709" i="2"/>
  <c r="R1709" i="2"/>
  <c r="Q1709" i="2"/>
  <c r="P1709" i="2"/>
  <c r="L1709" i="2"/>
  <c r="K1709" i="2"/>
  <c r="H1709" i="2"/>
  <c r="I1709" i="2" s="1"/>
  <c r="J1709" i="2" s="1"/>
  <c r="C1709" i="2"/>
  <c r="B1709" i="2"/>
  <c r="A1709" i="2"/>
  <c r="X1708" i="2"/>
  <c r="S1708" i="2"/>
  <c r="R1708" i="2"/>
  <c r="Q1708" i="2"/>
  <c r="P1708" i="2"/>
  <c r="L1708" i="2"/>
  <c r="K1708" i="2"/>
  <c r="H1708" i="2"/>
  <c r="I1708" i="2" s="1"/>
  <c r="J1708" i="2" s="1"/>
  <c r="C1708" i="2"/>
  <c r="B1708" i="2"/>
  <c r="A1708" i="2"/>
  <c r="X1707" i="2"/>
  <c r="S1707" i="2"/>
  <c r="R1707" i="2"/>
  <c r="Q1707" i="2"/>
  <c r="P1707" i="2"/>
  <c r="L1707" i="2"/>
  <c r="K1707" i="2"/>
  <c r="H1707" i="2"/>
  <c r="I1707" i="2" s="1"/>
  <c r="J1707" i="2" s="1"/>
  <c r="C1707" i="2"/>
  <c r="B1707" i="2"/>
  <c r="A1707" i="2"/>
  <c r="X1706" i="2"/>
  <c r="S1706" i="2"/>
  <c r="R1706" i="2"/>
  <c r="Q1706" i="2"/>
  <c r="P1706" i="2"/>
  <c r="L1706" i="2"/>
  <c r="K1706" i="2"/>
  <c r="H1706" i="2"/>
  <c r="I1706" i="2" s="1"/>
  <c r="J1706" i="2" s="1"/>
  <c r="C1706" i="2"/>
  <c r="B1706" i="2"/>
  <c r="A1706" i="2"/>
  <c r="X1705" i="2"/>
  <c r="S1705" i="2"/>
  <c r="R1705" i="2"/>
  <c r="Q1705" i="2"/>
  <c r="P1705" i="2"/>
  <c r="L1705" i="2"/>
  <c r="K1705" i="2"/>
  <c r="H1705" i="2"/>
  <c r="I1705" i="2" s="1"/>
  <c r="J1705" i="2" s="1"/>
  <c r="C1705" i="2"/>
  <c r="B1705" i="2"/>
  <c r="A1705" i="2"/>
  <c r="X1704" i="2"/>
  <c r="S1704" i="2"/>
  <c r="R1704" i="2"/>
  <c r="Q1704" i="2"/>
  <c r="P1704" i="2"/>
  <c r="L1704" i="2"/>
  <c r="K1704" i="2"/>
  <c r="H1704" i="2"/>
  <c r="I1704" i="2" s="1"/>
  <c r="J1704" i="2" s="1"/>
  <c r="C1704" i="2"/>
  <c r="B1704" i="2"/>
  <c r="A1704" i="2"/>
  <c r="X1703" i="2"/>
  <c r="S1703" i="2"/>
  <c r="R1703" i="2"/>
  <c r="Q1703" i="2"/>
  <c r="P1703" i="2"/>
  <c r="L1703" i="2"/>
  <c r="K1703" i="2"/>
  <c r="H1703" i="2"/>
  <c r="I1703" i="2" s="1"/>
  <c r="J1703" i="2" s="1"/>
  <c r="C1703" i="2"/>
  <c r="B1703" i="2"/>
  <c r="A1703" i="2"/>
  <c r="X1702" i="2"/>
  <c r="S1702" i="2"/>
  <c r="R1702" i="2"/>
  <c r="Q1702" i="2"/>
  <c r="P1702" i="2"/>
  <c r="L1702" i="2"/>
  <c r="K1702" i="2"/>
  <c r="H1702" i="2"/>
  <c r="I1702" i="2" s="1"/>
  <c r="J1702" i="2" s="1"/>
  <c r="C1702" i="2"/>
  <c r="B1702" i="2"/>
  <c r="A1702" i="2"/>
  <c r="X1701" i="2"/>
  <c r="S1701" i="2"/>
  <c r="R1701" i="2"/>
  <c r="Q1701" i="2"/>
  <c r="P1701" i="2"/>
  <c r="L1701" i="2"/>
  <c r="K1701" i="2"/>
  <c r="H1701" i="2"/>
  <c r="I1701" i="2" s="1"/>
  <c r="J1701" i="2" s="1"/>
  <c r="C1701" i="2"/>
  <c r="B1701" i="2"/>
  <c r="A1701" i="2"/>
  <c r="X1700" i="2"/>
  <c r="S1700" i="2"/>
  <c r="R1700" i="2"/>
  <c r="Q1700" i="2"/>
  <c r="P1700" i="2"/>
  <c r="L1700" i="2"/>
  <c r="K1700" i="2"/>
  <c r="H1700" i="2"/>
  <c r="I1700" i="2" s="1"/>
  <c r="J1700" i="2" s="1"/>
  <c r="C1700" i="2"/>
  <c r="B1700" i="2"/>
  <c r="A1700" i="2"/>
  <c r="X1699" i="2"/>
  <c r="S1699" i="2"/>
  <c r="R1699" i="2"/>
  <c r="Q1699" i="2"/>
  <c r="P1699" i="2"/>
  <c r="L1699" i="2"/>
  <c r="K1699" i="2"/>
  <c r="H1699" i="2"/>
  <c r="I1699" i="2" s="1"/>
  <c r="J1699" i="2" s="1"/>
  <c r="C1699" i="2"/>
  <c r="B1699" i="2"/>
  <c r="A1699" i="2"/>
  <c r="X1698" i="2"/>
  <c r="S1698" i="2"/>
  <c r="R1698" i="2"/>
  <c r="Q1698" i="2"/>
  <c r="P1698" i="2"/>
  <c r="L1698" i="2"/>
  <c r="K1698" i="2"/>
  <c r="H1698" i="2"/>
  <c r="I1698" i="2" s="1"/>
  <c r="J1698" i="2" s="1"/>
  <c r="C1698" i="2"/>
  <c r="B1698" i="2"/>
  <c r="A1698" i="2"/>
  <c r="X1697" i="2"/>
  <c r="S1697" i="2"/>
  <c r="R1697" i="2"/>
  <c r="Q1697" i="2"/>
  <c r="P1697" i="2"/>
  <c r="L1697" i="2"/>
  <c r="K1697" i="2"/>
  <c r="H1697" i="2"/>
  <c r="I1697" i="2" s="1"/>
  <c r="J1697" i="2" s="1"/>
  <c r="C1697" i="2"/>
  <c r="B1697" i="2"/>
  <c r="A1697" i="2"/>
  <c r="X1696" i="2"/>
  <c r="S1696" i="2"/>
  <c r="R1696" i="2"/>
  <c r="Q1696" i="2"/>
  <c r="P1696" i="2"/>
  <c r="L1696" i="2"/>
  <c r="K1696" i="2"/>
  <c r="H1696" i="2"/>
  <c r="I1696" i="2" s="1"/>
  <c r="J1696" i="2" s="1"/>
  <c r="C1696" i="2"/>
  <c r="B1696" i="2"/>
  <c r="A1696" i="2"/>
  <c r="X1695" i="2"/>
  <c r="S1695" i="2"/>
  <c r="R1695" i="2"/>
  <c r="Q1695" i="2"/>
  <c r="P1695" i="2"/>
  <c r="L1695" i="2"/>
  <c r="K1695" i="2"/>
  <c r="H1695" i="2"/>
  <c r="I1695" i="2" s="1"/>
  <c r="J1695" i="2" s="1"/>
  <c r="C1695" i="2"/>
  <c r="B1695" i="2"/>
  <c r="A1695" i="2"/>
  <c r="X1694" i="2"/>
  <c r="S1694" i="2"/>
  <c r="R1694" i="2"/>
  <c r="Q1694" i="2"/>
  <c r="P1694" i="2"/>
  <c r="L1694" i="2"/>
  <c r="K1694" i="2"/>
  <c r="H1694" i="2"/>
  <c r="I1694" i="2" s="1"/>
  <c r="J1694" i="2" s="1"/>
  <c r="C1694" i="2"/>
  <c r="B1694" i="2"/>
  <c r="A1694" i="2"/>
  <c r="X1693" i="2"/>
  <c r="S1693" i="2"/>
  <c r="R1693" i="2"/>
  <c r="Q1693" i="2"/>
  <c r="P1693" i="2"/>
  <c r="L1693" i="2"/>
  <c r="K1693" i="2"/>
  <c r="H1693" i="2"/>
  <c r="I1693" i="2" s="1"/>
  <c r="J1693" i="2" s="1"/>
  <c r="C1693" i="2"/>
  <c r="B1693" i="2"/>
  <c r="A1693" i="2"/>
  <c r="X1692" i="2"/>
  <c r="S1692" i="2"/>
  <c r="R1692" i="2"/>
  <c r="Q1692" i="2"/>
  <c r="P1692" i="2"/>
  <c r="L1692" i="2"/>
  <c r="K1692" i="2"/>
  <c r="H1692" i="2"/>
  <c r="I1692" i="2" s="1"/>
  <c r="J1692" i="2" s="1"/>
  <c r="C1692" i="2"/>
  <c r="B1692" i="2"/>
  <c r="A1692" i="2"/>
  <c r="X1691" i="2"/>
  <c r="S1691" i="2"/>
  <c r="R1691" i="2"/>
  <c r="Q1691" i="2"/>
  <c r="P1691" i="2"/>
  <c r="L1691" i="2"/>
  <c r="K1691" i="2"/>
  <c r="H1691" i="2"/>
  <c r="I1691" i="2" s="1"/>
  <c r="J1691" i="2" s="1"/>
  <c r="C1691" i="2"/>
  <c r="B1691" i="2"/>
  <c r="A1691" i="2"/>
  <c r="X1690" i="2"/>
  <c r="S1690" i="2"/>
  <c r="R1690" i="2"/>
  <c r="Q1690" i="2"/>
  <c r="P1690" i="2"/>
  <c r="L1690" i="2"/>
  <c r="K1690" i="2"/>
  <c r="H1690" i="2"/>
  <c r="I1690" i="2" s="1"/>
  <c r="J1690" i="2" s="1"/>
  <c r="C1690" i="2"/>
  <c r="B1690" i="2"/>
  <c r="A1690" i="2"/>
  <c r="X1689" i="2"/>
  <c r="S1689" i="2"/>
  <c r="R1689" i="2"/>
  <c r="Q1689" i="2"/>
  <c r="P1689" i="2"/>
  <c r="L1689" i="2"/>
  <c r="K1689" i="2"/>
  <c r="H1689" i="2"/>
  <c r="I1689" i="2" s="1"/>
  <c r="J1689" i="2" s="1"/>
  <c r="C1689" i="2"/>
  <c r="B1689" i="2"/>
  <c r="A1689" i="2"/>
  <c r="X1688" i="2"/>
  <c r="S1688" i="2"/>
  <c r="R1688" i="2"/>
  <c r="Q1688" i="2"/>
  <c r="P1688" i="2"/>
  <c r="L1688" i="2"/>
  <c r="K1688" i="2"/>
  <c r="H1688" i="2"/>
  <c r="I1688" i="2" s="1"/>
  <c r="J1688" i="2" s="1"/>
  <c r="C1688" i="2"/>
  <c r="B1688" i="2"/>
  <c r="A1688" i="2"/>
  <c r="X1687" i="2"/>
  <c r="S1687" i="2"/>
  <c r="R1687" i="2"/>
  <c r="Q1687" i="2"/>
  <c r="P1687" i="2"/>
  <c r="L1687" i="2"/>
  <c r="K1687" i="2"/>
  <c r="H1687" i="2"/>
  <c r="I1687" i="2" s="1"/>
  <c r="J1687" i="2" s="1"/>
  <c r="C1687" i="2"/>
  <c r="B1687" i="2"/>
  <c r="A1687" i="2"/>
  <c r="X1686" i="2"/>
  <c r="S1686" i="2"/>
  <c r="R1686" i="2"/>
  <c r="Q1686" i="2"/>
  <c r="P1686" i="2"/>
  <c r="L1686" i="2"/>
  <c r="K1686" i="2"/>
  <c r="H1686" i="2"/>
  <c r="I1686" i="2" s="1"/>
  <c r="J1686" i="2" s="1"/>
  <c r="C1686" i="2"/>
  <c r="B1686" i="2"/>
  <c r="A1686" i="2"/>
  <c r="X1685" i="2"/>
  <c r="S1685" i="2"/>
  <c r="R1685" i="2"/>
  <c r="Q1685" i="2"/>
  <c r="P1685" i="2"/>
  <c r="L1685" i="2"/>
  <c r="K1685" i="2"/>
  <c r="H1685" i="2"/>
  <c r="I1685" i="2" s="1"/>
  <c r="J1685" i="2" s="1"/>
  <c r="C1685" i="2"/>
  <c r="B1685" i="2"/>
  <c r="A1685" i="2"/>
  <c r="X1684" i="2"/>
  <c r="S1684" i="2"/>
  <c r="R1684" i="2"/>
  <c r="Q1684" i="2"/>
  <c r="P1684" i="2"/>
  <c r="L1684" i="2"/>
  <c r="K1684" i="2"/>
  <c r="H1684" i="2"/>
  <c r="I1684" i="2" s="1"/>
  <c r="J1684" i="2" s="1"/>
  <c r="C1684" i="2"/>
  <c r="B1684" i="2"/>
  <c r="A1684" i="2"/>
  <c r="X1683" i="2"/>
  <c r="S1683" i="2"/>
  <c r="R1683" i="2"/>
  <c r="Q1683" i="2"/>
  <c r="P1683" i="2"/>
  <c r="L1683" i="2"/>
  <c r="K1683" i="2"/>
  <c r="H1683" i="2"/>
  <c r="I1683" i="2" s="1"/>
  <c r="J1683" i="2" s="1"/>
  <c r="C1683" i="2"/>
  <c r="B1683" i="2"/>
  <c r="A1683" i="2"/>
  <c r="X1682" i="2"/>
  <c r="S1682" i="2"/>
  <c r="R1682" i="2"/>
  <c r="Q1682" i="2"/>
  <c r="P1682" i="2"/>
  <c r="L1682" i="2"/>
  <c r="K1682" i="2"/>
  <c r="H1682" i="2"/>
  <c r="I1682" i="2" s="1"/>
  <c r="J1682" i="2" s="1"/>
  <c r="C1682" i="2"/>
  <c r="B1682" i="2"/>
  <c r="A1682" i="2"/>
  <c r="X1681" i="2"/>
  <c r="S1681" i="2"/>
  <c r="R1681" i="2"/>
  <c r="Q1681" i="2"/>
  <c r="P1681" i="2"/>
  <c r="L1681" i="2"/>
  <c r="K1681" i="2"/>
  <c r="H1681" i="2"/>
  <c r="I1681" i="2" s="1"/>
  <c r="J1681" i="2" s="1"/>
  <c r="C1681" i="2"/>
  <c r="B1681" i="2"/>
  <c r="A1681" i="2"/>
  <c r="X1680" i="2"/>
  <c r="S1680" i="2"/>
  <c r="R1680" i="2"/>
  <c r="Q1680" i="2"/>
  <c r="P1680" i="2"/>
  <c r="L1680" i="2"/>
  <c r="K1680" i="2"/>
  <c r="H1680" i="2"/>
  <c r="I1680" i="2" s="1"/>
  <c r="J1680" i="2" s="1"/>
  <c r="C1680" i="2"/>
  <c r="B1680" i="2"/>
  <c r="A1680" i="2"/>
  <c r="X1679" i="2"/>
  <c r="S1679" i="2"/>
  <c r="R1679" i="2"/>
  <c r="Q1679" i="2"/>
  <c r="P1679" i="2"/>
  <c r="L1679" i="2"/>
  <c r="K1679" i="2"/>
  <c r="H1679" i="2"/>
  <c r="I1679" i="2" s="1"/>
  <c r="J1679" i="2" s="1"/>
  <c r="C1679" i="2"/>
  <c r="B1679" i="2"/>
  <c r="A1679" i="2"/>
  <c r="X1678" i="2"/>
  <c r="S1678" i="2"/>
  <c r="R1678" i="2"/>
  <c r="Q1678" i="2"/>
  <c r="P1678" i="2"/>
  <c r="L1678" i="2"/>
  <c r="K1678" i="2"/>
  <c r="H1678" i="2"/>
  <c r="I1678" i="2" s="1"/>
  <c r="J1678" i="2" s="1"/>
  <c r="C1678" i="2"/>
  <c r="B1678" i="2"/>
  <c r="A1678" i="2"/>
  <c r="X1677" i="2"/>
  <c r="S1677" i="2"/>
  <c r="R1677" i="2"/>
  <c r="Q1677" i="2"/>
  <c r="P1677" i="2"/>
  <c r="L1677" i="2"/>
  <c r="K1677" i="2"/>
  <c r="H1677" i="2"/>
  <c r="I1677" i="2" s="1"/>
  <c r="J1677" i="2" s="1"/>
  <c r="C1677" i="2"/>
  <c r="B1677" i="2"/>
  <c r="A1677" i="2"/>
  <c r="X1676" i="2"/>
  <c r="S1676" i="2"/>
  <c r="R1676" i="2"/>
  <c r="Q1676" i="2"/>
  <c r="P1676" i="2"/>
  <c r="L1676" i="2"/>
  <c r="K1676" i="2"/>
  <c r="H1676" i="2"/>
  <c r="I1676" i="2" s="1"/>
  <c r="J1676" i="2" s="1"/>
  <c r="C1676" i="2"/>
  <c r="B1676" i="2"/>
  <c r="A1676" i="2"/>
  <c r="X1675" i="2"/>
  <c r="S1675" i="2"/>
  <c r="R1675" i="2"/>
  <c r="Q1675" i="2"/>
  <c r="P1675" i="2"/>
  <c r="L1675" i="2"/>
  <c r="K1675" i="2"/>
  <c r="H1675" i="2"/>
  <c r="I1675" i="2" s="1"/>
  <c r="J1675" i="2" s="1"/>
  <c r="C1675" i="2"/>
  <c r="B1675" i="2"/>
  <c r="A1675" i="2"/>
  <c r="X1674" i="2"/>
  <c r="S1674" i="2"/>
  <c r="R1674" i="2"/>
  <c r="Q1674" i="2"/>
  <c r="P1674" i="2"/>
  <c r="L1674" i="2"/>
  <c r="K1674" i="2"/>
  <c r="H1674" i="2"/>
  <c r="I1674" i="2" s="1"/>
  <c r="J1674" i="2" s="1"/>
  <c r="C1674" i="2"/>
  <c r="B1674" i="2"/>
  <c r="A1674" i="2"/>
  <c r="X1673" i="2"/>
  <c r="S1673" i="2"/>
  <c r="R1673" i="2"/>
  <c r="Q1673" i="2"/>
  <c r="P1673" i="2"/>
  <c r="L1673" i="2"/>
  <c r="K1673" i="2"/>
  <c r="H1673" i="2"/>
  <c r="I1673" i="2" s="1"/>
  <c r="J1673" i="2" s="1"/>
  <c r="C1673" i="2"/>
  <c r="B1673" i="2"/>
  <c r="A1673" i="2"/>
  <c r="X1672" i="2"/>
  <c r="S1672" i="2"/>
  <c r="R1672" i="2"/>
  <c r="Q1672" i="2"/>
  <c r="P1672" i="2"/>
  <c r="L1672" i="2"/>
  <c r="K1672" i="2"/>
  <c r="H1672" i="2"/>
  <c r="I1672" i="2" s="1"/>
  <c r="J1672" i="2" s="1"/>
  <c r="C1672" i="2"/>
  <c r="B1672" i="2"/>
  <c r="A1672" i="2"/>
  <c r="X1671" i="2"/>
  <c r="S1671" i="2"/>
  <c r="Q1671" i="2"/>
  <c r="P1671" i="2"/>
  <c r="L1671" i="2"/>
  <c r="K1671" i="2"/>
  <c r="H1671" i="2"/>
  <c r="I1671" i="2" s="1"/>
  <c r="J1671" i="2" s="1"/>
  <c r="C1671" i="2"/>
  <c r="B1671" i="2"/>
  <c r="A1671" i="2"/>
  <c r="X1670" i="2"/>
  <c r="S1670" i="2"/>
  <c r="R1670" i="2"/>
  <c r="Q1670" i="2"/>
  <c r="P1670" i="2"/>
  <c r="L1670" i="2"/>
  <c r="K1670" i="2"/>
  <c r="H1670" i="2"/>
  <c r="I1670" i="2" s="1"/>
  <c r="J1670" i="2" s="1"/>
  <c r="C1670" i="2"/>
  <c r="B1670" i="2"/>
  <c r="A1670" i="2"/>
  <c r="X1669" i="2"/>
  <c r="S1669" i="2"/>
  <c r="R1669" i="2"/>
  <c r="Q1669" i="2"/>
  <c r="P1669" i="2"/>
  <c r="L1669" i="2"/>
  <c r="K1669" i="2"/>
  <c r="H1669" i="2"/>
  <c r="I1669" i="2" s="1"/>
  <c r="J1669" i="2" s="1"/>
  <c r="C1669" i="2"/>
  <c r="B1669" i="2"/>
  <c r="A1669" i="2"/>
  <c r="X1668" i="2"/>
  <c r="S1668" i="2"/>
  <c r="R1668" i="2"/>
  <c r="Q1668" i="2"/>
  <c r="P1668" i="2"/>
  <c r="L1668" i="2"/>
  <c r="K1668" i="2"/>
  <c r="H1668" i="2"/>
  <c r="I1668" i="2" s="1"/>
  <c r="J1668" i="2" s="1"/>
  <c r="C1668" i="2"/>
  <c r="B1668" i="2"/>
  <c r="A1668" i="2"/>
  <c r="X1667" i="2"/>
  <c r="S1667" i="2"/>
  <c r="R1667" i="2"/>
  <c r="Q1667" i="2"/>
  <c r="P1667" i="2"/>
  <c r="L1667" i="2"/>
  <c r="K1667" i="2"/>
  <c r="H1667" i="2"/>
  <c r="I1667" i="2" s="1"/>
  <c r="J1667" i="2" s="1"/>
  <c r="C1667" i="2"/>
  <c r="B1667" i="2"/>
  <c r="A1667" i="2"/>
  <c r="X1666" i="2"/>
  <c r="S1666" i="2"/>
  <c r="R1666" i="2"/>
  <c r="Q1666" i="2"/>
  <c r="P1666" i="2"/>
  <c r="L1666" i="2"/>
  <c r="K1666" i="2"/>
  <c r="H1666" i="2"/>
  <c r="I1666" i="2" s="1"/>
  <c r="J1666" i="2" s="1"/>
  <c r="C1666" i="2"/>
  <c r="B1666" i="2"/>
  <c r="A1666" i="2"/>
  <c r="X1665" i="2"/>
  <c r="S1665" i="2"/>
  <c r="R1665" i="2"/>
  <c r="Q1665" i="2"/>
  <c r="P1665" i="2"/>
  <c r="L1665" i="2"/>
  <c r="K1665" i="2"/>
  <c r="H1665" i="2"/>
  <c r="I1665" i="2" s="1"/>
  <c r="J1665" i="2" s="1"/>
  <c r="C1665" i="2"/>
  <c r="B1665" i="2"/>
  <c r="A1665" i="2"/>
  <c r="X1664" i="2"/>
  <c r="S1664" i="2"/>
  <c r="R1664" i="2"/>
  <c r="Q1664" i="2"/>
  <c r="P1664" i="2"/>
  <c r="L1664" i="2"/>
  <c r="K1664" i="2"/>
  <c r="H1664" i="2"/>
  <c r="I1664" i="2" s="1"/>
  <c r="J1664" i="2" s="1"/>
  <c r="C1664" i="2"/>
  <c r="B1664" i="2"/>
  <c r="A1664" i="2"/>
  <c r="X1663" i="2"/>
  <c r="S1663" i="2"/>
  <c r="R1663" i="2"/>
  <c r="Q1663" i="2"/>
  <c r="P1663" i="2"/>
  <c r="L1663" i="2"/>
  <c r="K1663" i="2"/>
  <c r="H1663" i="2"/>
  <c r="I1663" i="2" s="1"/>
  <c r="J1663" i="2" s="1"/>
  <c r="C1663" i="2"/>
  <c r="B1663" i="2"/>
  <c r="A1663" i="2"/>
  <c r="X1662" i="2"/>
  <c r="S1662" i="2"/>
  <c r="R1662" i="2"/>
  <c r="Q1662" i="2"/>
  <c r="P1662" i="2"/>
  <c r="L1662" i="2"/>
  <c r="K1662" i="2"/>
  <c r="H1662" i="2"/>
  <c r="I1662" i="2" s="1"/>
  <c r="J1662" i="2" s="1"/>
  <c r="C1662" i="2"/>
  <c r="B1662" i="2"/>
  <c r="A1662" i="2"/>
  <c r="X1661" i="2"/>
  <c r="S1661" i="2"/>
  <c r="R1661" i="2"/>
  <c r="Q1661" i="2"/>
  <c r="P1661" i="2"/>
  <c r="L1661" i="2"/>
  <c r="K1661" i="2"/>
  <c r="H1661" i="2"/>
  <c r="I1661" i="2" s="1"/>
  <c r="J1661" i="2" s="1"/>
  <c r="C1661" i="2"/>
  <c r="B1661" i="2"/>
  <c r="A1661" i="2"/>
  <c r="X1660" i="2"/>
  <c r="S1660" i="2"/>
  <c r="R1660" i="2"/>
  <c r="Q1660" i="2"/>
  <c r="P1660" i="2"/>
  <c r="L1660" i="2"/>
  <c r="K1660" i="2"/>
  <c r="H1660" i="2"/>
  <c r="I1660" i="2" s="1"/>
  <c r="J1660" i="2" s="1"/>
  <c r="C1660" i="2"/>
  <c r="B1660" i="2"/>
  <c r="A1660" i="2"/>
  <c r="X1659" i="2"/>
  <c r="S1659" i="2"/>
  <c r="R1659" i="2"/>
  <c r="Q1659" i="2"/>
  <c r="P1659" i="2"/>
  <c r="L1659" i="2"/>
  <c r="K1659" i="2"/>
  <c r="H1659" i="2"/>
  <c r="I1659" i="2" s="1"/>
  <c r="J1659" i="2" s="1"/>
  <c r="C1659" i="2"/>
  <c r="B1659" i="2"/>
  <c r="A1659" i="2"/>
  <c r="X1658" i="2"/>
  <c r="S1658" i="2"/>
  <c r="R1658" i="2"/>
  <c r="Q1658" i="2"/>
  <c r="P1658" i="2"/>
  <c r="L1658" i="2"/>
  <c r="K1658" i="2"/>
  <c r="H1658" i="2"/>
  <c r="I1658" i="2" s="1"/>
  <c r="J1658" i="2" s="1"/>
  <c r="C1658" i="2"/>
  <c r="B1658" i="2"/>
  <c r="A1658" i="2"/>
  <c r="X1657" i="2"/>
  <c r="S1657" i="2"/>
  <c r="R1657" i="2"/>
  <c r="Q1657" i="2"/>
  <c r="P1657" i="2"/>
  <c r="L1657" i="2"/>
  <c r="K1657" i="2"/>
  <c r="H1657" i="2"/>
  <c r="I1657" i="2" s="1"/>
  <c r="J1657" i="2" s="1"/>
  <c r="C1657" i="2"/>
  <c r="B1657" i="2"/>
  <c r="A1657" i="2"/>
  <c r="X1656" i="2"/>
  <c r="S1656" i="2"/>
  <c r="R1656" i="2"/>
  <c r="Q1656" i="2"/>
  <c r="P1656" i="2"/>
  <c r="L1656" i="2"/>
  <c r="K1656" i="2"/>
  <c r="H1656" i="2"/>
  <c r="I1656" i="2" s="1"/>
  <c r="J1656" i="2" s="1"/>
  <c r="C1656" i="2"/>
  <c r="B1656" i="2"/>
  <c r="A1656" i="2"/>
  <c r="X1655" i="2"/>
  <c r="S1655" i="2"/>
  <c r="R1655" i="2"/>
  <c r="Q1655" i="2"/>
  <c r="P1655" i="2"/>
  <c r="L1655" i="2"/>
  <c r="K1655" i="2"/>
  <c r="H1655" i="2"/>
  <c r="I1655" i="2" s="1"/>
  <c r="J1655" i="2" s="1"/>
  <c r="C1655" i="2"/>
  <c r="B1655" i="2"/>
  <c r="A1655" i="2"/>
  <c r="X1654" i="2"/>
  <c r="S1654" i="2"/>
  <c r="R1654" i="2"/>
  <c r="Q1654" i="2"/>
  <c r="P1654" i="2"/>
  <c r="L1654" i="2"/>
  <c r="K1654" i="2"/>
  <c r="H1654" i="2"/>
  <c r="I1654" i="2" s="1"/>
  <c r="J1654" i="2" s="1"/>
  <c r="C1654" i="2"/>
  <c r="B1654" i="2"/>
  <c r="A1654" i="2"/>
  <c r="X1653" i="2"/>
  <c r="S1653" i="2"/>
  <c r="R1653" i="2"/>
  <c r="Q1653" i="2"/>
  <c r="P1653" i="2"/>
  <c r="L1653" i="2"/>
  <c r="K1653" i="2"/>
  <c r="H1653" i="2"/>
  <c r="I1653" i="2" s="1"/>
  <c r="J1653" i="2" s="1"/>
  <c r="C1653" i="2"/>
  <c r="B1653" i="2"/>
  <c r="A1653" i="2"/>
  <c r="X1652" i="2"/>
  <c r="S1652" i="2"/>
  <c r="R1652" i="2"/>
  <c r="Q1652" i="2"/>
  <c r="P1652" i="2"/>
  <c r="L1652" i="2"/>
  <c r="K1652" i="2"/>
  <c r="H1652" i="2"/>
  <c r="I1652" i="2" s="1"/>
  <c r="J1652" i="2" s="1"/>
  <c r="C1652" i="2"/>
  <c r="B1652" i="2"/>
  <c r="A1652" i="2"/>
  <c r="X1651" i="2"/>
  <c r="S1651" i="2"/>
  <c r="R1651" i="2"/>
  <c r="Q1651" i="2"/>
  <c r="P1651" i="2"/>
  <c r="L1651" i="2"/>
  <c r="K1651" i="2"/>
  <c r="H1651" i="2"/>
  <c r="I1651" i="2" s="1"/>
  <c r="J1651" i="2" s="1"/>
  <c r="C1651" i="2"/>
  <c r="B1651" i="2"/>
  <c r="A1651" i="2"/>
  <c r="X1650" i="2"/>
  <c r="S1650" i="2"/>
  <c r="R1650" i="2"/>
  <c r="Q1650" i="2"/>
  <c r="P1650" i="2"/>
  <c r="L1650" i="2"/>
  <c r="K1650" i="2"/>
  <c r="H1650" i="2"/>
  <c r="I1650" i="2" s="1"/>
  <c r="J1650" i="2" s="1"/>
  <c r="C1650" i="2"/>
  <c r="B1650" i="2"/>
  <c r="A1650" i="2"/>
  <c r="X1649" i="2"/>
  <c r="S1649" i="2"/>
  <c r="R1649" i="2"/>
  <c r="Q1649" i="2"/>
  <c r="P1649" i="2"/>
  <c r="L1649" i="2"/>
  <c r="K1649" i="2"/>
  <c r="H1649" i="2"/>
  <c r="I1649" i="2" s="1"/>
  <c r="J1649" i="2" s="1"/>
  <c r="C1649" i="2"/>
  <c r="B1649" i="2"/>
  <c r="A1649" i="2"/>
  <c r="X1648" i="2"/>
  <c r="S1648" i="2"/>
  <c r="R1648" i="2"/>
  <c r="Q1648" i="2"/>
  <c r="P1648" i="2"/>
  <c r="L1648" i="2"/>
  <c r="K1648" i="2"/>
  <c r="H1648" i="2"/>
  <c r="I1648" i="2" s="1"/>
  <c r="J1648" i="2" s="1"/>
  <c r="C1648" i="2"/>
  <c r="B1648" i="2"/>
  <c r="A1648" i="2"/>
  <c r="X1647" i="2"/>
  <c r="S1647" i="2"/>
  <c r="R1647" i="2"/>
  <c r="Q1647" i="2"/>
  <c r="P1647" i="2"/>
  <c r="L1647" i="2"/>
  <c r="K1647" i="2"/>
  <c r="H1647" i="2"/>
  <c r="I1647" i="2" s="1"/>
  <c r="J1647" i="2" s="1"/>
  <c r="C1647" i="2"/>
  <c r="B1647" i="2"/>
  <c r="A1647" i="2"/>
  <c r="X1646" i="2"/>
  <c r="S1646" i="2"/>
  <c r="R1646" i="2"/>
  <c r="Q1646" i="2"/>
  <c r="P1646" i="2"/>
  <c r="L1646" i="2"/>
  <c r="K1646" i="2"/>
  <c r="H1646" i="2"/>
  <c r="I1646" i="2" s="1"/>
  <c r="J1646" i="2" s="1"/>
  <c r="C1646" i="2"/>
  <c r="B1646" i="2"/>
  <c r="A1646" i="2"/>
  <c r="X1645" i="2"/>
  <c r="S1645" i="2"/>
  <c r="R1645" i="2"/>
  <c r="Q1645" i="2"/>
  <c r="P1645" i="2"/>
  <c r="L1645" i="2"/>
  <c r="K1645" i="2"/>
  <c r="H1645" i="2"/>
  <c r="I1645" i="2" s="1"/>
  <c r="J1645" i="2" s="1"/>
  <c r="C1645" i="2"/>
  <c r="B1645" i="2"/>
  <c r="A1645" i="2"/>
  <c r="X1644" i="2"/>
  <c r="S1644" i="2"/>
  <c r="R1644" i="2"/>
  <c r="Q1644" i="2"/>
  <c r="P1644" i="2"/>
  <c r="L1644" i="2"/>
  <c r="K1644" i="2"/>
  <c r="H1644" i="2"/>
  <c r="I1644" i="2" s="1"/>
  <c r="J1644" i="2" s="1"/>
  <c r="C1644" i="2"/>
  <c r="B1644" i="2"/>
  <c r="A1644" i="2"/>
  <c r="X1643" i="2"/>
  <c r="S1643" i="2"/>
  <c r="R1643" i="2"/>
  <c r="Q1643" i="2"/>
  <c r="P1643" i="2"/>
  <c r="L1643" i="2"/>
  <c r="K1643" i="2"/>
  <c r="H1643" i="2"/>
  <c r="I1643" i="2" s="1"/>
  <c r="J1643" i="2" s="1"/>
  <c r="C1643" i="2"/>
  <c r="B1643" i="2"/>
  <c r="A1643" i="2"/>
  <c r="X1642" i="2"/>
  <c r="S1642" i="2"/>
  <c r="R1642" i="2"/>
  <c r="Q1642" i="2"/>
  <c r="P1642" i="2"/>
  <c r="L1642" i="2"/>
  <c r="K1642" i="2"/>
  <c r="H1642" i="2"/>
  <c r="I1642" i="2" s="1"/>
  <c r="J1642" i="2" s="1"/>
  <c r="C1642" i="2"/>
  <c r="B1642" i="2"/>
  <c r="A1642" i="2"/>
  <c r="X1641" i="2"/>
  <c r="S1641" i="2"/>
  <c r="R1641" i="2"/>
  <c r="Q1641" i="2"/>
  <c r="P1641" i="2"/>
  <c r="L1641" i="2"/>
  <c r="K1641" i="2"/>
  <c r="H1641" i="2"/>
  <c r="I1641" i="2" s="1"/>
  <c r="J1641" i="2" s="1"/>
  <c r="C1641" i="2"/>
  <c r="B1641" i="2"/>
  <c r="A1641" i="2"/>
  <c r="X1640" i="2"/>
  <c r="S1640" i="2"/>
  <c r="R1640" i="2"/>
  <c r="Q1640" i="2"/>
  <c r="P1640" i="2"/>
  <c r="L1640" i="2"/>
  <c r="K1640" i="2"/>
  <c r="H1640" i="2"/>
  <c r="I1640" i="2" s="1"/>
  <c r="J1640" i="2" s="1"/>
  <c r="C1640" i="2"/>
  <c r="B1640" i="2"/>
  <c r="A1640" i="2"/>
  <c r="X1639" i="2"/>
  <c r="S1639" i="2"/>
  <c r="R1639" i="2"/>
  <c r="Q1639" i="2"/>
  <c r="P1639" i="2"/>
  <c r="L1639" i="2"/>
  <c r="K1639" i="2"/>
  <c r="H1639" i="2"/>
  <c r="I1639" i="2" s="1"/>
  <c r="J1639" i="2" s="1"/>
  <c r="C1639" i="2"/>
  <c r="B1639" i="2"/>
  <c r="A1639" i="2"/>
  <c r="X1638" i="2"/>
  <c r="S1638" i="2"/>
  <c r="R1638" i="2"/>
  <c r="Q1638" i="2"/>
  <c r="P1638" i="2"/>
  <c r="L1638" i="2"/>
  <c r="K1638" i="2"/>
  <c r="H1638" i="2"/>
  <c r="I1638" i="2" s="1"/>
  <c r="J1638" i="2" s="1"/>
  <c r="C1638" i="2"/>
  <c r="B1638" i="2"/>
  <c r="A1638" i="2"/>
  <c r="X1637" i="2"/>
  <c r="S1637" i="2"/>
  <c r="R1637" i="2"/>
  <c r="Q1637" i="2"/>
  <c r="P1637" i="2"/>
  <c r="L1637" i="2"/>
  <c r="K1637" i="2"/>
  <c r="H1637" i="2"/>
  <c r="I1637" i="2" s="1"/>
  <c r="J1637" i="2" s="1"/>
  <c r="C1637" i="2"/>
  <c r="B1637" i="2"/>
  <c r="A1637" i="2"/>
  <c r="X1636" i="2"/>
  <c r="S1636" i="2"/>
  <c r="R1636" i="2"/>
  <c r="Q1636" i="2"/>
  <c r="P1636" i="2"/>
  <c r="L1636" i="2"/>
  <c r="K1636" i="2"/>
  <c r="H1636" i="2"/>
  <c r="I1636" i="2" s="1"/>
  <c r="J1636" i="2" s="1"/>
  <c r="C1636" i="2"/>
  <c r="B1636" i="2"/>
  <c r="A1636" i="2"/>
  <c r="X1635" i="2"/>
  <c r="S1635" i="2"/>
  <c r="R1635" i="2"/>
  <c r="Q1635" i="2"/>
  <c r="P1635" i="2"/>
  <c r="L1635" i="2"/>
  <c r="K1635" i="2"/>
  <c r="H1635" i="2"/>
  <c r="I1635" i="2" s="1"/>
  <c r="J1635" i="2" s="1"/>
  <c r="C1635" i="2"/>
  <c r="B1635" i="2"/>
  <c r="A1635" i="2"/>
  <c r="X1634" i="2"/>
  <c r="S1634" i="2"/>
  <c r="R1634" i="2"/>
  <c r="Q1634" i="2"/>
  <c r="P1634" i="2"/>
  <c r="L1634" i="2"/>
  <c r="K1634" i="2"/>
  <c r="H1634" i="2"/>
  <c r="I1634" i="2" s="1"/>
  <c r="J1634" i="2" s="1"/>
  <c r="C1634" i="2"/>
  <c r="B1634" i="2"/>
  <c r="A1634" i="2"/>
  <c r="X1633" i="2"/>
  <c r="S1633" i="2"/>
  <c r="R1633" i="2"/>
  <c r="Q1633" i="2"/>
  <c r="P1633" i="2"/>
  <c r="L1633" i="2"/>
  <c r="K1633" i="2"/>
  <c r="H1633" i="2"/>
  <c r="I1633" i="2" s="1"/>
  <c r="J1633" i="2" s="1"/>
  <c r="C1633" i="2"/>
  <c r="B1633" i="2"/>
  <c r="A1633" i="2"/>
  <c r="X1632" i="2"/>
  <c r="S1632" i="2"/>
  <c r="R1632" i="2"/>
  <c r="Q1632" i="2"/>
  <c r="P1632" i="2"/>
  <c r="L1632" i="2"/>
  <c r="K1632" i="2"/>
  <c r="H1632" i="2"/>
  <c r="I1632" i="2" s="1"/>
  <c r="J1632" i="2" s="1"/>
  <c r="C1632" i="2"/>
  <c r="B1632" i="2"/>
  <c r="A1632" i="2"/>
  <c r="X1631" i="2"/>
  <c r="S1631" i="2"/>
  <c r="R1631" i="2"/>
  <c r="Q1631" i="2"/>
  <c r="P1631" i="2"/>
  <c r="L1631" i="2"/>
  <c r="K1631" i="2"/>
  <c r="H1631" i="2"/>
  <c r="I1631" i="2" s="1"/>
  <c r="J1631" i="2" s="1"/>
  <c r="C1631" i="2"/>
  <c r="B1631" i="2"/>
  <c r="A1631" i="2"/>
  <c r="X1630" i="2"/>
  <c r="S1630" i="2"/>
  <c r="R1630" i="2"/>
  <c r="Q1630" i="2"/>
  <c r="P1630" i="2"/>
  <c r="L1630" i="2"/>
  <c r="K1630" i="2"/>
  <c r="H1630" i="2"/>
  <c r="I1630" i="2" s="1"/>
  <c r="J1630" i="2" s="1"/>
  <c r="C1630" i="2"/>
  <c r="B1630" i="2"/>
  <c r="A1630" i="2"/>
  <c r="X1629" i="2"/>
  <c r="S1629" i="2"/>
  <c r="R1629" i="2"/>
  <c r="Q1629" i="2"/>
  <c r="P1629" i="2"/>
  <c r="L1629" i="2"/>
  <c r="K1629" i="2"/>
  <c r="H1629" i="2"/>
  <c r="I1629" i="2" s="1"/>
  <c r="J1629" i="2" s="1"/>
  <c r="C1629" i="2"/>
  <c r="B1629" i="2"/>
  <c r="A1629" i="2"/>
  <c r="X1628" i="2"/>
  <c r="S1628" i="2"/>
  <c r="R1628" i="2"/>
  <c r="Q1628" i="2"/>
  <c r="P1628" i="2"/>
  <c r="L1628" i="2"/>
  <c r="K1628" i="2"/>
  <c r="H1628" i="2"/>
  <c r="I1628" i="2" s="1"/>
  <c r="J1628" i="2" s="1"/>
  <c r="C1628" i="2"/>
  <c r="B1628" i="2"/>
  <c r="A1628" i="2"/>
  <c r="X1627" i="2"/>
  <c r="S1627" i="2"/>
  <c r="R1627" i="2"/>
  <c r="Q1627" i="2"/>
  <c r="P1627" i="2"/>
  <c r="L1627" i="2"/>
  <c r="K1627" i="2"/>
  <c r="H1627" i="2"/>
  <c r="I1627" i="2" s="1"/>
  <c r="J1627" i="2" s="1"/>
  <c r="C1627" i="2"/>
  <c r="B1627" i="2"/>
  <c r="A1627" i="2"/>
  <c r="X1626" i="2"/>
  <c r="S1626" i="2"/>
  <c r="R1626" i="2"/>
  <c r="Q1626" i="2"/>
  <c r="P1626" i="2"/>
  <c r="L1626" i="2"/>
  <c r="K1626" i="2"/>
  <c r="H1626" i="2"/>
  <c r="I1626" i="2" s="1"/>
  <c r="J1626" i="2" s="1"/>
  <c r="C1626" i="2"/>
  <c r="B1626" i="2"/>
  <c r="A1626" i="2"/>
  <c r="X1625" i="2"/>
  <c r="S1625" i="2"/>
  <c r="R1625" i="2"/>
  <c r="Q1625" i="2"/>
  <c r="P1625" i="2"/>
  <c r="L1625" i="2"/>
  <c r="K1625" i="2"/>
  <c r="H1625" i="2"/>
  <c r="I1625" i="2" s="1"/>
  <c r="J1625" i="2" s="1"/>
  <c r="C1625" i="2"/>
  <c r="B1625" i="2"/>
  <c r="A1625" i="2"/>
  <c r="J1625" i="4" s="1"/>
  <c r="X1624" i="2"/>
  <c r="S1624" i="2"/>
  <c r="R1624" i="2"/>
  <c r="Q1624" i="2"/>
  <c r="P1624" i="2"/>
  <c r="L1624" i="2"/>
  <c r="K1624" i="2"/>
  <c r="H1624" i="2"/>
  <c r="I1624" i="2" s="1"/>
  <c r="J1624" i="2" s="1"/>
  <c r="C1624" i="2"/>
  <c r="B1624" i="2"/>
  <c r="A1624" i="2"/>
  <c r="J1624" i="4" s="1"/>
  <c r="X1623" i="2"/>
  <c r="S1623" i="2"/>
  <c r="R1623" i="2"/>
  <c r="Q1623" i="2"/>
  <c r="P1623" i="2"/>
  <c r="L1623" i="2"/>
  <c r="K1623" i="2"/>
  <c r="H1623" i="2"/>
  <c r="I1623" i="2" s="1"/>
  <c r="J1623" i="2" s="1"/>
  <c r="C1623" i="2"/>
  <c r="B1623" i="2"/>
  <c r="A1623" i="2"/>
  <c r="J1623" i="4" s="1"/>
  <c r="X1622" i="2"/>
  <c r="S1622" i="2"/>
  <c r="R1622" i="2"/>
  <c r="Q1622" i="2"/>
  <c r="P1622" i="2"/>
  <c r="L1622" i="2"/>
  <c r="K1622" i="2"/>
  <c r="H1622" i="2"/>
  <c r="I1622" i="2" s="1"/>
  <c r="J1622" i="2" s="1"/>
  <c r="C1622" i="2"/>
  <c r="B1622" i="2"/>
  <c r="A1622" i="2"/>
  <c r="J1622" i="4" s="1"/>
  <c r="X1621" i="2"/>
  <c r="S1621" i="2"/>
  <c r="R1621" i="2"/>
  <c r="Q1621" i="2"/>
  <c r="P1621" i="2"/>
  <c r="L1621" i="2"/>
  <c r="K1621" i="2"/>
  <c r="H1621" i="2"/>
  <c r="I1621" i="2" s="1"/>
  <c r="J1621" i="2" s="1"/>
  <c r="C1621" i="2"/>
  <c r="B1621" i="2"/>
  <c r="A1621" i="2"/>
  <c r="J1621" i="4" s="1"/>
  <c r="X1620" i="2"/>
  <c r="S1620" i="2"/>
  <c r="R1620" i="2"/>
  <c r="Q1620" i="2"/>
  <c r="P1620" i="2"/>
  <c r="L1620" i="2"/>
  <c r="K1620" i="2"/>
  <c r="H1620" i="2"/>
  <c r="I1620" i="2" s="1"/>
  <c r="J1620" i="2" s="1"/>
  <c r="C1620" i="2"/>
  <c r="B1620" i="2"/>
  <c r="A1620" i="2"/>
  <c r="J1620" i="4" s="1"/>
  <c r="X1619" i="2"/>
  <c r="S1619" i="2"/>
  <c r="R1619" i="2"/>
  <c r="Q1619" i="2"/>
  <c r="P1619" i="2"/>
  <c r="L1619" i="2"/>
  <c r="K1619" i="2"/>
  <c r="H1619" i="2"/>
  <c r="I1619" i="2" s="1"/>
  <c r="J1619" i="2" s="1"/>
  <c r="C1619" i="2"/>
  <c r="B1619" i="2"/>
  <c r="A1619" i="2"/>
  <c r="J1619" i="4" s="1"/>
  <c r="X1618" i="2"/>
  <c r="S1618" i="2"/>
  <c r="R1618" i="2"/>
  <c r="Q1618" i="2"/>
  <c r="P1618" i="2"/>
  <c r="L1618" i="2"/>
  <c r="K1618" i="2"/>
  <c r="H1618" i="2"/>
  <c r="I1618" i="2" s="1"/>
  <c r="J1618" i="2" s="1"/>
  <c r="C1618" i="2"/>
  <c r="B1618" i="2"/>
  <c r="A1618" i="2"/>
  <c r="J1618" i="4" s="1"/>
  <c r="X1617" i="2"/>
  <c r="S1617" i="2"/>
  <c r="R1617" i="2"/>
  <c r="Q1617" i="2"/>
  <c r="P1617" i="2"/>
  <c r="L1617" i="2"/>
  <c r="K1617" i="2"/>
  <c r="H1617" i="2"/>
  <c r="I1617" i="2" s="1"/>
  <c r="J1617" i="2" s="1"/>
  <c r="C1617" i="2"/>
  <c r="B1617" i="2"/>
  <c r="A1617" i="2"/>
  <c r="J1617" i="4" s="1"/>
  <c r="X1616" i="2"/>
  <c r="S1616" i="2"/>
  <c r="R1616" i="2"/>
  <c r="Q1616" i="2"/>
  <c r="P1616" i="2"/>
  <c r="L1616" i="2"/>
  <c r="K1616" i="2"/>
  <c r="H1616" i="2"/>
  <c r="I1616" i="2" s="1"/>
  <c r="J1616" i="2" s="1"/>
  <c r="C1616" i="2"/>
  <c r="B1616" i="2"/>
  <c r="A1616" i="2"/>
  <c r="J1616" i="4" s="1"/>
  <c r="X1615" i="2"/>
  <c r="S1615" i="2"/>
  <c r="R1615" i="2"/>
  <c r="Q1615" i="2"/>
  <c r="P1615" i="2"/>
  <c r="L1615" i="2"/>
  <c r="K1615" i="2"/>
  <c r="H1615" i="2"/>
  <c r="I1615" i="2" s="1"/>
  <c r="J1615" i="2" s="1"/>
  <c r="C1615" i="2"/>
  <c r="B1615" i="2"/>
  <c r="A1615" i="2"/>
  <c r="J1615" i="4" s="1"/>
  <c r="X1614" i="2"/>
  <c r="S1614" i="2"/>
  <c r="R1614" i="2"/>
  <c r="Q1614" i="2"/>
  <c r="P1614" i="2"/>
  <c r="L1614" i="2"/>
  <c r="K1614" i="2"/>
  <c r="H1614" i="2"/>
  <c r="I1614" i="2" s="1"/>
  <c r="J1614" i="2" s="1"/>
  <c r="C1614" i="2"/>
  <c r="B1614" i="2"/>
  <c r="A1614" i="2"/>
  <c r="J1614" i="4" s="1"/>
  <c r="X1613" i="2"/>
  <c r="S1613" i="2"/>
  <c r="R1613" i="2"/>
  <c r="Q1613" i="2"/>
  <c r="P1613" i="2"/>
  <c r="L1613" i="2"/>
  <c r="K1613" i="2"/>
  <c r="H1613" i="2"/>
  <c r="I1613" i="2" s="1"/>
  <c r="J1613" i="2" s="1"/>
  <c r="C1613" i="2"/>
  <c r="B1613" i="2"/>
  <c r="A1613" i="2"/>
  <c r="J1613" i="4" s="1"/>
  <c r="X1612" i="2"/>
  <c r="S1612" i="2"/>
  <c r="R1612" i="2"/>
  <c r="Q1612" i="2"/>
  <c r="P1612" i="2"/>
  <c r="L1612" i="2"/>
  <c r="K1612" i="2"/>
  <c r="H1612" i="2"/>
  <c r="I1612" i="2" s="1"/>
  <c r="J1612" i="2" s="1"/>
  <c r="C1612" i="2"/>
  <c r="B1612" i="2"/>
  <c r="A1612" i="2"/>
  <c r="J1612" i="4" s="1"/>
  <c r="X1611" i="2"/>
  <c r="S1611" i="2"/>
  <c r="R1611" i="2"/>
  <c r="Q1611" i="2"/>
  <c r="P1611" i="2"/>
  <c r="L1611" i="2"/>
  <c r="K1611" i="2"/>
  <c r="H1611" i="2"/>
  <c r="I1611" i="2" s="1"/>
  <c r="J1611" i="2" s="1"/>
  <c r="C1611" i="2"/>
  <c r="B1611" i="2"/>
  <c r="A1611" i="2"/>
  <c r="J1611" i="4" s="1"/>
  <c r="X1610" i="2"/>
  <c r="S1610" i="2"/>
  <c r="R1610" i="2"/>
  <c r="Q1610" i="2"/>
  <c r="P1610" i="2"/>
  <c r="L1610" i="2"/>
  <c r="K1610" i="2"/>
  <c r="H1610" i="2"/>
  <c r="I1610" i="2" s="1"/>
  <c r="J1610" i="2" s="1"/>
  <c r="C1610" i="2"/>
  <c r="B1610" i="2"/>
  <c r="A1610" i="2"/>
  <c r="J1610" i="4" s="1"/>
  <c r="X1609" i="2"/>
  <c r="S1609" i="2"/>
  <c r="R1609" i="2"/>
  <c r="Q1609" i="2"/>
  <c r="P1609" i="2"/>
  <c r="L1609" i="2"/>
  <c r="K1609" i="2"/>
  <c r="H1609" i="2"/>
  <c r="I1609" i="2" s="1"/>
  <c r="J1609" i="2" s="1"/>
  <c r="C1609" i="2"/>
  <c r="B1609" i="2"/>
  <c r="A1609" i="2"/>
  <c r="J1609" i="4" s="1"/>
  <c r="X1608" i="2"/>
  <c r="S1608" i="2"/>
  <c r="R1608" i="2"/>
  <c r="Q1608" i="2"/>
  <c r="P1608" i="2"/>
  <c r="L1608" i="2"/>
  <c r="K1608" i="2"/>
  <c r="H1608" i="2"/>
  <c r="I1608" i="2" s="1"/>
  <c r="J1608" i="2" s="1"/>
  <c r="C1608" i="2"/>
  <c r="B1608" i="2"/>
  <c r="A1608" i="2"/>
  <c r="J1608" i="4" s="1"/>
  <c r="X1607" i="2"/>
  <c r="S1607" i="2"/>
  <c r="R1607" i="2"/>
  <c r="Q1607" i="2"/>
  <c r="P1607" i="2"/>
  <c r="L1607" i="2"/>
  <c r="K1607" i="2"/>
  <c r="H1607" i="2"/>
  <c r="I1607" i="2" s="1"/>
  <c r="J1607" i="2" s="1"/>
  <c r="C1607" i="2"/>
  <c r="B1607" i="2"/>
  <c r="A1607" i="2"/>
  <c r="J1607" i="4" s="1"/>
  <c r="X1606" i="2"/>
  <c r="S1606" i="2"/>
  <c r="R1606" i="2"/>
  <c r="Q1606" i="2"/>
  <c r="P1606" i="2"/>
  <c r="L1606" i="2"/>
  <c r="K1606" i="2"/>
  <c r="H1606" i="2"/>
  <c r="I1606" i="2" s="1"/>
  <c r="J1606" i="2" s="1"/>
  <c r="C1606" i="2"/>
  <c r="B1606" i="2"/>
  <c r="A1606" i="2"/>
  <c r="J1606" i="4" s="1"/>
  <c r="X1605" i="2"/>
  <c r="S1605" i="2"/>
  <c r="R1605" i="2"/>
  <c r="Q1605" i="2"/>
  <c r="P1605" i="2"/>
  <c r="L1605" i="2"/>
  <c r="K1605" i="2"/>
  <c r="H1605" i="2"/>
  <c r="I1605" i="2" s="1"/>
  <c r="J1605" i="2" s="1"/>
  <c r="C1605" i="2"/>
  <c r="B1605" i="2"/>
  <c r="A1605" i="2"/>
  <c r="J1605" i="4" s="1"/>
  <c r="X1604" i="2"/>
  <c r="S1604" i="2"/>
  <c r="R1604" i="2"/>
  <c r="Q1604" i="2"/>
  <c r="P1604" i="2"/>
  <c r="L1604" i="2"/>
  <c r="K1604" i="2"/>
  <c r="H1604" i="2"/>
  <c r="I1604" i="2" s="1"/>
  <c r="J1604" i="2" s="1"/>
  <c r="C1604" i="2"/>
  <c r="B1604" i="2"/>
  <c r="A1604" i="2"/>
  <c r="J1604" i="4" s="1"/>
  <c r="X1603" i="2"/>
  <c r="S1603" i="2"/>
  <c r="R1603" i="2"/>
  <c r="Q1603" i="2"/>
  <c r="P1603" i="2"/>
  <c r="L1603" i="2"/>
  <c r="K1603" i="2"/>
  <c r="H1603" i="2"/>
  <c r="I1603" i="2" s="1"/>
  <c r="J1603" i="2" s="1"/>
  <c r="C1603" i="2"/>
  <c r="B1603" i="2"/>
  <c r="A1603" i="2"/>
  <c r="J1603" i="4" s="1"/>
  <c r="X1602" i="2"/>
  <c r="S1602" i="2"/>
  <c r="R1602" i="2"/>
  <c r="Q1602" i="2"/>
  <c r="P1602" i="2"/>
  <c r="L1602" i="2"/>
  <c r="K1602" i="2"/>
  <c r="H1602" i="2"/>
  <c r="I1602" i="2" s="1"/>
  <c r="J1602" i="2" s="1"/>
  <c r="C1602" i="2"/>
  <c r="B1602" i="2"/>
  <c r="A1602" i="2"/>
  <c r="J1602" i="4" s="1"/>
  <c r="X1601" i="2"/>
  <c r="S1601" i="2"/>
  <c r="R1601" i="2"/>
  <c r="Q1601" i="2"/>
  <c r="P1601" i="2"/>
  <c r="L1601" i="2"/>
  <c r="K1601" i="2"/>
  <c r="H1601" i="2"/>
  <c r="I1601" i="2" s="1"/>
  <c r="J1601" i="2" s="1"/>
  <c r="C1601" i="2"/>
  <c r="B1601" i="2"/>
  <c r="A1601" i="2"/>
  <c r="J1601" i="4" s="1"/>
  <c r="X1600" i="2"/>
  <c r="S1600" i="2"/>
  <c r="R1600" i="2"/>
  <c r="Q1600" i="2"/>
  <c r="P1600" i="2"/>
  <c r="L1600" i="2"/>
  <c r="K1600" i="2"/>
  <c r="H1600" i="2"/>
  <c r="I1600" i="2" s="1"/>
  <c r="J1600" i="2" s="1"/>
  <c r="C1600" i="2"/>
  <c r="B1600" i="2"/>
  <c r="A1600" i="2"/>
  <c r="J1600" i="4" s="1"/>
  <c r="X1599" i="2"/>
  <c r="S1599" i="2"/>
  <c r="R1599" i="2"/>
  <c r="Q1599" i="2"/>
  <c r="P1599" i="2"/>
  <c r="L1599" i="2"/>
  <c r="K1599" i="2"/>
  <c r="H1599" i="2"/>
  <c r="I1599" i="2" s="1"/>
  <c r="J1599" i="2" s="1"/>
  <c r="C1599" i="2"/>
  <c r="B1599" i="2"/>
  <c r="A1599" i="2"/>
  <c r="J1599" i="4" s="1"/>
  <c r="X1598" i="2"/>
  <c r="S1598" i="2"/>
  <c r="R1598" i="2"/>
  <c r="Q1598" i="2"/>
  <c r="P1598" i="2"/>
  <c r="L1598" i="2"/>
  <c r="K1598" i="2"/>
  <c r="H1598" i="2"/>
  <c r="I1598" i="2" s="1"/>
  <c r="J1598" i="2" s="1"/>
  <c r="C1598" i="2"/>
  <c r="B1598" i="2"/>
  <c r="A1598" i="2"/>
  <c r="J1598" i="4" s="1"/>
  <c r="X1597" i="2"/>
  <c r="S1597" i="2"/>
  <c r="R1597" i="2"/>
  <c r="Q1597" i="2"/>
  <c r="P1597" i="2"/>
  <c r="L1597" i="2"/>
  <c r="K1597" i="2"/>
  <c r="H1597" i="2"/>
  <c r="I1597" i="2" s="1"/>
  <c r="J1597" i="2" s="1"/>
  <c r="C1597" i="2"/>
  <c r="B1597" i="2"/>
  <c r="A1597" i="2"/>
  <c r="J1597" i="4" s="1"/>
  <c r="X1596" i="2"/>
  <c r="S1596" i="2"/>
  <c r="R1596" i="2"/>
  <c r="Q1596" i="2"/>
  <c r="P1596" i="2"/>
  <c r="L1596" i="2"/>
  <c r="K1596" i="2"/>
  <c r="H1596" i="2"/>
  <c r="I1596" i="2" s="1"/>
  <c r="J1596" i="2" s="1"/>
  <c r="C1596" i="2"/>
  <c r="B1596" i="2"/>
  <c r="A1596" i="2"/>
  <c r="J1596" i="4" s="1"/>
  <c r="X1595" i="2"/>
  <c r="S1595" i="2"/>
  <c r="R1595" i="2"/>
  <c r="Q1595" i="2"/>
  <c r="P1595" i="2"/>
  <c r="L1595" i="2"/>
  <c r="K1595" i="2"/>
  <c r="H1595" i="2"/>
  <c r="I1595" i="2" s="1"/>
  <c r="J1595" i="2" s="1"/>
  <c r="C1595" i="2"/>
  <c r="B1595" i="2"/>
  <c r="A1595" i="2"/>
  <c r="J1595" i="4" s="1"/>
  <c r="X1594" i="2"/>
  <c r="S1594" i="2"/>
  <c r="R1594" i="2"/>
  <c r="Q1594" i="2"/>
  <c r="P1594" i="2"/>
  <c r="L1594" i="2"/>
  <c r="K1594" i="2"/>
  <c r="H1594" i="2"/>
  <c r="I1594" i="2" s="1"/>
  <c r="J1594" i="2" s="1"/>
  <c r="C1594" i="2"/>
  <c r="B1594" i="2"/>
  <c r="A1594" i="2"/>
  <c r="J1594" i="4" s="1"/>
  <c r="X1593" i="2"/>
  <c r="S1593" i="2"/>
  <c r="R1593" i="2"/>
  <c r="Q1593" i="2"/>
  <c r="P1593" i="2"/>
  <c r="L1593" i="2"/>
  <c r="K1593" i="2"/>
  <c r="H1593" i="2"/>
  <c r="I1593" i="2" s="1"/>
  <c r="J1593" i="2" s="1"/>
  <c r="C1593" i="2"/>
  <c r="B1593" i="2"/>
  <c r="A1593" i="2"/>
  <c r="J1593" i="4" s="1"/>
  <c r="X1592" i="2"/>
  <c r="S1592" i="2"/>
  <c r="R1592" i="2"/>
  <c r="Q1592" i="2"/>
  <c r="P1592" i="2"/>
  <c r="L1592" i="2"/>
  <c r="K1592" i="2"/>
  <c r="H1592" i="2"/>
  <c r="I1592" i="2" s="1"/>
  <c r="J1592" i="2" s="1"/>
  <c r="C1592" i="2"/>
  <c r="B1592" i="2"/>
  <c r="A1592" i="2"/>
  <c r="J1592" i="4" s="1"/>
  <c r="X1591" i="2"/>
  <c r="S1591" i="2"/>
  <c r="R1591" i="2"/>
  <c r="Q1591" i="2"/>
  <c r="P1591" i="2"/>
  <c r="L1591" i="2"/>
  <c r="K1591" i="2"/>
  <c r="H1591" i="2"/>
  <c r="I1591" i="2" s="1"/>
  <c r="J1591" i="2" s="1"/>
  <c r="C1591" i="2"/>
  <c r="B1591" i="2"/>
  <c r="A1591" i="2"/>
  <c r="J1591" i="4" s="1"/>
  <c r="X1590" i="2"/>
  <c r="S1590" i="2"/>
  <c r="R1590" i="2"/>
  <c r="Q1590" i="2"/>
  <c r="P1590" i="2"/>
  <c r="L1590" i="2"/>
  <c r="K1590" i="2"/>
  <c r="H1590" i="2"/>
  <c r="I1590" i="2" s="1"/>
  <c r="J1590" i="2" s="1"/>
  <c r="C1590" i="2"/>
  <c r="B1590" i="2"/>
  <c r="A1590" i="2"/>
  <c r="J1590" i="4" s="1"/>
  <c r="X1589" i="2"/>
  <c r="S1589" i="2"/>
  <c r="R1589" i="2"/>
  <c r="Q1589" i="2"/>
  <c r="P1589" i="2"/>
  <c r="L1589" i="2"/>
  <c r="K1589" i="2"/>
  <c r="H1589" i="2"/>
  <c r="I1589" i="2" s="1"/>
  <c r="J1589" i="2" s="1"/>
  <c r="C1589" i="2"/>
  <c r="B1589" i="2"/>
  <c r="A1589" i="2"/>
  <c r="J1589" i="4" s="1"/>
  <c r="X1588" i="2"/>
  <c r="S1588" i="2"/>
  <c r="R1588" i="2"/>
  <c r="Q1588" i="2"/>
  <c r="P1588" i="2"/>
  <c r="L1588" i="2"/>
  <c r="K1588" i="2"/>
  <c r="H1588" i="2"/>
  <c r="I1588" i="2" s="1"/>
  <c r="J1588" i="2" s="1"/>
  <c r="C1588" i="2"/>
  <c r="B1588" i="2"/>
  <c r="A1588" i="2"/>
  <c r="J1588" i="4" s="1"/>
  <c r="X1587" i="2"/>
  <c r="S1587" i="2"/>
  <c r="R1587" i="2"/>
  <c r="Q1587" i="2"/>
  <c r="P1587" i="2"/>
  <c r="L1587" i="2"/>
  <c r="K1587" i="2"/>
  <c r="H1587" i="2"/>
  <c r="I1587" i="2" s="1"/>
  <c r="J1587" i="2" s="1"/>
  <c r="C1587" i="2"/>
  <c r="B1587" i="2"/>
  <c r="A1587" i="2"/>
  <c r="J1587" i="4" s="1"/>
  <c r="X1586" i="2"/>
  <c r="S1586" i="2"/>
  <c r="R1586" i="2"/>
  <c r="Q1586" i="2"/>
  <c r="P1586" i="2"/>
  <c r="L1586" i="2"/>
  <c r="K1586" i="2"/>
  <c r="H1586" i="2"/>
  <c r="I1586" i="2" s="1"/>
  <c r="J1586" i="2" s="1"/>
  <c r="C1586" i="2"/>
  <c r="B1586" i="2"/>
  <c r="A1586" i="2"/>
  <c r="J1586" i="4" s="1"/>
  <c r="X1585" i="2"/>
  <c r="S1585" i="2"/>
  <c r="R1585" i="2"/>
  <c r="Q1585" i="2"/>
  <c r="P1585" i="2"/>
  <c r="L1585" i="2"/>
  <c r="K1585" i="2"/>
  <c r="H1585" i="2"/>
  <c r="I1585" i="2" s="1"/>
  <c r="J1585" i="2" s="1"/>
  <c r="C1585" i="2"/>
  <c r="B1585" i="2"/>
  <c r="A1585" i="2"/>
  <c r="J1585" i="4" s="1"/>
  <c r="X1584" i="2"/>
  <c r="S1584" i="2"/>
  <c r="Q1584" i="2"/>
  <c r="P1584" i="2"/>
  <c r="R1584" i="2" s="1"/>
  <c r="L1584" i="2"/>
  <c r="K1584" i="2"/>
  <c r="H1584" i="2"/>
  <c r="I1584" i="2" s="1"/>
  <c r="J1584" i="2" s="1"/>
  <c r="C1584" i="2"/>
  <c r="B1584" i="2"/>
  <c r="A1584" i="2"/>
  <c r="J1584" i="4" s="1"/>
  <c r="X1583" i="2"/>
  <c r="S1583" i="2"/>
  <c r="R1583" i="2"/>
  <c r="Q1583" i="2"/>
  <c r="P1583" i="2"/>
  <c r="L1583" i="2"/>
  <c r="K1583" i="2"/>
  <c r="H1583" i="2"/>
  <c r="I1583" i="2" s="1"/>
  <c r="J1583" i="2" s="1"/>
  <c r="C1583" i="2"/>
  <c r="B1583" i="2"/>
  <c r="A1583" i="2"/>
  <c r="J1583" i="4" s="1"/>
  <c r="X1582" i="2"/>
  <c r="S1582" i="2"/>
  <c r="R1582" i="2"/>
  <c r="Q1582" i="2"/>
  <c r="P1582" i="2"/>
  <c r="L1582" i="2"/>
  <c r="K1582" i="2"/>
  <c r="H1582" i="2"/>
  <c r="I1582" i="2" s="1"/>
  <c r="J1582" i="2" s="1"/>
  <c r="C1582" i="2"/>
  <c r="B1582" i="2"/>
  <c r="A1582" i="2"/>
  <c r="J1582" i="4" s="1"/>
  <c r="X1581" i="2"/>
  <c r="S1581" i="2"/>
  <c r="R1581" i="2"/>
  <c r="Q1581" i="2"/>
  <c r="P1581" i="2"/>
  <c r="L1581" i="2"/>
  <c r="K1581" i="2"/>
  <c r="H1581" i="2"/>
  <c r="I1581" i="2" s="1"/>
  <c r="J1581" i="2" s="1"/>
  <c r="C1581" i="2"/>
  <c r="B1581" i="2"/>
  <c r="A1581" i="2"/>
  <c r="J1581" i="4" s="1"/>
  <c r="X1580" i="2"/>
  <c r="S1580" i="2"/>
  <c r="R1580" i="2"/>
  <c r="Q1580" i="2"/>
  <c r="P1580" i="2"/>
  <c r="L1580" i="2"/>
  <c r="K1580" i="2"/>
  <c r="H1580" i="2"/>
  <c r="I1580" i="2" s="1"/>
  <c r="J1580" i="2" s="1"/>
  <c r="C1580" i="2"/>
  <c r="B1580" i="2"/>
  <c r="A1580" i="2"/>
  <c r="J1580" i="4" s="1"/>
  <c r="X1579" i="2"/>
  <c r="S1579" i="2"/>
  <c r="R1579" i="2"/>
  <c r="Q1579" i="2"/>
  <c r="P1579" i="2"/>
  <c r="L1579" i="2"/>
  <c r="K1579" i="2"/>
  <c r="H1579" i="2"/>
  <c r="I1579" i="2" s="1"/>
  <c r="J1579" i="2" s="1"/>
  <c r="C1579" i="2"/>
  <c r="B1579" i="2"/>
  <c r="A1579" i="2"/>
  <c r="J1579" i="4" s="1"/>
  <c r="X1578" i="2"/>
  <c r="S1578" i="2"/>
  <c r="R1578" i="2"/>
  <c r="Q1578" i="2"/>
  <c r="P1578" i="2"/>
  <c r="L1578" i="2"/>
  <c r="K1578" i="2"/>
  <c r="H1578" i="2"/>
  <c r="I1578" i="2" s="1"/>
  <c r="J1578" i="2" s="1"/>
  <c r="C1578" i="2"/>
  <c r="B1578" i="2"/>
  <c r="A1578" i="2"/>
  <c r="J1578" i="4" s="1"/>
  <c r="X1577" i="2"/>
  <c r="S1577" i="2"/>
  <c r="R1577" i="2"/>
  <c r="Q1577" i="2"/>
  <c r="P1577" i="2"/>
  <c r="L1577" i="2"/>
  <c r="K1577" i="2"/>
  <c r="H1577" i="2"/>
  <c r="I1577" i="2" s="1"/>
  <c r="J1577" i="2" s="1"/>
  <c r="C1577" i="2"/>
  <c r="B1577" i="2"/>
  <c r="A1577" i="2"/>
  <c r="J1577" i="4" s="1"/>
  <c r="X1576" i="2"/>
  <c r="S1576" i="2"/>
  <c r="R1576" i="2"/>
  <c r="Q1576" i="2"/>
  <c r="P1576" i="2"/>
  <c r="L1576" i="2"/>
  <c r="K1576" i="2"/>
  <c r="H1576" i="2"/>
  <c r="I1576" i="2" s="1"/>
  <c r="J1576" i="2" s="1"/>
  <c r="C1576" i="2"/>
  <c r="B1576" i="2"/>
  <c r="A1576" i="2"/>
  <c r="J1576" i="4" s="1"/>
  <c r="X1575" i="2"/>
  <c r="S1575" i="2"/>
  <c r="R1575" i="2"/>
  <c r="Q1575" i="2"/>
  <c r="P1575" i="2"/>
  <c r="L1575" i="2"/>
  <c r="K1575" i="2"/>
  <c r="H1575" i="2"/>
  <c r="I1575" i="2" s="1"/>
  <c r="J1575" i="2" s="1"/>
  <c r="C1575" i="2"/>
  <c r="B1575" i="2"/>
  <c r="A1575" i="2"/>
  <c r="J1575" i="4" s="1"/>
  <c r="X1574" i="2"/>
  <c r="S1574" i="2"/>
  <c r="R1574" i="2"/>
  <c r="Q1574" i="2"/>
  <c r="P1574" i="2"/>
  <c r="L1574" i="2"/>
  <c r="K1574" i="2"/>
  <c r="H1574" i="2"/>
  <c r="I1574" i="2" s="1"/>
  <c r="J1574" i="2" s="1"/>
  <c r="C1574" i="2"/>
  <c r="B1574" i="2"/>
  <c r="A1574" i="2"/>
  <c r="J1574" i="4" s="1"/>
  <c r="X1573" i="2"/>
  <c r="S1573" i="2"/>
  <c r="R1573" i="2"/>
  <c r="Q1573" i="2"/>
  <c r="P1573" i="2"/>
  <c r="L1573" i="2"/>
  <c r="K1573" i="2"/>
  <c r="H1573" i="2"/>
  <c r="I1573" i="2" s="1"/>
  <c r="J1573" i="2" s="1"/>
  <c r="C1573" i="2"/>
  <c r="B1573" i="2"/>
  <c r="A1573" i="2"/>
  <c r="J1573" i="4" s="1"/>
  <c r="X1572" i="2"/>
  <c r="S1572" i="2"/>
  <c r="R1572" i="2"/>
  <c r="Q1572" i="2"/>
  <c r="P1572" i="2"/>
  <c r="L1572" i="2"/>
  <c r="K1572" i="2"/>
  <c r="H1572" i="2"/>
  <c r="I1572" i="2" s="1"/>
  <c r="J1572" i="2" s="1"/>
  <c r="C1572" i="2"/>
  <c r="B1572" i="2"/>
  <c r="A1572" i="2"/>
  <c r="J1572" i="4" s="1"/>
  <c r="X1571" i="2"/>
  <c r="S1571" i="2"/>
  <c r="R1571" i="2"/>
  <c r="Q1571" i="2"/>
  <c r="P1571" i="2"/>
  <c r="L1571" i="2"/>
  <c r="K1571" i="2"/>
  <c r="H1571" i="2"/>
  <c r="I1571" i="2" s="1"/>
  <c r="J1571" i="2" s="1"/>
  <c r="C1571" i="2"/>
  <c r="B1571" i="2"/>
  <c r="A1571" i="2"/>
  <c r="J1571" i="4" s="1"/>
  <c r="X1570" i="2"/>
  <c r="S1570" i="2"/>
  <c r="R1570" i="2"/>
  <c r="Q1570" i="2"/>
  <c r="P1570" i="2"/>
  <c r="L1570" i="2"/>
  <c r="K1570" i="2"/>
  <c r="H1570" i="2"/>
  <c r="I1570" i="2" s="1"/>
  <c r="J1570" i="2" s="1"/>
  <c r="C1570" i="2"/>
  <c r="B1570" i="2"/>
  <c r="A1570" i="2"/>
  <c r="J1570" i="4" s="1"/>
  <c r="X1569" i="2"/>
  <c r="S1569" i="2"/>
  <c r="R1569" i="2"/>
  <c r="Q1569" i="2"/>
  <c r="P1569" i="2"/>
  <c r="L1569" i="2"/>
  <c r="K1569" i="2"/>
  <c r="H1569" i="2"/>
  <c r="I1569" i="2" s="1"/>
  <c r="J1569" i="2" s="1"/>
  <c r="C1569" i="2"/>
  <c r="B1569" i="2"/>
  <c r="A1569" i="2"/>
  <c r="J1569" i="4" s="1"/>
  <c r="X1568" i="2"/>
  <c r="S1568" i="2"/>
  <c r="R1568" i="2"/>
  <c r="Q1568" i="2"/>
  <c r="P1568" i="2"/>
  <c r="L1568" i="2"/>
  <c r="K1568" i="2"/>
  <c r="H1568" i="2"/>
  <c r="I1568" i="2" s="1"/>
  <c r="J1568" i="2" s="1"/>
  <c r="C1568" i="2"/>
  <c r="B1568" i="2"/>
  <c r="A1568" i="2"/>
  <c r="J1568" i="4" s="1"/>
  <c r="X1567" i="2"/>
  <c r="S1567" i="2"/>
  <c r="R1567" i="2"/>
  <c r="Q1567" i="2"/>
  <c r="P1567" i="2"/>
  <c r="L1567" i="2"/>
  <c r="K1567" i="2"/>
  <c r="H1567" i="2"/>
  <c r="I1567" i="2" s="1"/>
  <c r="J1567" i="2" s="1"/>
  <c r="C1567" i="2"/>
  <c r="B1567" i="2"/>
  <c r="A1567" i="2"/>
  <c r="J1567" i="4" s="1"/>
  <c r="X1566" i="2"/>
  <c r="S1566" i="2"/>
  <c r="R1566" i="2"/>
  <c r="Q1566" i="2"/>
  <c r="P1566" i="2"/>
  <c r="L1566" i="2"/>
  <c r="K1566" i="2"/>
  <c r="H1566" i="2"/>
  <c r="I1566" i="2" s="1"/>
  <c r="J1566" i="2" s="1"/>
  <c r="C1566" i="2"/>
  <c r="B1566" i="2"/>
  <c r="A1566" i="2"/>
  <c r="J1566" i="4" s="1"/>
  <c r="X1565" i="2"/>
  <c r="S1565" i="2"/>
  <c r="R1565" i="2"/>
  <c r="Q1565" i="2"/>
  <c r="P1565" i="2"/>
  <c r="L1565" i="2"/>
  <c r="K1565" i="2"/>
  <c r="H1565" i="2"/>
  <c r="I1565" i="2" s="1"/>
  <c r="J1565" i="2" s="1"/>
  <c r="C1565" i="2"/>
  <c r="B1565" i="2"/>
  <c r="A1565" i="2"/>
  <c r="J1565" i="4" s="1"/>
  <c r="X1564" i="2"/>
  <c r="S1564" i="2"/>
  <c r="R1564" i="2"/>
  <c r="Q1564" i="2"/>
  <c r="P1564" i="2"/>
  <c r="L1564" i="2"/>
  <c r="K1564" i="2"/>
  <c r="H1564" i="2"/>
  <c r="I1564" i="2" s="1"/>
  <c r="J1564" i="2" s="1"/>
  <c r="C1564" i="2"/>
  <c r="B1564" i="2"/>
  <c r="A1564" i="2"/>
  <c r="J1564" i="4" s="1"/>
  <c r="X1563" i="2"/>
  <c r="S1563" i="2"/>
  <c r="R1563" i="2"/>
  <c r="Q1563" i="2"/>
  <c r="P1563" i="2"/>
  <c r="L1563" i="2"/>
  <c r="K1563" i="2"/>
  <c r="H1563" i="2"/>
  <c r="I1563" i="2" s="1"/>
  <c r="J1563" i="2" s="1"/>
  <c r="C1563" i="2"/>
  <c r="B1563" i="2"/>
  <c r="A1563" i="2"/>
  <c r="J1563" i="4" s="1"/>
  <c r="X1562" i="2"/>
  <c r="S1562" i="2"/>
  <c r="R1562" i="2"/>
  <c r="Q1562" i="2"/>
  <c r="P1562" i="2"/>
  <c r="L1562" i="2"/>
  <c r="K1562" i="2"/>
  <c r="H1562" i="2"/>
  <c r="I1562" i="2" s="1"/>
  <c r="J1562" i="2" s="1"/>
  <c r="C1562" i="2"/>
  <c r="B1562" i="2"/>
  <c r="A1562" i="2"/>
  <c r="J1562" i="4" s="1"/>
  <c r="X1561" i="2"/>
  <c r="S1561" i="2"/>
  <c r="R1561" i="2"/>
  <c r="Q1561" i="2"/>
  <c r="P1561" i="2"/>
  <c r="L1561" i="2"/>
  <c r="K1561" i="2"/>
  <c r="H1561" i="2"/>
  <c r="I1561" i="2" s="1"/>
  <c r="J1561" i="2" s="1"/>
  <c r="C1561" i="2"/>
  <c r="B1561" i="2"/>
  <c r="A1561" i="2"/>
  <c r="J1561" i="4" s="1"/>
  <c r="X1560" i="2"/>
  <c r="S1560" i="2"/>
  <c r="R1560" i="2"/>
  <c r="Q1560" i="2"/>
  <c r="P1560" i="2"/>
  <c r="L1560" i="2"/>
  <c r="K1560" i="2"/>
  <c r="H1560" i="2"/>
  <c r="I1560" i="2" s="1"/>
  <c r="J1560" i="2" s="1"/>
  <c r="C1560" i="2"/>
  <c r="B1560" i="2"/>
  <c r="A1560" i="2"/>
  <c r="J1560" i="4" s="1"/>
  <c r="X1559" i="2"/>
  <c r="S1559" i="2"/>
  <c r="R1559" i="2"/>
  <c r="Q1559" i="2"/>
  <c r="P1559" i="2"/>
  <c r="L1559" i="2"/>
  <c r="K1559" i="2"/>
  <c r="H1559" i="2"/>
  <c r="I1559" i="2" s="1"/>
  <c r="J1559" i="2" s="1"/>
  <c r="C1559" i="2"/>
  <c r="B1559" i="2"/>
  <c r="A1559" i="2"/>
  <c r="J1559" i="4" s="1"/>
  <c r="X1558" i="2"/>
  <c r="S1558" i="2"/>
  <c r="R1558" i="2"/>
  <c r="Q1558" i="2"/>
  <c r="P1558" i="2"/>
  <c r="L1558" i="2"/>
  <c r="K1558" i="2"/>
  <c r="H1558" i="2"/>
  <c r="I1558" i="2" s="1"/>
  <c r="J1558" i="2" s="1"/>
  <c r="C1558" i="2"/>
  <c r="B1558" i="2"/>
  <c r="A1558" i="2"/>
  <c r="J1558" i="4" s="1"/>
  <c r="X1557" i="2"/>
  <c r="S1557" i="2"/>
  <c r="R1557" i="2"/>
  <c r="Q1557" i="2"/>
  <c r="P1557" i="2"/>
  <c r="L1557" i="2"/>
  <c r="K1557" i="2"/>
  <c r="H1557" i="2"/>
  <c r="I1557" i="2" s="1"/>
  <c r="J1557" i="2" s="1"/>
  <c r="C1557" i="2"/>
  <c r="B1557" i="2"/>
  <c r="A1557" i="2"/>
  <c r="J1557" i="4" s="1"/>
  <c r="X1556" i="2"/>
  <c r="S1556" i="2"/>
  <c r="R1556" i="2"/>
  <c r="Q1556" i="2"/>
  <c r="P1556" i="2"/>
  <c r="L1556" i="2"/>
  <c r="K1556" i="2"/>
  <c r="H1556" i="2"/>
  <c r="I1556" i="2" s="1"/>
  <c r="J1556" i="2" s="1"/>
  <c r="C1556" i="2"/>
  <c r="B1556" i="2"/>
  <c r="A1556" i="2"/>
  <c r="J1556" i="4" s="1"/>
  <c r="X1555" i="2"/>
  <c r="S1555" i="2"/>
  <c r="R1555" i="2"/>
  <c r="Q1555" i="2"/>
  <c r="P1555" i="2"/>
  <c r="L1555" i="2"/>
  <c r="K1555" i="2"/>
  <c r="H1555" i="2"/>
  <c r="I1555" i="2" s="1"/>
  <c r="J1555" i="2" s="1"/>
  <c r="C1555" i="2"/>
  <c r="B1555" i="2"/>
  <c r="A1555" i="2"/>
  <c r="J1555" i="4" s="1"/>
  <c r="X1554" i="2"/>
  <c r="S1554" i="2"/>
  <c r="R1554" i="2"/>
  <c r="Q1554" i="2"/>
  <c r="P1554" i="2"/>
  <c r="L1554" i="2"/>
  <c r="K1554" i="2"/>
  <c r="H1554" i="2"/>
  <c r="I1554" i="2" s="1"/>
  <c r="J1554" i="2" s="1"/>
  <c r="C1554" i="2"/>
  <c r="B1554" i="2"/>
  <c r="A1554" i="2"/>
  <c r="J1554" i="4" s="1"/>
  <c r="X1553" i="2"/>
  <c r="S1553" i="2"/>
  <c r="R1553" i="2"/>
  <c r="Q1553" i="2"/>
  <c r="P1553" i="2"/>
  <c r="L1553" i="2"/>
  <c r="K1553" i="2"/>
  <c r="H1553" i="2"/>
  <c r="I1553" i="2" s="1"/>
  <c r="J1553" i="2" s="1"/>
  <c r="C1553" i="2"/>
  <c r="B1553" i="2"/>
  <c r="A1553" i="2"/>
  <c r="J1553" i="4" s="1"/>
  <c r="X1552" i="2"/>
  <c r="S1552" i="2"/>
  <c r="R1552" i="2"/>
  <c r="Q1552" i="2"/>
  <c r="P1552" i="2"/>
  <c r="L1552" i="2"/>
  <c r="K1552" i="2"/>
  <c r="H1552" i="2"/>
  <c r="I1552" i="2" s="1"/>
  <c r="J1552" i="2" s="1"/>
  <c r="C1552" i="2"/>
  <c r="B1552" i="2"/>
  <c r="A1552" i="2"/>
  <c r="J1552" i="4" s="1"/>
  <c r="X1551" i="2"/>
  <c r="S1551" i="2"/>
  <c r="R1551" i="2"/>
  <c r="Q1551" i="2"/>
  <c r="P1551" i="2"/>
  <c r="L1551" i="2"/>
  <c r="K1551" i="2"/>
  <c r="H1551" i="2"/>
  <c r="I1551" i="2" s="1"/>
  <c r="J1551" i="2" s="1"/>
  <c r="C1551" i="2"/>
  <c r="B1551" i="2"/>
  <c r="A1551" i="2"/>
  <c r="J1551" i="4" s="1"/>
  <c r="X1550" i="2"/>
  <c r="S1550" i="2"/>
  <c r="R1550" i="2"/>
  <c r="Q1550" i="2"/>
  <c r="P1550" i="2"/>
  <c r="L1550" i="2"/>
  <c r="K1550" i="2"/>
  <c r="H1550" i="2"/>
  <c r="I1550" i="2" s="1"/>
  <c r="J1550" i="2" s="1"/>
  <c r="C1550" i="2"/>
  <c r="B1550" i="2"/>
  <c r="A1550" i="2"/>
  <c r="J1550" i="4" s="1"/>
  <c r="X1549" i="2"/>
  <c r="S1549" i="2"/>
  <c r="R1549" i="2"/>
  <c r="Q1549" i="2"/>
  <c r="P1549" i="2"/>
  <c r="L1549" i="2"/>
  <c r="K1549" i="2"/>
  <c r="H1549" i="2"/>
  <c r="I1549" i="2" s="1"/>
  <c r="J1549" i="2" s="1"/>
  <c r="C1549" i="2"/>
  <c r="B1549" i="2"/>
  <c r="A1549" i="2"/>
  <c r="J1549" i="4" s="1"/>
  <c r="X1548" i="2"/>
  <c r="S1548" i="2"/>
  <c r="R1548" i="2"/>
  <c r="Q1548" i="2"/>
  <c r="P1548" i="2"/>
  <c r="L1548" i="2"/>
  <c r="K1548" i="2"/>
  <c r="H1548" i="2"/>
  <c r="I1548" i="2" s="1"/>
  <c r="J1548" i="2" s="1"/>
  <c r="C1548" i="2"/>
  <c r="B1548" i="2"/>
  <c r="A1548" i="2"/>
  <c r="J1548" i="4" s="1"/>
  <c r="X1547" i="2"/>
  <c r="S1547" i="2"/>
  <c r="R1547" i="2"/>
  <c r="Q1547" i="2"/>
  <c r="P1547" i="2"/>
  <c r="L1547" i="2"/>
  <c r="K1547" i="2"/>
  <c r="H1547" i="2"/>
  <c r="I1547" i="2" s="1"/>
  <c r="J1547" i="2" s="1"/>
  <c r="C1547" i="2"/>
  <c r="B1547" i="2"/>
  <c r="A1547" i="2"/>
  <c r="J1547" i="4" s="1"/>
  <c r="X1546" i="2"/>
  <c r="S1546" i="2"/>
  <c r="R1546" i="2"/>
  <c r="Q1546" i="2"/>
  <c r="P1546" i="2"/>
  <c r="L1546" i="2"/>
  <c r="K1546" i="2"/>
  <c r="H1546" i="2"/>
  <c r="I1546" i="2" s="1"/>
  <c r="J1546" i="2" s="1"/>
  <c r="C1546" i="2"/>
  <c r="B1546" i="2"/>
  <c r="A1546" i="2"/>
  <c r="J1546" i="4" s="1"/>
  <c r="X1545" i="2"/>
  <c r="S1545" i="2"/>
  <c r="R1545" i="2"/>
  <c r="Q1545" i="2"/>
  <c r="P1545" i="2"/>
  <c r="L1545" i="2"/>
  <c r="K1545" i="2"/>
  <c r="H1545" i="2"/>
  <c r="I1545" i="2" s="1"/>
  <c r="J1545" i="2" s="1"/>
  <c r="C1545" i="2"/>
  <c r="B1545" i="2"/>
  <c r="A1545" i="2"/>
  <c r="J1545" i="4" s="1"/>
  <c r="X1544" i="2"/>
  <c r="S1544" i="2"/>
  <c r="R1544" i="2"/>
  <c r="Q1544" i="2"/>
  <c r="P1544" i="2"/>
  <c r="L1544" i="2"/>
  <c r="K1544" i="2"/>
  <c r="H1544" i="2"/>
  <c r="I1544" i="2" s="1"/>
  <c r="J1544" i="2" s="1"/>
  <c r="C1544" i="2"/>
  <c r="B1544" i="2"/>
  <c r="A1544" i="2"/>
  <c r="J1544" i="4" s="1"/>
  <c r="X1543" i="2"/>
  <c r="S1543" i="2"/>
  <c r="R1543" i="2"/>
  <c r="Q1543" i="2"/>
  <c r="P1543" i="2"/>
  <c r="L1543" i="2"/>
  <c r="K1543" i="2"/>
  <c r="H1543" i="2"/>
  <c r="I1543" i="2" s="1"/>
  <c r="J1543" i="2" s="1"/>
  <c r="C1543" i="2"/>
  <c r="B1543" i="2"/>
  <c r="A1543" i="2"/>
  <c r="J1543" i="4" s="1"/>
  <c r="X1542" i="2"/>
  <c r="S1542" i="2"/>
  <c r="R1542" i="2"/>
  <c r="Q1542" i="2"/>
  <c r="P1542" i="2"/>
  <c r="L1542" i="2"/>
  <c r="K1542" i="2"/>
  <c r="H1542" i="2"/>
  <c r="I1542" i="2" s="1"/>
  <c r="J1542" i="2" s="1"/>
  <c r="C1542" i="2"/>
  <c r="B1542" i="2"/>
  <c r="A1542" i="2"/>
  <c r="J1542" i="4" s="1"/>
  <c r="X1541" i="2"/>
  <c r="S1541" i="2"/>
  <c r="R1541" i="2"/>
  <c r="Q1541" i="2"/>
  <c r="P1541" i="2"/>
  <c r="L1541" i="2"/>
  <c r="K1541" i="2"/>
  <c r="H1541" i="2"/>
  <c r="I1541" i="2" s="1"/>
  <c r="J1541" i="2" s="1"/>
  <c r="C1541" i="2"/>
  <c r="B1541" i="2"/>
  <c r="A1541" i="2"/>
  <c r="X1540" i="2"/>
  <c r="S1540" i="2"/>
  <c r="R1540" i="2"/>
  <c r="Q1540" i="2"/>
  <c r="P1540" i="2"/>
  <c r="L1540" i="2"/>
  <c r="K1540" i="2"/>
  <c r="H1540" i="2"/>
  <c r="I1540" i="2" s="1"/>
  <c r="J1540" i="2" s="1"/>
  <c r="C1540" i="2"/>
  <c r="B1540" i="2"/>
  <c r="A1540" i="2"/>
  <c r="X1539" i="2"/>
  <c r="S1539" i="2"/>
  <c r="R1539" i="2"/>
  <c r="Q1539" i="2"/>
  <c r="P1539" i="2"/>
  <c r="L1539" i="2"/>
  <c r="K1539" i="2"/>
  <c r="H1539" i="2"/>
  <c r="I1539" i="2" s="1"/>
  <c r="J1539" i="2" s="1"/>
  <c r="C1539" i="2"/>
  <c r="B1539" i="2"/>
  <c r="A1539" i="2"/>
  <c r="X1538" i="2"/>
  <c r="S1538" i="2"/>
  <c r="R1538" i="2"/>
  <c r="Q1538" i="2"/>
  <c r="P1538" i="2"/>
  <c r="L1538" i="2"/>
  <c r="K1538" i="2"/>
  <c r="H1538" i="2"/>
  <c r="I1538" i="2" s="1"/>
  <c r="J1538" i="2" s="1"/>
  <c r="C1538" i="2"/>
  <c r="B1538" i="2"/>
  <c r="A1538" i="2"/>
  <c r="X1537" i="2"/>
  <c r="S1537" i="2"/>
  <c r="R1537" i="2"/>
  <c r="Q1537" i="2"/>
  <c r="P1537" i="2"/>
  <c r="L1537" i="2"/>
  <c r="K1537" i="2"/>
  <c r="H1537" i="2"/>
  <c r="I1537" i="2" s="1"/>
  <c r="J1537" i="2" s="1"/>
  <c r="C1537" i="2"/>
  <c r="B1537" i="2"/>
  <c r="A1537" i="2"/>
  <c r="X1536" i="2"/>
  <c r="S1536" i="2"/>
  <c r="R1536" i="2"/>
  <c r="Q1536" i="2"/>
  <c r="P1536" i="2"/>
  <c r="L1536" i="2"/>
  <c r="K1536" i="2"/>
  <c r="H1536" i="2"/>
  <c r="I1536" i="2" s="1"/>
  <c r="J1536" i="2" s="1"/>
  <c r="C1536" i="2"/>
  <c r="B1536" i="2"/>
  <c r="A1536" i="2"/>
  <c r="X1535" i="2"/>
  <c r="S1535" i="2"/>
  <c r="R1535" i="2"/>
  <c r="Q1535" i="2"/>
  <c r="P1535" i="2"/>
  <c r="L1535" i="2"/>
  <c r="K1535" i="2"/>
  <c r="H1535" i="2"/>
  <c r="I1535" i="2" s="1"/>
  <c r="J1535" i="2" s="1"/>
  <c r="C1535" i="2"/>
  <c r="B1535" i="2"/>
  <c r="A1535" i="2"/>
  <c r="X1534" i="2"/>
  <c r="S1534" i="2"/>
  <c r="R1534" i="2"/>
  <c r="Q1534" i="2"/>
  <c r="P1534" i="2"/>
  <c r="L1534" i="2"/>
  <c r="K1534" i="2"/>
  <c r="H1534" i="2"/>
  <c r="I1534" i="2" s="1"/>
  <c r="J1534" i="2" s="1"/>
  <c r="C1534" i="2"/>
  <c r="B1534" i="2"/>
  <c r="A1534" i="2"/>
  <c r="X1533" i="2"/>
  <c r="S1533" i="2"/>
  <c r="R1533" i="2"/>
  <c r="Q1533" i="2"/>
  <c r="P1533" i="2"/>
  <c r="L1533" i="2"/>
  <c r="K1533" i="2"/>
  <c r="H1533" i="2"/>
  <c r="I1533" i="2" s="1"/>
  <c r="J1533" i="2" s="1"/>
  <c r="C1533" i="2"/>
  <c r="B1533" i="2"/>
  <c r="A1533" i="2"/>
  <c r="X1532" i="2"/>
  <c r="S1532" i="2"/>
  <c r="R1532" i="2"/>
  <c r="Q1532" i="2"/>
  <c r="P1532" i="2"/>
  <c r="L1532" i="2"/>
  <c r="K1532" i="2"/>
  <c r="H1532" i="2"/>
  <c r="I1532" i="2" s="1"/>
  <c r="J1532" i="2" s="1"/>
  <c r="C1532" i="2"/>
  <c r="B1532" i="2"/>
  <c r="A1532" i="2"/>
  <c r="X1531" i="2"/>
  <c r="S1531" i="2"/>
  <c r="R1531" i="2"/>
  <c r="Q1531" i="2"/>
  <c r="P1531" i="2"/>
  <c r="L1531" i="2"/>
  <c r="K1531" i="2"/>
  <c r="H1531" i="2"/>
  <c r="I1531" i="2" s="1"/>
  <c r="J1531" i="2" s="1"/>
  <c r="C1531" i="2"/>
  <c r="B1531" i="2"/>
  <c r="A1531" i="2"/>
  <c r="X1530" i="2"/>
  <c r="S1530" i="2"/>
  <c r="R1530" i="2"/>
  <c r="Q1530" i="2"/>
  <c r="P1530" i="2"/>
  <c r="L1530" i="2"/>
  <c r="K1530" i="2"/>
  <c r="H1530" i="2"/>
  <c r="I1530" i="2" s="1"/>
  <c r="J1530" i="2" s="1"/>
  <c r="C1530" i="2"/>
  <c r="B1530" i="2"/>
  <c r="A1530" i="2"/>
  <c r="X1529" i="2"/>
  <c r="S1529" i="2"/>
  <c r="R1529" i="2"/>
  <c r="Q1529" i="2"/>
  <c r="P1529" i="2"/>
  <c r="L1529" i="2"/>
  <c r="K1529" i="2"/>
  <c r="H1529" i="2"/>
  <c r="I1529" i="2" s="1"/>
  <c r="J1529" i="2" s="1"/>
  <c r="C1529" i="2"/>
  <c r="B1529" i="2"/>
  <c r="A1529" i="2"/>
  <c r="X1528" i="2"/>
  <c r="S1528" i="2"/>
  <c r="R1528" i="2"/>
  <c r="Q1528" i="2"/>
  <c r="P1528" i="2"/>
  <c r="L1528" i="2"/>
  <c r="K1528" i="2"/>
  <c r="H1528" i="2"/>
  <c r="I1528" i="2" s="1"/>
  <c r="J1528" i="2" s="1"/>
  <c r="C1528" i="2"/>
  <c r="B1528" i="2"/>
  <c r="A1528" i="2"/>
  <c r="X1527" i="2"/>
  <c r="S1527" i="2"/>
  <c r="R1527" i="2"/>
  <c r="Q1527" i="2"/>
  <c r="P1527" i="2"/>
  <c r="L1527" i="2"/>
  <c r="K1527" i="2"/>
  <c r="H1527" i="2"/>
  <c r="I1527" i="2" s="1"/>
  <c r="J1527" i="2" s="1"/>
  <c r="C1527" i="2"/>
  <c r="B1527" i="2"/>
  <c r="A1527" i="2"/>
  <c r="X1526" i="2"/>
  <c r="S1526" i="2"/>
  <c r="R1526" i="2"/>
  <c r="Q1526" i="2"/>
  <c r="P1526" i="2"/>
  <c r="L1526" i="2"/>
  <c r="K1526" i="2"/>
  <c r="H1526" i="2"/>
  <c r="I1526" i="2" s="1"/>
  <c r="J1526" i="2" s="1"/>
  <c r="C1526" i="2"/>
  <c r="B1526" i="2"/>
  <c r="A1526" i="2"/>
  <c r="X1525" i="2"/>
  <c r="S1525" i="2"/>
  <c r="R1525" i="2"/>
  <c r="Q1525" i="2"/>
  <c r="P1525" i="2"/>
  <c r="L1525" i="2"/>
  <c r="K1525" i="2"/>
  <c r="H1525" i="2"/>
  <c r="I1525" i="2" s="1"/>
  <c r="J1525" i="2" s="1"/>
  <c r="C1525" i="2"/>
  <c r="B1525" i="2"/>
  <c r="A1525" i="2"/>
  <c r="X1524" i="2"/>
  <c r="S1524" i="2"/>
  <c r="R1524" i="2"/>
  <c r="Q1524" i="2"/>
  <c r="P1524" i="2"/>
  <c r="L1524" i="2"/>
  <c r="K1524" i="2"/>
  <c r="H1524" i="2"/>
  <c r="I1524" i="2" s="1"/>
  <c r="J1524" i="2" s="1"/>
  <c r="C1524" i="2"/>
  <c r="B1524" i="2"/>
  <c r="A1524" i="2"/>
  <c r="X1523" i="2"/>
  <c r="S1523" i="2"/>
  <c r="R1523" i="2"/>
  <c r="Q1523" i="2"/>
  <c r="P1523" i="2"/>
  <c r="L1523" i="2"/>
  <c r="K1523" i="2"/>
  <c r="H1523" i="2"/>
  <c r="I1523" i="2" s="1"/>
  <c r="J1523" i="2" s="1"/>
  <c r="C1523" i="2"/>
  <c r="B1523" i="2"/>
  <c r="A1523" i="2"/>
  <c r="X1522" i="2"/>
  <c r="S1522" i="2"/>
  <c r="R1522" i="2"/>
  <c r="Q1522" i="2"/>
  <c r="P1522" i="2"/>
  <c r="L1522" i="2"/>
  <c r="K1522" i="2"/>
  <c r="H1522" i="2"/>
  <c r="I1522" i="2" s="1"/>
  <c r="J1522" i="2" s="1"/>
  <c r="C1522" i="2"/>
  <c r="B1522" i="2"/>
  <c r="A1522" i="2"/>
  <c r="X1521" i="2"/>
  <c r="S1521" i="2"/>
  <c r="R1521" i="2"/>
  <c r="Q1521" i="2"/>
  <c r="P1521" i="2"/>
  <c r="L1521" i="2"/>
  <c r="K1521" i="2"/>
  <c r="H1521" i="2"/>
  <c r="I1521" i="2" s="1"/>
  <c r="J1521" i="2" s="1"/>
  <c r="C1521" i="2"/>
  <c r="B1521" i="2"/>
  <c r="A1521" i="2"/>
  <c r="X1520" i="2"/>
  <c r="S1520" i="2"/>
  <c r="R1520" i="2"/>
  <c r="Q1520" i="2"/>
  <c r="P1520" i="2"/>
  <c r="L1520" i="2"/>
  <c r="K1520" i="2"/>
  <c r="H1520" i="2"/>
  <c r="I1520" i="2" s="1"/>
  <c r="J1520" i="2" s="1"/>
  <c r="C1520" i="2"/>
  <c r="B1520" i="2"/>
  <c r="A1520" i="2"/>
  <c r="X1519" i="2"/>
  <c r="S1519" i="2"/>
  <c r="R1519" i="2"/>
  <c r="Q1519" i="2"/>
  <c r="P1519" i="2"/>
  <c r="L1519" i="2"/>
  <c r="K1519" i="2"/>
  <c r="H1519" i="2"/>
  <c r="I1519" i="2" s="1"/>
  <c r="J1519" i="2" s="1"/>
  <c r="C1519" i="2"/>
  <c r="B1519" i="2"/>
  <c r="A1519" i="2"/>
  <c r="X1518" i="2"/>
  <c r="S1518" i="2"/>
  <c r="R1518" i="2"/>
  <c r="Q1518" i="2"/>
  <c r="P1518" i="2"/>
  <c r="L1518" i="2"/>
  <c r="K1518" i="2"/>
  <c r="H1518" i="2"/>
  <c r="I1518" i="2" s="1"/>
  <c r="J1518" i="2" s="1"/>
  <c r="C1518" i="2"/>
  <c r="B1518" i="2"/>
  <c r="A1518" i="2"/>
  <c r="X1517" i="2"/>
  <c r="S1517" i="2"/>
  <c r="R1517" i="2"/>
  <c r="Q1517" i="2"/>
  <c r="P1517" i="2"/>
  <c r="L1517" i="2"/>
  <c r="K1517" i="2"/>
  <c r="H1517" i="2"/>
  <c r="I1517" i="2" s="1"/>
  <c r="J1517" i="2" s="1"/>
  <c r="C1517" i="2"/>
  <c r="B1517" i="2"/>
  <c r="A1517" i="2"/>
  <c r="X1516" i="2"/>
  <c r="S1516" i="2"/>
  <c r="R1516" i="2"/>
  <c r="Q1516" i="2"/>
  <c r="P1516" i="2"/>
  <c r="L1516" i="2"/>
  <c r="K1516" i="2"/>
  <c r="H1516" i="2"/>
  <c r="I1516" i="2" s="1"/>
  <c r="J1516" i="2" s="1"/>
  <c r="C1516" i="2"/>
  <c r="B1516" i="2"/>
  <c r="A1516" i="2"/>
  <c r="X1515" i="2"/>
  <c r="S1515" i="2"/>
  <c r="R1515" i="2"/>
  <c r="Q1515" i="2"/>
  <c r="P1515" i="2"/>
  <c r="L1515" i="2"/>
  <c r="K1515" i="2"/>
  <c r="H1515" i="2"/>
  <c r="I1515" i="2" s="1"/>
  <c r="J1515" i="2" s="1"/>
  <c r="C1515" i="2"/>
  <c r="B1515" i="2"/>
  <c r="A1515" i="2"/>
  <c r="X1514" i="2"/>
  <c r="S1514" i="2"/>
  <c r="R1514" i="2"/>
  <c r="Q1514" i="2"/>
  <c r="P1514" i="2"/>
  <c r="L1514" i="2"/>
  <c r="K1514" i="2"/>
  <c r="H1514" i="2"/>
  <c r="I1514" i="2" s="1"/>
  <c r="J1514" i="2" s="1"/>
  <c r="C1514" i="2"/>
  <c r="B1514" i="2"/>
  <c r="A1514" i="2"/>
  <c r="X1513" i="2"/>
  <c r="S1513" i="2"/>
  <c r="R1513" i="2"/>
  <c r="Q1513" i="2"/>
  <c r="P1513" i="2"/>
  <c r="L1513" i="2"/>
  <c r="K1513" i="2"/>
  <c r="H1513" i="2"/>
  <c r="I1513" i="2" s="1"/>
  <c r="J1513" i="2" s="1"/>
  <c r="C1513" i="2"/>
  <c r="B1513" i="2"/>
  <c r="A1513" i="2"/>
  <c r="X1512" i="2"/>
  <c r="S1512" i="2"/>
  <c r="R1512" i="2"/>
  <c r="Q1512" i="2"/>
  <c r="P1512" i="2"/>
  <c r="L1512" i="2"/>
  <c r="K1512" i="2"/>
  <c r="H1512" i="2"/>
  <c r="I1512" i="2" s="1"/>
  <c r="J1512" i="2" s="1"/>
  <c r="C1512" i="2"/>
  <c r="B1512" i="2"/>
  <c r="A1512" i="2"/>
  <c r="X1511" i="2"/>
  <c r="S1511" i="2"/>
  <c r="R1511" i="2"/>
  <c r="Q1511" i="2"/>
  <c r="P1511" i="2"/>
  <c r="L1511" i="2"/>
  <c r="K1511" i="2"/>
  <c r="H1511" i="2"/>
  <c r="I1511" i="2" s="1"/>
  <c r="J1511" i="2" s="1"/>
  <c r="C1511" i="2"/>
  <c r="B1511" i="2"/>
  <c r="A1511" i="2"/>
  <c r="X1510" i="2"/>
  <c r="S1510" i="2"/>
  <c r="R1510" i="2"/>
  <c r="Q1510" i="2"/>
  <c r="P1510" i="2"/>
  <c r="L1510" i="2"/>
  <c r="K1510" i="2"/>
  <c r="H1510" i="2"/>
  <c r="I1510" i="2" s="1"/>
  <c r="J1510" i="2" s="1"/>
  <c r="C1510" i="2"/>
  <c r="B1510" i="2"/>
  <c r="A1510" i="2"/>
  <c r="X1509" i="2"/>
  <c r="S1509" i="2"/>
  <c r="R1509" i="2"/>
  <c r="Q1509" i="2"/>
  <c r="P1509" i="2"/>
  <c r="L1509" i="2"/>
  <c r="K1509" i="2"/>
  <c r="H1509" i="2"/>
  <c r="I1509" i="2" s="1"/>
  <c r="J1509" i="2" s="1"/>
  <c r="C1509" i="2"/>
  <c r="B1509" i="2"/>
  <c r="A1509" i="2"/>
  <c r="X1508" i="2"/>
  <c r="S1508" i="2"/>
  <c r="R1508" i="2"/>
  <c r="Q1508" i="2"/>
  <c r="P1508" i="2"/>
  <c r="L1508" i="2"/>
  <c r="K1508" i="2"/>
  <c r="H1508" i="2"/>
  <c r="I1508" i="2" s="1"/>
  <c r="J1508" i="2" s="1"/>
  <c r="C1508" i="2"/>
  <c r="B1508" i="2"/>
  <c r="A1508" i="2"/>
  <c r="X1507" i="2"/>
  <c r="S1507" i="2"/>
  <c r="R1507" i="2"/>
  <c r="Q1507" i="2"/>
  <c r="P1507" i="2"/>
  <c r="L1507" i="2"/>
  <c r="K1507" i="2"/>
  <c r="H1507" i="2"/>
  <c r="I1507" i="2" s="1"/>
  <c r="J1507" i="2" s="1"/>
  <c r="C1507" i="2"/>
  <c r="B1507" i="2"/>
  <c r="A1507" i="2"/>
  <c r="X1506" i="2"/>
  <c r="S1506" i="2"/>
  <c r="R1506" i="2"/>
  <c r="Q1506" i="2"/>
  <c r="P1506" i="2"/>
  <c r="L1506" i="2"/>
  <c r="K1506" i="2"/>
  <c r="H1506" i="2"/>
  <c r="I1506" i="2" s="1"/>
  <c r="J1506" i="2" s="1"/>
  <c r="C1506" i="2"/>
  <c r="B1506" i="2"/>
  <c r="A1506" i="2"/>
  <c r="X1505" i="2"/>
  <c r="S1505" i="2"/>
  <c r="R1505" i="2"/>
  <c r="Q1505" i="2"/>
  <c r="P1505" i="2"/>
  <c r="L1505" i="2"/>
  <c r="K1505" i="2"/>
  <c r="H1505" i="2"/>
  <c r="I1505" i="2" s="1"/>
  <c r="J1505" i="2" s="1"/>
  <c r="C1505" i="2"/>
  <c r="B1505" i="2"/>
  <c r="A1505" i="2"/>
  <c r="X1504" i="2"/>
  <c r="S1504" i="2"/>
  <c r="R1504" i="2"/>
  <c r="Q1504" i="2"/>
  <c r="P1504" i="2"/>
  <c r="L1504" i="2"/>
  <c r="K1504" i="2"/>
  <c r="H1504" i="2"/>
  <c r="I1504" i="2" s="1"/>
  <c r="J1504" i="2" s="1"/>
  <c r="C1504" i="2"/>
  <c r="B1504" i="2"/>
  <c r="A1504" i="2"/>
  <c r="X1503" i="2"/>
  <c r="S1503" i="2"/>
  <c r="R1503" i="2"/>
  <c r="Q1503" i="2"/>
  <c r="P1503" i="2"/>
  <c r="L1503" i="2"/>
  <c r="K1503" i="2"/>
  <c r="H1503" i="2"/>
  <c r="I1503" i="2" s="1"/>
  <c r="J1503" i="2" s="1"/>
  <c r="C1503" i="2"/>
  <c r="B1503" i="2"/>
  <c r="A1503" i="2"/>
  <c r="X1502" i="2"/>
  <c r="S1502" i="2"/>
  <c r="R1502" i="2"/>
  <c r="Q1502" i="2"/>
  <c r="P1502" i="2"/>
  <c r="L1502" i="2"/>
  <c r="K1502" i="2"/>
  <c r="H1502" i="2"/>
  <c r="I1502" i="2" s="1"/>
  <c r="J1502" i="2" s="1"/>
  <c r="C1502" i="2"/>
  <c r="B1502" i="2"/>
  <c r="A1502" i="2"/>
  <c r="X1501" i="2"/>
  <c r="S1501" i="2"/>
  <c r="R1501" i="2"/>
  <c r="Q1501" i="2"/>
  <c r="P1501" i="2"/>
  <c r="L1501" i="2"/>
  <c r="K1501" i="2"/>
  <c r="H1501" i="2"/>
  <c r="I1501" i="2" s="1"/>
  <c r="J1501" i="2" s="1"/>
  <c r="C1501" i="2"/>
  <c r="B1501" i="2"/>
  <c r="A1501" i="2"/>
  <c r="X1500" i="2"/>
  <c r="S1500" i="2"/>
  <c r="R1500" i="2"/>
  <c r="Q1500" i="2"/>
  <c r="P1500" i="2"/>
  <c r="L1500" i="2"/>
  <c r="K1500" i="2"/>
  <c r="H1500" i="2"/>
  <c r="I1500" i="2" s="1"/>
  <c r="J1500" i="2" s="1"/>
  <c r="C1500" i="2"/>
  <c r="B1500" i="2"/>
  <c r="A1500" i="2"/>
  <c r="X1499" i="2"/>
  <c r="S1499" i="2"/>
  <c r="R1499" i="2"/>
  <c r="Q1499" i="2"/>
  <c r="P1499" i="2"/>
  <c r="L1499" i="2"/>
  <c r="K1499" i="2"/>
  <c r="H1499" i="2"/>
  <c r="I1499" i="2" s="1"/>
  <c r="J1499" i="2" s="1"/>
  <c r="C1499" i="2"/>
  <c r="B1499" i="2"/>
  <c r="A1499" i="2"/>
  <c r="X1498" i="2"/>
  <c r="S1498" i="2"/>
  <c r="R1498" i="2"/>
  <c r="Q1498" i="2"/>
  <c r="P1498" i="2"/>
  <c r="L1498" i="2"/>
  <c r="K1498" i="2"/>
  <c r="H1498" i="2"/>
  <c r="I1498" i="2" s="1"/>
  <c r="J1498" i="2" s="1"/>
  <c r="C1498" i="2"/>
  <c r="B1498" i="2"/>
  <c r="A1498" i="2"/>
  <c r="X1497" i="2"/>
  <c r="S1497" i="2"/>
  <c r="Q1497" i="2"/>
  <c r="P1497" i="2"/>
  <c r="L1497" i="2"/>
  <c r="K1497" i="2"/>
  <c r="H1497" i="2"/>
  <c r="I1497" i="2" s="1"/>
  <c r="J1497" i="2" s="1"/>
  <c r="C1497" i="2"/>
  <c r="B1497" i="2"/>
  <c r="A1497" i="2"/>
  <c r="X1496" i="2"/>
  <c r="S1496" i="2"/>
  <c r="R1496" i="2"/>
  <c r="Q1496" i="2"/>
  <c r="P1496" i="2"/>
  <c r="L1496" i="2"/>
  <c r="K1496" i="2"/>
  <c r="H1496" i="2"/>
  <c r="I1496" i="2" s="1"/>
  <c r="J1496" i="2" s="1"/>
  <c r="C1496" i="2"/>
  <c r="B1496" i="2"/>
  <c r="A1496" i="2"/>
  <c r="X1495" i="2"/>
  <c r="S1495" i="2"/>
  <c r="R1495" i="2"/>
  <c r="Q1495" i="2"/>
  <c r="P1495" i="2"/>
  <c r="L1495" i="2"/>
  <c r="K1495" i="2"/>
  <c r="H1495" i="2"/>
  <c r="I1495" i="2" s="1"/>
  <c r="J1495" i="2" s="1"/>
  <c r="C1495" i="2"/>
  <c r="B1495" i="2"/>
  <c r="A1495" i="2"/>
  <c r="X1494" i="2"/>
  <c r="S1494" i="2"/>
  <c r="R1494" i="2"/>
  <c r="Q1494" i="2"/>
  <c r="P1494" i="2"/>
  <c r="L1494" i="2"/>
  <c r="K1494" i="2"/>
  <c r="H1494" i="2"/>
  <c r="I1494" i="2" s="1"/>
  <c r="J1494" i="2" s="1"/>
  <c r="C1494" i="2"/>
  <c r="B1494" i="2"/>
  <c r="A1494" i="2"/>
  <c r="X1493" i="2"/>
  <c r="S1493" i="2"/>
  <c r="R1493" i="2"/>
  <c r="Q1493" i="2"/>
  <c r="P1493" i="2"/>
  <c r="L1493" i="2"/>
  <c r="K1493" i="2"/>
  <c r="H1493" i="2"/>
  <c r="I1493" i="2" s="1"/>
  <c r="J1493" i="2" s="1"/>
  <c r="C1493" i="2"/>
  <c r="B1493" i="2"/>
  <c r="A1493" i="2"/>
  <c r="X1492" i="2"/>
  <c r="S1492" i="2"/>
  <c r="R1492" i="2"/>
  <c r="Q1492" i="2"/>
  <c r="P1492" i="2"/>
  <c r="L1492" i="2"/>
  <c r="K1492" i="2"/>
  <c r="H1492" i="2"/>
  <c r="I1492" i="2" s="1"/>
  <c r="J1492" i="2" s="1"/>
  <c r="C1492" i="2"/>
  <c r="B1492" i="2"/>
  <c r="A1492" i="2"/>
  <c r="X1491" i="2"/>
  <c r="S1491" i="2"/>
  <c r="R1491" i="2"/>
  <c r="Q1491" i="2"/>
  <c r="P1491" i="2"/>
  <c r="L1491" i="2"/>
  <c r="K1491" i="2"/>
  <c r="H1491" i="2"/>
  <c r="I1491" i="2" s="1"/>
  <c r="J1491" i="2" s="1"/>
  <c r="C1491" i="2"/>
  <c r="B1491" i="2"/>
  <c r="A1491" i="2"/>
  <c r="X1490" i="2"/>
  <c r="S1490" i="2"/>
  <c r="R1490" i="2"/>
  <c r="Q1490" i="2"/>
  <c r="P1490" i="2"/>
  <c r="L1490" i="2"/>
  <c r="K1490" i="2"/>
  <c r="H1490" i="2"/>
  <c r="I1490" i="2" s="1"/>
  <c r="J1490" i="2" s="1"/>
  <c r="C1490" i="2"/>
  <c r="B1490" i="2"/>
  <c r="A1490" i="2"/>
  <c r="X1489" i="2"/>
  <c r="S1489" i="2"/>
  <c r="R1489" i="2"/>
  <c r="Q1489" i="2"/>
  <c r="P1489" i="2"/>
  <c r="L1489" i="2"/>
  <c r="K1489" i="2"/>
  <c r="H1489" i="2"/>
  <c r="I1489" i="2" s="1"/>
  <c r="J1489" i="2" s="1"/>
  <c r="C1489" i="2"/>
  <c r="B1489" i="2"/>
  <c r="A1489" i="2"/>
  <c r="X1488" i="2"/>
  <c r="S1488" i="2"/>
  <c r="R1488" i="2"/>
  <c r="Q1488" i="2"/>
  <c r="P1488" i="2"/>
  <c r="L1488" i="2"/>
  <c r="K1488" i="2"/>
  <c r="H1488" i="2"/>
  <c r="I1488" i="2" s="1"/>
  <c r="J1488" i="2" s="1"/>
  <c r="C1488" i="2"/>
  <c r="B1488" i="2"/>
  <c r="A1488" i="2"/>
  <c r="X1487" i="2"/>
  <c r="S1487" i="2"/>
  <c r="R1487" i="2"/>
  <c r="Q1487" i="2"/>
  <c r="P1487" i="2"/>
  <c r="L1487" i="2"/>
  <c r="K1487" i="2"/>
  <c r="H1487" i="2"/>
  <c r="I1487" i="2" s="1"/>
  <c r="J1487" i="2" s="1"/>
  <c r="C1487" i="2"/>
  <c r="B1487" i="2"/>
  <c r="A1487" i="2"/>
  <c r="X1486" i="2"/>
  <c r="S1486" i="2"/>
  <c r="R1486" i="2"/>
  <c r="Q1486" i="2"/>
  <c r="P1486" i="2"/>
  <c r="L1486" i="2"/>
  <c r="K1486" i="2"/>
  <c r="H1486" i="2"/>
  <c r="I1486" i="2" s="1"/>
  <c r="J1486" i="2" s="1"/>
  <c r="C1486" i="2"/>
  <c r="B1486" i="2"/>
  <c r="A1486" i="2"/>
  <c r="X1485" i="2"/>
  <c r="S1485" i="2"/>
  <c r="R1485" i="2"/>
  <c r="Q1485" i="2"/>
  <c r="P1485" i="2"/>
  <c r="L1485" i="2"/>
  <c r="K1485" i="2"/>
  <c r="H1485" i="2"/>
  <c r="I1485" i="2" s="1"/>
  <c r="J1485" i="2" s="1"/>
  <c r="C1485" i="2"/>
  <c r="B1485" i="2"/>
  <c r="A1485" i="2"/>
  <c r="X1484" i="2"/>
  <c r="S1484" i="2"/>
  <c r="R1484" i="2"/>
  <c r="Q1484" i="2"/>
  <c r="P1484" i="2"/>
  <c r="L1484" i="2"/>
  <c r="K1484" i="2"/>
  <c r="H1484" i="2"/>
  <c r="I1484" i="2" s="1"/>
  <c r="J1484" i="2" s="1"/>
  <c r="C1484" i="2"/>
  <c r="B1484" i="2"/>
  <c r="A1484" i="2"/>
  <c r="X1483" i="2"/>
  <c r="S1483" i="2"/>
  <c r="R1483" i="2"/>
  <c r="Q1483" i="2"/>
  <c r="P1483" i="2"/>
  <c r="L1483" i="2"/>
  <c r="K1483" i="2"/>
  <c r="H1483" i="2"/>
  <c r="I1483" i="2" s="1"/>
  <c r="J1483" i="2" s="1"/>
  <c r="C1483" i="2"/>
  <c r="B1483" i="2"/>
  <c r="A1483" i="2"/>
  <c r="X1482" i="2"/>
  <c r="S1482" i="2"/>
  <c r="R1482" i="2"/>
  <c r="Q1482" i="2"/>
  <c r="P1482" i="2"/>
  <c r="L1482" i="2"/>
  <c r="K1482" i="2"/>
  <c r="H1482" i="2"/>
  <c r="I1482" i="2" s="1"/>
  <c r="J1482" i="2" s="1"/>
  <c r="C1482" i="2"/>
  <c r="B1482" i="2"/>
  <c r="A1482" i="2"/>
  <c r="X1481" i="2"/>
  <c r="S1481" i="2"/>
  <c r="R1481" i="2"/>
  <c r="Q1481" i="2"/>
  <c r="P1481" i="2"/>
  <c r="L1481" i="2"/>
  <c r="K1481" i="2"/>
  <c r="H1481" i="2"/>
  <c r="I1481" i="2" s="1"/>
  <c r="J1481" i="2" s="1"/>
  <c r="C1481" i="2"/>
  <c r="B1481" i="2"/>
  <c r="A1481" i="2"/>
  <c r="X1480" i="2"/>
  <c r="S1480" i="2"/>
  <c r="R1480" i="2"/>
  <c r="Q1480" i="2"/>
  <c r="P1480" i="2"/>
  <c r="L1480" i="2"/>
  <c r="K1480" i="2"/>
  <c r="H1480" i="2"/>
  <c r="I1480" i="2" s="1"/>
  <c r="J1480" i="2" s="1"/>
  <c r="C1480" i="2"/>
  <c r="B1480" i="2"/>
  <c r="A1480" i="2"/>
  <c r="X1479" i="2"/>
  <c r="S1479" i="2"/>
  <c r="R1479" i="2"/>
  <c r="Q1479" i="2"/>
  <c r="P1479" i="2"/>
  <c r="L1479" i="2"/>
  <c r="K1479" i="2"/>
  <c r="H1479" i="2"/>
  <c r="I1479" i="2" s="1"/>
  <c r="J1479" i="2" s="1"/>
  <c r="C1479" i="2"/>
  <c r="B1479" i="2"/>
  <c r="A1479" i="2"/>
  <c r="X1478" i="2"/>
  <c r="S1478" i="2"/>
  <c r="R1478" i="2"/>
  <c r="Q1478" i="2"/>
  <c r="P1478" i="2"/>
  <c r="L1478" i="2"/>
  <c r="K1478" i="2"/>
  <c r="H1478" i="2"/>
  <c r="I1478" i="2" s="1"/>
  <c r="J1478" i="2" s="1"/>
  <c r="C1478" i="2"/>
  <c r="B1478" i="2"/>
  <c r="A1478" i="2"/>
  <c r="X1477" i="2"/>
  <c r="S1477" i="2"/>
  <c r="R1477" i="2"/>
  <c r="Q1477" i="2"/>
  <c r="P1477" i="2"/>
  <c r="L1477" i="2"/>
  <c r="K1477" i="2"/>
  <c r="H1477" i="2"/>
  <c r="I1477" i="2" s="1"/>
  <c r="J1477" i="2" s="1"/>
  <c r="C1477" i="2"/>
  <c r="B1477" i="2"/>
  <c r="A1477" i="2"/>
  <c r="X1476" i="2"/>
  <c r="S1476" i="2"/>
  <c r="R1476" i="2"/>
  <c r="Q1476" i="2"/>
  <c r="P1476" i="2"/>
  <c r="L1476" i="2"/>
  <c r="K1476" i="2"/>
  <c r="H1476" i="2"/>
  <c r="I1476" i="2" s="1"/>
  <c r="J1476" i="2" s="1"/>
  <c r="C1476" i="2"/>
  <c r="B1476" i="2"/>
  <c r="A1476" i="2"/>
  <c r="X1475" i="2"/>
  <c r="S1475" i="2"/>
  <c r="R1475" i="2"/>
  <c r="Q1475" i="2"/>
  <c r="P1475" i="2"/>
  <c r="L1475" i="2"/>
  <c r="K1475" i="2"/>
  <c r="H1475" i="2"/>
  <c r="I1475" i="2" s="1"/>
  <c r="J1475" i="2" s="1"/>
  <c r="C1475" i="2"/>
  <c r="B1475" i="2"/>
  <c r="A1475" i="2"/>
  <c r="X1474" i="2"/>
  <c r="S1474" i="2"/>
  <c r="R1474" i="2"/>
  <c r="Q1474" i="2"/>
  <c r="P1474" i="2"/>
  <c r="L1474" i="2"/>
  <c r="K1474" i="2"/>
  <c r="H1474" i="2"/>
  <c r="I1474" i="2" s="1"/>
  <c r="J1474" i="2" s="1"/>
  <c r="C1474" i="2"/>
  <c r="B1474" i="2"/>
  <c r="A1474" i="2"/>
  <c r="X1473" i="2"/>
  <c r="S1473" i="2"/>
  <c r="R1473" i="2"/>
  <c r="Q1473" i="2"/>
  <c r="P1473" i="2"/>
  <c r="L1473" i="2"/>
  <c r="K1473" i="2"/>
  <c r="H1473" i="2"/>
  <c r="I1473" i="2" s="1"/>
  <c r="J1473" i="2" s="1"/>
  <c r="C1473" i="2"/>
  <c r="B1473" i="2"/>
  <c r="A1473" i="2"/>
  <c r="X1472" i="2"/>
  <c r="S1472" i="2"/>
  <c r="R1472" i="2"/>
  <c r="Q1472" i="2"/>
  <c r="P1472" i="2"/>
  <c r="L1472" i="2"/>
  <c r="K1472" i="2"/>
  <c r="H1472" i="2"/>
  <c r="I1472" i="2" s="1"/>
  <c r="J1472" i="2" s="1"/>
  <c r="C1472" i="2"/>
  <c r="B1472" i="2"/>
  <c r="A1472" i="2"/>
  <c r="X1471" i="2"/>
  <c r="S1471" i="2"/>
  <c r="R1471" i="2"/>
  <c r="Q1471" i="2"/>
  <c r="P1471" i="2"/>
  <c r="L1471" i="2"/>
  <c r="K1471" i="2"/>
  <c r="H1471" i="2"/>
  <c r="I1471" i="2" s="1"/>
  <c r="J1471" i="2" s="1"/>
  <c r="C1471" i="2"/>
  <c r="B1471" i="2"/>
  <c r="A1471" i="2"/>
  <c r="X1470" i="2"/>
  <c r="S1470" i="2"/>
  <c r="R1470" i="2"/>
  <c r="Q1470" i="2"/>
  <c r="P1470" i="2"/>
  <c r="L1470" i="2"/>
  <c r="K1470" i="2"/>
  <c r="H1470" i="2"/>
  <c r="I1470" i="2" s="1"/>
  <c r="J1470" i="2" s="1"/>
  <c r="C1470" i="2"/>
  <c r="B1470" i="2"/>
  <c r="A1470" i="2"/>
  <c r="X1469" i="2"/>
  <c r="S1469" i="2"/>
  <c r="R1469" i="2"/>
  <c r="Q1469" i="2"/>
  <c r="P1469" i="2"/>
  <c r="L1469" i="2"/>
  <c r="K1469" i="2"/>
  <c r="H1469" i="2"/>
  <c r="I1469" i="2" s="1"/>
  <c r="J1469" i="2" s="1"/>
  <c r="C1469" i="2"/>
  <c r="B1469" i="2"/>
  <c r="A1469" i="2"/>
  <c r="X1468" i="2"/>
  <c r="S1468" i="2"/>
  <c r="R1468" i="2"/>
  <c r="Q1468" i="2"/>
  <c r="P1468" i="2"/>
  <c r="L1468" i="2"/>
  <c r="K1468" i="2"/>
  <c r="H1468" i="2"/>
  <c r="I1468" i="2" s="1"/>
  <c r="J1468" i="2" s="1"/>
  <c r="C1468" i="2"/>
  <c r="B1468" i="2"/>
  <c r="A1468" i="2"/>
  <c r="X1467" i="2"/>
  <c r="S1467" i="2"/>
  <c r="R1467" i="2"/>
  <c r="Q1467" i="2"/>
  <c r="P1467" i="2"/>
  <c r="L1467" i="2"/>
  <c r="K1467" i="2"/>
  <c r="H1467" i="2"/>
  <c r="I1467" i="2" s="1"/>
  <c r="J1467" i="2" s="1"/>
  <c r="C1467" i="2"/>
  <c r="B1467" i="2"/>
  <c r="A1467" i="2"/>
  <c r="X1466" i="2"/>
  <c r="S1466" i="2"/>
  <c r="R1466" i="2"/>
  <c r="Q1466" i="2"/>
  <c r="P1466" i="2"/>
  <c r="L1466" i="2"/>
  <c r="K1466" i="2"/>
  <c r="H1466" i="2"/>
  <c r="I1466" i="2" s="1"/>
  <c r="J1466" i="2" s="1"/>
  <c r="C1466" i="2"/>
  <c r="B1466" i="2"/>
  <c r="A1466" i="2"/>
  <c r="X1465" i="2"/>
  <c r="S1465" i="2"/>
  <c r="R1465" i="2"/>
  <c r="Q1465" i="2"/>
  <c r="P1465" i="2"/>
  <c r="L1465" i="2"/>
  <c r="K1465" i="2"/>
  <c r="H1465" i="2"/>
  <c r="I1465" i="2" s="1"/>
  <c r="J1465" i="2" s="1"/>
  <c r="C1465" i="2"/>
  <c r="B1465" i="2"/>
  <c r="A1465" i="2"/>
  <c r="X1464" i="2"/>
  <c r="S1464" i="2"/>
  <c r="R1464" i="2"/>
  <c r="Q1464" i="2"/>
  <c r="P1464" i="2"/>
  <c r="L1464" i="2"/>
  <c r="K1464" i="2"/>
  <c r="H1464" i="2"/>
  <c r="I1464" i="2" s="1"/>
  <c r="J1464" i="2" s="1"/>
  <c r="C1464" i="2"/>
  <c r="B1464" i="2"/>
  <c r="A1464" i="2"/>
  <c r="X1463" i="2"/>
  <c r="S1463" i="2"/>
  <c r="R1463" i="2"/>
  <c r="Q1463" i="2"/>
  <c r="P1463" i="2"/>
  <c r="L1463" i="2"/>
  <c r="K1463" i="2"/>
  <c r="H1463" i="2"/>
  <c r="I1463" i="2" s="1"/>
  <c r="J1463" i="2" s="1"/>
  <c r="C1463" i="2"/>
  <c r="B1463" i="2"/>
  <c r="A1463" i="2"/>
  <c r="J1463" i="4" s="1"/>
  <c r="X1462" i="2"/>
  <c r="S1462" i="2"/>
  <c r="R1462" i="2"/>
  <c r="Q1462" i="2"/>
  <c r="P1462" i="2"/>
  <c r="L1462" i="2"/>
  <c r="K1462" i="2"/>
  <c r="H1462" i="2"/>
  <c r="I1462" i="2" s="1"/>
  <c r="J1462" i="2" s="1"/>
  <c r="C1462" i="2"/>
  <c r="B1462" i="2"/>
  <c r="A1462" i="2"/>
  <c r="J1462" i="4" s="1"/>
  <c r="X1461" i="2"/>
  <c r="S1461" i="2"/>
  <c r="R1461" i="2"/>
  <c r="Q1461" i="2"/>
  <c r="P1461" i="2"/>
  <c r="L1461" i="2"/>
  <c r="K1461" i="2"/>
  <c r="H1461" i="2"/>
  <c r="I1461" i="2" s="1"/>
  <c r="J1461" i="2" s="1"/>
  <c r="C1461" i="2"/>
  <c r="B1461" i="2"/>
  <c r="A1461" i="2"/>
  <c r="J1461" i="4" s="1"/>
  <c r="X1460" i="2"/>
  <c r="S1460" i="2"/>
  <c r="R1460" i="2"/>
  <c r="Q1460" i="2"/>
  <c r="P1460" i="2"/>
  <c r="L1460" i="2"/>
  <c r="K1460" i="2"/>
  <c r="H1460" i="2"/>
  <c r="I1460" i="2" s="1"/>
  <c r="J1460" i="2" s="1"/>
  <c r="C1460" i="2"/>
  <c r="B1460" i="2"/>
  <c r="A1460" i="2"/>
  <c r="J1460" i="4" s="1"/>
  <c r="X1459" i="2"/>
  <c r="S1459" i="2"/>
  <c r="R1459" i="2"/>
  <c r="Q1459" i="2"/>
  <c r="P1459" i="2"/>
  <c r="L1459" i="2"/>
  <c r="K1459" i="2"/>
  <c r="H1459" i="2"/>
  <c r="I1459" i="2" s="1"/>
  <c r="J1459" i="2" s="1"/>
  <c r="C1459" i="2"/>
  <c r="B1459" i="2"/>
  <c r="A1459" i="2"/>
  <c r="X1458" i="2"/>
  <c r="S1458" i="2"/>
  <c r="R1458" i="2"/>
  <c r="Q1458" i="2"/>
  <c r="P1458" i="2"/>
  <c r="L1458" i="2"/>
  <c r="K1458" i="2"/>
  <c r="H1458" i="2"/>
  <c r="I1458" i="2" s="1"/>
  <c r="J1458" i="2" s="1"/>
  <c r="C1458" i="2"/>
  <c r="B1458" i="2"/>
  <c r="A1458" i="2"/>
  <c r="X1457" i="2"/>
  <c r="S1457" i="2"/>
  <c r="R1457" i="2"/>
  <c r="Q1457" i="2"/>
  <c r="P1457" i="2"/>
  <c r="L1457" i="2"/>
  <c r="K1457" i="2"/>
  <c r="H1457" i="2"/>
  <c r="I1457" i="2" s="1"/>
  <c r="J1457" i="2" s="1"/>
  <c r="C1457" i="2"/>
  <c r="B1457" i="2"/>
  <c r="A1457" i="2"/>
  <c r="X1456" i="2"/>
  <c r="S1456" i="2"/>
  <c r="R1456" i="2"/>
  <c r="Q1456" i="2"/>
  <c r="P1456" i="2"/>
  <c r="L1456" i="2"/>
  <c r="K1456" i="2"/>
  <c r="H1456" i="2"/>
  <c r="I1456" i="2" s="1"/>
  <c r="J1456" i="2" s="1"/>
  <c r="C1456" i="2"/>
  <c r="B1456" i="2"/>
  <c r="A1456" i="2"/>
  <c r="X1455" i="2"/>
  <c r="S1455" i="2"/>
  <c r="R1455" i="2"/>
  <c r="Q1455" i="2"/>
  <c r="P1455" i="2"/>
  <c r="L1455" i="2"/>
  <c r="K1455" i="2"/>
  <c r="H1455" i="2"/>
  <c r="I1455" i="2" s="1"/>
  <c r="J1455" i="2" s="1"/>
  <c r="C1455" i="2"/>
  <c r="B1455" i="2"/>
  <c r="A1455" i="2"/>
  <c r="X1454" i="2"/>
  <c r="S1454" i="2"/>
  <c r="R1454" i="2"/>
  <c r="Q1454" i="2"/>
  <c r="P1454" i="2"/>
  <c r="L1454" i="2"/>
  <c r="K1454" i="2"/>
  <c r="H1454" i="2"/>
  <c r="I1454" i="2" s="1"/>
  <c r="J1454" i="2" s="1"/>
  <c r="C1454" i="2"/>
  <c r="B1454" i="2"/>
  <c r="A1454" i="2"/>
  <c r="X1453" i="2"/>
  <c r="S1453" i="2"/>
  <c r="R1453" i="2"/>
  <c r="Q1453" i="2"/>
  <c r="P1453" i="2"/>
  <c r="L1453" i="2"/>
  <c r="K1453" i="2"/>
  <c r="H1453" i="2"/>
  <c r="I1453" i="2" s="1"/>
  <c r="J1453" i="2" s="1"/>
  <c r="C1453" i="2"/>
  <c r="B1453" i="2"/>
  <c r="A1453" i="2"/>
  <c r="X1452" i="2"/>
  <c r="S1452" i="2"/>
  <c r="R1452" i="2"/>
  <c r="Q1452" i="2"/>
  <c r="P1452" i="2"/>
  <c r="L1452" i="2"/>
  <c r="K1452" i="2"/>
  <c r="H1452" i="2"/>
  <c r="I1452" i="2" s="1"/>
  <c r="J1452" i="2" s="1"/>
  <c r="C1452" i="2"/>
  <c r="B1452" i="2"/>
  <c r="A1452" i="2"/>
  <c r="X1451" i="2"/>
  <c r="S1451" i="2"/>
  <c r="R1451" i="2"/>
  <c r="Q1451" i="2"/>
  <c r="P1451" i="2"/>
  <c r="L1451" i="2"/>
  <c r="K1451" i="2"/>
  <c r="H1451" i="2"/>
  <c r="I1451" i="2" s="1"/>
  <c r="J1451" i="2" s="1"/>
  <c r="C1451" i="2"/>
  <c r="B1451" i="2"/>
  <c r="A1451" i="2"/>
  <c r="X1450" i="2"/>
  <c r="S1450" i="2"/>
  <c r="R1450" i="2"/>
  <c r="Q1450" i="2"/>
  <c r="P1450" i="2"/>
  <c r="L1450" i="2"/>
  <c r="K1450" i="2"/>
  <c r="H1450" i="2"/>
  <c r="I1450" i="2" s="1"/>
  <c r="J1450" i="2" s="1"/>
  <c r="C1450" i="2"/>
  <c r="B1450" i="2"/>
  <c r="A1450" i="2"/>
  <c r="X1449" i="2"/>
  <c r="S1449" i="2"/>
  <c r="R1449" i="2"/>
  <c r="Q1449" i="2"/>
  <c r="P1449" i="2"/>
  <c r="L1449" i="2"/>
  <c r="K1449" i="2"/>
  <c r="H1449" i="2"/>
  <c r="I1449" i="2" s="1"/>
  <c r="J1449" i="2" s="1"/>
  <c r="C1449" i="2"/>
  <c r="B1449" i="2"/>
  <c r="A1449" i="2"/>
  <c r="X1448" i="2"/>
  <c r="S1448" i="2"/>
  <c r="R1448" i="2"/>
  <c r="Q1448" i="2"/>
  <c r="P1448" i="2"/>
  <c r="L1448" i="2"/>
  <c r="K1448" i="2"/>
  <c r="H1448" i="2"/>
  <c r="I1448" i="2" s="1"/>
  <c r="J1448" i="2" s="1"/>
  <c r="C1448" i="2"/>
  <c r="B1448" i="2"/>
  <c r="A1448" i="2"/>
  <c r="X1447" i="2"/>
  <c r="S1447" i="2"/>
  <c r="R1447" i="2"/>
  <c r="Q1447" i="2"/>
  <c r="P1447" i="2"/>
  <c r="L1447" i="2"/>
  <c r="K1447" i="2"/>
  <c r="H1447" i="2"/>
  <c r="I1447" i="2" s="1"/>
  <c r="J1447" i="2" s="1"/>
  <c r="C1447" i="2"/>
  <c r="B1447" i="2"/>
  <c r="A1447" i="2"/>
  <c r="X1446" i="2"/>
  <c r="S1446" i="2"/>
  <c r="R1446" i="2"/>
  <c r="Q1446" i="2"/>
  <c r="P1446" i="2"/>
  <c r="L1446" i="2"/>
  <c r="K1446" i="2"/>
  <c r="H1446" i="2"/>
  <c r="I1446" i="2" s="1"/>
  <c r="J1446" i="2" s="1"/>
  <c r="C1446" i="2"/>
  <c r="B1446" i="2"/>
  <c r="A1446" i="2"/>
  <c r="X1445" i="2"/>
  <c r="S1445" i="2"/>
  <c r="R1445" i="2"/>
  <c r="Q1445" i="2"/>
  <c r="P1445" i="2"/>
  <c r="L1445" i="2"/>
  <c r="K1445" i="2"/>
  <c r="H1445" i="2"/>
  <c r="I1445" i="2" s="1"/>
  <c r="J1445" i="2" s="1"/>
  <c r="C1445" i="2"/>
  <c r="B1445" i="2"/>
  <c r="A1445" i="2"/>
  <c r="X1444" i="2"/>
  <c r="S1444" i="2"/>
  <c r="R1444" i="2"/>
  <c r="Q1444" i="2"/>
  <c r="P1444" i="2"/>
  <c r="L1444" i="2"/>
  <c r="K1444" i="2"/>
  <c r="H1444" i="2"/>
  <c r="I1444" i="2" s="1"/>
  <c r="J1444" i="2" s="1"/>
  <c r="C1444" i="2"/>
  <c r="B1444" i="2"/>
  <c r="A1444" i="2"/>
  <c r="X1443" i="2"/>
  <c r="S1443" i="2"/>
  <c r="R1443" i="2"/>
  <c r="Q1443" i="2"/>
  <c r="P1443" i="2"/>
  <c r="L1443" i="2"/>
  <c r="K1443" i="2"/>
  <c r="H1443" i="2"/>
  <c r="I1443" i="2" s="1"/>
  <c r="J1443" i="2" s="1"/>
  <c r="C1443" i="2"/>
  <c r="B1443" i="2"/>
  <c r="A1443" i="2"/>
  <c r="X1442" i="2"/>
  <c r="S1442" i="2"/>
  <c r="R1442" i="2"/>
  <c r="Q1442" i="2"/>
  <c r="P1442" i="2"/>
  <c r="L1442" i="2"/>
  <c r="K1442" i="2"/>
  <c r="H1442" i="2"/>
  <c r="I1442" i="2" s="1"/>
  <c r="J1442" i="2" s="1"/>
  <c r="C1442" i="2"/>
  <c r="B1442" i="2"/>
  <c r="A1442" i="2"/>
  <c r="X1441" i="2"/>
  <c r="S1441" i="2"/>
  <c r="R1441" i="2"/>
  <c r="Q1441" i="2"/>
  <c r="P1441" i="2"/>
  <c r="L1441" i="2"/>
  <c r="K1441" i="2"/>
  <c r="H1441" i="2"/>
  <c r="I1441" i="2" s="1"/>
  <c r="J1441" i="2" s="1"/>
  <c r="C1441" i="2"/>
  <c r="B1441" i="2"/>
  <c r="A1441" i="2"/>
  <c r="X1440" i="2"/>
  <c r="S1440" i="2"/>
  <c r="R1440" i="2"/>
  <c r="Q1440" i="2"/>
  <c r="P1440" i="2"/>
  <c r="L1440" i="2"/>
  <c r="K1440" i="2"/>
  <c r="H1440" i="2"/>
  <c r="I1440" i="2" s="1"/>
  <c r="J1440" i="2" s="1"/>
  <c r="C1440" i="2"/>
  <c r="B1440" i="2"/>
  <c r="A1440" i="2"/>
  <c r="X1439" i="2"/>
  <c r="S1439" i="2"/>
  <c r="R1439" i="2"/>
  <c r="Q1439" i="2"/>
  <c r="P1439" i="2"/>
  <c r="L1439" i="2"/>
  <c r="K1439" i="2"/>
  <c r="H1439" i="2"/>
  <c r="I1439" i="2" s="1"/>
  <c r="J1439" i="2" s="1"/>
  <c r="C1439" i="2"/>
  <c r="B1439" i="2"/>
  <c r="A1439" i="2"/>
  <c r="X1438" i="2"/>
  <c r="S1438" i="2"/>
  <c r="R1438" i="2"/>
  <c r="Q1438" i="2"/>
  <c r="P1438" i="2"/>
  <c r="L1438" i="2"/>
  <c r="K1438" i="2"/>
  <c r="H1438" i="2"/>
  <c r="I1438" i="2" s="1"/>
  <c r="J1438" i="2" s="1"/>
  <c r="C1438" i="2"/>
  <c r="B1438" i="2"/>
  <c r="A1438" i="2"/>
  <c r="X1437" i="2"/>
  <c r="S1437" i="2"/>
  <c r="R1437" i="2"/>
  <c r="Q1437" i="2"/>
  <c r="P1437" i="2"/>
  <c r="L1437" i="2"/>
  <c r="K1437" i="2"/>
  <c r="H1437" i="2"/>
  <c r="I1437" i="2" s="1"/>
  <c r="J1437" i="2" s="1"/>
  <c r="C1437" i="2"/>
  <c r="B1437" i="2"/>
  <c r="A1437" i="2"/>
  <c r="X1436" i="2"/>
  <c r="S1436" i="2"/>
  <c r="R1436" i="2"/>
  <c r="Q1436" i="2"/>
  <c r="P1436" i="2"/>
  <c r="L1436" i="2"/>
  <c r="K1436" i="2"/>
  <c r="H1436" i="2"/>
  <c r="I1436" i="2" s="1"/>
  <c r="J1436" i="2" s="1"/>
  <c r="C1436" i="2"/>
  <c r="B1436" i="2"/>
  <c r="A1436" i="2"/>
  <c r="X1435" i="2"/>
  <c r="S1435" i="2"/>
  <c r="R1435" i="2"/>
  <c r="Q1435" i="2"/>
  <c r="P1435" i="2"/>
  <c r="L1435" i="2"/>
  <c r="K1435" i="2"/>
  <c r="H1435" i="2"/>
  <c r="I1435" i="2" s="1"/>
  <c r="J1435" i="2" s="1"/>
  <c r="C1435" i="2"/>
  <c r="B1435" i="2"/>
  <c r="A1435" i="2"/>
  <c r="X1434" i="2"/>
  <c r="S1434" i="2"/>
  <c r="R1434" i="2"/>
  <c r="Q1434" i="2"/>
  <c r="P1434" i="2"/>
  <c r="L1434" i="2"/>
  <c r="K1434" i="2"/>
  <c r="H1434" i="2"/>
  <c r="I1434" i="2" s="1"/>
  <c r="J1434" i="2" s="1"/>
  <c r="C1434" i="2"/>
  <c r="B1434" i="2"/>
  <c r="A1434" i="2"/>
  <c r="X1433" i="2"/>
  <c r="S1433" i="2"/>
  <c r="R1433" i="2"/>
  <c r="Q1433" i="2"/>
  <c r="P1433" i="2"/>
  <c r="L1433" i="2"/>
  <c r="K1433" i="2"/>
  <c r="H1433" i="2"/>
  <c r="I1433" i="2" s="1"/>
  <c r="J1433" i="2" s="1"/>
  <c r="C1433" i="2"/>
  <c r="B1433" i="2"/>
  <c r="A1433" i="2"/>
  <c r="X1432" i="2"/>
  <c r="S1432" i="2"/>
  <c r="R1432" i="2"/>
  <c r="Q1432" i="2"/>
  <c r="P1432" i="2"/>
  <c r="L1432" i="2"/>
  <c r="K1432" i="2"/>
  <c r="H1432" i="2"/>
  <c r="I1432" i="2" s="1"/>
  <c r="J1432" i="2" s="1"/>
  <c r="C1432" i="2"/>
  <c r="B1432" i="2"/>
  <c r="A1432" i="2"/>
  <c r="X1431" i="2"/>
  <c r="S1431" i="2"/>
  <c r="R1431" i="2"/>
  <c r="Q1431" i="2"/>
  <c r="P1431" i="2"/>
  <c r="L1431" i="2"/>
  <c r="K1431" i="2"/>
  <c r="H1431" i="2"/>
  <c r="I1431" i="2" s="1"/>
  <c r="J1431" i="2" s="1"/>
  <c r="C1431" i="2"/>
  <c r="B1431" i="2"/>
  <c r="A1431" i="2"/>
  <c r="X1430" i="2"/>
  <c r="S1430" i="2"/>
  <c r="R1430" i="2"/>
  <c r="Q1430" i="2"/>
  <c r="P1430" i="2"/>
  <c r="L1430" i="2"/>
  <c r="K1430" i="2"/>
  <c r="H1430" i="2"/>
  <c r="I1430" i="2" s="1"/>
  <c r="J1430" i="2" s="1"/>
  <c r="C1430" i="2"/>
  <c r="B1430" i="2"/>
  <c r="A1430" i="2"/>
  <c r="X1429" i="2"/>
  <c r="S1429" i="2"/>
  <c r="R1429" i="2"/>
  <c r="Q1429" i="2"/>
  <c r="P1429" i="2"/>
  <c r="L1429" i="2"/>
  <c r="K1429" i="2"/>
  <c r="H1429" i="2"/>
  <c r="I1429" i="2" s="1"/>
  <c r="J1429" i="2" s="1"/>
  <c r="C1429" i="2"/>
  <c r="B1429" i="2"/>
  <c r="A1429" i="2"/>
  <c r="X1428" i="2"/>
  <c r="S1428" i="2"/>
  <c r="R1428" i="2"/>
  <c r="Q1428" i="2"/>
  <c r="P1428" i="2"/>
  <c r="L1428" i="2"/>
  <c r="K1428" i="2"/>
  <c r="H1428" i="2"/>
  <c r="I1428" i="2" s="1"/>
  <c r="J1428" i="2" s="1"/>
  <c r="C1428" i="2"/>
  <c r="B1428" i="2"/>
  <c r="A1428" i="2"/>
  <c r="X1427" i="2"/>
  <c r="S1427" i="2"/>
  <c r="R1427" i="2"/>
  <c r="Q1427" i="2"/>
  <c r="P1427" i="2"/>
  <c r="L1427" i="2"/>
  <c r="K1427" i="2"/>
  <c r="H1427" i="2"/>
  <c r="I1427" i="2" s="1"/>
  <c r="J1427" i="2" s="1"/>
  <c r="C1427" i="2"/>
  <c r="B1427" i="2"/>
  <c r="A1427" i="2"/>
  <c r="X1426" i="2"/>
  <c r="S1426" i="2"/>
  <c r="R1426" i="2"/>
  <c r="Q1426" i="2"/>
  <c r="P1426" i="2"/>
  <c r="L1426" i="2"/>
  <c r="K1426" i="2"/>
  <c r="H1426" i="2"/>
  <c r="I1426" i="2" s="1"/>
  <c r="J1426" i="2" s="1"/>
  <c r="C1426" i="2"/>
  <c r="B1426" i="2"/>
  <c r="A1426" i="2"/>
  <c r="X1425" i="2"/>
  <c r="S1425" i="2"/>
  <c r="R1425" i="2"/>
  <c r="Q1425" i="2"/>
  <c r="P1425" i="2"/>
  <c r="L1425" i="2"/>
  <c r="K1425" i="2"/>
  <c r="H1425" i="2"/>
  <c r="I1425" i="2" s="1"/>
  <c r="J1425" i="2" s="1"/>
  <c r="C1425" i="2"/>
  <c r="B1425" i="2"/>
  <c r="A1425" i="2"/>
  <c r="X1424" i="2"/>
  <c r="S1424" i="2"/>
  <c r="R1424" i="2"/>
  <c r="Q1424" i="2"/>
  <c r="P1424" i="2"/>
  <c r="L1424" i="2"/>
  <c r="K1424" i="2"/>
  <c r="H1424" i="2"/>
  <c r="I1424" i="2" s="1"/>
  <c r="J1424" i="2" s="1"/>
  <c r="C1424" i="2"/>
  <c r="B1424" i="2"/>
  <c r="A1424" i="2"/>
  <c r="X1423" i="2"/>
  <c r="S1423" i="2"/>
  <c r="R1423" i="2"/>
  <c r="Q1423" i="2"/>
  <c r="P1423" i="2"/>
  <c r="L1423" i="2"/>
  <c r="K1423" i="2"/>
  <c r="H1423" i="2"/>
  <c r="I1423" i="2" s="1"/>
  <c r="J1423" i="2" s="1"/>
  <c r="C1423" i="2"/>
  <c r="B1423" i="2"/>
  <c r="A1423" i="2"/>
  <c r="X1422" i="2"/>
  <c r="S1422" i="2"/>
  <c r="R1422" i="2"/>
  <c r="Q1422" i="2"/>
  <c r="P1422" i="2"/>
  <c r="L1422" i="2"/>
  <c r="K1422" i="2"/>
  <c r="H1422" i="2"/>
  <c r="I1422" i="2" s="1"/>
  <c r="J1422" i="2" s="1"/>
  <c r="C1422" i="2"/>
  <c r="B1422" i="2"/>
  <c r="A1422" i="2"/>
  <c r="X1421" i="2"/>
  <c r="S1421" i="2"/>
  <c r="R1421" i="2"/>
  <c r="Q1421" i="2"/>
  <c r="P1421" i="2"/>
  <c r="L1421" i="2"/>
  <c r="K1421" i="2"/>
  <c r="H1421" i="2"/>
  <c r="I1421" i="2" s="1"/>
  <c r="J1421" i="2" s="1"/>
  <c r="C1421" i="2"/>
  <c r="B1421" i="2"/>
  <c r="A1421" i="2"/>
  <c r="X1420" i="2"/>
  <c r="S1420" i="2"/>
  <c r="R1420" i="2"/>
  <c r="Q1420" i="2"/>
  <c r="P1420" i="2"/>
  <c r="L1420" i="2"/>
  <c r="K1420" i="2"/>
  <c r="H1420" i="2"/>
  <c r="I1420" i="2" s="1"/>
  <c r="J1420" i="2" s="1"/>
  <c r="C1420" i="2"/>
  <c r="B1420" i="2"/>
  <c r="A1420" i="2"/>
  <c r="X1419" i="2"/>
  <c r="S1419" i="2"/>
  <c r="R1419" i="2"/>
  <c r="Q1419" i="2"/>
  <c r="P1419" i="2"/>
  <c r="L1419" i="2"/>
  <c r="K1419" i="2"/>
  <c r="H1419" i="2"/>
  <c r="I1419" i="2" s="1"/>
  <c r="J1419" i="2" s="1"/>
  <c r="C1419" i="2"/>
  <c r="B1419" i="2"/>
  <c r="A1419" i="2"/>
  <c r="X1418" i="2"/>
  <c r="S1418" i="2"/>
  <c r="R1418" i="2"/>
  <c r="Q1418" i="2"/>
  <c r="P1418" i="2"/>
  <c r="L1418" i="2"/>
  <c r="K1418" i="2"/>
  <c r="H1418" i="2"/>
  <c r="I1418" i="2" s="1"/>
  <c r="J1418" i="2" s="1"/>
  <c r="C1418" i="2"/>
  <c r="B1418" i="2"/>
  <c r="A1418" i="2"/>
  <c r="X1417" i="2"/>
  <c r="S1417" i="2"/>
  <c r="R1417" i="2"/>
  <c r="Q1417" i="2"/>
  <c r="P1417" i="2"/>
  <c r="L1417" i="2"/>
  <c r="K1417" i="2"/>
  <c r="H1417" i="2"/>
  <c r="I1417" i="2" s="1"/>
  <c r="J1417" i="2" s="1"/>
  <c r="C1417" i="2"/>
  <c r="B1417" i="2"/>
  <c r="A1417" i="2"/>
  <c r="X1416" i="2"/>
  <c r="S1416" i="2"/>
  <c r="R1416" i="2"/>
  <c r="Q1416" i="2"/>
  <c r="P1416" i="2"/>
  <c r="L1416" i="2"/>
  <c r="K1416" i="2"/>
  <c r="H1416" i="2"/>
  <c r="I1416" i="2" s="1"/>
  <c r="J1416" i="2" s="1"/>
  <c r="C1416" i="2"/>
  <c r="B1416" i="2"/>
  <c r="A1416" i="2"/>
  <c r="X1415" i="2"/>
  <c r="S1415" i="2"/>
  <c r="R1415" i="2"/>
  <c r="Q1415" i="2"/>
  <c r="P1415" i="2"/>
  <c r="L1415" i="2"/>
  <c r="K1415" i="2"/>
  <c r="H1415" i="2"/>
  <c r="I1415" i="2" s="1"/>
  <c r="J1415" i="2" s="1"/>
  <c r="C1415" i="2"/>
  <c r="B1415" i="2"/>
  <c r="A1415" i="2"/>
  <c r="X1414" i="2"/>
  <c r="S1414" i="2"/>
  <c r="R1414" i="2"/>
  <c r="Q1414" i="2"/>
  <c r="P1414" i="2"/>
  <c r="L1414" i="2"/>
  <c r="K1414" i="2"/>
  <c r="H1414" i="2"/>
  <c r="I1414" i="2" s="1"/>
  <c r="J1414" i="2" s="1"/>
  <c r="C1414" i="2"/>
  <c r="B1414" i="2"/>
  <c r="A1414" i="2"/>
  <c r="X1413" i="2"/>
  <c r="S1413" i="2"/>
  <c r="R1413" i="2"/>
  <c r="Q1413" i="2"/>
  <c r="P1413" i="2"/>
  <c r="L1413" i="2"/>
  <c r="K1413" i="2"/>
  <c r="H1413" i="2"/>
  <c r="I1413" i="2" s="1"/>
  <c r="J1413" i="2" s="1"/>
  <c r="C1413" i="2"/>
  <c r="B1413" i="2"/>
  <c r="A1413" i="2"/>
  <c r="X1412" i="2"/>
  <c r="S1412" i="2"/>
  <c r="R1412" i="2"/>
  <c r="Q1412" i="2"/>
  <c r="P1412" i="2"/>
  <c r="L1412" i="2"/>
  <c r="K1412" i="2"/>
  <c r="H1412" i="2"/>
  <c r="I1412" i="2" s="1"/>
  <c r="J1412" i="2" s="1"/>
  <c r="C1412" i="2"/>
  <c r="B1412" i="2"/>
  <c r="A1412" i="2"/>
  <c r="X1411" i="2"/>
  <c r="S1411" i="2"/>
  <c r="R1411" i="2"/>
  <c r="Q1411" i="2"/>
  <c r="P1411" i="2"/>
  <c r="L1411" i="2"/>
  <c r="K1411" i="2"/>
  <c r="H1411" i="2"/>
  <c r="I1411" i="2" s="1"/>
  <c r="J1411" i="2" s="1"/>
  <c r="C1411" i="2"/>
  <c r="B1411" i="2"/>
  <c r="A1411" i="2"/>
  <c r="X1410" i="2"/>
  <c r="S1410" i="2"/>
  <c r="Q1410" i="2"/>
  <c r="P1410" i="2"/>
  <c r="L1410" i="2"/>
  <c r="K1410" i="2"/>
  <c r="H1410" i="2"/>
  <c r="I1410" i="2" s="1"/>
  <c r="J1410" i="2" s="1"/>
  <c r="C1410" i="2"/>
  <c r="B1410" i="2"/>
  <c r="A1410" i="2"/>
  <c r="X1409" i="2"/>
  <c r="S1409" i="2"/>
  <c r="R1409" i="2"/>
  <c r="Q1409" i="2"/>
  <c r="P1409" i="2"/>
  <c r="L1409" i="2"/>
  <c r="K1409" i="2"/>
  <c r="H1409" i="2"/>
  <c r="I1409" i="2" s="1"/>
  <c r="J1409" i="2" s="1"/>
  <c r="C1409" i="2"/>
  <c r="B1409" i="2"/>
  <c r="A1409" i="2"/>
  <c r="X1408" i="2"/>
  <c r="S1408" i="2"/>
  <c r="R1408" i="2"/>
  <c r="Q1408" i="2"/>
  <c r="P1408" i="2"/>
  <c r="L1408" i="2"/>
  <c r="K1408" i="2"/>
  <c r="H1408" i="2"/>
  <c r="I1408" i="2" s="1"/>
  <c r="J1408" i="2" s="1"/>
  <c r="C1408" i="2"/>
  <c r="B1408" i="2"/>
  <c r="A1408" i="2"/>
  <c r="X1407" i="2"/>
  <c r="S1407" i="2"/>
  <c r="R1407" i="2"/>
  <c r="Q1407" i="2"/>
  <c r="P1407" i="2"/>
  <c r="L1407" i="2"/>
  <c r="K1407" i="2"/>
  <c r="H1407" i="2"/>
  <c r="I1407" i="2" s="1"/>
  <c r="J1407" i="2" s="1"/>
  <c r="C1407" i="2"/>
  <c r="B1407" i="2"/>
  <c r="A1407" i="2"/>
  <c r="X1406" i="2"/>
  <c r="S1406" i="2"/>
  <c r="R1406" i="2"/>
  <c r="Q1406" i="2"/>
  <c r="P1406" i="2"/>
  <c r="L1406" i="2"/>
  <c r="K1406" i="2"/>
  <c r="H1406" i="2"/>
  <c r="I1406" i="2" s="1"/>
  <c r="J1406" i="2" s="1"/>
  <c r="C1406" i="2"/>
  <c r="B1406" i="2"/>
  <c r="A1406" i="2"/>
  <c r="X1405" i="2"/>
  <c r="S1405" i="2"/>
  <c r="R1405" i="2"/>
  <c r="Q1405" i="2"/>
  <c r="P1405" i="2"/>
  <c r="L1405" i="2"/>
  <c r="K1405" i="2"/>
  <c r="H1405" i="2"/>
  <c r="I1405" i="2" s="1"/>
  <c r="J1405" i="2" s="1"/>
  <c r="C1405" i="2"/>
  <c r="B1405" i="2"/>
  <c r="A1405" i="2"/>
  <c r="X1404" i="2"/>
  <c r="S1404" i="2"/>
  <c r="R1404" i="2"/>
  <c r="Q1404" i="2"/>
  <c r="P1404" i="2"/>
  <c r="L1404" i="2"/>
  <c r="K1404" i="2"/>
  <c r="H1404" i="2"/>
  <c r="I1404" i="2" s="1"/>
  <c r="J1404" i="2" s="1"/>
  <c r="C1404" i="2"/>
  <c r="B1404" i="2"/>
  <c r="A1404" i="2"/>
  <c r="X1403" i="2"/>
  <c r="S1403" i="2"/>
  <c r="R1403" i="2"/>
  <c r="Q1403" i="2"/>
  <c r="P1403" i="2"/>
  <c r="L1403" i="2"/>
  <c r="K1403" i="2"/>
  <c r="H1403" i="2"/>
  <c r="I1403" i="2" s="1"/>
  <c r="J1403" i="2" s="1"/>
  <c r="C1403" i="2"/>
  <c r="B1403" i="2"/>
  <c r="A1403" i="2"/>
  <c r="X1402" i="2"/>
  <c r="S1402" i="2"/>
  <c r="R1402" i="2"/>
  <c r="Q1402" i="2"/>
  <c r="P1402" i="2"/>
  <c r="L1402" i="2"/>
  <c r="K1402" i="2"/>
  <c r="H1402" i="2"/>
  <c r="I1402" i="2" s="1"/>
  <c r="J1402" i="2" s="1"/>
  <c r="C1402" i="2"/>
  <c r="B1402" i="2"/>
  <c r="A1402" i="2"/>
  <c r="X1401" i="2"/>
  <c r="S1401" i="2"/>
  <c r="R1401" i="2"/>
  <c r="Q1401" i="2"/>
  <c r="P1401" i="2"/>
  <c r="L1401" i="2"/>
  <c r="K1401" i="2"/>
  <c r="H1401" i="2"/>
  <c r="I1401" i="2" s="1"/>
  <c r="J1401" i="2" s="1"/>
  <c r="C1401" i="2"/>
  <c r="B1401" i="2"/>
  <c r="A1401" i="2"/>
  <c r="X1400" i="2"/>
  <c r="S1400" i="2"/>
  <c r="R1400" i="2"/>
  <c r="Q1400" i="2"/>
  <c r="P1400" i="2"/>
  <c r="L1400" i="2"/>
  <c r="K1400" i="2"/>
  <c r="H1400" i="2"/>
  <c r="I1400" i="2" s="1"/>
  <c r="J1400" i="2" s="1"/>
  <c r="C1400" i="2"/>
  <c r="B1400" i="2"/>
  <c r="A1400" i="2"/>
  <c r="X1399" i="2"/>
  <c r="S1399" i="2"/>
  <c r="R1399" i="2"/>
  <c r="Q1399" i="2"/>
  <c r="P1399" i="2"/>
  <c r="L1399" i="2"/>
  <c r="K1399" i="2"/>
  <c r="H1399" i="2"/>
  <c r="I1399" i="2" s="1"/>
  <c r="J1399" i="2" s="1"/>
  <c r="C1399" i="2"/>
  <c r="B1399" i="2"/>
  <c r="A1399" i="2"/>
  <c r="X1398" i="2"/>
  <c r="S1398" i="2"/>
  <c r="R1398" i="2"/>
  <c r="Q1398" i="2"/>
  <c r="P1398" i="2"/>
  <c r="L1398" i="2"/>
  <c r="K1398" i="2"/>
  <c r="H1398" i="2"/>
  <c r="I1398" i="2" s="1"/>
  <c r="J1398" i="2" s="1"/>
  <c r="C1398" i="2"/>
  <c r="B1398" i="2"/>
  <c r="A1398" i="2"/>
  <c r="X1397" i="2"/>
  <c r="S1397" i="2"/>
  <c r="R1397" i="2"/>
  <c r="Q1397" i="2"/>
  <c r="P1397" i="2"/>
  <c r="L1397" i="2"/>
  <c r="K1397" i="2"/>
  <c r="H1397" i="2"/>
  <c r="I1397" i="2" s="1"/>
  <c r="J1397" i="2" s="1"/>
  <c r="C1397" i="2"/>
  <c r="B1397" i="2"/>
  <c r="A1397" i="2"/>
  <c r="X1396" i="2"/>
  <c r="S1396" i="2"/>
  <c r="R1396" i="2"/>
  <c r="Q1396" i="2"/>
  <c r="P1396" i="2"/>
  <c r="L1396" i="2"/>
  <c r="K1396" i="2"/>
  <c r="H1396" i="2"/>
  <c r="I1396" i="2" s="1"/>
  <c r="J1396" i="2" s="1"/>
  <c r="C1396" i="2"/>
  <c r="B1396" i="2"/>
  <c r="A1396" i="2"/>
  <c r="X1395" i="2"/>
  <c r="S1395" i="2"/>
  <c r="R1395" i="2"/>
  <c r="Q1395" i="2"/>
  <c r="P1395" i="2"/>
  <c r="L1395" i="2"/>
  <c r="K1395" i="2"/>
  <c r="H1395" i="2"/>
  <c r="I1395" i="2" s="1"/>
  <c r="J1395" i="2" s="1"/>
  <c r="C1395" i="2"/>
  <c r="B1395" i="2"/>
  <c r="A1395" i="2"/>
  <c r="X1394" i="2"/>
  <c r="S1394" i="2"/>
  <c r="R1394" i="2"/>
  <c r="Q1394" i="2"/>
  <c r="P1394" i="2"/>
  <c r="L1394" i="2"/>
  <c r="K1394" i="2"/>
  <c r="H1394" i="2"/>
  <c r="I1394" i="2" s="1"/>
  <c r="J1394" i="2" s="1"/>
  <c r="C1394" i="2"/>
  <c r="B1394" i="2"/>
  <c r="A1394" i="2"/>
  <c r="X1393" i="2"/>
  <c r="S1393" i="2"/>
  <c r="R1393" i="2"/>
  <c r="Q1393" i="2"/>
  <c r="P1393" i="2"/>
  <c r="L1393" i="2"/>
  <c r="K1393" i="2"/>
  <c r="H1393" i="2"/>
  <c r="I1393" i="2" s="1"/>
  <c r="J1393" i="2" s="1"/>
  <c r="C1393" i="2"/>
  <c r="B1393" i="2"/>
  <c r="A1393" i="2"/>
  <c r="X1392" i="2"/>
  <c r="S1392" i="2"/>
  <c r="R1392" i="2"/>
  <c r="Q1392" i="2"/>
  <c r="P1392" i="2"/>
  <c r="L1392" i="2"/>
  <c r="K1392" i="2"/>
  <c r="H1392" i="2"/>
  <c r="I1392" i="2" s="1"/>
  <c r="J1392" i="2" s="1"/>
  <c r="C1392" i="2"/>
  <c r="B1392" i="2"/>
  <c r="A1392" i="2"/>
  <c r="X1391" i="2"/>
  <c r="S1391" i="2"/>
  <c r="R1391" i="2"/>
  <c r="Q1391" i="2"/>
  <c r="P1391" i="2"/>
  <c r="L1391" i="2"/>
  <c r="K1391" i="2"/>
  <c r="H1391" i="2"/>
  <c r="I1391" i="2" s="1"/>
  <c r="J1391" i="2" s="1"/>
  <c r="C1391" i="2"/>
  <c r="B1391" i="2"/>
  <c r="A1391" i="2"/>
  <c r="X1390" i="2"/>
  <c r="S1390" i="2"/>
  <c r="R1390" i="2"/>
  <c r="Q1390" i="2"/>
  <c r="P1390" i="2"/>
  <c r="L1390" i="2"/>
  <c r="K1390" i="2"/>
  <c r="H1390" i="2"/>
  <c r="I1390" i="2" s="1"/>
  <c r="J1390" i="2" s="1"/>
  <c r="C1390" i="2"/>
  <c r="B1390" i="2"/>
  <c r="A1390" i="2"/>
  <c r="X1389" i="2"/>
  <c r="S1389" i="2"/>
  <c r="R1389" i="2"/>
  <c r="Q1389" i="2"/>
  <c r="P1389" i="2"/>
  <c r="L1389" i="2"/>
  <c r="K1389" i="2"/>
  <c r="H1389" i="2"/>
  <c r="I1389" i="2" s="1"/>
  <c r="J1389" i="2" s="1"/>
  <c r="C1389" i="2"/>
  <c r="B1389" i="2"/>
  <c r="A1389" i="2"/>
  <c r="X1388" i="2"/>
  <c r="S1388" i="2"/>
  <c r="R1388" i="2"/>
  <c r="Q1388" i="2"/>
  <c r="P1388" i="2"/>
  <c r="L1388" i="2"/>
  <c r="K1388" i="2"/>
  <c r="H1388" i="2"/>
  <c r="I1388" i="2" s="1"/>
  <c r="J1388" i="2" s="1"/>
  <c r="C1388" i="2"/>
  <c r="B1388" i="2"/>
  <c r="A1388" i="2"/>
  <c r="X1387" i="2"/>
  <c r="S1387" i="2"/>
  <c r="R1387" i="2"/>
  <c r="Q1387" i="2"/>
  <c r="P1387" i="2"/>
  <c r="L1387" i="2"/>
  <c r="K1387" i="2"/>
  <c r="H1387" i="2"/>
  <c r="I1387" i="2" s="1"/>
  <c r="J1387" i="2" s="1"/>
  <c r="C1387" i="2"/>
  <c r="B1387" i="2"/>
  <c r="A1387" i="2"/>
  <c r="X1386" i="2"/>
  <c r="S1386" i="2"/>
  <c r="R1386" i="2"/>
  <c r="Q1386" i="2"/>
  <c r="P1386" i="2"/>
  <c r="L1386" i="2"/>
  <c r="K1386" i="2"/>
  <c r="H1386" i="2"/>
  <c r="I1386" i="2" s="1"/>
  <c r="J1386" i="2" s="1"/>
  <c r="C1386" i="2"/>
  <c r="B1386" i="2"/>
  <c r="A1386" i="2"/>
  <c r="X1385" i="2"/>
  <c r="S1385" i="2"/>
  <c r="R1385" i="2"/>
  <c r="Q1385" i="2"/>
  <c r="P1385" i="2"/>
  <c r="L1385" i="2"/>
  <c r="K1385" i="2"/>
  <c r="H1385" i="2"/>
  <c r="I1385" i="2" s="1"/>
  <c r="J1385" i="2" s="1"/>
  <c r="C1385" i="2"/>
  <c r="B1385" i="2"/>
  <c r="A1385" i="2"/>
  <c r="X1384" i="2"/>
  <c r="S1384" i="2"/>
  <c r="R1384" i="2"/>
  <c r="Q1384" i="2"/>
  <c r="P1384" i="2"/>
  <c r="L1384" i="2"/>
  <c r="K1384" i="2"/>
  <c r="H1384" i="2"/>
  <c r="I1384" i="2" s="1"/>
  <c r="J1384" i="2" s="1"/>
  <c r="C1384" i="2"/>
  <c r="B1384" i="2"/>
  <c r="A1384" i="2"/>
  <c r="X1383" i="2"/>
  <c r="S1383" i="2"/>
  <c r="R1383" i="2"/>
  <c r="Q1383" i="2"/>
  <c r="P1383" i="2"/>
  <c r="L1383" i="2"/>
  <c r="K1383" i="2"/>
  <c r="H1383" i="2"/>
  <c r="I1383" i="2" s="1"/>
  <c r="J1383" i="2" s="1"/>
  <c r="C1383" i="2"/>
  <c r="B1383" i="2"/>
  <c r="A1383" i="2"/>
  <c r="X1382" i="2"/>
  <c r="S1382" i="2"/>
  <c r="R1382" i="2"/>
  <c r="Q1382" i="2"/>
  <c r="P1382" i="2"/>
  <c r="L1382" i="2"/>
  <c r="K1382" i="2"/>
  <c r="H1382" i="2"/>
  <c r="I1382" i="2" s="1"/>
  <c r="J1382" i="2" s="1"/>
  <c r="C1382" i="2"/>
  <c r="B1382" i="2"/>
  <c r="A1382" i="2"/>
  <c r="X1381" i="2"/>
  <c r="S1381" i="2"/>
  <c r="R1381" i="2"/>
  <c r="Q1381" i="2"/>
  <c r="P1381" i="2"/>
  <c r="L1381" i="2"/>
  <c r="K1381" i="2"/>
  <c r="H1381" i="2"/>
  <c r="I1381" i="2" s="1"/>
  <c r="J1381" i="2" s="1"/>
  <c r="C1381" i="2"/>
  <c r="B1381" i="2"/>
  <c r="A1381" i="2"/>
  <c r="X1380" i="2"/>
  <c r="S1380" i="2"/>
  <c r="R1380" i="2"/>
  <c r="Q1380" i="2"/>
  <c r="P1380" i="2"/>
  <c r="L1380" i="2"/>
  <c r="K1380" i="2"/>
  <c r="H1380" i="2"/>
  <c r="I1380" i="2" s="1"/>
  <c r="J1380" i="2" s="1"/>
  <c r="C1380" i="2"/>
  <c r="B1380" i="2"/>
  <c r="A1380" i="2"/>
  <c r="X1379" i="2"/>
  <c r="S1379" i="2"/>
  <c r="R1379" i="2"/>
  <c r="Q1379" i="2"/>
  <c r="P1379" i="2"/>
  <c r="L1379" i="2"/>
  <c r="K1379" i="2"/>
  <c r="H1379" i="2"/>
  <c r="I1379" i="2" s="1"/>
  <c r="J1379" i="2" s="1"/>
  <c r="C1379" i="2"/>
  <c r="B1379" i="2"/>
  <c r="A1379" i="2"/>
  <c r="X1378" i="2"/>
  <c r="S1378" i="2"/>
  <c r="R1378" i="2"/>
  <c r="Q1378" i="2"/>
  <c r="P1378" i="2"/>
  <c r="L1378" i="2"/>
  <c r="K1378" i="2"/>
  <c r="H1378" i="2"/>
  <c r="I1378" i="2" s="1"/>
  <c r="J1378" i="2" s="1"/>
  <c r="C1378" i="2"/>
  <c r="B1378" i="2"/>
  <c r="A1378" i="2"/>
  <c r="X1377" i="2"/>
  <c r="S1377" i="2"/>
  <c r="R1377" i="2"/>
  <c r="Q1377" i="2"/>
  <c r="P1377" i="2"/>
  <c r="L1377" i="2"/>
  <c r="K1377" i="2"/>
  <c r="H1377" i="2"/>
  <c r="I1377" i="2" s="1"/>
  <c r="J1377" i="2" s="1"/>
  <c r="C1377" i="2"/>
  <c r="B1377" i="2"/>
  <c r="A1377" i="2"/>
  <c r="X1376" i="2"/>
  <c r="S1376" i="2"/>
  <c r="R1376" i="2"/>
  <c r="Q1376" i="2"/>
  <c r="P1376" i="2"/>
  <c r="L1376" i="2"/>
  <c r="K1376" i="2"/>
  <c r="H1376" i="2"/>
  <c r="I1376" i="2" s="1"/>
  <c r="J1376" i="2" s="1"/>
  <c r="C1376" i="2"/>
  <c r="B1376" i="2"/>
  <c r="A1376" i="2"/>
  <c r="X1375" i="2"/>
  <c r="S1375" i="2"/>
  <c r="R1375" i="2"/>
  <c r="Q1375" i="2"/>
  <c r="P1375" i="2"/>
  <c r="L1375" i="2"/>
  <c r="K1375" i="2"/>
  <c r="H1375" i="2"/>
  <c r="I1375" i="2" s="1"/>
  <c r="J1375" i="2" s="1"/>
  <c r="C1375" i="2"/>
  <c r="B1375" i="2"/>
  <c r="A1375" i="2"/>
  <c r="X1374" i="2"/>
  <c r="S1374" i="2"/>
  <c r="R1374" i="2"/>
  <c r="Q1374" i="2"/>
  <c r="P1374" i="2"/>
  <c r="L1374" i="2"/>
  <c r="K1374" i="2"/>
  <c r="H1374" i="2"/>
  <c r="I1374" i="2" s="1"/>
  <c r="J1374" i="2" s="1"/>
  <c r="C1374" i="2"/>
  <c r="B1374" i="2"/>
  <c r="A1374" i="2"/>
  <c r="X1373" i="2"/>
  <c r="S1373" i="2"/>
  <c r="R1373" i="2"/>
  <c r="Q1373" i="2"/>
  <c r="P1373" i="2"/>
  <c r="L1373" i="2"/>
  <c r="K1373" i="2"/>
  <c r="H1373" i="2"/>
  <c r="I1373" i="2" s="1"/>
  <c r="J1373" i="2" s="1"/>
  <c r="C1373" i="2"/>
  <c r="B1373" i="2"/>
  <c r="A1373" i="2"/>
  <c r="X1372" i="2"/>
  <c r="S1372" i="2"/>
  <c r="R1372" i="2"/>
  <c r="Q1372" i="2"/>
  <c r="P1372" i="2"/>
  <c r="L1372" i="2"/>
  <c r="K1372" i="2"/>
  <c r="H1372" i="2"/>
  <c r="I1372" i="2" s="1"/>
  <c r="J1372" i="2" s="1"/>
  <c r="C1372" i="2"/>
  <c r="B1372" i="2"/>
  <c r="A1372" i="2"/>
  <c r="X1371" i="2"/>
  <c r="S1371" i="2"/>
  <c r="R1371" i="2"/>
  <c r="Q1371" i="2"/>
  <c r="P1371" i="2"/>
  <c r="L1371" i="2"/>
  <c r="K1371" i="2"/>
  <c r="H1371" i="2"/>
  <c r="I1371" i="2" s="1"/>
  <c r="J1371" i="2" s="1"/>
  <c r="C1371" i="2"/>
  <c r="B1371" i="2"/>
  <c r="A1371" i="2"/>
  <c r="X1370" i="2"/>
  <c r="S1370" i="2"/>
  <c r="R1370" i="2"/>
  <c r="Q1370" i="2"/>
  <c r="P1370" i="2"/>
  <c r="L1370" i="2"/>
  <c r="K1370" i="2"/>
  <c r="H1370" i="2"/>
  <c r="I1370" i="2" s="1"/>
  <c r="J1370" i="2" s="1"/>
  <c r="C1370" i="2"/>
  <c r="B1370" i="2"/>
  <c r="A1370" i="2"/>
  <c r="X1369" i="2"/>
  <c r="S1369" i="2"/>
  <c r="R1369" i="2"/>
  <c r="Q1369" i="2"/>
  <c r="P1369" i="2"/>
  <c r="L1369" i="2"/>
  <c r="K1369" i="2"/>
  <c r="H1369" i="2"/>
  <c r="I1369" i="2" s="1"/>
  <c r="J1369" i="2" s="1"/>
  <c r="C1369" i="2"/>
  <c r="B1369" i="2"/>
  <c r="A1369" i="2"/>
  <c r="X1368" i="2"/>
  <c r="S1368" i="2"/>
  <c r="R1368" i="2"/>
  <c r="Q1368" i="2"/>
  <c r="P1368" i="2"/>
  <c r="L1368" i="2"/>
  <c r="K1368" i="2"/>
  <c r="H1368" i="2"/>
  <c r="I1368" i="2" s="1"/>
  <c r="J1368" i="2" s="1"/>
  <c r="C1368" i="2"/>
  <c r="B1368" i="2"/>
  <c r="A1368" i="2"/>
  <c r="X1367" i="2"/>
  <c r="S1367" i="2"/>
  <c r="R1367" i="2"/>
  <c r="Q1367" i="2"/>
  <c r="P1367" i="2"/>
  <c r="L1367" i="2"/>
  <c r="K1367" i="2"/>
  <c r="H1367" i="2"/>
  <c r="I1367" i="2" s="1"/>
  <c r="J1367" i="2" s="1"/>
  <c r="C1367" i="2"/>
  <c r="B1367" i="2"/>
  <c r="A1367" i="2"/>
  <c r="X1366" i="2"/>
  <c r="S1366" i="2"/>
  <c r="R1366" i="2"/>
  <c r="Q1366" i="2"/>
  <c r="P1366" i="2"/>
  <c r="L1366" i="2"/>
  <c r="K1366" i="2"/>
  <c r="H1366" i="2"/>
  <c r="I1366" i="2" s="1"/>
  <c r="J1366" i="2" s="1"/>
  <c r="C1366" i="2"/>
  <c r="B1366" i="2"/>
  <c r="A1366" i="2"/>
  <c r="X1365" i="2"/>
  <c r="S1365" i="2"/>
  <c r="R1365" i="2"/>
  <c r="Q1365" i="2"/>
  <c r="P1365" i="2"/>
  <c r="L1365" i="2"/>
  <c r="K1365" i="2"/>
  <c r="H1365" i="2"/>
  <c r="I1365" i="2" s="1"/>
  <c r="J1365" i="2" s="1"/>
  <c r="C1365" i="2"/>
  <c r="B1365" i="2"/>
  <c r="A1365" i="2"/>
  <c r="X1364" i="2"/>
  <c r="S1364" i="2"/>
  <c r="R1364" i="2"/>
  <c r="Q1364" i="2"/>
  <c r="P1364" i="2"/>
  <c r="L1364" i="2"/>
  <c r="K1364" i="2"/>
  <c r="H1364" i="2"/>
  <c r="I1364" i="2" s="1"/>
  <c r="J1364" i="2" s="1"/>
  <c r="C1364" i="2"/>
  <c r="B1364" i="2"/>
  <c r="A1364" i="2"/>
  <c r="X1363" i="2"/>
  <c r="S1363" i="2"/>
  <c r="R1363" i="2"/>
  <c r="Q1363" i="2"/>
  <c r="P1363" i="2"/>
  <c r="L1363" i="2"/>
  <c r="K1363" i="2"/>
  <c r="H1363" i="2"/>
  <c r="I1363" i="2" s="1"/>
  <c r="J1363" i="2" s="1"/>
  <c r="C1363" i="2"/>
  <c r="B1363" i="2"/>
  <c r="A1363" i="2"/>
  <c r="X1362" i="2"/>
  <c r="S1362" i="2"/>
  <c r="R1362" i="2"/>
  <c r="Q1362" i="2"/>
  <c r="P1362" i="2"/>
  <c r="L1362" i="2"/>
  <c r="K1362" i="2"/>
  <c r="H1362" i="2"/>
  <c r="I1362" i="2" s="1"/>
  <c r="J1362" i="2" s="1"/>
  <c r="C1362" i="2"/>
  <c r="B1362" i="2"/>
  <c r="A1362" i="2"/>
  <c r="X1361" i="2"/>
  <c r="S1361" i="2"/>
  <c r="R1361" i="2"/>
  <c r="Q1361" i="2"/>
  <c r="P1361" i="2"/>
  <c r="L1361" i="2"/>
  <c r="K1361" i="2"/>
  <c r="H1361" i="2"/>
  <c r="I1361" i="2" s="1"/>
  <c r="J1361" i="2" s="1"/>
  <c r="C1361" i="2"/>
  <c r="B1361" i="2"/>
  <c r="A1361" i="2"/>
  <c r="X1360" i="2"/>
  <c r="S1360" i="2"/>
  <c r="R1360" i="2"/>
  <c r="Q1360" i="2"/>
  <c r="P1360" i="2"/>
  <c r="L1360" i="2"/>
  <c r="K1360" i="2"/>
  <c r="H1360" i="2"/>
  <c r="I1360" i="2" s="1"/>
  <c r="J1360" i="2" s="1"/>
  <c r="C1360" i="2"/>
  <c r="B1360" i="2"/>
  <c r="A1360" i="2"/>
  <c r="X1359" i="2"/>
  <c r="S1359" i="2"/>
  <c r="R1359" i="2"/>
  <c r="Q1359" i="2"/>
  <c r="P1359" i="2"/>
  <c r="L1359" i="2"/>
  <c r="K1359" i="2"/>
  <c r="H1359" i="2"/>
  <c r="I1359" i="2" s="1"/>
  <c r="J1359" i="2" s="1"/>
  <c r="C1359" i="2"/>
  <c r="B1359" i="2"/>
  <c r="A1359" i="2"/>
  <c r="X1358" i="2"/>
  <c r="S1358" i="2"/>
  <c r="R1358" i="2"/>
  <c r="Q1358" i="2"/>
  <c r="P1358" i="2"/>
  <c r="L1358" i="2"/>
  <c r="K1358" i="2"/>
  <c r="H1358" i="2"/>
  <c r="I1358" i="2" s="1"/>
  <c r="J1358" i="2" s="1"/>
  <c r="C1358" i="2"/>
  <c r="B1358" i="2"/>
  <c r="A1358" i="2"/>
  <c r="X1357" i="2"/>
  <c r="S1357" i="2"/>
  <c r="R1357" i="2"/>
  <c r="Q1357" i="2"/>
  <c r="P1357" i="2"/>
  <c r="L1357" i="2"/>
  <c r="K1357" i="2"/>
  <c r="H1357" i="2"/>
  <c r="I1357" i="2" s="1"/>
  <c r="J1357" i="2" s="1"/>
  <c r="C1357" i="2"/>
  <c r="B1357" i="2"/>
  <c r="A1357" i="2"/>
  <c r="X1356" i="2"/>
  <c r="S1356" i="2"/>
  <c r="R1356" i="2"/>
  <c r="Q1356" i="2"/>
  <c r="P1356" i="2"/>
  <c r="L1356" i="2"/>
  <c r="K1356" i="2"/>
  <c r="H1356" i="2"/>
  <c r="I1356" i="2" s="1"/>
  <c r="J1356" i="2" s="1"/>
  <c r="C1356" i="2"/>
  <c r="B1356" i="2"/>
  <c r="A1356" i="2"/>
  <c r="X1355" i="2"/>
  <c r="S1355" i="2"/>
  <c r="R1355" i="2"/>
  <c r="Q1355" i="2"/>
  <c r="P1355" i="2"/>
  <c r="L1355" i="2"/>
  <c r="K1355" i="2"/>
  <c r="H1355" i="2"/>
  <c r="I1355" i="2" s="1"/>
  <c r="J1355" i="2" s="1"/>
  <c r="C1355" i="2"/>
  <c r="B1355" i="2"/>
  <c r="A1355" i="2"/>
  <c r="X1354" i="2"/>
  <c r="S1354" i="2"/>
  <c r="R1354" i="2"/>
  <c r="Q1354" i="2"/>
  <c r="P1354" i="2"/>
  <c r="L1354" i="2"/>
  <c r="K1354" i="2"/>
  <c r="H1354" i="2"/>
  <c r="I1354" i="2" s="1"/>
  <c r="J1354" i="2" s="1"/>
  <c r="C1354" i="2"/>
  <c r="B1354" i="2"/>
  <c r="A1354" i="2"/>
  <c r="X1353" i="2"/>
  <c r="S1353" i="2"/>
  <c r="R1353" i="2"/>
  <c r="Q1353" i="2"/>
  <c r="P1353" i="2"/>
  <c r="L1353" i="2"/>
  <c r="K1353" i="2"/>
  <c r="H1353" i="2"/>
  <c r="I1353" i="2" s="1"/>
  <c r="J1353" i="2" s="1"/>
  <c r="C1353" i="2"/>
  <c r="B1353" i="2"/>
  <c r="A1353" i="2"/>
  <c r="X1352" i="2"/>
  <c r="S1352" i="2"/>
  <c r="R1352" i="2"/>
  <c r="Q1352" i="2"/>
  <c r="P1352" i="2"/>
  <c r="L1352" i="2"/>
  <c r="K1352" i="2"/>
  <c r="H1352" i="2"/>
  <c r="I1352" i="2" s="1"/>
  <c r="J1352" i="2" s="1"/>
  <c r="C1352" i="2"/>
  <c r="B1352" i="2"/>
  <c r="A1352" i="2"/>
  <c r="X1351" i="2"/>
  <c r="S1351" i="2"/>
  <c r="R1351" i="2"/>
  <c r="Q1351" i="2"/>
  <c r="P1351" i="2"/>
  <c r="L1351" i="2"/>
  <c r="K1351" i="2"/>
  <c r="H1351" i="2"/>
  <c r="I1351" i="2" s="1"/>
  <c r="J1351" i="2" s="1"/>
  <c r="C1351" i="2"/>
  <c r="B1351" i="2"/>
  <c r="A1351" i="2"/>
  <c r="X1350" i="2"/>
  <c r="S1350" i="2"/>
  <c r="R1350" i="2"/>
  <c r="Q1350" i="2"/>
  <c r="P1350" i="2"/>
  <c r="L1350" i="2"/>
  <c r="K1350" i="2"/>
  <c r="H1350" i="2"/>
  <c r="I1350" i="2" s="1"/>
  <c r="J1350" i="2" s="1"/>
  <c r="C1350" i="2"/>
  <c r="B1350" i="2"/>
  <c r="A1350" i="2"/>
  <c r="X1349" i="2"/>
  <c r="S1349" i="2"/>
  <c r="R1349" i="2"/>
  <c r="Q1349" i="2"/>
  <c r="P1349" i="2"/>
  <c r="L1349" i="2"/>
  <c r="K1349" i="2"/>
  <c r="H1349" i="2"/>
  <c r="I1349" i="2" s="1"/>
  <c r="J1349" i="2" s="1"/>
  <c r="C1349" i="2"/>
  <c r="B1349" i="2"/>
  <c r="A1349" i="2"/>
  <c r="X1348" i="2"/>
  <c r="S1348" i="2"/>
  <c r="R1348" i="2"/>
  <c r="Q1348" i="2"/>
  <c r="P1348" i="2"/>
  <c r="L1348" i="2"/>
  <c r="K1348" i="2"/>
  <c r="H1348" i="2"/>
  <c r="I1348" i="2" s="1"/>
  <c r="J1348" i="2" s="1"/>
  <c r="C1348" i="2"/>
  <c r="B1348" i="2"/>
  <c r="A1348" i="2"/>
  <c r="X1347" i="2"/>
  <c r="S1347" i="2"/>
  <c r="R1347" i="2"/>
  <c r="Q1347" i="2"/>
  <c r="P1347" i="2"/>
  <c r="L1347" i="2"/>
  <c r="K1347" i="2"/>
  <c r="H1347" i="2"/>
  <c r="I1347" i="2" s="1"/>
  <c r="J1347" i="2" s="1"/>
  <c r="C1347" i="2"/>
  <c r="B1347" i="2"/>
  <c r="A1347" i="2"/>
  <c r="X1346" i="2"/>
  <c r="S1346" i="2"/>
  <c r="R1346" i="2"/>
  <c r="Q1346" i="2"/>
  <c r="P1346" i="2"/>
  <c r="L1346" i="2"/>
  <c r="K1346" i="2"/>
  <c r="H1346" i="2"/>
  <c r="I1346" i="2" s="1"/>
  <c r="J1346" i="2" s="1"/>
  <c r="C1346" i="2"/>
  <c r="B1346" i="2"/>
  <c r="A1346" i="2"/>
  <c r="X1345" i="2"/>
  <c r="S1345" i="2"/>
  <c r="R1345" i="2"/>
  <c r="Q1345" i="2"/>
  <c r="P1345" i="2"/>
  <c r="L1345" i="2"/>
  <c r="K1345" i="2"/>
  <c r="H1345" i="2"/>
  <c r="I1345" i="2" s="1"/>
  <c r="J1345" i="2" s="1"/>
  <c r="C1345" i="2"/>
  <c r="B1345" i="2"/>
  <c r="A1345" i="2"/>
  <c r="X1344" i="2"/>
  <c r="S1344" i="2"/>
  <c r="R1344" i="2"/>
  <c r="Q1344" i="2"/>
  <c r="P1344" i="2"/>
  <c r="L1344" i="2"/>
  <c r="K1344" i="2"/>
  <c r="H1344" i="2"/>
  <c r="I1344" i="2" s="1"/>
  <c r="J1344" i="2" s="1"/>
  <c r="C1344" i="2"/>
  <c r="B1344" i="2"/>
  <c r="A1344" i="2"/>
  <c r="X1343" i="2"/>
  <c r="S1343" i="2"/>
  <c r="R1343" i="2"/>
  <c r="Q1343" i="2"/>
  <c r="P1343" i="2"/>
  <c r="L1343" i="2"/>
  <c r="K1343" i="2"/>
  <c r="H1343" i="2"/>
  <c r="I1343" i="2" s="1"/>
  <c r="J1343" i="2" s="1"/>
  <c r="C1343" i="2"/>
  <c r="B1343" i="2"/>
  <c r="A1343" i="2"/>
  <c r="X1342" i="2"/>
  <c r="S1342" i="2"/>
  <c r="R1342" i="2"/>
  <c r="Q1342" i="2"/>
  <c r="P1342" i="2"/>
  <c r="L1342" i="2"/>
  <c r="K1342" i="2"/>
  <c r="H1342" i="2"/>
  <c r="I1342" i="2" s="1"/>
  <c r="J1342" i="2" s="1"/>
  <c r="C1342" i="2"/>
  <c r="B1342" i="2"/>
  <c r="A1342" i="2"/>
  <c r="X1341" i="2"/>
  <c r="S1341" i="2"/>
  <c r="R1341" i="2"/>
  <c r="Q1341" i="2"/>
  <c r="P1341" i="2"/>
  <c r="L1341" i="2"/>
  <c r="K1341" i="2"/>
  <c r="H1341" i="2"/>
  <c r="I1341" i="2" s="1"/>
  <c r="J1341" i="2" s="1"/>
  <c r="C1341" i="2"/>
  <c r="B1341" i="2"/>
  <c r="A1341" i="2"/>
  <c r="X1340" i="2"/>
  <c r="S1340" i="2"/>
  <c r="R1340" i="2"/>
  <c r="Q1340" i="2"/>
  <c r="P1340" i="2"/>
  <c r="L1340" i="2"/>
  <c r="K1340" i="2"/>
  <c r="H1340" i="2"/>
  <c r="I1340" i="2" s="1"/>
  <c r="J1340" i="2" s="1"/>
  <c r="C1340" i="2"/>
  <c r="B1340" i="2"/>
  <c r="A1340" i="2"/>
  <c r="X1339" i="2"/>
  <c r="S1339" i="2"/>
  <c r="R1339" i="2"/>
  <c r="Q1339" i="2"/>
  <c r="P1339" i="2"/>
  <c r="L1339" i="2"/>
  <c r="K1339" i="2"/>
  <c r="H1339" i="2"/>
  <c r="I1339" i="2" s="1"/>
  <c r="J1339" i="2" s="1"/>
  <c r="C1339" i="2"/>
  <c r="B1339" i="2"/>
  <c r="A1339" i="2"/>
  <c r="X1338" i="2"/>
  <c r="S1338" i="2"/>
  <c r="R1338" i="2"/>
  <c r="Q1338" i="2"/>
  <c r="P1338" i="2"/>
  <c r="L1338" i="2"/>
  <c r="K1338" i="2"/>
  <c r="H1338" i="2"/>
  <c r="I1338" i="2" s="1"/>
  <c r="J1338" i="2" s="1"/>
  <c r="C1338" i="2"/>
  <c r="B1338" i="2"/>
  <c r="A1338" i="2"/>
  <c r="X1337" i="2"/>
  <c r="S1337" i="2"/>
  <c r="R1337" i="2"/>
  <c r="Q1337" i="2"/>
  <c r="P1337" i="2"/>
  <c r="L1337" i="2"/>
  <c r="K1337" i="2"/>
  <c r="H1337" i="2"/>
  <c r="I1337" i="2" s="1"/>
  <c r="J1337" i="2" s="1"/>
  <c r="C1337" i="2"/>
  <c r="B1337" i="2"/>
  <c r="A1337" i="2"/>
  <c r="X1336" i="2"/>
  <c r="S1336" i="2"/>
  <c r="R1336" i="2"/>
  <c r="Q1336" i="2"/>
  <c r="P1336" i="2"/>
  <c r="L1336" i="2"/>
  <c r="K1336" i="2"/>
  <c r="H1336" i="2"/>
  <c r="I1336" i="2" s="1"/>
  <c r="J1336" i="2" s="1"/>
  <c r="C1336" i="2"/>
  <c r="B1336" i="2"/>
  <c r="A1336" i="2"/>
  <c r="X1335" i="2"/>
  <c r="S1335" i="2"/>
  <c r="R1335" i="2"/>
  <c r="Q1335" i="2"/>
  <c r="P1335" i="2"/>
  <c r="L1335" i="2"/>
  <c r="K1335" i="2"/>
  <c r="H1335" i="2"/>
  <c r="I1335" i="2" s="1"/>
  <c r="J1335" i="2" s="1"/>
  <c r="C1335" i="2"/>
  <c r="B1335" i="2"/>
  <c r="A1335" i="2"/>
  <c r="X1334" i="2"/>
  <c r="S1334" i="2"/>
  <c r="R1334" i="2"/>
  <c r="Q1334" i="2"/>
  <c r="P1334" i="2"/>
  <c r="L1334" i="2"/>
  <c r="K1334" i="2"/>
  <c r="H1334" i="2"/>
  <c r="I1334" i="2" s="1"/>
  <c r="J1334" i="2" s="1"/>
  <c r="C1334" i="2"/>
  <c r="B1334" i="2"/>
  <c r="A1334" i="2"/>
  <c r="X1333" i="2"/>
  <c r="S1333" i="2"/>
  <c r="R1333" i="2"/>
  <c r="Q1333" i="2"/>
  <c r="P1333" i="2"/>
  <c r="L1333" i="2"/>
  <c r="K1333" i="2"/>
  <c r="H1333" i="2"/>
  <c r="I1333" i="2" s="1"/>
  <c r="J1333" i="2" s="1"/>
  <c r="C1333" i="2"/>
  <c r="B1333" i="2"/>
  <c r="A1333" i="2"/>
  <c r="X1332" i="2"/>
  <c r="S1332" i="2"/>
  <c r="R1332" i="2"/>
  <c r="Q1332" i="2"/>
  <c r="P1332" i="2"/>
  <c r="L1332" i="2"/>
  <c r="K1332" i="2"/>
  <c r="H1332" i="2"/>
  <c r="I1332" i="2" s="1"/>
  <c r="J1332" i="2" s="1"/>
  <c r="C1332" i="2"/>
  <c r="B1332" i="2"/>
  <c r="A1332" i="2"/>
  <c r="X1331" i="2"/>
  <c r="S1331" i="2"/>
  <c r="R1331" i="2"/>
  <c r="Q1331" i="2"/>
  <c r="P1331" i="2"/>
  <c r="L1331" i="2"/>
  <c r="K1331" i="2"/>
  <c r="H1331" i="2"/>
  <c r="I1331" i="2" s="1"/>
  <c r="J1331" i="2" s="1"/>
  <c r="C1331" i="2"/>
  <c r="B1331" i="2"/>
  <c r="A1331" i="2"/>
  <c r="X1330" i="2"/>
  <c r="S1330" i="2"/>
  <c r="R1330" i="2"/>
  <c r="Q1330" i="2"/>
  <c r="P1330" i="2"/>
  <c r="L1330" i="2"/>
  <c r="K1330" i="2"/>
  <c r="H1330" i="2"/>
  <c r="I1330" i="2" s="1"/>
  <c r="J1330" i="2" s="1"/>
  <c r="C1330" i="2"/>
  <c r="B1330" i="2"/>
  <c r="A1330" i="2"/>
  <c r="X1329" i="2"/>
  <c r="S1329" i="2"/>
  <c r="R1329" i="2"/>
  <c r="Q1329" i="2"/>
  <c r="P1329" i="2"/>
  <c r="L1329" i="2"/>
  <c r="K1329" i="2"/>
  <c r="H1329" i="2"/>
  <c r="I1329" i="2" s="1"/>
  <c r="J1329" i="2" s="1"/>
  <c r="C1329" i="2"/>
  <c r="B1329" i="2"/>
  <c r="A1329" i="2"/>
  <c r="X1328" i="2"/>
  <c r="S1328" i="2"/>
  <c r="R1328" i="2"/>
  <c r="Q1328" i="2"/>
  <c r="P1328" i="2"/>
  <c r="L1328" i="2"/>
  <c r="K1328" i="2"/>
  <c r="H1328" i="2"/>
  <c r="I1328" i="2" s="1"/>
  <c r="J1328" i="2" s="1"/>
  <c r="C1328" i="2"/>
  <c r="B1328" i="2"/>
  <c r="A1328" i="2"/>
  <c r="X1327" i="2"/>
  <c r="S1327" i="2"/>
  <c r="R1327" i="2"/>
  <c r="Q1327" i="2"/>
  <c r="P1327" i="2"/>
  <c r="L1327" i="2"/>
  <c r="K1327" i="2"/>
  <c r="H1327" i="2"/>
  <c r="I1327" i="2" s="1"/>
  <c r="J1327" i="2" s="1"/>
  <c r="C1327" i="2"/>
  <c r="B1327" i="2"/>
  <c r="A1327" i="2"/>
  <c r="X1326" i="2"/>
  <c r="S1326" i="2"/>
  <c r="R1326" i="2"/>
  <c r="Q1326" i="2"/>
  <c r="P1326" i="2"/>
  <c r="L1326" i="2"/>
  <c r="K1326" i="2"/>
  <c r="H1326" i="2"/>
  <c r="I1326" i="2" s="1"/>
  <c r="J1326" i="2" s="1"/>
  <c r="C1326" i="2"/>
  <c r="B1326" i="2"/>
  <c r="A1326" i="2"/>
  <c r="X1325" i="2"/>
  <c r="S1325" i="2"/>
  <c r="R1325" i="2"/>
  <c r="Q1325" i="2"/>
  <c r="P1325" i="2"/>
  <c r="L1325" i="2"/>
  <c r="K1325" i="2"/>
  <c r="H1325" i="2"/>
  <c r="I1325" i="2" s="1"/>
  <c r="J1325" i="2" s="1"/>
  <c r="C1325" i="2"/>
  <c r="B1325" i="2"/>
  <c r="A1325" i="2"/>
  <c r="X1324" i="2"/>
  <c r="S1324" i="2"/>
  <c r="R1324" i="2"/>
  <c r="Q1324" i="2"/>
  <c r="P1324" i="2"/>
  <c r="L1324" i="2"/>
  <c r="K1324" i="2"/>
  <c r="H1324" i="2"/>
  <c r="I1324" i="2" s="1"/>
  <c r="J1324" i="2" s="1"/>
  <c r="C1324" i="2"/>
  <c r="B1324" i="2"/>
  <c r="A1324" i="2"/>
  <c r="X1323" i="2"/>
  <c r="S1323" i="2"/>
  <c r="Q1323" i="2"/>
  <c r="P1323" i="2"/>
  <c r="L1323" i="2"/>
  <c r="K1323" i="2"/>
  <c r="H1323" i="2"/>
  <c r="I1323" i="2" s="1"/>
  <c r="J1323" i="2" s="1"/>
  <c r="C1323" i="2"/>
  <c r="B1323" i="2"/>
  <c r="A1323" i="2"/>
  <c r="X1322" i="2"/>
  <c r="S1322" i="2"/>
  <c r="R1322" i="2"/>
  <c r="Q1322" i="2"/>
  <c r="P1322" i="2"/>
  <c r="L1322" i="2"/>
  <c r="K1322" i="2"/>
  <c r="H1322" i="2"/>
  <c r="I1322" i="2" s="1"/>
  <c r="J1322" i="2" s="1"/>
  <c r="C1322" i="2"/>
  <c r="B1322" i="2"/>
  <c r="A1322" i="2"/>
  <c r="X1321" i="2"/>
  <c r="S1321" i="2"/>
  <c r="R1321" i="2"/>
  <c r="Q1321" i="2"/>
  <c r="P1321" i="2"/>
  <c r="L1321" i="2"/>
  <c r="K1321" i="2"/>
  <c r="H1321" i="2"/>
  <c r="I1321" i="2" s="1"/>
  <c r="J1321" i="2" s="1"/>
  <c r="C1321" i="2"/>
  <c r="B1321" i="2"/>
  <c r="A1321" i="2"/>
  <c r="X1320" i="2"/>
  <c r="S1320" i="2"/>
  <c r="R1320" i="2"/>
  <c r="Q1320" i="2"/>
  <c r="P1320" i="2"/>
  <c r="L1320" i="2"/>
  <c r="K1320" i="2"/>
  <c r="H1320" i="2"/>
  <c r="I1320" i="2" s="1"/>
  <c r="J1320" i="2" s="1"/>
  <c r="C1320" i="2"/>
  <c r="B1320" i="2"/>
  <c r="A1320" i="2"/>
  <c r="X1319" i="2"/>
  <c r="S1319" i="2"/>
  <c r="R1319" i="2"/>
  <c r="Q1319" i="2"/>
  <c r="P1319" i="2"/>
  <c r="L1319" i="2"/>
  <c r="K1319" i="2"/>
  <c r="H1319" i="2"/>
  <c r="I1319" i="2" s="1"/>
  <c r="J1319" i="2" s="1"/>
  <c r="C1319" i="2"/>
  <c r="B1319" i="2"/>
  <c r="A1319" i="2"/>
  <c r="X1318" i="2"/>
  <c r="S1318" i="2"/>
  <c r="R1318" i="2"/>
  <c r="Q1318" i="2"/>
  <c r="P1318" i="2"/>
  <c r="L1318" i="2"/>
  <c r="K1318" i="2"/>
  <c r="H1318" i="2"/>
  <c r="I1318" i="2" s="1"/>
  <c r="J1318" i="2" s="1"/>
  <c r="C1318" i="2"/>
  <c r="B1318" i="2"/>
  <c r="A1318" i="2"/>
  <c r="X1317" i="2"/>
  <c r="S1317" i="2"/>
  <c r="R1317" i="2"/>
  <c r="Q1317" i="2"/>
  <c r="P1317" i="2"/>
  <c r="L1317" i="2"/>
  <c r="K1317" i="2"/>
  <c r="H1317" i="2"/>
  <c r="I1317" i="2" s="1"/>
  <c r="J1317" i="2" s="1"/>
  <c r="C1317" i="2"/>
  <c r="B1317" i="2"/>
  <c r="A1317" i="2"/>
  <c r="X1316" i="2"/>
  <c r="S1316" i="2"/>
  <c r="R1316" i="2"/>
  <c r="Q1316" i="2"/>
  <c r="P1316" i="2"/>
  <c r="L1316" i="2"/>
  <c r="K1316" i="2"/>
  <c r="H1316" i="2"/>
  <c r="I1316" i="2" s="1"/>
  <c r="J1316" i="2" s="1"/>
  <c r="C1316" i="2"/>
  <c r="B1316" i="2"/>
  <c r="A1316" i="2"/>
  <c r="X1315" i="2"/>
  <c r="S1315" i="2"/>
  <c r="R1315" i="2"/>
  <c r="Q1315" i="2"/>
  <c r="P1315" i="2"/>
  <c r="L1315" i="2"/>
  <c r="K1315" i="2"/>
  <c r="H1315" i="2"/>
  <c r="I1315" i="2" s="1"/>
  <c r="J1315" i="2" s="1"/>
  <c r="C1315" i="2"/>
  <c r="B1315" i="2"/>
  <c r="A1315" i="2"/>
  <c r="X1314" i="2"/>
  <c r="S1314" i="2"/>
  <c r="R1314" i="2"/>
  <c r="Q1314" i="2"/>
  <c r="P1314" i="2"/>
  <c r="L1314" i="2"/>
  <c r="K1314" i="2"/>
  <c r="H1314" i="2"/>
  <c r="I1314" i="2" s="1"/>
  <c r="J1314" i="2" s="1"/>
  <c r="C1314" i="2"/>
  <c r="B1314" i="2"/>
  <c r="A1314" i="2"/>
  <c r="X1313" i="2"/>
  <c r="S1313" i="2"/>
  <c r="R1313" i="2"/>
  <c r="Q1313" i="2"/>
  <c r="P1313" i="2"/>
  <c r="L1313" i="2"/>
  <c r="K1313" i="2"/>
  <c r="H1313" i="2"/>
  <c r="I1313" i="2" s="1"/>
  <c r="J1313" i="2" s="1"/>
  <c r="C1313" i="2"/>
  <c r="B1313" i="2"/>
  <c r="A1313" i="2"/>
  <c r="X1312" i="2"/>
  <c r="S1312" i="2"/>
  <c r="R1312" i="2"/>
  <c r="Q1312" i="2"/>
  <c r="P1312" i="2"/>
  <c r="L1312" i="2"/>
  <c r="K1312" i="2"/>
  <c r="H1312" i="2"/>
  <c r="I1312" i="2" s="1"/>
  <c r="J1312" i="2" s="1"/>
  <c r="C1312" i="2"/>
  <c r="B1312" i="2"/>
  <c r="A1312" i="2"/>
  <c r="X1311" i="2"/>
  <c r="S1311" i="2"/>
  <c r="R1311" i="2"/>
  <c r="Q1311" i="2"/>
  <c r="P1311" i="2"/>
  <c r="L1311" i="2"/>
  <c r="K1311" i="2"/>
  <c r="H1311" i="2"/>
  <c r="I1311" i="2" s="1"/>
  <c r="J1311" i="2" s="1"/>
  <c r="C1311" i="2"/>
  <c r="B1311" i="2"/>
  <c r="A1311" i="2"/>
  <c r="X1310" i="2"/>
  <c r="S1310" i="2"/>
  <c r="R1310" i="2"/>
  <c r="Q1310" i="2"/>
  <c r="P1310" i="2"/>
  <c r="L1310" i="2"/>
  <c r="K1310" i="2"/>
  <c r="H1310" i="2"/>
  <c r="I1310" i="2" s="1"/>
  <c r="J1310" i="2" s="1"/>
  <c r="C1310" i="2"/>
  <c r="B1310" i="2"/>
  <c r="A1310" i="2"/>
  <c r="X1309" i="2"/>
  <c r="S1309" i="2"/>
  <c r="R1309" i="2"/>
  <c r="Q1309" i="2"/>
  <c r="P1309" i="2"/>
  <c r="L1309" i="2"/>
  <c r="K1309" i="2"/>
  <c r="H1309" i="2"/>
  <c r="I1309" i="2" s="1"/>
  <c r="J1309" i="2" s="1"/>
  <c r="C1309" i="2"/>
  <c r="B1309" i="2"/>
  <c r="A1309" i="2"/>
  <c r="X1308" i="2"/>
  <c r="S1308" i="2"/>
  <c r="R1308" i="2"/>
  <c r="Q1308" i="2"/>
  <c r="P1308" i="2"/>
  <c r="L1308" i="2"/>
  <c r="K1308" i="2"/>
  <c r="H1308" i="2"/>
  <c r="I1308" i="2" s="1"/>
  <c r="J1308" i="2" s="1"/>
  <c r="C1308" i="2"/>
  <c r="B1308" i="2"/>
  <c r="A1308" i="2"/>
  <c r="X1307" i="2"/>
  <c r="S1307" i="2"/>
  <c r="R1307" i="2"/>
  <c r="Q1307" i="2"/>
  <c r="P1307" i="2"/>
  <c r="L1307" i="2"/>
  <c r="K1307" i="2"/>
  <c r="H1307" i="2"/>
  <c r="I1307" i="2" s="1"/>
  <c r="J1307" i="2" s="1"/>
  <c r="C1307" i="2"/>
  <c r="B1307" i="2"/>
  <c r="A1307" i="2"/>
  <c r="X1306" i="2"/>
  <c r="S1306" i="2"/>
  <c r="R1306" i="2"/>
  <c r="Q1306" i="2"/>
  <c r="P1306" i="2"/>
  <c r="L1306" i="2"/>
  <c r="K1306" i="2"/>
  <c r="H1306" i="2"/>
  <c r="I1306" i="2" s="1"/>
  <c r="J1306" i="2" s="1"/>
  <c r="C1306" i="2"/>
  <c r="B1306" i="2"/>
  <c r="A1306" i="2"/>
  <c r="X1305" i="2"/>
  <c r="S1305" i="2"/>
  <c r="R1305" i="2"/>
  <c r="Q1305" i="2"/>
  <c r="P1305" i="2"/>
  <c r="L1305" i="2"/>
  <c r="K1305" i="2"/>
  <c r="H1305" i="2"/>
  <c r="I1305" i="2" s="1"/>
  <c r="J1305" i="2" s="1"/>
  <c r="C1305" i="2"/>
  <c r="B1305" i="2"/>
  <c r="A1305" i="2"/>
  <c r="X1304" i="2"/>
  <c r="S1304" i="2"/>
  <c r="R1304" i="2"/>
  <c r="Q1304" i="2"/>
  <c r="P1304" i="2"/>
  <c r="L1304" i="2"/>
  <c r="K1304" i="2"/>
  <c r="H1304" i="2"/>
  <c r="I1304" i="2" s="1"/>
  <c r="J1304" i="2" s="1"/>
  <c r="C1304" i="2"/>
  <c r="B1304" i="2"/>
  <c r="A1304" i="2"/>
  <c r="X1303" i="2"/>
  <c r="S1303" i="2"/>
  <c r="R1303" i="2"/>
  <c r="Q1303" i="2"/>
  <c r="P1303" i="2"/>
  <c r="L1303" i="2"/>
  <c r="K1303" i="2"/>
  <c r="H1303" i="2"/>
  <c r="I1303" i="2" s="1"/>
  <c r="J1303" i="2" s="1"/>
  <c r="C1303" i="2"/>
  <c r="B1303" i="2"/>
  <c r="A1303" i="2"/>
  <c r="X1302" i="2"/>
  <c r="S1302" i="2"/>
  <c r="R1302" i="2"/>
  <c r="Q1302" i="2"/>
  <c r="P1302" i="2"/>
  <c r="L1302" i="2"/>
  <c r="K1302" i="2"/>
  <c r="H1302" i="2"/>
  <c r="I1302" i="2" s="1"/>
  <c r="J1302" i="2" s="1"/>
  <c r="C1302" i="2"/>
  <c r="B1302" i="2"/>
  <c r="A1302" i="2"/>
  <c r="X1301" i="2"/>
  <c r="S1301" i="2"/>
  <c r="R1301" i="2"/>
  <c r="Q1301" i="2"/>
  <c r="P1301" i="2"/>
  <c r="L1301" i="2"/>
  <c r="K1301" i="2"/>
  <c r="H1301" i="2"/>
  <c r="I1301" i="2" s="1"/>
  <c r="J1301" i="2" s="1"/>
  <c r="C1301" i="2"/>
  <c r="B1301" i="2"/>
  <c r="A1301" i="2"/>
  <c r="X1300" i="2"/>
  <c r="S1300" i="2"/>
  <c r="R1300" i="2"/>
  <c r="Q1300" i="2"/>
  <c r="P1300" i="2"/>
  <c r="L1300" i="2"/>
  <c r="K1300" i="2"/>
  <c r="H1300" i="2"/>
  <c r="I1300" i="2" s="1"/>
  <c r="J1300" i="2" s="1"/>
  <c r="C1300" i="2"/>
  <c r="B1300" i="2"/>
  <c r="A1300" i="2"/>
  <c r="J1300" i="4" s="1"/>
  <c r="X1299" i="2"/>
  <c r="S1299" i="2"/>
  <c r="R1299" i="2"/>
  <c r="Q1299" i="2"/>
  <c r="P1299" i="2"/>
  <c r="L1299" i="2"/>
  <c r="K1299" i="2"/>
  <c r="H1299" i="2"/>
  <c r="I1299" i="2" s="1"/>
  <c r="J1299" i="2" s="1"/>
  <c r="C1299" i="2"/>
  <c r="B1299" i="2"/>
  <c r="A1299" i="2"/>
  <c r="J1299" i="4" s="1"/>
  <c r="X1298" i="2"/>
  <c r="S1298" i="2"/>
  <c r="R1298" i="2"/>
  <c r="Q1298" i="2"/>
  <c r="P1298" i="2"/>
  <c r="L1298" i="2"/>
  <c r="K1298" i="2"/>
  <c r="H1298" i="2"/>
  <c r="I1298" i="2" s="1"/>
  <c r="J1298" i="2" s="1"/>
  <c r="C1298" i="2"/>
  <c r="B1298" i="2"/>
  <c r="A1298" i="2"/>
  <c r="J1298" i="4" s="1"/>
  <c r="X1297" i="2"/>
  <c r="S1297" i="2"/>
  <c r="R1297" i="2"/>
  <c r="Q1297" i="2"/>
  <c r="P1297" i="2"/>
  <c r="L1297" i="2"/>
  <c r="K1297" i="2"/>
  <c r="H1297" i="2"/>
  <c r="I1297" i="2" s="1"/>
  <c r="J1297" i="2" s="1"/>
  <c r="C1297" i="2"/>
  <c r="B1297" i="2"/>
  <c r="A1297" i="2"/>
  <c r="J1297" i="4" s="1"/>
  <c r="X1296" i="2"/>
  <c r="S1296" i="2"/>
  <c r="R1296" i="2"/>
  <c r="Q1296" i="2"/>
  <c r="P1296" i="2"/>
  <c r="L1296" i="2"/>
  <c r="K1296" i="2"/>
  <c r="H1296" i="2"/>
  <c r="I1296" i="2" s="1"/>
  <c r="J1296" i="2" s="1"/>
  <c r="C1296" i="2"/>
  <c r="B1296" i="2"/>
  <c r="A1296" i="2"/>
  <c r="J1296" i="4" s="1"/>
  <c r="X1295" i="2"/>
  <c r="S1295" i="2"/>
  <c r="R1295" i="2"/>
  <c r="Q1295" i="2"/>
  <c r="P1295" i="2"/>
  <c r="L1295" i="2"/>
  <c r="K1295" i="2"/>
  <c r="H1295" i="2"/>
  <c r="I1295" i="2" s="1"/>
  <c r="J1295" i="2" s="1"/>
  <c r="C1295" i="2"/>
  <c r="B1295" i="2"/>
  <c r="A1295" i="2"/>
  <c r="J1295" i="4" s="1"/>
  <c r="X1294" i="2"/>
  <c r="S1294" i="2"/>
  <c r="R1294" i="2"/>
  <c r="Q1294" i="2"/>
  <c r="P1294" i="2"/>
  <c r="L1294" i="2"/>
  <c r="K1294" i="2"/>
  <c r="H1294" i="2"/>
  <c r="I1294" i="2" s="1"/>
  <c r="J1294" i="2" s="1"/>
  <c r="C1294" i="2"/>
  <c r="B1294" i="2"/>
  <c r="A1294" i="2"/>
  <c r="J1294" i="4" s="1"/>
  <c r="X1293" i="2"/>
  <c r="S1293" i="2"/>
  <c r="R1293" i="2"/>
  <c r="Q1293" i="2"/>
  <c r="P1293" i="2"/>
  <c r="L1293" i="2"/>
  <c r="K1293" i="2"/>
  <c r="H1293" i="2"/>
  <c r="I1293" i="2" s="1"/>
  <c r="J1293" i="2" s="1"/>
  <c r="C1293" i="2"/>
  <c r="B1293" i="2"/>
  <c r="A1293" i="2"/>
  <c r="J1293" i="4" s="1"/>
  <c r="X1292" i="2"/>
  <c r="S1292" i="2"/>
  <c r="R1292" i="2"/>
  <c r="Q1292" i="2"/>
  <c r="P1292" i="2"/>
  <c r="L1292" i="2"/>
  <c r="K1292" i="2"/>
  <c r="H1292" i="2"/>
  <c r="I1292" i="2" s="1"/>
  <c r="J1292" i="2" s="1"/>
  <c r="C1292" i="2"/>
  <c r="B1292" i="2"/>
  <c r="A1292" i="2"/>
  <c r="J1292" i="4" s="1"/>
  <c r="X1291" i="2"/>
  <c r="S1291" i="2"/>
  <c r="R1291" i="2"/>
  <c r="Q1291" i="2"/>
  <c r="P1291" i="2"/>
  <c r="L1291" i="2"/>
  <c r="K1291" i="2"/>
  <c r="H1291" i="2"/>
  <c r="I1291" i="2" s="1"/>
  <c r="J1291" i="2" s="1"/>
  <c r="C1291" i="2"/>
  <c r="B1291" i="2"/>
  <c r="A1291" i="2"/>
  <c r="J1291" i="4" s="1"/>
  <c r="X1290" i="2"/>
  <c r="S1290" i="2"/>
  <c r="R1290" i="2"/>
  <c r="Q1290" i="2"/>
  <c r="P1290" i="2"/>
  <c r="L1290" i="2"/>
  <c r="K1290" i="2"/>
  <c r="H1290" i="2"/>
  <c r="I1290" i="2" s="1"/>
  <c r="J1290" i="2" s="1"/>
  <c r="C1290" i="2"/>
  <c r="B1290" i="2"/>
  <c r="A1290" i="2"/>
  <c r="J1290" i="4" s="1"/>
  <c r="X1289" i="2"/>
  <c r="S1289" i="2"/>
  <c r="R1289" i="2"/>
  <c r="Q1289" i="2"/>
  <c r="P1289" i="2"/>
  <c r="L1289" i="2"/>
  <c r="K1289" i="2"/>
  <c r="H1289" i="2"/>
  <c r="I1289" i="2" s="1"/>
  <c r="J1289" i="2" s="1"/>
  <c r="C1289" i="2"/>
  <c r="B1289" i="2"/>
  <c r="A1289" i="2"/>
  <c r="J1289" i="4" s="1"/>
  <c r="X1288" i="2"/>
  <c r="S1288" i="2"/>
  <c r="R1288" i="2"/>
  <c r="Q1288" i="2"/>
  <c r="P1288" i="2"/>
  <c r="L1288" i="2"/>
  <c r="K1288" i="2"/>
  <c r="H1288" i="2"/>
  <c r="I1288" i="2" s="1"/>
  <c r="J1288" i="2" s="1"/>
  <c r="C1288" i="2"/>
  <c r="B1288" i="2"/>
  <c r="A1288" i="2"/>
  <c r="J1288" i="4" s="1"/>
  <c r="X1287" i="2"/>
  <c r="S1287" i="2"/>
  <c r="R1287" i="2"/>
  <c r="Q1287" i="2"/>
  <c r="P1287" i="2"/>
  <c r="L1287" i="2"/>
  <c r="K1287" i="2"/>
  <c r="H1287" i="2"/>
  <c r="I1287" i="2" s="1"/>
  <c r="J1287" i="2" s="1"/>
  <c r="C1287" i="2"/>
  <c r="B1287" i="2"/>
  <c r="A1287" i="2"/>
  <c r="J1287" i="4" s="1"/>
  <c r="X1286" i="2"/>
  <c r="S1286" i="2"/>
  <c r="R1286" i="2"/>
  <c r="Q1286" i="2"/>
  <c r="P1286" i="2"/>
  <c r="L1286" i="2"/>
  <c r="K1286" i="2"/>
  <c r="H1286" i="2"/>
  <c r="I1286" i="2" s="1"/>
  <c r="J1286" i="2" s="1"/>
  <c r="C1286" i="2"/>
  <c r="B1286" i="2"/>
  <c r="A1286" i="2"/>
  <c r="J1286" i="4" s="1"/>
  <c r="X1285" i="2"/>
  <c r="S1285" i="2"/>
  <c r="R1285" i="2"/>
  <c r="Q1285" i="2"/>
  <c r="P1285" i="2"/>
  <c r="L1285" i="2"/>
  <c r="K1285" i="2"/>
  <c r="H1285" i="2"/>
  <c r="I1285" i="2" s="1"/>
  <c r="J1285" i="2" s="1"/>
  <c r="C1285" i="2"/>
  <c r="B1285" i="2"/>
  <c r="A1285" i="2"/>
  <c r="J1285" i="4" s="1"/>
  <c r="X1284" i="2"/>
  <c r="S1284" i="2"/>
  <c r="R1284" i="2"/>
  <c r="Q1284" i="2"/>
  <c r="P1284" i="2"/>
  <c r="L1284" i="2"/>
  <c r="K1284" i="2"/>
  <c r="H1284" i="2"/>
  <c r="I1284" i="2" s="1"/>
  <c r="J1284" i="2" s="1"/>
  <c r="C1284" i="2"/>
  <c r="B1284" i="2"/>
  <c r="A1284" i="2"/>
  <c r="J1284" i="4" s="1"/>
  <c r="X1283" i="2"/>
  <c r="S1283" i="2"/>
  <c r="R1283" i="2"/>
  <c r="Q1283" i="2"/>
  <c r="P1283" i="2"/>
  <c r="L1283" i="2"/>
  <c r="K1283" i="2"/>
  <c r="H1283" i="2"/>
  <c r="I1283" i="2" s="1"/>
  <c r="J1283" i="2" s="1"/>
  <c r="C1283" i="2"/>
  <c r="B1283" i="2"/>
  <c r="A1283" i="2"/>
  <c r="J1283" i="4" s="1"/>
  <c r="X1282" i="2"/>
  <c r="S1282" i="2"/>
  <c r="R1282" i="2"/>
  <c r="Q1282" i="2"/>
  <c r="P1282" i="2"/>
  <c r="L1282" i="2"/>
  <c r="K1282" i="2"/>
  <c r="H1282" i="2"/>
  <c r="I1282" i="2" s="1"/>
  <c r="J1282" i="2" s="1"/>
  <c r="C1282" i="2"/>
  <c r="B1282" i="2"/>
  <c r="A1282" i="2"/>
  <c r="J1282" i="4" s="1"/>
  <c r="X1281" i="2"/>
  <c r="S1281" i="2"/>
  <c r="R1281" i="2"/>
  <c r="Q1281" i="2"/>
  <c r="P1281" i="2"/>
  <c r="L1281" i="2"/>
  <c r="K1281" i="2"/>
  <c r="H1281" i="2"/>
  <c r="I1281" i="2" s="1"/>
  <c r="J1281" i="2" s="1"/>
  <c r="C1281" i="2"/>
  <c r="B1281" i="2"/>
  <c r="A1281" i="2"/>
  <c r="J1281" i="4" s="1"/>
  <c r="X1280" i="2"/>
  <c r="S1280" i="2"/>
  <c r="R1280" i="2"/>
  <c r="Q1280" i="2"/>
  <c r="P1280" i="2"/>
  <c r="L1280" i="2"/>
  <c r="K1280" i="2"/>
  <c r="H1280" i="2"/>
  <c r="I1280" i="2" s="1"/>
  <c r="J1280" i="2" s="1"/>
  <c r="C1280" i="2"/>
  <c r="B1280" i="2"/>
  <c r="A1280" i="2"/>
  <c r="J1280" i="4" s="1"/>
  <c r="X1279" i="2"/>
  <c r="S1279" i="2"/>
  <c r="R1279" i="2"/>
  <c r="Q1279" i="2"/>
  <c r="P1279" i="2"/>
  <c r="L1279" i="2"/>
  <c r="K1279" i="2"/>
  <c r="H1279" i="2"/>
  <c r="I1279" i="2" s="1"/>
  <c r="J1279" i="2" s="1"/>
  <c r="C1279" i="2"/>
  <c r="B1279" i="2"/>
  <c r="A1279" i="2"/>
  <c r="J1279" i="4" s="1"/>
  <c r="X1278" i="2"/>
  <c r="S1278" i="2"/>
  <c r="R1278" i="2"/>
  <c r="Q1278" i="2"/>
  <c r="P1278" i="2"/>
  <c r="L1278" i="2"/>
  <c r="K1278" i="2"/>
  <c r="H1278" i="2"/>
  <c r="I1278" i="2" s="1"/>
  <c r="J1278" i="2" s="1"/>
  <c r="C1278" i="2"/>
  <c r="B1278" i="2"/>
  <c r="A1278" i="2"/>
  <c r="J1278" i="4" s="1"/>
  <c r="X1277" i="2"/>
  <c r="S1277" i="2"/>
  <c r="R1277" i="2"/>
  <c r="Q1277" i="2"/>
  <c r="P1277" i="2"/>
  <c r="L1277" i="2"/>
  <c r="K1277" i="2"/>
  <c r="H1277" i="2"/>
  <c r="I1277" i="2" s="1"/>
  <c r="J1277" i="2" s="1"/>
  <c r="C1277" i="2"/>
  <c r="B1277" i="2"/>
  <c r="A1277" i="2"/>
  <c r="J1277" i="4" s="1"/>
  <c r="X1276" i="2"/>
  <c r="S1276" i="2"/>
  <c r="R1276" i="2"/>
  <c r="Q1276" i="2"/>
  <c r="P1276" i="2"/>
  <c r="L1276" i="2"/>
  <c r="K1276" i="2"/>
  <c r="H1276" i="2"/>
  <c r="I1276" i="2" s="1"/>
  <c r="J1276" i="2" s="1"/>
  <c r="C1276" i="2"/>
  <c r="B1276" i="2"/>
  <c r="A1276" i="2"/>
  <c r="J1276" i="4" s="1"/>
  <c r="X1275" i="2"/>
  <c r="S1275" i="2"/>
  <c r="R1275" i="2"/>
  <c r="Q1275" i="2"/>
  <c r="P1275" i="2"/>
  <c r="L1275" i="2"/>
  <c r="K1275" i="2"/>
  <c r="H1275" i="2"/>
  <c r="I1275" i="2" s="1"/>
  <c r="J1275" i="2" s="1"/>
  <c r="C1275" i="2"/>
  <c r="B1275" i="2"/>
  <c r="A1275" i="2"/>
  <c r="J1275" i="4" s="1"/>
  <c r="X1274" i="2"/>
  <c r="S1274" i="2"/>
  <c r="R1274" i="2"/>
  <c r="Q1274" i="2"/>
  <c r="P1274" i="2"/>
  <c r="L1274" i="2"/>
  <c r="K1274" i="2"/>
  <c r="H1274" i="2"/>
  <c r="I1274" i="2" s="1"/>
  <c r="J1274" i="2" s="1"/>
  <c r="C1274" i="2"/>
  <c r="B1274" i="2"/>
  <c r="A1274" i="2"/>
  <c r="J1274" i="4" s="1"/>
  <c r="X1273" i="2"/>
  <c r="S1273" i="2"/>
  <c r="R1273" i="2"/>
  <c r="Q1273" i="2"/>
  <c r="P1273" i="2"/>
  <c r="L1273" i="2"/>
  <c r="K1273" i="2"/>
  <c r="H1273" i="2"/>
  <c r="I1273" i="2" s="1"/>
  <c r="J1273" i="2" s="1"/>
  <c r="C1273" i="2"/>
  <c r="B1273" i="2"/>
  <c r="A1273" i="2"/>
  <c r="J1273" i="4" s="1"/>
  <c r="X1272" i="2"/>
  <c r="S1272" i="2"/>
  <c r="R1272" i="2"/>
  <c r="Q1272" i="2"/>
  <c r="P1272" i="2"/>
  <c r="L1272" i="2"/>
  <c r="K1272" i="2"/>
  <c r="H1272" i="2"/>
  <c r="I1272" i="2" s="1"/>
  <c r="J1272" i="2" s="1"/>
  <c r="C1272" i="2"/>
  <c r="B1272" i="2"/>
  <c r="A1272" i="2"/>
  <c r="J1272" i="4" s="1"/>
  <c r="X1271" i="2"/>
  <c r="S1271" i="2"/>
  <c r="R1271" i="2"/>
  <c r="Q1271" i="2"/>
  <c r="P1271" i="2"/>
  <c r="L1271" i="2"/>
  <c r="K1271" i="2"/>
  <c r="H1271" i="2"/>
  <c r="I1271" i="2" s="1"/>
  <c r="J1271" i="2" s="1"/>
  <c r="C1271" i="2"/>
  <c r="B1271" i="2"/>
  <c r="A1271" i="2"/>
  <c r="J1271" i="4" s="1"/>
  <c r="X1270" i="2"/>
  <c r="S1270" i="2"/>
  <c r="R1270" i="2"/>
  <c r="Q1270" i="2"/>
  <c r="P1270" i="2"/>
  <c r="L1270" i="2"/>
  <c r="K1270" i="2"/>
  <c r="H1270" i="2"/>
  <c r="I1270" i="2" s="1"/>
  <c r="J1270" i="2" s="1"/>
  <c r="C1270" i="2"/>
  <c r="B1270" i="2"/>
  <c r="A1270" i="2"/>
  <c r="J1270" i="4" s="1"/>
  <c r="X1269" i="2"/>
  <c r="S1269" i="2"/>
  <c r="R1269" i="2"/>
  <c r="Q1269" i="2"/>
  <c r="P1269" i="2"/>
  <c r="L1269" i="2"/>
  <c r="K1269" i="2"/>
  <c r="H1269" i="2"/>
  <c r="I1269" i="2" s="1"/>
  <c r="J1269" i="2" s="1"/>
  <c r="C1269" i="2"/>
  <c r="B1269" i="2"/>
  <c r="A1269" i="2"/>
  <c r="J1269" i="4" s="1"/>
  <c r="X1268" i="2"/>
  <c r="S1268" i="2"/>
  <c r="R1268" i="2"/>
  <c r="Q1268" i="2"/>
  <c r="P1268" i="2"/>
  <c r="L1268" i="2"/>
  <c r="K1268" i="2"/>
  <c r="H1268" i="2"/>
  <c r="I1268" i="2" s="1"/>
  <c r="J1268" i="2" s="1"/>
  <c r="C1268" i="2"/>
  <c r="B1268" i="2"/>
  <c r="A1268" i="2"/>
  <c r="J1268" i="4" s="1"/>
  <c r="X1267" i="2"/>
  <c r="S1267" i="2"/>
  <c r="R1267" i="2"/>
  <c r="Q1267" i="2"/>
  <c r="P1267" i="2"/>
  <c r="L1267" i="2"/>
  <c r="K1267" i="2"/>
  <c r="H1267" i="2"/>
  <c r="I1267" i="2" s="1"/>
  <c r="J1267" i="2" s="1"/>
  <c r="C1267" i="2"/>
  <c r="B1267" i="2"/>
  <c r="A1267" i="2"/>
  <c r="J1267" i="4" s="1"/>
  <c r="X1266" i="2"/>
  <c r="S1266" i="2"/>
  <c r="R1266" i="2"/>
  <c r="Q1266" i="2"/>
  <c r="P1266" i="2"/>
  <c r="L1266" i="2"/>
  <c r="K1266" i="2"/>
  <c r="H1266" i="2"/>
  <c r="I1266" i="2" s="1"/>
  <c r="J1266" i="2" s="1"/>
  <c r="C1266" i="2"/>
  <c r="B1266" i="2"/>
  <c r="A1266" i="2"/>
  <c r="J1266" i="4" s="1"/>
  <c r="X1265" i="2"/>
  <c r="S1265" i="2"/>
  <c r="R1265" i="2"/>
  <c r="Q1265" i="2"/>
  <c r="P1265" i="2"/>
  <c r="L1265" i="2"/>
  <c r="K1265" i="2"/>
  <c r="H1265" i="2"/>
  <c r="I1265" i="2" s="1"/>
  <c r="J1265" i="2" s="1"/>
  <c r="C1265" i="2"/>
  <c r="B1265" i="2"/>
  <c r="A1265" i="2"/>
  <c r="J1265" i="4" s="1"/>
  <c r="X1264" i="2"/>
  <c r="S1264" i="2"/>
  <c r="R1264" i="2"/>
  <c r="Q1264" i="2"/>
  <c r="P1264" i="2"/>
  <c r="L1264" i="2"/>
  <c r="K1264" i="2"/>
  <c r="H1264" i="2"/>
  <c r="I1264" i="2" s="1"/>
  <c r="J1264" i="2" s="1"/>
  <c r="C1264" i="2"/>
  <c r="B1264" i="2"/>
  <c r="A1264" i="2"/>
  <c r="J1264" i="4" s="1"/>
  <c r="X1263" i="2"/>
  <c r="S1263" i="2"/>
  <c r="R1263" i="2"/>
  <c r="Q1263" i="2"/>
  <c r="P1263" i="2"/>
  <c r="L1263" i="2"/>
  <c r="K1263" i="2"/>
  <c r="H1263" i="2"/>
  <c r="I1263" i="2" s="1"/>
  <c r="J1263" i="2" s="1"/>
  <c r="C1263" i="2"/>
  <c r="B1263" i="2"/>
  <c r="A1263" i="2"/>
  <c r="X1262" i="2"/>
  <c r="S1262" i="2"/>
  <c r="R1262" i="2"/>
  <c r="Q1262" i="2"/>
  <c r="P1262" i="2"/>
  <c r="L1262" i="2"/>
  <c r="K1262" i="2"/>
  <c r="H1262" i="2"/>
  <c r="I1262" i="2" s="1"/>
  <c r="J1262" i="2" s="1"/>
  <c r="C1262" i="2"/>
  <c r="B1262" i="2"/>
  <c r="A1262" i="2"/>
  <c r="X1261" i="2"/>
  <c r="S1261" i="2"/>
  <c r="R1261" i="2"/>
  <c r="Q1261" i="2"/>
  <c r="P1261" i="2"/>
  <c r="L1261" i="2"/>
  <c r="K1261" i="2"/>
  <c r="H1261" i="2"/>
  <c r="I1261" i="2" s="1"/>
  <c r="J1261" i="2" s="1"/>
  <c r="C1261" i="2"/>
  <c r="B1261" i="2"/>
  <c r="A1261" i="2"/>
  <c r="X1260" i="2"/>
  <c r="S1260" i="2"/>
  <c r="R1260" i="2"/>
  <c r="Q1260" i="2"/>
  <c r="P1260" i="2"/>
  <c r="L1260" i="2"/>
  <c r="K1260" i="2"/>
  <c r="H1260" i="2"/>
  <c r="I1260" i="2" s="1"/>
  <c r="J1260" i="2" s="1"/>
  <c r="C1260" i="2"/>
  <c r="B1260" i="2"/>
  <c r="A1260" i="2"/>
  <c r="X1259" i="2"/>
  <c r="S1259" i="2"/>
  <c r="R1259" i="2"/>
  <c r="Q1259" i="2"/>
  <c r="P1259" i="2"/>
  <c r="L1259" i="2"/>
  <c r="K1259" i="2"/>
  <c r="H1259" i="2"/>
  <c r="I1259" i="2" s="1"/>
  <c r="J1259" i="2" s="1"/>
  <c r="C1259" i="2"/>
  <c r="B1259" i="2"/>
  <c r="A1259" i="2"/>
  <c r="X1258" i="2"/>
  <c r="S1258" i="2"/>
  <c r="R1258" i="2"/>
  <c r="Q1258" i="2"/>
  <c r="P1258" i="2"/>
  <c r="L1258" i="2"/>
  <c r="K1258" i="2"/>
  <c r="H1258" i="2"/>
  <c r="I1258" i="2" s="1"/>
  <c r="J1258" i="2" s="1"/>
  <c r="C1258" i="2"/>
  <c r="B1258" i="2"/>
  <c r="A1258" i="2"/>
  <c r="X1257" i="2"/>
  <c r="S1257" i="2"/>
  <c r="R1257" i="2"/>
  <c r="Q1257" i="2"/>
  <c r="P1257" i="2"/>
  <c r="L1257" i="2"/>
  <c r="K1257" i="2"/>
  <c r="H1257" i="2"/>
  <c r="I1257" i="2" s="1"/>
  <c r="J1257" i="2" s="1"/>
  <c r="C1257" i="2"/>
  <c r="B1257" i="2"/>
  <c r="A1257" i="2"/>
  <c r="X1256" i="2"/>
  <c r="S1256" i="2"/>
  <c r="R1256" i="2"/>
  <c r="Q1256" i="2"/>
  <c r="P1256" i="2"/>
  <c r="L1256" i="2"/>
  <c r="K1256" i="2"/>
  <c r="H1256" i="2"/>
  <c r="I1256" i="2" s="1"/>
  <c r="J1256" i="2" s="1"/>
  <c r="C1256" i="2"/>
  <c r="B1256" i="2"/>
  <c r="A1256" i="2"/>
  <c r="X1255" i="2"/>
  <c r="S1255" i="2"/>
  <c r="R1255" i="2"/>
  <c r="Q1255" i="2"/>
  <c r="P1255" i="2"/>
  <c r="L1255" i="2"/>
  <c r="K1255" i="2"/>
  <c r="H1255" i="2"/>
  <c r="I1255" i="2" s="1"/>
  <c r="J1255" i="2" s="1"/>
  <c r="C1255" i="2"/>
  <c r="B1255" i="2"/>
  <c r="A1255" i="2"/>
  <c r="X1254" i="2"/>
  <c r="S1254" i="2"/>
  <c r="R1254" i="2"/>
  <c r="Q1254" i="2"/>
  <c r="P1254" i="2"/>
  <c r="L1254" i="2"/>
  <c r="K1254" i="2"/>
  <c r="H1254" i="2"/>
  <c r="I1254" i="2" s="1"/>
  <c r="J1254" i="2" s="1"/>
  <c r="C1254" i="2"/>
  <c r="B1254" i="2"/>
  <c r="A1254" i="2"/>
  <c r="X1253" i="2"/>
  <c r="S1253" i="2"/>
  <c r="R1253" i="2"/>
  <c r="Q1253" i="2"/>
  <c r="P1253" i="2"/>
  <c r="L1253" i="2"/>
  <c r="K1253" i="2"/>
  <c r="H1253" i="2"/>
  <c r="I1253" i="2" s="1"/>
  <c r="J1253" i="2" s="1"/>
  <c r="C1253" i="2"/>
  <c r="B1253" i="2"/>
  <c r="A1253" i="2"/>
  <c r="X1252" i="2"/>
  <c r="S1252" i="2"/>
  <c r="R1252" i="2"/>
  <c r="Q1252" i="2"/>
  <c r="P1252" i="2"/>
  <c r="L1252" i="2"/>
  <c r="K1252" i="2"/>
  <c r="H1252" i="2"/>
  <c r="I1252" i="2" s="1"/>
  <c r="J1252" i="2" s="1"/>
  <c r="C1252" i="2"/>
  <c r="B1252" i="2"/>
  <c r="A1252" i="2"/>
  <c r="X1251" i="2"/>
  <c r="S1251" i="2"/>
  <c r="R1251" i="2"/>
  <c r="Q1251" i="2"/>
  <c r="P1251" i="2"/>
  <c r="L1251" i="2"/>
  <c r="K1251" i="2"/>
  <c r="H1251" i="2"/>
  <c r="I1251" i="2" s="1"/>
  <c r="J1251" i="2" s="1"/>
  <c r="C1251" i="2"/>
  <c r="B1251" i="2"/>
  <c r="A1251" i="2"/>
  <c r="X1250" i="2"/>
  <c r="S1250" i="2"/>
  <c r="R1250" i="2"/>
  <c r="Q1250" i="2"/>
  <c r="P1250" i="2"/>
  <c r="L1250" i="2"/>
  <c r="K1250" i="2"/>
  <c r="H1250" i="2"/>
  <c r="I1250" i="2" s="1"/>
  <c r="J1250" i="2" s="1"/>
  <c r="C1250" i="2"/>
  <c r="B1250" i="2"/>
  <c r="A1250" i="2"/>
  <c r="X1249" i="2"/>
  <c r="S1249" i="2"/>
  <c r="R1249" i="2"/>
  <c r="Q1249" i="2"/>
  <c r="P1249" i="2"/>
  <c r="L1249" i="2"/>
  <c r="K1249" i="2"/>
  <c r="H1249" i="2"/>
  <c r="I1249" i="2" s="1"/>
  <c r="J1249" i="2" s="1"/>
  <c r="C1249" i="2"/>
  <c r="B1249" i="2"/>
  <c r="A1249" i="2"/>
  <c r="X1248" i="2"/>
  <c r="S1248" i="2"/>
  <c r="R1248" i="2"/>
  <c r="Q1248" i="2"/>
  <c r="P1248" i="2"/>
  <c r="L1248" i="2"/>
  <c r="K1248" i="2"/>
  <c r="H1248" i="2"/>
  <c r="I1248" i="2" s="1"/>
  <c r="J1248" i="2" s="1"/>
  <c r="C1248" i="2"/>
  <c r="B1248" i="2"/>
  <c r="A1248" i="2"/>
  <c r="X1247" i="2"/>
  <c r="S1247" i="2"/>
  <c r="R1247" i="2"/>
  <c r="Q1247" i="2"/>
  <c r="P1247" i="2"/>
  <c r="L1247" i="2"/>
  <c r="K1247" i="2"/>
  <c r="H1247" i="2"/>
  <c r="I1247" i="2" s="1"/>
  <c r="J1247" i="2" s="1"/>
  <c r="C1247" i="2"/>
  <c r="B1247" i="2"/>
  <c r="A1247" i="2"/>
  <c r="X1246" i="2"/>
  <c r="S1246" i="2"/>
  <c r="R1246" i="2"/>
  <c r="Q1246" i="2"/>
  <c r="P1246" i="2"/>
  <c r="L1246" i="2"/>
  <c r="K1246" i="2"/>
  <c r="H1246" i="2"/>
  <c r="I1246" i="2" s="1"/>
  <c r="J1246" i="2" s="1"/>
  <c r="C1246" i="2"/>
  <c r="B1246" i="2"/>
  <c r="A1246" i="2"/>
  <c r="X1245" i="2"/>
  <c r="S1245" i="2"/>
  <c r="R1245" i="2"/>
  <c r="Q1245" i="2"/>
  <c r="P1245" i="2"/>
  <c r="L1245" i="2"/>
  <c r="K1245" i="2"/>
  <c r="H1245" i="2"/>
  <c r="I1245" i="2" s="1"/>
  <c r="J1245" i="2" s="1"/>
  <c r="C1245" i="2"/>
  <c r="B1245" i="2"/>
  <c r="A1245" i="2"/>
  <c r="X1244" i="2"/>
  <c r="S1244" i="2"/>
  <c r="R1244" i="2"/>
  <c r="Q1244" i="2"/>
  <c r="P1244" i="2"/>
  <c r="L1244" i="2"/>
  <c r="K1244" i="2"/>
  <c r="H1244" i="2"/>
  <c r="I1244" i="2" s="1"/>
  <c r="J1244" i="2" s="1"/>
  <c r="C1244" i="2"/>
  <c r="B1244" i="2"/>
  <c r="A1244" i="2"/>
  <c r="X1243" i="2"/>
  <c r="S1243" i="2"/>
  <c r="R1243" i="2"/>
  <c r="Q1243" i="2"/>
  <c r="P1243" i="2"/>
  <c r="L1243" i="2"/>
  <c r="K1243" i="2"/>
  <c r="H1243" i="2"/>
  <c r="I1243" i="2" s="1"/>
  <c r="J1243" i="2" s="1"/>
  <c r="C1243" i="2"/>
  <c r="B1243" i="2"/>
  <c r="A1243" i="2"/>
  <c r="X1242" i="2"/>
  <c r="S1242" i="2"/>
  <c r="R1242" i="2"/>
  <c r="Q1242" i="2"/>
  <c r="P1242" i="2"/>
  <c r="L1242" i="2"/>
  <c r="K1242" i="2"/>
  <c r="H1242" i="2"/>
  <c r="I1242" i="2" s="1"/>
  <c r="J1242" i="2" s="1"/>
  <c r="C1242" i="2"/>
  <c r="B1242" i="2"/>
  <c r="A1242" i="2"/>
  <c r="X1241" i="2"/>
  <c r="S1241" i="2"/>
  <c r="R1241" i="2"/>
  <c r="Q1241" i="2"/>
  <c r="P1241" i="2"/>
  <c r="L1241" i="2"/>
  <c r="K1241" i="2"/>
  <c r="H1241" i="2"/>
  <c r="I1241" i="2" s="1"/>
  <c r="J1241" i="2" s="1"/>
  <c r="C1241" i="2"/>
  <c r="B1241" i="2"/>
  <c r="A1241" i="2"/>
  <c r="X1240" i="2"/>
  <c r="S1240" i="2"/>
  <c r="R1240" i="2"/>
  <c r="Q1240" i="2"/>
  <c r="P1240" i="2"/>
  <c r="L1240" i="2"/>
  <c r="K1240" i="2"/>
  <c r="H1240" i="2"/>
  <c r="I1240" i="2" s="1"/>
  <c r="J1240" i="2" s="1"/>
  <c r="C1240" i="2"/>
  <c r="B1240" i="2"/>
  <c r="A1240" i="2"/>
  <c r="X1239" i="2"/>
  <c r="S1239" i="2"/>
  <c r="R1239" i="2"/>
  <c r="Q1239" i="2"/>
  <c r="P1239" i="2"/>
  <c r="L1239" i="2"/>
  <c r="K1239" i="2"/>
  <c r="H1239" i="2"/>
  <c r="I1239" i="2" s="1"/>
  <c r="J1239" i="2" s="1"/>
  <c r="C1239" i="2"/>
  <c r="B1239" i="2"/>
  <c r="A1239" i="2"/>
  <c r="X1238" i="2"/>
  <c r="S1238" i="2"/>
  <c r="R1238" i="2"/>
  <c r="Q1238" i="2"/>
  <c r="P1238" i="2"/>
  <c r="L1238" i="2"/>
  <c r="K1238" i="2"/>
  <c r="H1238" i="2"/>
  <c r="I1238" i="2" s="1"/>
  <c r="J1238" i="2" s="1"/>
  <c r="C1238" i="2"/>
  <c r="B1238" i="2"/>
  <c r="A1238" i="2"/>
  <c r="X1237" i="2"/>
  <c r="S1237" i="2"/>
  <c r="R1237" i="2"/>
  <c r="Q1237" i="2"/>
  <c r="P1237" i="2"/>
  <c r="L1237" i="2"/>
  <c r="K1237" i="2"/>
  <c r="H1237" i="2"/>
  <c r="I1237" i="2" s="1"/>
  <c r="J1237" i="2" s="1"/>
  <c r="C1237" i="2"/>
  <c r="B1237" i="2"/>
  <c r="A1237" i="2"/>
  <c r="X1236" i="2"/>
  <c r="S1236" i="2"/>
  <c r="Q1236" i="2"/>
  <c r="P1236" i="2"/>
  <c r="L1236" i="2"/>
  <c r="K1236" i="2"/>
  <c r="H1236" i="2"/>
  <c r="I1236" i="2" s="1"/>
  <c r="J1236" i="2" s="1"/>
  <c r="C1236" i="2"/>
  <c r="B1236" i="2"/>
  <c r="A1236" i="2"/>
  <c r="X1235" i="2"/>
  <c r="S1235" i="2"/>
  <c r="R1235" i="2"/>
  <c r="Q1235" i="2"/>
  <c r="P1235" i="2"/>
  <c r="L1235" i="2"/>
  <c r="K1235" i="2"/>
  <c r="H1235" i="2"/>
  <c r="I1235" i="2" s="1"/>
  <c r="J1235" i="2" s="1"/>
  <c r="C1235" i="2"/>
  <c r="B1235" i="2"/>
  <c r="A1235" i="2"/>
  <c r="X1234" i="2"/>
  <c r="S1234" i="2"/>
  <c r="R1234" i="2"/>
  <c r="Q1234" i="2"/>
  <c r="P1234" i="2"/>
  <c r="L1234" i="2"/>
  <c r="K1234" i="2"/>
  <c r="H1234" i="2"/>
  <c r="I1234" i="2" s="1"/>
  <c r="J1234" i="2" s="1"/>
  <c r="C1234" i="2"/>
  <c r="B1234" i="2"/>
  <c r="A1234" i="2"/>
  <c r="X1233" i="2"/>
  <c r="S1233" i="2"/>
  <c r="R1233" i="2"/>
  <c r="Q1233" i="2"/>
  <c r="P1233" i="2"/>
  <c r="L1233" i="2"/>
  <c r="K1233" i="2"/>
  <c r="H1233" i="2"/>
  <c r="I1233" i="2" s="1"/>
  <c r="J1233" i="2" s="1"/>
  <c r="C1233" i="2"/>
  <c r="B1233" i="2"/>
  <c r="A1233" i="2"/>
  <c r="X1232" i="2"/>
  <c r="S1232" i="2"/>
  <c r="R1232" i="2"/>
  <c r="Q1232" i="2"/>
  <c r="P1232" i="2"/>
  <c r="L1232" i="2"/>
  <c r="K1232" i="2"/>
  <c r="H1232" i="2"/>
  <c r="I1232" i="2" s="1"/>
  <c r="J1232" i="2" s="1"/>
  <c r="C1232" i="2"/>
  <c r="B1232" i="2"/>
  <c r="A1232" i="2"/>
  <c r="X1231" i="2"/>
  <c r="S1231" i="2"/>
  <c r="R1231" i="2"/>
  <c r="Q1231" i="2"/>
  <c r="P1231" i="2"/>
  <c r="L1231" i="2"/>
  <c r="K1231" i="2"/>
  <c r="H1231" i="2"/>
  <c r="I1231" i="2" s="1"/>
  <c r="J1231" i="2" s="1"/>
  <c r="C1231" i="2"/>
  <c r="B1231" i="2"/>
  <c r="A1231" i="2"/>
  <c r="X1230" i="2"/>
  <c r="S1230" i="2"/>
  <c r="R1230" i="2"/>
  <c r="Q1230" i="2"/>
  <c r="P1230" i="2"/>
  <c r="L1230" i="2"/>
  <c r="K1230" i="2"/>
  <c r="H1230" i="2"/>
  <c r="I1230" i="2" s="1"/>
  <c r="J1230" i="2" s="1"/>
  <c r="C1230" i="2"/>
  <c r="B1230" i="2"/>
  <c r="A1230" i="2"/>
  <c r="X1229" i="2"/>
  <c r="S1229" i="2"/>
  <c r="R1229" i="2"/>
  <c r="Q1229" i="2"/>
  <c r="P1229" i="2"/>
  <c r="L1229" i="2"/>
  <c r="K1229" i="2"/>
  <c r="H1229" i="2"/>
  <c r="I1229" i="2" s="1"/>
  <c r="J1229" i="2" s="1"/>
  <c r="C1229" i="2"/>
  <c r="B1229" i="2"/>
  <c r="A1229" i="2"/>
  <c r="X1228" i="2"/>
  <c r="S1228" i="2"/>
  <c r="R1228" i="2"/>
  <c r="Q1228" i="2"/>
  <c r="P1228" i="2"/>
  <c r="L1228" i="2"/>
  <c r="K1228" i="2"/>
  <c r="H1228" i="2"/>
  <c r="I1228" i="2" s="1"/>
  <c r="J1228" i="2" s="1"/>
  <c r="C1228" i="2"/>
  <c r="B1228" i="2"/>
  <c r="A1228" i="2"/>
  <c r="X1227" i="2"/>
  <c r="S1227" i="2"/>
  <c r="R1227" i="2"/>
  <c r="Q1227" i="2"/>
  <c r="P1227" i="2"/>
  <c r="L1227" i="2"/>
  <c r="K1227" i="2"/>
  <c r="H1227" i="2"/>
  <c r="I1227" i="2" s="1"/>
  <c r="J1227" i="2" s="1"/>
  <c r="C1227" i="2"/>
  <c r="B1227" i="2"/>
  <c r="A1227" i="2"/>
  <c r="X1226" i="2"/>
  <c r="S1226" i="2"/>
  <c r="R1226" i="2"/>
  <c r="Q1226" i="2"/>
  <c r="P1226" i="2"/>
  <c r="L1226" i="2"/>
  <c r="K1226" i="2"/>
  <c r="H1226" i="2"/>
  <c r="I1226" i="2" s="1"/>
  <c r="J1226" i="2" s="1"/>
  <c r="C1226" i="2"/>
  <c r="B1226" i="2"/>
  <c r="A1226" i="2"/>
  <c r="X1225" i="2"/>
  <c r="S1225" i="2"/>
  <c r="R1225" i="2"/>
  <c r="Q1225" i="2"/>
  <c r="P1225" i="2"/>
  <c r="L1225" i="2"/>
  <c r="K1225" i="2"/>
  <c r="H1225" i="2"/>
  <c r="I1225" i="2" s="1"/>
  <c r="J1225" i="2" s="1"/>
  <c r="C1225" i="2"/>
  <c r="B1225" i="2"/>
  <c r="A1225" i="2"/>
  <c r="X1224" i="2"/>
  <c r="S1224" i="2"/>
  <c r="R1224" i="2"/>
  <c r="Q1224" i="2"/>
  <c r="P1224" i="2"/>
  <c r="L1224" i="2"/>
  <c r="K1224" i="2"/>
  <c r="H1224" i="2"/>
  <c r="I1224" i="2" s="1"/>
  <c r="J1224" i="2" s="1"/>
  <c r="C1224" i="2"/>
  <c r="B1224" i="2"/>
  <c r="A1224" i="2"/>
  <c r="X1223" i="2"/>
  <c r="S1223" i="2"/>
  <c r="R1223" i="2"/>
  <c r="Q1223" i="2"/>
  <c r="P1223" i="2"/>
  <c r="L1223" i="2"/>
  <c r="K1223" i="2"/>
  <c r="H1223" i="2"/>
  <c r="I1223" i="2" s="1"/>
  <c r="J1223" i="2" s="1"/>
  <c r="C1223" i="2"/>
  <c r="B1223" i="2"/>
  <c r="A1223" i="2"/>
  <c r="X1222" i="2"/>
  <c r="S1222" i="2"/>
  <c r="R1222" i="2"/>
  <c r="Q1222" i="2"/>
  <c r="P1222" i="2"/>
  <c r="L1222" i="2"/>
  <c r="K1222" i="2"/>
  <c r="H1222" i="2"/>
  <c r="I1222" i="2" s="1"/>
  <c r="J1222" i="2" s="1"/>
  <c r="C1222" i="2"/>
  <c r="B1222" i="2"/>
  <c r="A1222" i="2"/>
  <c r="X1221" i="2"/>
  <c r="S1221" i="2"/>
  <c r="R1221" i="2"/>
  <c r="Q1221" i="2"/>
  <c r="P1221" i="2"/>
  <c r="L1221" i="2"/>
  <c r="K1221" i="2"/>
  <c r="H1221" i="2"/>
  <c r="I1221" i="2" s="1"/>
  <c r="J1221" i="2" s="1"/>
  <c r="C1221" i="2"/>
  <c r="B1221" i="2"/>
  <c r="A1221" i="2"/>
  <c r="X1220" i="2"/>
  <c r="S1220" i="2"/>
  <c r="R1220" i="2"/>
  <c r="Q1220" i="2"/>
  <c r="P1220" i="2"/>
  <c r="L1220" i="2"/>
  <c r="K1220" i="2"/>
  <c r="H1220" i="2"/>
  <c r="I1220" i="2" s="1"/>
  <c r="J1220" i="2" s="1"/>
  <c r="C1220" i="2"/>
  <c r="B1220" i="2"/>
  <c r="A1220" i="2"/>
  <c r="X1219" i="2"/>
  <c r="S1219" i="2"/>
  <c r="R1219" i="2"/>
  <c r="Q1219" i="2"/>
  <c r="P1219" i="2"/>
  <c r="L1219" i="2"/>
  <c r="K1219" i="2"/>
  <c r="H1219" i="2"/>
  <c r="I1219" i="2" s="1"/>
  <c r="J1219" i="2" s="1"/>
  <c r="C1219" i="2"/>
  <c r="B1219" i="2"/>
  <c r="A1219" i="2"/>
  <c r="X1218" i="2"/>
  <c r="S1218" i="2"/>
  <c r="R1218" i="2"/>
  <c r="Q1218" i="2"/>
  <c r="P1218" i="2"/>
  <c r="L1218" i="2"/>
  <c r="K1218" i="2"/>
  <c r="H1218" i="2"/>
  <c r="I1218" i="2" s="1"/>
  <c r="J1218" i="2" s="1"/>
  <c r="C1218" i="2"/>
  <c r="B1218" i="2"/>
  <c r="A1218" i="2"/>
  <c r="X1217" i="2"/>
  <c r="S1217" i="2"/>
  <c r="R1217" i="2"/>
  <c r="Q1217" i="2"/>
  <c r="P1217" i="2"/>
  <c r="L1217" i="2"/>
  <c r="K1217" i="2"/>
  <c r="H1217" i="2"/>
  <c r="I1217" i="2" s="1"/>
  <c r="J1217" i="2" s="1"/>
  <c r="C1217" i="2"/>
  <c r="B1217" i="2"/>
  <c r="A1217" i="2"/>
  <c r="X1216" i="2"/>
  <c r="S1216" i="2"/>
  <c r="R1216" i="2"/>
  <c r="Q1216" i="2"/>
  <c r="P1216" i="2"/>
  <c r="L1216" i="2"/>
  <c r="K1216" i="2"/>
  <c r="H1216" i="2"/>
  <c r="I1216" i="2" s="1"/>
  <c r="J1216" i="2" s="1"/>
  <c r="C1216" i="2"/>
  <c r="B1216" i="2"/>
  <c r="A1216" i="2"/>
  <c r="X1215" i="2"/>
  <c r="S1215" i="2"/>
  <c r="R1215" i="2"/>
  <c r="Q1215" i="2"/>
  <c r="P1215" i="2"/>
  <c r="L1215" i="2"/>
  <c r="K1215" i="2"/>
  <c r="H1215" i="2"/>
  <c r="I1215" i="2" s="1"/>
  <c r="J1215" i="2" s="1"/>
  <c r="C1215" i="2"/>
  <c r="B1215" i="2"/>
  <c r="A1215" i="2"/>
  <c r="X1214" i="2"/>
  <c r="S1214" i="2"/>
  <c r="R1214" i="2"/>
  <c r="Q1214" i="2"/>
  <c r="P1214" i="2"/>
  <c r="L1214" i="2"/>
  <c r="K1214" i="2"/>
  <c r="H1214" i="2"/>
  <c r="I1214" i="2" s="1"/>
  <c r="J1214" i="2" s="1"/>
  <c r="C1214" i="2"/>
  <c r="B1214" i="2"/>
  <c r="A1214" i="2"/>
  <c r="X1213" i="2"/>
  <c r="S1213" i="2"/>
  <c r="R1213" i="2"/>
  <c r="Q1213" i="2"/>
  <c r="P1213" i="2"/>
  <c r="L1213" i="2"/>
  <c r="K1213" i="2"/>
  <c r="H1213" i="2"/>
  <c r="I1213" i="2" s="1"/>
  <c r="J1213" i="2" s="1"/>
  <c r="C1213" i="2"/>
  <c r="B1213" i="2"/>
  <c r="A1213" i="2"/>
  <c r="X1212" i="2"/>
  <c r="S1212" i="2"/>
  <c r="R1212" i="2"/>
  <c r="Q1212" i="2"/>
  <c r="P1212" i="2"/>
  <c r="L1212" i="2"/>
  <c r="K1212" i="2"/>
  <c r="H1212" i="2"/>
  <c r="I1212" i="2" s="1"/>
  <c r="J1212" i="2" s="1"/>
  <c r="C1212" i="2"/>
  <c r="B1212" i="2"/>
  <c r="A1212" i="2"/>
  <c r="X1211" i="2"/>
  <c r="S1211" i="2"/>
  <c r="R1211" i="2"/>
  <c r="Q1211" i="2"/>
  <c r="P1211" i="2"/>
  <c r="L1211" i="2"/>
  <c r="K1211" i="2"/>
  <c r="H1211" i="2"/>
  <c r="I1211" i="2" s="1"/>
  <c r="J1211" i="2" s="1"/>
  <c r="C1211" i="2"/>
  <c r="B1211" i="2"/>
  <c r="A1211" i="2"/>
  <c r="X1210" i="2"/>
  <c r="S1210" i="2"/>
  <c r="R1210" i="2"/>
  <c r="Q1210" i="2"/>
  <c r="P1210" i="2"/>
  <c r="L1210" i="2"/>
  <c r="K1210" i="2"/>
  <c r="H1210" i="2"/>
  <c r="I1210" i="2" s="1"/>
  <c r="J1210" i="2" s="1"/>
  <c r="C1210" i="2"/>
  <c r="B1210" i="2"/>
  <c r="A1210" i="2"/>
  <c r="X1209" i="2"/>
  <c r="S1209" i="2"/>
  <c r="R1209" i="2"/>
  <c r="Q1209" i="2"/>
  <c r="P1209" i="2"/>
  <c r="L1209" i="2"/>
  <c r="K1209" i="2"/>
  <c r="H1209" i="2"/>
  <c r="I1209" i="2" s="1"/>
  <c r="J1209" i="2" s="1"/>
  <c r="C1209" i="2"/>
  <c r="B1209" i="2"/>
  <c r="A1209" i="2"/>
  <c r="X1208" i="2"/>
  <c r="S1208" i="2"/>
  <c r="R1208" i="2"/>
  <c r="Q1208" i="2"/>
  <c r="P1208" i="2"/>
  <c r="L1208" i="2"/>
  <c r="K1208" i="2"/>
  <c r="H1208" i="2"/>
  <c r="I1208" i="2" s="1"/>
  <c r="J1208" i="2" s="1"/>
  <c r="C1208" i="2"/>
  <c r="B1208" i="2"/>
  <c r="A1208" i="2"/>
  <c r="X1207" i="2"/>
  <c r="S1207" i="2"/>
  <c r="R1207" i="2"/>
  <c r="Q1207" i="2"/>
  <c r="P1207" i="2"/>
  <c r="L1207" i="2"/>
  <c r="K1207" i="2"/>
  <c r="H1207" i="2"/>
  <c r="I1207" i="2" s="1"/>
  <c r="J1207" i="2" s="1"/>
  <c r="C1207" i="2"/>
  <c r="B1207" i="2"/>
  <c r="A1207" i="2"/>
  <c r="X1206" i="2"/>
  <c r="S1206" i="2"/>
  <c r="R1206" i="2"/>
  <c r="Q1206" i="2"/>
  <c r="P1206" i="2"/>
  <c r="L1206" i="2"/>
  <c r="K1206" i="2"/>
  <c r="H1206" i="2"/>
  <c r="I1206" i="2" s="1"/>
  <c r="J1206" i="2" s="1"/>
  <c r="C1206" i="2"/>
  <c r="B1206" i="2"/>
  <c r="A1206" i="2"/>
  <c r="X1205" i="2"/>
  <c r="S1205" i="2"/>
  <c r="R1205" i="2"/>
  <c r="Q1205" i="2"/>
  <c r="P1205" i="2"/>
  <c r="L1205" i="2"/>
  <c r="K1205" i="2"/>
  <c r="H1205" i="2"/>
  <c r="I1205" i="2" s="1"/>
  <c r="J1205" i="2" s="1"/>
  <c r="C1205" i="2"/>
  <c r="B1205" i="2"/>
  <c r="A1205" i="2"/>
  <c r="X1204" i="2"/>
  <c r="S1204" i="2"/>
  <c r="R1204" i="2"/>
  <c r="Q1204" i="2"/>
  <c r="P1204" i="2"/>
  <c r="L1204" i="2"/>
  <c r="K1204" i="2"/>
  <c r="H1204" i="2"/>
  <c r="I1204" i="2" s="1"/>
  <c r="J1204" i="2" s="1"/>
  <c r="C1204" i="2"/>
  <c r="B1204" i="2"/>
  <c r="A1204" i="2"/>
  <c r="X1203" i="2"/>
  <c r="S1203" i="2"/>
  <c r="R1203" i="2"/>
  <c r="Q1203" i="2"/>
  <c r="P1203" i="2"/>
  <c r="L1203" i="2"/>
  <c r="K1203" i="2"/>
  <c r="H1203" i="2"/>
  <c r="I1203" i="2" s="1"/>
  <c r="J1203" i="2" s="1"/>
  <c r="C1203" i="2"/>
  <c r="B1203" i="2"/>
  <c r="A1203" i="2"/>
  <c r="X1202" i="2"/>
  <c r="S1202" i="2"/>
  <c r="R1202" i="2"/>
  <c r="Q1202" i="2"/>
  <c r="P1202" i="2"/>
  <c r="L1202" i="2"/>
  <c r="K1202" i="2"/>
  <c r="H1202" i="2"/>
  <c r="I1202" i="2" s="1"/>
  <c r="J1202" i="2" s="1"/>
  <c r="C1202" i="2"/>
  <c r="B1202" i="2"/>
  <c r="A1202" i="2"/>
  <c r="X1201" i="2"/>
  <c r="S1201" i="2"/>
  <c r="R1201" i="2"/>
  <c r="Q1201" i="2"/>
  <c r="P1201" i="2"/>
  <c r="L1201" i="2"/>
  <c r="K1201" i="2"/>
  <c r="H1201" i="2"/>
  <c r="I1201" i="2" s="1"/>
  <c r="J1201" i="2" s="1"/>
  <c r="C1201" i="2"/>
  <c r="B1201" i="2"/>
  <c r="A1201" i="2"/>
  <c r="X1200" i="2"/>
  <c r="S1200" i="2"/>
  <c r="R1200" i="2"/>
  <c r="Q1200" i="2"/>
  <c r="P1200" i="2"/>
  <c r="L1200" i="2"/>
  <c r="K1200" i="2"/>
  <c r="H1200" i="2"/>
  <c r="I1200" i="2" s="1"/>
  <c r="J1200" i="2" s="1"/>
  <c r="C1200" i="2"/>
  <c r="B1200" i="2"/>
  <c r="A1200" i="2"/>
  <c r="X1199" i="2"/>
  <c r="S1199" i="2"/>
  <c r="R1199" i="2"/>
  <c r="Q1199" i="2"/>
  <c r="P1199" i="2"/>
  <c r="L1199" i="2"/>
  <c r="K1199" i="2"/>
  <c r="H1199" i="2"/>
  <c r="I1199" i="2" s="1"/>
  <c r="J1199" i="2" s="1"/>
  <c r="C1199" i="2"/>
  <c r="B1199" i="2"/>
  <c r="A1199" i="2"/>
  <c r="X1198" i="2"/>
  <c r="S1198" i="2"/>
  <c r="R1198" i="2"/>
  <c r="Q1198" i="2"/>
  <c r="P1198" i="2"/>
  <c r="L1198" i="2"/>
  <c r="K1198" i="2"/>
  <c r="H1198" i="2"/>
  <c r="I1198" i="2" s="1"/>
  <c r="J1198" i="2" s="1"/>
  <c r="C1198" i="2"/>
  <c r="B1198" i="2"/>
  <c r="A1198" i="2"/>
  <c r="X1197" i="2"/>
  <c r="S1197" i="2"/>
  <c r="R1197" i="2"/>
  <c r="Q1197" i="2"/>
  <c r="P1197" i="2"/>
  <c r="L1197" i="2"/>
  <c r="K1197" i="2"/>
  <c r="H1197" i="2"/>
  <c r="I1197" i="2" s="1"/>
  <c r="J1197" i="2" s="1"/>
  <c r="C1197" i="2"/>
  <c r="B1197" i="2"/>
  <c r="A1197" i="2"/>
  <c r="X1196" i="2"/>
  <c r="S1196" i="2"/>
  <c r="R1196" i="2"/>
  <c r="Q1196" i="2"/>
  <c r="P1196" i="2"/>
  <c r="L1196" i="2"/>
  <c r="K1196" i="2"/>
  <c r="H1196" i="2"/>
  <c r="I1196" i="2" s="1"/>
  <c r="J1196" i="2" s="1"/>
  <c r="C1196" i="2"/>
  <c r="B1196" i="2"/>
  <c r="A1196" i="2"/>
  <c r="X1195" i="2"/>
  <c r="S1195" i="2"/>
  <c r="R1195" i="2"/>
  <c r="Q1195" i="2"/>
  <c r="P1195" i="2"/>
  <c r="L1195" i="2"/>
  <c r="K1195" i="2"/>
  <c r="H1195" i="2"/>
  <c r="I1195" i="2" s="1"/>
  <c r="J1195" i="2" s="1"/>
  <c r="C1195" i="2"/>
  <c r="B1195" i="2"/>
  <c r="A1195" i="2"/>
  <c r="X1194" i="2"/>
  <c r="S1194" i="2"/>
  <c r="R1194" i="2"/>
  <c r="Q1194" i="2"/>
  <c r="P1194" i="2"/>
  <c r="L1194" i="2"/>
  <c r="K1194" i="2"/>
  <c r="H1194" i="2"/>
  <c r="I1194" i="2" s="1"/>
  <c r="J1194" i="2" s="1"/>
  <c r="C1194" i="2"/>
  <c r="B1194" i="2"/>
  <c r="A1194" i="2"/>
  <c r="X1193" i="2"/>
  <c r="S1193" i="2"/>
  <c r="R1193" i="2"/>
  <c r="Q1193" i="2"/>
  <c r="P1193" i="2"/>
  <c r="L1193" i="2"/>
  <c r="K1193" i="2"/>
  <c r="H1193" i="2"/>
  <c r="I1193" i="2" s="1"/>
  <c r="J1193" i="2" s="1"/>
  <c r="C1193" i="2"/>
  <c r="B1193" i="2"/>
  <c r="A1193" i="2"/>
  <c r="X1192" i="2"/>
  <c r="S1192" i="2"/>
  <c r="R1192" i="2"/>
  <c r="Q1192" i="2"/>
  <c r="P1192" i="2"/>
  <c r="L1192" i="2"/>
  <c r="K1192" i="2"/>
  <c r="H1192" i="2"/>
  <c r="I1192" i="2" s="1"/>
  <c r="J1192" i="2" s="1"/>
  <c r="C1192" i="2"/>
  <c r="B1192" i="2"/>
  <c r="A1192" i="2"/>
  <c r="X1191" i="2"/>
  <c r="S1191" i="2"/>
  <c r="R1191" i="2"/>
  <c r="Q1191" i="2"/>
  <c r="P1191" i="2"/>
  <c r="L1191" i="2"/>
  <c r="K1191" i="2"/>
  <c r="H1191" i="2"/>
  <c r="I1191" i="2" s="1"/>
  <c r="J1191" i="2" s="1"/>
  <c r="C1191" i="2"/>
  <c r="B1191" i="2"/>
  <c r="A1191" i="2"/>
  <c r="X1190" i="2"/>
  <c r="S1190" i="2"/>
  <c r="R1190" i="2"/>
  <c r="Q1190" i="2"/>
  <c r="P1190" i="2"/>
  <c r="L1190" i="2"/>
  <c r="K1190" i="2"/>
  <c r="H1190" i="2"/>
  <c r="I1190" i="2" s="1"/>
  <c r="J1190" i="2" s="1"/>
  <c r="C1190" i="2"/>
  <c r="B1190" i="2"/>
  <c r="A1190" i="2"/>
  <c r="X1189" i="2"/>
  <c r="S1189" i="2"/>
  <c r="R1189" i="2"/>
  <c r="Q1189" i="2"/>
  <c r="P1189" i="2"/>
  <c r="L1189" i="2"/>
  <c r="K1189" i="2"/>
  <c r="H1189" i="2"/>
  <c r="I1189" i="2" s="1"/>
  <c r="J1189" i="2" s="1"/>
  <c r="C1189" i="2"/>
  <c r="B1189" i="2"/>
  <c r="A1189" i="2"/>
  <c r="X1188" i="2"/>
  <c r="S1188" i="2"/>
  <c r="R1188" i="2"/>
  <c r="Q1188" i="2"/>
  <c r="P1188" i="2"/>
  <c r="L1188" i="2"/>
  <c r="K1188" i="2"/>
  <c r="H1188" i="2"/>
  <c r="I1188" i="2" s="1"/>
  <c r="J1188" i="2" s="1"/>
  <c r="C1188" i="2"/>
  <c r="B1188" i="2"/>
  <c r="A1188" i="2"/>
  <c r="X1187" i="2"/>
  <c r="S1187" i="2"/>
  <c r="R1187" i="2"/>
  <c r="Q1187" i="2"/>
  <c r="P1187" i="2"/>
  <c r="L1187" i="2"/>
  <c r="K1187" i="2"/>
  <c r="H1187" i="2"/>
  <c r="I1187" i="2" s="1"/>
  <c r="J1187" i="2" s="1"/>
  <c r="C1187" i="2"/>
  <c r="B1187" i="2"/>
  <c r="A1187" i="2"/>
  <c r="X1186" i="2"/>
  <c r="S1186" i="2"/>
  <c r="R1186" i="2"/>
  <c r="Q1186" i="2"/>
  <c r="P1186" i="2"/>
  <c r="L1186" i="2"/>
  <c r="K1186" i="2"/>
  <c r="H1186" i="2"/>
  <c r="I1186" i="2" s="1"/>
  <c r="J1186" i="2" s="1"/>
  <c r="C1186" i="2"/>
  <c r="B1186" i="2"/>
  <c r="A1186" i="2"/>
  <c r="X1185" i="2"/>
  <c r="S1185" i="2"/>
  <c r="R1185" i="2"/>
  <c r="Q1185" i="2"/>
  <c r="P1185" i="2"/>
  <c r="L1185" i="2"/>
  <c r="K1185" i="2"/>
  <c r="H1185" i="2"/>
  <c r="I1185" i="2" s="1"/>
  <c r="J1185" i="2" s="1"/>
  <c r="C1185" i="2"/>
  <c r="B1185" i="2"/>
  <c r="A1185" i="2"/>
  <c r="X1184" i="2"/>
  <c r="S1184" i="2"/>
  <c r="R1184" i="2"/>
  <c r="Q1184" i="2"/>
  <c r="P1184" i="2"/>
  <c r="L1184" i="2"/>
  <c r="K1184" i="2"/>
  <c r="H1184" i="2"/>
  <c r="I1184" i="2" s="1"/>
  <c r="J1184" i="2" s="1"/>
  <c r="C1184" i="2"/>
  <c r="B1184" i="2"/>
  <c r="A1184" i="2"/>
  <c r="X1183" i="2"/>
  <c r="S1183" i="2"/>
  <c r="R1183" i="2"/>
  <c r="Q1183" i="2"/>
  <c r="P1183" i="2"/>
  <c r="L1183" i="2"/>
  <c r="K1183" i="2"/>
  <c r="H1183" i="2"/>
  <c r="I1183" i="2" s="1"/>
  <c r="J1183" i="2" s="1"/>
  <c r="C1183" i="2"/>
  <c r="B1183" i="2"/>
  <c r="A1183" i="2"/>
  <c r="X1182" i="2"/>
  <c r="S1182" i="2"/>
  <c r="R1182" i="2"/>
  <c r="Q1182" i="2"/>
  <c r="P1182" i="2"/>
  <c r="L1182" i="2"/>
  <c r="K1182" i="2"/>
  <c r="H1182" i="2"/>
  <c r="I1182" i="2" s="1"/>
  <c r="J1182" i="2" s="1"/>
  <c r="C1182" i="2"/>
  <c r="B1182" i="2"/>
  <c r="A1182" i="2"/>
  <c r="X1181" i="2"/>
  <c r="S1181" i="2"/>
  <c r="R1181" i="2"/>
  <c r="Q1181" i="2"/>
  <c r="P1181" i="2"/>
  <c r="L1181" i="2"/>
  <c r="K1181" i="2"/>
  <c r="H1181" i="2"/>
  <c r="I1181" i="2" s="1"/>
  <c r="J1181" i="2" s="1"/>
  <c r="C1181" i="2"/>
  <c r="B1181" i="2"/>
  <c r="A1181" i="2"/>
  <c r="X1180" i="2"/>
  <c r="S1180" i="2"/>
  <c r="R1180" i="2"/>
  <c r="Q1180" i="2"/>
  <c r="P1180" i="2"/>
  <c r="L1180" i="2"/>
  <c r="K1180" i="2"/>
  <c r="H1180" i="2"/>
  <c r="I1180" i="2" s="1"/>
  <c r="J1180" i="2" s="1"/>
  <c r="C1180" i="2"/>
  <c r="B1180" i="2"/>
  <c r="A1180" i="2"/>
  <c r="X1179" i="2"/>
  <c r="S1179" i="2"/>
  <c r="R1179" i="2"/>
  <c r="Q1179" i="2"/>
  <c r="P1179" i="2"/>
  <c r="L1179" i="2"/>
  <c r="K1179" i="2"/>
  <c r="H1179" i="2"/>
  <c r="I1179" i="2" s="1"/>
  <c r="J1179" i="2" s="1"/>
  <c r="C1179" i="2"/>
  <c r="B1179" i="2"/>
  <c r="A1179" i="2"/>
  <c r="X1178" i="2"/>
  <c r="S1178" i="2"/>
  <c r="R1178" i="2"/>
  <c r="Q1178" i="2"/>
  <c r="P1178" i="2"/>
  <c r="L1178" i="2"/>
  <c r="K1178" i="2"/>
  <c r="H1178" i="2"/>
  <c r="I1178" i="2" s="1"/>
  <c r="J1178" i="2" s="1"/>
  <c r="C1178" i="2"/>
  <c r="B1178" i="2"/>
  <c r="A1178" i="2"/>
  <c r="X1177" i="2"/>
  <c r="S1177" i="2"/>
  <c r="R1177" i="2"/>
  <c r="Q1177" i="2"/>
  <c r="P1177" i="2"/>
  <c r="L1177" i="2"/>
  <c r="K1177" i="2"/>
  <c r="H1177" i="2"/>
  <c r="I1177" i="2" s="1"/>
  <c r="J1177" i="2" s="1"/>
  <c r="C1177" i="2"/>
  <c r="B1177" i="2"/>
  <c r="A1177" i="2"/>
  <c r="X1176" i="2"/>
  <c r="S1176" i="2"/>
  <c r="R1176" i="2"/>
  <c r="Q1176" i="2"/>
  <c r="P1176" i="2"/>
  <c r="L1176" i="2"/>
  <c r="K1176" i="2"/>
  <c r="H1176" i="2"/>
  <c r="I1176" i="2" s="1"/>
  <c r="J1176" i="2" s="1"/>
  <c r="C1176" i="2"/>
  <c r="B1176" i="2"/>
  <c r="A1176" i="2"/>
  <c r="X1175" i="2"/>
  <c r="S1175" i="2"/>
  <c r="R1175" i="2"/>
  <c r="Q1175" i="2"/>
  <c r="P1175" i="2"/>
  <c r="L1175" i="2"/>
  <c r="K1175" i="2"/>
  <c r="H1175" i="2"/>
  <c r="I1175" i="2" s="1"/>
  <c r="J1175" i="2" s="1"/>
  <c r="C1175" i="2"/>
  <c r="B1175" i="2"/>
  <c r="A1175" i="2"/>
  <c r="X1174" i="2"/>
  <c r="S1174" i="2"/>
  <c r="R1174" i="2"/>
  <c r="Q1174" i="2"/>
  <c r="P1174" i="2"/>
  <c r="L1174" i="2"/>
  <c r="K1174" i="2"/>
  <c r="H1174" i="2"/>
  <c r="I1174" i="2" s="1"/>
  <c r="J1174" i="2" s="1"/>
  <c r="C1174" i="2"/>
  <c r="B1174" i="2"/>
  <c r="A1174" i="2"/>
  <c r="X1173" i="2"/>
  <c r="S1173" i="2"/>
  <c r="R1173" i="2"/>
  <c r="Q1173" i="2"/>
  <c r="P1173" i="2"/>
  <c r="L1173" i="2"/>
  <c r="K1173" i="2"/>
  <c r="H1173" i="2"/>
  <c r="I1173" i="2" s="1"/>
  <c r="J1173" i="2" s="1"/>
  <c r="C1173" i="2"/>
  <c r="B1173" i="2"/>
  <c r="A1173" i="2"/>
  <c r="X1172" i="2"/>
  <c r="S1172" i="2"/>
  <c r="R1172" i="2"/>
  <c r="Q1172" i="2"/>
  <c r="P1172" i="2"/>
  <c r="L1172" i="2"/>
  <c r="K1172" i="2"/>
  <c r="H1172" i="2"/>
  <c r="I1172" i="2" s="1"/>
  <c r="J1172" i="2" s="1"/>
  <c r="C1172" i="2"/>
  <c r="B1172" i="2"/>
  <c r="A1172" i="2"/>
  <c r="X1171" i="2"/>
  <c r="S1171" i="2"/>
  <c r="R1171" i="2"/>
  <c r="Q1171" i="2"/>
  <c r="P1171" i="2"/>
  <c r="L1171" i="2"/>
  <c r="K1171" i="2"/>
  <c r="H1171" i="2"/>
  <c r="I1171" i="2" s="1"/>
  <c r="J1171" i="2" s="1"/>
  <c r="C1171" i="2"/>
  <c r="B1171" i="2"/>
  <c r="A1171" i="2"/>
  <c r="X1170" i="2"/>
  <c r="S1170" i="2"/>
  <c r="R1170" i="2"/>
  <c r="Q1170" i="2"/>
  <c r="P1170" i="2"/>
  <c r="L1170" i="2"/>
  <c r="K1170" i="2"/>
  <c r="H1170" i="2"/>
  <c r="I1170" i="2" s="1"/>
  <c r="J1170" i="2" s="1"/>
  <c r="C1170" i="2"/>
  <c r="B1170" i="2"/>
  <c r="A1170" i="2"/>
  <c r="X1169" i="2"/>
  <c r="S1169" i="2"/>
  <c r="R1169" i="2"/>
  <c r="Q1169" i="2"/>
  <c r="P1169" i="2"/>
  <c r="L1169" i="2"/>
  <c r="K1169" i="2"/>
  <c r="H1169" i="2"/>
  <c r="I1169" i="2" s="1"/>
  <c r="J1169" i="2" s="1"/>
  <c r="C1169" i="2"/>
  <c r="B1169" i="2"/>
  <c r="A1169" i="2"/>
  <c r="X1168" i="2"/>
  <c r="S1168" i="2"/>
  <c r="R1168" i="2"/>
  <c r="Q1168" i="2"/>
  <c r="P1168" i="2"/>
  <c r="L1168" i="2"/>
  <c r="K1168" i="2"/>
  <c r="H1168" i="2"/>
  <c r="I1168" i="2" s="1"/>
  <c r="J1168" i="2" s="1"/>
  <c r="C1168" i="2"/>
  <c r="B1168" i="2"/>
  <c r="A1168" i="2"/>
  <c r="X1167" i="2"/>
  <c r="S1167" i="2"/>
  <c r="R1167" i="2"/>
  <c r="Q1167" i="2"/>
  <c r="P1167" i="2"/>
  <c r="L1167" i="2"/>
  <c r="K1167" i="2"/>
  <c r="H1167" i="2"/>
  <c r="I1167" i="2" s="1"/>
  <c r="J1167" i="2" s="1"/>
  <c r="C1167" i="2"/>
  <c r="B1167" i="2"/>
  <c r="A1167" i="2"/>
  <c r="X1166" i="2"/>
  <c r="S1166" i="2"/>
  <c r="R1166" i="2"/>
  <c r="Q1166" i="2"/>
  <c r="P1166" i="2"/>
  <c r="L1166" i="2"/>
  <c r="K1166" i="2"/>
  <c r="H1166" i="2"/>
  <c r="I1166" i="2" s="1"/>
  <c r="J1166" i="2" s="1"/>
  <c r="C1166" i="2"/>
  <c r="B1166" i="2"/>
  <c r="A1166" i="2"/>
  <c r="X1165" i="2"/>
  <c r="S1165" i="2"/>
  <c r="R1165" i="2"/>
  <c r="Q1165" i="2"/>
  <c r="P1165" i="2"/>
  <c r="L1165" i="2"/>
  <c r="K1165" i="2"/>
  <c r="H1165" i="2"/>
  <c r="I1165" i="2" s="1"/>
  <c r="J1165" i="2" s="1"/>
  <c r="C1165" i="2"/>
  <c r="B1165" i="2"/>
  <c r="A1165" i="2"/>
  <c r="X1164" i="2"/>
  <c r="S1164" i="2"/>
  <c r="R1164" i="2"/>
  <c r="Q1164" i="2"/>
  <c r="P1164" i="2"/>
  <c r="L1164" i="2"/>
  <c r="K1164" i="2"/>
  <c r="H1164" i="2"/>
  <c r="I1164" i="2" s="1"/>
  <c r="J1164" i="2" s="1"/>
  <c r="C1164" i="2"/>
  <c r="B1164" i="2"/>
  <c r="A1164" i="2"/>
  <c r="X1163" i="2"/>
  <c r="S1163" i="2"/>
  <c r="R1163" i="2"/>
  <c r="Q1163" i="2"/>
  <c r="P1163" i="2"/>
  <c r="L1163" i="2"/>
  <c r="K1163" i="2"/>
  <c r="H1163" i="2"/>
  <c r="I1163" i="2" s="1"/>
  <c r="J1163" i="2" s="1"/>
  <c r="C1163" i="2"/>
  <c r="B1163" i="2"/>
  <c r="A1163" i="2"/>
  <c r="X1162" i="2"/>
  <c r="S1162" i="2"/>
  <c r="R1162" i="2"/>
  <c r="Q1162" i="2"/>
  <c r="P1162" i="2"/>
  <c r="L1162" i="2"/>
  <c r="K1162" i="2"/>
  <c r="H1162" i="2"/>
  <c r="I1162" i="2" s="1"/>
  <c r="J1162" i="2" s="1"/>
  <c r="C1162" i="2"/>
  <c r="B1162" i="2"/>
  <c r="A1162" i="2"/>
  <c r="X1161" i="2"/>
  <c r="S1161" i="2"/>
  <c r="R1161" i="2"/>
  <c r="Q1161" i="2"/>
  <c r="P1161" i="2"/>
  <c r="L1161" i="2"/>
  <c r="K1161" i="2"/>
  <c r="H1161" i="2"/>
  <c r="I1161" i="2" s="1"/>
  <c r="J1161" i="2" s="1"/>
  <c r="C1161" i="2"/>
  <c r="B1161" i="2"/>
  <c r="A1161" i="2"/>
  <c r="X1160" i="2"/>
  <c r="S1160" i="2"/>
  <c r="R1160" i="2"/>
  <c r="Q1160" i="2"/>
  <c r="P1160" i="2"/>
  <c r="L1160" i="2"/>
  <c r="K1160" i="2"/>
  <c r="H1160" i="2"/>
  <c r="I1160" i="2" s="1"/>
  <c r="J1160" i="2" s="1"/>
  <c r="C1160" i="2"/>
  <c r="B1160" i="2"/>
  <c r="A1160" i="2"/>
  <c r="X1159" i="2"/>
  <c r="S1159" i="2"/>
  <c r="R1159" i="2"/>
  <c r="Q1159" i="2"/>
  <c r="P1159" i="2"/>
  <c r="L1159" i="2"/>
  <c r="K1159" i="2"/>
  <c r="H1159" i="2"/>
  <c r="I1159" i="2" s="1"/>
  <c r="J1159" i="2" s="1"/>
  <c r="C1159" i="2"/>
  <c r="B1159" i="2"/>
  <c r="A1159" i="2"/>
  <c r="X1158" i="2"/>
  <c r="S1158" i="2"/>
  <c r="R1158" i="2"/>
  <c r="Q1158" i="2"/>
  <c r="P1158" i="2"/>
  <c r="L1158" i="2"/>
  <c r="K1158" i="2"/>
  <c r="H1158" i="2"/>
  <c r="I1158" i="2" s="1"/>
  <c r="J1158" i="2" s="1"/>
  <c r="C1158" i="2"/>
  <c r="B1158" i="2"/>
  <c r="A1158" i="2"/>
  <c r="X1157" i="2"/>
  <c r="S1157" i="2"/>
  <c r="R1157" i="2"/>
  <c r="Q1157" i="2"/>
  <c r="P1157" i="2"/>
  <c r="L1157" i="2"/>
  <c r="K1157" i="2"/>
  <c r="H1157" i="2"/>
  <c r="I1157" i="2" s="1"/>
  <c r="J1157" i="2" s="1"/>
  <c r="C1157" i="2"/>
  <c r="B1157" i="2"/>
  <c r="A1157" i="2"/>
  <c r="X1156" i="2"/>
  <c r="S1156" i="2"/>
  <c r="R1156" i="2"/>
  <c r="Q1156" i="2"/>
  <c r="P1156" i="2"/>
  <c r="L1156" i="2"/>
  <c r="K1156" i="2"/>
  <c r="H1156" i="2"/>
  <c r="I1156" i="2" s="1"/>
  <c r="J1156" i="2" s="1"/>
  <c r="C1156" i="2"/>
  <c r="B1156" i="2"/>
  <c r="A1156" i="2"/>
  <c r="X1155" i="2"/>
  <c r="S1155" i="2"/>
  <c r="R1155" i="2"/>
  <c r="Q1155" i="2"/>
  <c r="P1155" i="2"/>
  <c r="L1155" i="2"/>
  <c r="K1155" i="2"/>
  <c r="H1155" i="2"/>
  <c r="I1155" i="2" s="1"/>
  <c r="J1155" i="2" s="1"/>
  <c r="C1155" i="2"/>
  <c r="B1155" i="2"/>
  <c r="A1155" i="2"/>
  <c r="X1154" i="2"/>
  <c r="S1154" i="2"/>
  <c r="R1154" i="2"/>
  <c r="Q1154" i="2"/>
  <c r="P1154" i="2"/>
  <c r="L1154" i="2"/>
  <c r="K1154" i="2"/>
  <c r="H1154" i="2"/>
  <c r="I1154" i="2" s="1"/>
  <c r="J1154" i="2" s="1"/>
  <c r="C1154" i="2"/>
  <c r="B1154" i="2"/>
  <c r="A1154" i="2"/>
  <c r="X1153" i="2"/>
  <c r="S1153" i="2"/>
  <c r="R1153" i="2"/>
  <c r="Q1153" i="2"/>
  <c r="P1153" i="2"/>
  <c r="L1153" i="2"/>
  <c r="K1153" i="2"/>
  <c r="H1153" i="2"/>
  <c r="I1153" i="2" s="1"/>
  <c r="J1153" i="2" s="1"/>
  <c r="C1153" i="2"/>
  <c r="B1153" i="2"/>
  <c r="A1153" i="2"/>
  <c r="X1152" i="2"/>
  <c r="S1152" i="2"/>
  <c r="R1152" i="2"/>
  <c r="Q1152" i="2"/>
  <c r="P1152" i="2"/>
  <c r="L1152" i="2"/>
  <c r="K1152" i="2"/>
  <c r="H1152" i="2"/>
  <c r="I1152" i="2" s="1"/>
  <c r="J1152" i="2" s="1"/>
  <c r="C1152" i="2"/>
  <c r="B1152" i="2"/>
  <c r="A1152" i="2"/>
  <c r="X1151" i="2"/>
  <c r="S1151" i="2"/>
  <c r="R1151" i="2"/>
  <c r="Q1151" i="2"/>
  <c r="P1151" i="2"/>
  <c r="L1151" i="2"/>
  <c r="K1151" i="2"/>
  <c r="H1151" i="2"/>
  <c r="I1151" i="2" s="1"/>
  <c r="J1151" i="2" s="1"/>
  <c r="C1151" i="2"/>
  <c r="B1151" i="2"/>
  <c r="A1151" i="2"/>
  <c r="X1150" i="2"/>
  <c r="S1150" i="2"/>
  <c r="R1150" i="2"/>
  <c r="Q1150" i="2"/>
  <c r="P1150" i="2"/>
  <c r="L1150" i="2"/>
  <c r="K1150" i="2"/>
  <c r="H1150" i="2"/>
  <c r="I1150" i="2" s="1"/>
  <c r="J1150" i="2" s="1"/>
  <c r="C1150" i="2"/>
  <c r="B1150" i="2"/>
  <c r="A1150" i="2"/>
  <c r="X1149" i="2"/>
  <c r="S1149" i="2"/>
  <c r="Q1149" i="2"/>
  <c r="P1149" i="2"/>
  <c r="L1149" i="2"/>
  <c r="K1149" i="2"/>
  <c r="H1149" i="2"/>
  <c r="I1149" i="2" s="1"/>
  <c r="J1149" i="2" s="1"/>
  <c r="C1149" i="2"/>
  <c r="B1149" i="2"/>
  <c r="A1149" i="2"/>
  <c r="X1148" i="2"/>
  <c r="S1148" i="2"/>
  <c r="R1148" i="2"/>
  <c r="Q1148" i="2"/>
  <c r="P1148" i="2"/>
  <c r="L1148" i="2"/>
  <c r="K1148" i="2"/>
  <c r="H1148" i="2"/>
  <c r="I1148" i="2" s="1"/>
  <c r="J1148" i="2" s="1"/>
  <c r="C1148" i="2"/>
  <c r="B1148" i="2"/>
  <c r="A1148" i="2"/>
  <c r="X1147" i="2"/>
  <c r="S1147" i="2"/>
  <c r="R1147" i="2"/>
  <c r="Q1147" i="2"/>
  <c r="P1147" i="2"/>
  <c r="L1147" i="2"/>
  <c r="K1147" i="2"/>
  <c r="H1147" i="2"/>
  <c r="I1147" i="2" s="1"/>
  <c r="J1147" i="2" s="1"/>
  <c r="C1147" i="2"/>
  <c r="B1147" i="2"/>
  <c r="A1147" i="2"/>
  <c r="X1146" i="2"/>
  <c r="S1146" i="2"/>
  <c r="R1146" i="2"/>
  <c r="Q1146" i="2"/>
  <c r="P1146" i="2"/>
  <c r="L1146" i="2"/>
  <c r="K1146" i="2"/>
  <c r="H1146" i="2"/>
  <c r="I1146" i="2" s="1"/>
  <c r="J1146" i="2" s="1"/>
  <c r="C1146" i="2"/>
  <c r="B1146" i="2"/>
  <c r="A1146" i="2"/>
  <c r="X1145" i="2"/>
  <c r="S1145" i="2"/>
  <c r="R1145" i="2"/>
  <c r="Q1145" i="2"/>
  <c r="P1145" i="2"/>
  <c r="L1145" i="2"/>
  <c r="K1145" i="2"/>
  <c r="H1145" i="2"/>
  <c r="I1145" i="2" s="1"/>
  <c r="J1145" i="2" s="1"/>
  <c r="C1145" i="2"/>
  <c r="B1145" i="2"/>
  <c r="A1145" i="2"/>
  <c r="X1144" i="2"/>
  <c r="S1144" i="2"/>
  <c r="R1144" i="2"/>
  <c r="Q1144" i="2"/>
  <c r="P1144" i="2"/>
  <c r="L1144" i="2"/>
  <c r="K1144" i="2"/>
  <c r="H1144" i="2"/>
  <c r="I1144" i="2" s="1"/>
  <c r="J1144" i="2" s="1"/>
  <c r="C1144" i="2"/>
  <c r="B1144" i="2"/>
  <c r="A1144" i="2"/>
  <c r="X1143" i="2"/>
  <c r="S1143" i="2"/>
  <c r="R1143" i="2"/>
  <c r="Q1143" i="2"/>
  <c r="P1143" i="2"/>
  <c r="L1143" i="2"/>
  <c r="K1143" i="2"/>
  <c r="H1143" i="2"/>
  <c r="I1143" i="2" s="1"/>
  <c r="J1143" i="2" s="1"/>
  <c r="C1143" i="2"/>
  <c r="B1143" i="2"/>
  <c r="A1143" i="2"/>
  <c r="X1142" i="2"/>
  <c r="S1142" i="2"/>
  <c r="R1142" i="2"/>
  <c r="Q1142" i="2"/>
  <c r="P1142" i="2"/>
  <c r="L1142" i="2"/>
  <c r="K1142" i="2"/>
  <c r="H1142" i="2"/>
  <c r="I1142" i="2" s="1"/>
  <c r="J1142" i="2" s="1"/>
  <c r="C1142" i="2"/>
  <c r="B1142" i="2"/>
  <c r="A1142" i="2"/>
  <c r="X1141" i="2"/>
  <c r="S1141" i="2"/>
  <c r="R1141" i="2"/>
  <c r="Q1141" i="2"/>
  <c r="P1141" i="2"/>
  <c r="L1141" i="2"/>
  <c r="K1141" i="2"/>
  <c r="H1141" i="2"/>
  <c r="I1141" i="2" s="1"/>
  <c r="J1141" i="2" s="1"/>
  <c r="C1141" i="2"/>
  <c r="B1141" i="2"/>
  <c r="A1141" i="2"/>
  <c r="X1140" i="2"/>
  <c r="S1140" i="2"/>
  <c r="R1140" i="2"/>
  <c r="Q1140" i="2"/>
  <c r="P1140" i="2"/>
  <c r="L1140" i="2"/>
  <c r="K1140" i="2"/>
  <c r="H1140" i="2"/>
  <c r="I1140" i="2" s="1"/>
  <c r="J1140" i="2" s="1"/>
  <c r="C1140" i="2"/>
  <c r="B1140" i="2"/>
  <c r="A1140" i="2"/>
  <c r="X1139" i="2"/>
  <c r="S1139" i="2"/>
  <c r="R1139" i="2"/>
  <c r="Q1139" i="2"/>
  <c r="P1139" i="2"/>
  <c r="L1139" i="2"/>
  <c r="K1139" i="2"/>
  <c r="H1139" i="2"/>
  <c r="I1139" i="2" s="1"/>
  <c r="J1139" i="2" s="1"/>
  <c r="C1139" i="2"/>
  <c r="B1139" i="2"/>
  <c r="A1139" i="2"/>
  <c r="X1138" i="2"/>
  <c r="S1138" i="2"/>
  <c r="R1138" i="2"/>
  <c r="Q1138" i="2"/>
  <c r="P1138" i="2"/>
  <c r="L1138" i="2"/>
  <c r="K1138" i="2"/>
  <c r="H1138" i="2"/>
  <c r="I1138" i="2" s="1"/>
  <c r="J1138" i="2" s="1"/>
  <c r="C1138" i="2"/>
  <c r="B1138" i="2"/>
  <c r="A1138" i="2"/>
  <c r="J1138" i="4" s="1"/>
  <c r="X1137" i="2"/>
  <c r="S1137" i="2"/>
  <c r="R1137" i="2"/>
  <c r="Q1137" i="2"/>
  <c r="P1137" i="2"/>
  <c r="L1137" i="2"/>
  <c r="K1137" i="2"/>
  <c r="H1137" i="2"/>
  <c r="I1137" i="2" s="1"/>
  <c r="J1137" i="2" s="1"/>
  <c r="C1137" i="2"/>
  <c r="B1137" i="2"/>
  <c r="A1137" i="2"/>
  <c r="J1137" i="4" s="1"/>
  <c r="X1136" i="2"/>
  <c r="S1136" i="2"/>
  <c r="R1136" i="2"/>
  <c r="Q1136" i="2"/>
  <c r="P1136" i="2"/>
  <c r="L1136" i="2"/>
  <c r="K1136" i="2"/>
  <c r="H1136" i="2"/>
  <c r="I1136" i="2" s="1"/>
  <c r="J1136" i="2" s="1"/>
  <c r="C1136" i="2"/>
  <c r="B1136" i="2"/>
  <c r="A1136" i="2"/>
  <c r="J1136" i="4" s="1"/>
  <c r="X1135" i="2"/>
  <c r="S1135" i="2"/>
  <c r="R1135" i="2"/>
  <c r="Q1135" i="2"/>
  <c r="P1135" i="2"/>
  <c r="L1135" i="2"/>
  <c r="K1135" i="2"/>
  <c r="H1135" i="2"/>
  <c r="I1135" i="2" s="1"/>
  <c r="J1135" i="2" s="1"/>
  <c r="C1135" i="2"/>
  <c r="B1135" i="2"/>
  <c r="A1135" i="2"/>
  <c r="J1135" i="4" s="1"/>
  <c r="X1134" i="2"/>
  <c r="S1134" i="2"/>
  <c r="R1134" i="2"/>
  <c r="Q1134" i="2"/>
  <c r="P1134" i="2"/>
  <c r="L1134" i="2"/>
  <c r="K1134" i="2"/>
  <c r="H1134" i="2"/>
  <c r="I1134" i="2" s="1"/>
  <c r="J1134" i="2" s="1"/>
  <c r="C1134" i="2"/>
  <c r="B1134" i="2"/>
  <c r="A1134" i="2"/>
  <c r="J1134" i="4" s="1"/>
  <c r="X1133" i="2"/>
  <c r="S1133" i="2"/>
  <c r="R1133" i="2"/>
  <c r="Q1133" i="2"/>
  <c r="P1133" i="2"/>
  <c r="L1133" i="2"/>
  <c r="K1133" i="2"/>
  <c r="H1133" i="2"/>
  <c r="I1133" i="2" s="1"/>
  <c r="J1133" i="2" s="1"/>
  <c r="C1133" i="2"/>
  <c r="B1133" i="2"/>
  <c r="A1133" i="2"/>
  <c r="J1133" i="4" s="1"/>
  <c r="X1132" i="2"/>
  <c r="S1132" i="2"/>
  <c r="R1132" i="2"/>
  <c r="Q1132" i="2"/>
  <c r="P1132" i="2"/>
  <c r="L1132" i="2"/>
  <c r="K1132" i="2"/>
  <c r="H1132" i="2"/>
  <c r="I1132" i="2" s="1"/>
  <c r="J1132" i="2" s="1"/>
  <c r="C1132" i="2"/>
  <c r="B1132" i="2"/>
  <c r="A1132" i="2"/>
  <c r="J1132" i="4" s="1"/>
  <c r="X1131" i="2"/>
  <c r="S1131" i="2"/>
  <c r="R1131" i="2"/>
  <c r="Q1131" i="2"/>
  <c r="P1131" i="2"/>
  <c r="L1131" i="2"/>
  <c r="K1131" i="2"/>
  <c r="H1131" i="2"/>
  <c r="I1131" i="2" s="1"/>
  <c r="J1131" i="2" s="1"/>
  <c r="C1131" i="2"/>
  <c r="B1131" i="2"/>
  <c r="A1131" i="2"/>
  <c r="J1131" i="4" s="1"/>
  <c r="X1130" i="2"/>
  <c r="S1130" i="2"/>
  <c r="R1130" i="2"/>
  <c r="Q1130" i="2"/>
  <c r="P1130" i="2"/>
  <c r="L1130" i="2"/>
  <c r="K1130" i="2"/>
  <c r="H1130" i="2"/>
  <c r="I1130" i="2" s="1"/>
  <c r="J1130" i="2" s="1"/>
  <c r="C1130" i="2"/>
  <c r="B1130" i="2"/>
  <c r="A1130" i="2"/>
  <c r="J1130" i="4" s="1"/>
  <c r="X1129" i="2"/>
  <c r="S1129" i="2"/>
  <c r="R1129" i="2"/>
  <c r="Q1129" i="2"/>
  <c r="P1129" i="2"/>
  <c r="L1129" i="2"/>
  <c r="K1129" i="2"/>
  <c r="H1129" i="2"/>
  <c r="I1129" i="2" s="1"/>
  <c r="J1129" i="2" s="1"/>
  <c r="C1129" i="2"/>
  <c r="B1129" i="2"/>
  <c r="A1129" i="2"/>
  <c r="J1129" i="4" s="1"/>
  <c r="X1128" i="2"/>
  <c r="S1128" i="2"/>
  <c r="R1128" i="2"/>
  <c r="Q1128" i="2"/>
  <c r="P1128" i="2"/>
  <c r="L1128" i="2"/>
  <c r="K1128" i="2"/>
  <c r="H1128" i="2"/>
  <c r="I1128" i="2" s="1"/>
  <c r="J1128" i="2" s="1"/>
  <c r="C1128" i="2"/>
  <c r="B1128" i="2"/>
  <c r="A1128" i="2"/>
  <c r="J1128" i="4" s="1"/>
  <c r="X1127" i="2"/>
  <c r="S1127" i="2"/>
  <c r="R1127" i="2"/>
  <c r="Q1127" i="2"/>
  <c r="P1127" i="2"/>
  <c r="L1127" i="2"/>
  <c r="K1127" i="2"/>
  <c r="H1127" i="2"/>
  <c r="I1127" i="2" s="1"/>
  <c r="J1127" i="2" s="1"/>
  <c r="C1127" i="2"/>
  <c r="B1127" i="2"/>
  <c r="A1127" i="2"/>
  <c r="J1127" i="4" s="1"/>
  <c r="X1126" i="2"/>
  <c r="S1126" i="2"/>
  <c r="R1126" i="2"/>
  <c r="Q1126" i="2"/>
  <c r="P1126" i="2"/>
  <c r="L1126" i="2"/>
  <c r="K1126" i="2"/>
  <c r="H1126" i="2"/>
  <c r="I1126" i="2" s="1"/>
  <c r="J1126" i="2" s="1"/>
  <c r="C1126" i="2"/>
  <c r="B1126" i="2"/>
  <c r="A1126" i="2"/>
  <c r="J1126" i="4" s="1"/>
  <c r="X1125" i="2"/>
  <c r="S1125" i="2"/>
  <c r="R1125" i="2"/>
  <c r="Q1125" i="2"/>
  <c r="P1125" i="2"/>
  <c r="L1125" i="2"/>
  <c r="K1125" i="2"/>
  <c r="H1125" i="2"/>
  <c r="I1125" i="2" s="1"/>
  <c r="J1125" i="2" s="1"/>
  <c r="C1125" i="2"/>
  <c r="B1125" i="2"/>
  <c r="A1125" i="2"/>
  <c r="J1125" i="4" s="1"/>
  <c r="X1124" i="2"/>
  <c r="S1124" i="2"/>
  <c r="R1124" i="2"/>
  <c r="Q1124" i="2"/>
  <c r="P1124" i="2"/>
  <c r="L1124" i="2"/>
  <c r="K1124" i="2"/>
  <c r="H1124" i="2"/>
  <c r="I1124" i="2" s="1"/>
  <c r="J1124" i="2" s="1"/>
  <c r="C1124" i="2"/>
  <c r="B1124" i="2"/>
  <c r="A1124" i="2"/>
  <c r="J1124" i="4" s="1"/>
  <c r="X1123" i="2"/>
  <c r="S1123" i="2"/>
  <c r="R1123" i="2"/>
  <c r="Q1123" i="2"/>
  <c r="P1123" i="2"/>
  <c r="L1123" i="2"/>
  <c r="K1123" i="2"/>
  <c r="H1123" i="2"/>
  <c r="I1123" i="2" s="1"/>
  <c r="J1123" i="2" s="1"/>
  <c r="C1123" i="2"/>
  <c r="B1123" i="2"/>
  <c r="A1123" i="2"/>
  <c r="J1123" i="4" s="1"/>
  <c r="X1122" i="2"/>
  <c r="S1122" i="2"/>
  <c r="R1122" i="2"/>
  <c r="Q1122" i="2"/>
  <c r="P1122" i="2"/>
  <c r="L1122" i="2"/>
  <c r="K1122" i="2"/>
  <c r="H1122" i="2"/>
  <c r="I1122" i="2" s="1"/>
  <c r="J1122" i="2" s="1"/>
  <c r="C1122" i="2"/>
  <c r="B1122" i="2"/>
  <c r="A1122" i="2"/>
  <c r="J1122" i="4" s="1"/>
  <c r="X1121" i="2"/>
  <c r="S1121" i="2"/>
  <c r="R1121" i="2"/>
  <c r="Q1121" i="2"/>
  <c r="P1121" i="2"/>
  <c r="L1121" i="2"/>
  <c r="K1121" i="2"/>
  <c r="H1121" i="2"/>
  <c r="I1121" i="2" s="1"/>
  <c r="J1121" i="2" s="1"/>
  <c r="C1121" i="2"/>
  <c r="B1121" i="2"/>
  <c r="A1121" i="2"/>
  <c r="J1121" i="4" s="1"/>
  <c r="X1120" i="2"/>
  <c r="S1120" i="2"/>
  <c r="R1120" i="2"/>
  <c r="Q1120" i="2"/>
  <c r="P1120" i="2"/>
  <c r="L1120" i="2"/>
  <c r="K1120" i="2"/>
  <c r="H1120" i="2"/>
  <c r="I1120" i="2" s="1"/>
  <c r="J1120" i="2" s="1"/>
  <c r="C1120" i="2"/>
  <c r="B1120" i="2"/>
  <c r="A1120" i="2"/>
  <c r="J1120" i="4" s="1"/>
  <c r="X1119" i="2"/>
  <c r="S1119" i="2"/>
  <c r="R1119" i="2"/>
  <c r="Q1119" i="2"/>
  <c r="P1119" i="2"/>
  <c r="L1119" i="2"/>
  <c r="K1119" i="2"/>
  <c r="H1119" i="2"/>
  <c r="I1119" i="2" s="1"/>
  <c r="J1119" i="2" s="1"/>
  <c r="C1119" i="2"/>
  <c r="B1119" i="2"/>
  <c r="A1119" i="2"/>
  <c r="J1119" i="4" s="1"/>
  <c r="X1118" i="2"/>
  <c r="S1118" i="2"/>
  <c r="R1118" i="2"/>
  <c r="Q1118" i="2"/>
  <c r="P1118" i="2"/>
  <c r="L1118" i="2"/>
  <c r="K1118" i="2"/>
  <c r="H1118" i="2"/>
  <c r="I1118" i="2" s="1"/>
  <c r="J1118" i="2" s="1"/>
  <c r="C1118" i="2"/>
  <c r="B1118" i="2"/>
  <c r="A1118" i="2"/>
  <c r="J1118" i="4" s="1"/>
  <c r="X1117" i="2"/>
  <c r="S1117" i="2"/>
  <c r="R1117" i="2"/>
  <c r="Q1117" i="2"/>
  <c r="P1117" i="2"/>
  <c r="L1117" i="2"/>
  <c r="K1117" i="2"/>
  <c r="H1117" i="2"/>
  <c r="I1117" i="2" s="1"/>
  <c r="J1117" i="2" s="1"/>
  <c r="C1117" i="2"/>
  <c r="B1117" i="2"/>
  <c r="A1117" i="2"/>
  <c r="J1117" i="4" s="1"/>
  <c r="X1116" i="2"/>
  <c r="S1116" i="2"/>
  <c r="R1116" i="2"/>
  <c r="Q1116" i="2"/>
  <c r="P1116" i="2"/>
  <c r="L1116" i="2"/>
  <c r="K1116" i="2"/>
  <c r="H1116" i="2"/>
  <c r="I1116" i="2" s="1"/>
  <c r="J1116" i="2" s="1"/>
  <c r="C1116" i="2"/>
  <c r="B1116" i="2"/>
  <c r="A1116" i="2"/>
  <c r="J1116" i="4" s="1"/>
  <c r="X1115" i="2"/>
  <c r="S1115" i="2"/>
  <c r="R1115" i="2"/>
  <c r="Q1115" i="2"/>
  <c r="P1115" i="2"/>
  <c r="L1115" i="2"/>
  <c r="K1115" i="2"/>
  <c r="H1115" i="2"/>
  <c r="I1115" i="2" s="1"/>
  <c r="J1115" i="2" s="1"/>
  <c r="C1115" i="2"/>
  <c r="B1115" i="2"/>
  <c r="A1115" i="2"/>
  <c r="J1115" i="4" s="1"/>
  <c r="X1114" i="2"/>
  <c r="S1114" i="2"/>
  <c r="R1114" i="2"/>
  <c r="Q1114" i="2"/>
  <c r="P1114" i="2"/>
  <c r="L1114" i="2"/>
  <c r="K1114" i="2"/>
  <c r="H1114" i="2"/>
  <c r="I1114" i="2" s="1"/>
  <c r="J1114" i="2" s="1"/>
  <c r="C1114" i="2"/>
  <c r="B1114" i="2"/>
  <c r="A1114" i="2"/>
  <c r="J1114" i="4" s="1"/>
  <c r="X1113" i="2"/>
  <c r="S1113" i="2"/>
  <c r="R1113" i="2"/>
  <c r="Q1113" i="2"/>
  <c r="P1113" i="2"/>
  <c r="L1113" i="2"/>
  <c r="K1113" i="2"/>
  <c r="H1113" i="2"/>
  <c r="I1113" i="2" s="1"/>
  <c r="J1113" i="2" s="1"/>
  <c r="C1113" i="2"/>
  <c r="B1113" i="2"/>
  <c r="A1113" i="2"/>
  <c r="J1113" i="4" s="1"/>
  <c r="X1112" i="2"/>
  <c r="S1112" i="2"/>
  <c r="R1112" i="2"/>
  <c r="Q1112" i="2"/>
  <c r="P1112" i="2"/>
  <c r="L1112" i="2"/>
  <c r="K1112" i="2"/>
  <c r="H1112" i="2"/>
  <c r="I1112" i="2" s="1"/>
  <c r="J1112" i="2" s="1"/>
  <c r="C1112" i="2"/>
  <c r="B1112" i="2"/>
  <c r="A1112" i="2"/>
  <c r="J1112" i="4" s="1"/>
  <c r="X1111" i="2"/>
  <c r="S1111" i="2"/>
  <c r="R1111" i="2"/>
  <c r="Q1111" i="2"/>
  <c r="P1111" i="2"/>
  <c r="L1111" i="2"/>
  <c r="K1111" i="2"/>
  <c r="H1111" i="2"/>
  <c r="I1111" i="2" s="1"/>
  <c r="J1111" i="2" s="1"/>
  <c r="C1111" i="2"/>
  <c r="B1111" i="2"/>
  <c r="A1111" i="2"/>
  <c r="J1111" i="4" s="1"/>
  <c r="X1110" i="2"/>
  <c r="S1110" i="2"/>
  <c r="R1110" i="2"/>
  <c r="Q1110" i="2"/>
  <c r="P1110" i="2"/>
  <c r="L1110" i="2"/>
  <c r="K1110" i="2"/>
  <c r="H1110" i="2"/>
  <c r="I1110" i="2" s="1"/>
  <c r="J1110" i="2" s="1"/>
  <c r="C1110" i="2"/>
  <c r="B1110" i="2"/>
  <c r="A1110" i="2"/>
  <c r="J1110" i="4" s="1"/>
  <c r="X1109" i="2"/>
  <c r="S1109" i="2"/>
  <c r="R1109" i="2"/>
  <c r="Q1109" i="2"/>
  <c r="P1109" i="2"/>
  <c r="L1109" i="2"/>
  <c r="K1109" i="2"/>
  <c r="H1109" i="2"/>
  <c r="I1109" i="2" s="1"/>
  <c r="J1109" i="2" s="1"/>
  <c r="C1109" i="2"/>
  <c r="B1109" i="2"/>
  <c r="A1109" i="2"/>
  <c r="J1109" i="4" s="1"/>
  <c r="X1108" i="2"/>
  <c r="S1108" i="2"/>
  <c r="R1108" i="2"/>
  <c r="Q1108" i="2"/>
  <c r="P1108" i="2"/>
  <c r="L1108" i="2"/>
  <c r="K1108" i="2"/>
  <c r="H1108" i="2"/>
  <c r="I1108" i="2" s="1"/>
  <c r="J1108" i="2" s="1"/>
  <c r="C1108" i="2"/>
  <c r="B1108" i="2"/>
  <c r="A1108" i="2"/>
  <c r="J1108" i="4" s="1"/>
  <c r="X1107" i="2"/>
  <c r="S1107" i="2"/>
  <c r="R1107" i="2"/>
  <c r="Q1107" i="2"/>
  <c r="P1107" i="2"/>
  <c r="L1107" i="2"/>
  <c r="K1107" i="2"/>
  <c r="H1107" i="2"/>
  <c r="I1107" i="2" s="1"/>
  <c r="J1107" i="2" s="1"/>
  <c r="C1107" i="2"/>
  <c r="B1107" i="2"/>
  <c r="A1107" i="2"/>
  <c r="J1107" i="4" s="1"/>
  <c r="X1106" i="2"/>
  <c r="S1106" i="2"/>
  <c r="R1106" i="2"/>
  <c r="Q1106" i="2"/>
  <c r="P1106" i="2"/>
  <c r="L1106" i="2"/>
  <c r="K1106" i="2"/>
  <c r="H1106" i="2"/>
  <c r="I1106" i="2" s="1"/>
  <c r="J1106" i="2" s="1"/>
  <c r="C1106" i="2"/>
  <c r="B1106" i="2"/>
  <c r="A1106" i="2"/>
  <c r="J1106" i="4" s="1"/>
  <c r="X1105" i="2"/>
  <c r="S1105" i="2"/>
  <c r="R1105" i="2"/>
  <c r="Q1105" i="2"/>
  <c r="P1105" i="2"/>
  <c r="L1105" i="2"/>
  <c r="K1105" i="2"/>
  <c r="H1105" i="2"/>
  <c r="I1105" i="2" s="1"/>
  <c r="J1105" i="2" s="1"/>
  <c r="C1105" i="2"/>
  <c r="B1105" i="2"/>
  <c r="A1105" i="2"/>
  <c r="J1105" i="4" s="1"/>
  <c r="X1104" i="2"/>
  <c r="S1104" i="2"/>
  <c r="R1104" i="2"/>
  <c r="Q1104" i="2"/>
  <c r="P1104" i="2"/>
  <c r="L1104" i="2"/>
  <c r="K1104" i="2"/>
  <c r="H1104" i="2"/>
  <c r="I1104" i="2" s="1"/>
  <c r="J1104" i="2" s="1"/>
  <c r="C1104" i="2"/>
  <c r="B1104" i="2"/>
  <c r="A1104" i="2"/>
  <c r="J1104" i="4" s="1"/>
  <c r="X1103" i="2"/>
  <c r="S1103" i="2"/>
  <c r="R1103" i="2"/>
  <c r="Q1103" i="2"/>
  <c r="P1103" i="2"/>
  <c r="L1103" i="2"/>
  <c r="K1103" i="2"/>
  <c r="H1103" i="2"/>
  <c r="I1103" i="2" s="1"/>
  <c r="J1103" i="2" s="1"/>
  <c r="C1103" i="2"/>
  <c r="B1103" i="2"/>
  <c r="A1103" i="2"/>
  <c r="J1103" i="4" s="1"/>
  <c r="X1102" i="2"/>
  <c r="S1102" i="2"/>
  <c r="R1102" i="2"/>
  <c r="Q1102" i="2"/>
  <c r="P1102" i="2"/>
  <c r="L1102" i="2"/>
  <c r="K1102" i="2"/>
  <c r="H1102" i="2"/>
  <c r="I1102" i="2" s="1"/>
  <c r="J1102" i="2" s="1"/>
  <c r="C1102" i="2"/>
  <c r="B1102" i="2"/>
  <c r="A1102" i="2"/>
  <c r="J1102" i="4" s="1"/>
  <c r="X1101" i="2"/>
  <c r="S1101" i="2"/>
  <c r="R1101" i="2"/>
  <c r="Q1101" i="2"/>
  <c r="P1101" i="2"/>
  <c r="L1101" i="2"/>
  <c r="K1101" i="2"/>
  <c r="H1101" i="2"/>
  <c r="I1101" i="2" s="1"/>
  <c r="J1101" i="2" s="1"/>
  <c r="C1101" i="2"/>
  <c r="B1101" i="2"/>
  <c r="A1101" i="2"/>
  <c r="J1101" i="4" s="1"/>
  <c r="X1100" i="2"/>
  <c r="S1100" i="2"/>
  <c r="R1100" i="2"/>
  <c r="Q1100" i="2"/>
  <c r="P1100" i="2"/>
  <c r="L1100" i="2"/>
  <c r="K1100" i="2"/>
  <c r="H1100" i="2"/>
  <c r="I1100" i="2" s="1"/>
  <c r="J1100" i="2" s="1"/>
  <c r="C1100" i="2"/>
  <c r="B1100" i="2"/>
  <c r="A1100" i="2"/>
  <c r="J1100" i="4" s="1"/>
  <c r="X1099" i="2"/>
  <c r="S1099" i="2"/>
  <c r="R1099" i="2"/>
  <c r="Q1099" i="2"/>
  <c r="P1099" i="2"/>
  <c r="L1099" i="2"/>
  <c r="K1099" i="2"/>
  <c r="H1099" i="2"/>
  <c r="I1099" i="2" s="1"/>
  <c r="J1099" i="2" s="1"/>
  <c r="C1099" i="2"/>
  <c r="B1099" i="2"/>
  <c r="A1099" i="2"/>
  <c r="J1099" i="4" s="1"/>
  <c r="X1098" i="2"/>
  <c r="S1098" i="2"/>
  <c r="R1098" i="2"/>
  <c r="Q1098" i="2"/>
  <c r="P1098" i="2"/>
  <c r="L1098" i="2"/>
  <c r="K1098" i="2"/>
  <c r="H1098" i="2"/>
  <c r="I1098" i="2" s="1"/>
  <c r="J1098" i="2" s="1"/>
  <c r="C1098" i="2"/>
  <c r="B1098" i="2"/>
  <c r="A1098" i="2"/>
  <c r="J1098" i="4" s="1"/>
  <c r="X1097" i="2"/>
  <c r="S1097" i="2"/>
  <c r="R1097" i="2"/>
  <c r="Q1097" i="2"/>
  <c r="P1097" i="2"/>
  <c r="L1097" i="2"/>
  <c r="K1097" i="2"/>
  <c r="H1097" i="2"/>
  <c r="I1097" i="2" s="1"/>
  <c r="J1097" i="2" s="1"/>
  <c r="C1097" i="2"/>
  <c r="B1097" i="2"/>
  <c r="A1097" i="2"/>
  <c r="J1097" i="4" s="1"/>
  <c r="X1096" i="2"/>
  <c r="S1096" i="2"/>
  <c r="R1096" i="2"/>
  <c r="Q1096" i="2"/>
  <c r="P1096" i="2"/>
  <c r="L1096" i="2"/>
  <c r="K1096" i="2"/>
  <c r="H1096" i="2"/>
  <c r="I1096" i="2" s="1"/>
  <c r="J1096" i="2" s="1"/>
  <c r="C1096" i="2"/>
  <c r="B1096" i="2"/>
  <c r="A1096" i="2"/>
  <c r="J1096" i="4" s="1"/>
  <c r="X1095" i="2"/>
  <c r="S1095" i="2"/>
  <c r="R1095" i="2"/>
  <c r="Q1095" i="2"/>
  <c r="P1095" i="2"/>
  <c r="L1095" i="2"/>
  <c r="K1095" i="2"/>
  <c r="H1095" i="2"/>
  <c r="I1095" i="2" s="1"/>
  <c r="J1095" i="2" s="1"/>
  <c r="C1095" i="2"/>
  <c r="B1095" i="2"/>
  <c r="A1095" i="2"/>
  <c r="J1095" i="4" s="1"/>
  <c r="X1094" i="2"/>
  <c r="S1094" i="2"/>
  <c r="R1094" i="2"/>
  <c r="Q1094" i="2"/>
  <c r="P1094" i="2"/>
  <c r="L1094" i="2"/>
  <c r="K1094" i="2"/>
  <c r="H1094" i="2"/>
  <c r="I1094" i="2" s="1"/>
  <c r="J1094" i="2" s="1"/>
  <c r="C1094" i="2"/>
  <c r="B1094" i="2"/>
  <c r="A1094" i="2"/>
  <c r="J1094" i="4" s="1"/>
  <c r="X1093" i="2"/>
  <c r="S1093" i="2"/>
  <c r="R1093" i="2"/>
  <c r="Q1093" i="2"/>
  <c r="P1093" i="2"/>
  <c r="L1093" i="2"/>
  <c r="K1093" i="2"/>
  <c r="H1093" i="2"/>
  <c r="I1093" i="2" s="1"/>
  <c r="J1093" i="2" s="1"/>
  <c r="C1093" i="2"/>
  <c r="B1093" i="2"/>
  <c r="A1093" i="2"/>
  <c r="J1093" i="4" s="1"/>
  <c r="X1092" i="2"/>
  <c r="S1092" i="2"/>
  <c r="R1092" i="2"/>
  <c r="Q1092" i="2"/>
  <c r="P1092" i="2"/>
  <c r="L1092" i="2"/>
  <c r="K1092" i="2"/>
  <c r="H1092" i="2"/>
  <c r="I1092" i="2" s="1"/>
  <c r="J1092" i="2" s="1"/>
  <c r="C1092" i="2"/>
  <c r="B1092" i="2"/>
  <c r="A1092" i="2"/>
  <c r="J1092" i="4" s="1"/>
  <c r="X1091" i="2"/>
  <c r="S1091" i="2"/>
  <c r="R1091" i="2"/>
  <c r="Q1091" i="2"/>
  <c r="P1091" i="2"/>
  <c r="L1091" i="2"/>
  <c r="K1091" i="2"/>
  <c r="H1091" i="2"/>
  <c r="I1091" i="2" s="1"/>
  <c r="J1091" i="2" s="1"/>
  <c r="C1091" i="2"/>
  <c r="B1091" i="2"/>
  <c r="A1091" i="2"/>
  <c r="J1091" i="4" s="1"/>
  <c r="X1090" i="2"/>
  <c r="S1090" i="2"/>
  <c r="R1090" i="2"/>
  <c r="Q1090" i="2"/>
  <c r="P1090" i="2"/>
  <c r="L1090" i="2"/>
  <c r="K1090" i="2"/>
  <c r="H1090" i="2"/>
  <c r="I1090" i="2" s="1"/>
  <c r="J1090" i="2" s="1"/>
  <c r="C1090" i="2"/>
  <c r="B1090" i="2"/>
  <c r="A1090" i="2"/>
  <c r="J1090" i="4" s="1"/>
  <c r="X1089" i="2"/>
  <c r="S1089" i="2"/>
  <c r="R1089" i="2"/>
  <c r="Q1089" i="2"/>
  <c r="P1089" i="2"/>
  <c r="L1089" i="2"/>
  <c r="K1089" i="2"/>
  <c r="H1089" i="2"/>
  <c r="I1089" i="2" s="1"/>
  <c r="J1089" i="2" s="1"/>
  <c r="C1089" i="2"/>
  <c r="B1089" i="2"/>
  <c r="A1089" i="2"/>
  <c r="J1089" i="4" s="1"/>
  <c r="X1088" i="2"/>
  <c r="S1088" i="2"/>
  <c r="R1088" i="2"/>
  <c r="Q1088" i="2"/>
  <c r="P1088" i="2"/>
  <c r="L1088" i="2"/>
  <c r="K1088" i="2"/>
  <c r="H1088" i="2"/>
  <c r="I1088" i="2" s="1"/>
  <c r="J1088" i="2" s="1"/>
  <c r="C1088" i="2"/>
  <c r="B1088" i="2"/>
  <c r="A1088" i="2"/>
  <c r="J1088" i="4" s="1"/>
  <c r="X1087" i="2"/>
  <c r="S1087" i="2"/>
  <c r="R1087" i="2"/>
  <c r="Q1087" i="2"/>
  <c r="P1087" i="2"/>
  <c r="L1087" i="2"/>
  <c r="K1087" i="2"/>
  <c r="H1087" i="2"/>
  <c r="I1087" i="2" s="1"/>
  <c r="J1087" i="2" s="1"/>
  <c r="C1087" i="2"/>
  <c r="B1087" i="2"/>
  <c r="A1087" i="2"/>
  <c r="J1087" i="4" s="1"/>
  <c r="X1086" i="2"/>
  <c r="S1086" i="2"/>
  <c r="R1086" i="2"/>
  <c r="Q1086" i="2"/>
  <c r="P1086" i="2"/>
  <c r="L1086" i="2"/>
  <c r="K1086" i="2"/>
  <c r="H1086" i="2"/>
  <c r="I1086" i="2" s="1"/>
  <c r="J1086" i="2" s="1"/>
  <c r="C1086" i="2"/>
  <c r="B1086" i="2"/>
  <c r="A1086" i="2"/>
  <c r="J1086" i="4" s="1"/>
  <c r="X1085" i="2"/>
  <c r="S1085" i="2"/>
  <c r="R1085" i="2"/>
  <c r="Q1085" i="2"/>
  <c r="P1085" i="2"/>
  <c r="L1085" i="2"/>
  <c r="K1085" i="2"/>
  <c r="H1085" i="2"/>
  <c r="I1085" i="2" s="1"/>
  <c r="J1085" i="2" s="1"/>
  <c r="C1085" i="2"/>
  <c r="B1085" i="2"/>
  <c r="A1085" i="2"/>
  <c r="J1085" i="4" s="1"/>
  <c r="X1084" i="2"/>
  <c r="S1084" i="2"/>
  <c r="R1084" i="2"/>
  <c r="Q1084" i="2"/>
  <c r="P1084" i="2"/>
  <c r="L1084" i="2"/>
  <c r="K1084" i="2"/>
  <c r="H1084" i="2"/>
  <c r="I1084" i="2" s="1"/>
  <c r="J1084" i="2" s="1"/>
  <c r="C1084" i="2"/>
  <c r="B1084" i="2"/>
  <c r="A1084" i="2"/>
  <c r="J1084" i="4" s="1"/>
  <c r="X1083" i="2"/>
  <c r="S1083" i="2"/>
  <c r="R1083" i="2"/>
  <c r="Q1083" i="2"/>
  <c r="P1083" i="2"/>
  <c r="L1083" i="2"/>
  <c r="K1083" i="2"/>
  <c r="H1083" i="2"/>
  <c r="I1083" i="2" s="1"/>
  <c r="J1083" i="2" s="1"/>
  <c r="C1083" i="2"/>
  <c r="B1083" i="2"/>
  <c r="A1083" i="2"/>
  <c r="J1083" i="4" s="1"/>
  <c r="X1082" i="2"/>
  <c r="S1082" i="2"/>
  <c r="R1082" i="2"/>
  <c r="Q1082" i="2"/>
  <c r="P1082" i="2"/>
  <c r="L1082" i="2"/>
  <c r="K1082" i="2"/>
  <c r="H1082" i="2"/>
  <c r="I1082" i="2" s="1"/>
  <c r="J1082" i="2" s="1"/>
  <c r="C1082" i="2"/>
  <c r="B1082" i="2"/>
  <c r="A1082" i="2"/>
  <c r="J1082" i="4" s="1"/>
  <c r="X1081" i="2"/>
  <c r="S1081" i="2"/>
  <c r="R1081" i="2"/>
  <c r="Q1081" i="2"/>
  <c r="P1081" i="2"/>
  <c r="L1081" i="2"/>
  <c r="K1081" i="2"/>
  <c r="H1081" i="2"/>
  <c r="I1081" i="2" s="1"/>
  <c r="J1081" i="2" s="1"/>
  <c r="C1081" i="2"/>
  <c r="B1081" i="2"/>
  <c r="A1081" i="2"/>
  <c r="J1081" i="4" s="1"/>
  <c r="X1080" i="2"/>
  <c r="S1080" i="2"/>
  <c r="R1080" i="2"/>
  <c r="Q1080" i="2"/>
  <c r="P1080" i="2"/>
  <c r="L1080" i="2"/>
  <c r="K1080" i="2"/>
  <c r="H1080" i="2"/>
  <c r="I1080" i="2" s="1"/>
  <c r="J1080" i="2" s="1"/>
  <c r="C1080" i="2"/>
  <c r="B1080" i="2"/>
  <c r="A1080" i="2"/>
  <c r="J1080" i="4" s="1"/>
  <c r="X1079" i="2"/>
  <c r="S1079" i="2"/>
  <c r="R1079" i="2"/>
  <c r="Q1079" i="2"/>
  <c r="P1079" i="2"/>
  <c r="L1079" i="2"/>
  <c r="K1079" i="2"/>
  <c r="H1079" i="2"/>
  <c r="I1079" i="2" s="1"/>
  <c r="J1079" i="2" s="1"/>
  <c r="C1079" i="2"/>
  <c r="B1079" i="2"/>
  <c r="A1079" i="2"/>
  <c r="J1079" i="4" s="1"/>
  <c r="X1078" i="2"/>
  <c r="S1078" i="2"/>
  <c r="R1078" i="2"/>
  <c r="Q1078" i="2"/>
  <c r="P1078" i="2"/>
  <c r="L1078" i="2"/>
  <c r="K1078" i="2"/>
  <c r="H1078" i="2"/>
  <c r="I1078" i="2" s="1"/>
  <c r="J1078" i="2" s="1"/>
  <c r="C1078" i="2"/>
  <c r="B1078" i="2"/>
  <c r="A1078" i="2"/>
  <c r="J1078" i="4" s="1"/>
  <c r="X1077" i="2"/>
  <c r="S1077" i="2"/>
  <c r="R1077" i="2"/>
  <c r="Q1077" i="2"/>
  <c r="P1077" i="2"/>
  <c r="L1077" i="2"/>
  <c r="K1077" i="2"/>
  <c r="H1077" i="2"/>
  <c r="I1077" i="2" s="1"/>
  <c r="J1077" i="2" s="1"/>
  <c r="C1077" i="2"/>
  <c r="B1077" i="2"/>
  <c r="A1077" i="2"/>
  <c r="J1077" i="4" s="1"/>
  <c r="X1076" i="2"/>
  <c r="S1076" i="2"/>
  <c r="R1076" i="2"/>
  <c r="Q1076" i="2"/>
  <c r="P1076" i="2"/>
  <c r="L1076" i="2"/>
  <c r="K1076" i="2"/>
  <c r="H1076" i="2"/>
  <c r="I1076" i="2" s="1"/>
  <c r="J1076" i="2" s="1"/>
  <c r="C1076" i="2"/>
  <c r="B1076" i="2"/>
  <c r="A1076" i="2"/>
  <c r="J1076" i="4" s="1"/>
  <c r="X1075" i="2"/>
  <c r="S1075" i="2"/>
  <c r="R1075" i="2"/>
  <c r="Q1075" i="2"/>
  <c r="P1075" i="2"/>
  <c r="L1075" i="2"/>
  <c r="K1075" i="2"/>
  <c r="H1075" i="2"/>
  <c r="I1075" i="2" s="1"/>
  <c r="J1075" i="2" s="1"/>
  <c r="C1075" i="2"/>
  <c r="B1075" i="2"/>
  <c r="A1075" i="2"/>
  <c r="J1075" i="4" s="1"/>
  <c r="X1074" i="2"/>
  <c r="S1074" i="2"/>
  <c r="R1074" i="2"/>
  <c r="Q1074" i="2"/>
  <c r="P1074" i="2"/>
  <c r="L1074" i="2"/>
  <c r="K1074" i="2"/>
  <c r="H1074" i="2"/>
  <c r="I1074" i="2" s="1"/>
  <c r="J1074" i="2" s="1"/>
  <c r="C1074" i="2"/>
  <c r="B1074" i="2"/>
  <c r="A1074" i="2"/>
  <c r="J1074" i="4" s="1"/>
  <c r="X1073" i="2"/>
  <c r="S1073" i="2"/>
  <c r="R1073" i="2"/>
  <c r="Q1073" i="2"/>
  <c r="P1073" i="2"/>
  <c r="L1073" i="2"/>
  <c r="K1073" i="2"/>
  <c r="H1073" i="2"/>
  <c r="I1073" i="2" s="1"/>
  <c r="J1073" i="2" s="1"/>
  <c r="C1073" i="2"/>
  <c r="B1073" i="2"/>
  <c r="A1073" i="2"/>
  <c r="J1073" i="4" s="1"/>
  <c r="X1072" i="2"/>
  <c r="S1072" i="2"/>
  <c r="R1072" i="2"/>
  <c r="Q1072" i="2"/>
  <c r="P1072" i="2"/>
  <c r="L1072" i="2"/>
  <c r="K1072" i="2"/>
  <c r="H1072" i="2"/>
  <c r="I1072" i="2" s="1"/>
  <c r="J1072" i="2" s="1"/>
  <c r="C1072" i="2"/>
  <c r="B1072" i="2"/>
  <c r="A1072" i="2"/>
  <c r="J1072" i="4" s="1"/>
  <c r="X1071" i="2"/>
  <c r="S1071" i="2"/>
  <c r="R1071" i="2"/>
  <c r="Q1071" i="2"/>
  <c r="P1071" i="2"/>
  <c r="L1071" i="2"/>
  <c r="K1071" i="2"/>
  <c r="H1071" i="2"/>
  <c r="I1071" i="2" s="1"/>
  <c r="J1071" i="2" s="1"/>
  <c r="C1071" i="2"/>
  <c r="B1071" i="2"/>
  <c r="A1071" i="2"/>
  <c r="J1071" i="4" s="1"/>
  <c r="X1070" i="2"/>
  <c r="S1070" i="2"/>
  <c r="R1070" i="2"/>
  <c r="Q1070" i="2"/>
  <c r="P1070" i="2"/>
  <c r="L1070" i="2"/>
  <c r="K1070" i="2"/>
  <c r="H1070" i="2"/>
  <c r="I1070" i="2" s="1"/>
  <c r="J1070" i="2" s="1"/>
  <c r="C1070" i="2"/>
  <c r="B1070" i="2"/>
  <c r="A1070" i="2"/>
  <c r="X1069" i="2"/>
  <c r="S1069" i="2"/>
  <c r="R1069" i="2"/>
  <c r="Q1069" i="2"/>
  <c r="P1069" i="2"/>
  <c r="L1069" i="2"/>
  <c r="K1069" i="2"/>
  <c r="H1069" i="2"/>
  <c r="I1069" i="2" s="1"/>
  <c r="J1069" i="2" s="1"/>
  <c r="C1069" i="2"/>
  <c r="B1069" i="2"/>
  <c r="A1069" i="2"/>
  <c r="X1068" i="2"/>
  <c r="S1068" i="2"/>
  <c r="R1068" i="2"/>
  <c r="Q1068" i="2"/>
  <c r="P1068" i="2"/>
  <c r="L1068" i="2"/>
  <c r="K1068" i="2"/>
  <c r="H1068" i="2"/>
  <c r="I1068" i="2" s="1"/>
  <c r="J1068" i="2" s="1"/>
  <c r="C1068" i="2"/>
  <c r="B1068" i="2"/>
  <c r="A1068" i="2"/>
  <c r="X1067" i="2"/>
  <c r="S1067" i="2"/>
  <c r="R1067" i="2"/>
  <c r="Q1067" i="2"/>
  <c r="P1067" i="2"/>
  <c r="L1067" i="2"/>
  <c r="K1067" i="2"/>
  <c r="H1067" i="2"/>
  <c r="I1067" i="2" s="1"/>
  <c r="J1067" i="2" s="1"/>
  <c r="C1067" i="2"/>
  <c r="B1067" i="2"/>
  <c r="A1067" i="2"/>
  <c r="X1066" i="2"/>
  <c r="S1066" i="2"/>
  <c r="R1066" i="2"/>
  <c r="Q1066" i="2"/>
  <c r="P1066" i="2"/>
  <c r="L1066" i="2"/>
  <c r="K1066" i="2"/>
  <c r="H1066" i="2"/>
  <c r="I1066" i="2" s="1"/>
  <c r="J1066" i="2" s="1"/>
  <c r="C1066" i="2"/>
  <c r="B1066" i="2"/>
  <c r="A1066" i="2"/>
  <c r="X1065" i="2"/>
  <c r="S1065" i="2"/>
  <c r="R1065" i="2"/>
  <c r="Q1065" i="2"/>
  <c r="P1065" i="2"/>
  <c r="L1065" i="2"/>
  <c r="K1065" i="2"/>
  <c r="H1065" i="2"/>
  <c r="I1065" i="2" s="1"/>
  <c r="J1065" i="2" s="1"/>
  <c r="C1065" i="2"/>
  <c r="B1065" i="2"/>
  <c r="A1065" i="2"/>
  <c r="X1064" i="2"/>
  <c r="S1064" i="2"/>
  <c r="R1064" i="2"/>
  <c r="Q1064" i="2"/>
  <c r="P1064" i="2"/>
  <c r="L1064" i="2"/>
  <c r="K1064" i="2"/>
  <c r="H1064" i="2"/>
  <c r="I1064" i="2" s="1"/>
  <c r="J1064" i="2" s="1"/>
  <c r="C1064" i="2"/>
  <c r="B1064" i="2"/>
  <c r="A1064" i="2"/>
  <c r="X1063" i="2"/>
  <c r="S1063" i="2"/>
  <c r="R1063" i="2"/>
  <c r="Q1063" i="2"/>
  <c r="P1063" i="2"/>
  <c r="L1063" i="2"/>
  <c r="K1063" i="2"/>
  <c r="H1063" i="2"/>
  <c r="I1063" i="2" s="1"/>
  <c r="J1063" i="2" s="1"/>
  <c r="C1063" i="2"/>
  <c r="B1063" i="2"/>
  <c r="A1063" i="2"/>
  <c r="X1062" i="2"/>
  <c r="S1062" i="2"/>
  <c r="Q1062" i="2"/>
  <c r="P1062" i="2"/>
  <c r="L1062" i="2"/>
  <c r="K1062" i="2"/>
  <c r="H1062" i="2"/>
  <c r="I1062" i="2" s="1"/>
  <c r="J1062" i="2" s="1"/>
  <c r="C1062" i="2"/>
  <c r="B1062" i="2"/>
  <c r="A1062" i="2"/>
  <c r="X1061" i="2"/>
  <c r="S1061" i="2"/>
  <c r="R1061" i="2"/>
  <c r="Q1061" i="2"/>
  <c r="P1061" i="2"/>
  <c r="L1061" i="2"/>
  <c r="K1061" i="2"/>
  <c r="H1061" i="2"/>
  <c r="I1061" i="2" s="1"/>
  <c r="J1061" i="2" s="1"/>
  <c r="C1061" i="2"/>
  <c r="B1061" i="2"/>
  <c r="A1061" i="2"/>
  <c r="X1060" i="2"/>
  <c r="S1060" i="2"/>
  <c r="R1060" i="2"/>
  <c r="Q1060" i="2"/>
  <c r="P1060" i="2"/>
  <c r="L1060" i="2"/>
  <c r="K1060" i="2"/>
  <c r="H1060" i="2"/>
  <c r="I1060" i="2" s="1"/>
  <c r="J1060" i="2" s="1"/>
  <c r="C1060" i="2"/>
  <c r="B1060" i="2"/>
  <c r="A1060" i="2"/>
  <c r="X1059" i="2"/>
  <c r="S1059" i="2"/>
  <c r="R1059" i="2"/>
  <c r="Q1059" i="2"/>
  <c r="P1059" i="2"/>
  <c r="L1059" i="2"/>
  <c r="K1059" i="2"/>
  <c r="H1059" i="2"/>
  <c r="I1059" i="2" s="1"/>
  <c r="J1059" i="2" s="1"/>
  <c r="C1059" i="2"/>
  <c r="B1059" i="2"/>
  <c r="A1059" i="2"/>
  <c r="X1058" i="2"/>
  <c r="S1058" i="2"/>
  <c r="R1058" i="2"/>
  <c r="Q1058" i="2"/>
  <c r="P1058" i="2"/>
  <c r="L1058" i="2"/>
  <c r="K1058" i="2"/>
  <c r="H1058" i="2"/>
  <c r="I1058" i="2" s="1"/>
  <c r="J1058" i="2" s="1"/>
  <c r="C1058" i="2"/>
  <c r="B1058" i="2"/>
  <c r="A1058" i="2"/>
  <c r="X1057" i="2"/>
  <c r="S1057" i="2"/>
  <c r="R1057" i="2"/>
  <c r="Q1057" i="2"/>
  <c r="P1057" i="2"/>
  <c r="L1057" i="2"/>
  <c r="K1057" i="2"/>
  <c r="H1057" i="2"/>
  <c r="I1057" i="2" s="1"/>
  <c r="J1057" i="2" s="1"/>
  <c r="C1057" i="2"/>
  <c r="B1057" i="2"/>
  <c r="A1057" i="2"/>
  <c r="X1056" i="2"/>
  <c r="S1056" i="2"/>
  <c r="R1056" i="2"/>
  <c r="Q1056" i="2"/>
  <c r="P1056" i="2"/>
  <c r="L1056" i="2"/>
  <c r="K1056" i="2"/>
  <c r="H1056" i="2"/>
  <c r="I1056" i="2" s="1"/>
  <c r="J1056" i="2" s="1"/>
  <c r="C1056" i="2"/>
  <c r="B1056" i="2"/>
  <c r="A1056" i="2"/>
  <c r="X1055" i="2"/>
  <c r="S1055" i="2"/>
  <c r="R1055" i="2"/>
  <c r="Q1055" i="2"/>
  <c r="P1055" i="2"/>
  <c r="L1055" i="2"/>
  <c r="K1055" i="2"/>
  <c r="H1055" i="2"/>
  <c r="I1055" i="2" s="1"/>
  <c r="J1055" i="2" s="1"/>
  <c r="C1055" i="2"/>
  <c r="B1055" i="2"/>
  <c r="A1055" i="2"/>
  <c r="X1054" i="2"/>
  <c r="S1054" i="2"/>
  <c r="R1054" i="2"/>
  <c r="Q1054" i="2"/>
  <c r="P1054" i="2"/>
  <c r="L1054" i="2"/>
  <c r="K1054" i="2"/>
  <c r="H1054" i="2"/>
  <c r="I1054" i="2" s="1"/>
  <c r="J1054" i="2" s="1"/>
  <c r="C1054" i="2"/>
  <c r="B1054" i="2"/>
  <c r="A1054" i="2"/>
  <c r="X1053" i="2"/>
  <c r="S1053" i="2"/>
  <c r="R1053" i="2"/>
  <c r="Q1053" i="2"/>
  <c r="P1053" i="2"/>
  <c r="L1053" i="2"/>
  <c r="K1053" i="2"/>
  <c r="H1053" i="2"/>
  <c r="I1053" i="2" s="1"/>
  <c r="J1053" i="2" s="1"/>
  <c r="C1053" i="2"/>
  <c r="B1053" i="2"/>
  <c r="A1053" i="2"/>
  <c r="X1052" i="2"/>
  <c r="S1052" i="2"/>
  <c r="R1052" i="2"/>
  <c r="Q1052" i="2"/>
  <c r="P1052" i="2"/>
  <c r="L1052" i="2"/>
  <c r="K1052" i="2"/>
  <c r="H1052" i="2"/>
  <c r="I1052" i="2" s="1"/>
  <c r="J1052" i="2" s="1"/>
  <c r="C1052" i="2"/>
  <c r="B1052" i="2"/>
  <c r="A1052" i="2"/>
  <c r="X1051" i="2"/>
  <c r="S1051" i="2"/>
  <c r="R1051" i="2"/>
  <c r="Q1051" i="2"/>
  <c r="P1051" i="2"/>
  <c r="L1051" i="2"/>
  <c r="K1051" i="2"/>
  <c r="H1051" i="2"/>
  <c r="I1051" i="2" s="1"/>
  <c r="J1051" i="2" s="1"/>
  <c r="C1051" i="2"/>
  <c r="B1051" i="2"/>
  <c r="A1051" i="2"/>
  <c r="X1050" i="2"/>
  <c r="S1050" i="2"/>
  <c r="R1050" i="2"/>
  <c r="Q1050" i="2"/>
  <c r="P1050" i="2"/>
  <c r="L1050" i="2"/>
  <c r="K1050" i="2"/>
  <c r="H1050" i="2"/>
  <c r="I1050" i="2" s="1"/>
  <c r="J1050" i="2" s="1"/>
  <c r="C1050" i="2"/>
  <c r="B1050" i="2"/>
  <c r="A1050" i="2"/>
  <c r="X1049" i="2"/>
  <c r="S1049" i="2"/>
  <c r="R1049" i="2"/>
  <c r="Q1049" i="2"/>
  <c r="P1049" i="2"/>
  <c r="L1049" i="2"/>
  <c r="K1049" i="2"/>
  <c r="H1049" i="2"/>
  <c r="I1049" i="2" s="1"/>
  <c r="J1049" i="2" s="1"/>
  <c r="C1049" i="2"/>
  <c r="B1049" i="2"/>
  <c r="A1049" i="2"/>
  <c r="X1048" i="2"/>
  <c r="S1048" i="2"/>
  <c r="R1048" i="2"/>
  <c r="Q1048" i="2"/>
  <c r="P1048" i="2"/>
  <c r="L1048" i="2"/>
  <c r="K1048" i="2"/>
  <c r="H1048" i="2"/>
  <c r="I1048" i="2" s="1"/>
  <c r="J1048" i="2" s="1"/>
  <c r="C1048" i="2"/>
  <c r="B1048" i="2"/>
  <c r="A1048" i="2"/>
  <c r="X1047" i="2"/>
  <c r="S1047" i="2"/>
  <c r="R1047" i="2"/>
  <c r="Q1047" i="2"/>
  <c r="P1047" i="2"/>
  <c r="L1047" i="2"/>
  <c r="K1047" i="2"/>
  <c r="H1047" i="2"/>
  <c r="I1047" i="2" s="1"/>
  <c r="J1047" i="2" s="1"/>
  <c r="C1047" i="2"/>
  <c r="B1047" i="2"/>
  <c r="A1047" i="2"/>
  <c r="X1046" i="2"/>
  <c r="S1046" i="2"/>
  <c r="R1046" i="2"/>
  <c r="Q1046" i="2"/>
  <c r="P1046" i="2"/>
  <c r="L1046" i="2"/>
  <c r="K1046" i="2"/>
  <c r="H1046" i="2"/>
  <c r="I1046" i="2" s="1"/>
  <c r="J1046" i="2" s="1"/>
  <c r="C1046" i="2"/>
  <c r="B1046" i="2"/>
  <c r="A1046" i="2"/>
  <c r="X1045" i="2"/>
  <c r="S1045" i="2"/>
  <c r="R1045" i="2"/>
  <c r="Q1045" i="2"/>
  <c r="P1045" i="2"/>
  <c r="L1045" i="2"/>
  <c r="K1045" i="2"/>
  <c r="H1045" i="2"/>
  <c r="I1045" i="2" s="1"/>
  <c r="J1045" i="2" s="1"/>
  <c r="C1045" i="2"/>
  <c r="B1045" i="2"/>
  <c r="A1045" i="2"/>
  <c r="X1044" i="2"/>
  <c r="S1044" i="2"/>
  <c r="R1044" i="2"/>
  <c r="Q1044" i="2"/>
  <c r="P1044" i="2"/>
  <c r="L1044" i="2"/>
  <c r="K1044" i="2"/>
  <c r="H1044" i="2"/>
  <c r="I1044" i="2" s="1"/>
  <c r="J1044" i="2" s="1"/>
  <c r="C1044" i="2"/>
  <c r="B1044" i="2"/>
  <c r="A1044" i="2"/>
  <c r="X1043" i="2"/>
  <c r="S1043" i="2"/>
  <c r="R1043" i="2"/>
  <c r="Q1043" i="2"/>
  <c r="P1043" i="2"/>
  <c r="L1043" i="2"/>
  <c r="K1043" i="2"/>
  <c r="H1043" i="2"/>
  <c r="I1043" i="2" s="1"/>
  <c r="J1043" i="2" s="1"/>
  <c r="C1043" i="2"/>
  <c r="B1043" i="2"/>
  <c r="A1043" i="2"/>
  <c r="X1042" i="2"/>
  <c r="S1042" i="2"/>
  <c r="R1042" i="2"/>
  <c r="Q1042" i="2"/>
  <c r="P1042" i="2"/>
  <c r="L1042" i="2"/>
  <c r="K1042" i="2"/>
  <c r="H1042" i="2"/>
  <c r="I1042" i="2" s="1"/>
  <c r="J1042" i="2" s="1"/>
  <c r="C1042" i="2"/>
  <c r="B1042" i="2"/>
  <c r="A1042" i="2"/>
  <c r="X1041" i="2"/>
  <c r="S1041" i="2"/>
  <c r="R1041" i="2"/>
  <c r="Q1041" i="2"/>
  <c r="P1041" i="2"/>
  <c r="L1041" i="2"/>
  <c r="K1041" i="2"/>
  <c r="H1041" i="2"/>
  <c r="I1041" i="2" s="1"/>
  <c r="J1041" i="2" s="1"/>
  <c r="C1041" i="2"/>
  <c r="B1041" i="2"/>
  <c r="A1041" i="2"/>
  <c r="X1040" i="2"/>
  <c r="S1040" i="2"/>
  <c r="R1040" i="2"/>
  <c r="Q1040" i="2"/>
  <c r="P1040" i="2"/>
  <c r="L1040" i="2"/>
  <c r="K1040" i="2"/>
  <c r="H1040" i="2"/>
  <c r="I1040" i="2" s="1"/>
  <c r="J1040" i="2" s="1"/>
  <c r="C1040" i="2"/>
  <c r="B1040" i="2"/>
  <c r="A1040" i="2"/>
  <c r="X1039" i="2"/>
  <c r="S1039" i="2"/>
  <c r="R1039" i="2"/>
  <c r="Q1039" i="2"/>
  <c r="P1039" i="2"/>
  <c r="L1039" i="2"/>
  <c r="K1039" i="2"/>
  <c r="H1039" i="2"/>
  <c r="I1039" i="2" s="1"/>
  <c r="J1039" i="2" s="1"/>
  <c r="C1039" i="2"/>
  <c r="B1039" i="2"/>
  <c r="A1039" i="2"/>
  <c r="X1038" i="2"/>
  <c r="S1038" i="2"/>
  <c r="R1038" i="2"/>
  <c r="Q1038" i="2"/>
  <c r="P1038" i="2"/>
  <c r="L1038" i="2"/>
  <c r="K1038" i="2"/>
  <c r="H1038" i="2"/>
  <c r="I1038" i="2" s="1"/>
  <c r="J1038" i="2" s="1"/>
  <c r="C1038" i="2"/>
  <c r="B1038" i="2"/>
  <c r="A1038" i="2"/>
  <c r="X1037" i="2"/>
  <c r="S1037" i="2"/>
  <c r="R1037" i="2"/>
  <c r="Q1037" i="2"/>
  <c r="P1037" i="2"/>
  <c r="L1037" i="2"/>
  <c r="K1037" i="2"/>
  <c r="H1037" i="2"/>
  <c r="I1037" i="2" s="1"/>
  <c r="J1037" i="2" s="1"/>
  <c r="C1037" i="2"/>
  <c r="B1037" i="2"/>
  <c r="A1037" i="2"/>
  <c r="X1036" i="2"/>
  <c r="S1036" i="2"/>
  <c r="R1036" i="2"/>
  <c r="Q1036" i="2"/>
  <c r="P1036" i="2"/>
  <c r="L1036" i="2"/>
  <c r="K1036" i="2"/>
  <c r="H1036" i="2"/>
  <c r="I1036" i="2" s="1"/>
  <c r="J1036" i="2" s="1"/>
  <c r="C1036" i="2"/>
  <c r="B1036" i="2"/>
  <c r="A1036" i="2"/>
  <c r="X1035" i="2"/>
  <c r="S1035" i="2"/>
  <c r="R1035" i="2"/>
  <c r="Q1035" i="2"/>
  <c r="P1035" i="2"/>
  <c r="L1035" i="2"/>
  <c r="K1035" i="2"/>
  <c r="H1035" i="2"/>
  <c r="I1035" i="2" s="1"/>
  <c r="J1035" i="2" s="1"/>
  <c r="C1035" i="2"/>
  <c r="B1035" i="2"/>
  <c r="A1035" i="2"/>
  <c r="X1034" i="2"/>
  <c r="S1034" i="2"/>
  <c r="R1034" i="2"/>
  <c r="Q1034" i="2"/>
  <c r="P1034" i="2"/>
  <c r="L1034" i="2"/>
  <c r="K1034" i="2"/>
  <c r="H1034" i="2"/>
  <c r="I1034" i="2" s="1"/>
  <c r="J1034" i="2" s="1"/>
  <c r="C1034" i="2"/>
  <c r="B1034" i="2"/>
  <c r="A1034" i="2"/>
  <c r="X1033" i="2"/>
  <c r="S1033" i="2"/>
  <c r="R1033" i="2"/>
  <c r="Q1033" i="2"/>
  <c r="P1033" i="2"/>
  <c r="L1033" i="2"/>
  <c r="K1033" i="2"/>
  <c r="H1033" i="2"/>
  <c r="I1033" i="2" s="1"/>
  <c r="J1033" i="2" s="1"/>
  <c r="C1033" i="2"/>
  <c r="B1033" i="2"/>
  <c r="A1033" i="2"/>
  <c r="X1032" i="2"/>
  <c r="S1032" i="2"/>
  <c r="R1032" i="2"/>
  <c r="Q1032" i="2"/>
  <c r="P1032" i="2"/>
  <c r="L1032" i="2"/>
  <c r="K1032" i="2"/>
  <c r="H1032" i="2"/>
  <c r="I1032" i="2" s="1"/>
  <c r="J1032" i="2" s="1"/>
  <c r="C1032" i="2"/>
  <c r="B1032" i="2"/>
  <c r="A1032" i="2"/>
  <c r="X1031" i="2"/>
  <c r="S1031" i="2"/>
  <c r="R1031" i="2"/>
  <c r="Q1031" i="2"/>
  <c r="P1031" i="2"/>
  <c r="L1031" i="2"/>
  <c r="K1031" i="2"/>
  <c r="H1031" i="2"/>
  <c r="I1031" i="2" s="1"/>
  <c r="J1031" i="2" s="1"/>
  <c r="C1031" i="2"/>
  <c r="B1031" i="2"/>
  <c r="A1031" i="2"/>
  <c r="X1030" i="2"/>
  <c r="S1030" i="2"/>
  <c r="R1030" i="2"/>
  <c r="Q1030" i="2"/>
  <c r="P1030" i="2"/>
  <c r="L1030" i="2"/>
  <c r="K1030" i="2"/>
  <c r="H1030" i="2"/>
  <c r="I1030" i="2" s="1"/>
  <c r="J1030" i="2" s="1"/>
  <c r="C1030" i="2"/>
  <c r="B1030" i="2"/>
  <c r="A1030" i="2"/>
  <c r="X1029" i="2"/>
  <c r="S1029" i="2"/>
  <c r="R1029" i="2"/>
  <c r="Q1029" i="2"/>
  <c r="P1029" i="2"/>
  <c r="L1029" i="2"/>
  <c r="K1029" i="2"/>
  <c r="H1029" i="2"/>
  <c r="I1029" i="2" s="1"/>
  <c r="J1029" i="2" s="1"/>
  <c r="C1029" i="2"/>
  <c r="B1029" i="2"/>
  <c r="A1029" i="2"/>
  <c r="X1028" i="2"/>
  <c r="S1028" i="2"/>
  <c r="R1028" i="2"/>
  <c r="Q1028" i="2"/>
  <c r="P1028" i="2"/>
  <c r="L1028" i="2"/>
  <c r="K1028" i="2"/>
  <c r="H1028" i="2"/>
  <c r="I1028" i="2" s="1"/>
  <c r="J1028" i="2" s="1"/>
  <c r="C1028" i="2"/>
  <c r="B1028" i="2"/>
  <c r="A1028" i="2"/>
  <c r="X1027" i="2"/>
  <c r="S1027" i="2"/>
  <c r="R1027" i="2"/>
  <c r="Q1027" i="2"/>
  <c r="P1027" i="2"/>
  <c r="L1027" i="2"/>
  <c r="K1027" i="2"/>
  <c r="H1027" i="2"/>
  <c r="I1027" i="2" s="1"/>
  <c r="J1027" i="2" s="1"/>
  <c r="C1027" i="2"/>
  <c r="B1027" i="2"/>
  <c r="A1027" i="2"/>
  <c r="X1026" i="2"/>
  <c r="S1026" i="2"/>
  <c r="R1026" i="2"/>
  <c r="Q1026" i="2"/>
  <c r="P1026" i="2"/>
  <c r="L1026" i="2"/>
  <c r="K1026" i="2"/>
  <c r="H1026" i="2"/>
  <c r="I1026" i="2" s="1"/>
  <c r="J1026" i="2" s="1"/>
  <c r="C1026" i="2"/>
  <c r="B1026" i="2"/>
  <c r="A1026" i="2"/>
  <c r="X1025" i="2"/>
  <c r="S1025" i="2"/>
  <c r="R1025" i="2"/>
  <c r="Q1025" i="2"/>
  <c r="P1025" i="2"/>
  <c r="L1025" i="2"/>
  <c r="K1025" i="2"/>
  <c r="H1025" i="2"/>
  <c r="I1025" i="2" s="1"/>
  <c r="J1025" i="2" s="1"/>
  <c r="C1025" i="2"/>
  <c r="B1025" i="2"/>
  <c r="A1025" i="2"/>
  <c r="X1024" i="2"/>
  <c r="S1024" i="2"/>
  <c r="R1024" i="2"/>
  <c r="Q1024" i="2"/>
  <c r="P1024" i="2"/>
  <c r="L1024" i="2"/>
  <c r="K1024" i="2"/>
  <c r="H1024" i="2"/>
  <c r="I1024" i="2" s="1"/>
  <c r="J1024" i="2" s="1"/>
  <c r="C1024" i="2"/>
  <c r="B1024" i="2"/>
  <c r="A1024" i="2"/>
  <c r="X1023" i="2"/>
  <c r="S1023" i="2"/>
  <c r="R1023" i="2"/>
  <c r="Q1023" i="2"/>
  <c r="P1023" i="2"/>
  <c r="L1023" i="2"/>
  <c r="K1023" i="2"/>
  <c r="H1023" i="2"/>
  <c r="I1023" i="2" s="1"/>
  <c r="J1023" i="2" s="1"/>
  <c r="C1023" i="2"/>
  <c r="B1023" i="2"/>
  <c r="A1023" i="2"/>
  <c r="X1022" i="2"/>
  <c r="S1022" i="2"/>
  <c r="R1022" i="2"/>
  <c r="Q1022" i="2"/>
  <c r="P1022" i="2"/>
  <c r="L1022" i="2"/>
  <c r="K1022" i="2"/>
  <c r="H1022" i="2"/>
  <c r="I1022" i="2" s="1"/>
  <c r="J1022" i="2" s="1"/>
  <c r="C1022" i="2"/>
  <c r="B1022" i="2"/>
  <c r="A1022" i="2"/>
  <c r="X1021" i="2"/>
  <c r="S1021" i="2"/>
  <c r="R1021" i="2"/>
  <c r="Q1021" i="2"/>
  <c r="P1021" i="2"/>
  <c r="L1021" i="2"/>
  <c r="K1021" i="2"/>
  <c r="H1021" i="2"/>
  <c r="I1021" i="2" s="1"/>
  <c r="J1021" i="2" s="1"/>
  <c r="C1021" i="2"/>
  <c r="B1021" i="2"/>
  <c r="A1021" i="2"/>
  <c r="X1020" i="2"/>
  <c r="S1020" i="2"/>
  <c r="R1020" i="2"/>
  <c r="Q1020" i="2"/>
  <c r="P1020" i="2"/>
  <c r="L1020" i="2"/>
  <c r="K1020" i="2"/>
  <c r="H1020" i="2"/>
  <c r="I1020" i="2" s="1"/>
  <c r="J1020" i="2" s="1"/>
  <c r="C1020" i="2"/>
  <c r="B1020" i="2"/>
  <c r="A1020" i="2"/>
  <c r="X1019" i="2"/>
  <c r="S1019" i="2"/>
  <c r="R1019" i="2"/>
  <c r="Q1019" i="2"/>
  <c r="P1019" i="2"/>
  <c r="L1019" i="2"/>
  <c r="K1019" i="2"/>
  <c r="H1019" i="2"/>
  <c r="I1019" i="2" s="1"/>
  <c r="J1019" i="2" s="1"/>
  <c r="C1019" i="2"/>
  <c r="B1019" i="2"/>
  <c r="A1019" i="2"/>
  <c r="X1018" i="2"/>
  <c r="S1018" i="2"/>
  <c r="R1018" i="2"/>
  <c r="Q1018" i="2"/>
  <c r="P1018" i="2"/>
  <c r="L1018" i="2"/>
  <c r="K1018" i="2"/>
  <c r="H1018" i="2"/>
  <c r="I1018" i="2" s="1"/>
  <c r="J1018" i="2" s="1"/>
  <c r="C1018" i="2"/>
  <c r="B1018" i="2"/>
  <c r="A1018" i="2"/>
  <c r="X1017" i="2"/>
  <c r="S1017" i="2"/>
  <c r="R1017" i="2"/>
  <c r="Q1017" i="2"/>
  <c r="P1017" i="2"/>
  <c r="L1017" i="2"/>
  <c r="K1017" i="2"/>
  <c r="H1017" i="2"/>
  <c r="I1017" i="2" s="1"/>
  <c r="J1017" i="2" s="1"/>
  <c r="C1017" i="2"/>
  <c r="B1017" i="2"/>
  <c r="A1017" i="2"/>
  <c r="X1016" i="2"/>
  <c r="S1016" i="2"/>
  <c r="R1016" i="2"/>
  <c r="Q1016" i="2"/>
  <c r="P1016" i="2"/>
  <c r="L1016" i="2"/>
  <c r="K1016" i="2"/>
  <c r="H1016" i="2"/>
  <c r="I1016" i="2" s="1"/>
  <c r="J1016" i="2" s="1"/>
  <c r="C1016" i="2"/>
  <c r="B1016" i="2"/>
  <c r="A1016" i="2"/>
  <c r="X1015" i="2"/>
  <c r="S1015" i="2"/>
  <c r="R1015" i="2"/>
  <c r="Q1015" i="2"/>
  <c r="P1015" i="2"/>
  <c r="L1015" i="2"/>
  <c r="K1015" i="2"/>
  <c r="H1015" i="2"/>
  <c r="I1015" i="2" s="1"/>
  <c r="J1015" i="2" s="1"/>
  <c r="C1015" i="2"/>
  <c r="B1015" i="2"/>
  <c r="A1015" i="2"/>
  <c r="X1014" i="2"/>
  <c r="S1014" i="2"/>
  <c r="R1014" i="2"/>
  <c r="Q1014" i="2"/>
  <c r="P1014" i="2"/>
  <c r="L1014" i="2"/>
  <c r="K1014" i="2"/>
  <c r="H1014" i="2"/>
  <c r="I1014" i="2" s="1"/>
  <c r="J1014" i="2" s="1"/>
  <c r="C1014" i="2"/>
  <c r="B1014" i="2"/>
  <c r="A1014" i="2"/>
  <c r="X1013" i="2"/>
  <c r="S1013" i="2"/>
  <c r="R1013" i="2"/>
  <c r="Q1013" i="2"/>
  <c r="P1013" i="2"/>
  <c r="L1013" i="2"/>
  <c r="K1013" i="2"/>
  <c r="H1013" i="2"/>
  <c r="I1013" i="2" s="1"/>
  <c r="J1013" i="2" s="1"/>
  <c r="C1013" i="2"/>
  <c r="B1013" i="2"/>
  <c r="A1013" i="2"/>
  <c r="X1012" i="2"/>
  <c r="S1012" i="2"/>
  <c r="R1012" i="2"/>
  <c r="Q1012" i="2"/>
  <c r="P1012" i="2"/>
  <c r="L1012" i="2"/>
  <c r="K1012" i="2"/>
  <c r="H1012" i="2"/>
  <c r="I1012" i="2" s="1"/>
  <c r="J1012" i="2" s="1"/>
  <c r="C1012" i="2"/>
  <c r="B1012" i="2"/>
  <c r="A1012" i="2"/>
  <c r="X1011" i="2"/>
  <c r="S1011" i="2"/>
  <c r="R1011" i="2"/>
  <c r="Q1011" i="2"/>
  <c r="P1011" i="2"/>
  <c r="L1011" i="2"/>
  <c r="K1011" i="2"/>
  <c r="H1011" i="2"/>
  <c r="I1011" i="2" s="1"/>
  <c r="J1011" i="2" s="1"/>
  <c r="C1011" i="2"/>
  <c r="B1011" i="2"/>
  <c r="A1011" i="2"/>
  <c r="X1010" i="2"/>
  <c r="S1010" i="2"/>
  <c r="R1010" i="2"/>
  <c r="Q1010" i="2"/>
  <c r="P1010" i="2"/>
  <c r="L1010" i="2"/>
  <c r="K1010" i="2"/>
  <c r="H1010" i="2"/>
  <c r="I1010" i="2" s="1"/>
  <c r="J1010" i="2" s="1"/>
  <c r="C1010" i="2"/>
  <c r="B1010" i="2"/>
  <c r="A1010" i="2"/>
  <c r="X1009" i="2"/>
  <c r="S1009" i="2"/>
  <c r="R1009" i="2"/>
  <c r="Q1009" i="2"/>
  <c r="P1009" i="2"/>
  <c r="L1009" i="2"/>
  <c r="K1009" i="2"/>
  <c r="H1009" i="2"/>
  <c r="I1009" i="2" s="1"/>
  <c r="J1009" i="2" s="1"/>
  <c r="C1009" i="2"/>
  <c r="B1009" i="2"/>
  <c r="A1009" i="2"/>
  <c r="X1008" i="2"/>
  <c r="S1008" i="2"/>
  <c r="R1008" i="2"/>
  <c r="Q1008" i="2"/>
  <c r="P1008" i="2"/>
  <c r="L1008" i="2"/>
  <c r="K1008" i="2"/>
  <c r="H1008" i="2"/>
  <c r="I1008" i="2" s="1"/>
  <c r="J1008" i="2" s="1"/>
  <c r="C1008" i="2"/>
  <c r="B1008" i="2"/>
  <c r="A1008" i="2"/>
  <c r="X1007" i="2"/>
  <c r="S1007" i="2"/>
  <c r="R1007" i="2"/>
  <c r="Q1007" i="2"/>
  <c r="P1007" i="2"/>
  <c r="L1007" i="2"/>
  <c r="K1007" i="2"/>
  <c r="H1007" i="2"/>
  <c r="I1007" i="2" s="1"/>
  <c r="J1007" i="2" s="1"/>
  <c r="C1007" i="2"/>
  <c r="B1007" i="2"/>
  <c r="A1007" i="2"/>
  <c r="X1006" i="2"/>
  <c r="S1006" i="2"/>
  <c r="R1006" i="2"/>
  <c r="Q1006" i="2"/>
  <c r="P1006" i="2"/>
  <c r="L1006" i="2"/>
  <c r="K1006" i="2"/>
  <c r="H1006" i="2"/>
  <c r="I1006" i="2" s="1"/>
  <c r="J1006" i="2" s="1"/>
  <c r="C1006" i="2"/>
  <c r="B1006" i="2"/>
  <c r="A1006" i="2"/>
  <c r="X1005" i="2"/>
  <c r="S1005" i="2"/>
  <c r="R1005" i="2"/>
  <c r="Q1005" i="2"/>
  <c r="P1005" i="2"/>
  <c r="L1005" i="2"/>
  <c r="K1005" i="2"/>
  <c r="H1005" i="2"/>
  <c r="I1005" i="2" s="1"/>
  <c r="J1005" i="2" s="1"/>
  <c r="C1005" i="2"/>
  <c r="B1005" i="2"/>
  <c r="A1005" i="2"/>
  <c r="X1004" i="2"/>
  <c r="S1004" i="2"/>
  <c r="R1004" i="2"/>
  <c r="Q1004" i="2"/>
  <c r="P1004" i="2"/>
  <c r="L1004" i="2"/>
  <c r="K1004" i="2"/>
  <c r="H1004" i="2"/>
  <c r="I1004" i="2" s="1"/>
  <c r="J1004" i="2" s="1"/>
  <c r="C1004" i="2"/>
  <c r="B1004" i="2"/>
  <c r="A1004" i="2"/>
  <c r="X1003" i="2"/>
  <c r="S1003" i="2"/>
  <c r="R1003" i="2"/>
  <c r="Q1003" i="2"/>
  <c r="P1003" i="2"/>
  <c r="L1003" i="2"/>
  <c r="K1003" i="2"/>
  <c r="H1003" i="2"/>
  <c r="I1003" i="2" s="1"/>
  <c r="J1003" i="2" s="1"/>
  <c r="C1003" i="2"/>
  <c r="B1003" i="2"/>
  <c r="A1003" i="2"/>
  <c r="X1002" i="2"/>
  <c r="S1002" i="2"/>
  <c r="R1002" i="2"/>
  <c r="Q1002" i="2"/>
  <c r="P1002" i="2"/>
  <c r="L1002" i="2"/>
  <c r="K1002" i="2"/>
  <c r="H1002" i="2"/>
  <c r="I1002" i="2" s="1"/>
  <c r="J1002" i="2" s="1"/>
  <c r="C1002" i="2"/>
  <c r="B1002" i="2"/>
  <c r="A1002" i="2"/>
  <c r="X1001" i="2"/>
  <c r="S1001" i="2"/>
  <c r="R1001" i="2"/>
  <c r="Q1001" i="2"/>
  <c r="P1001" i="2"/>
  <c r="L1001" i="2"/>
  <c r="K1001" i="2"/>
  <c r="H1001" i="2"/>
  <c r="I1001" i="2" s="1"/>
  <c r="J1001" i="2" s="1"/>
  <c r="C1001" i="2"/>
  <c r="B1001" i="2"/>
  <c r="A1001" i="2"/>
  <c r="X1000" i="2"/>
  <c r="S1000" i="2"/>
  <c r="R1000" i="2"/>
  <c r="Q1000" i="2"/>
  <c r="P1000" i="2"/>
  <c r="L1000" i="2"/>
  <c r="K1000" i="2"/>
  <c r="H1000" i="2"/>
  <c r="I1000" i="2" s="1"/>
  <c r="J1000" i="2" s="1"/>
  <c r="C1000" i="2"/>
  <c r="B1000" i="2"/>
  <c r="A1000" i="2"/>
  <c r="X999" i="2"/>
  <c r="S999" i="2"/>
  <c r="R999" i="2"/>
  <c r="Q999" i="2"/>
  <c r="P999" i="2"/>
  <c r="L999" i="2"/>
  <c r="K999" i="2"/>
  <c r="H999" i="2"/>
  <c r="I999" i="2" s="1"/>
  <c r="J999" i="2" s="1"/>
  <c r="C999" i="2"/>
  <c r="B999" i="2"/>
  <c r="A999" i="2"/>
  <c r="X998" i="2"/>
  <c r="S998" i="2"/>
  <c r="R998" i="2"/>
  <c r="Q998" i="2"/>
  <c r="P998" i="2"/>
  <c r="L998" i="2"/>
  <c r="K998" i="2"/>
  <c r="H998" i="2"/>
  <c r="I998" i="2" s="1"/>
  <c r="J998" i="2" s="1"/>
  <c r="C998" i="2"/>
  <c r="B998" i="2"/>
  <c r="A998" i="2"/>
  <c r="X997" i="2"/>
  <c r="S997" i="2"/>
  <c r="R997" i="2"/>
  <c r="Q997" i="2"/>
  <c r="P997" i="2"/>
  <c r="L997" i="2"/>
  <c r="K997" i="2"/>
  <c r="H997" i="2"/>
  <c r="I997" i="2" s="1"/>
  <c r="J997" i="2" s="1"/>
  <c r="C997" i="2"/>
  <c r="B997" i="2"/>
  <c r="A997" i="2"/>
  <c r="X996" i="2"/>
  <c r="S996" i="2"/>
  <c r="R996" i="2"/>
  <c r="Q996" i="2"/>
  <c r="P996" i="2"/>
  <c r="L996" i="2"/>
  <c r="K996" i="2"/>
  <c r="H996" i="2"/>
  <c r="I996" i="2" s="1"/>
  <c r="J996" i="2" s="1"/>
  <c r="C996" i="2"/>
  <c r="B996" i="2"/>
  <c r="A996" i="2"/>
  <c r="X995" i="2"/>
  <c r="S995" i="2"/>
  <c r="R995" i="2"/>
  <c r="Q995" i="2"/>
  <c r="P995" i="2"/>
  <c r="L995" i="2"/>
  <c r="K995" i="2"/>
  <c r="H995" i="2"/>
  <c r="I995" i="2" s="1"/>
  <c r="J995" i="2" s="1"/>
  <c r="C995" i="2"/>
  <c r="B995" i="2"/>
  <c r="A995" i="2"/>
  <c r="X994" i="2"/>
  <c r="S994" i="2"/>
  <c r="R994" i="2"/>
  <c r="Q994" i="2"/>
  <c r="P994" i="2"/>
  <c r="L994" i="2"/>
  <c r="K994" i="2"/>
  <c r="H994" i="2"/>
  <c r="I994" i="2" s="1"/>
  <c r="J994" i="2" s="1"/>
  <c r="C994" i="2"/>
  <c r="B994" i="2"/>
  <c r="A994" i="2"/>
  <c r="X993" i="2"/>
  <c r="S993" i="2"/>
  <c r="R993" i="2"/>
  <c r="Q993" i="2"/>
  <c r="P993" i="2"/>
  <c r="L993" i="2"/>
  <c r="K993" i="2"/>
  <c r="H993" i="2"/>
  <c r="I993" i="2" s="1"/>
  <c r="J993" i="2" s="1"/>
  <c r="C993" i="2"/>
  <c r="B993" i="2"/>
  <c r="A993" i="2"/>
  <c r="X992" i="2"/>
  <c r="S992" i="2"/>
  <c r="R992" i="2"/>
  <c r="Q992" i="2"/>
  <c r="P992" i="2"/>
  <c r="L992" i="2"/>
  <c r="K992" i="2"/>
  <c r="H992" i="2"/>
  <c r="I992" i="2" s="1"/>
  <c r="J992" i="2" s="1"/>
  <c r="C992" i="2"/>
  <c r="B992" i="2"/>
  <c r="A992" i="2"/>
  <c r="X991" i="2"/>
  <c r="S991" i="2"/>
  <c r="R991" i="2"/>
  <c r="Q991" i="2"/>
  <c r="P991" i="2"/>
  <c r="L991" i="2"/>
  <c r="K991" i="2"/>
  <c r="H991" i="2"/>
  <c r="I991" i="2" s="1"/>
  <c r="J991" i="2" s="1"/>
  <c r="C991" i="2"/>
  <c r="B991" i="2"/>
  <c r="A991" i="2"/>
  <c r="X990" i="2"/>
  <c r="S990" i="2"/>
  <c r="R990" i="2"/>
  <c r="Q990" i="2"/>
  <c r="P990" i="2"/>
  <c r="L990" i="2"/>
  <c r="K990" i="2"/>
  <c r="H990" i="2"/>
  <c r="I990" i="2" s="1"/>
  <c r="J990" i="2" s="1"/>
  <c r="C990" i="2"/>
  <c r="B990" i="2"/>
  <c r="A990" i="2"/>
  <c r="X989" i="2"/>
  <c r="S989" i="2"/>
  <c r="R989" i="2"/>
  <c r="Q989" i="2"/>
  <c r="P989" i="2"/>
  <c r="L989" i="2"/>
  <c r="K989" i="2"/>
  <c r="H989" i="2"/>
  <c r="I989" i="2" s="1"/>
  <c r="J989" i="2" s="1"/>
  <c r="C989" i="2"/>
  <c r="B989" i="2"/>
  <c r="A989" i="2"/>
  <c r="X988" i="2"/>
  <c r="S988" i="2"/>
  <c r="R988" i="2"/>
  <c r="Q988" i="2"/>
  <c r="P988" i="2"/>
  <c r="L988" i="2"/>
  <c r="K988" i="2"/>
  <c r="H988" i="2"/>
  <c r="I988" i="2" s="1"/>
  <c r="J988" i="2" s="1"/>
  <c r="C988" i="2"/>
  <c r="B988" i="2"/>
  <c r="A988" i="2"/>
  <c r="X987" i="2"/>
  <c r="S987" i="2"/>
  <c r="R987" i="2"/>
  <c r="Q987" i="2"/>
  <c r="P987" i="2"/>
  <c r="L987" i="2"/>
  <c r="K987" i="2"/>
  <c r="H987" i="2"/>
  <c r="I987" i="2" s="1"/>
  <c r="J987" i="2" s="1"/>
  <c r="C987" i="2"/>
  <c r="B987" i="2"/>
  <c r="A987" i="2"/>
  <c r="X986" i="2"/>
  <c r="S986" i="2"/>
  <c r="R986" i="2"/>
  <c r="Q986" i="2"/>
  <c r="P986" i="2"/>
  <c r="L986" i="2"/>
  <c r="K986" i="2"/>
  <c r="H986" i="2"/>
  <c r="I986" i="2" s="1"/>
  <c r="J986" i="2" s="1"/>
  <c r="C986" i="2"/>
  <c r="B986" i="2"/>
  <c r="A986" i="2"/>
  <c r="X985" i="2"/>
  <c r="S985" i="2"/>
  <c r="R985" i="2"/>
  <c r="Q985" i="2"/>
  <c r="P985" i="2"/>
  <c r="L985" i="2"/>
  <c r="K985" i="2"/>
  <c r="H985" i="2"/>
  <c r="I985" i="2" s="1"/>
  <c r="J985" i="2" s="1"/>
  <c r="C985" i="2"/>
  <c r="B985" i="2"/>
  <c r="A985" i="2"/>
  <c r="X984" i="2"/>
  <c r="S984" i="2"/>
  <c r="R984" i="2"/>
  <c r="Q984" i="2"/>
  <c r="P984" i="2"/>
  <c r="L984" i="2"/>
  <c r="K984" i="2"/>
  <c r="H984" i="2"/>
  <c r="I984" i="2" s="1"/>
  <c r="J984" i="2" s="1"/>
  <c r="C984" i="2"/>
  <c r="B984" i="2"/>
  <c r="A984" i="2"/>
  <c r="X983" i="2"/>
  <c r="S983" i="2"/>
  <c r="R983" i="2"/>
  <c r="Q983" i="2"/>
  <c r="P983" i="2"/>
  <c r="L983" i="2"/>
  <c r="K983" i="2"/>
  <c r="H983" i="2"/>
  <c r="I983" i="2" s="1"/>
  <c r="J983" i="2" s="1"/>
  <c r="C983" i="2"/>
  <c r="B983" i="2"/>
  <c r="A983" i="2"/>
  <c r="X982" i="2"/>
  <c r="S982" i="2"/>
  <c r="R982" i="2"/>
  <c r="Q982" i="2"/>
  <c r="P982" i="2"/>
  <c r="L982" i="2"/>
  <c r="K982" i="2"/>
  <c r="H982" i="2"/>
  <c r="I982" i="2" s="1"/>
  <c r="J982" i="2" s="1"/>
  <c r="C982" i="2"/>
  <c r="B982" i="2"/>
  <c r="A982" i="2"/>
  <c r="X981" i="2"/>
  <c r="S981" i="2"/>
  <c r="R981" i="2"/>
  <c r="Q981" i="2"/>
  <c r="P981" i="2"/>
  <c r="L981" i="2"/>
  <c r="K981" i="2"/>
  <c r="H981" i="2"/>
  <c r="I981" i="2" s="1"/>
  <c r="J981" i="2" s="1"/>
  <c r="C981" i="2"/>
  <c r="B981" i="2"/>
  <c r="A981" i="2"/>
  <c r="X980" i="2"/>
  <c r="S980" i="2"/>
  <c r="R980" i="2"/>
  <c r="Q980" i="2"/>
  <c r="P980" i="2"/>
  <c r="L980" i="2"/>
  <c r="K980" i="2"/>
  <c r="H980" i="2"/>
  <c r="I980" i="2" s="1"/>
  <c r="J980" i="2" s="1"/>
  <c r="C980" i="2"/>
  <c r="B980" i="2"/>
  <c r="A980" i="2"/>
  <c r="X979" i="2"/>
  <c r="S979" i="2"/>
  <c r="R979" i="2"/>
  <c r="Q979" i="2"/>
  <c r="P979" i="2"/>
  <c r="L979" i="2"/>
  <c r="K979" i="2"/>
  <c r="H979" i="2"/>
  <c r="I979" i="2" s="1"/>
  <c r="J979" i="2" s="1"/>
  <c r="C979" i="2"/>
  <c r="B979" i="2"/>
  <c r="A979" i="2"/>
  <c r="X978" i="2"/>
  <c r="S978" i="2"/>
  <c r="R978" i="2"/>
  <c r="Q978" i="2"/>
  <c r="P978" i="2"/>
  <c r="L978" i="2"/>
  <c r="K978" i="2"/>
  <c r="H978" i="2"/>
  <c r="I978" i="2" s="1"/>
  <c r="J978" i="2" s="1"/>
  <c r="C978" i="2"/>
  <c r="B978" i="2"/>
  <c r="A978" i="2"/>
  <c r="X977" i="2"/>
  <c r="S977" i="2"/>
  <c r="R977" i="2"/>
  <c r="Q977" i="2"/>
  <c r="P977" i="2"/>
  <c r="L977" i="2"/>
  <c r="M977" i="2" s="1"/>
  <c r="K977" i="2"/>
  <c r="H977" i="2"/>
  <c r="I977" i="2" s="1"/>
  <c r="J977" i="2" s="1"/>
  <c r="C977" i="2"/>
  <c r="B977" i="2"/>
  <c r="A977" i="2"/>
  <c r="X976" i="2"/>
  <c r="S976" i="2"/>
  <c r="R976" i="2"/>
  <c r="Q976" i="2"/>
  <c r="P976" i="2"/>
  <c r="L976" i="2"/>
  <c r="K976" i="2"/>
  <c r="H976" i="2"/>
  <c r="I976" i="2" s="1"/>
  <c r="J976" i="2" s="1"/>
  <c r="C976" i="2"/>
  <c r="B976" i="2"/>
  <c r="A976" i="2"/>
  <c r="J976" i="4" s="1"/>
  <c r="X975" i="2"/>
  <c r="S975" i="2"/>
  <c r="Q975" i="2"/>
  <c r="P975" i="2"/>
  <c r="R975" i="2" s="1"/>
  <c r="L975" i="2"/>
  <c r="K975" i="2"/>
  <c r="H975" i="2"/>
  <c r="I975" i="2" s="1"/>
  <c r="J975" i="2" s="1"/>
  <c r="C975" i="2"/>
  <c r="B975" i="2"/>
  <c r="A975" i="2"/>
  <c r="J975" i="4" s="1"/>
  <c r="X974" i="2"/>
  <c r="S974" i="2"/>
  <c r="R974" i="2"/>
  <c r="Q974" i="2"/>
  <c r="P974" i="2"/>
  <c r="L974" i="2"/>
  <c r="K974" i="2"/>
  <c r="H974" i="2"/>
  <c r="I974" i="2" s="1"/>
  <c r="J974" i="2" s="1"/>
  <c r="C974" i="2"/>
  <c r="B974" i="2"/>
  <c r="A974" i="2"/>
  <c r="J974" i="4" s="1"/>
  <c r="X973" i="2"/>
  <c r="S973" i="2"/>
  <c r="R973" i="2"/>
  <c r="Q973" i="2"/>
  <c r="P973" i="2"/>
  <c r="L973" i="2"/>
  <c r="K973" i="2"/>
  <c r="H973" i="2"/>
  <c r="I973" i="2" s="1"/>
  <c r="J973" i="2" s="1"/>
  <c r="C973" i="2"/>
  <c r="B973" i="2"/>
  <c r="A973" i="2"/>
  <c r="J973" i="4" s="1"/>
  <c r="X972" i="2"/>
  <c r="S972" i="2"/>
  <c r="R972" i="2"/>
  <c r="Q972" i="2"/>
  <c r="P972" i="2"/>
  <c r="L972" i="2"/>
  <c r="K972" i="2"/>
  <c r="H972" i="2"/>
  <c r="I972" i="2" s="1"/>
  <c r="J972" i="2" s="1"/>
  <c r="C972" i="2"/>
  <c r="B972" i="2"/>
  <c r="A972" i="2"/>
  <c r="J972" i="4" s="1"/>
  <c r="X971" i="2"/>
  <c r="S971" i="2"/>
  <c r="R971" i="2"/>
  <c r="Q971" i="2"/>
  <c r="P971" i="2"/>
  <c r="L971" i="2"/>
  <c r="K971" i="2"/>
  <c r="H971" i="2"/>
  <c r="I971" i="2" s="1"/>
  <c r="J971" i="2" s="1"/>
  <c r="C971" i="2"/>
  <c r="B971" i="2"/>
  <c r="A971" i="2"/>
  <c r="J971" i="4" s="1"/>
  <c r="X970" i="2"/>
  <c r="S970" i="2"/>
  <c r="R970" i="2"/>
  <c r="Q970" i="2"/>
  <c r="P970" i="2"/>
  <c r="L970" i="2"/>
  <c r="K970" i="2"/>
  <c r="H970" i="2"/>
  <c r="I970" i="2" s="1"/>
  <c r="J970" i="2" s="1"/>
  <c r="C970" i="2"/>
  <c r="B970" i="2"/>
  <c r="A970" i="2"/>
  <c r="J970" i="4" s="1"/>
  <c r="X969" i="2"/>
  <c r="S969" i="2"/>
  <c r="R969" i="2"/>
  <c r="Q969" i="2"/>
  <c r="P969" i="2"/>
  <c r="L969" i="2"/>
  <c r="K969" i="2"/>
  <c r="H969" i="2"/>
  <c r="I969" i="2" s="1"/>
  <c r="J969" i="2" s="1"/>
  <c r="C969" i="2"/>
  <c r="B969" i="2"/>
  <c r="A969" i="2"/>
  <c r="J969" i="4" s="1"/>
  <c r="X968" i="2"/>
  <c r="S968" i="2"/>
  <c r="R968" i="2"/>
  <c r="Q968" i="2"/>
  <c r="P968" i="2"/>
  <c r="L968" i="2"/>
  <c r="K968" i="2"/>
  <c r="H968" i="2"/>
  <c r="I968" i="2" s="1"/>
  <c r="J968" i="2" s="1"/>
  <c r="C968" i="2"/>
  <c r="B968" i="2"/>
  <c r="A968" i="2"/>
  <c r="J968" i="4" s="1"/>
  <c r="X967" i="2"/>
  <c r="S967" i="2"/>
  <c r="R967" i="2"/>
  <c r="Q967" i="2"/>
  <c r="P967" i="2"/>
  <c r="L967" i="2"/>
  <c r="K967" i="2"/>
  <c r="H967" i="2"/>
  <c r="I967" i="2" s="1"/>
  <c r="J967" i="2" s="1"/>
  <c r="C967" i="2"/>
  <c r="B967" i="2"/>
  <c r="A967" i="2"/>
  <c r="J967" i="4" s="1"/>
  <c r="X966" i="2"/>
  <c r="S966" i="2"/>
  <c r="R966" i="2"/>
  <c r="Q966" i="2"/>
  <c r="P966" i="2"/>
  <c r="L966" i="2"/>
  <c r="K966" i="2"/>
  <c r="H966" i="2"/>
  <c r="I966" i="2" s="1"/>
  <c r="J966" i="2" s="1"/>
  <c r="C966" i="2"/>
  <c r="B966" i="2"/>
  <c r="A966" i="2"/>
  <c r="J966" i="4" s="1"/>
  <c r="X965" i="2"/>
  <c r="S965" i="2"/>
  <c r="R965" i="2"/>
  <c r="Q965" i="2"/>
  <c r="P965" i="2"/>
  <c r="L965" i="2"/>
  <c r="K965" i="2"/>
  <c r="H965" i="2"/>
  <c r="I965" i="2" s="1"/>
  <c r="J965" i="2" s="1"/>
  <c r="C965" i="2"/>
  <c r="B965" i="2"/>
  <c r="A965" i="2"/>
  <c r="J965" i="4" s="1"/>
  <c r="X964" i="2"/>
  <c r="S964" i="2"/>
  <c r="R964" i="2"/>
  <c r="Q964" i="2"/>
  <c r="P964" i="2"/>
  <c r="L964" i="2"/>
  <c r="K964" i="2"/>
  <c r="H964" i="2"/>
  <c r="I964" i="2" s="1"/>
  <c r="J964" i="2" s="1"/>
  <c r="C964" i="2"/>
  <c r="B964" i="2"/>
  <c r="A964" i="2"/>
  <c r="J964" i="4" s="1"/>
  <c r="X963" i="2"/>
  <c r="S963" i="2"/>
  <c r="R963" i="2"/>
  <c r="Q963" i="2"/>
  <c r="P963" i="2"/>
  <c r="L963" i="2"/>
  <c r="K963" i="2"/>
  <c r="H963" i="2"/>
  <c r="I963" i="2" s="1"/>
  <c r="J963" i="2" s="1"/>
  <c r="C963" i="2"/>
  <c r="B963" i="2"/>
  <c r="A963" i="2"/>
  <c r="J963" i="4" s="1"/>
  <c r="X962" i="2"/>
  <c r="S962" i="2"/>
  <c r="R962" i="2"/>
  <c r="Q962" i="2"/>
  <c r="P962" i="2"/>
  <c r="L962" i="2"/>
  <c r="K962" i="2"/>
  <c r="H962" i="2"/>
  <c r="I962" i="2" s="1"/>
  <c r="J962" i="2" s="1"/>
  <c r="C962" i="2"/>
  <c r="B962" i="2"/>
  <c r="A962" i="2"/>
  <c r="J962" i="4" s="1"/>
  <c r="X961" i="2"/>
  <c r="S961" i="2"/>
  <c r="R961" i="2"/>
  <c r="Q961" i="2"/>
  <c r="P961" i="2"/>
  <c r="L961" i="2"/>
  <c r="K961" i="2"/>
  <c r="H961" i="2"/>
  <c r="I961" i="2" s="1"/>
  <c r="J961" i="2" s="1"/>
  <c r="C961" i="2"/>
  <c r="B961" i="2"/>
  <c r="A961" i="2"/>
  <c r="J961" i="4" s="1"/>
  <c r="X960" i="2"/>
  <c r="S960" i="2"/>
  <c r="R960" i="2"/>
  <c r="Q960" i="2"/>
  <c r="P960" i="2"/>
  <c r="L960" i="2"/>
  <c r="K960" i="2"/>
  <c r="H960" i="2"/>
  <c r="I960" i="2" s="1"/>
  <c r="J960" i="2" s="1"/>
  <c r="C960" i="2"/>
  <c r="B960" i="2"/>
  <c r="A960" i="2"/>
  <c r="J960" i="4" s="1"/>
  <c r="X959" i="2"/>
  <c r="S959" i="2"/>
  <c r="R959" i="2"/>
  <c r="Q959" i="2"/>
  <c r="P959" i="2"/>
  <c r="L959" i="2"/>
  <c r="K959" i="2"/>
  <c r="H959" i="2"/>
  <c r="I959" i="2" s="1"/>
  <c r="J959" i="2" s="1"/>
  <c r="C959" i="2"/>
  <c r="B959" i="2"/>
  <c r="A959" i="2"/>
  <c r="J959" i="4" s="1"/>
  <c r="X958" i="2"/>
  <c r="S958" i="2"/>
  <c r="R958" i="2"/>
  <c r="Q958" i="2"/>
  <c r="P958" i="2"/>
  <c r="L958" i="2"/>
  <c r="K958" i="2"/>
  <c r="H958" i="2"/>
  <c r="I958" i="2" s="1"/>
  <c r="J958" i="2" s="1"/>
  <c r="C958" i="2"/>
  <c r="B958" i="2"/>
  <c r="A958" i="2"/>
  <c r="J958" i="4" s="1"/>
  <c r="X957" i="2"/>
  <c r="S957" i="2"/>
  <c r="R957" i="2"/>
  <c r="Q957" i="2"/>
  <c r="P957" i="2"/>
  <c r="L957" i="2"/>
  <c r="K957" i="2"/>
  <c r="H957" i="2"/>
  <c r="I957" i="2" s="1"/>
  <c r="J957" i="2" s="1"/>
  <c r="C957" i="2"/>
  <c r="B957" i="2"/>
  <c r="A957" i="2"/>
  <c r="J957" i="4" s="1"/>
  <c r="X956" i="2"/>
  <c r="S956" i="2"/>
  <c r="R956" i="2"/>
  <c r="Q956" i="2"/>
  <c r="P956" i="2"/>
  <c r="L956" i="2"/>
  <c r="K956" i="2"/>
  <c r="H956" i="2"/>
  <c r="I956" i="2" s="1"/>
  <c r="J956" i="2" s="1"/>
  <c r="C956" i="2"/>
  <c r="B956" i="2"/>
  <c r="A956" i="2"/>
  <c r="J956" i="4" s="1"/>
  <c r="X955" i="2"/>
  <c r="S955" i="2"/>
  <c r="R955" i="2"/>
  <c r="Q955" i="2"/>
  <c r="P955" i="2"/>
  <c r="L955" i="2"/>
  <c r="K955" i="2"/>
  <c r="H955" i="2"/>
  <c r="I955" i="2" s="1"/>
  <c r="J955" i="2" s="1"/>
  <c r="C955" i="2"/>
  <c r="B955" i="2"/>
  <c r="A955" i="2"/>
  <c r="J955" i="4" s="1"/>
  <c r="X954" i="2"/>
  <c r="S954" i="2"/>
  <c r="R954" i="2"/>
  <c r="Q954" i="2"/>
  <c r="P954" i="2"/>
  <c r="L954" i="2"/>
  <c r="K954" i="2"/>
  <c r="H954" i="2"/>
  <c r="I954" i="2" s="1"/>
  <c r="J954" i="2" s="1"/>
  <c r="C954" i="2"/>
  <c r="B954" i="2"/>
  <c r="A954" i="2"/>
  <c r="J954" i="4" s="1"/>
  <c r="X953" i="2"/>
  <c r="S953" i="2"/>
  <c r="R953" i="2"/>
  <c r="Q953" i="2"/>
  <c r="P953" i="2"/>
  <c r="L953" i="2"/>
  <c r="K953" i="2"/>
  <c r="H953" i="2"/>
  <c r="I953" i="2" s="1"/>
  <c r="J953" i="2" s="1"/>
  <c r="C953" i="2"/>
  <c r="B953" i="2"/>
  <c r="A953" i="2"/>
  <c r="J953" i="4" s="1"/>
  <c r="X952" i="2"/>
  <c r="S952" i="2"/>
  <c r="R952" i="2"/>
  <c r="Q952" i="2"/>
  <c r="P952" i="2"/>
  <c r="L952" i="2"/>
  <c r="K952" i="2"/>
  <c r="H952" i="2"/>
  <c r="I952" i="2" s="1"/>
  <c r="J952" i="2" s="1"/>
  <c r="C952" i="2"/>
  <c r="B952" i="2"/>
  <c r="A952" i="2"/>
  <c r="J952" i="4" s="1"/>
  <c r="X951" i="2"/>
  <c r="S951" i="2"/>
  <c r="R951" i="2"/>
  <c r="Q951" i="2"/>
  <c r="P951" i="2"/>
  <c r="L951" i="2"/>
  <c r="K951" i="2"/>
  <c r="H951" i="2"/>
  <c r="I951" i="2" s="1"/>
  <c r="J951" i="2" s="1"/>
  <c r="C951" i="2"/>
  <c r="B951" i="2"/>
  <c r="A951" i="2"/>
  <c r="J951" i="4" s="1"/>
  <c r="X950" i="2"/>
  <c r="S950" i="2"/>
  <c r="R950" i="2"/>
  <c r="Q950" i="2"/>
  <c r="P950" i="2"/>
  <c r="L950" i="2"/>
  <c r="K950" i="2"/>
  <c r="H950" i="2"/>
  <c r="I950" i="2" s="1"/>
  <c r="J950" i="2" s="1"/>
  <c r="C950" i="2"/>
  <c r="B950" i="2"/>
  <c r="A950" i="2"/>
  <c r="J950" i="4" s="1"/>
  <c r="X949" i="2"/>
  <c r="S949" i="2"/>
  <c r="R949" i="2"/>
  <c r="Q949" i="2"/>
  <c r="P949" i="2"/>
  <c r="L949" i="2"/>
  <c r="K949" i="2"/>
  <c r="H949" i="2"/>
  <c r="I949" i="2" s="1"/>
  <c r="J949" i="2" s="1"/>
  <c r="C949" i="2"/>
  <c r="B949" i="2"/>
  <c r="A949" i="2"/>
  <c r="J949" i="4" s="1"/>
  <c r="X948" i="2"/>
  <c r="S948" i="2"/>
  <c r="R948" i="2"/>
  <c r="Q948" i="2"/>
  <c r="P948" i="2"/>
  <c r="L948" i="2"/>
  <c r="K948" i="2"/>
  <c r="H948" i="2"/>
  <c r="I948" i="2" s="1"/>
  <c r="J948" i="2" s="1"/>
  <c r="C948" i="2"/>
  <c r="B948" i="2"/>
  <c r="A948" i="2"/>
  <c r="J948" i="4" s="1"/>
  <c r="X947" i="2"/>
  <c r="S947" i="2"/>
  <c r="R947" i="2"/>
  <c r="Q947" i="2"/>
  <c r="P947" i="2"/>
  <c r="L947" i="2"/>
  <c r="K947" i="2"/>
  <c r="H947" i="2"/>
  <c r="I947" i="2" s="1"/>
  <c r="J947" i="2" s="1"/>
  <c r="C947" i="2"/>
  <c r="B947" i="2"/>
  <c r="A947" i="2"/>
  <c r="J947" i="4" s="1"/>
  <c r="X946" i="2"/>
  <c r="S946" i="2"/>
  <c r="R946" i="2"/>
  <c r="Q946" i="2"/>
  <c r="P946" i="2"/>
  <c r="L946" i="2"/>
  <c r="K946" i="2"/>
  <c r="H946" i="2"/>
  <c r="I946" i="2" s="1"/>
  <c r="J946" i="2" s="1"/>
  <c r="C946" i="2"/>
  <c r="B946" i="2"/>
  <c r="A946" i="2"/>
  <c r="J946" i="4" s="1"/>
  <c r="X945" i="2"/>
  <c r="S945" i="2"/>
  <c r="R945" i="2"/>
  <c r="Q945" i="2"/>
  <c r="P945" i="2"/>
  <c r="L945" i="2"/>
  <c r="K945" i="2"/>
  <c r="H945" i="2"/>
  <c r="I945" i="2" s="1"/>
  <c r="J945" i="2" s="1"/>
  <c r="C945" i="2"/>
  <c r="B945" i="2"/>
  <c r="A945" i="2"/>
  <c r="J945" i="4" s="1"/>
  <c r="X944" i="2"/>
  <c r="S944" i="2"/>
  <c r="R944" i="2"/>
  <c r="Q944" i="2"/>
  <c r="P944" i="2"/>
  <c r="L944" i="2"/>
  <c r="K944" i="2"/>
  <c r="H944" i="2"/>
  <c r="I944" i="2" s="1"/>
  <c r="J944" i="2" s="1"/>
  <c r="C944" i="2"/>
  <c r="B944" i="2"/>
  <c r="A944" i="2"/>
  <c r="J944" i="4" s="1"/>
  <c r="X943" i="2"/>
  <c r="S943" i="2"/>
  <c r="R943" i="2"/>
  <c r="Q943" i="2"/>
  <c r="P943" i="2"/>
  <c r="L943" i="2"/>
  <c r="K943" i="2"/>
  <c r="H943" i="2"/>
  <c r="I943" i="2" s="1"/>
  <c r="J943" i="2" s="1"/>
  <c r="C943" i="2"/>
  <c r="B943" i="2"/>
  <c r="A943" i="2"/>
  <c r="J943" i="4" s="1"/>
  <c r="X942" i="2"/>
  <c r="S942" i="2"/>
  <c r="R942" i="2"/>
  <c r="Q942" i="2"/>
  <c r="P942" i="2"/>
  <c r="L942" i="2"/>
  <c r="K942" i="2"/>
  <c r="H942" i="2"/>
  <c r="I942" i="2" s="1"/>
  <c r="J942" i="2" s="1"/>
  <c r="C942" i="2"/>
  <c r="B942" i="2"/>
  <c r="A942" i="2"/>
  <c r="J942" i="4" s="1"/>
  <c r="X941" i="2"/>
  <c r="S941" i="2"/>
  <c r="R941" i="2"/>
  <c r="Q941" i="2"/>
  <c r="P941" i="2"/>
  <c r="L941" i="2"/>
  <c r="K941" i="2"/>
  <c r="H941" i="2"/>
  <c r="I941" i="2" s="1"/>
  <c r="J941" i="2" s="1"/>
  <c r="C941" i="2"/>
  <c r="B941" i="2"/>
  <c r="A941" i="2"/>
  <c r="J941" i="4" s="1"/>
  <c r="X940" i="2"/>
  <c r="S940" i="2"/>
  <c r="R940" i="2"/>
  <c r="Q940" i="2"/>
  <c r="P940" i="2"/>
  <c r="L940" i="2"/>
  <c r="K940" i="2"/>
  <c r="H940" i="2"/>
  <c r="I940" i="2" s="1"/>
  <c r="J940" i="2" s="1"/>
  <c r="C940" i="2"/>
  <c r="B940" i="2"/>
  <c r="A940" i="2"/>
  <c r="J940" i="4" s="1"/>
  <c r="X939" i="2"/>
  <c r="S939" i="2"/>
  <c r="R939" i="2"/>
  <c r="Q939" i="2"/>
  <c r="P939" i="2"/>
  <c r="L939" i="2"/>
  <c r="K939" i="2"/>
  <c r="H939" i="2"/>
  <c r="I939" i="2" s="1"/>
  <c r="J939" i="2" s="1"/>
  <c r="C939" i="2"/>
  <c r="B939" i="2"/>
  <c r="A939" i="2"/>
  <c r="J939" i="4" s="1"/>
  <c r="X938" i="2"/>
  <c r="S938" i="2"/>
  <c r="R938" i="2"/>
  <c r="Q938" i="2"/>
  <c r="P938" i="2"/>
  <c r="L938" i="2"/>
  <c r="K938" i="2"/>
  <c r="H938" i="2"/>
  <c r="I938" i="2" s="1"/>
  <c r="J938" i="2" s="1"/>
  <c r="C938" i="2"/>
  <c r="B938" i="2"/>
  <c r="A938" i="2"/>
  <c r="J938" i="4" s="1"/>
  <c r="X937" i="2"/>
  <c r="S937" i="2"/>
  <c r="R937" i="2"/>
  <c r="Q937" i="2"/>
  <c r="P937" i="2"/>
  <c r="L937" i="2"/>
  <c r="K937" i="2"/>
  <c r="H937" i="2"/>
  <c r="I937" i="2" s="1"/>
  <c r="J937" i="2" s="1"/>
  <c r="C937" i="2"/>
  <c r="B937" i="2"/>
  <c r="A937" i="2"/>
  <c r="J937" i="4" s="1"/>
  <c r="X936" i="2"/>
  <c r="S936" i="2"/>
  <c r="R936" i="2"/>
  <c r="Q936" i="2"/>
  <c r="P936" i="2"/>
  <c r="L936" i="2"/>
  <c r="K936" i="2"/>
  <c r="H936" i="2"/>
  <c r="I936" i="2" s="1"/>
  <c r="J936" i="2" s="1"/>
  <c r="C936" i="2"/>
  <c r="B936" i="2"/>
  <c r="A936" i="2"/>
  <c r="J936" i="4" s="1"/>
  <c r="X935" i="2"/>
  <c r="S935" i="2"/>
  <c r="R935" i="2"/>
  <c r="Q935" i="2"/>
  <c r="P935" i="2"/>
  <c r="L935" i="2"/>
  <c r="K935" i="2"/>
  <c r="H935" i="2"/>
  <c r="I935" i="2" s="1"/>
  <c r="J935" i="2" s="1"/>
  <c r="C935" i="2"/>
  <c r="B935" i="2"/>
  <c r="A935" i="2"/>
  <c r="J935" i="4" s="1"/>
  <c r="X934" i="2"/>
  <c r="S934" i="2"/>
  <c r="R934" i="2"/>
  <c r="Q934" i="2"/>
  <c r="P934" i="2"/>
  <c r="L934" i="2"/>
  <c r="K934" i="2"/>
  <c r="H934" i="2"/>
  <c r="I934" i="2" s="1"/>
  <c r="J934" i="2" s="1"/>
  <c r="C934" i="2"/>
  <c r="B934" i="2"/>
  <c r="A934" i="2"/>
  <c r="J934" i="4" s="1"/>
  <c r="X933" i="2"/>
  <c r="S933" i="2"/>
  <c r="R933" i="2"/>
  <c r="Q933" i="2"/>
  <c r="P933" i="2"/>
  <c r="L933" i="2"/>
  <c r="K933" i="2"/>
  <c r="H933" i="2"/>
  <c r="I933" i="2" s="1"/>
  <c r="J933" i="2" s="1"/>
  <c r="C933" i="2"/>
  <c r="B933" i="2"/>
  <c r="A933" i="2"/>
  <c r="J933" i="4" s="1"/>
  <c r="X932" i="2"/>
  <c r="S932" i="2"/>
  <c r="R932" i="2"/>
  <c r="Q932" i="2"/>
  <c r="P932" i="2"/>
  <c r="L932" i="2"/>
  <c r="K932" i="2"/>
  <c r="H932" i="2"/>
  <c r="I932" i="2" s="1"/>
  <c r="J932" i="2" s="1"/>
  <c r="C932" i="2"/>
  <c r="B932" i="2"/>
  <c r="A932" i="2"/>
  <c r="J932" i="4" s="1"/>
  <c r="X931" i="2"/>
  <c r="S931" i="2"/>
  <c r="R931" i="2"/>
  <c r="Q931" i="2"/>
  <c r="P931" i="2"/>
  <c r="L931" i="2"/>
  <c r="K931" i="2"/>
  <c r="H931" i="2"/>
  <c r="I931" i="2" s="1"/>
  <c r="J931" i="2" s="1"/>
  <c r="C931" i="2"/>
  <c r="B931" i="2"/>
  <c r="A931" i="2"/>
  <c r="J931" i="4" s="1"/>
  <c r="X930" i="2"/>
  <c r="S930" i="2"/>
  <c r="R930" i="2"/>
  <c r="Q930" i="2"/>
  <c r="P930" i="2"/>
  <c r="L930" i="2"/>
  <c r="K930" i="2"/>
  <c r="H930" i="2"/>
  <c r="I930" i="2" s="1"/>
  <c r="J930" i="2" s="1"/>
  <c r="C930" i="2"/>
  <c r="B930" i="2"/>
  <c r="A930" i="2"/>
  <c r="J930" i="4" s="1"/>
  <c r="X929" i="2"/>
  <c r="S929" i="2"/>
  <c r="R929" i="2"/>
  <c r="Q929" i="2"/>
  <c r="P929" i="2"/>
  <c r="L929" i="2"/>
  <c r="K929" i="2"/>
  <c r="H929" i="2"/>
  <c r="I929" i="2" s="1"/>
  <c r="J929" i="2" s="1"/>
  <c r="C929" i="2"/>
  <c r="B929" i="2"/>
  <c r="A929" i="2"/>
  <c r="J929" i="4" s="1"/>
  <c r="X928" i="2"/>
  <c r="S928" i="2"/>
  <c r="R928" i="2"/>
  <c r="Q928" i="2"/>
  <c r="P928" i="2"/>
  <c r="L928" i="2"/>
  <c r="K928" i="2"/>
  <c r="H928" i="2"/>
  <c r="I928" i="2" s="1"/>
  <c r="J928" i="2" s="1"/>
  <c r="C928" i="2"/>
  <c r="B928" i="2"/>
  <c r="A928" i="2"/>
  <c r="J928" i="4" s="1"/>
  <c r="X927" i="2"/>
  <c r="S927" i="2"/>
  <c r="R927" i="2"/>
  <c r="Q927" i="2"/>
  <c r="P927" i="2"/>
  <c r="L927" i="2"/>
  <c r="K927" i="2"/>
  <c r="H927" i="2"/>
  <c r="I927" i="2" s="1"/>
  <c r="J927" i="2" s="1"/>
  <c r="C927" i="2"/>
  <c r="B927" i="2"/>
  <c r="A927" i="2"/>
  <c r="J927" i="4" s="1"/>
  <c r="X926" i="2"/>
  <c r="S926" i="2"/>
  <c r="R926" i="2"/>
  <c r="Q926" i="2"/>
  <c r="P926" i="2"/>
  <c r="L926" i="2"/>
  <c r="K926" i="2"/>
  <c r="H926" i="2"/>
  <c r="I926" i="2" s="1"/>
  <c r="J926" i="2" s="1"/>
  <c r="C926" i="2"/>
  <c r="B926" i="2"/>
  <c r="A926" i="2"/>
  <c r="J926" i="4" s="1"/>
  <c r="X925" i="2"/>
  <c r="S925" i="2"/>
  <c r="R925" i="2"/>
  <c r="Q925" i="2"/>
  <c r="P925" i="2"/>
  <c r="L925" i="2"/>
  <c r="K925" i="2"/>
  <c r="H925" i="2"/>
  <c r="I925" i="2" s="1"/>
  <c r="J925" i="2" s="1"/>
  <c r="C925" i="2"/>
  <c r="B925" i="2"/>
  <c r="A925" i="2"/>
  <c r="J925" i="4" s="1"/>
  <c r="X924" i="2"/>
  <c r="S924" i="2"/>
  <c r="R924" i="2"/>
  <c r="Q924" i="2"/>
  <c r="P924" i="2"/>
  <c r="L924" i="2"/>
  <c r="K924" i="2"/>
  <c r="H924" i="2"/>
  <c r="I924" i="2" s="1"/>
  <c r="J924" i="2" s="1"/>
  <c r="C924" i="2"/>
  <c r="B924" i="2"/>
  <c r="A924" i="2"/>
  <c r="J924" i="4" s="1"/>
  <c r="X923" i="2"/>
  <c r="S923" i="2"/>
  <c r="R923" i="2"/>
  <c r="Q923" i="2"/>
  <c r="P923" i="2"/>
  <c r="L923" i="2"/>
  <c r="K923" i="2"/>
  <c r="H923" i="2"/>
  <c r="I923" i="2" s="1"/>
  <c r="J923" i="2" s="1"/>
  <c r="C923" i="2"/>
  <c r="B923" i="2"/>
  <c r="A923" i="2"/>
  <c r="J923" i="4" s="1"/>
  <c r="X922" i="2"/>
  <c r="S922" i="2"/>
  <c r="R922" i="2"/>
  <c r="Q922" i="2"/>
  <c r="P922" i="2"/>
  <c r="L922" i="2"/>
  <c r="K922" i="2"/>
  <c r="H922" i="2"/>
  <c r="I922" i="2" s="1"/>
  <c r="J922" i="2" s="1"/>
  <c r="C922" i="2"/>
  <c r="B922" i="2"/>
  <c r="A922" i="2"/>
  <c r="J922" i="4" s="1"/>
  <c r="X921" i="2"/>
  <c r="S921" i="2"/>
  <c r="R921" i="2"/>
  <c r="Q921" i="2"/>
  <c r="P921" i="2"/>
  <c r="L921" i="2"/>
  <c r="K921" i="2"/>
  <c r="H921" i="2"/>
  <c r="I921" i="2" s="1"/>
  <c r="J921" i="2" s="1"/>
  <c r="C921" i="2"/>
  <c r="B921" i="2"/>
  <c r="A921" i="2"/>
  <c r="J921" i="4" s="1"/>
  <c r="X920" i="2"/>
  <c r="S920" i="2"/>
  <c r="R920" i="2"/>
  <c r="Q920" i="2"/>
  <c r="P920" i="2"/>
  <c r="L920" i="2"/>
  <c r="K920" i="2"/>
  <c r="H920" i="2"/>
  <c r="I920" i="2" s="1"/>
  <c r="J920" i="2" s="1"/>
  <c r="C920" i="2"/>
  <c r="B920" i="2"/>
  <c r="A920" i="2"/>
  <c r="J920" i="4" s="1"/>
  <c r="X919" i="2"/>
  <c r="S919" i="2"/>
  <c r="R919" i="2"/>
  <c r="Q919" i="2"/>
  <c r="P919" i="2"/>
  <c r="L919" i="2"/>
  <c r="K919" i="2"/>
  <c r="H919" i="2"/>
  <c r="I919" i="2" s="1"/>
  <c r="J919" i="2" s="1"/>
  <c r="C919" i="2"/>
  <c r="B919" i="2"/>
  <c r="A919" i="2"/>
  <c r="J919" i="4" s="1"/>
  <c r="X918" i="2"/>
  <c r="S918" i="2"/>
  <c r="R918" i="2"/>
  <c r="Q918" i="2"/>
  <c r="P918" i="2"/>
  <c r="L918" i="2"/>
  <c r="K918" i="2"/>
  <c r="H918" i="2"/>
  <c r="I918" i="2" s="1"/>
  <c r="J918" i="2" s="1"/>
  <c r="C918" i="2"/>
  <c r="B918" i="2"/>
  <c r="A918" i="2"/>
  <c r="J918" i="4" s="1"/>
  <c r="X917" i="2"/>
  <c r="S917" i="2"/>
  <c r="R917" i="2"/>
  <c r="Q917" i="2"/>
  <c r="P917" i="2"/>
  <c r="L917" i="2"/>
  <c r="K917" i="2"/>
  <c r="H917" i="2"/>
  <c r="I917" i="2" s="1"/>
  <c r="J917" i="2" s="1"/>
  <c r="C917" i="2"/>
  <c r="B917" i="2"/>
  <c r="A917" i="2"/>
  <c r="J917" i="4" s="1"/>
  <c r="X916" i="2"/>
  <c r="S916" i="2"/>
  <c r="R916" i="2"/>
  <c r="Q916" i="2"/>
  <c r="P916" i="2"/>
  <c r="L916" i="2"/>
  <c r="K916" i="2"/>
  <c r="H916" i="2"/>
  <c r="I916" i="2" s="1"/>
  <c r="J916" i="2" s="1"/>
  <c r="C916" i="2"/>
  <c r="B916" i="2"/>
  <c r="A916" i="2"/>
  <c r="J916" i="4" s="1"/>
  <c r="X915" i="2"/>
  <c r="S915" i="2"/>
  <c r="R915" i="2"/>
  <c r="Q915" i="2"/>
  <c r="P915" i="2"/>
  <c r="L915" i="2"/>
  <c r="K915" i="2"/>
  <c r="H915" i="2"/>
  <c r="I915" i="2" s="1"/>
  <c r="J915" i="2" s="1"/>
  <c r="C915" i="2"/>
  <c r="B915" i="2"/>
  <c r="A915" i="2"/>
  <c r="J915" i="4" s="1"/>
  <c r="X914" i="2"/>
  <c r="S914" i="2"/>
  <c r="R914" i="2"/>
  <c r="Q914" i="2"/>
  <c r="P914" i="2"/>
  <c r="L914" i="2"/>
  <c r="K914" i="2"/>
  <c r="H914" i="2"/>
  <c r="I914" i="2" s="1"/>
  <c r="J914" i="2" s="1"/>
  <c r="C914" i="2"/>
  <c r="B914" i="2"/>
  <c r="A914" i="2"/>
  <c r="J914" i="4" s="1"/>
  <c r="X913" i="2"/>
  <c r="S913" i="2"/>
  <c r="R913" i="2"/>
  <c r="Q913" i="2"/>
  <c r="P913" i="2"/>
  <c r="L913" i="2"/>
  <c r="K913" i="2"/>
  <c r="H913" i="2"/>
  <c r="I913" i="2" s="1"/>
  <c r="J913" i="2" s="1"/>
  <c r="C913" i="2"/>
  <c r="B913" i="2"/>
  <c r="A913" i="2"/>
  <c r="J913" i="4" s="1"/>
  <c r="X912" i="2"/>
  <c r="S912" i="2"/>
  <c r="R912" i="2"/>
  <c r="Q912" i="2"/>
  <c r="P912" i="2"/>
  <c r="L912" i="2"/>
  <c r="K912" i="2"/>
  <c r="H912" i="2"/>
  <c r="I912" i="2" s="1"/>
  <c r="J912" i="2" s="1"/>
  <c r="C912" i="2"/>
  <c r="B912" i="2"/>
  <c r="A912" i="2"/>
  <c r="J912" i="4" s="1"/>
  <c r="X911" i="2"/>
  <c r="S911" i="2"/>
  <c r="R911" i="2"/>
  <c r="Q911" i="2"/>
  <c r="P911" i="2"/>
  <c r="L911" i="2"/>
  <c r="K911" i="2"/>
  <c r="H911" i="2"/>
  <c r="I911" i="2" s="1"/>
  <c r="J911" i="2" s="1"/>
  <c r="C911" i="2"/>
  <c r="B911" i="2"/>
  <c r="A911" i="2"/>
  <c r="X910" i="2"/>
  <c r="S910" i="2"/>
  <c r="R910" i="2"/>
  <c r="Q910" i="2"/>
  <c r="P910" i="2"/>
  <c r="L910" i="2"/>
  <c r="K910" i="2"/>
  <c r="H910" i="2"/>
  <c r="I910" i="2" s="1"/>
  <c r="J910" i="2" s="1"/>
  <c r="C910" i="2"/>
  <c r="B910" i="2"/>
  <c r="A910" i="2"/>
  <c r="X909" i="2"/>
  <c r="S909" i="2"/>
  <c r="R909" i="2"/>
  <c r="Q909" i="2"/>
  <c r="P909" i="2"/>
  <c r="L909" i="2"/>
  <c r="K909" i="2"/>
  <c r="H909" i="2"/>
  <c r="I909" i="2" s="1"/>
  <c r="J909" i="2" s="1"/>
  <c r="C909" i="2"/>
  <c r="B909" i="2"/>
  <c r="A909" i="2"/>
  <c r="X908" i="2"/>
  <c r="S908" i="2"/>
  <c r="R908" i="2"/>
  <c r="Q908" i="2"/>
  <c r="P908" i="2"/>
  <c r="L908" i="2"/>
  <c r="K908" i="2"/>
  <c r="H908" i="2"/>
  <c r="I908" i="2" s="1"/>
  <c r="J908" i="2" s="1"/>
  <c r="C908" i="2"/>
  <c r="B908" i="2"/>
  <c r="A908" i="2"/>
  <c r="X907" i="2"/>
  <c r="S907" i="2"/>
  <c r="R907" i="2"/>
  <c r="Q907" i="2"/>
  <c r="P907" i="2"/>
  <c r="L907" i="2"/>
  <c r="K907" i="2"/>
  <c r="H907" i="2"/>
  <c r="I907" i="2" s="1"/>
  <c r="J907" i="2" s="1"/>
  <c r="C907" i="2"/>
  <c r="B907" i="2"/>
  <c r="A907" i="2"/>
  <c r="X906" i="2"/>
  <c r="S906" i="2"/>
  <c r="R906" i="2"/>
  <c r="Q906" i="2"/>
  <c r="P906" i="2"/>
  <c r="L906" i="2"/>
  <c r="K906" i="2"/>
  <c r="H906" i="2"/>
  <c r="I906" i="2" s="1"/>
  <c r="J906" i="2" s="1"/>
  <c r="C906" i="2"/>
  <c r="B906" i="2"/>
  <c r="A906" i="2"/>
  <c r="X905" i="2"/>
  <c r="S905" i="2"/>
  <c r="R905" i="2"/>
  <c r="Q905" i="2"/>
  <c r="P905" i="2"/>
  <c r="L905" i="2"/>
  <c r="K905" i="2"/>
  <c r="H905" i="2"/>
  <c r="I905" i="2" s="1"/>
  <c r="J905" i="2" s="1"/>
  <c r="C905" i="2"/>
  <c r="B905" i="2"/>
  <c r="A905" i="2"/>
  <c r="X904" i="2"/>
  <c r="S904" i="2"/>
  <c r="R904" i="2"/>
  <c r="Q904" i="2"/>
  <c r="P904" i="2"/>
  <c r="L904" i="2"/>
  <c r="K904" i="2"/>
  <c r="H904" i="2"/>
  <c r="I904" i="2" s="1"/>
  <c r="J904" i="2" s="1"/>
  <c r="C904" i="2"/>
  <c r="B904" i="2"/>
  <c r="A904" i="2"/>
  <c r="X903" i="2"/>
  <c r="S903" i="2"/>
  <c r="R903" i="2"/>
  <c r="Q903" i="2"/>
  <c r="P903" i="2"/>
  <c r="L903" i="2"/>
  <c r="K903" i="2"/>
  <c r="H903" i="2"/>
  <c r="I903" i="2" s="1"/>
  <c r="J903" i="2" s="1"/>
  <c r="C903" i="2"/>
  <c r="B903" i="2"/>
  <c r="A903" i="2"/>
  <c r="X902" i="2"/>
  <c r="S902" i="2"/>
  <c r="R902" i="2"/>
  <c r="Q902" i="2"/>
  <c r="P902" i="2"/>
  <c r="L902" i="2"/>
  <c r="K902" i="2"/>
  <c r="H902" i="2"/>
  <c r="I902" i="2" s="1"/>
  <c r="J902" i="2" s="1"/>
  <c r="C902" i="2"/>
  <c r="B902" i="2"/>
  <c r="A902" i="2"/>
  <c r="X901" i="2"/>
  <c r="S901" i="2"/>
  <c r="R901" i="2"/>
  <c r="Q901" i="2"/>
  <c r="P901" i="2"/>
  <c r="L901" i="2"/>
  <c r="K901" i="2"/>
  <c r="H901" i="2"/>
  <c r="I901" i="2" s="1"/>
  <c r="J901" i="2" s="1"/>
  <c r="C901" i="2"/>
  <c r="B901" i="2"/>
  <c r="A901" i="2"/>
  <c r="X900" i="2"/>
  <c r="S900" i="2"/>
  <c r="R900" i="2"/>
  <c r="Q900" i="2"/>
  <c r="P900" i="2"/>
  <c r="L900" i="2"/>
  <c r="K900" i="2"/>
  <c r="H900" i="2"/>
  <c r="I900" i="2" s="1"/>
  <c r="J900" i="2" s="1"/>
  <c r="C900" i="2"/>
  <c r="B900" i="2"/>
  <c r="A900" i="2"/>
  <c r="X899" i="2"/>
  <c r="S899" i="2"/>
  <c r="R899" i="2"/>
  <c r="Q899" i="2"/>
  <c r="P899" i="2"/>
  <c r="L899" i="2"/>
  <c r="K899" i="2"/>
  <c r="H899" i="2"/>
  <c r="I899" i="2" s="1"/>
  <c r="J899" i="2" s="1"/>
  <c r="C899" i="2"/>
  <c r="B899" i="2"/>
  <c r="A899" i="2"/>
  <c r="X898" i="2"/>
  <c r="S898" i="2"/>
  <c r="R898" i="2"/>
  <c r="Q898" i="2"/>
  <c r="P898" i="2"/>
  <c r="L898" i="2"/>
  <c r="K898" i="2"/>
  <c r="H898" i="2"/>
  <c r="I898" i="2" s="1"/>
  <c r="J898" i="2" s="1"/>
  <c r="C898" i="2"/>
  <c r="B898" i="2"/>
  <c r="A898" i="2"/>
  <c r="X897" i="2"/>
  <c r="S897" i="2"/>
  <c r="R897" i="2"/>
  <c r="Q897" i="2"/>
  <c r="P897" i="2"/>
  <c r="L897" i="2"/>
  <c r="K897" i="2"/>
  <c r="H897" i="2"/>
  <c r="I897" i="2" s="1"/>
  <c r="J897" i="2" s="1"/>
  <c r="C897" i="2"/>
  <c r="B897" i="2"/>
  <c r="A897" i="2"/>
  <c r="X896" i="2"/>
  <c r="S896" i="2"/>
  <c r="R896" i="2"/>
  <c r="Q896" i="2"/>
  <c r="P896" i="2"/>
  <c r="L896" i="2"/>
  <c r="K896" i="2"/>
  <c r="H896" i="2"/>
  <c r="I896" i="2" s="1"/>
  <c r="J896" i="2" s="1"/>
  <c r="C896" i="2"/>
  <c r="B896" i="2"/>
  <c r="A896" i="2"/>
  <c r="X895" i="2"/>
  <c r="S895" i="2"/>
  <c r="R895" i="2"/>
  <c r="Q895" i="2"/>
  <c r="P895" i="2"/>
  <c r="L895" i="2"/>
  <c r="K895" i="2"/>
  <c r="H895" i="2"/>
  <c r="I895" i="2" s="1"/>
  <c r="J895" i="2" s="1"/>
  <c r="C895" i="2"/>
  <c r="B895" i="2"/>
  <c r="A895" i="2"/>
  <c r="X894" i="2"/>
  <c r="S894" i="2"/>
  <c r="R894" i="2"/>
  <c r="Q894" i="2"/>
  <c r="P894" i="2"/>
  <c r="L894" i="2"/>
  <c r="K894" i="2"/>
  <c r="H894" i="2"/>
  <c r="I894" i="2" s="1"/>
  <c r="J894" i="2" s="1"/>
  <c r="C894" i="2"/>
  <c r="B894" i="2"/>
  <c r="A894" i="2"/>
  <c r="X893" i="2"/>
  <c r="S893" i="2"/>
  <c r="R893" i="2"/>
  <c r="Q893" i="2"/>
  <c r="P893" i="2"/>
  <c r="L893" i="2"/>
  <c r="K893" i="2"/>
  <c r="H893" i="2"/>
  <c r="I893" i="2" s="1"/>
  <c r="J893" i="2" s="1"/>
  <c r="C893" i="2"/>
  <c r="B893" i="2"/>
  <c r="A893" i="2"/>
  <c r="X892" i="2"/>
  <c r="S892" i="2"/>
  <c r="R892" i="2"/>
  <c r="Q892" i="2"/>
  <c r="P892" i="2"/>
  <c r="L892" i="2"/>
  <c r="K892" i="2"/>
  <c r="H892" i="2"/>
  <c r="I892" i="2" s="1"/>
  <c r="J892" i="2" s="1"/>
  <c r="C892" i="2"/>
  <c r="B892" i="2"/>
  <c r="A892" i="2"/>
  <c r="X891" i="2"/>
  <c r="S891" i="2"/>
  <c r="R891" i="2"/>
  <c r="Q891" i="2"/>
  <c r="P891" i="2"/>
  <c r="L891" i="2"/>
  <c r="K891" i="2"/>
  <c r="H891" i="2"/>
  <c r="I891" i="2" s="1"/>
  <c r="J891" i="2" s="1"/>
  <c r="C891" i="2"/>
  <c r="B891" i="2"/>
  <c r="A891" i="2"/>
  <c r="X890" i="2"/>
  <c r="S890" i="2"/>
  <c r="R890" i="2"/>
  <c r="Q890" i="2"/>
  <c r="P890" i="2"/>
  <c r="L890" i="2"/>
  <c r="K890" i="2"/>
  <c r="H890" i="2"/>
  <c r="I890" i="2" s="1"/>
  <c r="J890" i="2" s="1"/>
  <c r="C890" i="2"/>
  <c r="B890" i="2"/>
  <c r="A890" i="2"/>
  <c r="X889" i="2"/>
  <c r="S889" i="2"/>
  <c r="R889" i="2"/>
  <c r="Q889" i="2"/>
  <c r="P889" i="2"/>
  <c r="L889" i="2"/>
  <c r="K889" i="2"/>
  <c r="H889" i="2"/>
  <c r="I889" i="2" s="1"/>
  <c r="J889" i="2" s="1"/>
  <c r="C889" i="2"/>
  <c r="B889" i="2"/>
  <c r="A889" i="2"/>
  <c r="X888" i="2"/>
  <c r="S888" i="2"/>
  <c r="Q888" i="2"/>
  <c r="P888" i="2"/>
  <c r="L888" i="2"/>
  <c r="K888" i="2"/>
  <c r="H888" i="2"/>
  <c r="I888" i="2" s="1"/>
  <c r="J888" i="2" s="1"/>
  <c r="C888" i="2"/>
  <c r="B888" i="2"/>
  <c r="A888" i="2"/>
  <c r="X887" i="2"/>
  <c r="S887" i="2"/>
  <c r="R887" i="2"/>
  <c r="Q887" i="2"/>
  <c r="P887" i="2"/>
  <c r="L887" i="2"/>
  <c r="K887" i="2"/>
  <c r="H887" i="2"/>
  <c r="I887" i="2" s="1"/>
  <c r="J887" i="2" s="1"/>
  <c r="C887" i="2"/>
  <c r="B887" i="2"/>
  <c r="A887" i="2"/>
  <c r="X886" i="2"/>
  <c r="S886" i="2"/>
  <c r="R886" i="2"/>
  <c r="Q886" i="2"/>
  <c r="P886" i="2"/>
  <c r="L886" i="2"/>
  <c r="K886" i="2"/>
  <c r="H886" i="2"/>
  <c r="I886" i="2" s="1"/>
  <c r="J886" i="2" s="1"/>
  <c r="C886" i="2"/>
  <c r="B886" i="2"/>
  <c r="A886" i="2"/>
  <c r="X885" i="2"/>
  <c r="S885" i="2"/>
  <c r="R885" i="2"/>
  <c r="Q885" i="2"/>
  <c r="P885" i="2"/>
  <c r="L885" i="2"/>
  <c r="K885" i="2"/>
  <c r="H885" i="2"/>
  <c r="I885" i="2" s="1"/>
  <c r="J885" i="2" s="1"/>
  <c r="C885" i="2"/>
  <c r="B885" i="2"/>
  <c r="A885" i="2"/>
  <c r="X884" i="2"/>
  <c r="S884" i="2"/>
  <c r="R884" i="2"/>
  <c r="Q884" i="2"/>
  <c r="P884" i="2"/>
  <c r="L884" i="2"/>
  <c r="K884" i="2"/>
  <c r="H884" i="2"/>
  <c r="I884" i="2" s="1"/>
  <c r="J884" i="2" s="1"/>
  <c r="C884" i="2"/>
  <c r="B884" i="2"/>
  <c r="A884" i="2"/>
  <c r="X883" i="2"/>
  <c r="S883" i="2"/>
  <c r="R883" i="2"/>
  <c r="Q883" i="2"/>
  <c r="P883" i="2"/>
  <c r="L883" i="2"/>
  <c r="K883" i="2"/>
  <c r="H883" i="2"/>
  <c r="I883" i="2" s="1"/>
  <c r="J883" i="2" s="1"/>
  <c r="C883" i="2"/>
  <c r="B883" i="2"/>
  <c r="A883" i="2"/>
  <c r="X882" i="2"/>
  <c r="S882" i="2"/>
  <c r="R882" i="2"/>
  <c r="Q882" i="2"/>
  <c r="P882" i="2"/>
  <c r="L882" i="2"/>
  <c r="K882" i="2"/>
  <c r="H882" i="2"/>
  <c r="I882" i="2" s="1"/>
  <c r="J882" i="2" s="1"/>
  <c r="C882" i="2"/>
  <c r="B882" i="2"/>
  <c r="A882" i="2"/>
  <c r="X881" i="2"/>
  <c r="S881" i="2"/>
  <c r="R881" i="2"/>
  <c r="Q881" i="2"/>
  <c r="P881" i="2"/>
  <c r="L881" i="2"/>
  <c r="K881" i="2"/>
  <c r="H881" i="2"/>
  <c r="I881" i="2" s="1"/>
  <c r="J881" i="2" s="1"/>
  <c r="C881" i="2"/>
  <c r="B881" i="2"/>
  <c r="A881" i="2"/>
  <c r="X880" i="2"/>
  <c r="S880" i="2"/>
  <c r="R880" i="2"/>
  <c r="Q880" i="2"/>
  <c r="P880" i="2"/>
  <c r="L880" i="2"/>
  <c r="K880" i="2"/>
  <c r="H880" i="2"/>
  <c r="I880" i="2" s="1"/>
  <c r="J880" i="2" s="1"/>
  <c r="C880" i="2"/>
  <c r="B880" i="2"/>
  <c r="A880" i="2"/>
  <c r="X879" i="2"/>
  <c r="S879" i="2"/>
  <c r="R879" i="2"/>
  <c r="Q879" i="2"/>
  <c r="P879" i="2"/>
  <c r="L879" i="2"/>
  <c r="K879" i="2"/>
  <c r="H879" i="2"/>
  <c r="I879" i="2" s="1"/>
  <c r="J879" i="2" s="1"/>
  <c r="C879" i="2"/>
  <c r="B879" i="2"/>
  <c r="A879" i="2"/>
  <c r="X878" i="2"/>
  <c r="S878" i="2"/>
  <c r="R878" i="2"/>
  <c r="Q878" i="2"/>
  <c r="P878" i="2"/>
  <c r="L878" i="2"/>
  <c r="K878" i="2"/>
  <c r="H878" i="2"/>
  <c r="I878" i="2" s="1"/>
  <c r="J878" i="2" s="1"/>
  <c r="C878" i="2"/>
  <c r="B878" i="2"/>
  <c r="A878" i="2"/>
  <c r="X877" i="2"/>
  <c r="S877" i="2"/>
  <c r="R877" i="2"/>
  <c r="Q877" i="2"/>
  <c r="P877" i="2"/>
  <c r="L877" i="2"/>
  <c r="K877" i="2"/>
  <c r="H877" i="2"/>
  <c r="I877" i="2" s="1"/>
  <c r="J877" i="2" s="1"/>
  <c r="C877" i="2"/>
  <c r="B877" i="2"/>
  <c r="A877" i="2"/>
  <c r="X876" i="2"/>
  <c r="S876" i="2"/>
  <c r="R876" i="2"/>
  <c r="Q876" i="2"/>
  <c r="P876" i="2"/>
  <c r="L876" i="2"/>
  <c r="K876" i="2"/>
  <c r="H876" i="2"/>
  <c r="I876" i="2" s="1"/>
  <c r="J876" i="2" s="1"/>
  <c r="C876" i="2"/>
  <c r="B876" i="2"/>
  <c r="A876" i="2"/>
  <c r="X875" i="2"/>
  <c r="S875" i="2"/>
  <c r="R875" i="2"/>
  <c r="Q875" i="2"/>
  <c r="P875" i="2"/>
  <c r="L875" i="2"/>
  <c r="K875" i="2"/>
  <c r="H875" i="2"/>
  <c r="I875" i="2" s="1"/>
  <c r="J875" i="2" s="1"/>
  <c r="C875" i="2"/>
  <c r="B875" i="2"/>
  <c r="A875" i="2"/>
  <c r="X874" i="2"/>
  <c r="S874" i="2"/>
  <c r="R874" i="2"/>
  <c r="Q874" i="2"/>
  <c r="P874" i="2"/>
  <c r="L874" i="2"/>
  <c r="K874" i="2"/>
  <c r="H874" i="2"/>
  <c r="I874" i="2" s="1"/>
  <c r="J874" i="2" s="1"/>
  <c r="C874" i="2"/>
  <c r="B874" i="2"/>
  <c r="A874" i="2"/>
  <c r="X873" i="2"/>
  <c r="S873" i="2"/>
  <c r="R873" i="2"/>
  <c r="Q873" i="2"/>
  <c r="P873" i="2"/>
  <c r="L873" i="2"/>
  <c r="K873" i="2"/>
  <c r="H873" i="2"/>
  <c r="I873" i="2" s="1"/>
  <c r="J873" i="2" s="1"/>
  <c r="C873" i="2"/>
  <c r="B873" i="2"/>
  <c r="A873" i="2"/>
  <c r="X872" i="2"/>
  <c r="S872" i="2"/>
  <c r="R872" i="2"/>
  <c r="Q872" i="2"/>
  <c r="P872" i="2"/>
  <c r="L872" i="2"/>
  <c r="K872" i="2"/>
  <c r="H872" i="2"/>
  <c r="I872" i="2" s="1"/>
  <c r="J872" i="2" s="1"/>
  <c r="C872" i="2"/>
  <c r="B872" i="2"/>
  <c r="A872" i="2"/>
  <c r="X871" i="2"/>
  <c r="S871" i="2"/>
  <c r="R871" i="2"/>
  <c r="Q871" i="2"/>
  <c r="P871" i="2"/>
  <c r="L871" i="2"/>
  <c r="K871" i="2"/>
  <c r="H871" i="2"/>
  <c r="I871" i="2" s="1"/>
  <c r="J871" i="2" s="1"/>
  <c r="C871" i="2"/>
  <c r="B871" i="2"/>
  <c r="A871" i="2"/>
  <c r="X870" i="2"/>
  <c r="S870" i="2"/>
  <c r="R870" i="2"/>
  <c r="Q870" i="2"/>
  <c r="P870" i="2"/>
  <c r="L870" i="2"/>
  <c r="K870" i="2"/>
  <c r="H870" i="2"/>
  <c r="I870" i="2" s="1"/>
  <c r="J870" i="2" s="1"/>
  <c r="C870" i="2"/>
  <c r="B870" i="2"/>
  <c r="A870" i="2"/>
  <c r="X869" i="2"/>
  <c r="S869" i="2"/>
  <c r="R869" i="2"/>
  <c r="Q869" i="2"/>
  <c r="P869" i="2"/>
  <c r="L869" i="2"/>
  <c r="K869" i="2"/>
  <c r="H869" i="2"/>
  <c r="I869" i="2" s="1"/>
  <c r="J869" i="2" s="1"/>
  <c r="C869" i="2"/>
  <c r="B869" i="2"/>
  <c r="A869" i="2"/>
  <c r="X868" i="2"/>
  <c r="S868" i="2"/>
  <c r="R868" i="2"/>
  <c r="Q868" i="2"/>
  <c r="P868" i="2"/>
  <c r="L868" i="2"/>
  <c r="K868" i="2"/>
  <c r="H868" i="2"/>
  <c r="I868" i="2" s="1"/>
  <c r="J868" i="2" s="1"/>
  <c r="C868" i="2"/>
  <c r="B868" i="2"/>
  <c r="A868" i="2"/>
  <c r="X867" i="2"/>
  <c r="S867" i="2"/>
  <c r="R867" i="2"/>
  <c r="Q867" i="2"/>
  <c r="P867" i="2"/>
  <c r="L867" i="2"/>
  <c r="K867" i="2"/>
  <c r="H867" i="2"/>
  <c r="I867" i="2" s="1"/>
  <c r="J867" i="2" s="1"/>
  <c r="C867" i="2"/>
  <c r="B867" i="2"/>
  <c r="A867" i="2"/>
  <c r="X866" i="2"/>
  <c r="S866" i="2"/>
  <c r="R866" i="2"/>
  <c r="Q866" i="2"/>
  <c r="P866" i="2"/>
  <c r="L866" i="2"/>
  <c r="K866" i="2"/>
  <c r="H866" i="2"/>
  <c r="I866" i="2" s="1"/>
  <c r="J866" i="2" s="1"/>
  <c r="C866" i="2"/>
  <c r="B866" i="2"/>
  <c r="A866" i="2"/>
  <c r="X865" i="2"/>
  <c r="S865" i="2"/>
  <c r="R865" i="2"/>
  <c r="Q865" i="2"/>
  <c r="P865" i="2"/>
  <c r="L865" i="2"/>
  <c r="K865" i="2"/>
  <c r="H865" i="2"/>
  <c r="I865" i="2" s="1"/>
  <c r="J865" i="2" s="1"/>
  <c r="C865" i="2"/>
  <c r="B865" i="2"/>
  <c r="A865" i="2"/>
  <c r="X864" i="2"/>
  <c r="S864" i="2"/>
  <c r="R864" i="2"/>
  <c r="Q864" i="2"/>
  <c r="P864" i="2"/>
  <c r="L864" i="2"/>
  <c r="K864" i="2"/>
  <c r="H864" i="2"/>
  <c r="I864" i="2" s="1"/>
  <c r="J864" i="2" s="1"/>
  <c r="C864" i="2"/>
  <c r="B864" i="2"/>
  <c r="A864" i="2"/>
  <c r="X863" i="2"/>
  <c r="S863" i="2"/>
  <c r="R863" i="2"/>
  <c r="Q863" i="2"/>
  <c r="P863" i="2"/>
  <c r="L863" i="2"/>
  <c r="K863" i="2"/>
  <c r="H863" i="2"/>
  <c r="I863" i="2" s="1"/>
  <c r="J863" i="2" s="1"/>
  <c r="C863" i="2"/>
  <c r="B863" i="2"/>
  <c r="A863" i="2"/>
  <c r="X862" i="2"/>
  <c r="S862" i="2"/>
  <c r="R862" i="2"/>
  <c r="Q862" i="2"/>
  <c r="P862" i="2"/>
  <c r="L862" i="2"/>
  <c r="K862" i="2"/>
  <c r="H862" i="2"/>
  <c r="I862" i="2" s="1"/>
  <c r="J862" i="2" s="1"/>
  <c r="C862" i="2"/>
  <c r="B862" i="2"/>
  <c r="A862" i="2"/>
  <c r="X861" i="2"/>
  <c r="S861" i="2"/>
  <c r="R861" i="2"/>
  <c r="Q861" i="2"/>
  <c r="P861" i="2"/>
  <c r="L861" i="2"/>
  <c r="K861" i="2"/>
  <c r="H861" i="2"/>
  <c r="I861" i="2" s="1"/>
  <c r="J861" i="2" s="1"/>
  <c r="C861" i="2"/>
  <c r="B861" i="2"/>
  <c r="A861" i="2"/>
  <c r="X860" i="2"/>
  <c r="S860" i="2"/>
  <c r="R860" i="2"/>
  <c r="Q860" i="2"/>
  <c r="P860" i="2"/>
  <c r="L860" i="2"/>
  <c r="K860" i="2"/>
  <c r="H860" i="2"/>
  <c r="I860" i="2" s="1"/>
  <c r="J860" i="2" s="1"/>
  <c r="C860" i="2"/>
  <c r="B860" i="2"/>
  <c r="A860" i="2"/>
  <c r="X859" i="2"/>
  <c r="S859" i="2"/>
  <c r="R859" i="2"/>
  <c r="Q859" i="2"/>
  <c r="P859" i="2"/>
  <c r="L859" i="2"/>
  <c r="K859" i="2"/>
  <c r="H859" i="2"/>
  <c r="I859" i="2" s="1"/>
  <c r="J859" i="2" s="1"/>
  <c r="C859" i="2"/>
  <c r="B859" i="2"/>
  <c r="A859" i="2"/>
  <c r="X858" i="2"/>
  <c r="S858" i="2"/>
  <c r="R858" i="2"/>
  <c r="Q858" i="2"/>
  <c r="P858" i="2"/>
  <c r="L858" i="2"/>
  <c r="K858" i="2"/>
  <c r="H858" i="2"/>
  <c r="I858" i="2" s="1"/>
  <c r="J858" i="2" s="1"/>
  <c r="C858" i="2"/>
  <c r="B858" i="2"/>
  <c r="A858" i="2"/>
  <c r="X857" i="2"/>
  <c r="S857" i="2"/>
  <c r="R857" i="2"/>
  <c r="Q857" i="2"/>
  <c r="P857" i="2"/>
  <c r="L857" i="2"/>
  <c r="K857" i="2"/>
  <c r="H857" i="2"/>
  <c r="I857" i="2" s="1"/>
  <c r="J857" i="2" s="1"/>
  <c r="C857" i="2"/>
  <c r="B857" i="2"/>
  <c r="A857" i="2"/>
  <c r="X856" i="2"/>
  <c r="S856" i="2"/>
  <c r="R856" i="2"/>
  <c r="Q856" i="2"/>
  <c r="P856" i="2"/>
  <c r="L856" i="2"/>
  <c r="K856" i="2"/>
  <c r="H856" i="2"/>
  <c r="I856" i="2" s="1"/>
  <c r="J856" i="2" s="1"/>
  <c r="C856" i="2"/>
  <c r="B856" i="2"/>
  <c r="A856" i="2"/>
  <c r="X855" i="2"/>
  <c r="S855" i="2"/>
  <c r="R855" i="2"/>
  <c r="Q855" i="2"/>
  <c r="P855" i="2"/>
  <c r="L855" i="2"/>
  <c r="K855" i="2"/>
  <c r="H855" i="2"/>
  <c r="I855" i="2" s="1"/>
  <c r="J855" i="2" s="1"/>
  <c r="C855" i="2"/>
  <c r="B855" i="2"/>
  <c r="A855" i="2"/>
  <c r="X854" i="2"/>
  <c r="S854" i="2"/>
  <c r="R854" i="2"/>
  <c r="Q854" i="2"/>
  <c r="P854" i="2"/>
  <c r="L854" i="2"/>
  <c r="K854" i="2"/>
  <c r="H854" i="2"/>
  <c r="I854" i="2" s="1"/>
  <c r="J854" i="2" s="1"/>
  <c r="C854" i="2"/>
  <c r="B854" i="2"/>
  <c r="A854" i="2"/>
  <c r="X853" i="2"/>
  <c r="S853" i="2"/>
  <c r="R853" i="2"/>
  <c r="Q853" i="2"/>
  <c r="P853" i="2"/>
  <c r="L853" i="2"/>
  <c r="K853" i="2"/>
  <c r="H853" i="2"/>
  <c r="I853" i="2" s="1"/>
  <c r="J853" i="2" s="1"/>
  <c r="C853" i="2"/>
  <c r="B853" i="2"/>
  <c r="A853" i="2"/>
  <c r="X852" i="2"/>
  <c r="S852" i="2"/>
  <c r="R852" i="2"/>
  <c r="Q852" i="2"/>
  <c r="P852" i="2"/>
  <c r="L852" i="2"/>
  <c r="K852" i="2"/>
  <c r="H852" i="2"/>
  <c r="I852" i="2" s="1"/>
  <c r="J852" i="2" s="1"/>
  <c r="C852" i="2"/>
  <c r="B852" i="2"/>
  <c r="A852" i="2"/>
  <c r="X851" i="2"/>
  <c r="S851" i="2"/>
  <c r="R851" i="2"/>
  <c r="Q851" i="2"/>
  <c r="P851" i="2"/>
  <c r="L851" i="2"/>
  <c r="K851" i="2"/>
  <c r="H851" i="2"/>
  <c r="I851" i="2" s="1"/>
  <c r="J851" i="2" s="1"/>
  <c r="C851" i="2"/>
  <c r="B851" i="2"/>
  <c r="A851" i="2"/>
  <c r="X850" i="2"/>
  <c r="S850" i="2"/>
  <c r="R850" i="2"/>
  <c r="Q850" i="2"/>
  <c r="P850" i="2"/>
  <c r="L850" i="2"/>
  <c r="K850" i="2"/>
  <c r="H850" i="2"/>
  <c r="I850" i="2" s="1"/>
  <c r="J850" i="2" s="1"/>
  <c r="C850" i="2"/>
  <c r="B850" i="2"/>
  <c r="A850" i="2"/>
  <c r="X849" i="2"/>
  <c r="S849" i="2"/>
  <c r="R849" i="2"/>
  <c r="Q849" i="2"/>
  <c r="P849" i="2"/>
  <c r="L849" i="2"/>
  <c r="K849" i="2"/>
  <c r="H849" i="2"/>
  <c r="I849" i="2" s="1"/>
  <c r="J849" i="2" s="1"/>
  <c r="C849" i="2"/>
  <c r="B849" i="2"/>
  <c r="A849" i="2"/>
  <c r="X848" i="2"/>
  <c r="S848" i="2"/>
  <c r="R848" i="2"/>
  <c r="Q848" i="2"/>
  <c r="P848" i="2"/>
  <c r="L848" i="2"/>
  <c r="K848" i="2"/>
  <c r="H848" i="2"/>
  <c r="I848" i="2" s="1"/>
  <c r="J848" i="2" s="1"/>
  <c r="C848" i="2"/>
  <c r="B848" i="2"/>
  <c r="A848" i="2"/>
  <c r="X847" i="2"/>
  <c r="S847" i="2"/>
  <c r="R847" i="2"/>
  <c r="Q847" i="2"/>
  <c r="P847" i="2"/>
  <c r="L847" i="2"/>
  <c r="K847" i="2"/>
  <c r="H847" i="2"/>
  <c r="I847" i="2" s="1"/>
  <c r="J847" i="2" s="1"/>
  <c r="C847" i="2"/>
  <c r="B847" i="2"/>
  <c r="A847" i="2"/>
  <c r="X846" i="2"/>
  <c r="S846" i="2"/>
  <c r="R846" i="2"/>
  <c r="Q846" i="2"/>
  <c r="P846" i="2"/>
  <c r="L846" i="2"/>
  <c r="K846" i="2"/>
  <c r="H846" i="2"/>
  <c r="I846" i="2" s="1"/>
  <c r="J846" i="2" s="1"/>
  <c r="C846" i="2"/>
  <c r="B846" i="2"/>
  <c r="A846" i="2"/>
  <c r="X845" i="2"/>
  <c r="S845" i="2"/>
  <c r="R845" i="2"/>
  <c r="Q845" i="2"/>
  <c r="P845" i="2"/>
  <c r="L845" i="2"/>
  <c r="K845" i="2"/>
  <c r="H845" i="2"/>
  <c r="I845" i="2" s="1"/>
  <c r="J845" i="2" s="1"/>
  <c r="C845" i="2"/>
  <c r="B845" i="2"/>
  <c r="A845" i="2"/>
  <c r="X844" i="2"/>
  <c r="S844" i="2"/>
  <c r="R844" i="2"/>
  <c r="Q844" i="2"/>
  <c r="P844" i="2"/>
  <c r="L844" i="2"/>
  <c r="K844" i="2"/>
  <c r="H844" i="2"/>
  <c r="I844" i="2" s="1"/>
  <c r="J844" i="2" s="1"/>
  <c r="C844" i="2"/>
  <c r="B844" i="2"/>
  <c r="A844" i="2"/>
  <c r="X843" i="2"/>
  <c r="S843" i="2"/>
  <c r="R843" i="2"/>
  <c r="Q843" i="2"/>
  <c r="P843" i="2"/>
  <c r="L843" i="2"/>
  <c r="M843" i="2" s="1"/>
  <c r="K843" i="2"/>
  <c r="H843" i="2"/>
  <c r="I843" i="2" s="1"/>
  <c r="J843" i="2" s="1"/>
  <c r="C843" i="2"/>
  <c r="B843" i="2"/>
  <c r="A843" i="2"/>
  <c r="X842" i="2"/>
  <c r="S842" i="2"/>
  <c r="R842" i="2"/>
  <c r="Q842" i="2"/>
  <c r="P842" i="2"/>
  <c r="L842" i="2"/>
  <c r="K842" i="2"/>
  <c r="H842" i="2"/>
  <c r="I842" i="2" s="1"/>
  <c r="J842" i="2" s="1"/>
  <c r="C842" i="2"/>
  <c r="B842" i="2"/>
  <c r="A842" i="2"/>
  <c r="X841" i="2"/>
  <c r="S841" i="2"/>
  <c r="R841" i="2"/>
  <c r="Q841" i="2"/>
  <c r="P841" i="2"/>
  <c r="L841" i="2"/>
  <c r="K841" i="2"/>
  <c r="H841" i="2"/>
  <c r="I841" i="2" s="1"/>
  <c r="J841" i="2" s="1"/>
  <c r="C841" i="2"/>
  <c r="B841" i="2"/>
  <c r="A841" i="2"/>
  <c r="X840" i="2"/>
  <c r="S840" i="2"/>
  <c r="R840" i="2"/>
  <c r="Q840" i="2"/>
  <c r="P840" i="2"/>
  <c r="L840" i="2"/>
  <c r="K840" i="2"/>
  <c r="H840" i="2"/>
  <c r="I840" i="2" s="1"/>
  <c r="J840" i="2" s="1"/>
  <c r="C840" i="2"/>
  <c r="B840" i="2"/>
  <c r="A840" i="2"/>
  <c r="X839" i="2"/>
  <c r="S839" i="2"/>
  <c r="R839" i="2"/>
  <c r="Q839" i="2"/>
  <c r="P839" i="2"/>
  <c r="L839" i="2"/>
  <c r="K839" i="2"/>
  <c r="H839" i="2"/>
  <c r="I839" i="2" s="1"/>
  <c r="J839" i="2" s="1"/>
  <c r="C839" i="2"/>
  <c r="B839" i="2"/>
  <c r="A839" i="2"/>
  <c r="X838" i="2"/>
  <c r="S838" i="2"/>
  <c r="R838" i="2"/>
  <c r="Q838" i="2"/>
  <c r="P838" i="2"/>
  <c r="L838" i="2"/>
  <c r="K838" i="2"/>
  <c r="H838" i="2"/>
  <c r="I838" i="2" s="1"/>
  <c r="J838" i="2" s="1"/>
  <c r="C838" i="2"/>
  <c r="B838" i="2"/>
  <c r="A838" i="2"/>
  <c r="X837" i="2"/>
  <c r="S837" i="2"/>
  <c r="R837" i="2"/>
  <c r="Q837" i="2"/>
  <c r="P837" i="2"/>
  <c r="L837" i="2"/>
  <c r="K837" i="2"/>
  <c r="H837" i="2"/>
  <c r="I837" i="2" s="1"/>
  <c r="J837" i="2" s="1"/>
  <c r="C837" i="2"/>
  <c r="B837" i="2"/>
  <c r="A837" i="2"/>
  <c r="X836" i="2"/>
  <c r="S836" i="2"/>
  <c r="R836" i="2"/>
  <c r="Q836" i="2"/>
  <c r="P836" i="2"/>
  <c r="L836" i="2"/>
  <c r="K836" i="2"/>
  <c r="H836" i="2"/>
  <c r="I836" i="2" s="1"/>
  <c r="J836" i="2" s="1"/>
  <c r="C836" i="2"/>
  <c r="B836" i="2"/>
  <c r="A836" i="2"/>
  <c r="X835" i="2"/>
  <c r="S835" i="2"/>
  <c r="R835" i="2"/>
  <c r="Q835" i="2"/>
  <c r="P835" i="2"/>
  <c r="L835" i="2"/>
  <c r="K835" i="2"/>
  <c r="H835" i="2"/>
  <c r="I835" i="2" s="1"/>
  <c r="J835" i="2" s="1"/>
  <c r="C835" i="2"/>
  <c r="B835" i="2"/>
  <c r="A835" i="2"/>
  <c r="X834" i="2"/>
  <c r="S834" i="2"/>
  <c r="R834" i="2"/>
  <c r="Q834" i="2"/>
  <c r="P834" i="2"/>
  <c r="L834" i="2"/>
  <c r="K834" i="2"/>
  <c r="H834" i="2"/>
  <c r="I834" i="2" s="1"/>
  <c r="J834" i="2" s="1"/>
  <c r="C834" i="2"/>
  <c r="B834" i="2"/>
  <c r="A834" i="2"/>
  <c r="X833" i="2"/>
  <c r="S833" i="2"/>
  <c r="R833" i="2"/>
  <c r="Q833" i="2"/>
  <c r="P833" i="2"/>
  <c r="L833" i="2"/>
  <c r="K833" i="2"/>
  <c r="H833" i="2"/>
  <c r="I833" i="2" s="1"/>
  <c r="J833" i="2" s="1"/>
  <c r="C833" i="2"/>
  <c r="B833" i="2"/>
  <c r="A833" i="2"/>
  <c r="X832" i="2"/>
  <c r="S832" i="2"/>
  <c r="R832" i="2"/>
  <c r="Q832" i="2"/>
  <c r="P832" i="2"/>
  <c r="L832" i="2"/>
  <c r="K832" i="2"/>
  <c r="H832" i="2"/>
  <c r="I832" i="2" s="1"/>
  <c r="J832" i="2" s="1"/>
  <c r="C832" i="2"/>
  <c r="B832" i="2"/>
  <c r="A832" i="2"/>
  <c r="X831" i="2"/>
  <c r="S831" i="2"/>
  <c r="R831" i="2"/>
  <c r="Q831" i="2"/>
  <c r="P831" i="2"/>
  <c r="L831" i="2"/>
  <c r="K831" i="2"/>
  <c r="H831" i="2"/>
  <c r="I831" i="2" s="1"/>
  <c r="J831" i="2" s="1"/>
  <c r="C831" i="2"/>
  <c r="B831" i="2"/>
  <c r="A831" i="2"/>
  <c r="X830" i="2"/>
  <c r="S830" i="2"/>
  <c r="R830" i="2"/>
  <c r="Q830" i="2"/>
  <c r="P830" i="2"/>
  <c r="L830" i="2"/>
  <c r="K830" i="2"/>
  <c r="H830" i="2"/>
  <c r="I830" i="2" s="1"/>
  <c r="J830" i="2" s="1"/>
  <c r="C830" i="2"/>
  <c r="B830" i="2"/>
  <c r="A830" i="2"/>
  <c r="X829" i="2"/>
  <c r="S829" i="2"/>
  <c r="R829" i="2"/>
  <c r="Q829" i="2"/>
  <c r="P829" i="2"/>
  <c r="L829" i="2"/>
  <c r="K829" i="2"/>
  <c r="H829" i="2"/>
  <c r="I829" i="2" s="1"/>
  <c r="J829" i="2" s="1"/>
  <c r="C829" i="2"/>
  <c r="B829" i="2"/>
  <c r="A829" i="2"/>
  <c r="X828" i="2"/>
  <c r="S828" i="2"/>
  <c r="R828" i="2"/>
  <c r="Q828" i="2"/>
  <c r="P828" i="2"/>
  <c r="L828" i="2"/>
  <c r="K828" i="2"/>
  <c r="H828" i="2"/>
  <c r="I828" i="2" s="1"/>
  <c r="J828" i="2" s="1"/>
  <c r="C828" i="2"/>
  <c r="B828" i="2"/>
  <c r="A828" i="2"/>
  <c r="X827" i="2"/>
  <c r="S827" i="2"/>
  <c r="R827" i="2"/>
  <c r="Q827" i="2"/>
  <c r="P827" i="2"/>
  <c r="L827" i="2"/>
  <c r="K827" i="2"/>
  <c r="H827" i="2"/>
  <c r="I827" i="2" s="1"/>
  <c r="J827" i="2" s="1"/>
  <c r="C827" i="2"/>
  <c r="B827" i="2"/>
  <c r="A827" i="2"/>
  <c r="X826" i="2"/>
  <c r="S826" i="2"/>
  <c r="R826" i="2"/>
  <c r="Q826" i="2"/>
  <c r="P826" i="2"/>
  <c r="L826" i="2"/>
  <c r="K826" i="2"/>
  <c r="H826" i="2"/>
  <c r="I826" i="2" s="1"/>
  <c r="J826" i="2" s="1"/>
  <c r="C826" i="2"/>
  <c r="B826" i="2"/>
  <c r="A826" i="2"/>
  <c r="X825" i="2"/>
  <c r="S825" i="2"/>
  <c r="R825" i="2"/>
  <c r="Q825" i="2"/>
  <c r="P825" i="2"/>
  <c r="L825" i="2"/>
  <c r="K825" i="2"/>
  <c r="H825" i="2"/>
  <c r="I825" i="2" s="1"/>
  <c r="J825" i="2" s="1"/>
  <c r="C825" i="2"/>
  <c r="B825" i="2"/>
  <c r="A825" i="2"/>
  <c r="X824" i="2"/>
  <c r="S824" i="2"/>
  <c r="R824" i="2"/>
  <c r="Q824" i="2"/>
  <c r="P824" i="2"/>
  <c r="L824" i="2"/>
  <c r="K824" i="2"/>
  <c r="H824" i="2"/>
  <c r="I824" i="2" s="1"/>
  <c r="J824" i="2" s="1"/>
  <c r="C824" i="2"/>
  <c r="B824" i="2"/>
  <c r="A824" i="2"/>
  <c r="X823" i="2"/>
  <c r="S823" i="2"/>
  <c r="R823" i="2"/>
  <c r="Q823" i="2"/>
  <c r="P823" i="2"/>
  <c r="L823" i="2"/>
  <c r="K823" i="2"/>
  <c r="H823" i="2"/>
  <c r="I823" i="2" s="1"/>
  <c r="J823" i="2" s="1"/>
  <c r="C823" i="2"/>
  <c r="B823" i="2"/>
  <c r="A823" i="2"/>
  <c r="X822" i="2"/>
  <c r="S822" i="2"/>
  <c r="R822" i="2"/>
  <c r="Q822" i="2"/>
  <c r="P822" i="2"/>
  <c r="L822" i="2"/>
  <c r="K822" i="2"/>
  <c r="H822" i="2"/>
  <c r="I822" i="2" s="1"/>
  <c r="J822" i="2" s="1"/>
  <c r="C822" i="2"/>
  <c r="B822" i="2"/>
  <c r="A822" i="2"/>
  <c r="X821" i="2"/>
  <c r="S821" i="2"/>
  <c r="R821" i="2"/>
  <c r="Q821" i="2"/>
  <c r="P821" i="2"/>
  <c r="L821" i="2"/>
  <c r="K821" i="2"/>
  <c r="H821" i="2"/>
  <c r="I821" i="2" s="1"/>
  <c r="J821" i="2" s="1"/>
  <c r="C821" i="2"/>
  <c r="B821" i="2"/>
  <c r="A821" i="2"/>
  <c r="X820" i="2"/>
  <c r="S820" i="2"/>
  <c r="R820" i="2"/>
  <c r="Q820" i="2"/>
  <c r="P820" i="2"/>
  <c r="L820" i="2"/>
  <c r="K820" i="2"/>
  <c r="H820" i="2"/>
  <c r="I820" i="2" s="1"/>
  <c r="J820" i="2" s="1"/>
  <c r="C820" i="2"/>
  <c r="B820" i="2"/>
  <c r="A820" i="2"/>
  <c r="X819" i="2"/>
  <c r="S819" i="2"/>
  <c r="R819" i="2"/>
  <c r="Q819" i="2"/>
  <c r="P819" i="2"/>
  <c r="L819" i="2"/>
  <c r="K819" i="2"/>
  <c r="H819" i="2"/>
  <c r="I819" i="2" s="1"/>
  <c r="J819" i="2" s="1"/>
  <c r="C819" i="2"/>
  <c r="B819" i="2"/>
  <c r="A819" i="2"/>
  <c r="X818" i="2"/>
  <c r="S818" i="2"/>
  <c r="R818" i="2"/>
  <c r="Q818" i="2"/>
  <c r="P818" i="2"/>
  <c r="L818" i="2"/>
  <c r="K818" i="2"/>
  <c r="H818" i="2"/>
  <c r="I818" i="2" s="1"/>
  <c r="J818" i="2" s="1"/>
  <c r="C818" i="2"/>
  <c r="B818" i="2"/>
  <c r="A818" i="2"/>
  <c r="X817" i="2"/>
  <c r="S817" i="2"/>
  <c r="R817" i="2"/>
  <c r="Q817" i="2"/>
  <c r="P817" i="2"/>
  <c r="L817" i="2"/>
  <c r="K817" i="2"/>
  <c r="H817" i="2"/>
  <c r="I817" i="2" s="1"/>
  <c r="J817" i="2" s="1"/>
  <c r="C817" i="2"/>
  <c r="B817" i="2"/>
  <c r="A817" i="2"/>
  <c r="X816" i="2"/>
  <c r="S816" i="2"/>
  <c r="R816" i="2"/>
  <c r="Q816" i="2"/>
  <c r="P816" i="2"/>
  <c r="L816" i="2"/>
  <c r="K816" i="2"/>
  <c r="H816" i="2"/>
  <c r="I816" i="2" s="1"/>
  <c r="J816" i="2" s="1"/>
  <c r="C816" i="2"/>
  <c r="B816" i="2"/>
  <c r="A816" i="2"/>
  <c r="X815" i="2"/>
  <c r="S815" i="2"/>
  <c r="R815" i="2"/>
  <c r="Q815" i="2"/>
  <c r="P815" i="2"/>
  <c r="L815" i="2"/>
  <c r="K815" i="2"/>
  <c r="H815" i="2"/>
  <c r="I815" i="2" s="1"/>
  <c r="J815" i="2" s="1"/>
  <c r="C815" i="2"/>
  <c r="B815" i="2"/>
  <c r="A815" i="2"/>
  <c r="X814" i="2"/>
  <c r="S814" i="2"/>
  <c r="R814" i="2"/>
  <c r="Q814" i="2"/>
  <c r="P814" i="2"/>
  <c r="L814" i="2"/>
  <c r="K814" i="2"/>
  <c r="H814" i="2"/>
  <c r="I814" i="2" s="1"/>
  <c r="J814" i="2" s="1"/>
  <c r="C814" i="2"/>
  <c r="B814" i="2"/>
  <c r="A814" i="2"/>
  <c r="J814" i="4" s="1"/>
  <c r="X813" i="2"/>
  <c r="S813" i="2"/>
  <c r="R813" i="2"/>
  <c r="Q813" i="2"/>
  <c r="P813" i="2"/>
  <c r="L813" i="2"/>
  <c r="K813" i="2"/>
  <c r="H813" i="2"/>
  <c r="I813" i="2" s="1"/>
  <c r="J813" i="2" s="1"/>
  <c r="C813" i="2"/>
  <c r="B813" i="2"/>
  <c r="A813" i="2"/>
  <c r="J813" i="4" s="1"/>
  <c r="X812" i="2"/>
  <c r="S812" i="2"/>
  <c r="R812" i="2"/>
  <c r="Q812" i="2"/>
  <c r="P812" i="2"/>
  <c r="L812" i="2"/>
  <c r="K812" i="2"/>
  <c r="H812" i="2"/>
  <c r="I812" i="2" s="1"/>
  <c r="J812" i="2" s="1"/>
  <c r="C812" i="2"/>
  <c r="B812" i="2"/>
  <c r="A812" i="2"/>
  <c r="J812" i="4" s="1"/>
  <c r="X811" i="2"/>
  <c r="S811" i="2"/>
  <c r="R811" i="2"/>
  <c r="Q811" i="2"/>
  <c r="P811" i="2"/>
  <c r="L811" i="2"/>
  <c r="K811" i="2"/>
  <c r="H811" i="2"/>
  <c r="I811" i="2" s="1"/>
  <c r="J811" i="2" s="1"/>
  <c r="C811" i="2"/>
  <c r="B811" i="2"/>
  <c r="A811" i="2"/>
  <c r="J811" i="4" s="1"/>
  <c r="X810" i="2"/>
  <c r="S810" i="2"/>
  <c r="R810" i="2"/>
  <c r="Q810" i="2"/>
  <c r="P810" i="2"/>
  <c r="L810" i="2"/>
  <c r="K810" i="2"/>
  <c r="H810" i="2"/>
  <c r="I810" i="2" s="1"/>
  <c r="J810" i="2" s="1"/>
  <c r="C810" i="2"/>
  <c r="B810" i="2"/>
  <c r="A810" i="2"/>
  <c r="J810" i="4" s="1"/>
  <c r="X809" i="2"/>
  <c r="S809" i="2"/>
  <c r="R809" i="2"/>
  <c r="Q809" i="2"/>
  <c r="P809" i="2"/>
  <c r="L809" i="2"/>
  <c r="K809" i="2"/>
  <c r="H809" i="2"/>
  <c r="I809" i="2" s="1"/>
  <c r="J809" i="2" s="1"/>
  <c r="C809" i="2"/>
  <c r="B809" i="2"/>
  <c r="A809" i="2"/>
  <c r="J809" i="4" s="1"/>
  <c r="X808" i="2"/>
  <c r="S808" i="2"/>
  <c r="R808" i="2"/>
  <c r="Q808" i="2"/>
  <c r="P808" i="2"/>
  <c r="L808" i="2"/>
  <c r="K808" i="2"/>
  <c r="H808" i="2"/>
  <c r="I808" i="2" s="1"/>
  <c r="J808" i="2" s="1"/>
  <c r="C808" i="2"/>
  <c r="B808" i="2"/>
  <c r="A808" i="2"/>
  <c r="J808" i="4" s="1"/>
  <c r="X807" i="2"/>
  <c r="S807" i="2"/>
  <c r="R807" i="2"/>
  <c r="Q807" i="2"/>
  <c r="P807" i="2"/>
  <c r="L807" i="2"/>
  <c r="K807" i="2"/>
  <c r="H807" i="2"/>
  <c r="I807" i="2" s="1"/>
  <c r="J807" i="2" s="1"/>
  <c r="C807" i="2"/>
  <c r="B807" i="2"/>
  <c r="A807" i="2"/>
  <c r="J807" i="4" s="1"/>
  <c r="X806" i="2"/>
  <c r="S806" i="2"/>
  <c r="R806" i="2"/>
  <c r="Q806" i="2"/>
  <c r="P806" i="2"/>
  <c r="L806" i="2"/>
  <c r="K806" i="2"/>
  <c r="H806" i="2"/>
  <c r="I806" i="2" s="1"/>
  <c r="J806" i="2" s="1"/>
  <c r="C806" i="2"/>
  <c r="B806" i="2"/>
  <c r="A806" i="2"/>
  <c r="J806" i="4" s="1"/>
  <c r="X805" i="2"/>
  <c r="S805" i="2"/>
  <c r="R805" i="2"/>
  <c r="Q805" i="2"/>
  <c r="P805" i="2"/>
  <c r="L805" i="2"/>
  <c r="K805" i="2"/>
  <c r="H805" i="2"/>
  <c r="I805" i="2" s="1"/>
  <c r="J805" i="2" s="1"/>
  <c r="C805" i="2"/>
  <c r="B805" i="2"/>
  <c r="A805" i="2"/>
  <c r="J805" i="4" s="1"/>
  <c r="X804" i="2"/>
  <c r="S804" i="2"/>
  <c r="R804" i="2"/>
  <c r="Q804" i="2"/>
  <c r="P804" i="2"/>
  <c r="L804" i="2"/>
  <c r="K804" i="2"/>
  <c r="H804" i="2"/>
  <c r="I804" i="2" s="1"/>
  <c r="J804" i="2" s="1"/>
  <c r="C804" i="2"/>
  <c r="B804" i="2"/>
  <c r="A804" i="2"/>
  <c r="J804" i="4" s="1"/>
  <c r="X803" i="2"/>
  <c r="S803" i="2"/>
  <c r="R803" i="2"/>
  <c r="Q803" i="2"/>
  <c r="P803" i="2"/>
  <c r="L803" i="2"/>
  <c r="K803" i="2"/>
  <c r="H803" i="2"/>
  <c r="I803" i="2" s="1"/>
  <c r="J803" i="2" s="1"/>
  <c r="C803" i="2"/>
  <c r="B803" i="2"/>
  <c r="A803" i="2"/>
  <c r="J803" i="4" s="1"/>
  <c r="X802" i="2"/>
  <c r="S802" i="2"/>
  <c r="R802" i="2"/>
  <c r="Q802" i="2"/>
  <c r="P802" i="2"/>
  <c r="L802" i="2"/>
  <c r="K802" i="2"/>
  <c r="H802" i="2"/>
  <c r="I802" i="2" s="1"/>
  <c r="J802" i="2" s="1"/>
  <c r="C802" i="2"/>
  <c r="B802" i="2"/>
  <c r="A802" i="2"/>
  <c r="J802" i="4" s="1"/>
  <c r="X801" i="2"/>
  <c r="S801" i="2"/>
  <c r="Q801" i="2"/>
  <c r="P801" i="2"/>
  <c r="L801" i="2"/>
  <c r="K801" i="2"/>
  <c r="H801" i="2"/>
  <c r="I801" i="2" s="1"/>
  <c r="J801" i="2" s="1"/>
  <c r="C801" i="2"/>
  <c r="B801" i="2"/>
  <c r="A801" i="2"/>
  <c r="J801" i="4" s="1"/>
  <c r="X800" i="2"/>
  <c r="S800" i="2"/>
  <c r="R800" i="2"/>
  <c r="Q800" i="2"/>
  <c r="P800" i="2"/>
  <c r="L800" i="2"/>
  <c r="K800" i="2"/>
  <c r="H800" i="2"/>
  <c r="I800" i="2" s="1"/>
  <c r="J800" i="2" s="1"/>
  <c r="C800" i="2"/>
  <c r="B800" i="2"/>
  <c r="A800" i="2"/>
  <c r="J800" i="4" s="1"/>
  <c r="X799" i="2"/>
  <c r="S799" i="2"/>
  <c r="R799" i="2"/>
  <c r="Q799" i="2"/>
  <c r="P799" i="2"/>
  <c r="L799" i="2"/>
  <c r="K799" i="2"/>
  <c r="H799" i="2"/>
  <c r="I799" i="2" s="1"/>
  <c r="J799" i="2" s="1"/>
  <c r="C799" i="2"/>
  <c r="B799" i="2"/>
  <c r="A799" i="2"/>
  <c r="J799" i="4" s="1"/>
  <c r="X798" i="2"/>
  <c r="S798" i="2"/>
  <c r="R798" i="2"/>
  <c r="Q798" i="2"/>
  <c r="P798" i="2"/>
  <c r="L798" i="2"/>
  <c r="K798" i="2"/>
  <c r="H798" i="2"/>
  <c r="I798" i="2" s="1"/>
  <c r="J798" i="2" s="1"/>
  <c r="C798" i="2"/>
  <c r="B798" i="2"/>
  <c r="A798" i="2"/>
  <c r="J798" i="4" s="1"/>
  <c r="X797" i="2"/>
  <c r="S797" i="2"/>
  <c r="R797" i="2"/>
  <c r="Q797" i="2"/>
  <c r="P797" i="2"/>
  <c r="L797" i="2"/>
  <c r="K797" i="2"/>
  <c r="H797" i="2"/>
  <c r="I797" i="2" s="1"/>
  <c r="J797" i="2" s="1"/>
  <c r="C797" i="2"/>
  <c r="B797" i="2"/>
  <c r="A797" i="2"/>
  <c r="J797" i="4" s="1"/>
  <c r="X796" i="2"/>
  <c r="S796" i="2"/>
  <c r="R796" i="2"/>
  <c r="Q796" i="2"/>
  <c r="P796" i="2"/>
  <c r="L796" i="2"/>
  <c r="K796" i="2"/>
  <c r="H796" i="2"/>
  <c r="I796" i="2" s="1"/>
  <c r="J796" i="2" s="1"/>
  <c r="C796" i="2"/>
  <c r="B796" i="2"/>
  <c r="A796" i="2"/>
  <c r="J796" i="4" s="1"/>
  <c r="X795" i="2"/>
  <c r="S795" i="2"/>
  <c r="R795" i="2"/>
  <c r="Q795" i="2"/>
  <c r="P795" i="2"/>
  <c r="L795" i="2"/>
  <c r="K795" i="2"/>
  <c r="H795" i="2"/>
  <c r="I795" i="2" s="1"/>
  <c r="J795" i="2" s="1"/>
  <c r="C795" i="2"/>
  <c r="B795" i="2"/>
  <c r="A795" i="2"/>
  <c r="J795" i="4" s="1"/>
  <c r="X794" i="2"/>
  <c r="S794" i="2"/>
  <c r="R794" i="2"/>
  <c r="Q794" i="2"/>
  <c r="P794" i="2"/>
  <c r="L794" i="2"/>
  <c r="K794" i="2"/>
  <c r="H794" i="2"/>
  <c r="I794" i="2" s="1"/>
  <c r="J794" i="2" s="1"/>
  <c r="C794" i="2"/>
  <c r="B794" i="2"/>
  <c r="A794" i="2"/>
  <c r="X793" i="2"/>
  <c r="S793" i="2"/>
  <c r="R793" i="2"/>
  <c r="Q793" i="2"/>
  <c r="P793" i="2"/>
  <c r="L793" i="2"/>
  <c r="K793" i="2"/>
  <c r="H793" i="2"/>
  <c r="I793" i="2" s="1"/>
  <c r="J793" i="2" s="1"/>
  <c r="C793" i="2"/>
  <c r="B793" i="2"/>
  <c r="A793" i="2"/>
  <c r="X792" i="2"/>
  <c r="S792" i="2"/>
  <c r="R792" i="2"/>
  <c r="Q792" i="2"/>
  <c r="P792" i="2"/>
  <c r="L792" i="2"/>
  <c r="K792" i="2"/>
  <c r="H792" i="2"/>
  <c r="I792" i="2" s="1"/>
  <c r="J792" i="2" s="1"/>
  <c r="C792" i="2"/>
  <c r="B792" i="2"/>
  <c r="A792" i="2"/>
  <c r="X791" i="2"/>
  <c r="S791" i="2"/>
  <c r="R791" i="2"/>
  <c r="Q791" i="2"/>
  <c r="P791" i="2"/>
  <c r="L791" i="2"/>
  <c r="K791" i="2"/>
  <c r="H791" i="2"/>
  <c r="I791" i="2" s="1"/>
  <c r="J791" i="2" s="1"/>
  <c r="C791" i="2"/>
  <c r="B791" i="2"/>
  <c r="A791" i="2"/>
  <c r="X790" i="2"/>
  <c r="S790" i="2"/>
  <c r="R790" i="2"/>
  <c r="Q790" i="2"/>
  <c r="P790" i="2"/>
  <c r="L790" i="2"/>
  <c r="K790" i="2"/>
  <c r="H790" i="2"/>
  <c r="I790" i="2" s="1"/>
  <c r="J790" i="2" s="1"/>
  <c r="C790" i="2"/>
  <c r="B790" i="2"/>
  <c r="A790" i="2"/>
  <c r="X789" i="2"/>
  <c r="S789" i="2"/>
  <c r="R789" i="2"/>
  <c r="Q789" i="2"/>
  <c r="P789" i="2"/>
  <c r="L789" i="2"/>
  <c r="K789" i="2"/>
  <c r="H789" i="2"/>
  <c r="I789" i="2" s="1"/>
  <c r="J789" i="2" s="1"/>
  <c r="C789" i="2"/>
  <c r="B789" i="2"/>
  <c r="A789" i="2"/>
  <c r="X788" i="2"/>
  <c r="S788" i="2"/>
  <c r="R788" i="2"/>
  <c r="Q788" i="2"/>
  <c r="P788" i="2"/>
  <c r="L788" i="2"/>
  <c r="K788" i="2"/>
  <c r="H788" i="2"/>
  <c r="I788" i="2" s="1"/>
  <c r="J788" i="2" s="1"/>
  <c r="C788" i="2"/>
  <c r="B788" i="2"/>
  <c r="A788" i="2"/>
  <c r="X787" i="2"/>
  <c r="S787" i="2"/>
  <c r="R787" i="2"/>
  <c r="Q787" i="2"/>
  <c r="P787" i="2"/>
  <c r="L787" i="2"/>
  <c r="K787" i="2"/>
  <c r="H787" i="2"/>
  <c r="I787" i="2" s="1"/>
  <c r="J787" i="2" s="1"/>
  <c r="C787" i="2"/>
  <c r="B787" i="2"/>
  <c r="A787" i="2"/>
  <c r="X786" i="2"/>
  <c r="S786" i="2"/>
  <c r="R786" i="2"/>
  <c r="Q786" i="2"/>
  <c r="P786" i="2"/>
  <c r="L786" i="2"/>
  <c r="K786" i="2"/>
  <c r="H786" i="2"/>
  <c r="I786" i="2" s="1"/>
  <c r="J786" i="2" s="1"/>
  <c r="C786" i="2"/>
  <c r="B786" i="2"/>
  <c r="A786" i="2"/>
  <c r="X785" i="2"/>
  <c r="S785" i="2"/>
  <c r="R785" i="2"/>
  <c r="Q785" i="2"/>
  <c r="P785" i="2"/>
  <c r="L785" i="2"/>
  <c r="K785" i="2"/>
  <c r="H785" i="2"/>
  <c r="I785" i="2" s="1"/>
  <c r="J785" i="2" s="1"/>
  <c r="C785" i="2"/>
  <c r="B785" i="2"/>
  <c r="A785" i="2"/>
  <c r="X784" i="2"/>
  <c r="S784" i="2"/>
  <c r="R784" i="2"/>
  <c r="Q784" i="2"/>
  <c r="P784" i="2"/>
  <c r="L784" i="2"/>
  <c r="K784" i="2"/>
  <c r="H784" i="2"/>
  <c r="I784" i="2" s="1"/>
  <c r="J784" i="2" s="1"/>
  <c r="C784" i="2"/>
  <c r="B784" i="2"/>
  <c r="A784" i="2"/>
  <c r="X783" i="2"/>
  <c r="S783" i="2"/>
  <c r="R783" i="2"/>
  <c r="Q783" i="2"/>
  <c r="P783" i="2"/>
  <c r="L783" i="2"/>
  <c r="K783" i="2"/>
  <c r="H783" i="2"/>
  <c r="I783" i="2" s="1"/>
  <c r="J783" i="2" s="1"/>
  <c r="C783" i="2"/>
  <c r="B783" i="2"/>
  <c r="A783" i="2"/>
  <c r="X782" i="2"/>
  <c r="S782" i="2"/>
  <c r="R782" i="2"/>
  <c r="Q782" i="2"/>
  <c r="P782" i="2"/>
  <c r="L782" i="2"/>
  <c r="K782" i="2"/>
  <c r="H782" i="2"/>
  <c r="I782" i="2" s="1"/>
  <c r="J782" i="2" s="1"/>
  <c r="C782" i="2"/>
  <c r="B782" i="2"/>
  <c r="A782" i="2"/>
  <c r="X781" i="2"/>
  <c r="S781" i="2"/>
  <c r="R781" i="2"/>
  <c r="Q781" i="2"/>
  <c r="P781" i="2"/>
  <c r="L781" i="2"/>
  <c r="K781" i="2"/>
  <c r="H781" i="2"/>
  <c r="I781" i="2" s="1"/>
  <c r="J781" i="2" s="1"/>
  <c r="C781" i="2"/>
  <c r="B781" i="2"/>
  <c r="A781" i="2"/>
  <c r="X780" i="2"/>
  <c r="S780" i="2"/>
  <c r="R780" i="2"/>
  <c r="Q780" i="2"/>
  <c r="P780" i="2"/>
  <c r="L780" i="2"/>
  <c r="K780" i="2"/>
  <c r="H780" i="2"/>
  <c r="I780" i="2" s="1"/>
  <c r="J780" i="2" s="1"/>
  <c r="C780" i="2"/>
  <c r="B780" i="2"/>
  <c r="A780" i="2"/>
  <c r="X779" i="2"/>
  <c r="S779" i="2"/>
  <c r="R779" i="2"/>
  <c r="Q779" i="2"/>
  <c r="P779" i="2"/>
  <c r="L779" i="2"/>
  <c r="K779" i="2"/>
  <c r="H779" i="2"/>
  <c r="I779" i="2" s="1"/>
  <c r="J779" i="2" s="1"/>
  <c r="C779" i="2"/>
  <c r="B779" i="2"/>
  <c r="A779" i="2"/>
  <c r="X778" i="2"/>
  <c r="S778" i="2"/>
  <c r="R778" i="2"/>
  <c r="Q778" i="2"/>
  <c r="P778" i="2"/>
  <c r="L778" i="2"/>
  <c r="K778" i="2"/>
  <c r="H778" i="2"/>
  <c r="I778" i="2" s="1"/>
  <c r="J778" i="2" s="1"/>
  <c r="C778" i="2"/>
  <c r="B778" i="2"/>
  <c r="A778" i="2"/>
  <c r="X777" i="2"/>
  <c r="S777" i="2"/>
  <c r="R777" i="2"/>
  <c r="Q777" i="2"/>
  <c r="P777" i="2"/>
  <c r="L777" i="2"/>
  <c r="K777" i="2"/>
  <c r="H777" i="2"/>
  <c r="I777" i="2" s="1"/>
  <c r="J777" i="2" s="1"/>
  <c r="C777" i="2"/>
  <c r="B777" i="2"/>
  <c r="A777" i="2"/>
  <c r="X776" i="2"/>
  <c r="S776" i="2"/>
  <c r="R776" i="2"/>
  <c r="Q776" i="2"/>
  <c r="P776" i="2"/>
  <c r="L776" i="2"/>
  <c r="K776" i="2"/>
  <c r="H776" i="2"/>
  <c r="I776" i="2" s="1"/>
  <c r="J776" i="2" s="1"/>
  <c r="C776" i="2"/>
  <c r="B776" i="2"/>
  <c r="A776" i="2"/>
  <c r="X775" i="2"/>
  <c r="S775" i="2"/>
  <c r="R775" i="2"/>
  <c r="Q775" i="2"/>
  <c r="P775" i="2"/>
  <c r="L775" i="2"/>
  <c r="K775" i="2"/>
  <c r="H775" i="2"/>
  <c r="I775" i="2" s="1"/>
  <c r="J775" i="2" s="1"/>
  <c r="C775" i="2"/>
  <c r="B775" i="2"/>
  <c r="A775" i="2"/>
  <c r="X774" i="2"/>
  <c r="S774" i="2"/>
  <c r="R774" i="2"/>
  <c r="Q774" i="2"/>
  <c r="P774" i="2"/>
  <c r="L774" i="2"/>
  <c r="K774" i="2"/>
  <c r="H774" i="2"/>
  <c r="I774" i="2" s="1"/>
  <c r="J774" i="2" s="1"/>
  <c r="C774" i="2"/>
  <c r="B774" i="2"/>
  <c r="A774" i="2"/>
  <c r="X773" i="2"/>
  <c r="S773" i="2"/>
  <c r="R773" i="2"/>
  <c r="Q773" i="2"/>
  <c r="P773" i="2"/>
  <c r="L773" i="2"/>
  <c r="K773" i="2"/>
  <c r="H773" i="2"/>
  <c r="I773" i="2" s="1"/>
  <c r="J773" i="2" s="1"/>
  <c r="C773" i="2"/>
  <c r="B773" i="2"/>
  <c r="A773" i="2"/>
  <c r="X772" i="2"/>
  <c r="S772" i="2"/>
  <c r="R772" i="2"/>
  <c r="Q772" i="2"/>
  <c r="P772" i="2"/>
  <c r="L772" i="2"/>
  <c r="K772" i="2"/>
  <c r="H772" i="2"/>
  <c r="I772" i="2" s="1"/>
  <c r="J772" i="2" s="1"/>
  <c r="C772" i="2"/>
  <c r="B772" i="2"/>
  <c r="A772" i="2"/>
  <c r="X771" i="2"/>
  <c r="S771" i="2"/>
  <c r="R771" i="2"/>
  <c r="Q771" i="2"/>
  <c r="P771" i="2"/>
  <c r="L771" i="2"/>
  <c r="K771" i="2"/>
  <c r="H771" i="2"/>
  <c r="I771" i="2" s="1"/>
  <c r="J771" i="2" s="1"/>
  <c r="C771" i="2"/>
  <c r="B771" i="2"/>
  <c r="A771" i="2"/>
  <c r="X770" i="2"/>
  <c r="S770" i="2"/>
  <c r="R770" i="2"/>
  <c r="Q770" i="2"/>
  <c r="P770" i="2"/>
  <c r="L770" i="2"/>
  <c r="K770" i="2"/>
  <c r="H770" i="2"/>
  <c r="I770" i="2" s="1"/>
  <c r="J770" i="2" s="1"/>
  <c r="C770" i="2"/>
  <c r="B770" i="2"/>
  <c r="A770" i="2"/>
  <c r="X769" i="2"/>
  <c r="S769" i="2"/>
  <c r="R769" i="2"/>
  <c r="Q769" i="2"/>
  <c r="P769" i="2"/>
  <c r="L769" i="2"/>
  <c r="K769" i="2"/>
  <c r="H769" i="2"/>
  <c r="I769" i="2" s="1"/>
  <c r="J769" i="2" s="1"/>
  <c r="C769" i="2"/>
  <c r="B769" i="2"/>
  <c r="A769" i="2"/>
  <c r="X768" i="2"/>
  <c r="S768" i="2"/>
  <c r="R768" i="2"/>
  <c r="Q768" i="2"/>
  <c r="P768" i="2"/>
  <c r="L768" i="2"/>
  <c r="K768" i="2"/>
  <c r="H768" i="2"/>
  <c r="I768" i="2" s="1"/>
  <c r="J768" i="2" s="1"/>
  <c r="C768" i="2"/>
  <c r="B768" i="2"/>
  <c r="A768" i="2"/>
  <c r="X767" i="2"/>
  <c r="S767" i="2"/>
  <c r="R767" i="2"/>
  <c r="Q767" i="2"/>
  <c r="P767" i="2"/>
  <c r="L767" i="2"/>
  <c r="K767" i="2"/>
  <c r="H767" i="2"/>
  <c r="I767" i="2" s="1"/>
  <c r="J767" i="2" s="1"/>
  <c r="C767" i="2"/>
  <c r="B767" i="2"/>
  <c r="A767" i="2"/>
  <c r="X766" i="2"/>
  <c r="S766" i="2"/>
  <c r="R766" i="2"/>
  <c r="Q766" i="2"/>
  <c r="P766" i="2"/>
  <c r="L766" i="2"/>
  <c r="K766" i="2"/>
  <c r="H766" i="2"/>
  <c r="I766" i="2" s="1"/>
  <c r="J766" i="2" s="1"/>
  <c r="C766" i="2"/>
  <c r="B766" i="2"/>
  <c r="A766" i="2"/>
  <c r="X765" i="2"/>
  <c r="S765" i="2"/>
  <c r="R765" i="2"/>
  <c r="Q765" i="2"/>
  <c r="P765" i="2"/>
  <c r="L765" i="2"/>
  <c r="K765" i="2"/>
  <c r="H765" i="2"/>
  <c r="I765" i="2" s="1"/>
  <c r="J765" i="2" s="1"/>
  <c r="C765" i="2"/>
  <c r="B765" i="2"/>
  <c r="A765" i="2"/>
  <c r="X764" i="2"/>
  <c r="S764" i="2"/>
  <c r="R764" i="2"/>
  <c r="Q764" i="2"/>
  <c r="P764" i="2"/>
  <c r="L764" i="2"/>
  <c r="K764" i="2"/>
  <c r="H764" i="2"/>
  <c r="I764" i="2" s="1"/>
  <c r="J764" i="2" s="1"/>
  <c r="C764" i="2"/>
  <c r="B764" i="2"/>
  <c r="A764" i="2"/>
  <c r="X763" i="2"/>
  <c r="S763" i="2"/>
  <c r="R763" i="2"/>
  <c r="Q763" i="2"/>
  <c r="P763" i="2"/>
  <c r="L763" i="2"/>
  <c r="K763" i="2"/>
  <c r="H763" i="2"/>
  <c r="I763" i="2" s="1"/>
  <c r="J763" i="2" s="1"/>
  <c r="C763" i="2"/>
  <c r="B763" i="2"/>
  <c r="A763" i="2"/>
  <c r="X762" i="2"/>
  <c r="S762" i="2"/>
  <c r="R762" i="2"/>
  <c r="Q762" i="2"/>
  <c r="P762" i="2"/>
  <c r="L762" i="2"/>
  <c r="K762" i="2"/>
  <c r="H762" i="2"/>
  <c r="I762" i="2" s="1"/>
  <c r="J762" i="2" s="1"/>
  <c r="C762" i="2"/>
  <c r="B762" i="2"/>
  <c r="A762" i="2"/>
  <c r="X761" i="2"/>
  <c r="S761" i="2"/>
  <c r="R761" i="2"/>
  <c r="Q761" i="2"/>
  <c r="P761" i="2"/>
  <c r="L761" i="2"/>
  <c r="K761" i="2"/>
  <c r="H761" i="2"/>
  <c r="I761" i="2" s="1"/>
  <c r="J761" i="2" s="1"/>
  <c r="C761" i="2"/>
  <c r="B761" i="2"/>
  <c r="A761" i="2"/>
  <c r="X760" i="2"/>
  <c r="S760" i="2"/>
  <c r="R760" i="2"/>
  <c r="Q760" i="2"/>
  <c r="P760" i="2"/>
  <c r="L760" i="2"/>
  <c r="K760" i="2"/>
  <c r="H760" i="2"/>
  <c r="I760" i="2" s="1"/>
  <c r="J760" i="2" s="1"/>
  <c r="C760" i="2"/>
  <c r="B760" i="2"/>
  <c r="A760" i="2"/>
  <c r="X759" i="2"/>
  <c r="S759" i="2"/>
  <c r="R759" i="2"/>
  <c r="Q759" i="2"/>
  <c r="P759" i="2"/>
  <c r="L759" i="2"/>
  <c r="K759" i="2"/>
  <c r="H759" i="2"/>
  <c r="I759" i="2" s="1"/>
  <c r="J759" i="2" s="1"/>
  <c r="C759" i="2"/>
  <c r="B759" i="2"/>
  <c r="A759" i="2"/>
  <c r="X758" i="2"/>
  <c r="S758" i="2"/>
  <c r="R758" i="2"/>
  <c r="Q758" i="2"/>
  <c r="P758" i="2"/>
  <c r="L758" i="2"/>
  <c r="K758" i="2"/>
  <c r="H758" i="2"/>
  <c r="I758" i="2" s="1"/>
  <c r="J758" i="2" s="1"/>
  <c r="C758" i="2"/>
  <c r="B758" i="2"/>
  <c r="A758" i="2"/>
  <c r="X757" i="2"/>
  <c r="S757" i="2"/>
  <c r="R757" i="2"/>
  <c r="Q757" i="2"/>
  <c r="P757" i="2"/>
  <c r="L757" i="2"/>
  <c r="K757" i="2"/>
  <c r="H757" i="2"/>
  <c r="I757" i="2" s="1"/>
  <c r="J757" i="2" s="1"/>
  <c r="C757" i="2"/>
  <c r="B757" i="2"/>
  <c r="A757" i="2"/>
  <c r="X756" i="2"/>
  <c r="S756" i="2"/>
  <c r="R756" i="2"/>
  <c r="Q756" i="2"/>
  <c r="P756" i="2"/>
  <c r="L756" i="2"/>
  <c r="K756" i="2"/>
  <c r="H756" i="2"/>
  <c r="I756" i="2" s="1"/>
  <c r="J756" i="2" s="1"/>
  <c r="C756" i="2"/>
  <c r="B756" i="2"/>
  <c r="A756" i="2"/>
  <c r="X755" i="2"/>
  <c r="S755" i="2"/>
  <c r="R755" i="2"/>
  <c r="Q755" i="2"/>
  <c r="P755" i="2"/>
  <c r="L755" i="2"/>
  <c r="K755" i="2"/>
  <c r="H755" i="2"/>
  <c r="I755" i="2" s="1"/>
  <c r="J755" i="2" s="1"/>
  <c r="C755" i="2"/>
  <c r="B755" i="2"/>
  <c r="A755" i="2"/>
  <c r="X754" i="2"/>
  <c r="S754" i="2"/>
  <c r="R754" i="2"/>
  <c r="Q754" i="2"/>
  <c r="P754" i="2"/>
  <c r="L754" i="2"/>
  <c r="K754" i="2"/>
  <c r="H754" i="2"/>
  <c r="I754" i="2" s="1"/>
  <c r="J754" i="2" s="1"/>
  <c r="C754" i="2"/>
  <c r="B754" i="2"/>
  <c r="A754" i="2"/>
  <c r="X753" i="2"/>
  <c r="S753" i="2"/>
  <c r="R753" i="2"/>
  <c r="Q753" i="2"/>
  <c r="P753" i="2"/>
  <c r="L753" i="2"/>
  <c r="K753" i="2"/>
  <c r="H753" i="2"/>
  <c r="I753" i="2" s="1"/>
  <c r="J753" i="2" s="1"/>
  <c r="C753" i="2"/>
  <c r="B753" i="2"/>
  <c r="A753" i="2"/>
  <c r="X752" i="2"/>
  <c r="S752" i="2"/>
  <c r="R752" i="2"/>
  <c r="Q752" i="2"/>
  <c r="P752" i="2"/>
  <c r="L752" i="2"/>
  <c r="K752" i="2"/>
  <c r="H752" i="2"/>
  <c r="I752" i="2" s="1"/>
  <c r="J752" i="2" s="1"/>
  <c r="C752" i="2"/>
  <c r="B752" i="2"/>
  <c r="A752" i="2"/>
  <c r="X751" i="2"/>
  <c r="S751" i="2"/>
  <c r="R751" i="2"/>
  <c r="Q751" i="2"/>
  <c r="P751" i="2"/>
  <c r="L751" i="2"/>
  <c r="K751" i="2"/>
  <c r="H751" i="2"/>
  <c r="I751" i="2" s="1"/>
  <c r="J751" i="2" s="1"/>
  <c r="C751" i="2"/>
  <c r="B751" i="2"/>
  <c r="A751" i="2"/>
  <c r="X750" i="2"/>
  <c r="S750" i="2"/>
  <c r="R750" i="2"/>
  <c r="Q750" i="2"/>
  <c r="P750" i="2"/>
  <c r="L750" i="2"/>
  <c r="K750" i="2"/>
  <c r="H750" i="2"/>
  <c r="I750" i="2" s="1"/>
  <c r="J750" i="2" s="1"/>
  <c r="C750" i="2"/>
  <c r="B750" i="2"/>
  <c r="A750" i="2"/>
  <c r="X749" i="2"/>
  <c r="S749" i="2"/>
  <c r="R749" i="2"/>
  <c r="Q749" i="2"/>
  <c r="P749" i="2"/>
  <c r="L749" i="2"/>
  <c r="K749" i="2"/>
  <c r="H749" i="2"/>
  <c r="I749" i="2" s="1"/>
  <c r="J749" i="2" s="1"/>
  <c r="C749" i="2"/>
  <c r="B749" i="2"/>
  <c r="A749" i="2"/>
  <c r="X748" i="2"/>
  <c r="S748" i="2"/>
  <c r="R748" i="2"/>
  <c r="Q748" i="2"/>
  <c r="P748" i="2"/>
  <c r="L748" i="2"/>
  <c r="K748" i="2"/>
  <c r="H748" i="2"/>
  <c r="I748" i="2" s="1"/>
  <c r="J748" i="2" s="1"/>
  <c r="C748" i="2"/>
  <c r="B748" i="2"/>
  <c r="A748" i="2"/>
  <c r="X747" i="2"/>
  <c r="S747" i="2"/>
  <c r="R747" i="2"/>
  <c r="Q747" i="2"/>
  <c r="P747" i="2"/>
  <c r="L747" i="2"/>
  <c r="K747" i="2"/>
  <c r="H747" i="2"/>
  <c r="I747" i="2" s="1"/>
  <c r="J747" i="2" s="1"/>
  <c r="C747" i="2"/>
  <c r="B747" i="2"/>
  <c r="A747" i="2"/>
  <c r="X746" i="2"/>
  <c r="S746" i="2"/>
  <c r="R746" i="2"/>
  <c r="Q746" i="2"/>
  <c r="P746" i="2"/>
  <c r="L746" i="2"/>
  <c r="K746" i="2"/>
  <c r="H746" i="2"/>
  <c r="I746" i="2" s="1"/>
  <c r="J746" i="2" s="1"/>
  <c r="C746" i="2"/>
  <c r="B746" i="2"/>
  <c r="A746" i="2"/>
  <c r="X745" i="2"/>
  <c r="S745" i="2"/>
  <c r="R745" i="2"/>
  <c r="Q745" i="2"/>
  <c r="P745" i="2"/>
  <c r="L745" i="2"/>
  <c r="K745" i="2"/>
  <c r="H745" i="2"/>
  <c r="I745" i="2" s="1"/>
  <c r="J745" i="2" s="1"/>
  <c r="C745" i="2"/>
  <c r="B745" i="2"/>
  <c r="A745" i="2"/>
  <c r="X744" i="2"/>
  <c r="S744" i="2"/>
  <c r="R744" i="2"/>
  <c r="Q744" i="2"/>
  <c r="P744" i="2"/>
  <c r="L744" i="2"/>
  <c r="K744" i="2"/>
  <c r="H744" i="2"/>
  <c r="I744" i="2" s="1"/>
  <c r="J744" i="2" s="1"/>
  <c r="C744" i="2"/>
  <c r="B744" i="2"/>
  <c r="A744" i="2"/>
  <c r="X743" i="2"/>
  <c r="S743" i="2"/>
  <c r="R743" i="2"/>
  <c r="Q743" i="2"/>
  <c r="P743" i="2"/>
  <c r="L743" i="2"/>
  <c r="K743" i="2"/>
  <c r="H743" i="2"/>
  <c r="I743" i="2" s="1"/>
  <c r="J743" i="2" s="1"/>
  <c r="C743" i="2"/>
  <c r="B743" i="2"/>
  <c r="A743" i="2"/>
  <c r="X742" i="2"/>
  <c r="S742" i="2"/>
  <c r="R742" i="2"/>
  <c r="Q742" i="2"/>
  <c r="P742" i="2"/>
  <c r="L742" i="2"/>
  <c r="K742" i="2"/>
  <c r="H742" i="2"/>
  <c r="I742" i="2" s="1"/>
  <c r="J742" i="2" s="1"/>
  <c r="C742" i="2"/>
  <c r="B742" i="2"/>
  <c r="A742" i="2"/>
  <c r="X741" i="2"/>
  <c r="S741" i="2"/>
  <c r="R741" i="2"/>
  <c r="Q741" i="2"/>
  <c r="P741" i="2"/>
  <c r="L741" i="2"/>
  <c r="K741" i="2"/>
  <c r="H741" i="2"/>
  <c r="I741" i="2" s="1"/>
  <c r="J741" i="2" s="1"/>
  <c r="C741" i="2"/>
  <c r="B741" i="2"/>
  <c r="A741" i="2"/>
  <c r="X740" i="2"/>
  <c r="S740" i="2"/>
  <c r="R740" i="2"/>
  <c r="Q740" i="2"/>
  <c r="P740" i="2"/>
  <c r="L740" i="2"/>
  <c r="K740" i="2"/>
  <c r="H740" i="2"/>
  <c r="I740" i="2" s="1"/>
  <c r="J740" i="2" s="1"/>
  <c r="C740" i="2"/>
  <c r="B740" i="2"/>
  <c r="A740" i="2"/>
  <c r="X739" i="2"/>
  <c r="S739" i="2"/>
  <c r="R739" i="2"/>
  <c r="Q739" i="2"/>
  <c r="P739" i="2"/>
  <c r="L739" i="2"/>
  <c r="K739" i="2"/>
  <c r="H739" i="2"/>
  <c r="I739" i="2" s="1"/>
  <c r="J739" i="2" s="1"/>
  <c r="C739" i="2"/>
  <c r="B739" i="2"/>
  <c r="A739" i="2"/>
  <c r="X738" i="2"/>
  <c r="S738" i="2"/>
  <c r="R738" i="2"/>
  <c r="Q738" i="2"/>
  <c r="P738" i="2"/>
  <c r="L738" i="2"/>
  <c r="K738" i="2"/>
  <c r="H738" i="2"/>
  <c r="I738" i="2" s="1"/>
  <c r="J738" i="2" s="1"/>
  <c r="C738" i="2"/>
  <c r="B738" i="2"/>
  <c r="A738" i="2"/>
  <c r="X737" i="2"/>
  <c r="S737" i="2"/>
  <c r="R737" i="2"/>
  <c r="Q737" i="2"/>
  <c r="P737" i="2"/>
  <c r="L737" i="2"/>
  <c r="K737" i="2"/>
  <c r="H737" i="2"/>
  <c r="I737" i="2" s="1"/>
  <c r="J737" i="2" s="1"/>
  <c r="C737" i="2"/>
  <c r="B737" i="2"/>
  <c r="A737" i="2"/>
  <c r="X736" i="2"/>
  <c r="S736" i="2"/>
  <c r="R736" i="2"/>
  <c r="Q736" i="2"/>
  <c r="P736" i="2"/>
  <c r="L736" i="2"/>
  <c r="K736" i="2"/>
  <c r="H736" i="2"/>
  <c r="I736" i="2" s="1"/>
  <c r="J736" i="2" s="1"/>
  <c r="C736" i="2"/>
  <c r="B736" i="2"/>
  <c r="A736" i="2"/>
  <c r="X735" i="2"/>
  <c r="S735" i="2"/>
  <c r="R735" i="2"/>
  <c r="Q735" i="2"/>
  <c r="P735" i="2"/>
  <c r="L735" i="2"/>
  <c r="K735" i="2"/>
  <c r="H735" i="2"/>
  <c r="I735" i="2" s="1"/>
  <c r="J735" i="2" s="1"/>
  <c r="C735" i="2"/>
  <c r="B735" i="2"/>
  <c r="A735" i="2"/>
  <c r="X734" i="2"/>
  <c r="S734" i="2"/>
  <c r="R734" i="2"/>
  <c r="Q734" i="2"/>
  <c r="P734" i="2"/>
  <c r="L734" i="2"/>
  <c r="K734" i="2"/>
  <c r="H734" i="2"/>
  <c r="I734" i="2" s="1"/>
  <c r="J734" i="2" s="1"/>
  <c r="C734" i="2"/>
  <c r="B734" i="2"/>
  <c r="A734" i="2"/>
  <c r="X733" i="2"/>
  <c r="S733" i="2"/>
  <c r="R733" i="2"/>
  <c r="Q733" i="2"/>
  <c r="P733" i="2"/>
  <c r="L733" i="2"/>
  <c r="K733" i="2"/>
  <c r="H733" i="2"/>
  <c r="I733" i="2" s="1"/>
  <c r="J733" i="2" s="1"/>
  <c r="C733" i="2"/>
  <c r="B733" i="2"/>
  <c r="A733" i="2"/>
  <c r="X732" i="2"/>
  <c r="S732" i="2"/>
  <c r="R732" i="2"/>
  <c r="Q732" i="2"/>
  <c r="P732" i="2"/>
  <c r="L732" i="2"/>
  <c r="K732" i="2"/>
  <c r="H732" i="2"/>
  <c r="I732" i="2" s="1"/>
  <c r="J732" i="2" s="1"/>
  <c r="C732" i="2"/>
  <c r="B732" i="2"/>
  <c r="A732" i="2"/>
  <c r="X731" i="2"/>
  <c r="S731" i="2"/>
  <c r="R731" i="2"/>
  <c r="Q731" i="2"/>
  <c r="P731" i="2"/>
  <c r="L731" i="2"/>
  <c r="K731" i="2"/>
  <c r="H731" i="2"/>
  <c r="I731" i="2" s="1"/>
  <c r="J731" i="2" s="1"/>
  <c r="C731" i="2"/>
  <c r="B731" i="2"/>
  <c r="A731" i="2"/>
  <c r="X730" i="2"/>
  <c r="S730" i="2"/>
  <c r="R730" i="2"/>
  <c r="Q730" i="2"/>
  <c r="P730" i="2"/>
  <c r="L730" i="2"/>
  <c r="K730" i="2"/>
  <c r="H730" i="2"/>
  <c r="I730" i="2" s="1"/>
  <c r="J730" i="2" s="1"/>
  <c r="C730" i="2"/>
  <c r="B730" i="2"/>
  <c r="A730" i="2"/>
  <c r="X729" i="2"/>
  <c r="S729" i="2"/>
  <c r="R729" i="2"/>
  <c r="Q729" i="2"/>
  <c r="P729" i="2"/>
  <c r="L729" i="2"/>
  <c r="K729" i="2"/>
  <c r="H729" i="2"/>
  <c r="I729" i="2" s="1"/>
  <c r="J729" i="2" s="1"/>
  <c r="C729" i="2"/>
  <c r="B729" i="2"/>
  <c r="A729" i="2"/>
  <c r="X728" i="2"/>
  <c r="S728" i="2"/>
  <c r="R728" i="2"/>
  <c r="Q728" i="2"/>
  <c r="P728" i="2"/>
  <c r="L728" i="2"/>
  <c r="K728" i="2"/>
  <c r="H728" i="2"/>
  <c r="I728" i="2" s="1"/>
  <c r="J728" i="2" s="1"/>
  <c r="C728" i="2"/>
  <c r="B728" i="2"/>
  <c r="A728" i="2"/>
  <c r="X727" i="2"/>
  <c r="S727" i="2"/>
  <c r="R727" i="2"/>
  <c r="Q727" i="2"/>
  <c r="P727" i="2"/>
  <c r="L727" i="2"/>
  <c r="K727" i="2"/>
  <c r="H727" i="2"/>
  <c r="I727" i="2" s="1"/>
  <c r="J727" i="2" s="1"/>
  <c r="C727" i="2"/>
  <c r="B727" i="2"/>
  <c r="A727" i="2"/>
  <c r="X726" i="2"/>
  <c r="S726" i="2"/>
  <c r="R726" i="2"/>
  <c r="Q726" i="2"/>
  <c r="P726" i="2"/>
  <c r="L726" i="2"/>
  <c r="K726" i="2"/>
  <c r="H726" i="2"/>
  <c r="I726" i="2" s="1"/>
  <c r="J726" i="2" s="1"/>
  <c r="C726" i="2"/>
  <c r="B726" i="2"/>
  <c r="A726" i="2"/>
  <c r="X725" i="2"/>
  <c r="S725" i="2"/>
  <c r="R725" i="2"/>
  <c r="Q725" i="2"/>
  <c r="P725" i="2"/>
  <c r="L725" i="2"/>
  <c r="K725" i="2"/>
  <c r="H725" i="2"/>
  <c r="I725" i="2" s="1"/>
  <c r="J725" i="2" s="1"/>
  <c r="C725" i="2"/>
  <c r="B725" i="2"/>
  <c r="A725" i="2"/>
  <c r="X724" i="2"/>
  <c r="S724" i="2"/>
  <c r="R724" i="2"/>
  <c r="Q724" i="2"/>
  <c r="P724" i="2"/>
  <c r="L724" i="2"/>
  <c r="K724" i="2"/>
  <c r="H724" i="2"/>
  <c r="I724" i="2" s="1"/>
  <c r="J724" i="2" s="1"/>
  <c r="C724" i="2"/>
  <c r="B724" i="2"/>
  <c r="A724" i="2"/>
  <c r="X723" i="2"/>
  <c r="S723" i="2"/>
  <c r="R723" i="2"/>
  <c r="Q723" i="2"/>
  <c r="P723" i="2"/>
  <c r="L723" i="2"/>
  <c r="K723" i="2"/>
  <c r="H723" i="2"/>
  <c r="I723" i="2" s="1"/>
  <c r="J723" i="2" s="1"/>
  <c r="C723" i="2"/>
  <c r="B723" i="2"/>
  <c r="A723" i="2"/>
  <c r="X722" i="2"/>
  <c r="S722" i="2"/>
  <c r="R722" i="2"/>
  <c r="Q722" i="2"/>
  <c r="P722" i="2"/>
  <c r="L722" i="2"/>
  <c r="K722" i="2"/>
  <c r="H722" i="2"/>
  <c r="I722" i="2" s="1"/>
  <c r="J722" i="2" s="1"/>
  <c r="C722" i="2"/>
  <c r="B722" i="2"/>
  <c r="A722" i="2"/>
  <c r="X721" i="2"/>
  <c r="S721" i="2"/>
  <c r="R721" i="2"/>
  <c r="Q721" i="2"/>
  <c r="P721" i="2"/>
  <c r="L721" i="2"/>
  <c r="K721" i="2"/>
  <c r="H721" i="2"/>
  <c r="I721" i="2" s="1"/>
  <c r="J721" i="2" s="1"/>
  <c r="C721" i="2"/>
  <c r="B721" i="2"/>
  <c r="A721" i="2"/>
  <c r="X720" i="2"/>
  <c r="S720" i="2"/>
  <c r="R720" i="2"/>
  <c r="Q720" i="2"/>
  <c r="P720" i="2"/>
  <c r="L720" i="2"/>
  <c r="K720" i="2"/>
  <c r="H720" i="2"/>
  <c r="I720" i="2" s="1"/>
  <c r="J720" i="2" s="1"/>
  <c r="C720" i="2"/>
  <c r="B720" i="2"/>
  <c r="A720" i="2"/>
  <c r="X719" i="2"/>
  <c r="S719" i="2"/>
  <c r="R719" i="2"/>
  <c r="Q719" i="2"/>
  <c r="P719" i="2"/>
  <c r="L719" i="2"/>
  <c r="K719" i="2"/>
  <c r="H719" i="2"/>
  <c r="I719" i="2" s="1"/>
  <c r="J719" i="2" s="1"/>
  <c r="C719" i="2"/>
  <c r="B719" i="2"/>
  <c r="A719" i="2"/>
  <c r="X718" i="2"/>
  <c r="S718" i="2"/>
  <c r="R718" i="2"/>
  <c r="Q718" i="2"/>
  <c r="P718" i="2"/>
  <c r="L718" i="2"/>
  <c r="K718" i="2"/>
  <c r="H718" i="2"/>
  <c r="I718" i="2" s="1"/>
  <c r="J718" i="2" s="1"/>
  <c r="C718" i="2"/>
  <c r="B718" i="2"/>
  <c r="A718" i="2"/>
  <c r="X717" i="2"/>
  <c r="S717" i="2"/>
  <c r="R717" i="2"/>
  <c r="Q717" i="2"/>
  <c r="P717" i="2"/>
  <c r="L717" i="2"/>
  <c r="K717" i="2"/>
  <c r="H717" i="2"/>
  <c r="I717" i="2" s="1"/>
  <c r="J717" i="2" s="1"/>
  <c r="C717" i="2"/>
  <c r="B717" i="2"/>
  <c r="A717" i="2"/>
  <c r="X716" i="2"/>
  <c r="S716" i="2"/>
  <c r="R716" i="2"/>
  <c r="Q716" i="2"/>
  <c r="P716" i="2"/>
  <c r="L716" i="2"/>
  <c r="K716" i="2"/>
  <c r="H716" i="2"/>
  <c r="I716" i="2" s="1"/>
  <c r="J716" i="2" s="1"/>
  <c r="C716" i="2"/>
  <c r="B716" i="2"/>
  <c r="A716" i="2"/>
  <c r="X715" i="2"/>
  <c r="S715" i="2"/>
  <c r="R715" i="2"/>
  <c r="Q715" i="2"/>
  <c r="P715" i="2"/>
  <c r="L715" i="2"/>
  <c r="K715" i="2"/>
  <c r="H715" i="2"/>
  <c r="I715" i="2" s="1"/>
  <c r="J715" i="2" s="1"/>
  <c r="C715" i="2"/>
  <c r="B715" i="2"/>
  <c r="A715" i="2"/>
  <c r="X714" i="2"/>
  <c r="S714" i="2"/>
  <c r="Q714" i="2"/>
  <c r="P714" i="2"/>
  <c r="L714" i="2"/>
  <c r="K714" i="2"/>
  <c r="H714" i="2"/>
  <c r="I714" i="2" s="1"/>
  <c r="J714" i="2" s="1"/>
  <c r="C714" i="2"/>
  <c r="B714" i="2"/>
  <c r="A714" i="2"/>
  <c r="X713" i="2"/>
  <c r="S713" i="2"/>
  <c r="R713" i="2"/>
  <c r="Q713" i="2"/>
  <c r="P713" i="2"/>
  <c r="L713" i="2"/>
  <c r="K713" i="2"/>
  <c r="H713" i="2"/>
  <c r="I713" i="2" s="1"/>
  <c r="J713" i="2" s="1"/>
  <c r="C713" i="2"/>
  <c r="B713" i="2"/>
  <c r="A713" i="2"/>
  <c r="X712" i="2"/>
  <c r="S712" i="2"/>
  <c r="R712" i="2"/>
  <c r="Q712" i="2"/>
  <c r="P712" i="2"/>
  <c r="L712" i="2"/>
  <c r="K712" i="2"/>
  <c r="H712" i="2"/>
  <c r="I712" i="2" s="1"/>
  <c r="J712" i="2" s="1"/>
  <c r="C712" i="2"/>
  <c r="B712" i="2"/>
  <c r="A712" i="2"/>
  <c r="X711" i="2"/>
  <c r="S711" i="2"/>
  <c r="R711" i="2"/>
  <c r="Q711" i="2"/>
  <c r="P711" i="2"/>
  <c r="L711" i="2"/>
  <c r="K711" i="2"/>
  <c r="H711" i="2"/>
  <c r="I711" i="2" s="1"/>
  <c r="J711" i="2" s="1"/>
  <c r="C711" i="2"/>
  <c r="B711" i="2"/>
  <c r="A711" i="2"/>
  <c r="X710" i="2"/>
  <c r="S710" i="2"/>
  <c r="R710" i="2"/>
  <c r="Q710" i="2"/>
  <c r="P710" i="2"/>
  <c r="L710" i="2"/>
  <c r="K710" i="2"/>
  <c r="H710" i="2"/>
  <c r="I710" i="2" s="1"/>
  <c r="J710" i="2" s="1"/>
  <c r="C710" i="2"/>
  <c r="B710" i="2"/>
  <c r="A710" i="2"/>
  <c r="X709" i="2"/>
  <c r="S709" i="2"/>
  <c r="R709" i="2"/>
  <c r="Q709" i="2"/>
  <c r="P709" i="2"/>
  <c r="L709" i="2"/>
  <c r="K709" i="2"/>
  <c r="H709" i="2"/>
  <c r="I709" i="2" s="1"/>
  <c r="J709" i="2" s="1"/>
  <c r="C709" i="2"/>
  <c r="B709" i="2"/>
  <c r="A709" i="2"/>
  <c r="X708" i="2"/>
  <c r="S708" i="2"/>
  <c r="R708" i="2"/>
  <c r="Q708" i="2"/>
  <c r="P708" i="2"/>
  <c r="L708" i="2"/>
  <c r="K708" i="2"/>
  <c r="H708" i="2"/>
  <c r="I708" i="2" s="1"/>
  <c r="J708" i="2" s="1"/>
  <c r="C708" i="2"/>
  <c r="B708" i="2"/>
  <c r="A708" i="2"/>
  <c r="X707" i="2"/>
  <c r="S707" i="2"/>
  <c r="R707" i="2"/>
  <c r="Q707" i="2"/>
  <c r="P707" i="2"/>
  <c r="L707" i="2"/>
  <c r="K707" i="2"/>
  <c r="H707" i="2"/>
  <c r="I707" i="2" s="1"/>
  <c r="J707" i="2" s="1"/>
  <c r="C707" i="2"/>
  <c r="B707" i="2"/>
  <c r="A707" i="2"/>
  <c r="X706" i="2"/>
  <c r="S706" i="2"/>
  <c r="R706" i="2"/>
  <c r="Q706" i="2"/>
  <c r="P706" i="2"/>
  <c r="L706" i="2"/>
  <c r="K706" i="2"/>
  <c r="H706" i="2"/>
  <c r="I706" i="2" s="1"/>
  <c r="J706" i="2" s="1"/>
  <c r="C706" i="2"/>
  <c r="B706" i="2"/>
  <c r="A706" i="2"/>
  <c r="X705" i="2"/>
  <c r="S705" i="2"/>
  <c r="R705" i="2"/>
  <c r="Q705" i="2"/>
  <c r="P705" i="2"/>
  <c r="L705" i="2"/>
  <c r="K705" i="2"/>
  <c r="H705" i="2"/>
  <c r="I705" i="2" s="1"/>
  <c r="J705" i="2" s="1"/>
  <c r="C705" i="2"/>
  <c r="B705" i="2"/>
  <c r="A705" i="2"/>
  <c r="X704" i="2"/>
  <c r="S704" i="2"/>
  <c r="R704" i="2"/>
  <c r="Q704" i="2"/>
  <c r="P704" i="2"/>
  <c r="L704" i="2"/>
  <c r="K704" i="2"/>
  <c r="H704" i="2"/>
  <c r="I704" i="2" s="1"/>
  <c r="J704" i="2" s="1"/>
  <c r="C704" i="2"/>
  <c r="B704" i="2"/>
  <c r="A704" i="2"/>
  <c r="X703" i="2"/>
  <c r="S703" i="2"/>
  <c r="R703" i="2"/>
  <c r="Q703" i="2"/>
  <c r="P703" i="2"/>
  <c r="L703" i="2"/>
  <c r="K703" i="2"/>
  <c r="H703" i="2"/>
  <c r="I703" i="2" s="1"/>
  <c r="J703" i="2" s="1"/>
  <c r="C703" i="2"/>
  <c r="B703" i="2"/>
  <c r="A703" i="2"/>
  <c r="X702" i="2"/>
  <c r="S702" i="2"/>
  <c r="R702" i="2"/>
  <c r="Q702" i="2"/>
  <c r="P702" i="2"/>
  <c r="L702" i="2"/>
  <c r="K702" i="2"/>
  <c r="H702" i="2"/>
  <c r="I702" i="2" s="1"/>
  <c r="J702" i="2" s="1"/>
  <c r="C702" i="2"/>
  <c r="B702" i="2"/>
  <c r="A702" i="2"/>
  <c r="X701" i="2"/>
  <c r="S701" i="2"/>
  <c r="R701" i="2"/>
  <c r="Q701" i="2"/>
  <c r="P701" i="2"/>
  <c r="L701" i="2"/>
  <c r="K701" i="2"/>
  <c r="H701" i="2"/>
  <c r="I701" i="2" s="1"/>
  <c r="J701" i="2" s="1"/>
  <c r="C701" i="2"/>
  <c r="B701" i="2"/>
  <c r="A701" i="2"/>
  <c r="X700" i="2"/>
  <c r="S700" i="2"/>
  <c r="R700" i="2"/>
  <c r="Q700" i="2"/>
  <c r="P700" i="2"/>
  <c r="L700" i="2"/>
  <c r="K700" i="2"/>
  <c r="H700" i="2"/>
  <c r="I700" i="2" s="1"/>
  <c r="J700" i="2" s="1"/>
  <c r="C700" i="2"/>
  <c r="B700" i="2"/>
  <c r="A700" i="2"/>
  <c r="X699" i="2"/>
  <c r="S699" i="2"/>
  <c r="R699" i="2"/>
  <c r="Q699" i="2"/>
  <c r="P699" i="2"/>
  <c r="L699" i="2"/>
  <c r="K699" i="2"/>
  <c r="H699" i="2"/>
  <c r="I699" i="2" s="1"/>
  <c r="J699" i="2" s="1"/>
  <c r="C699" i="2"/>
  <c r="B699" i="2"/>
  <c r="A699" i="2"/>
  <c r="X698" i="2"/>
  <c r="S698" i="2"/>
  <c r="R698" i="2"/>
  <c r="Q698" i="2"/>
  <c r="P698" i="2"/>
  <c r="L698" i="2"/>
  <c r="K698" i="2"/>
  <c r="H698" i="2"/>
  <c r="I698" i="2" s="1"/>
  <c r="J698" i="2" s="1"/>
  <c r="C698" i="2"/>
  <c r="B698" i="2"/>
  <c r="A698" i="2"/>
  <c r="X697" i="2"/>
  <c r="S697" i="2"/>
  <c r="R697" i="2"/>
  <c r="Q697" i="2"/>
  <c r="P697" i="2"/>
  <c r="L697" i="2"/>
  <c r="K697" i="2"/>
  <c r="H697" i="2"/>
  <c r="I697" i="2" s="1"/>
  <c r="J697" i="2" s="1"/>
  <c r="C697" i="2"/>
  <c r="B697" i="2"/>
  <c r="A697" i="2"/>
  <c r="X696" i="2"/>
  <c r="S696" i="2"/>
  <c r="R696" i="2"/>
  <c r="Q696" i="2"/>
  <c r="P696" i="2"/>
  <c r="L696" i="2"/>
  <c r="K696" i="2"/>
  <c r="H696" i="2"/>
  <c r="I696" i="2" s="1"/>
  <c r="J696" i="2" s="1"/>
  <c r="C696" i="2"/>
  <c r="B696" i="2"/>
  <c r="A696" i="2"/>
  <c r="X695" i="2"/>
  <c r="S695" i="2"/>
  <c r="R695" i="2"/>
  <c r="Q695" i="2"/>
  <c r="P695" i="2"/>
  <c r="L695" i="2"/>
  <c r="K695" i="2"/>
  <c r="H695" i="2"/>
  <c r="I695" i="2" s="1"/>
  <c r="J695" i="2" s="1"/>
  <c r="C695" i="2"/>
  <c r="B695" i="2"/>
  <c r="A695" i="2"/>
  <c r="X694" i="2"/>
  <c r="S694" i="2"/>
  <c r="R694" i="2"/>
  <c r="Q694" i="2"/>
  <c r="P694" i="2"/>
  <c r="L694" i="2"/>
  <c r="K694" i="2"/>
  <c r="H694" i="2"/>
  <c r="I694" i="2" s="1"/>
  <c r="J694" i="2" s="1"/>
  <c r="C694" i="2"/>
  <c r="B694" i="2"/>
  <c r="A694" i="2"/>
  <c r="X693" i="2"/>
  <c r="S693" i="2"/>
  <c r="R693" i="2"/>
  <c r="Q693" i="2"/>
  <c r="P693" i="2"/>
  <c r="L693" i="2"/>
  <c r="K693" i="2"/>
  <c r="H693" i="2"/>
  <c r="I693" i="2" s="1"/>
  <c r="J693" i="2" s="1"/>
  <c r="C693" i="2"/>
  <c r="B693" i="2"/>
  <c r="A693" i="2"/>
  <c r="X692" i="2"/>
  <c r="S692" i="2"/>
  <c r="R692" i="2"/>
  <c r="Q692" i="2"/>
  <c r="P692" i="2"/>
  <c r="L692" i="2"/>
  <c r="K692" i="2"/>
  <c r="H692" i="2"/>
  <c r="I692" i="2" s="1"/>
  <c r="J692" i="2" s="1"/>
  <c r="C692" i="2"/>
  <c r="B692" i="2"/>
  <c r="A692" i="2"/>
  <c r="X691" i="2"/>
  <c r="S691" i="2"/>
  <c r="R691" i="2"/>
  <c r="Q691" i="2"/>
  <c r="P691" i="2"/>
  <c r="L691" i="2"/>
  <c r="K691" i="2"/>
  <c r="H691" i="2"/>
  <c r="I691" i="2" s="1"/>
  <c r="J691" i="2" s="1"/>
  <c r="C691" i="2"/>
  <c r="B691" i="2"/>
  <c r="A691" i="2"/>
  <c r="X690" i="2"/>
  <c r="S690" i="2"/>
  <c r="R690" i="2"/>
  <c r="Q690" i="2"/>
  <c r="P690" i="2"/>
  <c r="L690" i="2"/>
  <c r="K690" i="2"/>
  <c r="H690" i="2"/>
  <c r="I690" i="2" s="1"/>
  <c r="J690" i="2" s="1"/>
  <c r="C690" i="2"/>
  <c r="B690" i="2"/>
  <c r="A690" i="2"/>
  <c r="X689" i="2"/>
  <c r="S689" i="2"/>
  <c r="R689" i="2"/>
  <c r="Q689" i="2"/>
  <c r="P689" i="2"/>
  <c r="L689" i="2"/>
  <c r="K689" i="2"/>
  <c r="H689" i="2"/>
  <c r="I689" i="2" s="1"/>
  <c r="J689" i="2" s="1"/>
  <c r="C689" i="2"/>
  <c r="B689" i="2"/>
  <c r="A689" i="2"/>
  <c r="X688" i="2"/>
  <c r="S688" i="2"/>
  <c r="R688" i="2"/>
  <c r="Q688" i="2"/>
  <c r="P688" i="2"/>
  <c r="L688" i="2"/>
  <c r="K688" i="2"/>
  <c r="H688" i="2"/>
  <c r="I688" i="2" s="1"/>
  <c r="J688" i="2" s="1"/>
  <c r="C688" i="2"/>
  <c r="B688" i="2"/>
  <c r="A688" i="2"/>
  <c r="X687" i="2"/>
  <c r="S687" i="2"/>
  <c r="R687" i="2"/>
  <c r="Q687" i="2"/>
  <c r="P687" i="2"/>
  <c r="L687" i="2"/>
  <c r="K687" i="2"/>
  <c r="H687" i="2"/>
  <c r="I687" i="2" s="1"/>
  <c r="J687" i="2" s="1"/>
  <c r="C687" i="2"/>
  <c r="B687" i="2"/>
  <c r="A687" i="2"/>
  <c r="X686" i="2"/>
  <c r="S686" i="2"/>
  <c r="R686" i="2"/>
  <c r="Q686" i="2"/>
  <c r="P686" i="2"/>
  <c r="L686" i="2"/>
  <c r="K686" i="2"/>
  <c r="H686" i="2"/>
  <c r="I686" i="2" s="1"/>
  <c r="J686" i="2" s="1"/>
  <c r="C686" i="2"/>
  <c r="B686" i="2"/>
  <c r="A686" i="2"/>
  <c r="X685" i="2"/>
  <c r="S685" i="2"/>
  <c r="R685" i="2"/>
  <c r="Q685" i="2"/>
  <c r="P685" i="2"/>
  <c r="L685" i="2"/>
  <c r="K685" i="2"/>
  <c r="H685" i="2"/>
  <c r="I685" i="2" s="1"/>
  <c r="J685" i="2" s="1"/>
  <c r="C685" i="2"/>
  <c r="B685" i="2"/>
  <c r="A685" i="2"/>
  <c r="X684" i="2"/>
  <c r="S684" i="2"/>
  <c r="R684" i="2"/>
  <c r="Q684" i="2"/>
  <c r="P684" i="2"/>
  <c r="L684" i="2"/>
  <c r="K684" i="2"/>
  <c r="H684" i="2"/>
  <c r="I684" i="2" s="1"/>
  <c r="J684" i="2" s="1"/>
  <c r="C684" i="2"/>
  <c r="B684" i="2"/>
  <c r="A684" i="2"/>
  <c r="X683" i="2"/>
  <c r="S683" i="2"/>
  <c r="R683" i="2"/>
  <c r="Q683" i="2"/>
  <c r="P683" i="2"/>
  <c r="L683" i="2"/>
  <c r="K683" i="2"/>
  <c r="H683" i="2"/>
  <c r="I683" i="2" s="1"/>
  <c r="J683" i="2" s="1"/>
  <c r="C683" i="2"/>
  <c r="B683" i="2"/>
  <c r="A683" i="2"/>
  <c r="X682" i="2"/>
  <c r="S682" i="2"/>
  <c r="R682" i="2"/>
  <c r="Q682" i="2"/>
  <c r="P682" i="2"/>
  <c r="L682" i="2"/>
  <c r="K682" i="2"/>
  <c r="H682" i="2"/>
  <c r="I682" i="2" s="1"/>
  <c r="J682" i="2" s="1"/>
  <c r="C682" i="2"/>
  <c r="B682" i="2"/>
  <c r="A682" i="2"/>
  <c r="X681" i="2"/>
  <c r="S681" i="2"/>
  <c r="R681" i="2"/>
  <c r="Q681" i="2"/>
  <c r="P681" i="2"/>
  <c r="L681" i="2"/>
  <c r="K681" i="2"/>
  <c r="H681" i="2"/>
  <c r="I681" i="2" s="1"/>
  <c r="J681" i="2" s="1"/>
  <c r="C681" i="2"/>
  <c r="B681" i="2"/>
  <c r="A681" i="2"/>
  <c r="X680" i="2"/>
  <c r="S680" i="2"/>
  <c r="R680" i="2"/>
  <c r="Q680" i="2"/>
  <c r="P680" i="2"/>
  <c r="L680" i="2"/>
  <c r="K680" i="2"/>
  <c r="H680" i="2"/>
  <c r="I680" i="2" s="1"/>
  <c r="J680" i="2" s="1"/>
  <c r="C680" i="2"/>
  <c r="B680" i="2"/>
  <c r="A680" i="2"/>
  <c r="X679" i="2"/>
  <c r="S679" i="2"/>
  <c r="R679" i="2"/>
  <c r="Q679" i="2"/>
  <c r="P679" i="2"/>
  <c r="L679" i="2"/>
  <c r="K679" i="2"/>
  <c r="H679" i="2"/>
  <c r="I679" i="2" s="1"/>
  <c r="J679" i="2" s="1"/>
  <c r="C679" i="2"/>
  <c r="B679" i="2"/>
  <c r="A679" i="2"/>
  <c r="X678" i="2"/>
  <c r="S678" i="2"/>
  <c r="R678" i="2"/>
  <c r="Q678" i="2"/>
  <c r="P678" i="2"/>
  <c r="L678" i="2"/>
  <c r="K678" i="2"/>
  <c r="H678" i="2"/>
  <c r="I678" i="2" s="1"/>
  <c r="J678" i="2" s="1"/>
  <c r="C678" i="2"/>
  <c r="B678" i="2"/>
  <c r="A678" i="2"/>
  <c r="X677" i="2"/>
  <c r="S677" i="2"/>
  <c r="R677" i="2"/>
  <c r="Q677" i="2"/>
  <c r="P677" i="2"/>
  <c r="L677" i="2"/>
  <c r="K677" i="2"/>
  <c r="H677" i="2"/>
  <c r="I677" i="2" s="1"/>
  <c r="J677" i="2" s="1"/>
  <c r="C677" i="2"/>
  <c r="B677" i="2"/>
  <c r="A677" i="2"/>
  <c r="X676" i="2"/>
  <c r="S676" i="2"/>
  <c r="R676" i="2"/>
  <c r="Q676" i="2"/>
  <c r="P676" i="2"/>
  <c r="L676" i="2"/>
  <c r="K676" i="2"/>
  <c r="H676" i="2"/>
  <c r="I676" i="2" s="1"/>
  <c r="J676" i="2" s="1"/>
  <c r="C676" i="2"/>
  <c r="B676" i="2"/>
  <c r="A676" i="2"/>
  <c r="X675" i="2"/>
  <c r="S675" i="2"/>
  <c r="R675" i="2"/>
  <c r="Q675" i="2"/>
  <c r="P675" i="2"/>
  <c r="L675" i="2"/>
  <c r="K675" i="2"/>
  <c r="H675" i="2"/>
  <c r="I675" i="2" s="1"/>
  <c r="J675" i="2" s="1"/>
  <c r="C675" i="2"/>
  <c r="B675" i="2"/>
  <c r="A675" i="2"/>
  <c r="X674" i="2"/>
  <c r="S674" i="2"/>
  <c r="R674" i="2"/>
  <c r="Q674" i="2"/>
  <c r="P674" i="2"/>
  <c r="L674" i="2"/>
  <c r="K674" i="2"/>
  <c r="H674" i="2"/>
  <c r="I674" i="2" s="1"/>
  <c r="J674" i="2" s="1"/>
  <c r="C674" i="2"/>
  <c r="B674" i="2"/>
  <c r="A674" i="2"/>
  <c r="X673" i="2"/>
  <c r="S673" i="2"/>
  <c r="R673" i="2"/>
  <c r="Q673" i="2"/>
  <c r="P673" i="2"/>
  <c r="L673" i="2"/>
  <c r="K673" i="2"/>
  <c r="H673" i="2"/>
  <c r="I673" i="2" s="1"/>
  <c r="J673" i="2" s="1"/>
  <c r="C673" i="2"/>
  <c r="B673" i="2"/>
  <c r="A673" i="2"/>
  <c r="X672" i="2"/>
  <c r="S672" i="2"/>
  <c r="R672" i="2"/>
  <c r="Q672" i="2"/>
  <c r="P672" i="2"/>
  <c r="L672" i="2"/>
  <c r="K672" i="2"/>
  <c r="H672" i="2"/>
  <c r="I672" i="2" s="1"/>
  <c r="J672" i="2" s="1"/>
  <c r="C672" i="2"/>
  <c r="B672" i="2"/>
  <c r="A672" i="2"/>
  <c r="X671" i="2"/>
  <c r="S671" i="2"/>
  <c r="R671" i="2"/>
  <c r="Q671" i="2"/>
  <c r="P671" i="2"/>
  <c r="L671" i="2"/>
  <c r="K671" i="2"/>
  <c r="H671" i="2"/>
  <c r="I671" i="2" s="1"/>
  <c r="J671" i="2" s="1"/>
  <c r="C671" i="2"/>
  <c r="B671" i="2"/>
  <c r="A671" i="2"/>
  <c r="X670" i="2"/>
  <c r="S670" i="2"/>
  <c r="R670" i="2"/>
  <c r="Q670" i="2"/>
  <c r="P670" i="2"/>
  <c r="L670" i="2"/>
  <c r="K670" i="2"/>
  <c r="H670" i="2"/>
  <c r="I670" i="2" s="1"/>
  <c r="J670" i="2" s="1"/>
  <c r="C670" i="2"/>
  <c r="B670" i="2"/>
  <c r="A670" i="2"/>
  <c r="X669" i="2"/>
  <c r="S669" i="2"/>
  <c r="R669" i="2"/>
  <c r="Q669" i="2"/>
  <c r="P669" i="2"/>
  <c r="L669" i="2"/>
  <c r="K669" i="2"/>
  <c r="H669" i="2"/>
  <c r="I669" i="2" s="1"/>
  <c r="J669" i="2" s="1"/>
  <c r="C669" i="2"/>
  <c r="B669" i="2"/>
  <c r="A669" i="2"/>
  <c r="X668" i="2"/>
  <c r="S668" i="2"/>
  <c r="R668" i="2"/>
  <c r="Q668" i="2"/>
  <c r="P668" i="2"/>
  <c r="L668" i="2"/>
  <c r="K668" i="2"/>
  <c r="H668" i="2"/>
  <c r="I668" i="2" s="1"/>
  <c r="J668" i="2" s="1"/>
  <c r="C668" i="2"/>
  <c r="B668" i="2"/>
  <c r="A668" i="2"/>
  <c r="X667" i="2"/>
  <c r="S667" i="2"/>
  <c r="R667" i="2"/>
  <c r="Q667" i="2"/>
  <c r="P667" i="2"/>
  <c r="L667" i="2"/>
  <c r="K667" i="2"/>
  <c r="H667" i="2"/>
  <c r="I667" i="2" s="1"/>
  <c r="J667" i="2" s="1"/>
  <c r="C667" i="2"/>
  <c r="B667" i="2"/>
  <c r="A667" i="2"/>
  <c r="X666" i="2"/>
  <c r="S666" i="2"/>
  <c r="R666" i="2"/>
  <c r="Q666" i="2"/>
  <c r="P666" i="2"/>
  <c r="L666" i="2"/>
  <c r="K666" i="2"/>
  <c r="H666" i="2"/>
  <c r="I666" i="2" s="1"/>
  <c r="J666" i="2" s="1"/>
  <c r="C666" i="2"/>
  <c r="B666" i="2"/>
  <c r="A666" i="2"/>
  <c r="X665" i="2"/>
  <c r="S665" i="2"/>
  <c r="R665" i="2"/>
  <c r="Q665" i="2"/>
  <c r="P665" i="2"/>
  <c r="L665" i="2"/>
  <c r="K665" i="2"/>
  <c r="H665" i="2"/>
  <c r="I665" i="2" s="1"/>
  <c r="J665" i="2" s="1"/>
  <c r="C665" i="2"/>
  <c r="B665" i="2"/>
  <c r="A665" i="2"/>
  <c r="X664" i="2"/>
  <c r="S664" i="2"/>
  <c r="R664" i="2"/>
  <c r="Q664" i="2"/>
  <c r="P664" i="2"/>
  <c r="L664" i="2"/>
  <c r="K664" i="2"/>
  <c r="H664" i="2"/>
  <c r="I664" i="2" s="1"/>
  <c r="J664" i="2" s="1"/>
  <c r="C664" i="2"/>
  <c r="B664" i="2"/>
  <c r="A664" i="2"/>
  <c r="X663" i="2"/>
  <c r="S663" i="2"/>
  <c r="R663" i="2"/>
  <c r="Q663" i="2"/>
  <c r="P663" i="2"/>
  <c r="L663" i="2"/>
  <c r="K663" i="2"/>
  <c r="H663" i="2"/>
  <c r="I663" i="2" s="1"/>
  <c r="J663" i="2" s="1"/>
  <c r="C663" i="2"/>
  <c r="B663" i="2"/>
  <c r="A663" i="2"/>
  <c r="X662" i="2"/>
  <c r="S662" i="2"/>
  <c r="R662" i="2"/>
  <c r="Q662" i="2"/>
  <c r="P662" i="2"/>
  <c r="L662" i="2"/>
  <c r="K662" i="2"/>
  <c r="H662" i="2"/>
  <c r="I662" i="2" s="1"/>
  <c r="J662" i="2" s="1"/>
  <c r="C662" i="2"/>
  <c r="B662" i="2"/>
  <c r="A662" i="2"/>
  <c r="X661" i="2"/>
  <c r="S661" i="2"/>
  <c r="R661" i="2"/>
  <c r="Q661" i="2"/>
  <c r="P661" i="2"/>
  <c r="L661" i="2"/>
  <c r="K661" i="2"/>
  <c r="H661" i="2"/>
  <c r="I661" i="2" s="1"/>
  <c r="J661" i="2" s="1"/>
  <c r="C661" i="2"/>
  <c r="B661" i="2"/>
  <c r="A661" i="2"/>
  <c r="X660" i="2"/>
  <c r="S660" i="2"/>
  <c r="R660" i="2"/>
  <c r="Q660" i="2"/>
  <c r="P660" i="2"/>
  <c r="L660" i="2"/>
  <c r="K660" i="2"/>
  <c r="H660" i="2"/>
  <c r="I660" i="2" s="1"/>
  <c r="J660" i="2" s="1"/>
  <c r="C660" i="2"/>
  <c r="B660" i="2"/>
  <c r="A660" i="2"/>
  <c r="X659" i="2"/>
  <c r="S659" i="2"/>
  <c r="R659" i="2"/>
  <c r="Q659" i="2"/>
  <c r="P659" i="2"/>
  <c r="L659" i="2"/>
  <c r="M659" i="2" s="1"/>
  <c r="K659" i="2"/>
  <c r="H659" i="2"/>
  <c r="I659" i="2" s="1"/>
  <c r="J659" i="2" s="1"/>
  <c r="C659" i="2"/>
  <c r="B659" i="2"/>
  <c r="A659" i="2"/>
  <c r="X658" i="2"/>
  <c r="S658" i="2"/>
  <c r="R658" i="2"/>
  <c r="Q658" i="2"/>
  <c r="P658" i="2"/>
  <c r="L658" i="2"/>
  <c r="K658" i="2"/>
  <c r="H658" i="2"/>
  <c r="I658" i="2" s="1"/>
  <c r="J658" i="2" s="1"/>
  <c r="C658" i="2"/>
  <c r="B658" i="2"/>
  <c r="A658" i="2"/>
  <c r="X657" i="2"/>
  <c r="S657" i="2"/>
  <c r="R657" i="2"/>
  <c r="Q657" i="2"/>
  <c r="P657" i="2"/>
  <c r="L657" i="2"/>
  <c r="K657" i="2"/>
  <c r="H657" i="2"/>
  <c r="I657" i="2" s="1"/>
  <c r="J657" i="2" s="1"/>
  <c r="C657" i="2"/>
  <c r="B657" i="2"/>
  <c r="A657" i="2"/>
  <c r="X656" i="2"/>
  <c r="S656" i="2"/>
  <c r="R656" i="2"/>
  <c r="Q656" i="2"/>
  <c r="P656" i="2"/>
  <c r="L656" i="2"/>
  <c r="K656" i="2"/>
  <c r="H656" i="2"/>
  <c r="I656" i="2" s="1"/>
  <c r="J656" i="2" s="1"/>
  <c r="C656" i="2"/>
  <c r="B656" i="2"/>
  <c r="A656" i="2"/>
  <c r="X655" i="2"/>
  <c r="S655" i="2"/>
  <c r="R655" i="2"/>
  <c r="Q655" i="2"/>
  <c r="P655" i="2"/>
  <c r="L655" i="2"/>
  <c r="K655" i="2"/>
  <c r="H655" i="2"/>
  <c r="I655" i="2" s="1"/>
  <c r="J655" i="2" s="1"/>
  <c r="C655" i="2"/>
  <c r="B655" i="2"/>
  <c r="A655" i="2"/>
  <c r="X654" i="2"/>
  <c r="S654" i="2"/>
  <c r="R654" i="2"/>
  <c r="Q654" i="2"/>
  <c r="P654" i="2"/>
  <c r="L654" i="2"/>
  <c r="K654" i="2"/>
  <c r="H654" i="2"/>
  <c r="I654" i="2" s="1"/>
  <c r="J654" i="2" s="1"/>
  <c r="C654" i="2"/>
  <c r="B654" i="2"/>
  <c r="A654" i="2"/>
  <c r="X653" i="2"/>
  <c r="S653" i="2"/>
  <c r="R653" i="2"/>
  <c r="Q653" i="2"/>
  <c r="P653" i="2"/>
  <c r="L653" i="2"/>
  <c r="K653" i="2"/>
  <c r="H653" i="2"/>
  <c r="I653" i="2" s="1"/>
  <c r="J653" i="2" s="1"/>
  <c r="C653" i="2"/>
  <c r="B653" i="2"/>
  <c r="A653" i="2"/>
  <c r="X652" i="2"/>
  <c r="S652" i="2"/>
  <c r="R652" i="2"/>
  <c r="Q652" i="2"/>
  <c r="P652" i="2"/>
  <c r="L652" i="2"/>
  <c r="K652" i="2"/>
  <c r="H652" i="2"/>
  <c r="I652" i="2" s="1"/>
  <c r="J652" i="2" s="1"/>
  <c r="C652" i="2"/>
  <c r="B652" i="2"/>
  <c r="A652" i="2"/>
  <c r="J652" i="4" s="1"/>
  <c r="X651" i="2"/>
  <c r="S651" i="2"/>
  <c r="R651" i="2"/>
  <c r="Q651" i="2"/>
  <c r="P651" i="2"/>
  <c r="L651" i="2"/>
  <c r="K651" i="2"/>
  <c r="H651" i="2"/>
  <c r="I651" i="2" s="1"/>
  <c r="J651" i="2" s="1"/>
  <c r="C651" i="2"/>
  <c r="B651" i="2"/>
  <c r="A651" i="2"/>
  <c r="J651" i="4" s="1"/>
  <c r="X650" i="2"/>
  <c r="S650" i="2"/>
  <c r="R650" i="2"/>
  <c r="Q650" i="2"/>
  <c r="P650" i="2"/>
  <c r="L650" i="2"/>
  <c r="K650" i="2"/>
  <c r="H650" i="2"/>
  <c r="I650" i="2" s="1"/>
  <c r="J650" i="2" s="1"/>
  <c r="C650" i="2"/>
  <c r="B650" i="2"/>
  <c r="A650" i="2"/>
  <c r="J650" i="4" s="1"/>
  <c r="X649" i="2"/>
  <c r="S649" i="2"/>
  <c r="R649" i="2"/>
  <c r="Q649" i="2"/>
  <c r="P649" i="2"/>
  <c r="L649" i="2"/>
  <c r="K649" i="2"/>
  <c r="H649" i="2"/>
  <c r="I649" i="2" s="1"/>
  <c r="J649" i="2" s="1"/>
  <c r="C649" i="2"/>
  <c r="B649" i="2"/>
  <c r="A649" i="2"/>
  <c r="J649" i="4" s="1"/>
  <c r="X648" i="2"/>
  <c r="S648" i="2"/>
  <c r="R648" i="2"/>
  <c r="Q648" i="2"/>
  <c r="P648" i="2"/>
  <c r="L648" i="2"/>
  <c r="K648" i="2"/>
  <c r="H648" i="2"/>
  <c r="I648" i="2" s="1"/>
  <c r="J648" i="2" s="1"/>
  <c r="C648" i="2"/>
  <c r="B648" i="2"/>
  <c r="A648" i="2"/>
  <c r="J648" i="4" s="1"/>
  <c r="X647" i="2"/>
  <c r="S647" i="2"/>
  <c r="R647" i="2"/>
  <c r="Q647" i="2"/>
  <c r="P647" i="2"/>
  <c r="L647" i="2"/>
  <c r="K647" i="2"/>
  <c r="H647" i="2"/>
  <c r="I647" i="2" s="1"/>
  <c r="J647" i="2" s="1"/>
  <c r="C647" i="2"/>
  <c r="B647" i="2"/>
  <c r="A647" i="2"/>
  <c r="J647" i="4" s="1"/>
  <c r="X646" i="2"/>
  <c r="S646" i="2"/>
  <c r="R646" i="2"/>
  <c r="Q646" i="2"/>
  <c r="P646" i="2"/>
  <c r="L646" i="2"/>
  <c r="K646" i="2"/>
  <c r="H646" i="2"/>
  <c r="I646" i="2" s="1"/>
  <c r="J646" i="2" s="1"/>
  <c r="C646" i="2"/>
  <c r="B646" i="2"/>
  <c r="A646" i="2"/>
  <c r="J646" i="4" s="1"/>
  <c r="X645" i="2"/>
  <c r="S645" i="2"/>
  <c r="R645" i="2"/>
  <c r="Q645" i="2"/>
  <c r="P645" i="2"/>
  <c r="L645" i="2"/>
  <c r="K645" i="2"/>
  <c r="H645" i="2"/>
  <c r="I645" i="2" s="1"/>
  <c r="J645" i="2" s="1"/>
  <c r="C645" i="2"/>
  <c r="B645" i="2"/>
  <c r="A645" i="2"/>
  <c r="J645" i="4" s="1"/>
  <c r="X644" i="2"/>
  <c r="S644" i="2"/>
  <c r="R644" i="2"/>
  <c r="Q644" i="2"/>
  <c r="P644" i="2"/>
  <c r="L644" i="2"/>
  <c r="K644" i="2"/>
  <c r="H644" i="2"/>
  <c r="I644" i="2" s="1"/>
  <c r="J644" i="2" s="1"/>
  <c r="C644" i="2"/>
  <c r="B644" i="2"/>
  <c r="A644" i="2"/>
  <c r="J644" i="4" s="1"/>
  <c r="X643" i="2"/>
  <c r="S643" i="2"/>
  <c r="R643" i="2"/>
  <c r="Q643" i="2"/>
  <c r="P643" i="2"/>
  <c r="L643" i="2"/>
  <c r="K643" i="2"/>
  <c r="H643" i="2"/>
  <c r="I643" i="2" s="1"/>
  <c r="J643" i="2" s="1"/>
  <c r="C643" i="2"/>
  <c r="B643" i="2"/>
  <c r="A643" i="2"/>
  <c r="J643" i="4" s="1"/>
  <c r="X642" i="2"/>
  <c r="S642" i="2"/>
  <c r="R642" i="2"/>
  <c r="Q642" i="2"/>
  <c r="P642" i="2"/>
  <c r="L642" i="2"/>
  <c r="K642" i="2"/>
  <c r="H642" i="2"/>
  <c r="I642" i="2" s="1"/>
  <c r="J642" i="2" s="1"/>
  <c r="C642" i="2"/>
  <c r="B642" i="2"/>
  <c r="A642" i="2"/>
  <c r="J642" i="4" s="1"/>
  <c r="X641" i="2"/>
  <c r="S641" i="2"/>
  <c r="R641" i="2"/>
  <c r="Q641" i="2"/>
  <c r="P641" i="2"/>
  <c r="L641" i="2"/>
  <c r="K641" i="2"/>
  <c r="H641" i="2"/>
  <c r="I641" i="2" s="1"/>
  <c r="J641" i="2" s="1"/>
  <c r="C641" i="2"/>
  <c r="B641" i="2"/>
  <c r="A641" i="2"/>
  <c r="J641" i="4" s="1"/>
  <c r="X640" i="2"/>
  <c r="S640" i="2"/>
  <c r="R640" i="2"/>
  <c r="Q640" i="2"/>
  <c r="P640" i="2"/>
  <c r="L640" i="2"/>
  <c r="K640" i="2"/>
  <c r="H640" i="2"/>
  <c r="I640" i="2" s="1"/>
  <c r="J640" i="2" s="1"/>
  <c r="C640" i="2"/>
  <c r="B640" i="2"/>
  <c r="A640" i="2"/>
  <c r="J640" i="4" s="1"/>
  <c r="X639" i="2"/>
  <c r="S639" i="2"/>
  <c r="R639" i="2"/>
  <c r="Q639" i="2"/>
  <c r="P639" i="2"/>
  <c r="L639" i="2"/>
  <c r="K639" i="2"/>
  <c r="H639" i="2"/>
  <c r="I639" i="2" s="1"/>
  <c r="J639" i="2" s="1"/>
  <c r="C639" i="2"/>
  <c r="B639" i="2"/>
  <c r="A639" i="2"/>
  <c r="J639" i="4" s="1"/>
  <c r="X638" i="2"/>
  <c r="S638" i="2"/>
  <c r="R638" i="2"/>
  <c r="Q638" i="2"/>
  <c r="P638" i="2"/>
  <c r="L638" i="2"/>
  <c r="K638" i="2"/>
  <c r="H638" i="2"/>
  <c r="I638" i="2" s="1"/>
  <c r="J638" i="2" s="1"/>
  <c r="C638" i="2"/>
  <c r="B638" i="2"/>
  <c r="A638" i="2"/>
  <c r="J638" i="4" s="1"/>
  <c r="X637" i="2"/>
  <c r="S637" i="2"/>
  <c r="R637" i="2"/>
  <c r="Q637" i="2"/>
  <c r="P637" i="2"/>
  <c r="L637" i="2"/>
  <c r="K637" i="2"/>
  <c r="H637" i="2"/>
  <c r="I637" i="2" s="1"/>
  <c r="J637" i="2" s="1"/>
  <c r="C637" i="2"/>
  <c r="B637" i="2"/>
  <c r="A637" i="2"/>
  <c r="J637" i="4" s="1"/>
  <c r="X636" i="2"/>
  <c r="S636" i="2"/>
  <c r="R636" i="2"/>
  <c r="Q636" i="2"/>
  <c r="P636" i="2"/>
  <c r="L636" i="2"/>
  <c r="K636" i="2"/>
  <c r="H636" i="2"/>
  <c r="I636" i="2" s="1"/>
  <c r="J636" i="2" s="1"/>
  <c r="C636" i="2"/>
  <c r="B636" i="2"/>
  <c r="A636" i="2"/>
  <c r="J636" i="4" s="1"/>
  <c r="X635" i="2"/>
  <c r="S635" i="2"/>
  <c r="R635" i="2"/>
  <c r="Q635" i="2"/>
  <c r="P635" i="2"/>
  <c r="L635" i="2"/>
  <c r="K635" i="2"/>
  <c r="H635" i="2"/>
  <c r="I635" i="2" s="1"/>
  <c r="J635" i="2" s="1"/>
  <c r="C635" i="2"/>
  <c r="B635" i="2"/>
  <c r="A635" i="2"/>
  <c r="J635" i="4" s="1"/>
  <c r="X634" i="2"/>
  <c r="S634" i="2"/>
  <c r="R634" i="2"/>
  <c r="Q634" i="2"/>
  <c r="P634" i="2"/>
  <c r="L634" i="2"/>
  <c r="K634" i="2"/>
  <c r="H634" i="2"/>
  <c r="I634" i="2" s="1"/>
  <c r="J634" i="2" s="1"/>
  <c r="C634" i="2"/>
  <c r="B634" i="2"/>
  <c r="A634" i="2"/>
  <c r="J634" i="4" s="1"/>
  <c r="X633" i="2"/>
  <c r="S633" i="2"/>
  <c r="R633" i="2"/>
  <c r="Q633" i="2"/>
  <c r="P633" i="2"/>
  <c r="L633" i="2"/>
  <c r="K633" i="2"/>
  <c r="H633" i="2"/>
  <c r="I633" i="2" s="1"/>
  <c r="J633" i="2" s="1"/>
  <c r="C633" i="2"/>
  <c r="B633" i="2"/>
  <c r="A633" i="2"/>
  <c r="J633" i="4" s="1"/>
  <c r="X632" i="2"/>
  <c r="S632" i="2"/>
  <c r="R632" i="2"/>
  <c r="Q632" i="2"/>
  <c r="P632" i="2"/>
  <c r="L632" i="2"/>
  <c r="K632" i="2"/>
  <c r="H632" i="2"/>
  <c r="I632" i="2" s="1"/>
  <c r="J632" i="2" s="1"/>
  <c r="C632" i="2"/>
  <c r="B632" i="2"/>
  <c r="A632" i="2"/>
  <c r="J632" i="4" s="1"/>
  <c r="X631" i="2"/>
  <c r="S631" i="2"/>
  <c r="R631" i="2"/>
  <c r="Q631" i="2"/>
  <c r="P631" i="2"/>
  <c r="L631" i="2"/>
  <c r="K631" i="2"/>
  <c r="H631" i="2"/>
  <c r="I631" i="2" s="1"/>
  <c r="J631" i="2" s="1"/>
  <c r="C631" i="2"/>
  <c r="B631" i="2"/>
  <c r="A631" i="2"/>
  <c r="J631" i="4" s="1"/>
  <c r="X630" i="2"/>
  <c r="S630" i="2"/>
  <c r="R630" i="2"/>
  <c r="Q630" i="2"/>
  <c r="P630" i="2"/>
  <c r="L630" i="2"/>
  <c r="K630" i="2"/>
  <c r="H630" i="2"/>
  <c r="I630" i="2" s="1"/>
  <c r="J630" i="2" s="1"/>
  <c r="C630" i="2"/>
  <c r="B630" i="2"/>
  <c r="A630" i="2"/>
  <c r="J630" i="4" s="1"/>
  <c r="X629" i="2"/>
  <c r="S629" i="2"/>
  <c r="R629" i="2"/>
  <c r="Q629" i="2"/>
  <c r="P629" i="2"/>
  <c r="L629" i="2"/>
  <c r="K629" i="2"/>
  <c r="H629" i="2"/>
  <c r="I629" i="2" s="1"/>
  <c r="J629" i="2" s="1"/>
  <c r="C629" i="2"/>
  <c r="B629" i="2"/>
  <c r="A629" i="2"/>
  <c r="J629" i="4" s="1"/>
  <c r="X628" i="2"/>
  <c r="S628" i="2"/>
  <c r="R628" i="2"/>
  <c r="Q628" i="2"/>
  <c r="P628" i="2"/>
  <c r="L628" i="2"/>
  <c r="K628" i="2"/>
  <c r="H628" i="2"/>
  <c r="I628" i="2" s="1"/>
  <c r="J628" i="2" s="1"/>
  <c r="C628" i="2"/>
  <c r="B628" i="2"/>
  <c r="A628" i="2"/>
  <c r="J628" i="4" s="1"/>
  <c r="X627" i="2"/>
  <c r="S627" i="2"/>
  <c r="Q627" i="2"/>
  <c r="P627" i="2"/>
  <c r="L627" i="2"/>
  <c r="K627" i="2"/>
  <c r="H627" i="2"/>
  <c r="I627" i="2" s="1"/>
  <c r="J627" i="2" s="1"/>
  <c r="C627" i="2"/>
  <c r="B627" i="2"/>
  <c r="A627" i="2"/>
  <c r="J627" i="4" s="1"/>
  <c r="X626" i="2"/>
  <c r="S626" i="2"/>
  <c r="R626" i="2"/>
  <c r="Q626" i="2"/>
  <c r="P626" i="2"/>
  <c r="L626" i="2"/>
  <c r="K626" i="2"/>
  <c r="H626" i="2"/>
  <c r="I626" i="2" s="1"/>
  <c r="J626" i="2" s="1"/>
  <c r="C626" i="2"/>
  <c r="B626" i="2"/>
  <c r="A626" i="2"/>
  <c r="J626" i="4" s="1"/>
  <c r="X625" i="2"/>
  <c r="S625" i="2"/>
  <c r="R625" i="2"/>
  <c r="Q625" i="2"/>
  <c r="P625" i="2"/>
  <c r="L625" i="2"/>
  <c r="K625" i="2"/>
  <c r="H625" i="2"/>
  <c r="I625" i="2" s="1"/>
  <c r="J625" i="2" s="1"/>
  <c r="C625" i="2"/>
  <c r="B625" i="2"/>
  <c r="A625" i="2"/>
  <c r="J625" i="4" s="1"/>
  <c r="X624" i="2"/>
  <c r="S624" i="2"/>
  <c r="R624" i="2"/>
  <c r="Q624" i="2"/>
  <c r="P624" i="2"/>
  <c r="L624" i="2"/>
  <c r="K624" i="2"/>
  <c r="H624" i="2"/>
  <c r="I624" i="2" s="1"/>
  <c r="J624" i="2" s="1"/>
  <c r="C624" i="2"/>
  <c r="B624" i="2"/>
  <c r="A624" i="2"/>
  <c r="J624" i="4" s="1"/>
  <c r="X623" i="2"/>
  <c r="S623" i="2"/>
  <c r="R623" i="2"/>
  <c r="Q623" i="2"/>
  <c r="P623" i="2"/>
  <c r="L623" i="2"/>
  <c r="K623" i="2"/>
  <c r="H623" i="2"/>
  <c r="I623" i="2" s="1"/>
  <c r="J623" i="2" s="1"/>
  <c r="C623" i="2"/>
  <c r="B623" i="2"/>
  <c r="A623" i="2"/>
  <c r="J623" i="4" s="1"/>
  <c r="X622" i="2"/>
  <c r="S622" i="2"/>
  <c r="R622" i="2"/>
  <c r="Q622" i="2"/>
  <c r="P622" i="2"/>
  <c r="L622" i="2"/>
  <c r="K622" i="2"/>
  <c r="H622" i="2"/>
  <c r="I622" i="2" s="1"/>
  <c r="J622" i="2" s="1"/>
  <c r="C622" i="2"/>
  <c r="B622" i="2"/>
  <c r="A622" i="2"/>
  <c r="J622" i="4" s="1"/>
  <c r="X621" i="2"/>
  <c r="S621" i="2"/>
  <c r="R621" i="2"/>
  <c r="Q621" i="2"/>
  <c r="P621" i="2"/>
  <c r="L621" i="2"/>
  <c r="K621" i="2"/>
  <c r="H621" i="2"/>
  <c r="I621" i="2" s="1"/>
  <c r="J621" i="2" s="1"/>
  <c r="C621" i="2"/>
  <c r="B621" i="2"/>
  <c r="A621" i="2"/>
  <c r="J621" i="4" s="1"/>
  <c r="X620" i="2"/>
  <c r="S620" i="2"/>
  <c r="R620" i="2"/>
  <c r="Q620" i="2"/>
  <c r="P620" i="2"/>
  <c r="L620" i="2"/>
  <c r="K620" i="2"/>
  <c r="H620" i="2"/>
  <c r="I620" i="2" s="1"/>
  <c r="J620" i="2" s="1"/>
  <c r="C620" i="2"/>
  <c r="B620" i="2"/>
  <c r="A620" i="2"/>
  <c r="J620" i="4" s="1"/>
  <c r="X619" i="2"/>
  <c r="S619" i="2"/>
  <c r="R619" i="2"/>
  <c r="Q619" i="2"/>
  <c r="P619" i="2"/>
  <c r="L619" i="2"/>
  <c r="K619" i="2"/>
  <c r="H619" i="2"/>
  <c r="I619" i="2" s="1"/>
  <c r="J619" i="2" s="1"/>
  <c r="C619" i="2"/>
  <c r="B619" i="2"/>
  <c r="A619" i="2"/>
  <c r="J619" i="4" s="1"/>
  <c r="X618" i="2"/>
  <c r="S618" i="2"/>
  <c r="R618" i="2"/>
  <c r="Q618" i="2"/>
  <c r="P618" i="2"/>
  <c r="L618" i="2"/>
  <c r="K618" i="2"/>
  <c r="H618" i="2"/>
  <c r="I618" i="2" s="1"/>
  <c r="J618" i="2" s="1"/>
  <c r="C618" i="2"/>
  <c r="B618" i="2"/>
  <c r="A618" i="2"/>
  <c r="J618" i="4" s="1"/>
  <c r="X617" i="2"/>
  <c r="S617" i="2"/>
  <c r="R617" i="2"/>
  <c r="Q617" i="2"/>
  <c r="P617" i="2"/>
  <c r="L617" i="2"/>
  <c r="K617" i="2"/>
  <c r="H617" i="2"/>
  <c r="I617" i="2" s="1"/>
  <c r="J617" i="2" s="1"/>
  <c r="C617" i="2"/>
  <c r="B617" i="2"/>
  <c r="A617" i="2"/>
  <c r="J617" i="4" s="1"/>
  <c r="X616" i="2"/>
  <c r="S616" i="2"/>
  <c r="R616" i="2"/>
  <c r="Q616" i="2"/>
  <c r="P616" i="2"/>
  <c r="L616" i="2"/>
  <c r="K616" i="2"/>
  <c r="H616" i="2"/>
  <c r="I616" i="2" s="1"/>
  <c r="J616" i="2" s="1"/>
  <c r="C616" i="2"/>
  <c r="B616" i="2"/>
  <c r="A616" i="2"/>
  <c r="J616" i="4" s="1"/>
  <c r="X615" i="2"/>
  <c r="S615" i="2"/>
  <c r="R615" i="2"/>
  <c r="Q615" i="2"/>
  <c r="P615" i="2"/>
  <c r="L615" i="2"/>
  <c r="K615" i="2"/>
  <c r="H615" i="2"/>
  <c r="I615" i="2" s="1"/>
  <c r="J615" i="2" s="1"/>
  <c r="C615" i="2"/>
  <c r="B615" i="2"/>
  <c r="A615" i="2"/>
  <c r="J615" i="4" s="1"/>
  <c r="X614" i="2"/>
  <c r="S614" i="2"/>
  <c r="R614" i="2"/>
  <c r="Q614" i="2"/>
  <c r="P614" i="2"/>
  <c r="L614" i="2"/>
  <c r="K614" i="2"/>
  <c r="H614" i="2"/>
  <c r="I614" i="2" s="1"/>
  <c r="J614" i="2" s="1"/>
  <c r="C614" i="2"/>
  <c r="B614" i="2"/>
  <c r="A614" i="2"/>
  <c r="J614" i="4" s="1"/>
  <c r="X613" i="2"/>
  <c r="S613" i="2"/>
  <c r="R613" i="2"/>
  <c r="Q613" i="2"/>
  <c r="P613" i="2"/>
  <c r="L613" i="2"/>
  <c r="K613" i="2"/>
  <c r="H613" i="2"/>
  <c r="I613" i="2" s="1"/>
  <c r="J613" i="2" s="1"/>
  <c r="C613" i="2"/>
  <c r="B613" i="2"/>
  <c r="A613" i="2"/>
  <c r="J613" i="4" s="1"/>
  <c r="X612" i="2"/>
  <c r="S612" i="2"/>
  <c r="R612" i="2"/>
  <c r="Q612" i="2"/>
  <c r="P612" i="2"/>
  <c r="L612" i="2"/>
  <c r="K612" i="2"/>
  <c r="H612" i="2"/>
  <c r="I612" i="2" s="1"/>
  <c r="J612" i="2" s="1"/>
  <c r="C612" i="2"/>
  <c r="B612" i="2"/>
  <c r="A612" i="2"/>
  <c r="J612" i="4" s="1"/>
  <c r="X611" i="2"/>
  <c r="S611" i="2"/>
  <c r="R611" i="2"/>
  <c r="Q611" i="2"/>
  <c r="P611" i="2"/>
  <c r="L611" i="2"/>
  <c r="K611" i="2"/>
  <c r="H611" i="2"/>
  <c r="I611" i="2" s="1"/>
  <c r="J611" i="2" s="1"/>
  <c r="C611" i="2"/>
  <c r="B611" i="2"/>
  <c r="A611" i="2"/>
  <c r="J611" i="4" s="1"/>
  <c r="X610" i="2"/>
  <c r="S610" i="2"/>
  <c r="R610" i="2"/>
  <c r="Q610" i="2"/>
  <c r="P610" i="2"/>
  <c r="L610" i="2"/>
  <c r="K610" i="2"/>
  <c r="H610" i="2"/>
  <c r="I610" i="2" s="1"/>
  <c r="J610" i="2" s="1"/>
  <c r="C610" i="2"/>
  <c r="B610" i="2"/>
  <c r="A610" i="2"/>
  <c r="J610" i="4" s="1"/>
  <c r="X609" i="2"/>
  <c r="S609" i="2"/>
  <c r="R609" i="2"/>
  <c r="Q609" i="2"/>
  <c r="P609" i="2"/>
  <c r="L609" i="2"/>
  <c r="K609" i="2"/>
  <c r="H609" i="2"/>
  <c r="I609" i="2" s="1"/>
  <c r="J609" i="2" s="1"/>
  <c r="C609" i="2"/>
  <c r="B609" i="2"/>
  <c r="A609" i="2"/>
  <c r="J609" i="4" s="1"/>
  <c r="X608" i="2"/>
  <c r="S608" i="2"/>
  <c r="R608" i="2"/>
  <c r="Q608" i="2"/>
  <c r="P608" i="2"/>
  <c r="L608" i="2"/>
  <c r="K608" i="2"/>
  <c r="H608" i="2"/>
  <c r="I608" i="2" s="1"/>
  <c r="J608" i="2" s="1"/>
  <c r="C608" i="2"/>
  <c r="B608" i="2"/>
  <c r="A608" i="2"/>
  <c r="J608" i="4" s="1"/>
  <c r="X607" i="2"/>
  <c r="S607" i="2"/>
  <c r="R607" i="2"/>
  <c r="Q607" i="2"/>
  <c r="P607" i="2"/>
  <c r="L607" i="2"/>
  <c r="K607" i="2"/>
  <c r="H607" i="2"/>
  <c r="I607" i="2" s="1"/>
  <c r="J607" i="2" s="1"/>
  <c r="C607" i="2"/>
  <c r="B607" i="2"/>
  <c r="A607" i="2"/>
  <c r="J607" i="4" s="1"/>
  <c r="X606" i="2"/>
  <c r="S606" i="2"/>
  <c r="R606" i="2"/>
  <c r="Q606" i="2"/>
  <c r="P606" i="2"/>
  <c r="L606" i="2"/>
  <c r="K606" i="2"/>
  <c r="H606" i="2"/>
  <c r="I606" i="2" s="1"/>
  <c r="J606" i="2" s="1"/>
  <c r="C606" i="2"/>
  <c r="B606" i="2"/>
  <c r="A606" i="2"/>
  <c r="J606" i="4" s="1"/>
  <c r="X605" i="2"/>
  <c r="S605" i="2"/>
  <c r="R605" i="2"/>
  <c r="Q605" i="2"/>
  <c r="P605" i="2"/>
  <c r="L605" i="2"/>
  <c r="K605" i="2"/>
  <c r="H605" i="2"/>
  <c r="I605" i="2" s="1"/>
  <c r="J605" i="2" s="1"/>
  <c r="C605" i="2"/>
  <c r="B605" i="2"/>
  <c r="A605" i="2"/>
  <c r="J605" i="4" s="1"/>
  <c r="X604" i="2"/>
  <c r="S604" i="2"/>
  <c r="R604" i="2"/>
  <c r="Q604" i="2"/>
  <c r="P604" i="2"/>
  <c r="L604" i="2"/>
  <c r="K604" i="2"/>
  <c r="H604" i="2"/>
  <c r="I604" i="2" s="1"/>
  <c r="J604" i="2" s="1"/>
  <c r="C604" i="2"/>
  <c r="B604" i="2"/>
  <c r="A604" i="2"/>
  <c r="J604" i="4" s="1"/>
  <c r="X603" i="2"/>
  <c r="S603" i="2"/>
  <c r="R603" i="2"/>
  <c r="Q603" i="2"/>
  <c r="P603" i="2"/>
  <c r="L603" i="2"/>
  <c r="K603" i="2"/>
  <c r="H603" i="2"/>
  <c r="I603" i="2" s="1"/>
  <c r="J603" i="2" s="1"/>
  <c r="C603" i="2"/>
  <c r="B603" i="2"/>
  <c r="A603" i="2"/>
  <c r="J603" i="4" s="1"/>
  <c r="X602" i="2"/>
  <c r="S602" i="2"/>
  <c r="R602" i="2"/>
  <c r="Q602" i="2"/>
  <c r="P602" i="2"/>
  <c r="L602" i="2"/>
  <c r="K602" i="2"/>
  <c r="H602" i="2"/>
  <c r="I602" i="2" s="1"/>
  <c r="J602" i="2" s="1"/>
  <c r="C602" i="2"/>
  <c r="B602" i="2"/>
  <c r="A602" i="2"/>
  <c r="J602" i="4" s="1"/>
  <c r="X601" i="2"/>
  <c r="S601" i="2"/>
  <c r="R601" i="2"/>
  <c r="Q601" i="2"/>
  <c r="P601" i="2"/>
  <c r="L601" i="2"/>
  <c r="K601" i="2"/>
  <c r="H601" i="2"/>
  <c r="I601" i="2" s="1"/>
  <c r="J601" i="2" s="1"/>
  <c r="C601" i="2"/>
  <c r="B601" i="2"/>
  <c r="A601" i="2"/>
  <c r="J601" i="4" s="1"/>
  <c r="X600" i="2"/>
  <c r="S600" i="2"/>
  <c r="R600" i="2"/>
  <c r="Q600" i="2"/>
  <c r="P600" i="2"/>
  <c r="L600" i="2"/>
  <c r="K600" i="2"/>
  <c r="H600" i="2"/>
  <c r="I600" i="2" s="1"/>
  <c r="J600" i="2" s="1"/>
  <c r="C600" i="2"/>
  <c r="B600" i="2"/>
  <c r="A600" i="2"/>
  <c r="J600" i="4" s="1"/>
  <c r="X599" i="2"/>
  <c r="S599" i="2"/>
  <c r="R599" i="2"/>
  <c r="Q599" i="2"/>
  <c r="P599" i="2"/>
  <c r="L599" i="2"/>
  <c r="K599" i="2"/>
  <c r="H599" i="2"/>
  <c r="I599" i="2" s="1"/>
  <c r="J599" i="2" s="1"/>
  <c r="C599" i="2"/>
  <c r="B599" i="2"/>
  <c r="A599" i="2"/>
  <c r="J599" i="4" s="1"/>
  <c r="X598" i="2"/>
  <c r="S598" i="2"/>
  <c r="R598" i="2"/>
  <c r="Q598" i="2"/>
  <c r="P598" i="2"/>
  <c r="L598" i="2"/>
  <c r="K598" i="2"/>
  <c r="H598" i="2"/>
  <c r="I598" i="2" s="1"/>
  <c r="J598" i="2" s="1"/>
  <c r="C598" i="2"/>
  <c r="B598" i="2"/>
  <c r="A598" i="2"/>
  <c r="J598" i="4" s="1"/>
  <c r="X597" i="2"/>
  <c r="S597" i="2"/>
  <c r="R597" i="2"/>
  <c r="Q597" i="2"/>
  <c r="P597" i="2"/>
  <c r="L597" i="2"/>
  <c r="K597" i="2"/>
  <c r="H597" i="2"/>
  <c r="I597" i="2" s="1"/>
  <c r="J597" i="2" s="1"/>
  <c r="C597" i="2"/>
  <c r="B597" i="2"/>
  <c r="A597" i="2"/>
  <c r="J597" i="4" s="1"/>
  <c r="X596" i="2"/>
  <c r="S596" i="2"/>
  <c r="R596" i="2"/>
  <c r="Q596" i="2"/>
  <c r="P596" i="2"/>
  <c r="L596" i="2"/>
  <c r="K596" i="2"/>
  <c r="H596" i="2"/>
  <c r="I596" i="2" s="1"/>
  <c r="J596" i="2" s="1"/>
  <c r="C596" i="2"/>
  <c r="B596" i="2"/>
  <c r="A596" i="2"/>
  <c r="J596" i="4" s="1"/>
  <c r="X595" i="2"/>
  <c r="S595" i="2"/>
  <c r="R595" i="2"/>
  <c r="Q595" i="2"/>
  <c r="P595" i="2"/>
  <c r="L595" i="2"/>
  <c r="K595" i="2"/>
  <c r="H595" i="2"/>
  <c r="I595" i="2" s="1"/>
  <c r="J595" i="2" s="1"/>
  <c r="C595" i="2"/>
  <c r="B595" i="2"/>
  <c r="A595" i="2"/>
  <c r="J595" i="4" s="1"/>
  <c r="X594" i="2"/>
  <c r="S594" i="2"/>
  <c r="R594" i="2"/>
  <c r="Q594" i="2"/>
  <c r="P594" i="2"/>
  <c r="L594" i="2"/>
  <c r="K594" i="2"/>
  <c r="H594" i="2"/>
  <c r="I594" i="2" s="1"/>
  <c r="J594" i="2" s="1"/>
  <c r="C594" i="2"/>
  <c r="B594" i="2"/>
  <c r="A594" i="2"/>
  <c r="J594" i="4" s="1"/>
  <c r="X593" i="2"/>
  <c r="S593" i="2"/>
  <c r="R593" i="2"/>
  <c r="Q593" i="2"/>
  <c r="P593" i="2"/>
  <c r="L593" i="2"/>
  <c r="K593" i="2"/>
  <c r="H593" i="2"/>
  <c r="I593" i="2" s="1"/>
  <c r="J593" i="2" s="1"/>
  <c r="C593" i="2"/>
  <c r="B593" i="2"/>
  <c r="A593" i="2"/>
  <c r="J593" i="4" s="1"/>
  <c r="X592" i="2"/>
  <c r="S592" i="2"/>
  <c r="R592" i="2"/>
  <c r="Q592" i="2"/>
  <c r="P592" i="2"/>
  <c r="L592" i="2"/>
  <c r="K592" i="2"/>
  <c r="H592" i="2"/>
  <c r="I592" i="2" s="1"/>
  <c r="J592" i="2" s="1"/>
  <c r="C592" i="2"/>
  <c r="B592" i="2"/>
  <c r="A592" i="2"/>
  <c r="J592" i="4" s="1"/>
  <c r="X591" i="2"/>
  <c r="S591" i="2"/>
  <c r="R591" i="2"/>
  <c r="Q591" i="2"/>
  <c r="P591" i="2"/>
  <c r="L591" i="2"/>
  <c r="K591" i="2"/>
  <c r="H591" i="2"/>
  <c r="I591" i="2" s="1"/>
  <c r="J591" i="2" s="1"/>
  <c r="C591" i="2"/>
  <c r="B591" i="2"/>
  <c r="A591" i="2"/>
  <c r="J591" i="4" s="1"/>
  <c r="X590" i="2"/>
  <c r="S590" i="2"/>
  <c r="R590" i="2"/>
  <c r="Q590" i="2"/>
  <c r="P590" i="2"/>
  <c r="L590" i="2"/>
  <c r="K590" i="2"/>
  <c r="H590" i="2"/>
  <c r="I590" i="2" s="1"/>
  <c r="J590" i="2" s="1"/>
  <c r="C590" i="2"/>
  <c r="B590" i="2"/>
  <c r="A590" i="2"/>
  <c r="J590" i="4" s="1"/>
  <c r="X589" i="2"/>
  <c r="S589" i="2"/>
  <c r="R589" i="2"/>
  <c r="Q589" i="2"/>
  <c r="P589" i="2"/>
  <c r="L589" i="2"/>
  <c r="K589" i="2"/>
  <c r="H589" i="2"/>
  <c r="I589" i="2" s="1"/>
  <c r="J589" i="2" s="1"/>
  <c r="C589" i="2"/>
  <c r="B589" i="2"/>
  <c r="A589" i="2"/>
  <c r="J589" i="4" s="1"/>
  <c r="X588" i="2"/>
  <c r="S588" i="2"/>
  <c r="R588" i="2"/>
  <c r="Q588" i="2"/>
  <c r="P588" i="2"/>
  <c r="L588" i="2"/>
  <c r="K588" i="2"/>
  <c r="H588" i="2"/>
  <c r="I588" i="2" s="1"/>
  <c r="J588" i="2" s="1"/>
  <c r="C588" i="2"/>
  <c r="B588" i="2"/>
  <c r="A588" i="2"/>
  <c r="J588" i="4" s="1"/>
  <c r="X587" i="2"/>
  <c r="S587" i="2"/>
  <c r="R587" i="2"/>
  <c r="Q587" i="2"/>
  <c r="P587" i="2"/>
  <c r="L587" i="2"/>
  <c r="K587" i="2"/>
  <c r="H587" i="2"/>
  <c r="I587" i="2" s="1"/>
  <c r="J587" i="2" s="1"/>
  <c r="C587" i="2"/>
  <c r="B587" i="2"/>
  <c r="A587" i="2"/>
  <c r="J587" i="4" s="1"/>
  <c r="X586" i="2"/>
  <c r="S586" i="2"/>
  <c r="R586" i="2"/>
  <c r="Q586" i="2"/>
  <c r="P586" i="2"/>
  <c r="L586" i="2"/>
  <c r="K586" i="2"/>
  <c r="H586" i="2"/>
  <c r="I586" i="2" s="1"/>
  <c r="J586" i="2" s="1"/>
  <c r="C586" i="2"/>
  <c r="B586" i="2"/>
  <c r="A586" i="2"/>
  <c r="X585" i="2"/>
  <c r="S585" i="2"/>
  <c r="R585" i="2"/>
  <c r="Q585" i="2"/>
  <c r="P585" i="2"/>
  <c r="L585" i="2"/>
  <c r="K585" i="2"/>
  <c r="H585" i="2"/>
  <c r="I585" i="2" s="1"/>
  <c r="J585" i="2" s="1"/>
  <c r="C585" i="2"/>
  <c r="B585" i="2"/>
  <c r="A585" i="2"/>
  <c r="X584" i="2"/>
  <c r="S584" i="2"/>
  <c r="R584" i="2"/>
  <c r="Q584" i="2"/>
  <c r="P584" i="2"/>
  <c r="L584" i="2"/>
  <c r="K584" i="2"/>
  <c r="H584" i="2"/>
  <c r="I584" i="2" s="1"/>
  <c r="J584" i="2" s="1"/>
  <c r="C584" i="2"/>
  <c r="B584" i="2"/>
  <c r="A584" i="2"/>
  <c r="X583" i="2"/>
  <c r="S583" i="2"/>
  <c r="R583" i="2"/>
  <c r="Q583" i="2"/>
  <c r="P583" i="2"/>
  <c r="L583" i="2"/>
  <c r="K583" i="2"/>
  <c r="H583" i="2"/>
  <c r="I583" i="2" s="1"/>
  <c r="J583" i="2" s="1"/>
  <c r="C583" i="2"/>
  <c r="B583" i="2"/>
  <c r="A583" i="2"/>
  <c r="X582" i="2"/>
  <c r="S582" i="2"/>
  <c r="R582" i="2"/>
  <c r="Q582" i="2"/>
  <c r="P582" i="2"/>
  <c r="L582" i="2"/>
  <c r="K582" i="2"/>
  <c r="H582" i="2"/>
  <c r="I582" i="2" s="1"/>
  <c r="J582" i="2" s="1"/>
  <c r="C582" i="2"/>
  <c r="B582" i="2"/>
  <c r="A582" i="2"/>
  <c r="X581" i="2"/>
  <c r="S581" i="2"/>
  <c r="R581" i="2"/>
  <c r="Q581" i="2"/>
  <c r="P581" i="2"/>
  <c r="L581" i="2"/>
  <c r="K581" i="2"/>
  <c r="H581" i="2"/>
  <c r="I581" i="2" s="1"/>
  <c r="J581" i="2" s="1"/>
  <c r="C581" i="2"/>
  <c r="B581" i="2"/>
  <c r="A581" i="2"/>
  <c r="X580" i="2"/>
  <c r="S580" i="2"/>
  <c r="R580" i="2"/>
  <c r="Q580" i="2"/>
  <c r="P580" i="2"/>
  <c r="L580" i="2"/>
  <c r="K580" i="2"/>
  <c r="H580" i="2"/>
  <c r="I580" i="2" s="1"/>
  <c r="J580" i="2" s="1"/>
  <c r="C580" i="2"/>
  <c r="B580" i="2"/>
  <c r="A580" i="2"/>
  <c r="X579" i="2"/>
  <c r="S579" i="2"/>
  <c r="R579" i="2"/>
  <c r="Q579" i="2"/>
  <c r="P579" i="2"/>
  <c r="L579" i="2"/>
  <c r="K579" i="2"/>
  <c r="H579" i="2"/>
  <c r="I579" i="2" s="1"/>
  <c r="J579" i="2" s="1"/>
  <c r="C579" i="2"/>
  <c r="B579" i="2"/>
  <c r="A579" i="2"/>
  <c r="X578" i="2"/>
  <c r="S578" i="2"/>
  <c r="R578" i="2"/>
  <c r="Q578" i="2"/>
  <c r="P578" i="2"/>
  <c r="L578" i="2"/>
  <c r="K578" i="2"/>
  <c r="H578" i="2"/>
  <c r="I578" i="2" s="1"/>
  <c r="J578" i="2" s="1"/>
  <c r="C578" i="2"/>
  <c r="B578" i="2"/>
  <c r="A578" i="2"/>
  <c r="X577" i="2"/>
  <c r="S577" i="2"/>
  <c r="R577" i="2"/>
  <c r="Q577" i="2"/>
  <c r="P577" i="2"/>
  <c r="L577" i="2"/>
  <c r="K577" i="2"/>
  <c r="H577" i="2"/>
  <c r="I577" i="2" s="1"/>
  <c r="J577" i="2" s="1"/>
  <c r="C577" i="2"/>
  <c r="B577" i="2"/>
  <c r="A577" i="2"/>
  <c r="X576" i="2"/>
  <c r="S576" i="2"/>
  <c r="R576" i="2"/>
  <c r="Q576" i="2"/>
  <c r="P576" i="2"/>
  <c r="L576" i="2"/>
  <c r="K576" i="2"/>
  <c r="H576" i="2"/>
  <c r="I576" i="2" s="1"/>
  <c r="J576" i="2" s="1"/>
  <c r="C576" i="2"/>
  <c r="B576" i="2"/>
  <c r="A576" i="2"/>
  <c r="X575" i="2"/>
  <c r="S575" i="2"/>
  <c r="R575" i="2"/>
  <c r="Q575" i="2"/>
  <c r="P575" i="2"/>
  <c r="L575" i="2"/>
  <c r="K575" i="2"/>
  <c r="H575" i="2"/>
  <c r="I575" i="2" s="1"/>
  <c r="J575" i="2" s="1"/>
  <c r="C575" i="2"/>
  <c r="B575" i="2"/>
  <c r="A575" i="2"/>
  <c r="X574" i="2"/>
  <c r="S574" i="2"/>
  <c r="R574" i="2"/>
  <c r="Q574" i="2"/>
  <c r="P574" i="2"/>
  <c r="L574" i="2"/>
  <c r="K574" i="2"/>
  <c r="H574" i="2"/>
  <c r="I574" i="2" s="1"/>
  <c r="J574" i="2" s="1"/>
  <c r="C574" i="2"/>
  <c r="B574" i="2"/>
  <c r="A574" i="2"/>
  <c r="X573" i="2"/>
  <c r="S573" i="2"/>
  <c r="R573" i="2"/>
  <c r="Q573" i="2"/>
  <c r="P573" i="2"/>
  <c r="L573" i="2"/>
  <c r="K573" i="2"/>
  <c r="H573" i="2"/>
  <c r="I573" i="2" s="1"/>
  <c r="J573" i="2" s="1"/>
  <c r="C573" i="2"/>
  <c r="B573" i="2"/>
  <c r="A573" i="2"/>
  <c r="X572" i="2"/>
  <c r="S572" i="2"/>
  <c r="R572" i="2"/>
  <c r="Q572" i="2"/>
  <c r="P572" i="2"/>
  <c r="L572" i="2"/>
  <c r="K572" i="2"/>
  <c r="H572" i="2"/>
  <c r="I572" i="2" s="1"/>
  <c r="J572" i="2" s="1"/>
  <c r="C572" i="2"/>
  <c r="B572" i="2"/>
  <c r="A572" i="2"/>
  <c r="X571" i="2"/>
  <c r="S571" i="2"/>
  <c r="R571" i="2"/>
  <c r="Q571" i="2"/>
  <c r="P571" i="2"/>
  <c r="L571" i="2"/>
  <c r="K571" i="2"/>
  <c r="H571" i="2"/>
  <c r="I571" i="2" s="1"/>
  <c r="J571" i="2" s="1"/>
  <c r="C571" i="2"/>
  <c r="B571" i="2"/>
  <c r="A571" i="2"/>
  <c r="X570" i="2"/>
  <c r="S570" i="2"/>
  <c r="R570" i="2"/>
  <c r="Q570" i="2"/>
  <c r="P570" i="2"/>
  <c r="L570" i="2"/>
  <c r="K570" i="2"/>
  <c r="H570" i="2"/>
  <c r="I570" i="2" s="1"/>
  <c r="J570" i="2" s="1"/>
  <c r="C570" i="2"/>
  <c r="B570" i="2"/>
  <c r="A570" i="2"/>
  <c r="X569" i="2"/>
  <c r="S569" i="2"/>
  <c r="R569" i="2"/>
  <c r="Q569" i="2"/>
  <c r="P569" i="2"/>
  <c r="L569" i="2"/>
  <c r="K569" i="2"/>
  <c r="H569" i="2"/>
  <c r="I569" i="2" s="1"/>
  <c r="J569" i="2" s="1"/>
  <c r="C569" i="2"/>
  <c r="B569" i="2"/>
  <c r="A569" i="2"/>
  <c r="X568" i="2"/>
  <c r="S568" i="2"/>
  <c r="R568" i="2"/>
  <c r="Q568" i="2"/>
  <c r="P568" i="2"/>
  <c r="L568" i="2"/>
  <c r="K568" i="2"/>
  <c r="H568" i="2"/>
  <c r="I568" i="2" s="1"/>
  <c r="J568" i="2" s="1"/>
  <c r="C568" i="2"/>
  <c r="B568" i="2"/>
  <c r="A568" i="2"/>
  <c r="X567" i="2"/>
  <c r="S567" i="2"/>
  <c r="R567" i="2"/>
  <c r="Q567" i="2"/>
  <c r="P567" i="2"/>
  <c r="L567" i="2"/>
  <c r="K567" i="2"/>
  <c r="H567" i="2"/>
  <c r="I567" i="2" s="1"/>
  <c r="J567" i="2" s="1"/>
  <c r="C567" i="2"/>
  <c r="B567" i="2"/>
  <c r="A567" i="2"/>
  <c r="X566" i="2"/>
  <c r="S566" i="2"/>
  <c r="R566" i="2"/>
  <c r="Q566" i="2"/>
  <c r="P566" i="2"/>
  <c r="L566" i="2"/>
  <c r="K566" i="2"/>
  <c r="H566" i="2"/>
  <c r="I566" i="2" s="1"/>
  <c r="J566" i="2" s="1"/>
  <c r="C566" i="2"/>
  <c r="B566" i="2"/>
  <c r="A566" i="2"/>
  <c r="X565" i="2"/>
  <c r="S565" i="2"/>
  <c r="R565" i="2"/>
  <c r="Q565" i="2"/>
  <c r="P565" i="2"/>
  <c r="L565" i="2"/>
  <c r="K565" i="2"/>
  <c r="H565" i="2"/>
  <c r="I565" i="2" s="1"/>
  <c r="J565" i="2" s="1"/>
  <c r="C565" i="2"/>
  <c r="B565" i="2"/>
  <c r="A565" i="2"/>
  <c r="X564" i="2"/>
  <c r="S564" i="2"/>
  <c r="R564" i="2"/>
  <c r="Q564" i="2"/>
  <c r="P564" i="2"/>
  <c r="L564" i="2"/>
  <c r="K564" i="2"/>
  <c r="H564" i="2"/>
  <c r="I564" i="2" s="1"/>
  <c r="J564" i="2" s="1"/>
  <c r="C564" i="2"/>
  <c r="B564" i="2"/>
  <c r="A564" i="2"/>
  <c r="X563" i="2"/>
  <c r="S563" i="2"/>
  <c r="R563" i="2"/>
  <c r="Q563" i="2"/>
  <c r="P563" i="2"/>
  <c r="L563" i="2"/>
  <c r="K563" i="2"/>
  <c r="H563" i="2"/>
  <c r="I563" i="2" s="1"/>
  <c r="J563" i="2" s="1"/>
  <c r="C563" i="2"/>
  <c r="B563" i="2"/>
  <c r="A563" i="2"/>
  <c r="X562" i="2"/>
  <c r="S562" i="2"/>
  <c r="R562" i="2"/>
  <c r="Q562" i="2"/>
  <c r="P562" i="2"/>
  <c r="L562" i="2"/>
  <c r="K562" i="2"/>
  <c r="H562" i="2"/>
  <c r="I562" i="2" s="1"/>
  <c r="J562" i="2" s="1"/>
  <c r="C562" i="2"/>
  <c r="B562" i="2"/>
  <c r="A562" i="2"/>
  <c r="X561" i="2"/>
  <c r="S561" i="2"/>
  <c r="R561" i="2"/>
  <c r="Q561" i="2"/>
  <c r="P561" i="2"/>
  <c r="L561" i="2"/>
  <c r="K561" i="2"/>
  <c r="H561" i="2"/>
  <c r="I561" i="2" s="1"/>
  <c r="J561" i="2" s="1"/>
  <c r="C561" i="2"/>
  <c r="B561" i="2"/>
  <c r="A561" i="2"/>
  <c r="X560" i="2"/>
  <c r="S560" i="2"/>
  <c r="R560" i="2"/>
  <c r="Q560" i="2"/>
  <c r="P560" i="2"/>
  <c r="L560" i="2"/>
  <c r="K560" i="2"/>
  <c r="H560" i="2"/>
  <c r="I560" i="2" s="1"/>
  <c r="J560" i="2" s="1"/>
  <c r="C560" i="2"/>
  <c r="B560" i="2"/>
  <c r="A560" i="2"/>
  <c r="X559" i="2"/>
  <c r="S559" i="2"/>
  <c r="R559" i="2"/>
  <c r="Q559" i="2"/>
  <c r="P559" i="2"/>
  <c r="L559" i="2"/>
  <c r="K559" i="2"/>
  <c r="H559" i="2"/>
  <c r="I559" i="2" s="1"/>
  <c r="J559" i="2" s="1"/>
  <c r="C559" i="2"/>
  <c r="B559" i="2"/>
  <c r="A559" i="2"/>
  <c r="X558" i="2"/>
  <c r="S558" i="2"/>
  <c r="R558" i="2"/>
  <c r="Q558" i="2"/>
  <c r="P558" i="2"/>
  <c r="L558" i="2"/>
  <c r="K558" i="2"/>
  <c r="H558" i="2"/>
  <c r="I558" i="2" s="1"/>
  <c r="J558" i="2" s="1"/>
  <c r="C558" i="2"/>
  <c r="B558" i="2"/>
  <c r="A558" i="2"/>
  <c r="X557" i="2"/>
  <c r="S557" i="2"/>
  <c r="R557" i="2"/>
  <c r="Q557" i="2"/>
  <c r="P557" i="2"/>
  <c r="L557" i="2"/>
  <c r="K557" i="2"/>
  <c r="H557" i="2"/>
  <c r="I557" i="2" s="1"/>
  <c r="J557" i="2" s="1"/>
  <c r="C557" i="2"/>
  <c r="B557" i="2"/>
  <c r="A557" i="2"/>
  <c r="X556" i="2"/>
  <c r="S556" i="2"/>
  <c r="R556" i="2"/>
  <c r="Q556" i="2"/>
  <c r="P556" i="2"/>
  <c r="L556" i="2"/>
  <c r="K556" i="2"/>
  <c r="H556" i="2"/>
  <c r="I556" i="2" s="1"/>
  <c r="J556" i="2" s="1"/>
  <c r="C556" i="2"/>
  <c r="B556" i="2"/>
  <c r="A556" i="2"/>
  <c r="X555" i="2"/>
  <c r="S555" i="2"/>
  <c r="R555" i="2"/>
  <c r="Q555" i="2"/>
  <c r="P555" i="2"/>
  <c r="L555" i="2"/>
  <c r="K555" i="2"/>
  <c r="H555" i="2"/>
  <c r="I555" i="2" s="1"/>
  <c r="J555" i="2" s="1"/>
  <c r="C555" i="2"/>
  <c r="B555" i="2"/>
  <c r="A555" i="2"/>
  <c r="X554" i="2"/>
  <c r="S554" i="2"/>
  <c r="R554" i="2"/>
  <c r="Q554" i="2"/>
  <c r="P554" i="2"/>
  <c r="L554" i="2"/>
  <c r="K554" i="2"/>
  <c r="H554" i="2"/>
  <c r="I554" i="2" s="1"/>
  <c r="J554" i="2" s="1"/>
  <c r="C554" i="2"/>
  <c r="B554" i="2"/>
  <c r="A554" i="2"/>
  <c r="X553" i="2"/>
  <c r="S553" i="2"/>
  <c r="R553" i="2"/>
  <c r="Q553" i="2"/>
  <c r="P553" i="2"/>
  <c r="L553" i="2"/>
  <c r="K553" i="2"/>
  <c r="H553" i="2"/>
  <c r="I553" i="2" s="1"/>
  <c r="J553" i="2" s="1"/>
  <c r="C553" i="2"/>
  <c r="B553" i="2"/>
  <c r="A553" i="2"/>
  <c r="X552" i="2"/>
  <c r="S552" i="2"/>
  <c r="R552" i="2"/>
  <c r="Q552" i="2"/>
  <c r="P552" i="2"/>
  <c r="L552" i="2"/>
  <c r="K552" i="2"/>
  <c r="H552" i="2"/>
  <c r="I552" i="2" s="1"/>
  <c r="J552" i="2" s="1"/>
  <c r="C552" i="2"/>
  <c r="B552" i="2"/>
  <c r="A552" i="2"/>
  <c r="X551" i="2"/>
  <c r="S551" i="2"/>
  <c r="R551" i="2"/>
  <c r="Q551" i="2"/>
  <c r="P551" i="2"/>
  <c r="L551" i="2"/>
  <c r="K551" i="2"/>
  <c r="H551" i="2"/>
  <c r="I551" i="2" s="1"/>
  <c r="J551" i="2" s="1"/>
  <c r="C551" i="2"/>
  <c r="B551" i="2"/>
  <c r="A551" i="2"/>
  <c r="X550" i="2"/>
  <c r="S550" i="2"/>
  <c r="R550" i="2"/>
  <c r="Q550" i="2"/>
  <c r="P550" i="2"/>
  <c r="L550" i="2"/>
  <c r="K550" i="2"/>
  <c r="H550" i="2"/>
  <c r="I550" i="2" s="1"/>
  <c r="J550" i="2" s="1"/>
  <c r="C550" i="2"/>
  <c r="B550" i="2"/>
  <c r="A550" i="2"/>
  <c r="X549" i="2"/>
  <c r="S549" i="2"/>
  <c r="R549" i="2"/>
  <c r="Q549" i="2"/>
  <c r="P549" i="2"/>
  <c r="L549" i="2"/>
  <c r="K549" i="2"/>
  <c r="H549" i="2"/>
  <c r="I549" i="2" s="1"/>
  <c r="J549" i="2" s="1"/>
  <c r="C549" i="2"/>
  <c r="B549" i="2"/>
  <c r="A549" i="2"/>
  <c r="X548" i="2"/>
  <c r="S548" i="2"/>
  <c r="R548" i="2"/>
  <c r="Q548" i="2"/>
  <c r="P548" i="2"/>
  <c r="L548" i="2"/>
  <c r="K548" i="2"/>
  <c r="H548" i="2"/>
  <c r="I548" i="2" s="1"/>
  <c r="J548" i="2" s="1"/>
  <c r="C548" i="2"/>
  <c r="B548" i="2"/>
  <c r="A548" i="2"/>
  <c r="X547" i="2"/>
  <c r="S547" i="2"/>
  <c r="R547" i="2"/>
  <c r="Q547" i="2"/>
  <c r="P547" i="2"/>
  <c r="L547" i="2"/>
  <c r="K547" i="2"/>
  <c r="H547" i="2"/>
  <c r="I547" i="2" s="1"/>
  <c r="J547" i="2" s="1"/>
  <c r="C547" i="2"/>
  <c r="B547" i="2"/>
  <c r="A547" i="2"/>
  <c r="X546" i="2"/>
  <c r="S546" i="2"/>
  <c r="R546" i="2"/>
  <c r="Q546" i="2"/>
  <c r="P546" i="2"/>
  <c r="L546" i="2"/>
  <c r="K546" i="2"/>
  <c r="H546" i="2"/>
  <c r="I546" i="2" s="1"/>
  <c r="J546" i="2" s="1"/>
  <c r="C546" i="2"/>
  <c r="B546" i="2"/>
  <c r="A546" i="2"/>
  <c r="X545" i="2"/>
  <c r="S545" i="2"/>
  <c r="R545" i="2"/>
  <c r="Q545" i="2"/>
  <c r="P545" i="2"/>
  <c r="L545" i="2"/>
  <c r="K545" i="2"/>
  <c r="H545" i="2"/>
  <c r="I545" i="2" s="1"/>
  <c r="J545" i="2" s="1"/>
  <c r="C545" i="2"/>
  <c r="B545" i="2"/>
  <c r="A545" i="2"/>
  <c r="X544" i="2"/>
  <c r="S544" i="2"/>
  <c r="R544" i="2"/>
  <c r="Q544" i="2"/>
  <c r="P544" i="2"/>
  <c r="L544" i="2"/>
  <c r="K544" i="2"/>
  <c r="H544" i="2"/>
  <c r="I544" i="2" s="1"/>
  <c r="J544" i="2" s="1"/>
  <c r="C544" i="2"/>
  <c r="B544" i="2"/>
  <c r="A544" i="2"/>
  <c r="X543" i="2"/>
  <c r="S543" i="2"/>
  <c r="R543" i="2"/>
  <c r="Q543" i="2"/>
  <c r="P543" i="2"/>
  <c r="L543" i="2"/>
  <c r="K543" i="2"/>
  <c r="H543" i="2"/>
  <c r="I543" i="2" s="1"/>
  <c r="J543" i="2" s="1"/>
  <c r="C543" i="2"/>
  <c r="B543" i="2"/>
  <c r="A543" i="2"/>
  <c r="X542" i="2"/>
  <c r="S542" i="2"/>
  <c r="R542" i="2"/>
  <c r="Q542" i="2"/>
  <c r="P542" i="2"/>
  <c r="L542" i="2"/>
  <c r="K542" i="2"/>
  <c r="H542" i="2"/>
  <c r="I542" i="2" s="1"/>
  <c r="J542" i="2" s="1"/>
  <c r="C542" i="2"/>
  <c r="B542" i="2"/>
  <c r="A542" i="2"/>
  <c r="X541" i="2"/>
  <c r="S541" i="2"/>
  <c r="R541" i="2"/>
  <c r="Q541" i="2"/>
  <c r="P541" i="2"/>
  <c r="L541" i="2"/>
  <c r="K541" i="2"/>
  <c r="H541" i="2"/>
  <c r="I541" i="2" s="1"/>
  <c r="J541" i="2" s="1"/>
  <c r="C541" i="2"/>
  <c r="B541" i="2"/>
  <c r="A541" i="2"/>
  <c r="X540" i="2"/>
  <c r="S540" i="2"/>
  <c r="Q540" i="2"/>
  <c r="P540" i="2"/>
  <c r="L540" i="2"/>
  <c r="K540" i="2"/>
  <c r="H540" i="2"/>
  <c r="I540" i="2" s="1"/>
  <c r="J540" i="2" s="1"/>
  <c r="C540" i="2"/>
  <c r="B540" i="2"/>
  <c r="A540" i="2"/>
  <c r="X539" i="2"/>
  <c r="S539" i="2"/>
  <c r="R539" i="2"/>
  <c r="Q539" i="2"/>
  <c r="P539" i="2"/>
  <c r="L539" i="2"/>
  <c r="K539" i="2"/>
  <c r="H539" i="2"/>
  <c r="I539" i="2" s="1"/>
  <c r="J539" i="2" s="1"/>
  <c r="C539" i="2"/>
  <c r="B539" i="2"/>
  <c r="A539" i="2"/>
  <c r="X538" i="2"/>
  <c r="S538" i="2"/>
  <c r="R538" i="2"/>
  <c r="Q538" i="2"/>
  <c r="P538" i="2"/>
  <c r="L538" i="2"/>
  <c r="K538" i="2"/>
  <c r="H538" i="2"/>
  <c r="I538" i="2" s="1"/>
  <c r="J538" i="2" s="1"/>
  <c r="C538" i="2"/>
  <c r="B538" i="2"/>
  <c r="A538" i="2"/>
  <c r="X537" i="2"/>
  <c r="S537" i="2"/>
  <c r="R537" i="2"/>
  <c r="Q537" i="2"/>
  <c r="P537" i="2"/>
  <c r="L537" i="2"/>
  <c r="K537" i="2"/>
  <c r="H537" i="2"/>
  <c r="I537" i="2" s="1"/>
  <c r="J537" i="2" s="1"/>
  <c r="C537" i="2"/>
  <c r="B537" i="2"/>
  <c r="A537" i="2"/>
  <c r="X536" i="2"/>
  <c r="S536" i="2"/>
  <c r="R536" i="2"/>
  <c r="Q536" i="2"/>
  <c r="P536" i="2"/>
  <c r="L536" i="2"/>
  <c r="K536" i="2"/>
  <c r="H536" i="2"/>
  <c r="I536" i="2" s="1"/>
  <c r="J536" i="2" s="1"/>
  <c r="C536" i="2"/>
  <c r="B536" i="2"/>
  <c r="A536" i="2"/>
  <c r="X535" i="2"/>
  <c r="S535" i="2"/>
  <c r="R535" i="2"/>
  <c r="Q535" i="2"/>
  <c r="P535" i="2"/>
  <c r="L535" i="2"/>
  <c r="K535" i="2"/>
  <c r="H535" i="2"/>
  <c r="I535" i="2" s="1"/>
  <c r="J535" i="2" s="1"/>
  <c r="C535" i="2"/>
  <c r="B535" i="2"/>
  <c r="A535" i="2"/>
  <c r="X534" i="2"/>
  <c r="S534" i="2"/>
  <c r="R534" i="2"/>
  <c r="Q534" i="2"/>
  <c r="P534" i="2"/>
  <c r="L534" i="2"/>
  <c r="K534" i="2"/>
  <c r="H534" i="2"/>
  <c r="I534" i="2" s="1"/>
  <c r="J534" i="2" s="1"/>
  <c r="C534" i="2"/>
  <c r="B534" i="2"/>
  <c r="A534" i="2"/>
  <c r="X533" i="2"/>
  <c r="S533" i="2"/>
  <c r="R533" i="2"/>
  <c r="Q533" i="2"/>
  <c r="P533" i="2"/>
  <c r="L533" i="2"/>
  <c r="K533" i="2"/>
  <c r="H533" i="2"/>
  <c r="I533" i="2" s="1"/>
  <c r="J533" i="2" s="1"/>
  <c r="C533" i="2"/>
  <c r="B533" i="2"/>
  <c r="A533" i="2"/>
  <c r="X532" i="2"/>
  <c r="S532" i="2"/>
  <c r="R532" i="2"/>
  <c r="Q532" i="2"/>
  <c r="P532" i="2"/>
  <c r="L532" i="2"/>
  <c r="K532" i="2"/>
  <c r="H532" i="2"/>
  <c r="I532" i="2" s="1"/>
  <c r="J532" i="2" s="1"/>
  <c r="C532" i="2"/>
  <c r="B532" i="2"/>
  <c r="A532" i="2"/>
  <c r="X531" i="2"/>
  <c r="S531" i="2"/>
  <c r="R531" i="2"/>
  <c r="Q531" i="2"/>
  <c r="P531" i="2"/>
  <c r="L531" i="2"/>
  <c r="K531" i="2"/>
  <c r="H531" i="2"/>
  <c r="I531" i="2" s="1"/>
  <c r="J531" i="2" s="1"/>
  <c r="C531" i="2"/>
  <c r="B531" i="2"/>
  <c r="A531" i="2"/>
  <c r="X530" i="2"/>
  <c r="S530" i="2"/>
  <c r="R530" i="2"/>
  <c r="Q530" i="2"/>
  <c r="P530" i="2"/>
  <c r="L530" i="2"/>
  <c r="K530" i="2"/>
  <c r="H530" i="2"/>
  <c r="I530" i="2" s="1"/>
  <c r="J530" i="2" s="1"/>
  <c r="C530" i="2"/>
  <c r="B530" i="2"/>
  <c r="A530" i="2"/>
  <c r="X529" i="2"/>
  <c r="S529" i="2"/>
  <c r="R529" i="2"/>
  <c r="Q529" i="2"/>
  <c r="P529" i="2"/>
  <c r="L529" i="2"/>
  <c r="K529" i="2"/>
  <c r="H529" i="2"/>
  <c r="I529" i="2" s="1"/>
  <c r="J529" i="2" s="1"/>
  <c r="C529" i="2"/>
  <c r="B529" i="2"/>
  <c r="A529" i="2"/>
  <c r="X528" i="2"/>
  <c r="S528" i="2"/>
  <c r="R528" i="2"/>
  <c r="Q528" i="2"/>
  <c r="P528" i="2"/>
  <c r="L528" i="2"/>
  <c r="K528" i="2"/>
  <c r="H528" i="2"/>
  <c r="I528" i="2" s="1"/>
  <c r="J528" i="2" s="1"/>
  <c r="C528" i="2"/>
  <c r="B528" i="2"/>
  <c r="A528" i="2"/>
  <c r="X527" i="2"/>
  <c r="S527" i="2"/>
  <c r="R527" i="2"/>
  <c r="Q527" i="2"/>
  <c r="P527" i="2"/>
  <c r="L527" i="2"/>
  <c r="K527" i="2"/>
  <c r="H527" i="2"/>
  <c r="I527" i="2" s="1"/>
  <c r="J527" i="2" s="1"/>
  <c r="C527" i="2"/>
  <c r="B527" i="2"/>
  <c r="A527" i="2"/>
  <c r="X526" i="2"/>
  <c r="S526" i="2"/>
  <c r="R526" i="2"/>
  <c r="Q526" i="2"/>
  <c r="P526" i="2"/>
  <c r="L526" i="2"/>
  <c r="K526" i="2"/>
  <c r="H526" i="2"/>
  <c r="I526" i="2" s="1"/>
  <c r="J526" i="2" s="1"/>
  <c r="C526" i="2"/>
  <c r="B526" i="2"/>
  <c r="A526" i="2"/>
  <c r="X525" i="2"/>
  <c r="S525" i="2"/>
  <c r="R525" i="2"/>
  <c r="Q525" i="2"/>
  <c r="P525" i="2"/>
  <c r="L525" i="2"/>
  <c r="K525" i="2"/>
  <c r="H525" i="2"/>
  <c r="I525" i="2" s="1"/>
  <c r="J525" i="2" s="1"/>
  <c r="C525" i="2"/>
  <c r="B525" i="2"/>
  <c r="A525" i="2"/>
  <c r="X524" i="2"/>
  <c r="S524" i="2"/>
  <c r="R524" i="2"/>
  <c r="Q524" i="2"/>
  <c r="P524" i="2"/>
  <c r="L524" i="2"/>
  <c r="K524" i="2"/>
  <c r="H524" i="2"/>
  <c r="I524" i="2" s="1"/>
  <c r="J524" i="2" s="1"/>
  <c r="C524" i="2"/>
  <c r="B524" i="2"/>
  <c r="A524" i="2"/>
  <c r="X523" i="2"/>
  <c r="S523" i="2"/>
  <c r="R523" i="2"/>
  <c r="Q523" i="2"/>
  <c r="P523" i="2"/>
  <c r="L523" i="2"/>
  <c r="K523" i="2"/>
  <c r="H523" i="2"/>
  <c r="I523" i="2" s="1"/>
  <c r="J523" i="2" s="1"/>
  <c r="C523" i="2"/>
  <c r="B523" i="2"/>
  <c r="A523" i="2"/>
  <c r="X522" i="2"/>
  <c r="S522" i="2"/>
  <c r="R522" i="2"/>
  <c r="Q522" i="2"/>
  <c r="P522" i="2"/>
  <c r="L522" i="2"/>
  <c r="K522" i="2"/>
  <c r="H522" i="2"/>
  <c r="I522" i="2" s="1"/>
  <c r="J522" i="2" s="1"/>
  <c r="C522" i="2"/>
  <c r="B522" i="2"/>
  <c r="A522" i="2"/>
  <c r="X521" i="2"/>
  <c r="S521" i="2"/>
  <c r="R521" i="2"/>
  <c r="Q521" i="2"/>
  <c r="P521" i="2"/>
  <c r="L521" i="2"/>
  <c r="K521" i="2"/>
  <c r="H521" i="2"/>
  <c r="I521" i="2" s="1"/>
  <c r="J521" i="2" s="1"/>
  <c r="C521" i="2"/>
  <c r="B521" i="2"/>
  <c r="A521" i="2"/>
  <c r="X520" i="2"/>
  <c r="S520" i="2"/>
  <c r="R520" i="2"/>
  <c r="Q520" i="2"/>
  <c r="P520" i="2"/>
  <c r="L520" i="2"/>
  <c r="K520" i="2"/>
  <c r="H520" i="2"/>
  <c r="I520" i="2" s="1"/>
  <c r="J520" i="2" s="1"/>
  <c r="C520" i="2"/>
  <c r="B520" i="2"/>
  <c r="A520" i="2"/>
  <c r="X519" i="2"/>
  <c r="S519" i="2"/>
  <c r="R519" i="2"/>
  <c r="Q519" i="2"/>
  <c r="P519" i="2"/>
  <c r="L519" i="2"/>
  <c r="K519" i="2"/>
  <c r="H519" i="2"/>
  <c r="I519" i="2" s="1"/>
  <c r="J519" i="2" s="1"/>
  <c r="C519" i="2"/>
  <c r="B519" i="2"/>
  <c r="A519" i="2"/>
  <c r="X518" i="2"/>
  <c r="S518" i="2"/>
  <c r="R518" i="2"/>
  <c r="Q518" i="2"/>
  <c r="P518" i="2"/>
  <c r="L518" i="2"/>
  <c r="K518" i="2"/>
  <c r="H518" i="2"/>
  <c r="I518" i="2" s="1"/>
  <c r="J518" i="2" s="1"/>
  <c r="C518" i="2"/>
  <c r="B518" i="2"/>
  <c r="A518" i="2"/>
  <c r="X517" i="2"/>
  <c r="S517" i="2"/>
  <c r="R517" i="2"/>
  <c r="Q517" i="2"/>
  <c r="P517" i="2"/>
  <c r="L517" i="2"/>
  <c r="K517" i="2"/>
  <c r="H517" i="2"/>
  <c r="I517" i="2" s="1"/>
  <c r="J517" i="2" s="1"/>
  <c r="C517" i="2"/>
  <c r="B517" i="2"/>
  <c r="A517" i="2"/>
  <c r="X516" i="2"/>
  <c r="S516" i="2"/>
  <c r="R516" i="2"/>
  <c r="Q516" i="2"/>
  <c r="P516" i="2"/>
  <c r="L516" i="2"/>
  <c r="K516" i="2"/>
  <c r="H516" i="2"/>
  <c r="I516" i="2" s="1"/>
  <c r="J516" i="2" s="1"/>
  <c r="C516" i="2"/>
  <c r="B516" i="2"/>
  <c r="A516" i="2"/>
  <c r="X515" i="2"/>
  <c r="S515" i="2"/>
  <c r="R515" i="2"/>
  <c r="Q515" i="2"/>
  <c r="P515" i="2"/>
  <c r="L515" i="2"/>
  <c r="K515" i="2"/>
  <c r="H515" i="2"/>
  <c r="I515" i="2" s="1"/>
  <c r="J515" i="2" s="1"/>
  <c r="C515" i="2"/>
  <c r="B515" i="2"/>
  <c r="A515" i="2"/>
  <c r="X514" i="2"/>
  <c r="S514" i="2"/>
  <c r="R514" i="2"/>
  <c r="Q514" i="2"/>
  <c r="P514" i="2"/>
  <c r="L514" i="2"/>
  <c r="K514" i="2"/>
  <c r="H514" i="2"/>
  <c r="I514" i="2" s="1"/>
  <c r="J514" i="2" s="1"/>
  <c r="C514" i="2"/>
  <c r="B514" i="2"/>
  <c r="A514" i="2"/>
  <c r="X513" i="2"/>
  <c r="S513" i="2"/>
  <c r="R513" i="2"/>
  <c r="Q513" i="2"/>
  <c r="P513" i="2"/>
  <c r="L513" i="2"/>
  <c r="K513" i="2"/>
  <c r="H513" i="2"/>
  <c r="I513" i="2" s="1"/>
  <c r="J513" i="2" s="1"/>
  <c r="C513" i="2"/>
  <c r="B513" i="2"/>
  <c r="A513" i="2"/>
  <c r="X512" i="2"/>
  <c r="S512" i="2"/>
  <c r="R512" i="2"/>
  <c r="Q512" i="2"/>
  <c r="P512" i="2"/>
  <c r="L512" i="2"/>
  <c r="K512" i="2"/>
  <c r="H512" i="2"/>
  <c r="I512" i="2" s="1"/>
  <c r="J512" i="2" s="1"/>
  <c r="C512" i="2"/>
  <c r="B512" i="2"/>
  <c r="A512" i="2"/>
  <c r="X511" i="2"/>
  <c r="S511" i="2"/>
  <c r="R511" i="2"/>
  <c r="Q511" i="2"/>
  <c r="P511" i="2"/>
  <c r="L511" i="2"/>
  <c r="K511" i="2"/>
  <c r="H511" i="2"/>
  <c r="I511" i="2" s="1"/>
  <c r="J511" i="2" s="1"/>
  <c r="C511" i="2"/>
  <c r="B511" i="2"/>
  <c r="A511" i="2"/>
  <c r="X510" i="2"/>
  <c r="S510" i="2"/>
  <c r="R510" i="2"/>
  <c r="Q510" i="2"/>
  <c r="P510" i="2"/>
  <c r="L510" i="2"/>
  <c r="K510" i="2"/>
  <c r="H510" i="2"/>
  <c r="I510" i="2" s="1"/>
  <c r="J510" i="2" s="1"/>
  <c r="C510" i="2"/>
  <c r="B510" i="2"/>
  <c r="A510" i="2"/>
  <c r="X509" i="2"/>
  <c r="S509" i="2"/>
  <c r="R509" i="2"/>
  <c r="Q509" i="2"/>
  <c r="P509" i="2"/>
  <c r="L509" i="2"/>
  <c r="K509" i="2"/>
  <c r="H509" i="2"/>
  <c r="I509" i="2" s="1"/>
  <c r="J509" i="2" s="1"/>
  <c r="C509" i="2"/>
  <c r="B509" i="2"/>
  <c r="A509" i="2"/>
  <c r="X508" i="2"/>
  <c r="S508" i="2"/>
  <c r="R508" i="2"/>
  <c r="Q508" i="2"/>
  <c r="P508" i="2"/>
  <c r="L508" i="2"/>
  <c r="K508" i="2"/>
  <c r="H508" i="2"/>
  <c r="I508" i="2" s="1"/>
  <c r="J508" i="2" s="1"/>
  <c r="C508" i="2"/>
  <c r="B508" i="2"/>
  <c r="A508" i="2"/>
  <c r="X507" i="2"/>
  <c r="S507" i="2"/>
  <c r="R507" i="2"/>
  <c r="Q507" i="2"/>
  <c r="P507" i="2"/>
  <c r="L507" i="2"/>
  <c r="K507" i="2"/>
  <c r="H507" i="2"/>
  <c r="I507" i="2" s="1"/>
  <c r="J507" i="2" s="1"/>
  <c r="C507" i="2"/>
  <c r="B507" i="2"/>
  <c r="A507" i="2"/>
  <c r="X506" i="2"/>
  <c r="S506" i="2"/>
  <c r="R506" i="2"/>
  <c r="Q506" i="2"/>
  <c r="P506" i="2"/>
  <c r="L506" i="2"/>
  <c r="K506" i="2"/>
  <c r="H506" i="2"/>
  <c r="I506" i="2" s="1"/>
  <c r="J506" i="2" s="1"/>
  <c r="C506" i="2"/>
  <c r="B506" i="2"/>
  <c r="A506" i="2"/>
  <c r="X505" i="2"/>
  <c r="S505" i="2"/>
  <c r="R505" i="2"/>
  <c r="Q505" i="2"/>
  <c r="P505" i="2"/>
  <c r="L505" i="2"/>
  <c r="K505" i="2"/>
  <c r="H505" i="2"/>
  <c r="I505" i="2" s="1"/>
  <c r="J505" i="2" s="1"/>
  <c r="C505" i="2"/>
  <c r="B505" i="2"/>
  <c r="A505" i="2"/>
  <c r="X504" i="2"/>
  <c r="S504" i="2"/>
  <c r="R504" i="2"/>
  <c r="Q504" i="2"/>
  <c r="P504" i="2"/>
  <c r="L504" i="2"/>
  <c r="K504" i="2"/>
  <c r="H504" i="2"/>
  <c r="I504" i="2" s="1"/>
  <c r="J504" i="2" s="1"/>
  <c r="C504" i="2"/>
  <c r="B504" i="2"/>
  <c r="A504" i="2"/>
  <c r="X503" i="2"/>
  <c r="S503" i="2"/>
  <c r="R503" i="2"/>
  <c r="Q503" i="2"/>
  <c r="P503" i="2"/>
  <c r="L503" i="2"/>
  <c r="K503" i="2"/>
  <c r="H503" i="2"/>
  <c r="I503" i="2" s="1"/>
  <c r="J503" i="2" s="1"/>
  <c r="C503" i="2"/>
  <c r="B503" i="2"/>
  <c r="A503" i="2"/>
  <c r="X502" i="2"/>
  <c r="S502" i="2"/>
  <c r="R502" i="2"/>
  <c r="Q502" i="2"/>
  <c r="P502" i="2"/>
  <c r="L502" i="2"/>
  <c r="K502" i="2"/>
  <c r="H502" i="2"/>
  <c r="I502" i="2" s="1"/>
  <c r="J502" i="2" s="1"/>
  <c r="C502" i="2"/>
  <c r="B502" i="2"/>
  <c r="A502" i="2"/>
  <c r="X501" i="2"/>
  <c r="S501" i="2"/>
  <c r="R501" i="2"/>
  <c r="Q501" i="2"/>
  <c r="P501" i="2"/>
  <c r="L501" i="2"/>
  <c r="K501" i="2"/>
  <c r="H501" i="2"/>
  <c r="I501" i="2" s="1"/>
  <c r="J501" i="2" s="1"/>
  <c r="C501" i="2"/>
  <c r="B501" i="2"/>
  <c r="A501" i="2"/>
  <c r="X500" i="2"/>
  <c r="S500" i="2"/>
  <c r="R500" i="2"/>
  <c r="Q500" i="2"/>
  <c r="P500" i="2"/>
  <c r="L500" i="2"/>
  <c r="K500" i="2"/>
  <c r="H500" i="2"/>
  <c r="I500" i="2" s="1"/>
  <c r="J500" i="2" s="1"/>
  <c r="C500" i="2"/>
  <c r="B500" i="2"/>
  <c r="A500" i="2"/>
  <c r="X499" i="2"/>
  <c r="S499" i="2"/>
  <c r="R499" i="2"/>
  <c r="Q499" i="2"/>
  <c r="P499" i="2"/>
  <c r="L499" i="2"/>
  <c r="K499" i="2"/>
  <c r="H499" i="2"/>
  <c r="I499" i="2" s="1"/>
  <c r="J499" i="2" s="1"/>
  <c r="C499" i="2"/>
  <c r="B499" i="2"/>
  <c r="A499" i="2"/>
  <c r="X498" i="2"/>
  <c r="S498" i="2"/>
  <c r="R498" i="2"/>
  <c r="Q498" i="2"/>
  <c r="P498" i="2"/>
  <c r="L498" i="2"/>
  <c r="K498" i="2"/>
  <c r="H498" i="2"/>
  <c r="I498" i="2" s="1"/>
  <c r="J498" i="2" s="1"/>
  <c r="C498" i="2"/>
  <c r="B498" i="2"/>
  <c r="A498" i="2"/>
  <c r="X497" i="2"/>
  <c r="S497" i="2"/>
  <c r="R497" i="2"/>
  <c r="Q497" i="2"/>
  <c r="P497" i="2"/>
  <c r="L497" i="2"/>
  <c r="K497" i="2"/>
  <c r="H497" i="2"/>
  <c r="I497" i="2" s="1"/>
  <c r="J497" i="2" s="1"/>
  <c r="C497" i="2"/>
  <c r="B497" i="2"/>
  <c r="A497" i="2"/>
  <c r="X496" i="2"/>
  <c r="S496" i="2"/>
  <c r="R496" i="2"/>
  <c r="Q496" i="2"/>
  <c r="P496" i="2"/>
  <c r="L496" i="2"/>
  <c r="K496" i="2"/>
  <c r="H496" i="2"/>
  <c r="I496" i="2" s="1"/>
  <c r="J496" i="2" s="1"/>
  <c r="C496" i="2"/>
  <c r="B496" i="2"/>
  <c r="A496" i="2"/>
  <c r="X495" i="2"/>
  <c r="S495" i="2"/>
  <c r="R495" i="2"/>
  <c r="Q495" i="2"/>
  <c r="P495" i="2"/>
  <c r="L495" i="2"/>
  <c r="K495" i="2"/>
  <c r="H495" i="2"/>
  <c r="I495" i="2" s="1"/>
  <c r="J495" i="2" s="1"/>
  <c r="C495" i="2"/>
  <c r="B495" i="2"/>
  <c r="A495" i="2"/>
  <c r="X494" i="2"/>
  <c r="S494" i="2"/>
  <c r="R494" i="2"/>
  <c r="Q494" i="2"/>
  <c r="P494" i="2"/>
  <c r="L494" i="2"/>
  <c r="K494" i="2"/>
  <c r="H494" i="2"/>
  <c r="I494" i="2" s="1"/>
  <c r="J494" i="2" s="1"/>
  <c r="C494" i="2"/>
  <c r="B494" i="2"/>
  <c r="A494" i="2"/>
  <c r="X493" i="2"/>
  <c r="S493" i="2"/>
  <c r="R493" i="2"/>
  <c r="Q493" i="2"/>
  <c r="P493" i="2"/>
  <c r="L493" i="2"/>
  <c r="K493" i="2"/>
  <c r="H493" i="2"/>
  <c r="I493" i="2" s="1"/>
  <c r="J493" i="2" s="1"/>
  <c r="C493" i="2"/>
  <c r="B493" i="2"/>
  <c r="A493" i="2"/>
  <c r="X492" i="2"/>
  <c r="S492" i="2"/>
  <c r="R492" i="2"/>
  <c r="Q492" i="2"/>
  <c r="P492" i="2"/>
  <c r="L492" i="2"/>
  <c r="K492" i="2"/>
  <c r="H492" i="2"/>
  <c r="I492" i="2" s="1"/>
  <c r="J492" i="2" s="1"/>
  <c r="C492" i="2"/>
  <c r="B492" i="2"/>
  <c r="A492" i="2"/>
  <c r="X491" i="2"/>
  <c r="S491" i="2"/>
  <c r="R491" i="2"/>
  <c r="Q491" i="2"/>
  <c r="P491" i="2"/>
  <c r="L491" i="2"/>
  <c r="K491" i="2"/>
  <c r="H491" i="2"/>
  <c r="I491" i="2" s="1"/>
  <c r="J491" i="2" s="1"/>
  <c r="C491" i="2"/>
  <c r="B491" i="2"/>
  <c r="A491" i="2"/>
  <c r="X490" i="2"/>
  <c r="S490" i="2"/>
  <c r="R490" i="2"/>
  <c r="Q490" i="2"/>
  <c r="P490" i="2"/>
  <c r="L490" i="2"/>
  <c r="K490" i="2"/>
  <c r="H490" i="2"/>
  <c r="I490" i="2" s="1"/>
  <c r="J490" i="2" s="1"/>
  <c r="C490" i="2"/>
  <c r="B490" i="2"/>
  <c r="A490" i="2"/>
  <c r="X489" i="2"/>
  <c r="S489" i="2"/>
  <c r="R489" i="2"/>
  <c r="Q489" i="2"/>
  <c r="P489" i="2"/>
  <c r="L489" i="2"/>
  <c r="K489" i="2"/>
  <c r="H489" i="2"/>
  <c r="I489" i="2" s="1"/>
  <c r="J489" i="2" s="1"/>
  <c r="C489" i="2"/>
  <c r="B489" i="2"/>
  <c r="A489" i="2"/>
  <c r="J489" i="4" s="1"/>
  <c r="X488" i="2"/>
  <c r="S488" i="2"/>
  <c r="R488" i="2"/>
  <c r="Q488" i="2"/>
  <c r="P488" i="2"/>
  <c r="L488" i="2"/>
  <c r="K488" i="2"/>
  <c r="H488" i="2"/>
  <c r="I488" i="2" s="1"/>
  <c r="J488" i="2" s="1"/>
  <c r="C488" i="2"/>
  <c r="B488" i="2"/>
  <c r="A488" i="2"/>
  <c r="J488" i="4" s="1"/>
  <c r="X487" i="2"/>
  <c r="S487" i="2"/>
  <c r="R487" i="2"/>
  <c r="Q487" i="2"/>
  <c r="P487" i="2"/>
  <c r="L487" i="2"/>
  <c r="K487" i="2"/>
  <c r="H487" i="2"/>
  <c r="I487" i="2" s="1"/>
  <c r="J487" i="2" s="1"/>
  <c r="C487" i="2"/>
  <c r="B487" i="2"/>
  <c r="A487" i="2"/>
  <c r="J487" i="4" s="1"/>
  <c r="X486" i="2"/>
  <c r="S486" i="2"/>
  <c r="R486" i="2"/>
  <c r="Q486" i="2"/>
  <c r="P486" i="2"/>
  <c r="L486" i="2"/>
  <c r="K486" i="2"/>
  <c r="H486" i="2"/>
  <c r="I486" i="2" s="1"/>
  <c r="J486" i="2" s="1"/>
  <c r="C486" i="2"/>
  <c r="B486" i="2"/>
  <c r="A486" i="2"/>
  <c r="J486" i="4" s="1"/>
  <c r="X485" i="2"/>
  <c r="S485" i="2"/>
  <c r="R485" i="2"/>
  <c r="Q485" i="2"/>
  <c r="P485" i="2"/>
  <c r="L485" i="2"/>
  <c r="K485" i="2"/>
  <c r="H485" i="2"/>
  <c r="I485" i="2" s="1"/>
  <c r="J485" i="2" s="1"/>
  <c r="C485" i="2"/>
  <c r="B485" i="2"/>
  <c r="A485" i="2"/>
  <c r="J485" i="4" s="1"/>
  <c r="X484" i="2"/>
  <c r="S484" i="2"/>
  <c r="R484" i="2"/>
  <c r="Q484" i="2"/>
  <c r="P484" i="2"/>
  <c r="L484" i="2"/>
  <c r="K484" i="2"/>
  <c r="H484" i="2"/>
  <c r="I484" i="2" s="1"/>
  <c r="J484" i="2" s="1"/>
  <c r="C484" i="2"/>
  <c r="B484" i="2"/>
  <c r="A484" i="2"/>
  <c r="J484" i="4" s="1"/>
  <c r="X483" i="2"/>
  <c r="S483" i="2"/>
  <c r="R483" i="2"/>
  <c r="Q483" i="2"/>
  <c r="P483" i="2"/>
  <c r="L483" i="2"/>
  <c r="K483" i="2"/>
  <c r="H483" i="2"/>
  <c r="I483" i="2" s="1"/>
  <c r="J483" i="2" s="1"/>
  <c r="C483" i="2"/>
  <c r="B483" i="2"/>
  <c r="A483" i="2"/>
  <c r="J483" i="4" s="1"/>
  <c r="X482" i="2"/>
  <c r="S482" i="2"/>
  <c r="R482" i="2"/>
  <c r="Q482" i="2"/>
  <c r="P482" i="2"/>
  <c r="L482" i="2"/>
  <c r="K482" i="2"/>
  <c r="H482" i="2"/>
  <c r="I482" i="2" s="1"/>
  <c r="J482" i="2" s="1"/>
  <c r="C482" i="2"/>
  <c r="B482" i="2"/>
  <c r="A482" i="2"/>
  <c r="J482" i="4" s="1"/>
  <c r="X481" i="2"/>
  <c r="S481" i="2"/>
  <c r="R481" i="2"/>
  <c r="Q481" i="2"/>
  <c r="P481" i="2"/>
  <c r="L481" i="2"/>
  <c r="K481" i="2"/>
  <c r="H481" i="2"/>
  <c r="I481" i="2" s="1"/>
  <c r="J481" i="2" s="1"/>
  <c r="C481" i="2"/>
  <c r="B481" i="2"/>
  <c r="A481" i="2"/>
  <c r="J481" i="4" s="1"/>
  <c r="X480" i="2"/>
  <c r="S480" i="2"/>
  <c r="R480" i="2"/>
  <c r="Q480" i="2"/>
  <c r="P480" i="2"/>
  <c r="L480" i="2"/>
  <c r="K480" i="2"/>
  <c r="H480" i="2"/>
  <c r="I480" i="2" s="1"/>
  <c r="J480" i="2" s="1"/>
  <c r="C480" i="2"/>
  <c r="B480" i="2"/>
  <c r="A480" i="2"/>
  <c r="J480" i="4" s="1"/>
  <c r="X479" i="2"/>
  <c r="S479" i="2"/>
  <c r="R479" i="2"/>
  <c r="Q479" i="2"/>
  <c r="P479" i="2"/>
  <c r="L479" i="2"/>
  <c r="K479" i="2"/>
  <c r="H479" i="2"/>
  <c r="I479" i="2" s="1"/>
  <c r="J479" i="2" s="1"/>
  <c r="C479" i="2"/>
  <c r="B479" i="2"/>
  <c r="A479" i="2"/>
  <c r="J479" i="4" s="1"/>
  <c r="X478" i="2"/>
  <c r="S478" i="2"/>
  <c r="R478" i="2"/>
  <c r="Q478" i="2"/>
  <c r="P478" i="2"/>
  <c r="L478" i="2"/>
  <c r="K478" i="2"/>
  <c r="H478" i="2"/>
  <c r="I478" i="2" s="1"/>
  <c r="J478" i="2" s="1"/>
  <c r="C478" i="2"/>
  <c r="B478" i="2"/>
  <c r="A478" i="2"/>
  <c r="J478" i="4" s="1"/>
  <c r="X477" i="2"/>
  <c r="S477" i="2"/>
  <c r="R477" i="2"/>
  <c r="Q477" i="2"/>
  <c r="P477" i="2"/>
  <c r="L477" i="2"/>
  <c r="K477" i="2"/>
  <c r="H477" i="2"/>
  <c r="I477" i="2" s="1"/>
  <c r="J477" i="2" s="1"/>
  <c r="C477" i="2"/>
  <c r="B477" i="2"/>
  <c r="A477" i="2"/>
  <c r="J477" i="4" s="1"/>
  <c r="X476" i="2"/>
  <c r="S476" i="2"/>
  <c r="R476" i="2"/>
  <c r="Q476" i="2"/>
  <c r="P476" i="2"/>
  <c r="L476" i="2"/>
  <c r="K476" i="2"/>
  <c r="H476" i="2"/>
  <c r="I476" i="2" s="1"/>
  <c r="J476" i="2" s="1"/>
  <c r="C476" i="2"/>
  <c r="B476" i="2"/>
  <c r="A476" i="2"/>
  <c r="J476" i="4" s="1"/>
  <c r="X475" i="2"/>
  <c r="S475" i="2"/>
  <c r="R475" i="2"/>
  <c r="Q475" i="2"/>
  <c r="P475" i="2"/>
  <c r="L475" i="2"/>
  <c r="K475" i="2"/>
  <c r="H475" i="2"/>
  <c r="I475" i="2" s="1"/>
  <c r="J475" i="2" s="1"/>
  <c r="C475" i="2"/>
  <c r="B475" i="2"/>
  <c r="A475" i="2"/>
  <c r="J475" i="4" s="1"/>
  <c r="X474" i="2"/>
  <c r="S474" i="2"/>
  <c r="R474" i="2"/>
  <c r="Q474" i="2"/>
  <c r="P474" i="2"/>
  <c r="L474" i="2"/>
  <c r="K474" i="2"/>
  <c r="H474" i="2"/>
  <c r="I474" i="2" s="1"/>
  <c r="J474" i="2" s="1"/>
  <c r="C474" i="2"/>
  <c r="B474" i="2"/>
  <c r="A474" i="2"/>
  <c r="J474" i="4" s="1"/>
  <c r="X473" i="2"/>
  <c r="S473" i="2"/>
  <c r="R473" i="2"/>
  <c r="Q473" i="2"/>
  <c r="P473" i="2"/>
  <c r="L473" i="2"/>
  <c r="K473" i="2"/>
  <c r="H473" i="2"/>
  <c r="I473" i="2" s="1"/>
  <c r="J473" i="2" s="1"/>
  <c r="C473" i="2"/>
  <c r="B473" i="2"/>
  <c r="A473" i="2"/>
  <c r="J473" i="4" s="1"/>
  <c r="X472" i="2"/>
  <c r="S472" i="2"/>
  <c r="R472" i="2"/>
  <c r="Q472" i="2"/>
  <c r="P472" i="2"/>
  <c r="L472" i="2"/>
  <c r="K472" i="2"/>
  <c r="H472" i="2"/>
  <c r="I472" i="2" s="1"/>
  <c r="J472" i="2" s="1"/>
  <c r="C472" i="2"/>
  <c r="B472" i="2"/>
  <c r="A472" i="2"/>
  <c r="J472" i="4" s="1"/>
  <c r="X471" i="2"/>
  <c r="S471" i="2"/>
  <c r="R471" i="2"/>
  <c r="Q471" i="2"/>
  <c r="P471" i="2"/>
  <c r="L471" i="2"/>
  <c r="K471" i="2"/>
  <c r="H471" i="2"/>
  <c r="I471" i="2" s="1"/>
  <c r="J471" i="2" s="1"/>
  <c r="C471" i="2"/>
  <c r="B471" i="2"/>
  <c r="A471" i="2"/>
  <c r="J471" i="4" s="1"/>
  <c r="X470" i="2"/>
  <c r="S470" i="2"/>
  <c r="R470" i="2"/>
  <c r="Q470" i="2"/>
  <c r="P470" i="2"/>
  <c r="L470" i="2"/>
  <c r="K470" i="2"/>
  <c r="H470" i="2"/>
  <c r="I470" i="2" s="1"/>
  <c r="J470" i="2" s="1"/>
  <c r="C470" i="2"/>
  <c r="B470" i="2"/>
  <c r="A470" i="2"/>
  <c r="J470" i="4" s="1"/>
  <c r="X469" i="2"/>
  <c r="S469" i="2"/>
  <c r="R469" i="2"/>
  <c r="Q469" i="2"/>
  <c r="P469" i="2"/>
  <c r="L469" i="2"/>
  <c r="K469" i="2"/>
  <c r="H469" i="2"/>
  <c r="I469" i="2" s="1"/>
  <c r="J469" i="2" s="1"/>
  <c r="C469" i="2"/>
  <c r="B469" i="2"/>
  <c r="A469" i="2"/>
  <c r="J469" i="4" s="1"/>
  <c r="X468" i="2"/>
  <c r="S468" i="2"/>
  <c r="R468" i="2"/>
  <c r="Q468" i="2"/>
  <c r="P468" i="2"/>
  <c r="L468" i="2"/>
  <c r="K468" i="2"/>
  <c r="H468" i="2"/>
  <c r="I468" i="2" s="1"/>
  <c r="J468" i="2" s="1"/>
  <c r="C468" i="2"/>
  <c r="B468" i="2"/>
  <c r="A468" i="2"/>
  <c r="J468" i="4" s="1"/>
  <c r="X467" i="2"/>
  <c r="S467" i="2"/>
  <c r="R467" i="2"/>
  <c r="Q467" i="2"/>
  <c r="P467" i="2"/>
  <c r="L467" i="2"/>
  <c r="K467" i="2"/>
  <c r="H467" i="2"/>
  <c r="I467" i="2" s="1"/>
  <c r="J467" i="2" s="1"/>
  <c r="C467" i="2"/>
  <c r="B467" i="2"/>
  <c r="A467" i="2"/>
  <c r="J467" i="4" s="1"/>
  <c r="X466" i="2"/>
  <c r="S466" i="2"/>
  <c r="R466" i="2"/>
  <c r="Q466" i="2"/>
  <c r="P466" i="2"/>
  <c r="L466" i="2"/>
  <c r="K466" i="2"/>
  <c r="H466" i="2"/>
  <c r="I466" i="2" s="1"/>
  <c r="J466" i="2" s="1"/>
  <c r="C466" i="2"/>
  <c r="B466" i="2"/>
  <c r="A466" i="2"/>
  <c r="J466" i="4" s="1"/>
  <c r="X465" i="2"/>
  <c r="S465" i="2"/>
  <c r="R465" i="2"/>
  <c r="Q465" i="2"/>
  <c r="P465" i="2"/>
  <c r="L465" i="2"/>
  <c r="K465" i="2"/>
  <c r="H465" i="2"/>
  <c r="I465" i="2" s="1"/>
  <c r="J465" i="2" s="1"/>
  <c r="C465" i="2"/>
  <c r="B465" i="2"/>
  <c r="A465" i="2"/>
  <c r="J465" i="4" s="1"/>
  <c r="X464" i="2"/>
  <c r="S464" i="2"/>
  <c r="R464" i="2"/>
  <c r="Q464" i="2"/>
  <c r="P464" i="2"/>
  <c r="L464" i="2"/>
  <c r="K464" i="2"/>
  <c r="H464" i="2"/>
  <c r="I464" i="2" s="1"/>
  <c r="J464" i="2" s="1"/>
  <c r="C464" i="2"/>
  <c r="B464" i="2"/>
  <c r="A464" i="2"/>
  <c r="J464" i="4" s="1"/>
  <c r="X463" i="2"/>
  <c r="S463" i="2"/>
  <c r="R463" i="2"/>
  <c r="Q463" i="2"/>
  <c r="P463" i="2"/>
  <c r="L463" i="2"/>
  <c r="K463" i="2"/>
  <c r="H463" i="2"/>
  <c r="I463" i="2" s="1"/>
  <c r="J463" i="2" s="1"/>
  <c r="C463" i="2"/>
  <c r="B463" i="2"/>
  <c r="A463" i="2"/>
  <c r="J463" i="4" s="1"/>
  <c r="X462" i="2"/>
  <c r="S462" i="2"/>
  <c r="R462" i="2"/>
  <c r="Q462" i="2"/>
  <c r="P462" i="2"/>
  <c r="L462" i="2"/>
  <c r="K462" i="2"/>
  <c r="H462" i="2"/>
  <c r="I462" i="2" s="1"/>
  <c r="J462" i="2" s="1"/>
  <c r="C462" i="2"/>
  <c r="B462" i="2"/>
  <c r="A462" i="2"/>
  <c r="J462" i="4" s="1"/>
  <c r="X461" i="2"/>
  <c r="S461" i="2"/>
  <c r="R461" i="2"/>
  <c r="Q461" i="2"/>
  <c r="P461" i="2"/>
  <c r="L461" i="2"/>
  <c r="K461" i="2"/>
  <c r="H461" i="2"/>
  <c r="I461" i="2" s="1"/>
  <c r="J461" i="2" s="1"/>
  <c r="C461" i="2"/>
  <c r="B461" i="2"/>
  <c r="A461" i="2"/>
  <c r="J461" i="4" s="1"/>
  <c r="X460" i="2"/>
  <c r="S460" i="2"/>
  <c r="R460" i="2"/>
  <c r="Q460" i="2"/>
  <c r="P460" i="2"/>
  <c r="L460" i="2"/>
  <c r="K460" i="2"/>
  <c r="H460" i="2"/>
  <c r="I460" i="2" s="1"/>
  <c r="J460" i="2" s="1"/>
  <c r="C460" i="2"/>
  <c r="B460" i="2"/>
  <c r="A460" i="2"/>
  <c r="J460" i="4" s="1"/>
  <c r="X459" i="2"/>
  <c r="S459" i="2"/>
  <c r="R459" i="2"/>
  <c r="Q459" i="2"/>
  <c r="P459" i="2"/>
  <c r="L459" i="2"/>
  <c r="K459" i="2"/>
  <c r="H459" i="2"/>
  <c r="I459" i="2" s="1"/>
  <c r="J459" i="2" s="1"/>
  <c r="C459" i="2"/>
  <c r="B459" i="2"/>
  <c r="A459" i="2"/>
  <c r="J459" i="4" s="1"/>
  <c r="X458" i="2"/>
  <c r="S458" i="2"/>
  <c r="R458" i="2"/>
  <c r="Q458" i="2"/>
  <c r="P458" i="2"/>
  <c r="L458" i="2"/>
  <c r="K458" i="2"/>
  <c r="H458" i="2"/>
  <c r="I458" i="2" s="1"/>
  <c r="J458" i="2" s="1"/>
  <c r="C458" i="2"/>
  <c r="B458" i="2"/>
  <c r="A458" i="2"/>
  <c r="J458" i="4" s="1"/>
  <c r="X457" i="2"/>
  <c r="S457" i="2"/>
  <c r="R457" i="2"/>
  <c r="Q457" i="2"/>
  <c r="P457" i="2"/>
  <c r="L457" i="2"/>
  <c r="K457" i="2"/>
  <c r="H457" i="2"/>
  <c r="I457" i="2" s="1"/>
  <c r="J457" i="2" s="1"/>
  <c r="C457" i="2"/>
  <c r="B457" i="2"/>
  <c r="A457" i="2"/>
  <c r="J457" i="4" s="1"/>
  <c r="X456" i="2"/>
  <c r="S456" i="2"/>
  <c r="R456" i="2"/>
  <c r="Q456" i="2"/>
  <c r="P456" i="2"/>
  <c r="L456" i="2"/>
  <c r="K456" i="2"/>
  <c r="H456" i="2"/>
  <c r="I456" i="2" s="1"/>
  <c r="J456" i="2" s="1"/>
  <c r="C456" i="2"/>
  <c r="B456" i="2"/>
  <c r="A456" i="2"/>
  <c r="J456" i="4" s="1"/>
  <c r="X455" i="2"/>
  <c r="S455" i="2"/>
  <c r="R455" i="2"/>
  <c r="Q455" i="2"/>
  <c r="P455" i="2"/>
  <c r="L455" i="2"/>
  <c r="K455" i="2"/>
  <c r="H455" i="2"/>
  <c r="I455" i="2" s="1"/>
  <c r="J455" i="2" s="1"/>
  <c r="C455" i="2"/>
  <c r="B455" i="2"/>
  <c r="A455" i="2"/>
  <c r="J455" i="4" s="1"/>
  <c r="X454" i="2"/>
  <c r="S454" i="2"/>
  <c r="R454" i="2"/>
  <c r="Q454" i="2"/>
  <c r="P454" i="2"/>
  <c r="L454" i="2"/>
  <c r="K454" i="2"/>
  <c r="H454" i="2"/>
  <c r="I454" i="2" s="1"/>
  <c r="J454" i="2" s="1"/>
  <c r="C454" i="2"/>
  <c r="B454" i="2"/>
  <c r="A454" i="2"/>
  <c r="J454" i="4" s="1"/>
  <c r="X453" i="2"/>
  <c r="S453" i="2"/>
  <c r="Q453" i="2"/>
  <c r="P453" i="2"/>
  <c r="R453" i="2" s="1"/>
  <c r="L453" i="2"/>
  <c r="K453" i="2"/>
  <c r="H453" i="2"/>
  <c r="I453" i="2" s="1"/>
  <c r="J453" i="2" s="1"/>
  <c r="C453" i="2"/>
  <c r="B453" i="2"/>
  <c r="A453" i="2"/>
  <c r="J453" i="4" s="1"/>
  <c r="X452" i="2"/>
  <c r="S452" i="2"/>
  <c r="R452" i="2"/>
  <c r="Q452" i="2"/>
  <c r="P452" i="2"/>
  <c r="L452" i="2"/>
  <c r="K452" i="2"/>
  <c r="H452" i="2"/>
  <c r="I452" i="2" s="1"/>
  <c r="J452" i="2" s="1"/>
  <c r="C452" i="2"/>
  <c r="B452" i="2"/>
  <c r="A452" i="2"/>
  <c r="J452" i="4" s="1"/>
  <c r="X451" i="2"/>
  <c r="S451" i="2"/>
  <c r="R451" i="2"/>
  <c r="Q451" i="2"/>
  <c r="P451" i="2"/>
  <c r="L451" i="2"/>
  <c r="K451" i="2"/>
  <c r="H451" i="2"/>
  <c r="I451" i="2" s="1"/>
  <c r="J451" i="2" s="1"/>
  <c r="C451" i="2"/>
  <c r="B451" i="2"/>
  <c r="A451" i="2"/>
  <c r="J451" i="4" s="1"/>
  <c r="X450" i="2"/>
  <c r="S450" i="2"/>
  <c r="R450" i="2"/>
  <c r="Q450" i="2"/>
  <c r="P450" i="2"/>
  <c r="L450" i="2"/>
  <c r="K450" i="2"/>
  <c r="H450" i="2"/>
  <c r="I450" i="2" s="1"/>
  <c r="J450" i="2" s="1"/>
  <c r="C450" i="2"/>
  <c r="B450" i="2"/>
  <c r="A450" i="2"/>
  <c r="J450" i="4" s="1"/>
  <c r="X449" i="2"/>
  <c r="S449" i="2"/>
  <c r="R449" i="2"/>
  <c r="Q449" i="2"/>
  <c r="P449" i="2"/>
  <c r="L449" i="2"/>
  <c r="K449" i="2"/>
  <c r="H449" i="2"/>
  <c r="I449" i="2" s="1"/>
  <c r="J449" i="2" s="1"/>
  <c r="C449" i="2"/>
  <c r="B449" i="2"/>
  <c r="A449" i="2"/>
  <c r="J449" i="4" s="1"/>
  <c r="X448" i="2"/>
  <c r="S448" i="2"/>
  <c r="R448" i="2"/>
  <c r="Q448" i="2"/>
  <c r="P448" i="2"/>
  <c r="L448" i="2"/>
  <c r="K448" i="2"/>
  <c r="H448" i="2"/>
  <c r="I448" i="2" s="1"/>
  <c r="J448" i="2" s="1"/>
  <c r="C448" i="2"/>
  <c r="B448" i="2"/>
  <c r="A448" i="2"/>
  <c r="J448" i="4" s="1"/>
  <c r="X447" i="2"/>
  <c r="S447" i="2"/>
  <c r="R447" i="2"/>
  <c r="Q447" i="2"/>
  <c r="P447" i="2"/>
  <c r="L447" i="2"/>
  <c r="K447" i="2"/>
  <c r="H447" i="2"/>
  <c r="I447" i="2" s="1"/>
  <c r="J447" i="2" s="1"/>
  <c r="C447" i="2"/>
  <c r="B447" i="2"/>
  <c r="A447" i="2"/>
  <c r="J447" i="4" s="1"/>
  <c r="X446" i="2"/>
  <c r="S446" i="2"/>
  <c r="R446" i="2"/>
  <c r="Q446" i="2"/>
  <c r="P446" i="2"/>
  <c r="L446" i="2"/>
  <c r="K446" i="2"/>
  <c r="H446" i="2"/>
  <c r="I446" i="2" s="1"/>
  <c r="J446" i="2" s="1"/>
  <c r="C446" i="2"/>
  <c r="B446" i="2"/>
  <c r="A446" i="2"/>
  <c r="J446" i="4" s="1"/>
  <c r="X445" i="2"/>
  <c r="S445" i="2"/>
  <c r="R445" i="2"/>
  <c r="Q445" i="2"/>
  <c r="P445" i="2"/>
  <c r="L445" i="2"/>
  <c r="K445" i="2"/>
  <c r="H445" i="2"/>
  <c r="I445" i="2" s="1"/>
  <c r="J445" i="2" s="1"/>
  <c r="C445" i="2"/>
  <c r="B445" i="2"/>
  <c r="A445" i="2"/>
  <c r="J445" i="4" s="1"/>
  <c r="X444" i="2"/>
  <c r="S444" i="2"/>
  <c r="R444" i="2"/>
  <c r="Q444" i="2"/>
  <c r="P444" i="2"/>
  <c r="L444" i="2"/>
  <c r="K444" i="2"/>
  <c r="H444" i="2"/>
  <c r="I444" i="2" s="1"/>
  <c r="J444" i="2" s="1"/>
  <c r="C444" i="2"/>
  <c r="B444" i="2"/>
  <c r="A444" i="2"/>
  <c r="J444" i="4" s="1"/>
  <c r="X443" i="2"/>
  <c r="S443" i="2"/>
  <c r="R443" i="2"/>
  <c r="Q443" i="2"/>
  <c r="P443" i="2"/>
  <c r="L443" i="2"/>
  <c r="K443" i="2"/>
  <c r="H443" i="2"/>
  <c r="I443" i="2" s="1"/>
  <c r="J443" i="2" s="1"/>
  <c r="C443" i="2"/>
  <c r="B443" i="2"/>
  <c r="A443" i="2"/>
  <c r="J443" i="4" s="1"/>
  <c r="X442" i="2"/>
  <c r="S442" i="2"/>
  <c r="R442" i="2"/>
  <c r="Q442" i="2"/>
  <c r="P442" i="2"/>
  <c r="L442" i="2"/>
  <c r="K442" i="2"/>
  <c r="H442" i="2"/>
  <c r="I442" i="2" s="1"/>
  <c r="J442" i="2" s="1"/>
  <c r="C442" i="2"/>
  <c r="B442" i="2"/>
  <c r="A442" i="2"/>
  <c r="J442" i="4" s="1"/>
  <c r="X441" i="2"/>
  <c r="S441" i="2"/>
  <c r="R441" i="2"/>
  <c r="Q441" i="2"/>
  <c r="P441" i="2"/>
  <c r="L441" i="2"/>
  <c r="K441" i="2"/>
  <c r="H441" i="2"/>
  <c r="I441" i="2" s="1"/>
  <c r="J441" i="2" s="1"/>
  <c r="C441" i="2"/>
  <c r="B441" i="2"/>
  <c r="A441" i="2"/>
  <c r="J441" i="4" s="1"/>
  <c r="X440" i="2"/>
  <c r="S440" i="2"/>
  <c r="R440" i="2"/>
  <c r="Q440" i="2"/>
  <c r="P440" i="2"/>
  <c r="L440" i="2"/>
  <c r="K440" i="2"/>
  <c r="H440" i="2"/>
  <c r="I440" i="2" s="1"/>
  <c r="J440" i="2" s="1"/>
  <c r="C440" i="2"/>
  <c r="B440" i="2"/>
  <c r="A440" i="2"/>
  <c r="J440" i="4" s="1"/>
  <c r="X439" i="2"/>
  <c r="S439" i="2"/>
  <c r="R439" i="2"/>
  <c r="Q439" i="2"/>
  <c r="P439" i="2"/>
  <c r="L439" i="2"/>
  <c r="K439" i="2"/>
  <c r="H439" i="2"/>
  <c r="I439" i="2" s="1"/>
  <c r="J439" i="2" s="1"/>
  <c r="C439" i="2"/>
  <c r="B439" i="2"/>
  <c r="A439" i="2"/>
  <c r="J439" i="4" s="1"/>
  <c r="X438" i="2"/>
  <c r="S438" i="2"/>
  <c r="R438" i="2"/>
  <c r="Q438" i="2"/>
  <c r="P438" i="2"/>
  <c r="L438" i="2"/>
  <c r="K438" i="2"/>
  <c r="H438" i="2"/>
  <c r="I438" i="2" s="1"/>
  <c r="J438" i="2" s="1"/>
  <c r="C438" i="2"/>
  <c r="B438" i="2"/>
  <c r="A438" i="2"/>
  <c r="J438" i="4" s="1"/>
  <c r="X437" i="2"/>
  <c r="S437" i="2"/>
  <c r="R437" i="2"/>
  <c r="Q437" i="2"/>
  <c r="P437" i="2"/>
  <c r="L437" i="2"/>
  <c r="K437" i="2"/>
  <c r="H437" i="2"/>
  <c r="I437" i="2" s="1"/>
  <c r="J437" i="2" s="1"/>
  <c r="C437" i="2"/>
  <c r="B437" i="2"/>
  <c r="A437" i="2"/>
  <c r="J437" i="4" s="1"/>
  <c r="X436" i="2"/>
  <c r="S436" i="2"/>
  <c r="R436" i="2"/>
  <c r="Q436" i="2"/>
  <c r="P436" i="2"/>
  <c r="L436" i="2"/>
  <c r="K436" i="2"/>
  <c r="H436" i="2"/>
  <c r="I436" i="2" s="1"/>
  <c r="J436" i="2" s="1"/>
  <c r="C436" i="2"/>
  <c r="B436" i="2"/>
  <c r="A436" i="2"/>
  <c r="J436" i="4" s="1"/>
  <c r="X435" i="2"/>
  <c r="S435" i="2"/>
  <c r="R435" i="2"/>
  <c r="Q435" i="2"/>
  <c r="P435" i="2"/>
  <c r="L435" i="2"/>
  <c r="K435" i="2"/>
  <c r="H435" i="2"/>
  <c r="I435" i="2" s="1"/>
  <c r="J435" i="2" s="1"/>
  <c r="C435" i="2"/>
  <c r="B435" i="2"/>
  <c r="A435" i="2"/>
  <c r="J435" i="4" s="1"/>
  <c r="X434" i="2"/>
  <c r="S434" i="2"/>
  <c r="R434" i="2"/>
  <c r="Q434" i="2"/>
  <c r="P434" i="2"/>
  <c r="L434" i="2"/>
  <c r="K434" i="2"/>
  <c r="H434" i="2"/>
  <c r="I434" i="2" s="1"/>
  <c r="J434" i="2" s="1"/>
  <c r="C434" i="2"/>
  <c r="B434" i="2"/>
  <c r="A434" i="2"/>
  <c r="J434" i="4" s="1"/>
  <c r="X433" i="2"/>
  <c r="S433" i="2"/>
  <c r="R433" i="2"/>
  <c r="Q433" i="2"/>
  <c r="P433" i="2"/>
  <c r="L433" i="2"/>
  <c r="K433" i="2"/>
  <c r="H433" i="2"/>
  <c r="I433" i="2" s="1"/>
  <c r="J433" i="2" s="1"/>
  <c r="C433" i="2"/>
  <c r="B433" i="2"/>
  <c r="A433" i="2"/>
  <c r="J433" i="4" s="1"/>
  <c r="X432" i="2"/>
  <c r="S432" i="2"/>
  <c r="R432" i="2"/>
  <c r="Q432" i="2"/>
  <c r="P432" i="2"/>
  <c r="L432" i="2"/>
  <c r="K432" i="2"/>
  <c r="H432" i="2"/>
  <c r="I432" i="2" s="1"/>
  <c r="J432" i="2" s="1"/>
  <c r="C432" i="2"/>
  <c r="B432" i="2"/>
  <c r="A432" i="2"/>
  <c r="J432" i="4" s="1"/>
  <c r="X431" i="2"/>
  <c r="S431" i="2"/>
  <c r="R431" i="2"/>
  <c r="Q431" i="2"/>
  <c r="P431" i="2"/>
  <c r="L431" i="2"/>
  <c r="K431" i="2"/>
  <c r="H431" i="2"/>
  <c r="I431" i="2" s="1"/>
  <c r="J431" i="2" s="1"/>
  <c r="C431" i="2"/>
  <c r="B431" i="2"/>
  <c r="A431" i="2"/>
  <c r="J431" i="4" s="1"/>
  <c r="X430" i="2"/>
  <c r="S430" i="2"/>
  <c r="R430" i="2"/>
  <c r="Q430" i="2"/>
  <c r="P430" i="2"/>
  <c r="L430" i="2"/>
  <c r="K430" i="2"/>
  <c r="H430" i="2"/>
  <c r="I430" i="2" s="1"/>
  <c r="J430" i="2" s="1"/>
  <c r="C430" i="2"/>
  <c r="B430" i="2"/>
  <c r="A430" i="2"/>
  <c r="J430" i="4" s="1"/>
  <c r="X429" i="2"/>
  <c r="S429" i="2"/>
  <c r="R429" i="2"/>
  <c r="Q429" i="2"/>
  <c r="P429" i="2"/>
  <c r="L429" i="2"/>
  <c r="K429" i="2"/>
  <c r="H429" i="2"/>
  <c r="I429" i="2" s="1"/>
  <c r="J429" i="2" s="1"/>
  <c r="C429" i="2"/>
  <c r="B429" i="2"/>
  <c r="A429" i="2"/>
  <c r="J429" i="4" s="1"/>
  <c r="X428" i="2"/>
  <c r="S428" i="2"/>
  <c r="R428" i="2"/>
  <c r="Q428" i="2"/>
  <c r="P428" i="2"/>
  <c r="L428" i="2"/>
  <c r="K428" i="2"/>
  <c r="H428" i="2"/>
  <c r="I428" i="2" s="1"/>
  <c r="J428" i="2" s="1"/>
  <c r="C428" i="2"/>
  <c r="B428" i="2"/>
  <c r="A428" i="2"/>
  <c r="J428" i="4" s="1"/>
  <c r="X427" i="2"/>
  <c r="S427" i="2"/>
  <c r="R427" i="2"/>
  <c r="Q427" i="2"/>
  <c r="P427" i="2"/>
  <c r="L427" i="2"/>
  <c r="K427" i="2"/>
  <c r="H427" i="2"/>
  <c r="I427" i="2" s="1"/>
  <c r="J427" i="2" s="1"/>
  <c r="C427" i="2"/>
  <c r="B427" i="2"/>
  <c r="A427" i="2"/>
  <c r="J427" i="4" s="1"/>
  <c r="X426" i="2"/>
  <c r="S426" i="2"/>
  <c r="R426" i="2"/>
  <c r="Q426" i="2"/>
  <c r="P426" i="2"/>
  <c r="L426" i="2"/>
  <c r="K426" i="2"/>
  <c r="H426" i="2"/>
  <c r="I426" i="2" s="1"/>
  <c r="J426" i="2" s="1"/>
  <c r="C426" i="2"/>
  <c r="B426" i="2"/>
  <c r="A426" i="2"/>
  <c r="J426" i="4" s="1"/>
  <c r="X425" i="2"/>
  <c r="S425" i="2"/>
  <c r="R425" i="2"/>
  <c r="Q425" i="2"/>
  <c r="P425" i="2"/>
  <c r="L425" i="2"/>
  <c r="K425" i="2"/>
  <c r="H425" i="2"/>
  <c r="I425" i="2" s="1"/>
  <c r="J425" i="2" s="1"/>
  <c r="C425" i="2"/>
  <c r="B425" i="2"/>
  <c r="A425" i="2"/>
  <c r="J425" i="4" s="1"/>
  <c r="X424" i="2"/>
  <c r="S424" i="2"/>
  <c r="R424" i="2"/>
  <c r="Q424" i="2"/>
  <c r="P424" i="2"/>
  <c r="L424" i="2"/>
  <c r="K424" i="2"/>
  <c r="H424" i="2"/>
  <c r="I424" i="2" s="1"/>
  <c r="J424" i="2" s="1"/>
  <c r="C424" i="2"/>
  <c r="B424" i="2"/>
  <c r="A424" i="2"/>
  <c r="J424" i="4" s="1"/>
  <c r="X423" i="2"/>
  <c r="S423" i="2"/>
  <c r="R423" i="2"/>
  <c r="Q423" i="2"/>
  <c r="P423" i="2"/>
  <c r="L423" i="2"/>
  <c r="K423" i="2"/>
  <c r="H423" i="2"/>
  <c r="I423" i="2" s="1"/>
  <c r="J423" i="2" s="1"/>
  <c r="C423" i="2"/>
  <c r="B423" i="2"/>
  <c r="A423" i="2"/>
  <c r="J423" i="4" s="1"/>
  <c r="X422" i="2"/>
  <c r="S422" i="2"/>
  <c r="R422" i="2"/>
  <c r="Q422" i="2"/>
  <c r="P422" i="2"/>
  <c r="L422" i="2"/>
  <c r="K422" i="2"/>
  <c r="H422" i="2"/>
  <c r="I422" i="2" s="1"/>
  <c r="J422" i="2" s="1"/>
  <c r="C422" i="2"/>
  <c r="B422" i="2"/>
  <c r="A422" i="2"/>
  <c r="J422" i="4" s="1"/>
  <c r="X421" i="2"/>
  <c r="S421" i="2"/>
  <c r="R421" i="2"/>
  <c r="Q421" i="2"/>
  <c r="P421" i="2"/>
  <c r="L421" i="2"/>
  <c r="K421" i="2"/>
  <c r="H421" i="2"/>
  <c r="I421" i="2" s="1"/>
  <c r="J421" i="2" s="1"/>
  <c r="C421" i="2"/>
  <c r="B421" i="2"/>
  <c r="A421" i="2"/>
  <c r="J421" i="4" s="1"/>
  <c r="X420" i="2"/>
  <c r="S420" i="2"/>
  <c r="R420" i="2"/>
  <c r="Q420" i="2"/>
  <c r="P420" i="2"/>
  <c r="L420" i="2"/>
  <c r="K420" i="2"/>
  <c r="H420" i="2"/>
  <c r="I420" i="2" s="1"/>
  <c r="J420" i="2" s="1"/>
  <c r="C420" i="2"/>
  <c r="B420" i="2"/>
  <c r="A420" i="2"/>
  <c r="J420" i="4" s="1"/>
  <c r="X419" i="2"/>
  <c r="S419" i="2"/>
  <c r="R419" i="2"/>
  <c r="Q419" i="2"/>
  <c r="P419" i="2"/>
  <c r="L419" i="2"/>
  <c r="K419" i="2"/>
  <c r="H419" i="2"/>
  <c r="I419" i="2" s="1"/>
  <c r="J419" i="2" s="1"/>
  <c r="C419" i="2"/>
  <c r="B419" i="2"/>
  <c r="A419" i="2"/>
  <c r="J419" i="4" s="1"/>
  <c r="X418" i="2"/>
  <c r="S418" i="2"/>
  <c r="R418" i="2"/>
  <c r="Q418" i="2"/>
  <c r="P418" i="2"/>
  <c r="L418" i="2"/>
  <c r="K418" i="2"/>
  <c r="H418" i="2"/>
  <c r="I418" i="2" s="1"/>
  <c r="J418" i="2" s="1"/>
  <c r="C418" i="2"/>
  <c r="B418" i="2"/>
  <c r="A418" i="2"/>
  <c r="J418" i="4" s="1"/>
  <c r="X417" i="2"/>
  <c r="S417" i="2"/>
  <c r="R417" i="2"/>
  <c r="Q417" i="2"/>
  <c r="P417" i="2"/>
  <c r="L417" i="2"/>
  <c r="K417" i="2"/>
  <c r="H417" i="2"/>
  <c r="I417" i="2" s="1"/>
  <c r="J417" i="2" s="1"/>
  <c r="C417" i="2"/>
  <c r="B417" i="2"/>
  <c r="A417" i="2"/>
  <c r="J417" i="4" s="1"/>
  <c r="X416" i="2"/>
  <c r="S416" i="2"/>
  <c r="R416" i="2"/>
  <c r="Q416" i="2"/>
  <c r="P416" i="2"/>
  <c r="L416" i="2"/>
  <c r="K416" i="2"/>
  <c r="H416" i="2"/>
  <c r="I416" i="2" s="1"/>
  <c r="J416" i="2" s="1"/>
  <c r="C416" i="2"/>
  <c r="B416" i="2"/>
  <c r="A416" i="2"/>
  <c r="J416" i="4" s="1"/>
  <c r="X415" i="2"/>
  <c r="S415" i="2"/>
  <c r="R415" i="2"/>
  <c r="Q415" i="2"/>
  <c r="P415" i="2"/>
  <c r="L415" i="2"/>
  <c r="K415" i="2"/>
  <c r="H415" i="2"/>
  <c r="I415" i="2" s="1"/>
  <c r="J415" i="2" s="1"/>
  <c r="C415" i="2"/>
  <c r="B415" i="2"/>
  <c r="A415" i="2"/>
  <c r="J415" i="4" s="1"/>
  <c r="X414" i="2"/>
  <c r="S414" i="2"/>
  <c r="R414" i="2"/>
  <c r="Q414" i="2"/>
  <c r="P414" i="2"/>
  <c r="L414" i="2"/>
  <c r="K414" i="2"/>
  <c r="H414" i="2"/>
  <c r="I414" i="2" s="1"/>
  <c r="J414" i="2" s="1"/>
  <c r="C414" i="2"/>
  <c r="B414" i="2"/>
  <c r="A414" i="2"/>
  <c r="J414" i="4" s="1"/>
  <c r="X413" i="2"/>
  <c r="S413" i="2"/>
  <c r="R413" i="2"/>
  <c r="Q413" i="2"/>
  <c r="P413" i="2"/>
  <c r="L413" i="2"/>
  <c r="K413" i="2"/>
  <c r="H413" i="2"/>
  <c r="I413" i="2" s="1"/>
  <c r="J413" i="2" s="1"/>
  <c r="C413" i="2"/>
  <c r="B413" i="2"/>
  <c r="A413" i="2"/>
  <c r="J413" i="4" s="1"/>
  <c r="X412" i="2"/>
  <c r="S412" i="2"/>
  <c r="R412" i="2"/>
  <c r="Q412" i="2"/>
  <c r="P412" i="2"/>
  <c r="L412" i="2"/>
  <c r="K412" i="2"/>
  <c r="H412" i="2"/>
  <c r="I412" i="2" s="1"/>
  <c r="J412" i="2" s="1"/>
  <c r="C412" i="2"/>
  <c r="B412" i="2"/>
  <c r="A412" i="2"/>
  <c r="J412" i="4" s="1"/>
  <c r="X411" i="2"/>
  <c r="S411" i="2"/>
  <c r="R411" i="2"/>
  <c r="Q411" i="2"/>
  <c r="P411" i="2"/>
  <c r="L411" i="2"/>
  <c r="K411" i="2"/>
  <c r="H411" i="2"/>
  <c r="I411" i="2" s="1"/>
  <c r="J411" i="2" s="1"/>
  <c r="C411" i="2"/>
  <c r="B411" i="2"/>
  <c r="A411" i="2"/>
  <c r="J411" i="4" s="1"/>
  <c r="X410" i="2"/>
  <c r="S410" i="2"/>
  <c r="R410" i="2"/>
  <c r="Q410" i="2"/>
  <c r="P410" i="2"/>
  <c r="L410" i="2"/>
  <c r="K410" i="2"/>
  <c r="H410" i="2"/>
  <c r="I410" i="2" s="1"/>
  <c r="J410" i="2" s="1"/>
  <c r="C410" i="2"/>
  <c r="B410" i="2"/>
  <c r="A410" i="2"/>
  <c r="J410" i="4" s="1"/>
  <c r="X409" i="2"/>
  <c r="S409" i="2"/>
  <c r="R409" i="2"/>
  <c r="Q409" i="2"/>
  <c r="P409" i="2"/>
  <c r="L409" i="2"/>
  <c r="K409" i="2"/>
  <c r="H409" i="2"/>
  <c r="I409" i="2" s="1"/>
  <c r="J409" i="2" s="1"/>
  <c r="C409" i="2"/>
  <c r="B409" i="2"/>
  <c r="A409" i="2"/>
  <c r="J409" i="4" s="1"/>
  <c r="X408" i="2"/>
  <c r="S408" i="2"/>
  <c r="R408" i="2"/>
  <c r="Q408" i="2"/>
  <c r="P408" i="2"/>
  <c r="L408" i="2"/>
  <c r="K408" i="2"/>
  <c r="H408" i="2"/>
  <c r="I408" i="2" s="1"/>
  <c r="J408" i="2" s="1"/>
  <c r="C408" i="2"/>
  <c r="B408" i="2"/>
  <c r="A408" i="2"/>
  <c r="J408" i="4" s="1"/>
  <c r="X407" i="2"/>
  <c r="S407" i="2"/>
  <c r="R407" i="2"/>
  <c r="Q407" i="2"/>
  <c r="P407" i="2"/>
  <c r="L407" i="2"/>
  <c r="K407" i="2"/>
  <c r="H407" i="2"/>
  <c r="I407" i="2" s="1"/>
  <c r="J407" i="2" s="1"/>
  <c r="C407" i="2"/>
  <c r="B407" i="2"/>
  <c r="A407" i="2"/>
  <c r="J407" i="4" s="1"/>
  <c r="X406" i="2"/>
  <c r="S406" i="2"/>
  <c r="R406" i="2"/>
  <c r="Q406" i="2"/>
  <c r="P406" i="2"/>
  <c r="L406" i="2"/>
  <c r="K406" i="2"/>
  <c r="H406" i="2"/>
  <c r="I406" i="2" s="1"/>
  <c r="J406" i="2" s="1"/>
  <c r="C406" i="2"/>
  <c r="B406" i="2"/>
  <c r="A406" i="2"/>
  <c r="J406" i="4" s="1"/>
  <c r="X405" i="2"/>
  <c r="S405" i="2"/>
  <c r="R405" i="2"/>
  <c r="Q405" i="2"/>
  <c r="P405" i="2"/>
  <c r="L405" i="2"/>
  <c r="K405" i="2"/>
  <c r="H405" i="2"/>
  <c r="I405" i="2" s="1"/>
  <c r="J405" i="2" s="1"/>
  <c r="C405" i="2"/>
  <c r="B405" i="2"/>
  <c r="A405" i="2"/>
  <c r="J405" i="4" s="1"/>
  <c r="X404" i="2"/>
  <c r="S404" i="2"/>
  <c r="R404" i="2"/>
  <c r="Q404" i="2"/>
  <c r="P404" i="2"/>
  <c r="L404" i="2"/>
  <c r="K404" i="2"/>
  <c r="H404" i="2"/>
  <c r="I404" i="2" s="1"/>
  <c r="J404" i="2" s="1"/>
  <c r="C404" i="2"/>
  <c r="B404" i="2"/>
  <c r="A404" i="2"/>
  <c r="J404" i="4" s="1"/>
  <c r="X403" i="2"/>
  <c r="S403" i="2"/>
  <c r="R403" i="2"/>
  <c r="Q403" i="2"/>
  <c r="P403" i="2"/>
  <c r="L403" i="2"/>
  <c r="K403" i="2"/>
  <c r="H403" i="2"/>
  <c r="I403" i="2" s="1"/>
  <c r="J403" i="2" s="1"/>
  <c r="C403" i="2"/>
  <c r="B403" i="2"/>
  <c r="A403" i="2"/>
  <c r="J403" i="4" s="1"/>
  <c r="X402" i="2"/>
  <c r="S402" i="2"/>
  <c r="R402" i="2"/>
  <c r="Q402" i="2"/>
  <c r="P402" i="2"/>
  <c r="L402" i="2"/>
  <c r="K402" i="2"/>
  <c r="H402" i="2"/>
  <c r="I402" i="2" s="1"/>
  <c r="J402" i="2" s="1"/>
  <c r="C402" i="2"/>
  <c r="B402" i="2"/>
  <c r="A402" i="2"/>
  <c r="J402" i="4" s="1"/>
  <c r="X401" i="2"/>
  <c r="S401" i="2"/>
  <c r="R401" i="2"/>
  <c r="Q401" i="2"/>
  <c r="P401" i="2"/>
  <c r="L401" i="2"/>
  <c r="K401" i="2"/>
  <c r="H401" i="2"/>
  <c r="I401" i="2" s="1"/>
  <c r="J401" i="2" s="1"/>
  <c r="C401" i="2"/>
  <c r="B401" i="2"/>
  <c r="A401" i="2"/>
  <c r="J401" i="4" s="1"/>
  <c r="X400" i="2"/>
  <c r="S400" i="2"/>
  <c r="R400" i="2"/>
  <c r="Q400" i="2"/>
  <c r="P400" i="2"/>
  <c r="L400" i="2"/>
  <c r="K400" i="2"/>
  <c r="H400" i="2"/>
  <c r="I400" i="2" s="1"/>
  <c r="J400" i="2" s="1"/>
  <c r="C400" i="2"/>
  <c r="B400" i="2"/>
  <c r="A400" i="2"/>
  <c r="J400" i="4" s="1"/>
  <c r="X399" i="2"/>
  <c r="S399" i="2"/>
  <c r="R399" i="2"/>
  <c r="Q399" i="2"/>
  <c r="P399" i="2"/>
  <c r="L399" i="2"/>
  <c r="K399" i="2"/>
  <c r="H399" i="2"/>
  <c r="I399" i="2" s="1"/>
  <c r="J399" i="2" s="1"/>
  <c r="C399" i="2"/>
  <c r="B399" i="2"/>
  <c r="A399" i="2"/>
  <c r="J399" i="4" s="1"/>
  <c r="X398" i="2"/>
  <c r="S398" i="2"/>
  <c r="R398" i="2"/>
  <c r="Q398" i="2"/>
  <c r="P398" i="2"/>
  <c r="L398" i="2"/>
  <c r="K398" i="2"/>
  <c r="H398" i="2"/>
  <c r="I398" i="2" s="1"/>
  <c r="J398" i="2" s="1"/>
  <c r="C398" i="2"/>
  <c r="B398" i="2"/>
  <c r="A398" i="2"/>
  <c r="J398" i="4" s="1"/>
  <c r="X397" i="2"/>
  <c r="S397" i="2"/>
  <c r="R397" i="2"/>
  <c r="Q397" i="2"/>
  <c r="P397" i="2"/>
  <c r="L397" i="2"/>
  <c r="K397" i="2"/>
  <c r="H397" i="2"/>
  <c r="I397" i="2" s="1"/>
  <c r="J397" i="2" s="1"/>
  <c r="C397" i="2"/>
  <c r="B397" i="2"/>
  <c r="A397" i="2"/>
  <c r="J397" i="4" s="1"/>
  <c r="X396" i="2"/>
  <c r="S396" i="2"/>
  <c r="R396" i="2"/>
  <c r="Q396" i="2"/>
  <c r="P396" i="2"/>
  <c r="L396" i="2"/>
  <c r="K396" i="2"/>
  <c r="H396" i="2"/>
  <c r="I396" i="2" s="1"/>
  <c r="J396" i="2" s="1"/>
  <c r="C396" i="2"/>
  <c r="B396" i="2"/>
  <c r="A396" i="2"/>
  <c r="J396" i="4" s="1"/>
  <c r="X395" i="2"/>
  <c r="S395" i="2"/>
  <c r="R395" i="2"/>
  <c r="Q395" i="2"/>
  <c r="P395" i="2"/>
  <c r="L395" i="2"/>
  <c r="K395" i="2"/>
  <c r="H395" i="2"/>
  <c r="I395" i="2" s="1"/>
  <c r="J395" i="2" s="1"/>
  <c r="C395" i="2"/>
  <c r="B395" i="2"/>
  <c r="A395" i="2"/>
  <c r="J395" i="4" s="1"/>
  <c r="X394" i="2"/>
  <c r="S394" i="2"/>
  <c r="R394" i="2"/>
  <c r="Q394" i="2"/>
  <c r="P394" i="2"/>
  <c r="L394" i="2"/>
  <c r="K394" i="2"/>
  <c r="H394" i="2"/>
  <c r="I394" i="2" s="1"/>
  <c r="J394" i="2" s="1"/>
  <c r="C394" i="2"/>
  <c r="B394" i="2"/>
  <c r="A394" i="2"/>
  <c r="J394" i="4" s="1"/>
  <c r="X393" i="2"/>
  <c r="S393" i="2"/>
  <c r="R393" i="2"/>
  <c r="Q393" i="2"/>
  <c r="P393" i="2"/>
  <c r="L393" i="2"/>
  <c r="K393" i="2"/>
  <c r="H393" i="2"/>
  <c r="I393" i="2" s="1"/>
  <c r="J393" i="2" s="1"/>
  <c r="C393" i="2"/>
  <c r="B393" i="2"/>
  <c r="A393" i="2"/>
  <c r="J393" i="4" s="1"/>
  <c r="X392" i="2"/>
  <c r="S392" i="2"/>
  <c r="R392" i="2"/>
  <c r="Q392" i="2"/>
  <c r="P392" i="2"/>
  <c r="L392" i="2"/>
  <c r="K392" i="2"/>
  <c r="H392" i="2"/>
  <c r="I392" i="2" s="1"/>
  <c r="J392" i="2" s="1"/>
  <c r="C392" i="2"/>
  <c r="B392" i="2"/>
  <c r="A392" i="2"/>
  <c r="X391" i="2"/>
  <c r="S391" i="2"/>
  <c r="R391" i="2"/>
  <c r="Q391" i="2"/>
  <c r="P391" i="2"/>
  <c r="L391" i="2"/>
  <c r="K391" i="2"/>
  <c r="H391" i="2"/>
  <c r="I391" i="2" s="1"/>
  <c r="J391" i="2" s="1"/>
  <c r="C391" i="2"/>
  <c r="B391" i="2"/>
  <c r="A391" i="2"/>
  <c r="X390" i="2"/>
  <c r="S390" i="2"/>
  <c r="R390" i="2"/>
  <c r="Q390" i="2"/>
  <c r="P390" i="2"/>
  <c r="L390" i="2"/>
  <c r="K390" i="2"/>
  <c r="H390" i="2"/>
  <c r="I390" i="2" s="1"/>
  <c r="J390" i="2" s="1"/>
  <c r="C390" i="2"/>
  <c r="B390" i="2"/>
  <c r="A390" i="2"/>
  <c r="X389" i="2"/>
  <c r="S389" i="2"/>
  <c r="R389" i="2"/>
  <c r="Q389" i="2"/>
  <c r="P389" i="2"/>
  <c r="L389" i="2"/>
  <c r="K389" i="2"/>
  <c r="H389" i="2"/>
  <c r="I389" i="2" s="1"/>
  <c r="J389" i="2" s="1"/>
  <c r="C389" i="2"/>
  <c r="B389" i="2"/>
  <c r="A389" i="2"/>
  <c r="X388" i="2"/>
  <c r="S388" i="2"/>
  <c r="R388" i="2"/>
  <c r="Q388" i="2"/>
  <c r="P388" i="2"/>
  <c r="L388" i="2"/>
  <c r="K388" i="2"/>
  <c r="H388" i="2"/>
  <c r="I388" i="2" s="1"/>
  <c r="J388" i="2" s="1"/>
  <c r="C388" i="2"/>
  <c r="B388" i="2"/>
  <c r="A388" i="2"/>
  <c r="X387" i="2"/>
  <c r="S387" i="2"/>
  <c r="R387" i="2"/>
  <c r="Q387" i="2"/>
  <c r="P387" i="2"/>
  <c r="L387" i="2"/>
  <c r="K387" i="2"/>
  <c r="H387" i="2"/>
  <c r="I387" i="2" s="1"/>
  <c r="J387" i="2" s="1"/>
  <c r="C387" i="2"/>
  <c r="B387" i="2"/>
  <c r="A387" i="2"/>
  <c r="X386" i="2"/>
  <c r="S386" i="2"/>
  <c r="R386" i="2"/>
  <c r="Q386" i="2"/>
  <c r="P386" i="2"/>
  <c r="L386" i="2"/>
  <c r="K386" i="2"/>
  <c r="H386" i="2"/>
  <c r="I386" i="2" s="1"/>
  <c r="J386" i="2" s="1"/>
  <c r="C386" i="2"/>
  <c r="B386" i="2"/>
  <c r="A386" i="2"/>
  <c r="X385" i="2"/>
  <c r="S385" i="2"/>
  <c r="R385" i="2"/>
  <c r="Q385" i="2"/>
  <c r="P385" i="2"/>
  <c r="L385" i="2"/>
  <c r="K385" i="2"/>
  <c r="H385" i="2"/>
  <c r="I385" i="2" s="1"/>
  <c r="J385" i="2" s="1"/>
  <c r="C385" i="2"/>
  <c r="B385" i="2"/>
  <c r="A385" i="2"/>
  <c r="X384" i="2"/>
  <c r="S384" i="2"/>
  <c r="R384" i="2"/>
  <c r="Q384" i="2"/>
  <c r="P384" i="2"/>
  <c r="L384" i="2"/>
  <c r="K384" i="2"/>
  <c r="H384" i="2"/>
  <c r="I384" i="2" s="1"/>
  <c r="J384" i="2" s="1"/>
  <c r="C384" i="2"/>
  <c r="B384" i="2"/>
  <c r="A384" i="2"/>
  <c r="X383" i="2"/>
  <c r="S383" i="2"/>
  <c r="R383" i="2"/>
  <c r="Q383" i="2"/>
  <c r="P383" i="2"/>
  <c r="L383" i="2"/>
  <c r="K383" i="2"/>
  <c r="H383" i="2"/>
  <c r="I383" i="2" s="1"/>
  <c r="J383" i="2" s="1"/>
  <c r="C383" i="2"/>
  <c r="B383" i="2"/>
  <c r="A383" i="2"/>
  <c r="X382" i="2"/>
  <c r="S382" i="2"/>
  <c r="R382" i="2"/>
  <c r="Q382" i="2"/>
  <c r="P382" i="2"/>
  <c r="L382" i="2"/>
  <c r="K382" i="2"/>
  <c r="H382" i="2"/>
  <c r="I382" i="2" s="1"/>
  <c r="J382" i="2" s="1"/>
  <c r="C382" i="2"/>
  <c r="B382" i="2"/>
  <c r="A382" i="2"/>
  <c r="X381" i="2"/>
  <c r="S381" i="2"/>
  <c r="R381" i="2"/>
  <c r="Q381" i="2"/>
  <c r="P381" i="2"/>
  <c r="L381" i="2"/>
  <c r="K381" i="2"/>
  <c r="H381" i="2"/>
  <c r="I381" i="2" s="1"/>
  <c r="J381" i="2" s="1"/>
  <c r="C381" i="2"/>
  <c r="B381" i="2"/>
  <c r="A381" i="2"/>
  <c r="X380" i="2"/>
  <c r="S380" i="2"/>
  <c r="R380" i="2"/>
  <c r="Q380" i="2"/>
  <c r="P380" i="2"/>
  <c r="L380" i="2"/>
  <c r="K380" i="2"/>
  <c r="H380" i="2"/>
  <c r="I380" i="2" s="1"/>
  <c r="J380" i="2" s="1"/>
  <c r="C380" i="2"/>
  <c r="B380" i="2"/>
  <c r="A380" i="2"/>
  <c r="X379" i="2"/>
  <c r="S379" i="2"/>
  <c r="R379" i="2"/>
  <c r="Q379" i="2"/>
  <c r="P379" i="2"/>
  <c r="L379" i="2"/>
  <c r="K379" i="2"/>
  <c r="H379" i="2"/>
  <c r="I379" i="2" s="1"/>
  <c r="J379" i="2" s="1"/>
  <c r="C379" i="2"/>
  <c r="B379" i="2"/>
  <c r="A379" i="2"/>
  <c r="X378" i="2"/>
  <c r="S378" i="2"/>
  <c r="R378" i="2"/>
  <c r="Q378" i="2"/>
  <c r="P378" i="2"/>
  <c r="L378" i="2"/>
  <c r="K378" i="2"/>
  <c r="H378" i="2"/>
  <c r="I378" i="2" s="1"/>
  <c r="J378" i="2" s="1"/>
  <c r="C378" i="2"/>
  <c r="B378" i="2"/>
  <c r="A378" i="2"/>
  <c r="X377" i="2"/>
  <c r="S377" i="2"/>
  <c r="R377" i="2"/>
  <c r="Q377" i="2"/>
  <c r="P377" i="2"/>
  <c r="L377" i="2"/>
  <c r="K377" i="2"/>
  <c r="H377" i="2"/>
  <c r="I377" i="2" s="1"/>
  <c r="J377" i="2" s="1"/>
  <c r="C377" i="2"/>
  <c r="B377" i="2"/>
  <c r="A377" i="2"/>
  <c r="X376" i="2"/>
  <c r="S376" i="2"/>
  <c r="R376" i="2"/>
  <c r="Q376" i="2"/>
  <c r="P376" i="2"/>
  <c r="L376" i="2"/>
  <c r="K376" i="2"/>
  <c r="H376" i="2"/>
  <c r="I376" i="2" s="1"/>
  <c r="J376" i="2" s="1"/>
  <c r="C376" i="2"/>
  <c r="B376" i="2"/>
  <c r="A376" i="2"/>
  <c r="X375" i="2"/>
  <c r="S375" i="2"/>
  <c r="R375" i="2"/>
  <c r="Q375" i="2"/>
  <c r="P375" i="2"/>
  <c r="L375" i="2"/>
  <c r="K375" i="2"/>
  <c r="H375" i="2"/>
  <c r="I375" i="2" s="1"/>
  <c r="J375" i="2" s="1"/>
  <c r="C375" i="2"/>
  <c r="B375" i="2"/>
  <c r="A375" i="2"/>
  <c r="X374" i="2"/>
  <c r="S374" i="2"/>
  <c r="R374" i="2"/>
  <c r="Q374" i="2"/>
  <c r="P374" i="2"/>
  <c r="L374" i="2"/>
  <c r="K374" i="2"/>
  <c r="H374" i="2"/>
  <c r="I374" i="2" s="1"/>
  <c r="J374" i="2" s="1"/>
  <c r="C374" i="2"/>
  <c r="B374" i="2"/>
  <c r="A374" i="2"/>
  <c r="X373" i="2"/>
  <c r="S373" i="2"/>
  <c r="R373" i="2"/>
  <c r="Q373" i="2"/>
  <c r="P373" i="2"/>
  <c r="L373" i="2"/>
  <c r="K373" i="2"/>
  <c r="H373" i="2"/>
  <c r="I373" i="2" s="1"/>
  <c r="J373" i="2" s="1"/>
  <c r="C373" i="2"/>
  <c r="B373" i="2"/>
  <c r="A373" i="2"/>
  <c r="X372" i="2"/>
  <c r="S372" i="2"/>
  <c r="R372" i="2"/>
  <c r="Q372" i="2"/>
  <c r="P372" i="2"/>
  <c r="L372" i="2"/>
  <c r="K372" i="2"/>
  <c r="H372" i="2"/>
  <c r="I372" i="2" s="1"/>
  <c r="J372" i="2" s="1"/>
  <c r="C372" i="2"/>
  <c r="B372" i="2"/>
  <c r="A372" i="2"/>
  <c r="X371" i="2"/>
  <c r="S371" i="2"/>
  <c r="R371" i="2"/>
  <c r="Q371" i="2"/>
  <c r="P371" i="2"/>
  <c r="L371" i="2"/>
  <c r="K371" i="2"/>
  <c r="H371" i="2"/>
  <c r="I371" i="2" s="1"/>
  <c r="J371" i="2" s="1"/>
  <c r="C371" i="2"/>
  <c r="B371" i="2"/>
  <c r="A371" i="2"/>
  <c r="X370" i="2"/>
  <c r="S370" i="2"/>
  <c r="R370" i="2"/>
  <c r="Q370" i="2"/>
  <c r="P370" i="2"/>
  <c r="L370" i="2"/>
  <c r="K370" i="2"/>
  <c r="H370" i="2"/>
  <c r="I370" i="2" s="1"/>
  <c r="J370" i="2" s="1"/>
  <c r="C370" i="2"/>
  <c r="B370" i="2"/>
  <c r="A370" i="2"/>
  <c r="X369" i="2"/>
  <c r="S369" i="2"/>
  <c r="R369" i="2"/>
  <c r="Q369" i="2"/>
  <c r="P369" i="2"/>
  <c r="L369" i="2"/>
  <c r="K369" i="2"/>
  <c r="H369" i="2"/>
  <c r="I369" i="2" s="1"/>
  <c r="J369" i="2" s="1"/>
  <c r="C369" i="2"/>
  <c r="B369" i="2"/>
  <c r="A369" i="2"/>
  <c r="X368" i="2"/>
  <c r="S368" i="2"/>
  <c r="R368" i="2"/>
  <c r="Q368" i="2"/>
  <c r="P368" i="2"/>
  <c r="L368" i="2"/>
  <c r="K368" i="2"/>
  <c r="H368" i="2"/>
  <c r="I368" i="2" s="1"/>
  <c r="J368" i="2" s="1"/>
  <c r="C368" i="2"/>
  <c r="B368" i="2"/>
  <c r="A368" i="2"/>
  <c r="X367" i="2"/>
  <c r="S367" i="2"/>
  <c r="R367" i="2"/>
  <c r="Q367" i="2"/>
  <c r="P367" i="2"/>
  <c r="L367" i="2"/>
  <c r="K367" i="2"/>
  <c r="H367" i="2"/>
  <c r="I367" i="2" s="1"/>
  <c r="J367" i="2" s="1"/>
  <c r="C367" i="2"/>
  <c r="B367" i="2"/>
  <c r="A367" i="2"/>
  <c r="X366" i="2"/>
  <c r="S366" i="2"/>
  <c r="Q366" i="2"/>
  <c r="P366" i="2"/>
  <c r="L366" i="2"/>
  <c r="K366" i="2"/>
  <c r="H366" i="2"/>
  <c r="I366" i="2" s="1"/>
  <c r="J366" i="2" s="1"/>
  <c r="C366" i="2"/>
  <c r="B366" i="2"/>
  <c r="A366" i="2"/>
  <c r="X365" i="2"/>
  <c r="S365" i="2"/>
  <c r="R365" i="2"/>
  <c r="Q365" i="2"/>
  <c r="P365" i="2"/>
  <c r="L365" i="2"/>
  <c r="K365" i="2"/>
  <c r="H365" i="2"/>
  <c r="I365" i="2" s="1"/>
  <c r="J365" i="2" s="1"/>
  <c r="C365" i="2"/>
  <c r="B365" i="2"/>
  <c r="A365" i="2"/>
  <c r="X364" i="2"/>
  <c r="S364" i="2"/>
  <c r="R364" i="2"/>
  <c r="Q364" i="2"/>
  <c r="P364" i="2"/>
  <c r="L364" i="2"/>
  <c r="K364" i="2"/>
  <c r="H364" i="2"/>
  <c r="I364" i="2" s="1"/>
  <c r="J364" i="2" s="1"/>
  <c r="C364" i="2"/>
  <c r="B364" i="2"/>
  <c r="A364" i="2"/>
  <c r="X363" i="2"/>
  <c r="S363" i="2"/>
  <c r="R363" i="2"/>
  <c r="Q363" i="2"/>
  <c r="P363" i="2"/>
  <c r="L363" i="2"/>
  <c r="K363" i="2"/>
  <c r="H363" i="2"/>
  <c r="I363" i="2" s="1"/>
  <c r="J363" i="2" s="1"/>
  <c r="C363" i="2"/>
  <c r="B363" i="2"/>
  <c r="A363" i="2"/>
  <c r="X362" i="2"/>
  <c r="S362" i="2"/>
  <c r="R362" i="2"/>
  <c r="Q362" i="2"/>
  <c r="P362" i="2"/>
  <c r="L362" i="2"/>
  <c r="K362" i="2"/>
  <c r="H362" i="2"/>
  <c r="I362" i="2" s="1"/>
  <c r="J362" i="2" s="1"/>
  <c r="C362" i="2"/>
  <c r="B362" i="2"/>
  <c r="A362" i="2"/>
  <c r="X361" i="2"/>
  <c r="S361" i="2"/>
  <c r="R361" i="2"/>
  <c r="Q361" i="2"/>
  <c r="P361" i="2"/>
  <c r="L361" i="2"/>
  <c r="K361" i="2"/>
  <c r="H361" i="2"/>
  <c r="I361" i="2" s="1"/>
  <c r="J361" i="2" s="1"/>
  <c r="C361" i="2"/>
  <c r="B361" i="2"/>
  <c r="A361" i="2"/>
  <c r="X360" i="2"/>
  <c r="S360" i="2"/>
  <c r="R360" i="2"/>
  <c r="Q360" i="2"/>
  <c r="P360" i="2"/>
  <c r="L360" i="2"/>
  <c r="K360" i="2"/>
  <c r="H360" i="2"/>
  <c r="I360" i="2" s="1"/>
  <c r="J360" i="2" s="1"/>
  <c r="C360" i="2"/>
  <c r="B360" i="2"/>
  <c r="A360" i="2"/>
  <c r="X359" i="2"/>
  <c r="S359" i="2"/>
  <c r="R359" i="2"/>
  <c r="Q359" i="2"/>
  <c r="P359" i="2"/>
  <c r="L359" i="2"/>
  <c r="K359" i="2"/>
  <c r="H359" i="2"/>
  <c r="I359" i="2" s="1"/>
  <c r="J359" i="2" s="1"/>
  <c r="C359" i="2"/>
  <c r="B359" i="2"/>
  <c r="A359" i="2"/>
  <c r="X358" i="2"/>
  <c r="S358" i="2"/>
  <c r="R358" i="2"/>
  <c r="Q358" i="2"/>
  <c r="P358" i="2"/>
  <c r="L358" i="2"/>
  <c r="K358" i="2"/>
  <c r="H358" i="2"/>
  <c r="I358" i="2" s="1"/>
  <c r="J358" i="2" s="1"/>
  <c r="C358" i="2"/>
  <c r="B358" i="2"/>
  <c r="A358" i="2"/>
  <c r="X357" i="2"/>
  <c r="S357" i="2"/>
  <c r="R357" i="2"/>
  <c r="Q357" i="2"/>
  <c r="P357" i="2"/>
  <c r="L357" i="2"/>
  <c r="K357" i="2"/>
  <c r="H357" i="2"/>
  <c r="I357" i="2" s="1"/>
  <c r="J357" i="2" s="1"/>
  <c r="C357" i="2"/>
  <c r="B357" i="2"/>
  <c r="A357" i="2"/>
  <c r="X356" i="2"/>
  <c r="S356" i="2"/>
  <c r="R356" i="2"/>
  <c r="Q356" i="2"/>
  <c r="P356" i="2"/>
  <c r="L356" i="2"/>
  <c r="K356" i="2"/>
  <c r="H356" i="2"/>
  <c r="I356" i="2" s="1"/>
  <c r="J356" i="2" s="1"/>
  <c r="C356" i="2"/>
  <c r="B356" i="2"/>
  <c r="A356" i="2"/>
  <c r="X355" i="2"/>
  <c r="S355" i="2"/>
  <c r="R355" i="2"/>
  <c r="Q355" i="2"/>
  <c r="P355" i="2"/>
  <c r="L355" i="2"/>
  <c r="K355" i="2"/>
  <c r="H355" i="2"/>
  <c r="I355" i="2" s="1"/>
  <c r="J355" i="2" s="1"/>
  <c r="C355" i="2"/>
  <c r="B355" i="2"/>
  <c r="A355" i="2"/>
  <c r="X354" i="2"/>
  <c r="S354" i="2"/>
  <c r="R354" i="2"/>
  <c r="Q354" i="2"/>
  <c r="P354" i="2"/>
  <c r="L354" i="2"/>
  <c r="K354" i="2"/>
  <c r="H354" i="2"/>
  <c r="I354" i="2" s="1"/>
  <c r="J354" i="2" s="1"/>
  <c r="C354" i="2"/>
  <c r="B354" i="2"/>
  <c r="A354" i="2"/>
  <c r="X353" i="2"/>
  <c r="S353" i="2"/>
  <c r="R353" i="2"/>
  <c r="Q353" i="2"/>
  <c r="P353" i="2"/>
  <c r="L353" i="2"/>
  <c r="K353" i="2"/>
  <c r="H353" i="2"/>
  <c r="I353" i="2" s="1"/>
  <c r="J353" i="2" s="1"/>
  <c r="C353" i="2"/>
  <c r="B353" i="2"/>
  <c r="A353" i="2"/>
  <c r="X352" i="2"/>
  <c r="S352" i="2"/>
  <c r="R352" i="2"/>
  <c r="Q352" i="2"/>
  <c r="P352" i="2"/>
  <c r="L352" i="2"/>
  <c r="K352" i="2"/>
  <c r="H352" i="2"/>
  <c r="I352" i="2" s="1"/>
  <c r="J352" i="2" s="1"/>
  <c r="C352" i="2"/>
  <c r="B352" i="2"/>
  <c r="A352" i="2"/>
  <c r="X351" i="2"/>
  <c r="S351" i="2"/>
  <c r="R351" i="2"/>
  <c r="Q351" i="2"/>
  <c r="P351" i="2"/>
  <c r="L351" i="2"/>
  <c r="K351" i="2"/>
  <c r="H351" i="2"/>
  <c r="I351" i="2" s="1"/>
  <c r="J351" i="2" s="1"/>
  <c r="C351" i="2"/>
  <c r="B351" i="2"/>
  <c r="A351" i="2"/>
  <c r="X350" i="2"/>
  <c r="S350" i="2"/>
  <c r="R350" i="2"/>
  <c r="Q350" i="2"/>
  <c r="P350" i="2"/>
  <c r="L350" i="2"/>
  <c r="K350" i="2"/>
  <c r="H350" i="2"/>
  <c r="I350" i="2" s="1"/>
  <c r="J350" i="2" s="1"/>
  <c r="C350" i="2"/>
  <c r="B350" i="2"/>
  <c r="A350" i="2"/>
  <c r="X349" i="2"/>
  <c r="S349" i="2"/>
  <c r="R349" i="2"/>
  <c r="Q349" i="2"/>
  <c r="P349" i="2"/>
  <c r="L349" i="2"/>
  <c r="K349" i="2"/>
  <c r="H349" i="2"/>
  <c r="I349" i="2" s="1"/>
  <c r="J349" i="2" s="1"/>
  <c r="C349" i="2"/>
  <c r="B349" i="2"/>
  <c r="A349" i="2"/>
  <c r="X348" i="2"/>
  <c r="S348" i="2"/>
  <c r="R348" i="2"/>
  <c r="Q348" i="2"/>
  <c r="P348" i="2"/>
  <c r="L348" i="2"/>
  <c r="K348" i="2"/>
  <c r="H348" i="2"/>
  <c r="I348" i="2" s="1"/>
  <c r="J348" i="2" s="1"/>
  <c r="C348" i="2"/>
  <c r="B348" i="2"/>
  <c r="A348" i="2"/>
  <c r="X347" i="2"/>
  <c r="S347" i="2"/>
  <c r="R347" i="2"/>
  <c r="Q347" i="2"/>
  <c r="P347" i="2"/>
  <c r="L347" i="2"/>
  <c r="K347" i="2"/>
  <c r="H347" i="2"/>
  <c r="I347" i="2" s="1"/>
  <c r="J347" i="2" s="1"/>
  <c r="C347" i="2"/>
  <c r="B347" i="2"/>
  <c r="A347" i="2"/>
  <c r="X346" i="2"/>
  <c r="S346" i="2"/>
  <c r="R346" i="2"/>
  <c r="Q346" i="2"/>
  <c r="P346" i="2"/>
  <c r="L346" i="2"/>
  <c r="K346" i="2"/>
  <c r="H346" i="2"/>
  <c r="I346" i="2" s="1"/>
  <c r="J346" i="2" s="1"/>
  <c r="C346" i="2"/>
  <c r="B346" i="2"/>
  <c r="A346" i="2"/>
  <c r="X345" i="2"/>
  <c r="S345" i="2"/>
  <c r="R345" i="2"/>
  <c r="Q345" i="2"/>
  <c r="P345" i="2"/>
  <c r="L345" i="2"/>
  <c r="K345" i="2"/>
  <c r="H345" i="2"/>
  <c r="I345" i="2" s="1"/>
  <c r="J345" i="2" s="1"/>
  <c r="C345" i="2"/>
  <c r="B345" i="2"/>
  <c r="A345" i="2"/>
  <c r="X344" i="2"/>
  <c r="S344" i="2"/>
  <c r="R344" i="2"/>
  <c r="Q344" i="2"/>
  <c r="P344" i="2"/>
  <c r="L344" i="2"/>
  <c r="K344" i="2"/>
  <c r="H344" i="2"/>
  <c r="I344" i="2" s="1"/>
  <c r="J344" i="2" s="1"/>
  <c r="C344" i="2"/>
  <c r="B344" i="2"/>
  <c r="A344" i="2"/>
  <c r="X343" i="2"/>
  <c r="S343" i="2"/>
  <c r="R343" i="2"/>
  <c r="Q343" i="2"/>
  <c r="P343" i="2"/>
  <c r="L343" i="2"/>
  <c r="K343" i="2"/>
  <c r="H343" i="2"/>
  <c r="I343" i="2" s="1"/>
  <c r="J343" i="2" s="1"/>
  <c r="C343" i="2"/>
  <c r="B343" i="2"/>
  <c r="A343" i="2"/>
  <c r="X342" i="2"/>
  <c r="S342" i="2"/>
  <c r="R342" i="2"/>
  <c r="Q342" i="2"/>
  <c r="P342" i="2"/>
  <c r="L342" i="2"/>
  <c r="K342" i="2"/>
  <c r="H342" i="2"/>
  <c r="I342" i="2" s="1"/>
  <c r="J342" i="2" s="1"/>
  <c r="C342" i="2"/>
  <c r="B342" i="2"/>
  <c r="A342" i="2"/>
  <c r="X341" i="2"/>
  <c r="S341" i="2"/>
  <c r="R341" i="2"/>
  <c r="Q341" i="2"/>
  <c r="P341" i="2"/>
  <c r="L341" i="2"/>
  <c r="K341" i="2"/>
  <c r="H341" i="2"/>
  <c r="I341" i="2" s="1"/>
  <c r="J341" i="2" s="1"/>
  <c r="C341" i="2"/>
  <c r="B341" i="2"/>
  <c r="A341" i="2"/>
  <c r="X340" i="2"/>
  <c r="S340" i="2"/>
  <c r="R340" i="2"/>
  <c r="Q340" i="2"/>
  <c r="P340" i="2"/>
  <c r="L340" i="2"/>
  <c r="K340" i="2"/>
  <c r="H340" i="2"/>
  <c r="I340" i="2" s="1"/>
  <c r="J340" i="2" s="1"/>
  <c r="C340" i="2"/>
  <c r="B340" i="2"/>
  <c r="A340" i="2"/>
  <c r="X339" i="2"/>
  <c r="S339" i="2"/>
  <c r="R339" i="2"/>
  <c r="Q339" i="2"/>
  <c r="P339" i="2"/>
  <c r="L339" i="2"/>
  <c r="K339" i="2"/>
  <c r="H339" i="2"/>
  <c r="I339" i="2" s="1"/>
  <c r="J339" i="2" s="1"/>
  <c r="C339" i="2"/>
  <c r="B339" i="2"/>
  <c r="A339" i="2"/>
  <c r="X338" i="2"/>
  <c r="S338" i="2"/>
  <c r="R338" i="2"/>
  <c r="Q338" i="2"/>
  <c r="P338" i="2"/>
  <c r="L338" i="2"/>
  <c r="K338" i="2"/>
  <c r="H338" i="2"/>
  <c r="I338" i="2" s="1"/>
  <c r="J338" i="2" s="1"/>
  <c r="C338" i="2"/>
  <c r="B338" i="2"/>
  <c r="A338" i="2"/>
  <c r="X337" i="2"/>
  <c r="S337" i="2"/>
  <c r="R337" i="2"/>
  <c r="Q337" i="2"/>
  <c r="P337" i="2"/>
  <c r="L337" i="2"/>
  <c r="K337" i="2"/>
  <c r="H337" i="2"/>
  <c r="I337" i="2" s="1"/>
  <c r="J337" i="2" s="1"/>
  <c r="C337" i="2"/>
  <c r="B337" i="2"/>
  <c r="A337" i="2"/>
  <c r="X336" i="2"/>
  <c r="S336" i="2"/>
  <c r="R336" i="2"/>
  <c r="Q336" i="2"/>
  <c r="P336" i="2"/>
  <c r="L336" i="2"/>
  <c r="K336" i="2"/>
  <c r="H336" i="2"/>
  <c r="I336" i="2" s="1"/>
  <c r="J336" i="2" s="1"/>
  <c r="C336" i="2"/>
  <c r="B336" i="2"/>
  <c r="A336" i="2"/>
  <c r="X335" i="2"/>
  <c r="S335" i="2"/>
  <c r="R335" i="2"/>
  <c r="Q335" i="2"/>
  <c r="P335" i="2"/>
  <c r="L335" i="2"/>
  <c r="K335" i="2"/>
  <c r="H335" i="2"/>
  <c r="I335" i="2" s="1"/>
  <c r="J335" i="2" s="1"/>
  <c r="C335" i="2"/>
  <c r="B335" i="2"/>
  <c r="A335" i="2"/>
  <c r="X334" i="2"/>
  <c r="S334" i="2"/>
  <c r="R334" i="2"/>
  <c r="Q334" i="2"/>
  <c r="P334" i="2"/>
  <c r="L334" i="2"/>
  <c r="K334" i="2"/>
  <c r="H334" i="2"/>
  <c r="I334" i="2" s="1"/>
  <c r="J334" i="2" s="1"/>
  <c r="C334" i="2"/>
  <c r="B334" i="2"/>
  <c r="A334" i="2"/>
  <c r="X333" i="2"/>
  <c r="S333" i="2"/>
  <c r="R333" i="2"/>
  <c r="Q333" i="2"/>
  <c r="P333" i="2"/>
  <c r="L333" i="2"/>
  <c r="K333" i="2"/>
  <c r="H333" i="2"/>
  <c r="I333" i="2" s="1"/>
  <c r="J333" i="2" s="1"/>
  <c r="C333" i="2"/>
  <c r="B333" i="2"/>
  <c r="A333" i="2"/>
  <c r="X332" i="2"/>
  <c r="S332" i="2"/>
  <c r="R332" i="2"/>
  <c r="Q332" i="2"/>
  <c r="P332" i="2"/>
  <c r="L332" i="2"/>
  <c r="K332" i="2"/>
  <c r="H332" i="2"/>
  <c r="I332" i="2" s="1"/>
  <c r="J332" i="2" s="1"/>
  <c r="C332" i="2"/>
  <c r="B332" i="2"/>
  <c r="A332" i="2"/>
  <c r="X331" i="2"/>
  <c r="S331" i="2"/>
  <c r="R331" i="2"/>
  <c r="Q331" i="2"/>
  <c r="P331" i="2"/>
  <c r="L331" i="2"/>
  <c r="K331" i="2"/>
  <c r="H331" i="2"/>
  <c r="I331" i="2" s="1"/>
  <c r="J331" i="2" s="1"/>
  <c r="C331" i="2"/>
  <c r="B331" i="2"/>
  <c r="A331" i="2"/>
  <c r="X330" i="2"/>
  <c r="S330" i="2"/>
  <c r="R330" i="2"/>
  <c r="Q330" i="2"/>
  <c r="P330" i="2"/>
  <c r="L330" i="2"/>
  <c r="K330" i="2"/>
  <c r="H330" i="2"/>
  <c r="I330" i="2" s="1"/>
  <c r="J330" i="2" s="1"/>
  <c r="C330" i="2"/>
  <c r="B330" i="2"/>
  <c r="A330" i="2"/>
  <c r="X329" i="2"/>
  <c r="S329" i="2"/>
  <c r="R329" i="2"/>
  <c r="Q329" i="2"/>
  <c r="P329" i="2"/>
  <c r="L329" i="2"/>
  <c r="K329" i="2"/>
  <c r="H329" i="2"/>
  <c r="I329" i="2" s="1"/>
  <c r="J329" i="2" s="1"/>
  <c r="C329" i="2"/>
  <c r="B329" i="2"/>
  <c r="A329" i="2"/>
  <c r="X328" i="2"/>
  <c r="S328" i="2"/>
  <c r="R328" i="2"/>
  <c r="Q328" i="2"/>
  <c r="P328" i="2"/>
  <c r="L328" i="2"/>
  <c r="K328" i="2"/>
  <c r="H328" i="2"/>
  <c r="I328" i="2" s="1"/>
  <c r="J328" i="2" s="1"/>
  <c r="C328" i="2"/>
  <c r="B328" i="2"/>
  <c r="A328" i="2"/>
  <c r="X327" i="2"/>
  <c r="S327" i="2"/>
  <c r="R327" i="2"/>
  <c r="Q327" i="2"/>
  <c r="P327" i="2"/>
  <c r="L327" i="2"/>
  <c r="K327" i="2"/>
  <c r="H327" i="2"/>
  <c r="I327" i="2" s="1"/>
  <c r="J327" i="2" s="1"/>
  <c r="C327" i="2"/>
  <c r="B327" i="2"/>
  <c r="A327" i="2"/>
  <c r="J327" i="4" s="1"/>
  <c r="X326" i="2"/>
  <c r="S326" i="2"/>
  <c r="R326" i="2"/>
  <c r="Q326" i="2"/>
  <c r="P326" i="2"/>
  <c r="L326" i="2"/>
  <c r="K326" i="2"/>
  <c r="H326" i="2"/>
  <c r="I326" i="2" s="1"/>
  <c r="J326" i="2" s="1"/>
  <c r="C326" i="2"/>
  <c r="B326" i="2"/>
  <c r="A326" i="2"/>
  <c r="J326" i="4" s="1"/>
  <c r="X325" i="2"/>
  <c r="S325" i="2"/>
  <c r="R325" i="2"/>
  <c r="Q325" i="2"/>
  <c r="P325" i="2"/>
  <c r="L325" i="2"/>
  <c r="K325" i="2"/>
  <c r="H325" i="2"/>
  <c r="I325" i="2" s="1"/>
  <c r="J325" i="2" s="1"/>
  <c r="C325" i="2"/>
  <c r="B325" i="2"/>
  <c r="A325" i="2"/>
  <c r="J325" i="4" s="1"/>
  <c r="X324" i="2"/>
  <c r="S324" i="2"/>
  <c r="R324" i="2"/>
  <c r="Q324" i="2"/>
  <c r="P324" i="2"/>
  <c r="L324" i="2"/>
  <c r="K324" i="2"/>
  <c r="H324" i="2"/>
  <c r="I324" i="2" s="1"/>
  <c r="J324" i="2" s="1"/>
  <c r="C324" i="2"/>
  <c r="B324" i="2"/>
  <c r="A324" i="2"/>
  <c r="J324" i="4" s="1"/>
  <c r="X323" i="2"/>
  <c r="S323" i="2"/>
  <c r="R323" i="2"/>
  <c r="Q323" i="2"/>
  <c r="P323" i="2"/>
  <c r="L323" i="2"/>
  <c r="K323" i="2"/>
  <c r="H323" i="2"/>
  <c r="I323" i="2" s="1"/>
  <c r="J323" i="2" s="1"/>
  <c r="C323" i="2"/>
  <c r="B323" i="2"/>
  <c r="A323" i="2"/>
  <c r="J323" i="4" s="1"/>
  <c r="X322" i="2"/>
  <c r="S322" i="2"/>
  <c r="R322" i="2"/>
  <c r="Q322" i="2"/>
  <c r="P322" i="2"/>
  <c r="L322" i="2"/>
  <c r="K322" i="2"/>
  <c r="H322" i="2"/>
  <c r="I322" i="2" s="1"/>
  <c r="J322" i="2" s="1"/>
  <c r="C322" i="2"/>
  <c r="B322" i="2"/>
  <c r="A322" i="2"/>
  <c r="J322" i="4" s="1"/>
  <c r="X321" i="2"/>
  <c r="S321" i="2"/>
  <c r="R321" i="2"/>
  <c r="Q321" i="2"/>
  <c r="P321" i="2"/>
  <c r="L321" i="2"/>
  <c r="K321" i="2"/>
  <c r="H321" i="2"/>
  <c r="I321" i="2" s="1"/>
  <c r="J321" i="2" s="1"/>
  <c r="C321" i="2"/>
  <c r="B321" i="2"/>
  <c r="A321" i="2"/>
  <c r="J321" i="4" s="1"/>
  <c r="X320" i="2"/>
  <c r="S320" i="2"/>
  <c r="R320" i="2"/>
  <c r="Q320" i="2"/>
  <c r="P320" i="2"/>
  <c r="L320" i="2"/>
  <c r="K320" i="2"/>
  <c r="H320" i="2"/>
  <c r="I320" i="2" s="1"/>
  <c r="J320" i="2" s="1"/>
  <c r="C320" i="2"/>
  <c r="B320" i="2"/>
  <c r="A320" i="2"/>
  <c r="J320" i="4" s="1"/>
  <c r="X319" i="2"/>
  <c r="S319" i="2"/>
  <c r="R319" i="2"/>
  <c r="Q319" i="2"/>
  <c r="P319" i="2"/>
  <c r="L319" i="2"/>
  <c r="K319" i="2"/>
  <c r="H319" i="2"/>
  <c r="I319" i="2" s="1"/>
  <c r="J319" i="2" s="1"/>
  <c r="C319" i="2"/>
  <c r="B319" i="2"/>
  <c r="A319" i="2"/>
  <c r="J319" i="4" s="1"/>
  <c r="X318" i="2"/>
  <c r="S318" i="2"/>
  <c r="R318" i="2"/>
  <c r="Q318" i="2"/>
  <c r="P318" i="2"/>
  <c r="L318" i="2"/>
  <c r="K318" i="2"/>
  <c r="H318" i="2"/>
  <c r="I318" i="2" s="1"/>
  <c r="J318" i="2" s="1"/>
  <c r="C318" i="2"/>
  <c r="B318" i="2"/>
  <c r="A318" i="2"/>
  <c r="J318" i="4" s="1"/>
  <c r="X317" i="2"/>
  <c r="S317" i="2"/>
  <c r="R317" i="2"/>
  <c r="Q317" i="2"/>
  <c r="P317" i="2"/>
  <c r="L317" i="2"/>
  <c r="K317" i="2"/>
  <c r="H317" i="2"/>
  <c r="I317" i="2" s="1"/>
  <c r="J317" i="2" s="1"/>
  <c r="C317" i="2"/>
  <c r="B317" i="2"/>
  <c r="A317" i="2"/>
  <c r="X316" i="2"/>
  <c r="S316" i="2"/>
  <c r="R316" i="2"/>
  <c r="Q316" i="2"/>
  <c r="P316" i="2"/>
  <c r="L316" i="2"/>
  <c r="K316" i="2"/>
  <c r="H316" i="2"/>
  <c r="I316" i="2" s="1"/>
  <c r="J316" i="2" s="1"/>
  <c r="C316" i="2"/>
  <c r="B316" i="2"/>
  <c r="A316" i="2"/>
  <c r="X315" i="2"/>
  <c r="S315" i="2"/>
  <c r="R315" i="2"/>
  <c r="Q315" i="2"/>
  <c r="P315" i="2"/>
  <c r="L315" i="2"/>
  <c r="K315" i="2"/>
  <c r="H315" i="2"/>
  <c r="I315" i="2" s="1"/>
  <c r="J315" i="2" s="1"/>
  <c r="C315" i="2"/>
  <c r="B315" i="2"/>
  <c r="A315" i="2"/>
  <c r="X314" i="2"/>
  <c r="S314" i="2"/>
  <c r="R314" i="2"/>
  <c r="Q314" i="2"/>
  <c r="P314" i="2"/>
  <c r="L314" i="2"/>
  <c r="K314" i="2"/>
  <c r="H314" i="2"/>
  <c r="I314" i="2" s="1"/>
  <c r="J314" i="2" s="1"/>
  <c r="C314" i="2"/>
  <c r="B314" i="2"/>
  <c r="A314" i="2"/>
  <c r="X313" i="2"/>
  <c r="S313" i="2"/>
  <c r="R313" i="2"/>
  <c r="Q313" i="2"/>
  <c r="P313" i="2"/>
  <c r="L313" i="2"/>
  <c r="K313" i="2"/>
  <c r="H313" i="2"/>
  <c r="I313" i="2" s="1"/>
  <c r="J313" i="2" s="1"/>
  <c r="C313" i="2"/>
  <c r="B313" i="2"/>
  <c r="A313" i="2"/>
  <c r="X312" i="2"/>
  <c r="S312" i="2"/>
  <c r="R312" i="2"/>
  <c r="Q312" i="2"/>
  <c r="P312" i="2"/>
  <c r="L312" i="2"/>
  <c r="K312" i="2"/>
  <c r="H312" i="2"/>
  <c r="I312" i="2" s="1"/>
  <c r="J312" i="2" s="1"/>
  <c r="C312" i="2"/>
  <c r="B312" i="2"/>
  <c r="A312" i="2"/>
  <c r="X311" i="2"/>
  <c r="S311" i="2"/>
  <c r="R311" i="2"/>
  <c r="Q311" i="2"/>
  <c r="P311" i="2"/>
  <c r="L311" i="2"/>
  <c r="K311" i="2"/>
  <c r="H311" i="2"/>
  <c r="I311" i="2" s="1"/>
  <c r="J311" i="2" s="1"/>
  <c r="C311" i="2"/>
  <c r="B311" i="2"/>
  <c r="A311" i="2"/>
  <c r="X310" i="2"/>
  <c r="S310" i="2"/>
  <c r="R310" i="2"/>
  <c r="Q310" i="2"/>
  <c r="P310" i="2"/>
  <c r="L310" i="2"/>
  <c r="K310" i="2"/>
  <c r="H310" i="2"/>
  <c r="I310" i="2" s="1"/>
  <c r="J310" i="2" s="1"/>
  <c r="C310" i="2"/>
  <c r="B310" i="2"/>
  <c r="A310" i="2"/>
  <c r="X309" i="2"/>
  <c r="S309" i="2"/>
  <c r="R309" i="2"/>
  <c r="Q309" i="2"/>
  <c r="P309" i="2"/>
  <c r="L309" i="2"/>
  <c r="K309" i="2"/>
  <c r="H309" i="2"/>
  <c r="I309" i="2" s="1"/>
  <c r="J309" i="2" s="1"/>
  <c r="C309" i="2"/>
  <c r="B309" i="2"/>
  <c r="A309" i="2"/>
  <c r="X308" i="2"/>
  <c r="S308" i="2"/>
  <c r="R308" i="2"/>
  <c r="Q308" i="2"/>
  <c r="P308" i="2"/>
  <c r="L308" i="2"/>
  <c r="K308" i="2"/>
  <c r="H308" i="2"/>
  <c r="I308" i="2" s="1"/>
  <c r="J308" i="2" s="1"/>
  <c r="C308" i="2"/>
  <c r="B308" i="2"/>
  <c r="A308" i="2"/>
  <c r="X307" i="2"/>
  <c r="S307" i="2"/>
  <c r="R307" i="2"/>
  <c r="Q307" i="2"/>
  <c r="P307" i="2"/>
  <c r="L307" i="2"/>
  <c r="K307" i="2"/>
  <c r="H307" i="2"/>
  <c r="I307" i="2" s="1"/>
  <c r="J307" i="2" s="1"/>
  <c r="C307" i="2"/>
  <c r="B307" i="2"/>
  <c r="A307" i="2"/>
  <c r="X306" i="2"/>
  <c r="S306" i="2"/>
  <c r="R306" i="2"/>
  <c r="Q306" i="2"/>
  <c r="P306" i="2"/>
  <c r="L306" i="2"/>
  <c r="K306" i="2"/>
  <c r="H306" i="2"/>
  <c r="I306" i="2" s="1"/>
  <c r="J306" i="2" s="1"/>
  <c r="C306" i="2"/>
  <c r="B306" i="2"/>
  <c r="A306" i="2"/>
  <c r="X305" i="2"/>
  <c r="S305" i="2"/>
  <c r="R305" i="2"/>
  <c r="Q305" i="2"/>
  <c r="P305" i="2"/>
  <c r="L305" i="2"/>
  <c r="K305" i="2"/>
  <c r="H305" i="2"/>
  <c r="I305" i="2" s="1"/>
  <c r="J305" i="2" s="1"/>
  <c r="C305" i="2"/>
  <c r="B305" i="2"/>
  <c r="A305" i="2"/>
  <c r="X304" i="2"/>
  <c r="S304" i="2"/>
  <c r="R304" i="2"/>
  <c r="Q304" i="2"/>
  <c r="P304" i="2"/>
  <c r="L304" i="2"/>
  <c r="K304" i="2"/>
  <c r="H304" i="2"/>
  <c r="I304" i="2" s="1"/>
  <c r="J304" i="2" s="1"/>
  <c r="C304" i="2"/>
  <c r="B304" i="2"/>
  <c r="A304" i="2"/>
  <c r="X303" i="2"/>
  <c r="S303" i="2"/>
  <c r="R303" i="2"/>
  <c r="Q303" i="2"/>
  <c r="P303" i="2"/>
  <c r="L303" i="2"/>
  <c r="K303" i="2"/>
  <c r="H303" i="2"/>
  <c r="I303" i="2" s="1"/>
  <c r="J303" i="2" s="1"/>
  <c r="C303" i="2"/>
  <c r="B303" i="2"/>
  <c r="A303" i="2"/>
  <c r="X302" i="2"/>
  <c r="S302" i="2"/>
  <c r="R302" i="2"/>
  <c r="Q302" i="2"/>
  <c r="P302" i="2"/>
  <c r="L302" i="2"/>
  <c r="K302" i="2"/>
  <c r="H302" i="2"/>
  <c r="I302" i="2" s="1"/>
  <c r="J302" i="2" s="1"/>
  <c r="C302" i="2"/>
  <c r="B302" i="2"/>
  <c r="A302" i="2"/>
  <c r="X301" i="2"/>
  <c r="S301" i="2"/>
  <c r="R301" i="2"/>
  <c r="Q301" i="2"/>
  <c r="P301" i="2"/>
  <c r="L301" i="2"/>
  <c r="K301" i="2"/>
  <c r="H301" i="2"/>
  <c r="I301" i="2" s="1"/>
  <c r="J301" i="2" s="1"/>
  <c r="C301" i="2"/>
  <c r="B301" i="2"/>
  <c r="A301" i="2"/>
  <c r="X300" i="2"/>
  <c r="S300" i="2"/>
  <c r="R300" i="2"/>
  <c r="Q300" i="2"/>
  <c r="P300" i="2"/>
  <c r="L300" i="2"/>
  <c r="K300" i="2"/>
  <c r="H300" i="2"/>
  <c r="I300" i="2" s="1"/>
  <c r="J300" i="2" s="1"/>
  <c r="C300" i="2"/>
  <c r="B300" i="2"/>
  <c r="A300" i="2"/>
  <c r="X299" i="2"/>
  <c r="S299" i="2"/>
  <c r="R299" i="2"/>
  <c r="Q299" i="2"/>
  <c r="P299" i="2"/>
  <c r="L299" i="2"/>
  <c r="K299" i="2"/>
  <c r="H299" i="2"/>
  <c r="I299" i="2" s="1"/>
  <c r="J299" i="2" s="1"/>
  <c r="C299" i="2"/>
  <c r="B299" i="2"/>
  <c r="A299" i="2"/>
  <c r="X298" i="2"/>
  <c r="S298" i="2"/>
  <c r="R298" i="2"/>
  <c r="Q298" i="2"/>
  <c r="P298" i="2"/>
  <c r="L298" i="2"/>
  <c r="K298" i="2"/>
  <c r="H298" i="2"/>
  <c r="I298" i="2" s="1"/>
  <c r="J298" i="2" s="1"/>
  <c r="C298" i="2"/>
  <c r="B298" i="2"/>
  <c r="A298" i="2"/>
  <c r="X297" i="2"/>
  <c r="S297" i="2"/>
  <c r="R297" i="2"/>
  <c r="Q297" i="2"/>
  <c r="P297" i="2"/>
  <c r="L297" i="2"/>
  <c r="K297" i="2"/>
  <c r="H297" i="2"/>
  <c r="I297" i="2" s="1"/>
  <c r="J297" i="2" s="1"/>
  <c r="C297" i="2"/>
  <c r="B297" i="2"/>
  <c r="A297" i="2"/>
  <c r="X296" i="2"/>
  <c r="S296" i="2"/>
  <c r="R296" i="2"/>
  <c r="Q296" i="2"/>
  <c r="P296" i="2"/>
  <c r="L296" i="2"/>
  <c r="K296" i="2"/>
  <c r="H296" i="2"/>
  <c r="I296" i="2" s="1"/>
  <c r="J296" i="2" s="1"/>
  <c r="C296" i="2"/>
  <c r="B296" i="2"/>
  <c r="A296" i="2"/>
  <c r="X295" i="2"/>
  <c r="S295" i="2"/>
  <c r="R295" i="2"/>
  <c r="Q295" i="2"/>
  <c r="P295" i="2"/>
  <c r="L295" i="2"/>
  <c r="K295" i="2"/>
  <c r="H295" i="2"/>
  <c r="I295" i="2" s="1"/>
  <c r="J295" i="2" s="1"/>
  <c r="C295" i="2"/>
  <c r="B295" i="2"/>
  <c r="A295" i="2"/>
  <c r="X294" i="2"/>
  <c r="S294" i="2"/>
  <c r="R294" i="2"/>
  <c r="Q294" i="2"/>
  <c r="P294" i="2"/>
  <c r="L294" i="2"/>
  <c r="K294" i="2"/>
  <c r="H294" i="2"/>
  <c r="I294" i="2" s="1"/>
  <c r="J294" i="2" s="1"/>
  <c r="C294" i="2"/>
  <c r="B294" i="2"/>
  <c r="A294" i="2"/>
  <c r="X293" i="2"/>
  <c r="S293" i="2"/>
  <c r="R293" i="2"/>
  <c r="Q293" i="2"/>
  <c r="P293" i="2"/>
  <c r="L293" i="2"/>
  <c r="K293" i="2"/>
  <c r="H293" i="2"/>
  <c r="I293" i="2" s="1"/>
  <c r="J293" i="2" s="1"/>
  <c r="C293" i="2"/>
  <c r="B293" i="2"/>
  <c r="A293" i="2"/>
  <c r="X292" i="2"/>
  <c r="S292" i="2"/>
  <c r="R292" i="2"/>
  <c r="Q292" i="2"/>
  <c r="P292" i="2"/>
  <c r="L292" i="2"/>
  <c r="K292" i="2"/>
  <c r="H292" i="2"/>
  <c r="I292" i="2" s="1"/>
  <c r="J292" i="2" s="1"/>
  <c r="C292" i="2"/>
  <c r="B292" i="2"/>
  <c r="A292" i="2"/>
  <c r="X291" i="2"/>
  <c r="S291" i="2"/>
  <c r="R291" i="2"/>
  <c r="Q291" i="2"/>
  <c r="P291" i="2"/>
  <c r="L291" i="2"/>
  <c r="K291" i="2"/>
  <c r="H291" i="2"/>
  <c r="I291" i="2" s="1"/>
  <c r="J291" i="2" s="1"/>
  <c r="C291" i="2"/>
  <c r="B291" i="2"/>
  <c r="A291" i="2"/>
  <c r="X290" i="2"/>
  <c r="S290" i="2"/>
  <c r="R290" i="2"/>
  <c r="Q290" i="2"/>
  <c r="P290" i="2"/>
  <c r="L290" i="2"/>
  <c r="K290" i="2"/>
  <c r="H290" i="2"/>
  <c r="I290" i="2" s="1"/>
  <c r="J290" i="2" s="1"/>
  <c r="C290" i="2"/>
  <c r="B290" i="2"/>
  <c r="A290" i="2"/>
  <c r="X289" i="2"/>
  <c r="S289" i="2"/>
  <c r="R289" i="2"/>
  <c r="Q289" i="2"/>
  <c r="P289" i="2"/>
  <c r="L289" i="2"/>
  <c r="K289" i="2"/>
  <c r="H289" i="2"/>
  <c r="I289" i="2" s="1"/>
  <c r="J289" i="2" s="1"/>
  <c r="C289" i="2"/>
  <c r="B289" i="2"/>
  <c r="A289" i="2"/>
  <c r="X288" i="2"/>
  <c r="S288" i="2"/>
  <c r="R288" i="2"/>
  <c r="Q288" i="2"/>
  <c r="P288" i="2"/>
  <c r="L288" i="2"/>
  <c r="K288" i="2"/>
  <c r="H288" i="2"/>
  <c r="I288" i="2" s="1"/>
  <c r="J288" i="2" s="1"/>
  <c r="C288" i="2"/>
  <c r="B288" i="2"/>
  <c r="A288" i="2"/>
  <c r="X287" i="2"/>
  <c r="S287" i="2"/>
  <c r="R287" i="2"/>
  <c r="Q287" i="2"/>
  <c r="P287" i="2"/>
  <c r="L287" i="2"/>
  <c r="K287" i="2"/>
  <c r="H287" i="2"/>
  <c r="I287" i="2" s="1"/>
  <c r="J287" i="2" s="1"/>
  <c r="C287" i="2"/>
  <c r="B287" i="2"/>
  <c r="A287" i="2"/>
  <c r="X286" i="2"/>
  <c r="S286" i="2"/>
  <c r="R286" i="2"/>
  <c r="Q286" i="2"/>
  <c r="P286" i="2"/>
  <c r="L286" i="2"/>
  <c r="K286" i="2"/>
  <c r="H286" i="2"/>
  <c r="I286" i="2" s="1"/>
  <c r="J286" i="2" s="1"/>
  <c r="C286" i="2"/>
  <c r="B286" i="2"/>
  <c r="A286" i="2"/>
  <c r="X285" i="2"/>
  <c r="S285" i="2"/>
  <c r="R285" i="2"/>
  <c r="Q285" i="2"/>
  <c r="P285" i="2"/>
  <c r="L285" i="2"/>
  <c r="K285" i="2"/>
  <c r="H285" i="2"/>
  <c r="I285" i="2" s="1"/>
  <c r="J285" i="2" s="1"/>
  <c r="C285" i="2"/>
  <c r="B285" i="2"/>
  <c r="A285" i="2"/>
  <c r="X284" i="2"/>
  <c r="S284" i="2"/>
  <c r="R284" i="2"/>
  <c r="Q284" i="2"/>
  <c r="P284" i="2"/>
  <c r="L284" i="2"/>
  <c r="K284" i="2"/>
  <c r="H284" i="2"/>
  <c r="I284" i="2" s="1"/>
  <c r="J284" i="2" s="1"/>
  <c r="C284" i="2"/>
  <c r="B284" i="2"/>
  <c r="A284" i="2"/>
  <c r="X283" i="2"/>
  <c r="S283" i="2"/>
  <c r="R283" i="2"/>
  <c r="Q283" i="2"/>
  <c r="P283" i="2"/>
  <c r="L283" i="2"/>
  <c r="K283" i="2"/>
  <c r="H283" i="2"/>
  <c r="I283" i="2" s="1"/>
  <c r="J283" i="2" s="1"/>
  <c r="C283" i="2"/>
  <c r="B283" i="2"/>
  <c r="A283" i="2"/>
  <c r="X282" i="2"/>
  <c r="S282" i="2"/>
  <c r="R282" i="2"/>
  <c r="Q282" i="2"/>
  <c r="P282" i="2"/>
  <c r="L282" i="2"/>
  <c r="K282" i="2"/>
  <c r="H282" i="2"/>
  <c r="I282" i="2" s="1"/>
  <c r="J282" i="2" s="1"/>
  <c r="C282" i="2"/>
  <c r="B282" i="2"/>
  <c r="A282" i="2"/>
  <c r="X281" i="2"/>
  <c r="S281" i="2"/>
  <c r="R281" i="2"/>
  <c r="Q281" i="2"/>
  <c r="P281" i="2"/>
  <c r="L281" i="2"/>
  <c r="K281" i="2"/>
  <c r="H281" i="2"/>
  <c r="I281" i="2" s="1"/>
  <c r="J281" i="2" s="1"/>
  <c r="C281" i="2"/>
  <c r="B281" i="2"/>
  <c r="A281" i="2"/>
  <c r="X280" i="2"/>
  <c r="S280" i="2"/>
  <c r="R280" i="2"/>
  <c r="Q280" i="2"/>
  <c r="P280" i="2"/>
  <c r="L280" i="2"/>
  <c r="K280" i="2"/>
  <c r="H280" i="2"/>
  <c r="I280" i="2" s="1"/>
  <c r="J280" i="2" s="1"/>
  <c r="C280" i="2"/>
  <c r="B280" i="2"/>
  <c r="A280" i="2"/>
  <c r="X279" i="2"/>
  <c r="S279" i="2"/>
  <c r="Q279" i="2"/>
  <c r="P279" i="2"/>
  <c r="L279" i="2"/>
  <c r="K279" i="2"/>
  <c r="H279" i="2"/>
  <c r="I279" i="2" s="1"/>
  <c r="J279" i="2" s="1"/>
  <c r="C279" i="2"/>
  <c r="B279" i="2"/>
  <c r="A279" i="2"/>
  <c r="X278" i="2"/>
  <c r="S278" i="2"/>
  <c r="R278" i="2"/>
  <c r="Q278" i="2"/>
  <c r="P278" i="2"/>
  <c r="L278" i="2"/>
  <c r="K278" i="2"/>
  <c r="H278" i="2"/>
  <c r="I278" i="2" s="1"/>
  <c r="J278" i="2" s="1"/>
  <c r="C278" i="2"/>
  <c r="B278" i="2"/>
  <c r="A278" i="2"/>
  <c r="X277" i="2"/>
  <c r="S277" i="2"/>
  <c r="R277" i="2"/>
  <c r="Q277" i="2"/>
  <c r="P277" i="2"/>
  <c r="L277" i="2"/>
  <c r="K277" i="2"/>
  <c r="H277" i="2"/>
  <c r="I277" i="2" s="1"/>
  <c r="J277" i="2" s="1"/>
  <c r="C277" i="2"/>
  <c r="B277" i="2"/>
  <c r="A277" i="2"/>
  <c r="X276" i="2"/>
  <c r="S276" i="2"/>
  <c r="R276" i="2"/>
  <c r="Q276" i="2"/>
  <c r="P276" i="2"/>
  <c r="L276" i="2"/>
  <c r="K276" i="2"/>
  <c r="H276" i="2"/>
  <c r="I276" i="2" s="1"/>
  <c r="J276" i="2" s="1"/>
  <c r="C276" i="2"/>
  <c r="B276" i="2"/>
  <c r="A276" i="2"/>
  <c r="X275" i="2"/>
  <c r="S275" i="2"/>
  <c r="R275" i="2"/>
  <c r="Q275" i="2"/>
  <c r="P275" i="2"/>
  <c r="L275" i="2"/>
  <c r="K275" i="2"/>
  <c r="H275" i="2"/>
  <c r="I275" i="2" s="1"/>
  <c r="J275" i="2" s="1"/>
  <c r="C275" i="2"/>
  <c r="B275" i="2"/>
  <c r="A275" i="2"/>
  <c r="X274" i="2"/>
  <c r="S274" i="2"/>
  <c r="R274" i="2"/>
  <c r="Q274" i="2"/>
  <c r="P274" i="2"/>
  <c r="L274" i="2"/>
  <c r="K274" i="2"/>
  <c r="H274" i="2"/>
  <c r="I274" i="2" s="1"/>
  <c r="J274" i="2" s="1"/>
  <c r="C274" i="2"/>
  <c r="B274" i="2"/>
  <c r="A274" i="2"/>
  <c r="X273" i="2"/>
  <c r="S273" i="2"/>
  <c r="R273" i="2"/>
  <c r="Q273" i="2"/>
  <c r="P273" i="2"/>
  <c r="L273" i="2"/>
  <c r="K273" i="2"/>
  <c r="H273" i="2"/>
  <c r="I273" i="2" s="1"/>
  <c r="J273" i="2" s="1"/>
  <c r="C273" i="2"/>
  <c r="B273" i="2"/>
  <c r="A273" i="2"/>
  <c r="X272" i="2"/>
  <c r="S272" i="2"/>
  <c r="R272" i="2"/>
  <c r="Q272" i="2"/>
  <c r="P272" i="2"/>
  <c r="L272" i="2"/>
  <c r="K272" i="2"/>
  <c r="H272" i="2"/>
  <c r="I272" i="2" s="1"/>
  <c r="J272" i="2" s="1"/>
  <c r="C272" i="2"/>
  <c r="B272" i="2"/>
  <c r="A272" i="2"/>
  <c r="X271" i="2"/>
  <c r="S271" i="2"/>
  <c r="R271" i="2"/>
  <c r="Q271" i="2"/>
  <c r="P271" i="2"/>
  <c r="L271" i="2"/>
  <c r="K271" i="2"/>
  <c r="H271" i="2"/>
  <c r="I271" i="2" s="1"/>
  <c r="J271" i="2" s="1"/>
  <c r="C271" i="2"/>
  <c r="B271" i="2"/>
  <c r="A271" i="2"/>
  <c r="X270" i="2"/>
  <c r="S270" i="2"/>
  <c r="R270" i="2"/>
  <c r="Q270" i="2"/>
  <c r="P270" i="2"/>
  <c r="L270" i="2"/>
  <c r="K270" i="2"/>
  <c r="H270" i="2"/>
  <c r="I270" i="2" s="1"/>
  <c r="J270" i="2" s="1"/>
  <c r="C270" i="2"/>
  <c r="B270" i="2"/>
  <c r="A270" i="2"/>
  <c r="X269" i="2"/>
  <c r="S269" i="2"/>
  <c r="R269" i="2"/>
  <c r="Q269" i="2"/>
  <c r="P269" i="2"/>
  <c r="L269" i="2"/>
  <c r="K269" i="2"/>
  <c r="H269" i="2"/>
  <c r="I269" i="2" s="1"/>
  <c r="J269" i="2" s="1"/>
  <c r="C269" i="2"/>
  <c r="B269" i="2"/>
  <c r="A269" i="2"/>
  <c r="X268" i="2"/>
  <c r="S268" i="2"/>
  <c r="R268" i="2"/>
  <c r="Q268" i="2"/>
  <c r="P268" i="2"/>
  <c r="L268" i="2"/>
  <c r="K268" i="2"/>
  <c r="H268" i="2"/>
  <c r="I268" i="2" s="1"/>
  <c r="J268" i="2" s="1"/>
  <c r="C268" i="2"/>
  <c r="B268" i="2"/>
  <c r="A268" i="2"/>
  <c r="X267" i="2"/>
  <c r="S267" i="2"/>
  <c r="R267" i="2"/>
  <c r="Q267" i="2"/>
  <c r="P267" i="2"/>
  <c r="L267" i="2"/>
  <c r="K267" i="2"/>
  <c r="H267" i="2"/>
  <c r="I267" i="2" s="1"/>
  <c r="J267" i="2" s="1"/>
  <c r="C267" i="2"/>
  <c r="B267" i="2"/>
  <c r="A267" i="2"/>
  <c r="X266" i="2"/>
  <c r="S266" i="2"/>
  <c r="R266" i="2"/>
  <c r="Q266" i="2"/>
  <c r="P266" i="2"/>
  <c r="L266" i="2"/>
  <c r="K266" i="2"/>
  <c r="H266" i="2"/>
  <c r="I266" i="2" s="1"/>
  <c r="J266" i="2" s="1"/>
  <c r="C266" i="2"/>
  <c r="B266" i="2"/>
  <c r="A266" i="2"/>
  <c r="X265" i="2"/>
  <c r="S265" i="2"/>
  <c r="R265" i="2"/>
  <c r="Q265" i="2"/>
  <c r="P265" i="2"/>
  <c r="L265" i="2"/>
  <c r="K265" i="2"/>
  <c r="H265" i="2"/>
  <c r="I265" i="2" s="1"/>
  <c r="J265" i="2" s="1"/>
  <c r="C265" i="2"/>
  <c r="B265" i="2"/>
  <c r="A265" i="2"/>
  <c r="X264" i="2"/>
  <c r="S264" i="2"/>
  <c r="R264" i="2"/>
  <c r="Q264" i="2"/>
  <c r="P264" i="2"/>
  <c r="L264" i="2"/>
  <c r="K264" i="2"/>
  <c r="H264" i="2"/>
  <c r="I264" i="2" s="1"/>
  <c r="J264" i="2" s="1"/>
  <c r="C264" i="2"/>
  <c r="B264" i="2"/>
  <c r="A264" i="2"/>
  <c r="X263" i="2"/>
  <c r="S263" i="2"/>
  <c r="R263" i="2"/>
  <c r="Q263" i="2"/>
  <c r="P263" i="2"/>
  <c r="L263" i="2"/>
  <c r="K263" i="2"/>
  <c r="H263" i="2"/>
  <c r="I263" i="2" s="1"/>
  <c r="J263" i="2" s="1"/>
  <c r="C263" i="2"/>
  <c r="B263" i="2"/>
  <c r="A263" i="2"/>
  <c r="X262" i="2"/>
  <c r="S262" i="2"/>
  <c r="R262" i="2"/>
  <c r="Q262" i="2"/>
  <c r="P262" i="2"/>
  <c r="L262" i="2"/>
  <c r="K262" i="2"/>
  <c r="H262" i="2"/>
  <c r="I262" i="2" s="1"/>
  <c r="J262" i="2" s="1"/>
  <c r="C262" i="2"/>
  <c r="B262" i="2"/>
  <c r="A262" i="2"/>
  <c r="X261" i="2"/>
  <c r="S261" i="2"/>
  <c r="R261" i="2"/>
  <c r="Q261" i="2"/>
  <c r="P261" i="2"/>
  <c r="L261" i="2"/>
  <c r="K261" i="2"/>
  <c r="H261" i="2"/>
  <c r="I261" i="2" s="1"/>
  <c r="J261" i="2" s="1"/>
  <c r="C261" i="2"/>
  <c r="B261" i="2"/>
  <c r="A261" i="2"/>
  <c r="X260" i="2"/>
  <c r="S260" i="2"/>
  <c r="R260" i="2"/>
  <c r="Q260" i="2"/>
  <c r="P260" i="2"/>
  <c r="L260" i="2"/>
  <c r="K260" i="2"/>
  <c r="H260" i="2"/>
  <c r="I260" i="2" s="1"/>
  <c r="J260" i="2" s="1"/>
  <c r="C260" i="2"/>
  <c r="B260" i="2"/>
  <c r="A260" i="2"/>
  <c r="X259" i="2"/>
  <c r="S259" i="2"/>
  <c r="R259" i="2"/>
  <c r="Q259" i="2"/>
  <c r="P259" i="2"/>
  <c r="L259" i="2"/>
  <c r="K259" i="2"/>
  <c r="H259" i="2"/>
  <c r="I259" i="2" s="1"/>
  <c r="J259" i="2" s="1"/>
  <c r="C259" i="2"/>
  <c r="B259" i="2"/>
  <c r="A259" i="2"/>
  <c r="X258" i="2"/>
  <c r="S258" i="2"/>
  <c r="R258" i="2"/>
  <c r="Q258" i="2"/>
  <c r="P258" i="2"/>
  <c r="L258" i="2"/>
  <c r="K258" i="2"/>
  <c r="H258" i="2"/>
  <c r="I258" i="2" s="1"/>
  <c r="J258" i="2" s="1"/>
  <c r="C258" i="2"/>
  <c r="B258" i="2"/>
  <c r="A258" i="2"/>
  <c r="X257" i="2"/>
  <c r="S257" i="2"/>
  <c r="R257" i="2"/>
  <c r="Q257" i="2"/>
  <c r="P257" i="2"/>
  <c r="L257" i="2"/>
  <c r="K257" i="2"/>
  <c r="H257" i="2"/>
  <c r="I257" i="2" s="1"/>
  <c r="J257" i="2" s="1"/>
  <c r="C257" i="2"/>
  <c r="B257" i="2"/>
  <c r="A257" i="2"/>
  <c r="X256" i="2"/>
  <c r="S256" i="2"/>
  <c r="R256" i="2"/>
  <c r="Q256" i="2"/>
  <c r="P256" i="2"/>
  <c r="L256" i="2"/>
  <c r="K256" i="2"/>
  <c r="H256" i="2"/>
  <c r="I256" i="2" s="1"/>
  <c r="J256" i="2" s="1"/>
  <c r="C256" i="2"/>
  <c r="B256" i="2"/>
  <c r="A256" i="2"/>
  <c r="X255" i="2"/>
  <c r="S255" i="2"/>
  <c r="R255" i="2"/>
  <c r="Q255" i="2"/>
  <c r="P255" i="2"/>
  <c r="L255" i="2"/>
  <c r="K255" i="2"/>
  <c r="H255" i="2"/>
  <c r="I255" i="2" s="1"/>
  <c r="J255" i="2" s="1"/>
  <c r="C255" i="2"/>
  <c r="B255" i="2"/>
  <c r="A255" i="2"/>
  <c r="X254" i="2"/>
  <c r="S254" i="2"/>
  <c r="R254" i="2"/>
  <c r="Q254" i="2"/>
  <c r="P254" i="2"/>
  <c r="L254" i="2"/>
  <c r="K254" i="2"/>
  <c r="H254" i="2"/>
  <c r="I254" i="2" s="1"/>
  <c r="J254" i="2" s="1"/>
  <c r="C254" i="2"/>
  <c r="B254" i="2"/>
  <c r="A254" i="2"/>
  <c r="X253" i="2"/>
  <c r="S253" i="2"/>
  <c r="R253" i="2"/>
  <c r="Q253" i="2"/>
  <c r="P253" i="2"/>
  <c r="L253" i="2"/>
  <c r="K253" i="2"/>
  <c r="H253" i="2"/>
  <c r="I253" i="2" s="1"/>
  <c r="J253" i="2" s="1"/>
  <c r="C253" i="2"/>
  <c r="B253" i="2"/>
  <c r="A253" i="2"/>
  <c r="X252" i="2"/>
  <c r="S252" i="2"/>
  <c r="R252" i="2"/>
  <c r="Q252" i="2"/>
  <c r="P252" i="2"/>
  <c r="L252" i="2"/>
  <c r="K252" i="2"/>
  <c r="H252" i="2"/>
  <c r="I252" i="2" s="1"/>
  <c r="J252" i="2" s="1"/>
  <c r="C252" i="2"/>
  <c r="B252" i="2"/>
  <c r="A252" i="2"/>
  <c r="X251" i="2"/>
  <c r="S251" i="2"/>
  <c r="R251" i="2"/>
  <c r="Q251" i="2"/>
  <c r="P251" i="2"/>
  <c r="L251" i="2"/>
  <c r="K251" i="2"/>
  <c r="H251" i="2"/>
  <c r="I251" i="2" s="1"/>
  <c r="J251" i="2" s="1"/>
  <c r="C251" i="2"/>
  <c r="B251" i="2"/>
  <c r="A251" i="2"/>
  <c r="X250" i="2"/>
  <c r="S250" i="2"/>
  <c r="R250" i="2"/>
  <c r="Q250" i="2"/>
  <c r="P250" i="2"/>
  <c r="L250" i="2"/>
  <c r="K250" i="2"/>
  <c r="H250" i="2"/>
  <c r="I250" i="2" s="1"/>
  <c r="J250" i="2" s="1"/>
  <c r="C250" i="2"/>
  <c r="B250" i="2"/>
  <c r="A250" i="2"/>
  <c r="X249" i="2"/>
  <c r="S249" i="2"/>
  <c r="R249" i="2"/>
  <c r="Q249" i="2"/>
  <c r="P249" i="2"/>
  <c r="L249" i="2"/>
  <c r="K249" i="2"/>
  <c r="H249" i="2"/>
  <c r="I249" i="2" s="1"/>
  <c r="J249" i="2" s="1"/>
  <c r="C249" i="2"/>
  <c r="B249" i="2"/>
  <c r="A249" i="2"/>
  <c r="X248" i="2"/>
  <c r="S248" i="2"/>
  <c r="R248" i="2"/>
  <c r="Q248" i="2"/>
  <c r="P248" i="2"/>
  <c r="L248" i="2"/>
  <c r="K248" i="2"/>
  <c r="H248" i="2"/>
  <c r="I248" i="2" s="1"/>
  <c r="J248" i="2" s="1"/>
  <c r="C248" i="2"/>
  <c r="B248" i="2"/>
  <c r="A248" i="2"/>
  <c r="X247" i="2"/>
  <c r="S247" i="2"/>
  <c r="R247" i="2"/>
  <c r="Q247" i="2"/>
  <c r="P247" i="2"/>
  <c r="L247" i="2"/>
  <c r="K247" i="2"/>
  <c r="H247" i="2"/>
  <c r="I247" i="2" s="1"/>
  <c r="J247" i="2" s="1"/>
  <c r="C247" i="2"/>
  <c r="B247" i="2"/>
  <c r="A247" i="2"/>
  <c r="X246" i="2"/>
  <c r="S246" i="2"/>
  <c r="R246" i="2"/>
  <c r="Q246" i="2"/>
  <c r="P246" i="2"/>
  <c r="L246" i="2"/>
  <c r="K246" i="2"/>
  <c r="H246" i="2"/>
  <c r="I246" i="2" s="1"/>
  <c r="J246" i="2" s="1"/>
  <c r="C246" i="2"/>
  <c r="B246" i="2"/>
  <c r="A246" i="2"/>
  <c r="X245" i="2"/>
  <c r="S245" i="2"/>
  <c r="R245" i="2"/>
  <c r="Q245" i="2"/>
  <c r="P245" i="2"/>
  <c r="L245" i="2"/>
  <c r="K245" i="2"/>
  <c r="H245" i="2"/>
  <c r="I245" i="2" s="1"/>
  <c r="J245" i="2" s="1"/>
  <c r="C245" i="2"/>
  <c r="B245" i="2"/>
  <c r="A245" i="2"/>
  <c r="X244" i="2"/>
  <c r="S244" i="2"/>
  <c r="R244" i="2"/>
  <c r="Q244" i="2"/>
  <c r="P244" i="2"/>
  <c r="L244" i="2"/>
  <c r="K244" i="2"/>
  <c r="H244" i="2"/>
  <c r="I244" i="2" s="1"/>
  <c r="J244" i="2" s="1"/>
  <c r="C244" i="2"/>
  <c r="B244" i="2"/>
  <c r="A244" i="2"/>
  <c r="X243" i="2"/>
  <c r="S243" i="2"/>
  <c r="R243" i="2"/>
  <c r="Q243" i="2"/>
  <c r="P243" i="2"/>
  <c r="L243" i="2"/>
  <c r="K243" i="2"/>
  <c r="H243" i="2"/>
  <c r="I243" i="2" s="1"/>
  <c r="J243" i="2" s="1"/>
  <c r="C243" i="2"/>
  <c r="B243" i="2"/>
  <c r="A243" i="2"/>
  <c r="X242" i="2"/>
  <c r="S242" i="2"/>
  <c r="R242" i="2"/>
  <c r="Q242" i="2"/>
  <c r="P242" i="2"/>
  <c r="L242" i="2"/>
  <c r="K242" i="2"/>
  <c r="H242" i="2"/>
  <c r="I242" i="2" s="1"/>
  <c r="J242" i="2" s="1"/>
  <c r="C242" i="2"/>
  <c r="B242" i="2"/>
  <c r="A242" i="2"/>
  <c r="X241" i="2"/>
  <c r="S241" i="2"/>
  <c r="R241" i="2"/>
  <c r="Q241" i="2"/>
  <c r="P241" i="2"/>
  <c r="L241" i="2"/>
  <c r="K241" i="2"/>
  <c r="H241" i="2"/>
  <c r="I241" i="2" s="1"/>
  <c r="J241" i="2" s="1"/>
  <c r="C241" i="2"/>
  <c r="B241" i="2"/>
  <c r="A241" i="2"/>
  <c r="X240" i="2"/>
  <c r="S240" i="2"/>
  <c r="R240" i="2"/>
  <c r="Q240" i="2"/>
  <c r="P240" i="2"/>
  <c r="L240" i="2"/>
  <c r="K240" i="2"/>
  <c r="H240" i="2"/>
  <c r="I240" i="2" s="1"/>
  <c r="J240" i="2" s="1"/>
  <c r="C240" i="2"/>
  <c r="B240" i="2"/>
  <c r="A240" i="2"/>
  <c r="X239" i="2"/>
  <c r="S239" i="2"/>
  <c r="R239" i="2"/>
  <c r="Q239" i="2"/>
  <c r="P239" i="2"/>
  <c r="L239" i="2"/>
  <c r="K239" i="2"/>
  <c r="H239" i="2"/>
  <c r="I239" i="2" s="1"/>
  <c r="J239" i="2" s="1"/>
  <c r="C239" i="2"/>
  <c r="B239" i="2"/>
  <c r="A239" i="2"/>
  <c r="X238" i="2"/>
  <c r="S238" i="2"/>
  <c r="R238" i="2"/>
  <c r="Q238" i="2"/>
  <c r="P238" i="2"/>
  <c r="L238" i="2"/>
  <c r="K238" i="2"/>
  <c r="H238" i="2"/>
  <c r="I238" i="2" s="1"/>
  <c r="J238" i="2" s="1"/>
  <c r="C238" i="2"/>
  <c r="B238" i="2"/>
  <c r="A238" i="2"/>
  <c r="X237" i="2"/>
  <c r="S237" i="2"/>
  <c r="R237" i="2"/>
  <c r="Q237" i="2"/>
  <c r="P237" i="2"/>
  <c r="L237" i="2"/>
  <c r="K237" i="2"/>
  <c r="H237" i="2"/>
  <c r="I237" i="2" s="1"/>
  <c r="J237" i="2" s="1"/>
  <c r="C237" i="2"/>
  <c r="B237" i="2"/>
  <c r="A237" i="2"/>
  <c r="X236" i="2"/>
  <c r="S236" i="2"/>
  <c r="R236" i="2"/>
  <c r="Q236" i="2"/>
  <c r="P236" i="2"/>
  <c r="L236" i="2"/>
  <c r="K236" i="2"/>
  <c r="H236" i="2"/>
  <c r="I236" i="2" s="1"/>
  <c r="J236" i="2" s="1"/>
  <c r="C236" i="2"/>
  <c r="B236" i="2"/>
  <c r="A236" i="2"/>
  <c r="X235" i="2"/>
  <c r="S235" i="2"/>
  <c r="R235" i="2"/>
  <c r="Q235" i="2"/>
  <c r="P235" i="2"/>
  <c r="L235" i="2"/>
  <c r="K235" i="2"/>
  <c r="H235" i="2"/>
  <c r="I235" i="2" s="1"/>
  <c r="J235" i="2" s="1"/>
  <c r="C235" i="2"/>
  <c r="B235" i="2"/>
  <c r="A235" i="2"/>
  <c r="X234" i="2"/>
  <c r="S234" i="2"/>
  <c r="R234" i="2"/>
  <c r="Q234" i="2"/>
  <c r="P234" i="2"/>
  <c r="L234" i="2"/>
  <c r="K234" i="2"/>
  <c r="H234" i="2"/>
  <c r="I234" i="2" s="1"/>
  <c r="J234" i="2" s="1"/>
  <c r="C234" i="2"/>
  <c r="B234" i="2"/>
  <c r="A234" i="2"/>
  <c r="X233" i="2"/>
  <c r="S233" i="2"/>
  <c r="R233" i="2"/>
  <c r="Q233" i="2"/>
  <c r="P233" i="2"/>
  <c r="L233" i="2"/>
  <c r="K233" i="2"/>
  <c r="H233" i="2"/>
  <c r="I233" i="2" s="1"/>
  <c r="J233" i="2" s="1"/>
  <c r="C233" i="2"/>
  <c r="B233" i="2"/>
  <c r="A233" i="2"/>
  <c r="X232" i="2"/>
  <c r="S232" i="2"/>
  <c r="R232" i="2"/>
  <c r="Q232" i="2"/>
  <c r="P232" i="2"/>
  <c r="L232" i="2"/>
  <c r="K232" i="2"/>
  <c r="H232" i="2"/>
  <c r="I232" i="2" s="1"/>
  <c r="J232" i="2" s="1"/>
  <c r="C232" i="2"/>
  <c r="B232" i="2"/>
  <c r="A232" i="2"/>
  <c r="X231" i="2"/>
  <c r="S231" i="2"/>
  <c r="R231" i="2"/>
  <c r="Q231" i="2"/>
  <c r="P231" i="2"/>
  <c r="L231" i="2"/>
  <c r="K231" i="2"/>
  <c r="H231" i="2"/>
  <c r="I231" i="2" s="1"/>
  <c r="J231" i="2" s="1"/>
  <c r="C231" i="2"/>
  <c r="B231" i="2"/>
  <c r="A231" i="2"/>
  <c r="X230" i="2"/>
  <c r="S230" i="2"/>
  <c r="R230" i="2"/>
  <c r="Q230" i="2"/>
  <c r="P230" i="2"/>
  <c r="L230" i="2"/>
  <c r="K230" i="2"/>
  <c r="H230" i="2"/>
  <c r="I230" i="2" s="1"/>
  <c r="J230" i="2" s="1"/>
  <c r="C230" i="2"/>
  <c r="B230" i="2"/>
  <c r="A230" i="2"/>
  <c r="X229" i="2"/>
  <c r="S229" i="2"/>
  <c r="R229" i="2"/>
  <c r="Q229" i="2"/>
  <c r="P229" i="2"/>
  <c r="L229" i="2"/>
  <c r="K229" i="2"/>
  <c r="H229" i="2"/>
  <c r="I229" i="2" s="1"/>
  <c r="J229" i="2" s="1"/>
  <c r="C229" i="2"/>
  <c r="B229" i="2"/>
  <c r="A229" i="2"/>
  <c r="X228" i="2"/>
  <c r="S228" i="2"/>
  <c r="R228" i="2"/>
  <c r="Q228" i="2"/>
  <c r="P228" i="2"/>
  <c r="L228" i="2"/>
  <c r="K228" i="2"/>
  <c r="H228" i="2"/>
  <c r="I228" i="2" s="1"/>
  <c r="J228" i="2" s="1"/>
  <c r="C228" i="2"/>
  <c r="B228" i="2"/>
  <c r="A228" i="2"/>
  <c r="X227" i="2"/>
  <c r="S227" i="2"/>
  <c r="R227" i="2"/>
  <c r="Q227" i="2"/>
  <c r="P227" i="2"/>
  <c r="L227" i="2"/>
  <c r="K227" i="2"/>
  <c r="H227" i="2"/>
  <c r="I227" i="2" s="1"/>
  <c r="J227" i="2" s="1"/>
  <c r="C227" i="2"/>
  <c r="B227" i="2"/>
  <c r="A227" i="2"/>
  <c r="X226" i="2"/>
  <c r="S226" i="2"/>
  <c r="R226" i="2"/>
  <c r="Q226" i="2"/>
  <c r="P226" i="2"/>
  <c r="L226" i="2"/>
  <c r="K226" i="2"/>
  <c r="H226" i="2"/>
  <c r="I226" i="2" s="1"/>
  <c r="J226" i="2" s="1"/>
  <c r="C226" i="2"/>
  <c r="B226" i="2"/>
  <c r="A226" i="2"/>
  <c r="X225" i="2"/>
  <c r="S225" i="2"/>
  <c r="R225" i="2"/>
  <c r="Q225" i="2"/>
  <c r="P225" i="2"/>
  <c r="L225" i="2"/>
  <c r="K225" i="2"/>
  <c r="H225" i="2"/>
  <c r="I225" i="2" s="1"/>
  <c r="J225" i="2" s="1"/>
  <c r="C225" i="2"/>
  <c r="B225" i="2"/>
  <c r="A225" i="2"/>
  <c r="X224" i="2"/>
  <c r="S224" i="2"/>
  <c r="R224" i="2"/>
  <c r="Q224" i="2"/>
  <c r="P224" i="2"/>
  <c r="L224" i="2"/>
  <c r="K224" i="2"/>
  <c r="H224" i="2"/>
  <c r="I224" i="2" s="1"/>
  <c r="J224" i="2" s="1"/>
  <c r="C224" i="2"/>
  <c r="B224" i="2"/>
  <c r="A224" i="2"/>
  <c r="X223" i="2"/>
  <c r="S223" i="2"/>
  <c r="R223" i="2"/>
  <c r="Q223" i="2"/>
  <c r="P223" i="2"/>
  <c r="L223" i="2"/>
  <c r="K223" i="2"/>
  <c r="H223" i="2"/>
  <c r="I223" i="2" s="1"/>
  <c r="J223" i="2" s="1"/>
  <c r="C223" i="2"/>
  <c r="B223" i="2"/>
  <c r="A223" i="2"/>
  <c r="X222" i="2"/>
  <c r="S222" i="2"/>
  <c r="R222" i="2"/>
  <c r="Q222" i="2"/>
  <c r="P222" i="2"/>
  <c r="L222" i="2"/>
  <c r="K222" i="2"/>
  <c r="H222" i="2"/>
  <c r="I222" i="2" s="1"/>
  <c r="J222" i="2" s="1"/>
  <c r="C222" i="2"/>
  <c r="B222" i="2"/>
  <c r="A222" i="2"/>
  <c r="X221" i="2"/>
  <c r="S221" i="2"/>
  <c r="R221" i="2"/>
  <c r="Q221" i="2"/>
  <c r="P221" i="2"/>
  <c r="L221" i="2"/>
  <c r="K221" i="2"/>
  <c r="H221" i="2"/>
  <c r="I221" i="2" s="1"/>
  <c r="J221" i="2" s="1"/>
  <c r="C221" i="2"/>
  <c r="B221" i="2"/>
  <c r="A221" i="2"/>
  <c r="X220" i="2"/>
  <c r="S220" i="2"/>
  <c r="R220" i="2"/>
  <c r="Q220" i="2"/>
  <c r="P220" i="2"/>
  <c r="L220" i="2"/>
  <c r="K220" i="2"/>
  <c r="H220" i="2"/>
  <c r="I220" i="2" s="1"/>
  <c r="J220" i="2" s="1"/>
  <c r="C220" i="2"/>
  <c r="B220" i="2"/>
  <c r="A220" i="2"/>
  <c r="X219" i="2"/>
  <c r="S219" i="2"/>
  <c r="R219" i="2"/>
  <c r="Q219" i="2"/>
  <c r="P219" i="2"/>
  <c r="L219" i="2"/>
  <c r="K219" i="2"/>
  <c r="H219" i="2"/>
  <c r="I219" i="2" s="1"/>
  <c r="J219" i="2" s="1"/>
  <c r="C219" i="2"/>
  <c r="B219" i="2"/>
  <c r="A219" i="2"/>
  <c r="X218" i="2"/>
  <c r="S218" i="2"/>
  <c r="R218" i="2"/>
  <c r="Q218" i="2"/>
  <c r="P218" i="2"/>
  <c r="L218" i="2"/>
  <c r="K218" i="2"/>
  <c r="H218" i="2"/>
  <c r="I218" i="2" s="1"/>
  <c r="J218" i="2" s="1"/>
  <c r="C218" i="2"/>
  <c r="B218" i="2"/>
  <c r="A218" i="2"/>
  <c r="X217" i="2"/>
  <c r="S217" i="2"/>
  <c r="R217" i="2"/>
  <c r="Q217" i="2"/>
  <c r="P217" i="2"/>
  <c r="L217" i="2"/>
  <c r="K217" i="2"/>
  <c r="H217" i="2"/>
  <c r="I217" i="2" s="1"/>
  <c r="J217" i="2" s="1"/>
  <c r="C217" i="2"/>
  <c r="B217" i="2"/>
  <c r="A217" i="2"/>
  <c r="X216" i="2"/>
  <c r="S216" i="2"/>
  <c r="R216" i="2"/>
  <c r="Q216" i="2"/>
  <c r="P216" i="2"/>
  <c r="L216" i="2"/>
  <c r="K216" i="2"/>
  <c r="H216" i="2"/>
  <c r="I216" i="2" s="1"/>
  <c r="J216" i="2" s="1"/>
  <c r="C216" i="2"/>
  <c r="B216" i="2"/>
  <c r="A216" i="2"/>
  <c r="X215" i="2"/>
  <c r="S215" i="2"/>
  <c r="R215" i="2"/>
  <c r="Q215" i="2"/>
  <c r="P215" i="2"/>
  <c r="L215" i="2"/>
  <c r="K215" i="2"/>
  <c r="H215" i="2"/>
  <c r="I215" i="2" s="1"/>
  <c r="J215" i="2" s="1"/>
  <c r="C215" i="2"/>
  <c r="B215" i="2"/>
  <c r="A215" i="2"/>
  <c r="X214" i="2"/>
  <c r="S214" i="2"/>
  <c r="R214" i="2"/>
  <c r="Q214" i="2"/>
  <c r="P214" i="2"/>
  <c r="L214" i="2"/>
  <c r="K214" i="2"/>
  <c r="H214" i="2"/>
  <c r="I214" i="2" s="1"/>
  <c r="J214" i="2" s="1"/>
  <c r="C214" i="2"/>
  <c r="B214" i="2"/>
  <c r="A214" i="2"/>
  <c r="X213" i="2"/>
  <c r="S213" i="2"/>
  <c r="R213" i="2"/>
  <c r="Q213" i="2"/>
  <c r="P213" i="2"/>
  <c r="L213" i="2"/>
  <c r="K213" i="2"/>
  <c r="H213" i="2"/>
  <c r="I213" i="2" s="1"/>
  <c r="J213" i="2" s="1"/>
  <c r="C213" i="2"/>
  <c r="B213" i="2"/>
  <c r="A213" i="2"/>
  <c r="X212" i="2"/>
  <c r="S212" i="2"/>
  <c r="R212" i="2"/>
  <c r="Q212" i="2"/>
  <c r="P212" i="2"/>
  <c r="L212" i="2"/>
  <c r="K212" i="2"/>
  <c r="H212" i="2"/>
  <c r="I212" i="2" s="1"/>
  <c r="J212" i="2" s="1"/>
  <c r="C212" i="2"/>
  <c r="B212" i="2"/>
  <c r="A212" i="2"/>
  <c r="X211" i="2"/>
  <c r="S211" i="2"/>
  <c r="R211" i="2"/>
  <c r="Q211" i="2"/>
  <c r="P211" i="2"/>
  <c r="L211" i="2"/>
  <c r="K211" i="2"/>
  <c r="H211" i="2"/>
  <c r="I211" i="2" s="1"/>
  <c r="J211" i="2" s="1"/>
  <c r="C211" i="2"/>
  <c r="B211" i="2"/>
  <c r="A211" i="2"/>
  <c r="X210" i="2"/>
  <c r="S210" i="2"/>
  <c r="R210" i="2"/>
  <c r="Q210" i="2"/>
  <c r="P210" i="2"/>
  <c r="L210" i="2"/>
  <c r="K210" i="2"/>
  <c r="H210" i="2"/>
  <c r="I210" i="2" s="1"/>
  <c r="J210" i="2" s="1"/>
  <c r="C210" i="2"/>
  <c r="B210" i="2"/>
  <c r="A210" i="2"/>
  <c r="X209" i="2"/>
  <c r="S209" i="2"/>
  <c r="R209" i="2"/>
  <c r="Q209" i="2"/>
  <c r="P209" i="2"/>
  <c r="L209" i="2"/>
  <c r="K209" i="2"/>
  <c r="H209" i="2"/>
  <c r="I209" i="2" s="1"/>
  <c r="J209" i="2" s="1"/>
  <c r="C209" i="2"/>
  <c r="B209" i="2"/>
  <c r="A209" i="2"/>
  <c r="X208" i="2"/>
  <c r="S208" i="2"/>
  <c r="R208" i="2"/>
  <c r="Q208" i="2"/>
  <c r="P208" i="2"/>
  <c r="L208" i="2"/>
  <c r="K208" i="2"/>
  <c r="H208" i="2"/>
  <c r="I208" i="2" s="1"/>
  <c r="J208" i="2" s="1"/>
  <c r="C208" i="2"/>
  <c r="B208" i="2"/>
  <c r="A208" i="2"/>
  <c r="X207" i="2"/>
  <c r="S207" i="2"/>
  <c r="R207" i="2"/>
  <c r="Q207" i="2"/>
  <c r="P207" i="2"/>
  <c r="L207" i="2"/>
  <c r="K207" i="2"/>
  <c r="H207" i="2"/>
  <c r="I207" i="2" s="1"/>
  <c r="J207" i="2" s="1"/>
  <c r="C207" i="2"/>
  <c r="B207" i="2"/>
  <c r="A207" i="2"/>
  <c r="X206" i="2"/>
  <c r="S206" i="2"/>
  <c r="R206" i="2"/>
  <c r="Q206" i="2"/>
  <c r="P206" i="2"/>
  <c r="L206" i="2"/>
  <c r="K206" i="2"/>
  <c r="H206" i="2"/>
  <c r="I206" i="2" s="1"/>
  <c r="J206" i="2" s="1"/>
  <c r="C206" i="2"/>
  <c r="B206" i="2"/>
  <c r="A206" i="2"/>
  <c r="X205" i="2"/>
  <c r="S205" i="2"/>
  <c r="R205" i="2"/>
  <c r="Q205" i="2"/>
  <c r="P205" i="2"/>
  <c r="L205" i="2"/>
  <c r="K205" i="2"/>
  <c r="H205" i="2"/>
  <c r="I205" i="2" s="1"/>
  <c r="J205" i="2" s="1"/>
  <c r="C205" i="2"/>
  <c r="B205" i="2"/>
  <c r="A205" i="2"/>
  <c r="X204" i="2"/>
  <c r="S204" i="2"/>
  <c r="R204" i="2"/>
  <c r="Q204" i="2"/>
  <c r="P204" i="2"/>
  <c r="L204" i="2"/>
  <c r="K204" i="2"/>
  <c r="H204" i="2"/>
  <c r="I204" i="2" s="1"/>
  <c r="J204" i="2" s="1"/>
  <c r="C204" i="2"/>
  <c r="B204" i="2"/>
  <c r="A204" i="2"/>
  <c r="X203" i="2"/>
  <c r="S203" i="2"/>
  <c r="R203" i="2"/>
  <c r="Q203" i="2"/>
  <c r="P203" i="2"/>
  <c r="L203" i="2"/>
  <c r="K203" i="2"/>
  <c r="H203" i="2"/>
  <c r="I203" i="2" s="1"/>
  <c r="J203" i="2" s="1"/>
  <c r="C203" i="2"/>
  <c r="B203" i="2"/>
  <c r="A203" i="2"/>
  <c r="X202" i="2"/>
  <c r="S202" i="2"/>
  <c r="R202" i="2"/>
  <c r="Q202" i="2"/>
  <c r="P202" i="2"/>
  <c r="L202" i="2"/>
  <c r="K202" i="2"/>
  <c r="H202" i="2"/>
  <c r="I202" i="2" s="1"/>
  <c r="J202" i="2" s="1"/>
  <c r="C202" i="2"/>
  <c r="B202" i="2"/>
  <c r="A202" i="2"/>
  <c r="X201" i="2"/>
  <c r="S201" i="2"/>
  <c r="R201" i="2"/>
  <c r="Q201" i="2"/>
  <c r="P201" i="2"/>
  <c r="L201" i="2"/>
  <c r="K201" i="2"/>
  <c r="H201" i="2"/>
  <c r="I201" i="2" s="1"/>
  <c r="J201" i="2" s="1"/>
  <c r="C201" i="2"/>
  <c r="B201" i="2"/>
  <c r="A201" i="2"/>
  <c r="X200" i="2"/>
  <c r="S200" i="2"/>
  <c r="R200" i="2"/>
  <c r="Q200" i="2"/>
  <c r="P200" i="2"/>
  <c r="L200" i="2"/>
  <c r="K200" i="2"/>
  <c r="H200" i="2"/>
  <c r="I200" i="2" s="1"/>
  <c r="J200" i="2" s="1"/>
  <c r="C200" i="2"/>
  <c r="B200" i="2"/>
  <c r="A200" i="2"/>
  <c r="X199" i="2"/>
  <c r="S199" i="2"/>
  <c r="R199" i="2"/>
  <c r="Q199" i="2"/>
  <c r="P199" i="2"/>
  <c r="L199" i="2"/>
  <c r="K199" i="2"/>
  <c r="H199" i="2"/>
  <c r="I199" i="2" s="1"/>
  <c r="J199" i="2" s="1"/>
  <c r="C199" i="2"/>
  <c r="B199" i="2"/>
  <c r="A199" i="2"/>
  <c r="X198" i="2"/>
  <c r="S198" i="2"/>
  <c r="R198" i="2"/>
  <c r="Q198" i="2"/>
  <c r="P198" i="2"/>
  <c r="L198" i="2"/>
  <c r="K198" i="2"/>
  <c r="H198" i="2"/>
  <c r="I198" i="2" s="1"/>
  <c r="J198" i="2" s="1"/>
  <c r="C198" i="2"/>
  <c r="B198" i="2"/>
  <c r="A198" i="2"/>
  <c r="X197" i="2"/>
  <c r="S197" i="2"/>
  <c r="R197" i="2"/>
  <c r="Q197" i="2"/>
  <c r="P197" i="2"/>
  <c r="L197" i="2"/>
  <c r="K197" i="2"/>
  <c r="H197" i="2"/>
  <c r="I197" i="2" s="1"/>
  <c r="J197" i="2" s="1"/>
  <c r="C197" i="2"/>
  <c r="B197" i="2"/>
  <c r="A197" i="2"/>
  <c r="X196" i="2"/>
  <c r="S196" i="2"/>
  <c r="R196" i="2"/>
  <c r="Q196" i="2"/>
  <c r="P196" i="2"/>
  <c r="L196" i="2"/>
  <c r="K196" i="2"/>
  <c r="H196" i="2"/>
  <c r="I196" i="2" s="1"/>
  <c r="J196" i="2" s="1"/>
  <c r="C196" i="2"/>
  <c r="B196" i="2"/>
  <c r="A196" i="2"/>
  <c r="X195" i="2"/>
  <c r="S195" i="2"/>
  <c r="R195" i="2"/>
  <c r="Q195" i="2"/>
  <c r="P195" i="2"/>
  <c r="L195" i="2"/>
  <c r="K195" i="2"/>
  <c r="H195" i="2"/>
  <c r="I195" i="2" s="1"/>
  <c r="J195" i="2" s="1"/>
  <c r="C195" i="2"/>
  <c r="B195" i="2"/>
  <c r="A195" i="2"/>
  <c r="X194" i="2"/>
  <c r="S194" i="2"/>
  <c r="R194" i="2"/>
  <c r="Q194" i="2"/>
  <c r="P194" i="2"/>
  <c r="L194" i="2"/>
  <c r="K194" i="2"/>
  <c r="H194" i="2"/>
  <c r="I194" i="2" s="1"/>
  <c r="J194" i="2" s="1"/>
  <c r="C194" i="2"/>
  <c r="B194" i="2"/>
  <c r="A194" i="2"/>
  <c r="X193" i="2"/>
  <c r="S193" i="2"/>
  <c r="R193" i="2"/>
  <c r="Q193" i="2"/>
  <c r="P193" i="2"/>
  <c r="L193" i="2"/>
  <c r="K193" i="2"/>
  <c r="H193" i="2"/>
  <c r="I193" i="2" s="1"/>
  <c r="J193" i="2" s="1"/>
  <c r="C193" i="2"/>
  <c r="B193" i="2"/>
  <c r="A193" i="2"/>
  <c r="X192" i="2"/>
  <c r="S192" i="2"/>
  <c r="Q192" i="2"/>
  <c r="P192" i="2"/>
  <c r="L192" i="2"/>
  <c r="K192" i="2"/>
  <c r="H192" i="2"/>
  <c r="I192" i="2" s="1"/>
  <c r="J192" i="2" s="1"/>
  <c r="C192" i="2"/>
  <c r="B192" i="2"/>
  <c r="A192" i="2"/>
  <c r="X191" i="2"/>
  <c r="S191" i="2"/>
  <c r="R191" i="2"/>
  <c r="Q191" i="2"/>
  <c r="P191" i="2"/>
  <c r="L191" i="2"/>
  <c r="K191" i="2"/>
  <c r="H191" i="2"/>
  <c r="I191" i="2" s="1"/>
  <c r="J191" i="2" s="1"/>
  <c r="C191" i="2"/>
  <c r="B191" i="2"/>
  <c r="A191" i="2"/>
  <c r="X190" i="2"/>
  <c r="S190" i="2"/>
  <c r="R190" i="2"/>
  <c r="Q190" i="2"/>
  <c r="P190" i="2"/>
  <c r="L190" i="2"/>
  <c r="K190" i="2"/>
  <c r="H190" i="2"/>
  <c r="I190" i="2" s="1"/>
  <c r="J190" i="2" s="1"/>
  <c r="C190" i="2"/>
  <c r="B190" i="2"/>
  <c r="A190" i="2"/>
  <c r="X189" i="2"/>
  <c r="S189" i="2"/>
  <c r="R189" i="2"/>
  <c r="Q189" i="2"/>
  <c r="P189" i="2"/>
  <c r="L189" i="2"/>
  <c r="K189" i="2"/>
  <c r="H189" i="2"/>
  <c r="I189" i="2" s="1"/>
  <c r="J189" i="2" s="1"/>
  <c r="C189" i="2"/>
  <c r="B189" i="2"/>
  <c r="A189" i="2"/>
  <c r="X188" i="2"/>
  <c r="S188" i="2"/>
  <c r="R188" i="2"/>
  <c r="Q188" i="2"/>
  <c r="P188" i="2"/>
  <c r="L188" i="2"/>
  <c r="K188" i="2"/>
  <c r="H188" i="2"/>
  <c r="I188" i="2" s="1"/>
  <c r="J188" i="2" s="1"/>
  <c r="C188" i="2"/>
  <c r="B188" i="2"/>
  <c r="A188" i="2"/>
  <c r="X187" i="2"/>
  <c r="S187" i="2"/>
  <c r="R187" i="2"/>
  <c r="Q187" i="2"/>
  <c r="P187" i="2"/>
  <c r="L187" i="2"/>
  <c r="K187" i="2"/>
  <c r="H187" i="2"/>
  <c r="I187" i="2" s="1"/>
  <c r="J187" i="2" s="1"/>
  <c r="C187" i="2"/>
  <c r="B187" i="2"/>
  <c r="A187" i="2"/>
  <c r="X186" i="2"/>
  <c r="S186" i="2"/>
  <c r="R186" i="2"/>
  <c r="Q186" i="2"/>
  <c r="P186" i="2"/>
  <c r="L186" i="2"/>
  <c r="K186" i="2"/>
  <c r="H186" i="2"/>
  <c r="I186" i="2" s="1"/>
  <c r="J186" i="2" s="1"/>
  <c r="C186" i="2"/>
  <c r="B186" i="2"/>
  <c r="A186" i="2"/>
  <c r="X185" i="2"/>
  <c r="S185" i="2"/>
  <c r="R185" i="2"/>
  <c r="Q185" i="2"/>
  <c r="P185" i="2"/>
  <c r="L185" i="2"/>
  <c r="K185" i="2"/>
  <c r="H185" i="2"/>
  <c r="I185" i="2" s="1"/>
  <c r="J185" i="2" s="1"/>
  <c r="C185" i="2"/>
  <c r="B185" i="2"/>
  <c r="A185" i="2"/>
  <c r="X184" i="2"/>
  <c r="S184" i="2"/>
  <c r="R184" i="2"/>
  <c r="Q184" i="2"/>
  <c r="P184" i="2"/>
  <c r="L184" i="2"/>
  <c r="K184" i="2"/>
  <c r="H184" i="2"/>
  <c r="I184" i="2" s="1"/>
  <c r="J184" i="2" s="1"/>
  <c r="C184" i="2"/>
  <c r="B184" i="2"/>
  <c r="A184" i="2"/>
  <c r="X183" i="2"/>
  <c r="S183" i="2"/>
  <c r="R183" i="2"/>
  <c r="Q183" i="2"/>
  <c r="P183" i="2"/>
  <c r="L183" i="2"/>
  <c r="K183" i="2"/>
  <c r="H183" i="2"/>
  <c r="I183" i="2" s="1"/>
  <c r="J183" i="2" s="1"/>
  <c r="C183" i="2"/>
  <c r="B183" i="2"/>
  <c r="A183" i="2"/>
  <c r="X182" i="2"/>
  <c r="S182" i="2"/>
  <c r="R182" i="2"/>
  <c r="Q182" i="2"/>
  <c r="P182" i="2"/>
  <c r="L182" i="2"/>
  <c r="K182" i="2"/>
  <c r="H182" i="2"/>
  <c r="I182" i="2" s="1"/>
  <c r="J182" i="2" s="1"/>
  <c r="C182" i="2"/>
  <c r="B182" i="2"/>
  <c r="A182" i="2"/>
  <c r="X181" i="2"/>
  <c r="S181" i="2"/>
  <c r="R181" i="2"/>
  <c r="Q181" i="2"/>
  <c r="P181" i="2"/>
  <c r="L181" i="2"/>
  <c r="K181" i="2"/>
  <c r="H181" i="2"/>
  <c r="I181" i="2" s="1"/>
  <c r="J181" i="2" s="1"/>
  <c r="C181" i="2"/>
  <c r="B181" i="2"/>
  <c r="A181" i="2"/>
  <c r="X180" i="2"/>
  <c r="S180" i="2"/>
  <c r="R180" i="2"/>
  <c r="Q180" i="2"/>
  <c r="P180" i="2"/>
  <c r="L180" i="2"/>
  <c r="K180" i="2"/>
  <c r="H180" i="2"/>
  <c r="I180" i="2" s="1"/>
  <c r="J180" i="2" s="1"/>
  <c r="C180" i="2"/>
  <c r="B180" i="2"/>
  <c r="A180" i="2"/>
  <c r="X179" i="2"/>
  <c r="S179" i="2"/>
  <c r="R179" i="2"/>
  <c r="Q179" i="2"/>
  <c r="P179" i="2"/>
  <c r="L179" i="2"/>
  <c r="K179" i="2"/>
  <c r="H179" i="2"/>
  <c r="I179" i="2" s="1"/>
  <c r="J179" i="2" s="1"/>
  <c r="C179" i="2"/>
  <c r="B179" i="2"/>
  <c r="A179" i="2"/>
  <c r="X178" i="2"/>
  <c r="S178" i="2"/>
  <c r="R178" i="2"/>
  <c r="Q178" i="2"/>
  <c r="P178" i="2"/>
  <c r="L178" i="2"/>
  <c r="K178" i="2"/>
  <c r="H178" i="2"/>
  <c r="I178" i="2" s="1"/>
  <c r="J178" i="2" s="1"/>
  <c r="C178" i="2"/>
  <c r="B178" i="2"/>
  <c r="A178" i="2"/>
  <c r="X177" i="2"/>
  <c r="S177" i="2"/>
  <c r="R177" i="2"/>
  <c r="Q177" i="2"/>
  <c r="P177" i="2"/>
  <c r="L177" i="2"/>
  <c r="K177" i="2"/>
  <c r="H177" i="2"/>
  <c r="I177" i="2" s="1"/>
  <c r="J177" i="2" s="1"/>
  <c r="C177" i="2"/>
  <c r="B177" i="2"/>
  <c r="A177" i="2"/>
  <c r="X176" i="2"/>
  <c r="S176" i="2"/>
  <c r="R176" i="2"/>
  <c r="Q176" i="2"/>
  <c r="P176" i="2"/>
  <c r="L176" i="2"/>
  <c r="K176" i="2"/>
  <c r="H176" i="2"/>
  <c r="I176" i="2" s="1"/>
  <c r="J176" i="2" s="1"/>
  <c r="C176" i="2"/>
  <c r="B176" i="2"/>
  <c r="A176" i="2"/>
  <c r="X175" i="2"/>
  <c r="S175" i="2"/>
  <c r="R175" i="2"/>
  <c r="Q175" i="2"/>
  <c r="P175" i="2"/>
  <c r="L175" i="2"/>
  <c r="K175" i="2"/>
  <c r="H175" i="2"/>
  <c r="I175" i="2" s="1"/>
  <c r="J175" i="2" s="1"/>
  <c r="C175" i="2"/>
  <c r="B175" i="2"/>
  <c r="A175" i="2"/>
  <c r="X174" i="2"/>
  <c r="S174" i="2"/>
  <c r="R174" i="2"/>
  <c r="Q174" i="2"/>
  <c r="P174" i="2"/>
  <c r="L174" i="2"/>
  <c r="K174" i="2"/>
  <c r="H174" i="2"/>
  <c r="I174" i="2" s="1"/>
  <c r="J174" i="2" s="1"/>
  <c r="C174" i="2"/>
  <c r="B174" i="2"/>
  <c r="A174" i="2"/>
  <c r="X173" i="2"/>
  <c r="S173" i="2"/>
  <c r="R173" i="2"/>
  <c r="Q173" i="2"/>
  <c r="P173" i="2"/>
  <c r="L173" i="2"/>
  <c r="K173" i="2"/>
  <c r="H173" i="2"/>
  <c r="I173" i="2" s="1"/>
  <c r="J173" i="2" s="1"/>
  <c r="C173" i="2"/>
  <c r="B173" i="2"/>
  <c r="A173" i="2"/>
  <c r="X172" i="2"/>
  <c r="S172" i="2"/>
  <c r="R172" i="2"/>
  <c r="Q172" i="2"/>
  <c r="P172" i="2"/>
  <c r="L172" i="2"/>
  <c r="K172" i="2"/>
  <c r="H172" i="2"/>
  <c r="I172" i="2" s="1"/>
  <c r="J172" i="2" s="1"/>
  <c r="C172" i="2"/>
  <c r="B172" i="2"/>
  <c r="A172" i="2"/>
  <c r="X171" i="2"/>
  <c r="S171" i="2"/>
  <c r="R171" i="2"/>
  <c r="Q171" i="2"/>
  <c r="P171" i="2"/>
  <c r="L171" i="2"/>
  <c r="K171" i="2"/>
  <c r="H171" i="2"/>
  <c r="I171" i="2" s="1"/>
  <c r="J171" i="2" s="1"/>
  <c r="C171" i="2"/>
  <c r="B171" i="2"/>
  <c r="A171" i="2"/>
  <c r="X170" i="2"/>
  <c r="S170" i="2"/>
  <c r="R170" i="2"/>
  <c r="Q170" i="2"/>
  <c r="P170" i="2"/>
  <c r="L170" i="2"/>
  <c r="K170" i="2"/>
  <c r="H170" i="2"/>
  <c r="I170" i="2" s="1"/>
  <c r="J170" i="2" s="1"/>
  <c r="C170" i="2"/>
  <c r="B170" i="2"/>
  <c r="A170" i="2"/>
  <c r="X169" i="2"/>
  <c r="S169" i="2"/>
  <c r="R169" i="2"/>
  <c r="Q169" i="2"/>
  <c r="P169" i="2"/>
  <c r="L169" i="2"/>
  <c r="K169" i="2"/>
  <c r="H169" i="2"/>
  <c r="I169" i="2" s="1"/>
  <c r="J169" i="2" s="1"/>
  <c r="C169" i="2"/>
  <c r="B169" i="2"/>
  <c r="A169" i="2"/>
  <c r="X168" i="2"/>
  <c r="S168" i="2"/>
  <c r="R168" i="2"/>
  <c r="Q168" i="2"/>
  <c r="P168" i="2"/>
  <c r="L168" i="2"/>
  <c r="K168" i="2"/>
  <c r="H168" i="2"/>
  <c r="I168" i="2" s="1"/>
  <c r="J168" i="2" s="1"/>
  <c r="C168" i="2"/>
  <c r="B168" i="2"/>
  <c r="A168" i="2"/>
  <c r="X167" i="2"/>
  <c r="S167" i="2"/>
  <c r="R167" i="2"/>
  <c r="Q167" i="2"/>
  <c r="P167" i="2"/>
  <c r="L167" i="2"/>
  <c r="K167" i="2"/>
  <c r="H167" i="2"/>
  <c r="I167" i="2" s="1"/>
  <c r="J167" i="2" s="1"/>
  <c r="C167" i="2"/>
  <c r="B167" i="2"/>
  <c r="A167" i="2"/>
  <c r="X166" i="2"/>
  <c r="S166" i="2"/>
  <c r="R166" i="2"/>
  <c r="Q166" i="2"/>
  <c r="P166" i="2"/>
  <c r="L166" i="2"/>
  <c r="M166" i="2" s="1"/>
  <c r="K166" i="2"/>
  <c r="H166" i="2"/>
  <c r="I166" i="2" s="1"/>
  <c r="J166" i="2" s="1"/>
  <c r="C166" i="2"/>
  <c r="B166" i="2"/>
  <c r="A166" i="2"/>
  <c r="X165" i="2"/>
  <c r="S165" i="2"/>
  <c r="R165" i="2"/>
  <c r="Q165" i="2"/>
  <c r="P165" i="2"/>
  <c r="L165" i="2"/>
  <c r="K165" i="2"/>
  <c r="H165" i="2"/>
  <c r="I165" i="2" s="1"/>
  <c r="J165" i="2" s="1"/>
  <c r="C165" i="2"/>
  <c r="B165" i="2"/>
  <c r="A165" i="2"/>
  <c r="J165" i="4" s="1"/>
  <c r="X164" i="2"/>
  <c r="S164" i="2"/>
  <c r="R164" i="2"/>
  <c r="Q164" i="2"/>
  <c r="P164" i="2"/>
  <c r="L164" i="2"/>
  <c r="K164" i="2"/>
  <c r="H164" i="2"/>
  <c r="I164" i="2" s="1"/>
  <c r="J164" i="2" s="1"/>
  <c r="C164" i="2"/>
  <c r="B164" i="2"/>
  <c r="A164" i="2"/>
  <c r="J164" i="4" s="1"/>
  <c r="X163" i="2"/>
  <c r="S163" i="2"/>
  <c r="R163" i="2"/>
  <c r="Q163" i="2"/>
  <c r="P163" i="2"/>
  <c r="L163" i="2"/>
  <c r="K163" i="2"/>
  <c r="H163" i="2"/>
  <c r="I163" i="2" s="1"/>
  <c r="J163" i="2" s="1"/>
  <c r="C163" i="2"/>
  <c r="B163" i="2"/>
  <c r="A163" i="2"/>
  <c r="J163" i="4" s="1"/>
  <c r="X162" i="2"/>
  <c r="S162" i="2"/>
  <c r="R162" i="2"/>
  <c r="Q162" i="2"/>
  <c r="P162" i="2"/>
  <c r="L162" i="2"/>
  <c r="K162" i="2"/>
  <c r="H162" i="2"/>
  <c r="I162" i="2" s="1"/>
  <c r="J162" i="2" s="1"/>
  <c r="C162" i="2"/>
  <c r="B162" i="2"/>
  <c r="A162" i="2"/>
  <c r="J162" i="4" s="1"/>
  <c r="X161" i="2"/>
  <c r="S161" i="2"/>
  <c r="R161" i="2"/>
  <c r="Q161" i="2"/>
  <c r="P161" i="2"/>
  <c r="L161" i="2"/>
  <c r="K161" i="2"/>
  <c r="H161" i="2"/>
  <c r="I161" i="2" s="1"/>
  <c r="J161" i="2" s="1"/>
  <c r="C161" i="2"/>
  <c r="B161" i="2"/>
  <c r="A161" i="2"/>
  <c r="J161" i="4" s="1"/>
  <c r="X160" i="2"/>
  <c r="S160" i="2"/>
  <c r="R160" i="2"/>
  <c r="Q160" i="2"/>
  <c r="P160" i="2"/>
  <c r="L160" i="2"/>
  <c r="K160" i="2"/>
  <c r="H160" i="2"/>
  <c r="I160" i="2" s="1"/>
  <c r="J160" i="2" s="1"/>
  <c r="C160" i="2"/>
  <c r="B160" i="2"/>
  <c r="A160" i="2"/>
  <c r="J160" i="4" s="1"/>
  <c r="X159" i="2"/>
  <c r="S159" i="2"/>
  <c r="R159" i="2"/>
  <c r="Q159" i="2"/>
  <c r="P159" i="2"/>
  <c r="L159" i="2"/>
  <c r="K159" i="2"/>
  <c r="H159" i="2"/>
  <c r="I159" i="2" s="1"/>
  <c r="J159" i="2" s="1"/>
  <c r="C159" i="2"/>
  <c r="B159" i="2"/>
  <c r="A159" i="2"/>
  <c r="J159" i="4" s="1"/>
  <c r="X158" i="2"/>
  <c r="S158" i="2"/>
  <c r="R158" i="2"/>
  <c r="Q158" i="2"/>
  <c r="P158" i="2"/>
  <c r="L158" i="2"/>
  <c r="K158" i="2"/>
  <c r="H158" i="2"/>
  <c r="I158" i="2" s="1"/>
  <c r="J158" i="2" s="1"/>
  <c r="C158" i="2"/>
  <c r="B158" i="2"/>
  <c r="A158" i="2"/>
  <c r="J158" i="4" s="1"/>
  <c r="X157" i="2"/>
  <c r="S157" i="2"/>
  <c r="R157" i="2"/>
  <c r="Q157" i="2"/>
  <c r="P157" i="2"/>
  <c r="L157" i="2"/>
  <c r="K157" i="2"/>
  <c r="H157" i="2"/>
  <c r="I157" i="2" s="1"/>
  <c r="J157" i="2" s="1"/>
  <c r="C157" i="2"/>
  <c r="B157" i="2"/>
  <c r="A157" i="2"/>
  <c r="J157" i="4" s="1"/>
  <c r="X156" i="2"/>
  <c r="S156" i="2"/>
  <c r="R156" i="2"/>
  <c r="Q156" i="2"/>
  <c r="P156" i="2"/>
  <c r="L156" i="2"/>
  <c r="K156" i="2"/>
  <c r="H156" i="2"/>
  <c r="I156" i="2" s="1"/>
  <c r="J156" i="2" s="1"/>
  <c r="C156" i="2"/>
  <c r="B156" i="2"/>
  <c r="A156" i="2"/>
  <c r="J156" i="4" s="1"/>
  <c r="X155" i="2"/>
  <c r="S155" i="2"/>
  <c r="R155" i="2"/>
  <c r="Q155" i="2"/>
  <c r="P155" i="2"/>
  <c r="L155" i="2"/>
  <c r="K155" i="2"/>
  <c r="H155" i="2"/>
  <c r="I155" i="2" s="1"/>
  <c r="J155" i="2" s="1"/>
  <c r="C155" i="2"/>
  <c r="B155" i="2"/>
  <c r="A155" i="2"/>
  <c r="J155" i="4" s="1"/>
  <c r="X154" i="2"/>
  <c r="S154" i="2"/>
  <c r="R154" i="2"/>
  <c r="Q154" i="2"/>
  <c r="P154" i="2"/>
  <c r="L154" i="2"/>
  <c r="K154" i="2"/>
  <c r="H154" i="2"/>
  <c r="I154" i="2" s="1"/>
  <c r="J154" i="2" s="1"/>
  <c r="C154" i="2"/>
  <c r="B154" i="2"/>
  <c r="A154" i="2"/>
  <c r="J154" i="4" s="1"/>
  <c r="X153" i="2"/>
  <c r="S153" i="2"/>
  <c r="R153" i="2"/>
  <c r="Q153" i="2"/>
  <c r="P153" i="2"/>
  <c r="L153" i="2"/>
  <c r="K153" i="2"/>
  <c r="H153" i="2"/>
  <c r="I153" i="2" s="1"/>
  <c r="J153" i="2" s="1"/>
  <c r="C153" i="2"/>
  <c r="B153" i="2"/>
  <c r="A153" i="2"/>
  <c r="J153" i="4" s="1"/>
  <c r="X152" i="2"/>
  <c r="S152" i="2"/>
  <c r="R152" i="2"/>
  <c r="Q152" i="2"/>
  <c r="P152" i="2"/>
  <c r="L152" i="2"/>
  <c r="K152" i="2"/>
  <c r="H152" i="2"/>
  <c r="I152" i="2" s="1"/>
  <c r="J152" i="2" s="1"/>
  <c r="C152" i="2"/>
  <c r="B152" i="2"/>
  <c r="A152" i="2"/>
  <c r="J152" i="4" s="1"/>
  <c r="X151" i="2"/>
  <c r="S151" i="2"/>
  <c r="R151" i="2"/>
  <c r="Q151" i="2"/>
  <c r="P151" i="2"/>
  <c r="L151" i="2"/>
  <c r="K151" i="2"/>
  <c r="H151" i="2"/>
  <c r="I151" i="2" s="1"/>
  <c r="J151" i="2" s="1"/>
  <c r="C151" i="2"/>
  <c r="B151" i="2"/>
  <c r="A151" i="2"/>
  <c r="J151" i="4" s="1"/>
  <c r="X150" i="2"/>
  <c r="S150" i="2"/>
  <c r="R150" i="2"/>
  <c r="Q150" i="2"/>
  <c r="P150" i="2"/>
  <c r="L150" i="2"/>
  <c r="K150" i="2"/>
  <c r="H150" i="2"/>
  <c r="I150" i="2" s="1"/>
  <c r="J150" i="2" s="1"/>
  <c r="C150" i="2"/>
  <c r="B150" i="2"/>
  <c r="A150" i="2"/>
  <c r="J150" i="4" s="1"/>
  <c r="X149" i="2"/>
  <c r="S149" i="2"/>
  <c r="R149" i="2"/>
  <c r="Q149" i="2"/>
  <c r="P149" i="2"/>
  <c r="L149" i="2"/>
  <c r="K149" i="2"/>
  <c r="H149" i="2"/>
  <c r="I149" i="2" s="1"/>
  <c r="J149" i="2" s="1"/>
  <c r="C149" i="2"/>
  <c r="B149" i="2"/>
  <c r="A149" i="2"/>
  <c r="J149" i="4" s="1"/>
  <c r="X148" i="2"/>
  <c r="S148" i="2"/>
  <c r="R148" i="2"/>
  <c r="Q148" i="2"/>
  <c r="P148" i="2"/>
  <c r="L148" i="2"/>
  <c r="K148" i="2"/>
  <c r="H148" i="2"/>
  <c r="I148" i="2" s="1"/>
  <c r="J148" i="2" s="1"/>
  <c r="C148" i="2"/>
  <c r="B148" i="2"/>
  <c r="A148" i="2"/>
  <c r="J148" i="4" s="1"/>
  <c r="X147" i="2"/>
  <c r="S147" i="2"/>
  <c r="R147" i="2"/>
  <c r="Q147" i="2"/>
  <c r="P147" i="2"/>
  <c r="L147" i="2"/>
  <c r="K147" i="2"/>
  <c r="H147" i="2"/>
  <c r="I147" i="2" s="1"/>
  <c r="J147" i="2" s="1"/>
  <c r="C147" i="2"/>
  <c r="B147" i="2"/>
  <c r="A147" i="2"/>
  <c r="J147" i="4" s="1"/>
  <c r="X146" i="2"/>
  <c r="S146" i="2"/>
  <c r="R146" i="2"/>
  <c r="Q146" i="2"/>
  <c r="P146" i="2"/>
  <c r="L146" i="2"/>
  <c r="K146" i="2"/>
  <c r="H146" i="2"/>
  <c r="I146" i="2" s="1"/>
  <c r="J146" i="2" s="1"/>
  <c r="C146" i="2"/>
  <c r="B146" i="2"/>
  <c r="A146" i="2"/>
  <c r="J146" i="4" s="1"/>
  <c r="X145" i="2"/>
  <c r="S145" i="2"/>
  <c r="R145" i="2"/>
  <c r="Q145" i="2"/>
  <c r="P145" i="2"/>
  <c r="L145" i="2"/>
  <c r="K145" i="2"/>
  <c r="H145" i="2"/>
  <c r="I145" i="2" s="1"/>
  <c r="J145" i="2" s="1"/>
  <c r="C145" i="2"/>
  <c r="B145" i="2"/>
  <c r="A145" i="2"/>
  <c r="J145" i="4" s="1"/>
  <c r="X144" i="2"/>
  <c r="S144" i="2"/>
  <c r="R144" i="2"/>
  <c r="Q144" i="2"/>
  <c r="P144" i="2"/>
  <c r="L144" i="2"/>
  <c r="K144" i="2"/>
  <c r="H144" i="2"/>
  <c r="I144" i="2" s="1"/>
  <c r="J144" i="2" s="1"/>
  <c r="C144" i="2"/>
  <c r="B144" i="2"/>
  <c r="A144" i="2"/>
  <c r="J144" i="4" s="1"/>
  <c r="X143" i="2"/>
  <c r="S143" i="2"/>
  <c r="R143" i="2"/>
  <c r="Q143" i="2"/>
  <c r="P143" i="2"/>
  <c r="L143" i="2"/>
  <c r="K143" i="2"/>
  <c r="H143" i="2"/>
  <c r="I143" i="2" s="1"/>
  <c r="J143" i="2" s="1"/>
  <c r="C143" i="2"/>
  <c r="B143" i="2"/>
  <c r="A143" i="2"/>
  <c r="J143" i="4" s="1"/>
  <c r="X142" i="2"/>
  <c r="S142" i="2"/>
  <c r="R142" i="2"/>
  <c r="Q142" i="2"/>
  <c r="P142" i="2"/>
  <c r="L142" i="2"/>
  <c r="K142" i="2"/>
  <c r="H142" i="2"/>
  <c r="I142" i="2" s="1"/>
  <c r="J142" i="2" s="1"/>
  <c r="C142" i="2"/>
  <c r="B142" i="2"/>
  <c r="A142" i="2"/>
  <c r="J142" i="4" s="1"/>
  <c r="X141" i="2"/>
  <c r="S141" i="2"/>
  <c r="R141" i="2"/>
  <c r="Q141" i="2"/>
  <c r="P141" i="2"/>
  <c r="L141" i="2"/>
  <c r="K141" i="2"/>
  <c r="H141" i="2"/>
  <c r="I141" i="2" s="1"/>
  <c r="J141" i="2" s="1"/>
  <c r="C141" i="2"/>
  <c r="B141" i="2"/>
  <c r="A141" i="2"/>
  <c r="J141" i="4" s="1"/>
  <c r="X140" i="2"/>
  <c r="S140" i="2"/>
  <c r="R140" i="2"/>
  <c r="Q140" i="2"/>
  <c r="P140" i="2"/>
  <c r="L140" i="2"/>
  <c r="K140" i="2"/>
  <c r="H140" i="2"/>
  <c r="I140" i="2" s="1"/>
  <c r="J140" i="2" s="1"/>
  <c r="C140" i="2"/>
  <c r="B140" i="2"/>
  <c r="A140" i="2"/>
  <c r="J140" i="4" s="1"/>
  <c r="X139" i="2"/>
  <c r="S139" i="2"/>
  <c r="R139" i="2"/>
  <c r="Q139" i="2"/>
  <c r="P139" i="2"/>
  <c r="L139" i="2"/>
  <c r="K139" i="2"/>
  <c r="H139" i="2"/>
  <c r="I139" i="2" s="1"/>
  <c r="J139" i="2" s="1"/>
  <c r="C139" i="2"/>
  <c r="B139" i="2"/>
  <c r="A139" i="2"/>
  <c r="J139" i="4" s="1"/>
  <c r="X138" i="2"/>
  <c r="S138" i="2"/>
  <c r="R138" i="2"/>
  <c r="Q138" i="2"/>
  <c r="P138" i="2"/>
  <c r="L138" i="2"/>
  <c r="K138" i="2"/>
  <c r="H138" i="2"/>
  <c r="I138" i="2" s="1"/>
  <c r="J138" i="2" s="1"/>
  <c r="C138" i="2"/>
  <c r="B138" i="2"/>
  <c r="A138" i="2"/>
  <c r="J138" i="4" s="1"/>
  <c r="X137" i="2"/>
  <c r="S137" i="2"/>
  <c r="R137" i="2"/>
  <c r="Q137" i="2"/>
  <c r="P137" i="2"/>
  <c r="L137" i="2"/>
  <c r="K137" i="2"/>
  <c r="H137" i="2"/>
  <c r="I137" i="2" s="1"/>
  <c r="J137" i="2" s="1"/>
  <c r="C137" i="2"/>
  <c r="B137" i="2"/>
  <c r="A137" i="2"/>
  <c r="J137" i="4" s="1"/>
  <c r="X136" i="2"/>
  <c r="S136" i="2"/>
  <c r="R136" i="2"/>
  <c r="Q136" i="2"/>
  <c r="P136" i="2"/>
  <c r="L136" i="2"/>
  <c r="K136" i="2"/>
  <c r="H136" i="2"/>
  <c r="I136" i="2" s="1"/>
  <c r="J136" i="2" s="1"/>
  <c r="C136" i="2"/>
  <c r="B136" i="2"/>
  <c r="A136" i="2"/>
  <c r="J136" i="4" s="1"/>
  <c r="X135" i="2"/>
  <c r="S135" i="2"/>
  <c r="R135" i="2"/>
  <c r="Q135" i="2"/>
  <c r="P135" i="2"/>
  <c r="L135" i="2"/>
  <c r="K135" i="2"/>
  <c r="H135" i="2"/>
  <c r="I135" i="2" s="1"/>
  <c r="J135" i="2" s="1"/>
  <c r="C135" i="2"/>
  <c r="B135" i="2"/>
  <c r="A135" i="2"/>
  <c r="J135" i="4" s="1"/>
  <c r="X134" i="2"/>
  <c r="S134" i="2"/>
  <c r="R134" i="2"/>
  <c r="Q134" i="2"/>
  <c r="P134" i="2"/>
  <c r="L134" i="2"/>
  <c r="K134" i="2"/>
  <c r="H134" i="2"/>
  <c r="I134" i="2" s="1"/>
  <c r="J134" i="2" s="1"/>
  <c r="C134" i="2"/>
  <c r="B134" i="2"/>
  <c r="A134" i="2"/>
  <c r="J134" i="4" s="1"/>
  <c r="X133" i="2"/>
  <c r="S133" i="2"/>
  <c r="R133" i="2"/>
  <c r="Q133" i="2"/>
  <c r="P133" i="2"/>
  <c r="L133" i="2"/>
  <c r="K133" i="2"/>
  <c r="H133" i="2"/>
  <c r="I133" i="2" s="1"/>
  <c r="J133" i="2" s="1"/>
  <c r="C133" i="2"/>
  <c r="B133" i="2"/>
  <c r="A133" i="2"/>
  <c r="J133" i="4" s="1"/>
  <c r="X132" i="2"/>
  <c r="S132" i="2"/>
  <c r="R132" i="2"/>
  <c r="Q132" i="2"/>
  <c r="P132" i="2"/>
  <c r="L132" i="2"/>
  <c r="K132" i="2"/>
  <c r="H132" i="2"/>
  <c r="I132" i="2" s="1"/>
  <c r="J132" i="2" s="1"/>
  <c r="C132" i="2"/>
  <c r="B132" i="2"/>
  <c r="A132" i="2"/>
  <c r="J132" i="4" s="1"/>
  <c r="X131" i="2"/>
  <c r="S131" i="2"/>
  <c r="R131" i="2"/>
  <c r="Q131" i="2"/>
  <c r="P131" i="2"/>
  <c r="L131" i="2"/>
  <c r="K131" i="2"/>
  <c r="H131" i="2"/>
  <c r="I131" i="2" s="1"/>
  <c r="J131" i="2" s="1"/>
  <c r="C131" i="2"/>
  <c r="B131" i="2"/>
  <c r="A131" i="2"/>
  <c r="J131" i="4" s="1"/>
  <c r="X130" i="2"/>
  <c r="S130" i="2"/>
  <c r="R130" i="2"/>
  <c r="Q130" i="2"/>
  <c r="P130" i="2"/>
  <c r="L130" i="2"/>
  <c r="K130" i="2"/>
  <c r="H130" i="2"/>
  <c r="I130" i="2" s="1"/>
  <c r="J130" i="2" s="1"/>
  <c r="C130" i="2"/>
  <c r="B130" i="2"/>
  <c r="A130" i="2"/>
  <c r="J130" i="4" s="1"/>
  <c r="X129" i="2"/>
  <c r="S129" i="2"/>
  <c r="R129" i="2"/>
  <c r="Q129" i="2"/>
  <c r="P129" i="2"/>
  <c r="L129" i="2"/>
  <c r="K129" i="2"/>
  <c r="H129" i="2"/>
  <c r="I129" i="2" s="1"/>
  <c r="J129" i="2" s="1"/>
  <c r="C129" i="2"/>
  <c r="B129" i="2"/>
  <c r="A129" i="2"/>
  <c r="J129" i="4" s="1"/>
  <c r="X128" i="2"/>
  <c r="S128" i="2"/>
  <c r="R128" i="2"/>
  <c r="Q128" i="2"/>
  <c r="P128" i="2"/>
  <c r="L128" i="2"/>
  <c r="K128" i="2"/>
  <c r="H128" i="2"/>
  <c r="I128" i="2" s="1"/>
  <c r="J128" i="2" s="1"/>
  <c r="C128" i="2"/>
  <c r="B128" i="2"/>
  <c r="A128" i="2"/>
  <c r="J128" i="4" s="1"/>
  <c r="X127" i="2"/>
  <c r="S127" i="2"/>
  <c r="R127" i="2"/>
  <c r="Q127" i="2"/>
  <c r="P127" i="2"/>
  <c r="L127" i="2"/>
  <c r="K127" i="2"/>
  <c r="H127" i="2"/>
  <c r="I127" i="2" s="1"/>
  <c r="J127" i="2" s="1"/>
  <c r="C127" i="2"/>
  <c r="B127" i="2"/>
  <c r="A127" i="2"/>
  <c r="J127" i="4" s="1"/>
  <c r="X126" i="2"/>
  <c r="S126" i="2"/>
  <c r="R126" i="2"/>
  <c r="Q126" i="2"/>
  <c r="P126" i="2"/>
  <c r="L126" i="2"/>
  <c r="K126" i="2"/>
  <c r="H126" i="2"/>
  <c r="I126" i="2" s="1"/>
  <c r="J126" i="2" s="1"/>
  <c r="C126" i="2"/>
  <c r="B126" i="2"/>
  <c r="A126" i="2"/>
  <c r="J126" i="4" s="1"/>
  <c r="X125" i="2"/>
  <c r="S125" i="2"/>
  <c r="R125" i="2"/>
  <c r="Q125" i="2"/>
  <c r="P125" i="2"/>
  <c r="L125" i="2"/>
  <c r="K125" i="2"/>
  <c r="H125" i="2"/>
  <c r="I125" i="2" s="1"/>
  <c r="J125" i="2" s="1"/>
  <c r="C125" i="2"/>
  <c r="B125" i="2"/>
  <c r="A125" i="2"/>
  <c r="J125" i="4" s="1"/>
  <c r="X124" i="2"/>
  <c r="S124" i="2"/>
  <c r="R124" i="2"/>
  <c r="Q124" i="2"/>
  <c r="P124" i="2"/>
  <c r="L124" i="2"/>
  <c r="K124" i="2"/>
  <c r="H124" i="2"/>
  <c r="I124" i="2" s="1"/>
  <c r="J124" i="2" s="1"/>
  <c r="C124" i="2"/>
  <c r="B124" i="2"/>
  <c r="A124" i="2"/>
  <c r="J124" i="4" s="1"/>
  <c r="X123" i="2"/>
  <c r="S123" i="2"/>
  <c r="R123" i="2"/>
  <c r="Q123" i="2"/>
  <c r="P123" i="2"/>
  <c r="L123" i="2"/>
  <c r="K123" i="2"/>
  <c r="H123" i="2"/>
  <c r="I123" i="2" s="1"/>
  <c r="J123" i="2" s="1"/>
  <c r="C123" i="2"/>
  <c r="B123" i="2"/>
  <c r="A123" i="2"/>
  <c r="J123" i="4" s="1"/>
  <c r="X122" i="2"/>
  <c r="S122" i="2"/>
  <c r="R122" i="2"/>
  <c r="Q122" i="2"/>
  <c r="P122" i="2"/>
  <c r="L122" i="2"/>
  <c r="K122" i="2"/>
  <c r="H122" i="2"/>
  <c r="I122" i="2" s="1"/>
  <c r="J122" i="2" s="1"/>
  <c r="C122" i="2"/>
  <c r="B122" i="2"/>
  <c r="A122" i="2"/>
  <c r="J122" i="4" s="1"/>
  <c r="X121" i="2"/>
  <c r="S121" i="2"/>
  <c r="R121" i="2"/>
  <c r="Q121" i="2"/>
  <c r="P121" i="2"/>
  <c r="L121" i="2"/>
  <c r="K121" i="2"/>
  <c r="H121" i="2"/>
  <c r="I121" i="2" s="1"/>
  <c r="J121" i="2" s="1"/>
  <c r="C121" i="2"/>
  <c r="B121" i="2"/>
  <c r="A121" i="2"/>
  <c r="J121" i="4" s="1"/>
  <c r="X120" i="2"/>
  <c r="S120" i="2"/>
  <c r="R120" i="2"/>
  <c r="Q120" i="2"/>
  <c r="P120" i="2"/>
  <c r="L120" i="2"/>
  <c r="K120" i="2"/>
  <c r="H120" i="2"/>
  <c r="I120" i="2" s="1"/>
  <c r="J120" i="2" s="1"/>
  <c r="C120" i="2"/>
  <c r="B120" i="2"/>
  <c r="A120" i="2"/>
  <c r="X119" i="2"/>
  <c r="S119" i="2"/>
  <c r="R119" i="2"/>
  <c r="Q119" i="2"/>
  <c r="P119" i="2"/>
  <c r="L119" i="2"/>
  <c r="K119" i="2"/>
  <c r="H119" i="2"/>
  <c r="I119" i="2" s="1"/>
  <c r="J119" i="2" s="1"/>
  <c r="C119" i="2"/>
  <c r="B119" i="2"/>
  <c r="A119" i="2"/>
  <c r="X118" i="2"/>
  <c r="S118" i="2"/>
  <c r="R118" i="2"/>
  <c r="Q118" i="2"/>
  <c r="P118" i="2"/>
  <c r="L118" i="2"/>
  <c r="K118" i="2"/>
  <c r="H118" i="2"/>
  <c r="I118" i="2" s="1"/>
  <c r="J118" i="2" s="1"/>
  <c r="C118" i="2"/>
  <c r="B118" i="2"/>
  <c r="A118" i="2"/>
  <c r="X117" i="2"/>
  <c r="S117" i="2"/>
  <c r="R117" i="2"/>
  <c r="Q117" i="2"/>
  <c r="P117" i="2"/>
  <c r="L117" i="2"/>
  <c r="K117" i="2"/>
  <c r="H117" i="2"/>
  <c r="I117" i="2" s="1"/>
  <c r="J117" i="2" s="1"/>
  <c r="C117" i="2"/>
  <c r="B117" i="2"/>
  <c r="A117" i="2"/>
  <c r="X116" i="2"/>
  <c r="S116" i="2"/>
  <c r="R116" i="2"/>
  <c r="Q116" i="2"/>
  <c r="P116" i="2"/>
  <c r="L116" i="2"/>
  <c r="K116" i="2"/>
  <c r="H116" i="2"/>
  <c r="I116" i="2" s="1"/>
  <c r="J116" i="2" s="1"/>
  <c r="C116" i="2"/>
  <c r="B116" i="2"/>
  <c r="A116" i="2"/>
  <c r="X115" i="2"/>
  <c r="S115" i="2"/>
  <c r="R115" i="2"/>
  <c r="Q115" i="2"/>
  <c r="P115" i="2"/>
  <c r="L115" i="2"/>
  <c r="K115" i="2"/>
  <c r="H115" i="2"/>
  <c r="I115" i="2" s="1"/>
  <c r="J115" i="2" s="1"/>
  <c r="C115" i="2"/>
  <c r="B115" i="2"/>
  <c r="A115" i="2"/>
  <c r="X114" i="2"/>
  <c r="S114" i="2"/>
  <c r="R114" i="2"/>
  <c r="Q114" i="2"/>
  <c r="P114" i="2"/>
  <c r="L114" i="2"/>
  <c r="K114" i="2"/>
  <c r="H114" i="2"/>
  <c r="I114" i="2" s="1"/>
  <c r="J114" i="2" s="1"/>
  <c r="C114" i="2"/>
  <c r="B114" i="2"/>
  <c r="A114" i="2"/>
  <c r="X113" i="2"/>
  <c r="S113" i="2"/>
  <c r="R113" i="2"/>
  <c r="Q113" i="2"/>
  <c r="P113" i="2"/>
  <c r="L113" i="2"/>
  <c r="K113" i="2"/>
  <c r="H113" i="2"/>
  <c r="I113" i="2" s="1"/>
  <c r="J113" i="2" s="1"/>
  <c r="C113" i="2"/>
  <c r="B113" i="2"/>
  <c r="A113" i="2"/>
  <c r="X112" i="2"/>
  <c r="S112" i="2"/>
  <c r="R112" i="2"/>
  <c r="Q112" i="2"/>
  <c r="P112" i="2"/>
  <c r="L112" i="2"/>
  <c r="K112" i="2"/>
  <c r="H112" i="2"/>
  <c r="I112" i="2" s="1"/>
  <c r="J112" i="2" s="1"/>
  <c r="C112" i="2"/>
  <c r="B112" i="2"/>
  <c r="A112" i="2"/>
  <c r="X111" i="2"/>
  <c r="S111" i="2"/>
  <c r="R111" i="2"/>
  <c r="Q111" i="2"/>
  <c r="P111" i="2"/>
  <c r="L111" i="2"/>
  <c r="K111" i="2"/>
  <c r="H111" i="2"/>
  <c r="I111" i="2" s="1"/>
  <c r="J111" i="2" s="1"/>
  <c r="C111" i="2"/>
  <c r="B111" i="2"/>
  <c r="A111" i="2"/>
  <c r="X110" i="2"/>
  <c r="S110" i="2"/>
  <c r="R110" i="2"/>
  <c r="Q110" i="2"/>
  <c r="P110" i="2"/>
  <c r="L110" i="2"/>
  <c r="K110" i="2"/>
  <c r="H110" i="2"/>
  <c r="I110" i="2" s="1"/>
  <c r="J110" i="2" s="1"/>
  <c r="C110" i="2"/>
  <c r="B110" i="2"/>
  <c r="A110" i="2"/>
  <c r="X109" i="2"/>
  <c r="S109" i="2"/>
  <c r="R109" i="2"/>
  <c r="Q109" i="2"/>
  <c r="P109" i="2"/>
  <c r="L109" i="2"/>
  <c r="K109" i="2"/>
  <c r="H109" i="2"/>
  <c r="I109" i="2" s="1"/>
  <c r="J109" i="2" s="1"/>
  <c r="C109" i="2"/>
  <c r="B109" i="2"/>
  <c r="A109" i="2"/>
  <c r="X108" i="2"/>
  <c r="S108" i="2"/>
  <c r="R108" i="2"/>
  <c r="Q108" i="2"/>
  <c r="P108" i="2"/>
  <c r="L108" i="2"/>
  <c r="K108" i="2"/>
  <c r="H108" i="2"/>
  <c r="I108" i="2" s="1"/>
  <c r="J108" i="2" s="1"/>
  <c r="C108" i="2"/>
  <c r="B108" i="2"/>
  <c r="A108" i="2"/>
  <c r="X107" i="2"/>
  <c r="S107" i="2"/>
  <c r="R107" i="2"/>
  <c r="Q107" i="2"/>
  <c r="P107" i="2"/>
  <c r="L107" i="2"/>
  <c r="K107" i="2"/>
  <c r="H107" i="2"/>
  <c r="I107" i="2" s="1"/>
  <c r="J107" i="2" s="1"/>
  <c r="C107" i="2"/>
  <c r="B107" i="2"/>
  <c r="A107" i="2"/>
  <c r="X106" i="2"/>
  <c r="S106" i="2"/>
  <c r="R106" i="2"/>
  <c r="Q106" i="2"/>
  <c r="P106" i="2"/>
  <c r="L106" i="2"/>
  <c r="K106" i="2"/>
  <c r="H106" i="2"/>
  <c r="I106" i="2" s="1"/>
  <c r="J106" i="2" s="1"/>
  <c r="C106" i="2"/>
  <c r="B106" i="2"/>
  <c r="A106" i="2"/>
  <c r="X105" i="2"/>
  <c r="S105" i="2"/>
  <c r="Q105" i="2"/>
  <c r="P105" i="2"/>
  <c r="R105" i="2" s="1"/>
  <c r="L105" i="2"/>
  <c r="K105" i="2"/>
  <c r="H105" i="2"/>
  <c r="I105" i="2" s="1"/>
  <c r="J105" i="2" s="1"/>
  <c r="C105" i="2"/>
  <c r="B105" i="2"/>
  <c r="A105" i="2"/>
  <c r="X104" i="2"/>
  <c r="S104" i="2"/>
  <c r="R104" i="2"/>
  <c r="Q104" i="2"/>
  <c r="P104" i="2"/>
  <c r="L104" i="2"/>
  <c r="K104" i="2"/>
  <c r="H104" i="2"/>
  <c r="I104" i="2" s="1"/>
  <c r="J104" i="2" s="1"/>
  <c r="C104" i="2"/>
  <c r="B104" i="2"/>
  <c r="A104" i="2"/>
  <c r="X103" i="2"/>
  <c r="S103" i="2"/>
  <c r="R103" i="2"/>
  <c r="Q103" i="2"/>
  <c r="P103" i="2"/>
  <c r="L103" i="2"/>
  <c r="K103" i="2"/>
  <c r="H103" i="2"/>
  <c r="I103" i="2" s="1"/>
  <c r="J103" i="2" s="1"/>
  <c r="C103" i="2"/>
  <c r="B103" i="2"/>
  <c r="A103" i="2"/>
  <c r="X102" i="2"/>
  <c r="S102" i="2"/>
  <c r="R102" i="2"/>
  <c r="Q102" i="2"/>
  <c r="P102" i="2"/>
  <c r="L102" i="2"/>
  <c r="K102" i="2"/>
  <c r="H102" i="2"/>
  <c r="I102" i="2" s="1"/>
  <c r="J102" i="2" s="1"/>
  <c r="C102" i="2"/>
  <c r="B102" i="2"/>
  <c r="A102" i="2"/>
  <c r="X101" i="2"/>
  <c r="S101" i="2"/>
  <c r="R101" i="2"/>
  <c r="Q101" i="2"/>
  <c r="P101" i="2"/>
  <c r="L101" i="2"/>
  <c r="K101" i="2"/>
  <c r="H101" i="2"/>
  <c r="I101" i="2" s="1"/>
  <c r="J101" i="2" s="1"/>
  <c r="C101" i="2"/>
  <c r="B101" i="2"/>
  <c r="A101" i="2"/>
  <c r="X100" i="2"/>
  <c r="S100" i="2"/>
  <c r="R100" i="2"/>
  <c r="Q100" i="2"/>
  <c r="P100" i="2"/>
  <c r="L100" i="2"/>
  <c r="K100" i="2"/>
  <c r="H100" i="2"/>
  <c r="I100" i="2" s="1"/>
  <c r="J100" i="2" s="1"/>
  <c r="C100" i="2"/>
  <c r="B100" i="2"/>
  <c r="A100" i="2"/>
  <c r="X99" i="2"/>
  <c r="S99" i="2"/>
  <c r="R99" i="2"/>
  <c r="Q99" i="2"/>
  <c r="P99" i="2"/>
  <c r="L99" i="2"/>
  <c r="K99" i="2"/>
  <c r="H99" i="2"/>
  <c r="I99" i="2" s="1"/>
  <c r="J99" i="2" s="1"/>
  <c r="C99" i="2"/>
  <c r="B99" i="2"/>
  <c r="A99" i="2"/>
  <c r="X98" i="2"/>
  <c r="S98" i="2"/>
  <c r="R98" i="2"/>
  <c r="Q98" i="2"/>
  <c r="P98" i="2"/>
  <c r="L98" i="2"/>
  <c r="K98" i="2"/>
  <c r="H98" i="2"/>
  <c r="I98" i="2" s="1"/>
  <c r="J98" i="2" s="1"/>
  <c r="C98" i="2"/>
  <c r="B98" i="2"/>
  <c r="A98" i="2"/>
  <c r="X97" i="2"/>
  <c r="S97" i="2"/>
  <c r="R97" i="2"/>
  <c r="Q97" i="2"/>
  <c r="P97" i="2"/>
  <c r="L97" i="2"/>
  <c r="K97" i="2"/>
  <c r="H97" i="2"/>
  <c r="I97" i="2" s="1"/>
  <c r="J97" i="2" s="1"/>
  <c r="C97" i="2"/>
  <c r="B97" i="2"/>
  <c r="A97" i="2"/>
  <c r="X96" i="2"/>
  <c r="S96" i="2"/>
  <c r="R96" i="2"/>
  <c r="Q96" i="2"/>
  <c r="P96" i="2"/>
  <c r="L96" i="2"/>
  <c r="K96" i="2"/>
  <c r="H96" i="2"/>
  <c r="I96" i="2" s="1"/>
  <c r="J96" i="2" s="1"/>
  <c r="C96" i="2"/>
  <c r="B96" i="2"/>
  <c r="A96" i="2"/>
  <c r="X95" i="2"/>
  <c r="S95" i="2"/>
  <c r="R95" i="2"/>
  <c r="Q95" i="2"/>
  <c r="P95" i="2"/>
  <c r="L95" i="2"/>
  <c r="K95" i="2"/>
  <c r="H95" i="2"/>
  <c r="I95" i="2" s="1"/>
  <c r="J95" i="2" s="1"/>
  <c r="C95" i="2"/>
  <c r="B95" i="2"/>
  <c r="A95" i="2"/>
  <c r="X94" i="2"/>
  <c r="S94" i="2"/>
  <c r="R94" i="2"/>
  <c r="Q94" i="2"/>
  <c r="P94" i="2"/>
  <c r="L94" i="2"/>
  <c r="K94" i="2"/>
  <c r="H94" i="2"/>
  <c r="I94" i="2" s="1"/>
  <c r="J94" i="2" s="1"/>
  <c r="C94" i="2"/>
  <c r="B94" i="2"/>
  <c r="A94" i="2"/>
  <c r="X93" i="2"/>
  <c r="S93" i="2"/>
  <c r="R93" i="2"/>
  <c r="Q93" i="2"/>
  <c r="P93" i="2"/>
  <c r="L93" i="2"/>
  <c r="K93" i="2"/>
  <c r="H93" i="2"/>
  <c r="I93" i="2" s="1"/>
  <c r="J93" i="2" s="1"/>
  <c r="C93" i="2"/>
  <c r="B93" i="2"/>
  <c r="A93" i="2"/>
  <c r="X92" i="2"/>
  <c r="S92" i="2"/>
  <c r="R92" i="2"/>
  <c r="Q92" i="2"/>
  <c r="P92" i="2"/>
  <c r="L92" i="2"/>
  <c r="K92" i="2"/>
  <c r="H92" i="2"/>
  <c r="I92" i="2" s="1"/>
  <c r="J92" i="2" s="1"/>
  <c r="C92" i="2"/>
  <c r="B92" i="2"/>
  <c r="A92" i="2"/>
  <c r="X91" i="2"/>
  <c r="S91" i="2"/>
  <c r="R91" i="2"/>
  <c r="Q91" i="2"/>
  <c r="P91" i="2"/>
  <c r="L91" i="2"/>
  <c r="K91" i="2"/>
  <c r="H91" i="2"/>
  <c r="I91" i="2" s="1"/>
  <c r="J91" i="2" s="1"/>
  <c r="C91" i="2"/>
  <c r="B91" i="2"/>
  <c r="A91" i="2"/>
  <c r="X90" i="2"/>
  <c r="S90" i="2"/>
  <c r="R90" i="2"/>
  <c r="Q90" i="2"/>
  <c r="P90" i="2"/>
  <c r="L90" i="2"/>
  <c r="K90" i="2"/>
  <c r="H90" i="2"/>
  <c r="I90" i="2" s="1"/>
  <c r="J90" i="2" s="1"/>
  <c r="C90" i="2"/>
  <c r="B90" i="2"/>
  <c r="A90" i="2"/>
  <c r="X89" i="2"/>
  <c r="S89" i="2"/>
  <c r="R89" i="2"/>
  <c r="Q89" i="2"/>
  <c r="P89" i="2"/>
  <c r="L89" i="2"/>
  <c r="K89" i="2"/>
  <c r="H89" i="2"/>
  <c r="I89" i="2" s="1"/>
  <c r="J89" i="2" s="1"/>
  <c r="C89" i="2"/>
  <c r="B89" i="2"/>
  <c r="A89" i="2"/>
  <c r="X88" i="2"/>
  <c r="S88" i="2"/>
  <c r="R88" i="2"/>
  <c r="Q88" i="2"/>
  <c r="P88" i="2"/>
  <c r="L88" i="2"/>
  <c r="K88" i="2"/>
  <c r="H88" i="2"/>
  <c r="I88" i="2" s="1"/>
  <c r="J88" i="2" s="1"/>
  <c r="C88" i="2"/>
  <c r="B88" i="2"/>
  <c r="A88" i="2"/>
  <c r="X87" i="2"/>
  <c r="S87" i="2"/>
  <c r="R87" i="2"/>
  <c r="Q87" i="2"/>
  <c r="P87" i="2"/>
  <c r="L87" i="2"/>
  <c r="K87" i="2"/>
  <c r="H87" i="2"/>
  <c r="I87" i="2" s="1"/>
  <c r="J87" i="2" s="1"/>
  <c r="C87" i="2"/>
  <c r="B87" i="2"/>
  <c r="A87" i="2"/>
  <c r="X86" i="2"/>
  <c r="S86" i="2"/>
  <c r="R86" i="2"/>
  <c r="Q86" i="2"/>
  <c r="P86" i="2"/>
  <c r="L86" i="2"/>
  <c r="K86" i="2"/>
  <c r="H86" i="2"/>
  <c r="I86" i="2" s="1"/>
  <c r="J86" i="2" s="1"/>
  <c r="C86" i="2"/>
  <c r="B86" i="2"/>
  <c r="A86" i="2"/>
  <c r="X85" i="2"/>
  <c r="S85" i="2"/>
  <c r="R85" i="2"/>
  <c r="Q85" i="2"/>
  <c r="P85" i="2"/>
  <c r="L85" i="2"/>
  <c r="K85" i="2"/>
  <c r="H85" i="2"/>
  <c r="I85" i="2" s="1"/>
  <c r="J85" i="2" s="1"/>
  <c r="C85" i="2"/>
  <c r="B85" i="2"/>
  <c r="A85" i="2"/>
  <c r="X84" i="2"/>
  <c r="S84" i="2"/>
  <c r="R84" i="2"/>
  <c r="Q84" i="2"/>
  <c r="P84" i="2"/>
  <c r="L84" i="2"/>
  <c r="K84" i="2"/>
  <c r="H84" i="2"/>
  <c r="I84" i="2" s="1"/>
  <c r="J84" i="2" s="1"/>
  <c r="C84" i="2"/>
  <c r="B84" i="2"/>
  <c r="A84" i="2"/>
  <c r="X83" i="2"/>
  <c r="S83" i="2"/>
  <c r="R83" i="2"/>
  <c r="Q83" i="2"/>
  <c r="P83" i="2"/>
  <c r="L83" i="2"/>
  <c r="K83" i="2"/>
  <c r="H83" i="2"/>
  <c r="I83" i="2" s="1"/>
  <c r="J83" i="2" s="1"/>
  <c r="C83" i="2"/>
  <c r="B83" i="2"/>
  <c r="A83" i="2"/>
  <c r="X82" i="2"/>
  <c r="S82" i="2"/>
  <c r="R82" i="2"/>
  <c r="Q82" i="2"/>
  <c r="P82" i="2"/>
  <c r="L82" i="2"/>
  <c r="K82" i="2"/>
  <c r="H82" i="2"/>
  <c r="I82" i="2" s="1"/>
  <c r="J82" i="2" s="1"/>
  <c r="C82" i="2"/>
  <c r="B82" i="2"/>
  <c r="A82" i="2"/>
  <c r="X81" i="2"/>
  <c r="S81" i="2"/>
  <c r="R81" i="2"/>
  <c r="Q81" i="2"/>
  <c r="P81" i="2"/>
  <c r="L81" i="2"/>
  <c r="K81" i="2"/>
  <c r="H81" i="2"/>
  <c r="I81" i="2" s="1"/>
  <c r="J81" i="2" s="1"/>
  <c r="C81" i="2"/>
  <c r="B81" i="2"/>
  <c r="A81" i="2"/>
  <c r="X80" i="2"/>
  <c r="S80" i="2"/>
  <c r="R80" i="2"/>
  <c r="Q80" i="2"/>
  <c r="P80" i="2"/>
  <c r="L80" i="2"/>
  <c r="K80" i="2"/>
  <c r="H80" i="2"/>
  <c r="I80" i="2" s="1"/>
  <c r="J80" i="2" s="1"/>
  <c r="C80" i="2"/>
  <c r="B80" i="2"/>
  <c r="A80" i="2"/>
  <c r="X79" i="2"/>
  <c r="S79" i="2"/>
  <c r="R79" i="2"/>
  <c r="Q79" i="2"/>
  <c r="P79" i="2"/>
  <c r="L79" i="2"/>
  <c r="K79" i="2"/>
  <c r="H79" i="2"/>
  <c r="I79" i="2" s="1"/>
  <c r="J79" i="2" s="1"/>
  <c r="C79" i="2"/>
  <c r="B79" i="2"/>
  <c r="A79" i="2"/>
  <c r="X78" i="2"/>
  <c r="S78" i="2"/>
  <c r="R78" i="2"/>
  <c r="Q78" i="2"/>
  <c r="P78" i="2"/>
  <c r="L78" i="2"/>
  <c r="K78" i="2"/>
  <c r="H78" i="2"/>
  <c r="I78" i="2" s="1"/>
  <c r="J78" i="2" s="1"/>
  <c r="C78" i="2"/>
  <c r="B78" i="2"/>
  <c r="A78" i="2"/>
  <c r="X77" i="2"/>
  <c r="S77" i="2"/>
  <c r="R77" i="2"/>
  <c r="Q77" i="2"/>
  <c r="P77" i="2"/>
  <c r="L77" i="2"/>
  <c r="K77" i="2"/>
  <c r="H77" i="2"/>
  <c r="I77" i="2" s="1"/>
  <c r="J77" i="2" s="1"/>
  <c r="C77" i="2"/>
  <c r="B77" i="2"/>
  <c r="A77" i="2"/>
  <c r="X76" i="2"/>
  <c r="S76" i="2"/>
  <c r="R76" i="2"/>
  <c r="Q76" i="2"/>
  <c r="P76" i="2"/>
  <c r="L76" i="2"/>
  <c r="K76" i="2"/>
  <c r="H76" i="2"/>
  <c r="I76" i="2" s="1"/>
  <c r="J76" i="2" s="1"/>
  <c r="C76" i="2"/>
  <c r="B76" i="2"/>
  <c r="A76" i="2"/>
  <c r="X75" i="2"/>
  <c r="S75" i="2"/>
  <c r="R75" i="2"/>
  <c r="Q75" i="2"/>
  <c r="P75" i="2"/>
  <c r="L75" i="2"/>
  <c r="K75" i="2"/>
  <c r="H75" i="2"/>
  <c r="I75" i="2" s="1"/>
  <c r="J75" i="2" s="1"/>
  <c r="C75" i="2"/>
  <c r="B75" i="2"/>
  <c r="A75" i="2"/>
  <c r="X74" i="2"/>
  <c r="S74" i="2"/>
  <c r="R74" i="2"/>
  <c r="Q74" i="2"/>
  <c r="P74" i="2"/>
  <c r="L74" i="2"/>
  <c r="K74" i="2"/>
  <c r="H74" i="2"/>
  <c r="I74" i="2" s="1"/>
  <c r="J74" i="2" s="1"/>
  <c r="C74" i="2"/>
  <c r="B74" i="2"/>
  <c r="A74" i="2"/>
  <c r="X73" i="2"/>
  <c r="S73" i="2"/>
  <c r="R73" i="2"/>
  <c r="Q73" i="2"/>
  <c r="P73" i="2"/>
  <c r="L73" i="2"/>
  <c r="K73" i="2"/>
  <c r="H73" i="2"/>
  <c r="I73" i="2" s="1"/>
  <c r="J73" i="2" s="1"/>
  <c r="C73" i="2"/>
  <c r="B73" i="2"/>
  <c r="A73" i="2"/>
  <c r="X72" i="2"/>
  <c r="S72" i="2"/>
  <c r="R72" i="2"/>
  <c r="Q72" i="2"/>
  <c r="P72" i="2"/>
  <c r="L72" i="2"/>
  <c r="K72" i="2"/>
  <c r="H72" i="2"/>
  <c r="I72" i="2" s="1"/>
  <c r="J72" i="2" s="1"/>
  <c r="C72" i="2"/>
  <c r="B72" i="2"/>
  <c r="A72" i="2"/>
  <c r="X71" i="2"/>
  <c r="S71" i="2"/>
  <c r="R71" i="2"/>
  <c r="Q71" i="2"/>
  <c r="P71" i="2"/>
  <c r="L71" i="2"/>
  <c r="K71" i="2"/>
  <c r="H71" i="2"/>
  <c r="I71" i="2" s="1"/>
  <c r="J71" i="2" s="1"/>
  <c r="C71" i="2"/>
  <c r="B71" i="2"/>
  <c r="A71" i="2"/>
  <c r="X70" i="2"/>
  <c r="S70" i="2"/>
  <c r="R70" i="2"/>
  <c r="Q70" i="2"/>
  <c r="P70" i="2"/>
  <c r="L70" i="2"/>
  <c r="K70" i="2"/>
  <c r="H70" i="2"/>
  <c r="I70" i="2" s="1"/>
  <c r="J70" i="2" s="1"/>
  <c r="C70" i="2"/>
  <c r="B70" i="2"/>
  <c r="A70" i="2"/>
  <c r="X69" i="2"/>
  <c r="S69" i="2"/>
  <c r="R69" i="2"/>
  <c r="Q69" i="2"/>
  <c r="P69" i="2"/>
  <c r="L69" i="2"/>
  <c r="K69" i="2"/>
  <c r="H69" i="2"/>
  <c r="I69" i="2" s="1"/>
  <c r="J69" i="2" s="1"/>
  <c r="C69" i="2"/>
  <c r="B69" i="2"/>
  <c r="A69" i="2"/>
  <c r="X68" i="2"/>
  <c r="S68" i="2"/>
  <c r="R68" i="2"/>
  <c r="Q68" i="2"/>
  <c r="P68" i="2"/>
  <c r="L68" i="2"/>
  <c r="K68" i="2"/>
  <c r="H68" i="2"/>
  <c r="I68" i="2" s="1"/>
  <c r="J68" i="2" s="1"/>
  <c r="C68" i="2"/>
  <c r="B68" i="2"/>
  <c r="A68" i="2"/>
  <c r="X67" i="2"/>
  <c r="S67" i="2"/>
  <c r="R67" i="2"/>
  <c r="Q67" i="2"/>
  <c r="P67" i="2"/>
  <c r="L67" i="2"/>
  <c r="K67" i="2"/>
  <c r="H67" i="2"/>
  <c r="I67" i="2" s="1"/>
  <c r="J67" i="2" s="1"/>
  <c r="C67" i="2"/>
  <c r="B67" i="2"/>
  <c r="A67" i="2"/>
  <c r="X66" i="2"/>
  <c r="S66" i="2"/>
  <c r="R66" i="2"/>
  <c r="Q66" i="2"/>
  <c r="P66" i="2"/>
  <c r="L66" i="2"/>
  <c r="K66" i="2"/>
  <c r="H66" i="2"/>
  <c r="I66" i="2" s="1"/>
  <c r="J66" i="2" s="1"/>
  <c r="C66" i="2"/>
  <c r="B66" i="2"/>
  <c r="A66" i="2"/>
  <c r="X65" i="2"/>
  <c r="S65" i="2"/>
  <c r="R65" i="2"/>
  <c r="Q65" i="2"/>
  <c r="P65" i="2"/>
  <c r="L65" i="2"/>
  <c r="K65" i="2"/>
  <c r="H65" i="2"/>
  <c r="I65" i="2" s="1"/>
  <c r="J65" i="2" s="1"/>
  <c r="C65" i="2"/>
  <c r="B65" i="2"/>
  <c r="A65" i="2"/>
  <c r="X64" i="2"/>
  <c r="S64" i="2"/>
  <c r="R64" i="2"/>
  <c r="Q64" i="2"/>
  <c r="P64" i="2"/>
  <c r="L64" i="2"/>
  <c r="K64" i="2"/>
  <c r="H64" i="2"/>
  <c r="I64" i="2" s="1"/>
  <c r="J64" i="2" s="1"/>
  <c r="C64" i="2"/>
  <c r="B64" i="2"/>
  <c r="A64" i="2"/>
  <c r="X63" i="2"/>
  <c r="S63" i="2"/>
  <c r="R63" i="2"/>
  <c r="Q63" i="2"/>
  <c r="P63" i="2"/>
  <c r="L63" i="2"/>
  <c r="K63" i="2"/>
  <c r="H63" i="2"/>
  <c r="I63" i="2" s="1"/>
  <c r="J63" i="2" s="1"/>
  <c r="C63" i="2"/>
  <c r="B63" i="2"/>
  <c r="A63" i="2"/>
  <c r="X62" i="2"/>
  <c r="S62" i="2"/>
  <c r="R62" i="2"/>
  <c r="Q62" i="2"/>
  <c r="P62" i="2"/>
  <c r="L62" i="2"/>
  <c r="K62" i="2"/>
  <c r="H62" i="2"/>
  <c r="I62" i="2" s="1"/>
  <c r="J62" i="2" s="1"/>
  <c r="C62" i="2"/>
  <c r="B62" i="2"/>
  <c r="A62" i="2"/>
  <c r="X61" i="2"/>
  <c r="S61" i="2"/>
  <c r="R61" i="2"/>
  <c r="Q61" i="2"/>
  <c r="P61" i="2"/>
  <c r="L61" i="2"/>
  <c r="K61" i="2"/>
  <c r="H61" i="2"/>
  <c r="I61" i="2" s="1"/>
  <c r="J61" i="2" s="1"/>
  <c r="C61" i="2"/>
  <c r="B61" i="2"/>
  <c r="A61" i="2"/>
  <c r="X60" i="2"/>
  <c r="S60" i="2"/>
  <c r="R60" i="2"/>
  <c r="Q60" i="2"/>
  <c r="P60" i="2"/>
  <c r="L60" i="2"/>
  <c r="K60" i="2"/>
  <c r="H60" i="2"/>
  <c r="I60" i="2" s="1"/>
  <c r="J60" i="2" s="1"/>
  <c r="C60" i="2"/>
  <c r="B60" i="2"/>
  <c r="A60" i="2"/>
  <c r="X59" i="2"/>
  <c r="S59" i="2"/>
  <c r="R59" i="2"/>
  <c r="Q59" i="2"/>
  <c r="P59" i="2"/>
  <c r="L59" i="2"/>
  <c r="K59" i="2"/>
  <c r="H59" i="2"/>
  <c r="I59" i="2" s="1"/>
  <c r="J59" i="2" s="1"/>
  <c r="C59" i="2"/>
  <c r="B59" i="2"/>
  <c r="A59" i="2"/>
  <c r="X58" i="2"/>
  <c r="S58" i="2"/>
  <c r="R58" i="2"/>
  <c r="Q58" i="2"/>
  <c r="P58" i="2"/>
  <c r="L58" i="2"/>
  <c r="K58" i="2"/>
  <c r="H58" i="2"/>
  <c r="I58" i="2" s="1"/>
  <c r="J58" i="2" s="1"/>
  <c r="C58" i="2"/>
  <c r="B58" i="2"/>
  <c r="A58" i="2"/>
  <c r="X57" i="2"/>
  <c r="S57" i="2"/>
  <c r="R57" i="2"/>
  <c r="Q57" i="2"/>
  <c r="P57" i="2"/>
  <c r="L57" i="2"/>
  <c r="K57" i="2"/>
  <c r="H57" i="2"/>
  <c r="I57" i="2" s="1"/>
  <c r="J57" i="2" s="1"/>
  <c r="C57" i="2"/>
  <c r="B57" i="2"/>
  <c r="A57" i="2"/>
  <c r="X56" i="2"/>
  <c r="S56" i="2"/>
  <c r="R56" i="2"/>
  <c r="Q56" i="2"/>
  <c r="P56" i="2"/>
  <c r="L56" i="2"/>
  <c r="K56" i="2"/>
  <c r="H56" i="2"/>
  <c r="I56" i="2" s="1"/>
  <c r="J56" i="2" s="1"/>
  <c r="C56" i="2"/>
  <c r="B56" i="2"/>
  <c r="A56" i="2"/>
  <c r="X55" i="2"/>
  <c r="S55" i="2"/>
  <c r="R55" i="2"/>
  <c r="Q55" i="2"/>
  <c r="P55" i="2"/>
  <c r="L55" i="2"/>
  <c r="K55" i="2"/>
  <c r="H55" i="2"/>
  <c r="I55" i="2" s="1"/>
  <c r="J55" i="2" s="1"/>
  <c r="C55" i="2"/>
  <c r="B55" i="2"/>
  <c r="A55" i="2"/>
  <c r="X54" i="2"/>
  <c r="S54" i="2"/>
  <c r="R54" i="2"/>
  <c r="Q54" i="2"/>
  <c r="P54" i="2"/>
  <c r="L54" i="2"/>
  <c r="K54" i="2"/>
  <c r="H54" i="2"/>
  <c r="I54" i="2" s="1"/>
  <c r="J54" i="2" s="1"/>
  <c r="C54" i="2"/>
  <c r="B54" i="2"/>
  <c r="A54" i="2"/>
  <c r="X53" i="2"/>
  <c r="S53" i="2"/>
  <c r="R53" i="2"/>
  <c r="Q53" i="2"/>
  <c r="P53" i="2"/>
  <c r="L53" i="2"/>
  <c r="K53" i="2"/>
  <c r="H53" i="2"/>
  <c r="I53" i="2" s="1"/>
  <c r="J53" i="2" s="1"/>
  <c r="C53" i="2"/>
  <c r="B53" i="2"/>
  <c r="A53" i="2"/>
  <c r="X52" i="2"/>
  <c r="S52" i="2"/>
  <c r="R52" i="2"/>
  <c r="Q52" i="2"/>
  <c r="P52" i="2"/>
  <c r="L52" i="2"/>
  <c r="K52" i="2"/>
  <c r="H52" i="2"/>
  <c r="I52" i="2" s="1"/>
  <c r="J52" i="2" s="1"/>
  <c r="C52" i="2"/>
  <c r="B52" i="2"/>
  <c r="A52" i="2"/>
  <c r="X51" i="2"/>
  <c r="S51" i="2"/>
  <c r="R51" i="2"/>
  <c r="Q51" i="2"/>
  <c r="P51" i="2"/>
  <c r="L51" i="2"/>
  <c r="K51" i="2"/>
  <c r="H51" i="2"/>
  <c r="I51" i="2" s="1"/>
  <c r="J51" i="2" s="1"/>
  <c r="C51" i="2"/>
  <c r="B51" i="2"/>
  <c r="A51" i="2"/>
  <c r="X50" i="2"/>
  <c r="S50" i="2"/>
  <c r="R50" i="2"/>
  <c r="Q50" i="2"/>
  <c r="P50" i="2"/>
  <c r="L50" i="2"/>
  <c r="K50" i="2"/>
  <c r="H50" i="2"/>
  <c r="I50" i="2" s="1"/>
  <c r="J50" i="2" s="1"/>
  <c r="C50" i="2"/>
  <c r="B50" i="2"/>
  <c r="A50" i="2"/>
  <c r="X49" i="2"/>
  <c r="S49" i="2"/>
  <c r="R49" i="2"/>
  <c r="Q49" i="2"/>
  <c r="P49" i="2"/>
  <c r="L49" i="2"/>
  <c r="K49" i="2"/>
  <c r="H49" i="2"/>
  <c r="I49" i="2" s="1"/>
  <c r="J49" i="2" s="1"/>
  <c r="C49" i="2"/>
  <c r="B49" i="2"/>
  <c r="A49" i="2"/>
  <c r="X48" i="2"/>
  <c r="S48" i="2"/>
  <c r="R48" i="2"/>
  <c r="Q48" i="2"/>
  <c r="P48" i="2"/>
  <c r="L48" i="2"/>
  <c r="K48" i="2"/>
  <c r="H48" i="2"/>
  <c r="I48" i="2" s="1"/>
  <c r="J48" i="2" s="1"/>
  <c r="C48" i="2"/>
  <c r="B48" i="2"/>
  <c r="A48" i="2"/>
  <c r="X47" i="2"/>
  <c r="S47" i="2"/>
  <c r="R47" i="2"/>
  <c r="Q47" i="2"/>
  <c r="P47" i="2"/>
  <c r="L47" i="2"/>
  <c r="K47" i="2"/>
  <c r="H47" i="2"/>
  <c r="I47" i="2" s="1"/>
  <c r="J47" i="2" s="1"/>
  <c r="C47" i="2"/>
  <c r="B47" i="2"/>
  <c r="A47" i="2"/>
  <c r="X46" i="2"/>
  <c r="S46" i="2"/>
  <c r="R46" i="2"/>
  <c r="Q46" i="2"/>
  <c r="P46" i="2"/>
  <c r="L46" i="2"/>
  <c r="K46" i="2"/>
  <c r="H46" i="2"/>
  <c r="I46" i="2" s="1"/>
  <c r="J46" i="2" s="1"/>
  <c r="C46" i="2"/>
  <c r="B46" i="2"/>
  <c r="A46" i="2"/>
  <c r="X45" i="2"/>
  <c r="S45" i="2"/>
  <c r="R45" i="2"/>
  <c r="Q45" i="2"/>
  <c r="P45" i="2"/>
  <c r="L45" i="2"/>
  <c r="K45" i="2"/>
  <c r="H45" i="2"/>
  <c r="I45" i="2" s="1"/>
  <c r="J45" i="2" s="1"/>
  <c r="C45" i="2"/>
  <c r="B45" i="2"/>
  <c r="A45" i="2"/>
  <c r="X44" i="2"/>
  <c r="S44" i="2"/>
  <c r="R44" i="2"/>
  <c r="Q44" i="2"/>
  <c r="P44" i="2"/>
  <c r="L44" i="2"/>
  <c r="K44" i="2"/>
  <c r="H44" i="2"/>
  <c r="I44" i="2" s="1"/>
  <c r="J44" i="2" s="1"/>
  <c r="C44" i="2"/>
  <c r="B44" i="2"/>
  <c r="A44" i="2"/>
  <c r="X43" i="2"/>
  <c r="S43" i="2"/>
  <c r="R43" i="2"/>
  <c r="Q43" i="2"/>
  <c r="P43" i="2"/>
  <c r="L43" i="2"/>
  <c r="K43" i="2"/>
  <c r="H43" i="2"/>
  <c r="I43" i="2" s="1"/>
  <c r="J43" i="2" s="1"/>
  <c r="C43" i="2"/>
  <c r="B43" i="2"/>
  <c r="A43" i="2"/>
  <c r="X42" i="2"/>
  <c r="S42" i="2"/>
  <c r="R42" i="2"/>
  <c r="Q42" i="2"/>
  <c r="P42" i="2"/>
  <c r="L42" i="2"/>
  <c r="K42" i="2"/>
  <c r="H42" i="2"/>
  <c r="I42" i="2" s="1"/>
  <c r="J42" i="2" s="1"/>
  <c r="C42" i="2"/>
  <c r="B42" i="2"/>
  <c r="A42" i="2"/>
  <c r="X41" i="2"/>
  <c r="S41" i="2"/>
  <c r="R41" i="2"/>
  <c r="Q41" i="2"/>
  <c r="P41" i="2"/>
  <c r="L41" i="2"/>
  <c r="K41" i="2"/>
  <c r="H41" i="2"/>
  <c r="I41" i="2" s="1"/>
  <c r="J41" i="2" s="1"/>
  <c r="C41" i="2"/>
  <c r="B41" i="2"/>
  <c r="A41" i="2"/>
  <c r="X40" i="2"/>
  <c r="S40" i="2"/>
  <c r="R40" i="2"/>
  <c r="Q40" i="2"/>
  <c r="P40" i="2"/>
  <c r="L40" i="2"/>
  <c r="K40" i="2"/>
  <c r="H40" i="2"/>
  <c r="I40" i="2" s="1"/>
  <c r="J40" i="2" s="1"/>
  <c r="C40" i="2"/>
  <c r="B40" i="2"/>
  <c r="A40" i="2"/>
  <c r="X39" i="2"/>
  <c r="S39" i="2"/>
  <c r="R39" i="2"/>
  <c r="Q39" i="2"/>
  <c r="P39" i="2"/>
  <c r="L39" i="2"/>
  <c r="K39" i="2"/>
  <c r="H39" i="2"/>
  <c r="I39" i="2" s="1"/>
  <c r="J39" i="2" s="1"/>
  <c r="C39" i="2"/>
  <c r="B39" i="2"/>
  <c r="A39" i="2"/>
  <c r="X38" i="2"/>
  <c r="S38" i="2"/>
  <c r="R38" i="2"/>
  <c r="Q38" i="2"/>
  <c r="P38" i="2"/>
  <c r="L38" i="2"/>
  <c r="K38" i="2"/>
  <c r="H38" i="2"/>
  <c r="I38" i="2" s="1"/>
  <c r="J38" i="2" s="1"/>
  <c r="C38" i="2"/>
  <c r="B38" i="2"/>
  <c r="A38" i="2"/>
  <c r="X37" i="2"/>
  <c r="S37" i="2"/>
  <c r="R37" i="2"/>
  <c r="Q37" i="2"/>
  <c r="P37" i="2"/>
  <c r="L37" i="2"/>
  <c r="K37" i="2"/>
  <c r="H37" i="2"/>
  <c r="I37" i="2" s="1"/>
  <c r="J37" i="2" s="1"/>
  <c r="C37" i="2"/>
  <c r="B37" i="2"/>
  <c r="A37" i="2"/>
  <c r="X36" i="2"/>
  <c r="S36" i="2"/>
  <c r="R36" i="2"/>
  <c r="Q36" i="2"/>
  <c r="P36" i="2"/>
  <c r="L36" i="2"/>
  <c r="K36" i="2"/>
  <c r="H36" i="2"/>
  <c r="I36" i="2" s="1"/>
  <c r="J36" i="2" s="1"/>
  <c r="C36" i="2"/>
  <c r="B36" i="2"/>
  <c r="A36" i="2"/>
  <c r="X35" i="2"/>
  <c r="S35" i="2"/>
  <c r="R35" i="2"/>
  <c r="Q35" i="2"/>
  <c r="P35" i="2"/>
  <c r="L35" i="2"/>
  <c r="K35" i="2"/>
  <c r="H35" i="2"/>
  <c r="I35" i="2" s="1"/>
  <c r="J35" i="2" s="1"/>
  <c r="C35" i="2"/>
  <c r="B35" i="2"/>
  <c r="A35" i="2"/>
  <c r="X34" i="2"/>
  <c r="S34" i="2"/>
  <c r="R34" i="2"/>
  <c r="Q34" i="2"/>
  <c r="P34" i="2"/>
  <c r="L34" i="2"/>
  <c r="K34" i="2"/>
  <c r="H34" i="2"/>
  <c r="I34" i="2" s="1"/>
  <c r="J34" i="2" s="1"/>
  <c r="C34" i="2"/>
  <c r="B34" i="2"/>
  <c r="A34" i="2"/>
  <c r="X33" i="2"/>
  <c r="S33" i="2"/>
  <c r="R33" i="2"/>
  <c r="Q33" i="2"/>
  <c r="P33" i="2"/>
  <c r="L33" i="2"/>
  <c r="K33" i="2"/>
  <c r="H33" i="2"/>
  <c r="I33" i="2" s="1"/>
  <c r="J33" i="2" s="1"/>
  <c r="C33" i="2"/>
  <c r="B33" i="2"/>
  <c r="A33" i="2"/>
  <c r="X32" i="2"/>
  <c r="S32" i="2"/>
  <c r="R32" i="2"/>
  <c r="Q32" i="2"/>
  <c r="P32" i="2"/>
  <c r="L32" i="2"/>
  <c r="K32" i="2"/>
  <c r="H32" i="2"/>
  <c r="I32" i="2" s="1"/>
  <c r="J32" i="2" s="1"/>
  <c r="C32" i="2"/>
  <c r="B32" i="2"/>
  <c r="A32" i="2"/>
  <c r="X31" i="2"/>
  <c r="S31" i="2"/>
  <c r="R31" i="2"/>
  <c r="Q31" i="2"/>
  <c r="P31" i="2"/>
  <c r="L31" i="2"/>
  <c r="K31" i="2"/>
  <c r="H31" i="2"/>
  <c r="I31" i="2" s="1"/>
  <c r="J31" i="2" s="1"/>
  <c r="C31" i="2"/>
  <c r="B31" i="2"/>
  <c r="A31" i="2"/>
  <c r="X30" i="2"/>
  <c r="S30" i="2"/>
  <c r="R30" i="2"/>
  <c r="Q30" i="2"/>
  <c r="P30" i="2"/>
  <c r="L30" i="2"/>
  <c r="K30" i="2"/>
  <c r="H30" i="2"/>
  <c r="I30" i="2" s="1"/>
  <c r="J30" i="2" s="1"/>
  <c r="C30" i="2"/>
  <c r="B30" i="2"/>
  <c r="A30" i="2"/>
  <c r="X29" i="2"/>
  <c r="S29" i="2"/>
  <c r="R29" i="2"/>
  <c r="Q29" i="2"/>
  <c r="P29" i="2"/>
  <c r="L29" i="2"/>
  <c r="K29" i="2"/>
  <c r="H29" i="2"/>
  <c r="I29" i="2" s="1"/>
  <c r="J29" i="2" s="1"/>
  <c r="C29" i="2"/>
  <c r="B29" i="2"/>
  <c r="A29" i="2"/>
  <c r="X28" i="2"/>
  <c r="S28" i="2"/>
  <c r="R28" i="2"/>
  <c r="Q28" i="2"/>
  <c r="P28" i="2"/>
  <c r="L28" i="2"/>
  <c r="K28" i="2"/>
  <c r="H28" i="2"/>
  <c r="I28" i="2" s="1"/>
  <c r="J28" i="2" s="1"/>
  <c r="C28" i="2"/>
  <c r="B28" i="2"/>
  <c r="A28" i="2"/>
  <c r="X27" i="2"/>
  <c r="S27" i="2"/>
  <c r="R27" i="2"/>
  <c r="Q27" i="2"/>
  <c r="P27" i="2"/>
  <c r="L27" i="2"/>
  <c r="K27" i="2"/>
  <c r="H27" i="2"/>
  <c r="I27" i="2" s="1"/>
  <c r="J27" i="2" s="1"/>
  <c r="C27" i="2"/>
  <c r="B27" i="2"/>
  <c r="A27" i="2"/>
  <c r="X26" i="2"/>
  <c r="S26" i="2"/>
  <c r="R26" i="2"/>
  <c r="Q26" i="2"/>
  <c r="P26" i="2"/>
  <c r="L26" i="2"/>
  <c r="K26" i="2"/>
  <c r="H26" i="2"/>
  <c r="I26" i="2" s="1"/>
  <c r="J26" i="2" s="1"/>
  <c r="C26" i="2"/>
  <c r="B26" i="2"/>
  <c r="A26" i="2"/>
  <c r="X25" i="2"/>
  <c r="S25" i="2"/>
  <c r="R25" i="2"/>
  <c r="Q25" i="2"/>
  <c r="P25" i="2"/>
  <c r="L25" i="2"/>
  <c r="K25" i="2"/>
  <c r="H25" i="2"/>
  <c r="I25" i="2" s="1"/>
  <c r="J25" i="2" s="1"/>
  <c r="C25" i="2"/>
  <c r="B25" i="2"/>
  <c r="A25" i="2"/>
  <c r="X24" i="2"/>
  <c r="S24" i="2"/>
  <c r="R24" i="2"/>
  <c r="Q24" i="2"/>
  <c r="P24" i="2"/>
  <c r="L24" i="2"/>
  <c r="K24" i="2"/>
  <c r="H24" i="2"/>
  <c r="I24" i="2" s="1"/>
  <c r="J24" i="2" s="1"/>
  <c r="C24" i="2"/>
  <c r="B24" i="2"/>
  <c r="A24" i="2"/>
  <c r="X23" i="2"/>
  <c r="S23" i="2"/>
  <c r="R23" i="2"/>
  <c r="Q23" i="2"/>
  <c r="P23" i="2"/>
  <c r="L23" i="2"/>
  <c r="K23" i="2"/>
  <c r="H23" i="2"/>
  <c r="I23" i="2" s="1"/>
  <c r="J23" i="2" s="1"/>
  <c r="C23" i="2"/>
  <c r="B23" i="2"/>
  <c r="A23" i="2"/>
  <c r="X22" i="2"/>
  <c r="S22" i="2"/>
  <c r="R22" i="2"/>
  <c r="Q22" i="2"/>
  <c r="P22" i="2"/>
  <c r="L22" i="2"/>
  <c r="K22" i="2"/>
  <c r="H22" i="2"/>
  <c r="I22" i="2" s="1"/>
  <c r="J22" i="2" s="1"/>
  <c r="C22" i="2"/>
  <c r="B22" i="2"/>
  <c r="A22" i="2"/>
  <c r="X21" i="2"/>
  <c r="S21" i="2"/>
  <c r="R21" i="2"/>
  <c r="Q21" i="2"/>
  <c r="P21" i="2"/>
  <c r="L21" i="2"/>
  <c r="K21" i="2"/>
  <c r="H21" i="2"/>
  <c r="I21" i="2" s="1"/>
  <c r="J21" i="2" s="1"/>
  <c r="C21" i="2"/>
  <c r="B21" i="2"/>
  <c r="A21" i="2"/>
  <c r="X20" i="2"/>
  <c r="S20" i="2"/>
  <c r="R20" i="2"/>
  <c r="Q20" i="2"/>
  <c r="P20" i="2"/>
  <c r="L20" i="2"/>
  <c r="K20" i="2"/>
  <c r="H20" i="2"/>
  <c r="I20" i="2" s="1"/>
  <c r="J20" i="2" s="1"/>
  <c r="C20" i="2"/>
  <c r="B20" i="2"/>
  <c r="A20" i="2"/>
  <c r="X19" i="2"/>
  <c r="S19" i="2"/>
  <c r="R19" i="2"/>
  <c r="Q19" i="2"/>
  <c r="P19" i="2"/>
  <c r="L19" i="2"/>
  <c r="K19" i="2"/>
  <c r="H19" i="2"/>
  <c r="I19" i="2" s="1"/>
  <c r="J19" i="2" s="1"/>
  <c r="C19" i="2"/>
  <c r="B19" i="2"/>
  <c r="A19" i="2"/>
  <c r="X18" i="2"/>
  <c r="S18" i="2"/>
  <c r="Q18" i="2"/>
  <c r="P18" i="2"/>
  <c r="L18" i="2"/>
  <c r="K18" i="2"/>
  <c r="H18" i="2"/>
  <c r="I18" i="2" s="1"/>
  <c r="J18" i="2" s="1"/>
  <c r="C18" i="2"/>
  <c r="B18" i="2"/>
  <c r="A18" i="2"/>
  <c r="X17" i="2"/>
  <c r="S17" i="2"/>
  <c r="R17" i="2"/>
  <c r="Q17" i="2"/>
  <c r="P17" i="2"/>
  <c r="L17" i="2"/>
  <c r="K17" i="2"/>
  <c r="H17" i="2"/>
  <c r="I17" i="2" s="1"/>
  <c r="J17" i="2" s="1"/>
  <c r="C17" i="2"/>
  <c r="B17" i="2"/>
  <c r="A17" i="2"/>
  <c r="X16" i="2"/>
  <c r="S16" i="2"/>
  <c r="R16" i="2"/>
  <c r="Q16" i="2"/>
  <c r="P16" i="2"/>
  <c r="L16" i="2"/>
  <c r="K16" i="2"/>
  <c r="H16" i="2"/>
  <c r="I16" i="2" s="1"/>
  <c r="J16" i="2" s="1"/>
  <c r="C16" i="2"/>
  <c r="B16" i="2"/>
  <c r="A16" i="2"/>
  <c r="X15" i="2"/>
  <c r="S15" i="2"/>
  <c r="R15" i="2"/>
  <c r="Q15" i="2"/>
  <c r="P15" i="2"/>
  <c r="L15" i="2"/>
  <c r="K15" i="2"/>
  <c r="H15" i="2"/>
  <c r="I15" i="2" s="1"/>
  <c r="J15" i="2" s="1"/>
  <c r="C15" i="2"/>
  <c r="B15" i="2"/>
  <c r="A15" i="2"/>
  <c r="X14" i="2"/>
  <c r="S14" i="2"/>
  <c r="R14" i="2"/>
  <c r="Q14" i="2"/>
  <c r="P14" i="2"/>
  <c r="L14" i="2"/>
  <c r="K14" i="2"/>
  <c r="H14" i="2"/>
  <c r="I14" i="2" s="1"/>
  <c r="J14" i="2" s="1"/>
  <c r="C14" i="2"/>
  <c r="B14" i="2"/>
  <c r="A14" i="2"/>
  <c r="X13" i="2"/>
  <c r="S13" i="2"/>
  <c r="R13" i="2"/>
  <c r="Q13" i="2"/>
  <c r="P13" i="2"/>
  <c r="L13" i="2"/>
  <c r="K13" i="2"/>
  <c r="H13" i="2"/>
  <c r="I13" i="2" s="1"/>
  <c r="J13" i="2" s="1"/>
  <c r="C13" i="2"/>
  <c r="B13" i="2"/>
  <c r="A13" i="2"/>
  <c r="X12" i="2"/>
  <c r="S12" i="2"/>
  <c r="R12" i="2"/>
  <c r="Q12" i="2"/>
  <c r="P12" i="2"/>
  <c r="L12" i="2"/>
  <c r="K12" i="2"/>
  <c r="H12" i="2"/>
  <c r="I12" i="2" s="1"/>
  <c r="J12" i="2" s="1"/>
  <c r="C12" i="2"/>
  <c r="B12" i="2"/>
  <c r="A12" i="2"/>
  <c r="X11" i="2"/>
  <c r="S11" i="2"/>
  <c r="R11" i="2"/>
  <c r="Q11" i="2"/>
  <c r="P11" i="2"/>
  <c r="L11" i="2"/>
  <c r="K11" i="2"/>
  <c r="H11" i="2"/>
  <c r="I11" i="2" s="1"/>
  <c r="J11" i="2" s="1"/>
  <c r="C11" i="2"/>
  <c r="B11" i="2"/>
  <c r="A11" i="2"/>
  <c r="X10" i="2"/>
  <c r="S10" i="2"/>
  <c r="R10" i="2"/>
  <c r="Q10" i="2"/>
  <c r="P10" i="2"/>
  <c r="L10" i="2"/>
  <c r="K10" i="2"/>
  <c r="H10" i="2"/>
  <c r="I10" i="2" s="1"/>
  <c r="J10" i="2" s="1"/>
  <c r="C10" i="2"/>
  <c r="B10" i="2"/>
  <c r="A10" i="2"/>
  <c r="X9" i="2"/>
  <c r="S9" i="2"/>
  <c r="R9" i="2"/>
  <c r="Q9" i="2"/>
  <c r="P9" i="2"/>
  <c r="L9" i="2"/>
  <c r="K9" i="2"/>
  <c r="H9" i="2"/>
  <c r="I9" i="2" s="1"/>
  <c r="J9" i="2" s="1"/>
  <c r="C9" i="2"/>
  <c r="B9" i="2"/>
  <c r="A9" i="2"/>
  <c r="X8" i="2"/>
  <c r="S8" i="2"/>
  <c r="R8" i="2"/>
  <c r="Q8" i="2"/>
  <c r="P8" i="2"/>
  <c r="L8" i="2"/>
  <c r="K8" i="2"/>
  <c r="H8" i="2"/>
  <c r="I8" i="2" s="1"/>
  <c r="J8" i="2" s="1"/>
  <c r="C8" i="2"/>
  <c r="B8" i="2"/>
  <c r="A8" i="2"/>
  <c r="X7" i="2"/>
  <c r="S7" i="2"/>
  <c r="R7" i="2"/>
  <c r="Q7" i="2"/>
  <c r="P7" i="2"/>
  <c r="L7" i="2"/>
  <c r="K7" i="2"/>
  <c r="H7" i="2"/>
  <c r="I7" i="2" s="1"/>
  <c r="J7" i="2" s="1"/>
  <c r="C7" i="2"/>
  <c r="B7" i="2"/>
  <c r="A7" i="2"/>
  <c r="R1671" i="2" l="1"/>
  <c r="R714" i="2"/>
  <c r="R366" i="2"/>
  <c r="R18" i="2"/>
  <c r="R1990" i="2"/>
  <c r="F34" i="1"/>
  <c r="R1410" i="2"/>
  <c r="R1323" i="2"/>
  <c r="R1062" i="2"/>
  <c r="R801" i="2"/>
  <c r="F35" i="1"/>
  <c r="C35" i="1"/>
  <c r="F36" i="1"/>
  <c r="C36" i="1"/>
  <c r="C21" i="1"/>
  <c r="R2004" i="2"/>
  <c r="C34" i="1"/>
  <c r="C22" i="1"/>
  <c r="B12" i="1"/>
  <c r="R1997" i="2"/>
  <c r="R192" i="2"/>
  <c r="R2001" i="2"/>
  <c r="R1994" i="2"/>
  <c r="R1149" i="2"/>
  <c r="R540" i="2"/>
  <c r="N912" i="4"/>
  <c r="R2006" i="2"/>
  <c r="R2005" i="2"/>
  <c r="R2003" i="2"/>
  <c r="R2002" i="2"/>
  <c r="R2000" i="2"/>
  <c r="R1999" i="2"/>
  <c r="R1998" i="2"/>
  <c r="R1996" i="2"/>
  <c r="R1995" i="2"/>
  <c r="R1993" i="2"/>
  <c r="R1992" i="2"/>
  <c r="R1991" i="2"/>
  <c r="R1989" i="2"/>
  <c r="R1988" i="2"/>
  <c r="R1987" i="2"/>
  <c r="R1497" i="2"/>
  <c r="R1236" i="2"/>
  <c r="R888" i="2"/>
  <c r="R627" i="2"/>
  <c r="R279" i="2"/>
  <c r="M1459" i="4"/>
  <c r="P1459" i="4"/>
  <c r="M912" i="4"/>
  <c r="P912" i="4"/>
  <c r="J1950" i="4"/>
  <c r="AA1950" i="2"/>
  <c r="J1788" i="4"/>
  <c r="AA1788" i="2"/>
  <c r="J1626" i="4"/>
  <c r="AA1626" i="2"/>
  <c r="D1464" i="2"/>
  <c r="F1464" i="2"/>
  <c r="E1464" i="2"/>
  <c r="G1464" i="2" s="1"/>
  <c r="J1464" i="4"/>
  <c r="AA1464" i="2"/>
  <c r="J1301" i="4"/>
  <c r="AA1301" i="2"/>
  <c r="J1139" i="4"/>
  <c r="AA1139" i="2"/>
  <c r="J977" i="4"/>
  <c r="N977" i="4" s="1"/>
  <c r="AA977" i="2"/>
  <c r="J815" i="4"/>
  <c r="N815" i="4" s="1"/>
  <c r="AA815" i="2"/>
  <c r="O659" i="2"/>
  <c r="N659" i="2"/>
  <c r="F653" i="2"/>
  <c r="E653" i="2"/>
  <c r="D653" i="2"/>
  <c r="J653" i="4"/>
  <c r="N653" i="4" s="1"/>
  <c r="AA653" i="2"/>
  <c r="J490" i="4"/>
  <c r="N490" i="4" s="1"/>
  <c r="AA490" i="2"/>
  <c r="AA328" i="2"/>
  <c r="J328" i="4"/>
  <c r="N328" i="4" s="1"/>
  <c r="J166" i="4"/>
  <c r="N166" i="4" s="1"/>
  <c r="AA166" i="2"/>
  <c r="P2006" i="4"/>
  <c r="O2006" i="4"/>
  <c r="N2006" i="4"/>
  <c r="M2006" i="4"/>
  <c r="P2005" i="4"/>
  <c r="O2005" i="4"/>
  <c r="N2005" i="4"/>
  <c r="M2005" i="4"/>
  <c r="P2004" i="4"/>
  <c r="O2004" i="4"/>
  <c r="N2004" i="4"/>
  <c r="M2004" i="4"/>
  <c r="P2003" i="4"/>
  <c r="O2003" i="4"/>
  <c r="N2003" i="4"/>
  <c r="M2003" i="4"/>
  <c r="P2002" i="4"/>
  <c r="O2002" i="4"/>
  <c r="N2002" i="4"/>
  <c r="M2002" i="4"/>
  <c r="P2001" i="4"/>
  <c r="O2001" i="4"/>
  <c r="N2001" i="4"/>
  <c r="M2001" i="4"/>
  <c r="P2000" i="4"/>
  <c r="O2000" i="4"/>
  <c r="N2000" i="4"/>
  <c r="M2000" i="4"/>
  <c r="P1999" i="4"/>
  <c r="O1999" i="4"/>
  <c r="N1999" i="4"/>
  <c r="M1999" i="4"/>
  <c r="P1998" i="4"/>
  <c r="O1998" i="4"/>
  <c r="N1998" i="4"/>
  <c r="M1998" i="4"/>
  <c r="P1997" i="4"/>
  <c r="O1997" i="4"/>
  <c r="N1997" i="4"/>
  <c r="M1997" i="4"/>
  <c r="P1996" i="4"/>
  <c r="O1996" i="4"/>
  <c r="N1996" i="4"/>
  <c r="M1996" i="4"/>
  <c r="P1995" i="4"/>
  <c r="O1995" i="4"/>
  <c r="N1995" i="4"/>
  <c r="M1995" i="4"/>
  <c r="P1994" i="4"/>
  <c r="O1994" i="4"/>
  <c r="N1994" i="4"/>
  <c r="M1994" i="4"/>
  <c r="P1993" i="4"/>
  <c r="O1993" i="4"/>
  <c r="N1993" i="4"/>
  <c r="M1993" i="4"/>
  <c r="P1992" i="4"/>
  <c r="O1992" i="4"/>
  <c r="N1992" i="4"/>
  <c r="M1992" i="4"/>
  <c r="P1991" i="4"/>
  <c r="O1991" i="4"/>
  <c r="N1991" i="4"/>
  <c r="M1991" i="4"/>
  <c r="P1990" i="4"/>
  <c r="O1990" i="4"/>
  <c r="N1990" i="4"/>
  <c r="M1990" i="4"/>
  <c r="P1989" i="4"/>
  <c r="O1989" i="4"/>
  <c r="N1989" i="4"/>
  <c r="M1989" i="4"/>
  <c r="P1988" i="4"/>
  <c r="O1988" i="4"/>
  <c r="N1988" i="4"/>
  <c r="M1988" i="4"/>
  <c r="P1987" i="4"/>
  <c r="O1987" i="4"/>
  <c r="N1987" i="4"/>
  <c r="M1987" i="4"/>
  <c r="P1986" i="4"/>
  <c r="O1986" i="4"/>
  <c r="N1986" i="4"/>
  <c r="M1986" i="4"/>
  <c r="P1985" i="4"/>
  <c r="O1985" i="4"/>
  <c r="N1985" i="4"/>
  <c r="M1985" i="4"/>
  <c r="P1984" i="4"/>
  <c r="M1984" i="4"/>
  <c r="P1983" i="4"/>
  <c r="M1983" i="4"/>
  <c r="M1982" i="4"/>
  <c r="P1982" i="4"/>
  <c r="P1981" i="4"/>
  <c r="M1981" i="4"/>
  <c r="P1980" i="4"/>
  <c r="M1980" i="4"/>
  <c r="P1979" i="4"/>
  <c r="M1979" i="4"/>
  <c r="P1978" i="4"/>
  <c r="M1978" i="4"/>
  <c r="P1977" i="4"/>
  <c r="M1977" i="4"/>
  <c r="P1976" i="4"/>
  <c r="M1976" i="4"/>
  <c r="P1975" i="4"/>
  <c r="M1975" i="4"/>
  <c r="M1974" i="4"/>
  <c r="P1974" i="4"/>
  <c r="M1973" i="4"/>
  <c r="P1973" i="4"/>
  <c r="P1972" i="4"/>
  <c r="M1972" i="4"/>
  <c r="P1971" i="4"/>
  <c r="M1971" i="4"/>
  <c r="P1970" i="4"/>
  <c r="M1970" i="4"/>
  <c r="P1969" i="4"/>
  <c r="M1969" i="4"/>
  <c r="P1968" i="4"/>
  <c r="M1968" i="4"/>
  <c r="M1967" i="4"/>
  <c r="P1967" i="4"/>
  <c r="M1966" i="4"/>
  <c r="P1966" i="4"/>
  <c r="M1965" i="4"/>
  <c r="P1965" i="4"/>
  <c r="M1964" i="4"/>
  <c r="P1964" i="4"/>
  <c r="P1963" i="4"/>
  <c r="M1963" i="4"/>
  <c r="M1962" i="4"/>
  <c r="P1962" i="4"/>
  <c r="M1961" i="4"/>
  <c r="P1961" i="4"/>
  <c r="P1960" i="4"/>
  <c r="M1960" i="4"/>
  <c r="P1959" i="4"/>
  <c r="M1959" i="4"/>
  <c r="M1958" i="4"/>
  <c r="P1958" i="4"/>
  <c r="P1957" i="4"/>
  <c r="M1957" i="4"/>
  <c r="M1956" i="4"/>
  <c r="P1956" i="4"/>
  <c r="P1955" i="4"/>
  <c r="M1955" i="4"/>
  <c r="M1954" i="4"/>
  <c r="P1954" i="4"/>
  <c r="P1953" i="4"/>
  <c r="M1953" i="4"/>
  <c r="P1952" i="4"/>
  <c r="M1952" i="4"/>
  <c r="M1951" i="4"/>
  <c r="P1951" i="4"/>
  <c r="N1950" i="4"/>
  <c r="P1950" i="4"/>
  <c r="M1950" i="4"/>
  <c r="N1949" i="4"/>
  <c r="M1949" i="4"/>
  <c r="P1949" i="4"/>
  <c r="M1948" i="4"/>
  <c r="N1948" i="4"/>
  <c r="P1948" i="4"/>
  <c r="M1947" i="4"/>
  <c r="N1947" i="4"/>
  <c r="P1947" i="4"/>
  <c r="N1946" i="4"/>
  <c r="M1946" i="4"/>
  <c r="P1946" i="4"/>
  <c r="N1945" i="4"/>
  <c r="P1945" i="4"/>
  <c r="M1945" i="4"/>
  <c r="P1944" i="4"/>
  <c r="M1944" i="4"/>
  <c r="N1944" i="4"/>
  <c r="M1943" i="4"/>
  <c r="N1943" i="4"/>
  <c r="P1943" i="4"/>
  <c r="P1942" i="4"/>
  <c r="N1942" i="4"/>
  <c r="M1942" i="4"/>
  <c r="M1941" i="4"/>
  <c r="P1941" i="4"/>
  <c r="N1941" i="4"/>
  <c r="N1940" i="4"/>
  <c r="P1940" i="4"/>
  <c r="M1940" i="4"/>
  <c r="M1939" i="4"/>
  <c r="P1939" i="4"/>
  <c r="N1939" i="4"/>
  <c r="M1938" i="4"/>
  <c r="N1938" i="4"/>
  <c r="P1938" i="4"/>
  <c r="N1937" i="4"/>
  <c r="P1937" i="4"/>
  <c r="M1937" i="4"/>
  <c r="N1936" i="4"/>
  <c r="M1936" i="4"/>
  <c r="P1936" i="4"/>
  <c r="N1935" i="4"/>
  <c r="P1935" i="4"/>
  <c r="M1935" i="4"/>
  <c r="N1934" i="4"/>
  <c r="M1934" i="4"/>
  <c r="P1934" i="4"/>
  <c r="P1933" i="4"/>
  <c r="M1933" i="4"/>
  <c r="M1932" i="4"/>
  <c r="P1932" i="4"/>
  <c r="P1931" i="4"/>
  <c r="M1931" i="4"/>
  <c r="P1930" i="4"/>
  <c r="M1930" i="4"/>
  <c r="M1929" i="4"/>
  <c r="P1929" i="4"/>
  <c r="M1928" i="4"/>
  <c r="P1928" i="4"/>
  <c r="M1927" i="4"/>
  <c r="P1927" i="4"/>
  <c r="P1926" i="4"/>
  <c r="M1926" i="4"/>
  <c r="M1925" i="4"/>
  <c r="P1925" i="4"/>
  <c r="M1924" i="4"/>
  <c r="P1924" i="4"/>
  <c r="P1923" i="4"/>
  <c r="M1923" i="4"/>
  <c r="M1922" i="4"/>
  <c r="P1922" i="4"/>
  <c r="P1921" i="4"/>
  <c r="M1921" i="4"/>
  <c r="M1920" i="4"/>
  <c r="P1920" i="4"/>
  <c r="P1919" i="4"/>
  <c r="M1919" i="4"/>
  <c r="M1918" i="4"/>
  <c r="P1918" i="4"/>
  <c r="P1917" i="4"/>
  <c r="M1917" i="4"/>
  <c r="M1916" i="4"/>
  <c r="P1916" i="4"/>
  <c r="M1915" i="4"/>
  <c r="P1915" i="4"/>
  <c r="M1914" i="4"/>
  <c r="P1914" i="4"/>
  <c r="M1913" i="4"/>
  <c r="P1913" i="4"/>
  <c r="M1912" i="4"/>
  <c r="P1912" i="4"/>
  <c r="P1911" i="4"/>
  <c r="M1911" i="4"/>
  <c r="P1910" i="4"/>
  <c r="M1910" i="4"/>
  <c r="M1909" i="4"/>
  <c r="P1909" i="4"/>
  <c r="M1908" i="4"/>
  <c r="P1908" i="4"/>
  <c r="M1907" i="4"/>
  <c r="P1907" i="4"/>
  <c r="P1906" i="4"/>
  <c r="M1906" i="4"/>
  <c r="M1905" i="4"/>
  <c r="P1905" i="4"/>
  <c r="M1904" i="4"/>
  <c r="P1904" i="4"/>
  <c r="P1903" i="4"/>
  <c r="M1903" i="4"/>
  <c r="M1902" i="4"/>
  <c r="P1902" i="4"/>
  <c r="M1901" i="4"/>
  <c r="P1901" i="4"/>
  <c r="P1900" i="4"/>
  <c r="M1900" i="4"/>
  <c r="M1899" i="4"/>
  <c r="P1899" i="4"/>
  <c r="P1898" i="4"/>
  <c r="M1898" i="4"/>
  <c r="P1897" i="4"/>
  <c r="M1897" i="4"/>
  <c r="M1896" i="4"/>
  <c r="P1896" i="4"/>
  <c r="M1895" i="4"/>
  <c r="P1895" i="4"/>
  <c r="M1894" i="4"/>
  <c r="P1894" i="4"/>
  <c r="P1893" i="4"/>
  <c r="M1893" i="4"/>
  <c r="M1892" i="4"/>
  <c r="P1892" i="4"/>
  <c r="P1891" i="4"/>
  <c r="M1891" i="4"/>
  <c r="M1890" i="4"/>
  <c r="P1890" i="4"/>
  <c r="P1889" i="4"/>
  <c r="M1889" i="4"/>
  <c r="P1888" i="4"/>
  <c r="M1888" i="4"/>
  <c r="M1887" i="4"/>
  <c r="P1887" i="4"/>
  <c r="M1886" i="4"/>
  <c r="P1886" i="4"/>
  <c r="P1885" i="4"/>
  <c r="M1885" i="4"/>
  <c r="P1884" i="4"/>
  <c r="M1884" i="4"/>
  <c r="P1883" i="4"/>
  <c r="M1883" i="4"/>
  <c r="P1882" i="4"/>
  <c r="M1882" i="4"/>
  <c r="P1881" i="4"/>
  <c r="M1881" i="4"/>
  <c r="P1880" i="4"/>
  <c r="M1880" i="4"/>
  <c r="P1879" i="4"/>
  <c r="M1879" i="4"/>
  <c r="P1878" i="4"/>
  <c r="M1878" i="4"/>
  <c r="M1877" i="4"/>
  <c r="P1877" i="4"/>
  <c r="P1876" i="4"/>
  <c r="M1876" i="4"/>
  <c r="M1875" i="4"/>
  <c r="P1875" i="4"/>
  <c r="M1874" i="4"/>
  <c r="P1874" i="4"/>
  <c r="M1873" i="4"/>
  <c r="P1873" i="4"/>
  <c r="M1872" i="4"/>
  <c r="P1872" i="4"/>
  <c r="M1871" i="4"/>
  <c r="P1871" i="4"/>
  <c r="M1870" i="4"/>
  <c r="P1870" i="4"/>
  <c r="P1869" i="4"/>
  <c r="M1869" i="4"/>
  <c r="M1868" i="4"/>
  <c r="P1868" i="4"/>
  <c r="M1867" i="4"/>
  <c r="P1867" i="4"/>
  <c r="P1866" i="4"/>
  <c r="M1866" i="4"/>
  <c r="P1865" i="4"/>
  <c r="M1865" i="4"/>
  <c r="P1864" i="4"/>
  <c r="M1864" i="4"/>
  <c r="M1863" i="4"/>
  <c r="P1863" i="4"/>
  <c r="M1862" i="4"/>
  <c r="P1862" i="4"/>
  <c r="M1861" i="4"/>
  <c r="P1861" i="4"/>
  <c r="P1860" i="4"/>
  <c r="M1860" i="4"/>
  <c r="P1859" i="4"/>
  <c r="M1859" i="4"/>
  <c r="P1858" i="4"/>
  <c r="M1858" i="4"/>
  <c r="P1857" i="4"/>
  <c r="M1857" i="4"/>
  <c r="M1856" i="4"/>
  <c r="P1856" i="4"/>
  <c r="M1855" i="4"/>
  <c r="P1855" i="4"/>
  <c r="M1854" i="4"/>
  <c r="P1854" i="4"/>
  <c r="M1853" i="4"/>
  <c r="P1853" i="4"/>
  <c r="M1852" i="4"/>
  <c r="P1852" i="4"/>
  <c r="P1851" i="4"/>
  <c r="M1851" i="4"/>
  <c r="P1850" i="4"/>
  <c r="M1850" i="4"/>
  <c r="M1849" i="4"/>
  <c r="P1849" i="4"/>
  <c r="M1848" i="4"/>
  <c r="P1848" i="4"/>
  <c r="M1847" i="4"/>
  <c r="P1847" i="4"/>
  <c r="M1846" i="4"/>
  <c r="P1846" i="4"/>
  <c r="P1845" i="4"/>
  <c r="M1845" i="4"/>
  <c r="M1844" i="4"/>
  <c r="P1844" i="4"/>
  <c r="P1843" i="4"/>
  <c r="M1843" i="4"/>
  <c r="P1842" i="4"/>
  <c r="M1842" i="4"/>
  <c r="M1841" i="4"/>
  <c r="P1841" i="4"/>
  <c r="M1840" i="4"/>
  <c r="P1840" i="4"/>
  <c r="M1839" i="4"/>
  <c r="P1839" i="4"/>
  <c r="P1838" i="4"/>
  <c r="M1838" i="4"/>
  <c r="P1837" i="4"/>
  <c r="M1837" i="4"/>
  <c r="P1836" i="4"/>
  <c r="M1836" i="4"/>
  <c r="P1835" i="4"/>
  <c r="M1835" i="4"/>
  <c r="P1834" i="4"/>
  <c r="M1834" i="4"/>
  <c r="M1833" i="4"/>
  <c r="P1833" i="4"/>
  <c r="P1832" i="4"/>
  <c r="M1832" i="4"/>
  <c r="P1831" i="4"/>
  <c r="M1831" i="4"/>
  <c r="M1830" i="4"/>
  <c r="P1830" i="4"/>
  <c r="M1829" i="4"/>
  <c r="P1829" i="4"/>
  <c r="P1828" i="4"/>
  <c r="M1828" i="4"/>
  <c r="M1827" i="4"/>
  <c r="P1827" i="4"/>
  <c r="M1826" i="4"/>
  <c r="P1826" i="4"/>
  <c r="P1825" i="4"/>
  <c r="M1825" i="4"/>
  <c r="P1824" i="4"/>
  <c r="M1824" i="4"/>
  <c r="M1823" i="4"/>
  <c r="P1823" i="4"/>
  <c r="M1822" i="4"/>
  <c r="P1822" i="4"/>
  <c r="P1821" i="4"/>
  <c r="M1821" i="4"/>
  <c r="P1820" i="4"/>
  <c r="M1820" i="4"/>
  <c r="P1819" i="4"/>
  <c r="M1819" i="4"/>
  <c r="M1818" i="4"/>
  <c r="P1818" i="4"/>
  <c r="P1817" i="4"/>
  <c r="M1817" i="4"/>
  <c r="P1816" i="4"/>
  <c r="M1816" i="4"/>
  <c r="M1815" i="4"/>
  <c r="P1815" i="4"/>
  <c r="P1814" i="4"/>
  <c r="M1814" i="4"/>
  <c r="P1813" i="4"/>
  <c r="M1813" i="4"/>
  <c r="M1812" i="4"/>
  <c r="P1812" i="4"/>
  <c r="M1811" i="4"/>
  <c r="P1811" i="4"/>
  <c r="M1810" i="4"/>
  <c r="P1810" i="4"/>
  <c r="P1809" i="4"/>
  <c r="M1809" i="4"/>
  <c r="M1808" i="4"/>
  <c r="P1808" i="4"/>
  <c r="P1807" i="4"/>
  <c r="M1807" i="4"/>
  <c r="M1806" i="4"/>
  <c r="P1806" i="4"/>
  <c r="P1805" i="4"/>
  <c r="M1805" i="4"/>
  <c r="M1804" i="4"/>
  <c r="P1804" i="4"/>
  <c r="P1803" i="4"/>
  <c r="M1803" i="4"/>
  <c r="P1802" i="4"/>
  <c r="M1802" i="4"/>
  <c r="P1801" i="4"/>
  <c r="M1801" i="4"/>
  <c r="P1800" i="4"/>
  <c r="M1800" i="4"/>
  <c r="M1799" i="4"/>
  <c r="P1799" i="4"/>
  <c r="M1798" i="4"/>
  <c r="P1798" i="4"/>
  <c r="P1797" i="4"/>
  <c r="M1797" i="4"/>
  <c r="P1796" i="4"/>
  <c r="M1796" i="4"/>
  <c r="P1795" i="4"/>
  <c r="M1795" i="4"/>
  <c r="P1794" i="4"/>
  <c r="M1794" i="4"/>
  <c r="M1793" i="4"/>
  <c r="P1793" i="4"/>
  <c r="P1792" i="4"/>
  <c r="M1792" i="4"/>
  <c r="M1791" i="4"/>
  <c r="P1791" i="4"/>
  <c r="M1790" i="4"/>
  <c r="P1790" i="4"/>
  <c r="M1789" i="4"/>
  <c r="P1789" i="4"/>
  <c r="N1788" i="4"/>
  <c r="P1788" i="4"/>
  <c r="M1788" i="4"/>
  <c r="M1787" i="4"/>
  <c r="N1787" i="4"/>
  <c r="P1787" i="4"/>
  <c r="P1786" i="4"/>
  <c r="N1786" i="4"/>
  <c r="M1786" i="4"/>
  <c r="P1785" i="4"/>
  <c r="N1785" i="4"/>
  <c r="M1785" i="4"/>
  <c r="P1784" i="4"/>
  <c r="M1784" i="4"/>
  <c r="N1784" i="4"/>
  <c r="M1783" i="4"/>
  <c r="N1783" i="4"/>
  <c r="P1783" i="4"/>
  <c r="M1782" i="4"/>
  <c r="N1782" i="4"/>
  <c r="P1782" i="4"/>
  <c r="P1781" i="4"/>
  <c r="N1781" i="4"/>
  <c r="M1781" i="4"/>
  <c r="P1780" i="4"/>
  <c r="M1780" i="4"/>
  <c r="N1780" i="4"/>
  <c r="N1779" i="4"/>
  <c r="P1779" i="4"/>
  <c r="M1779" i="4"/>
  <c r="M1778" i="4"/>
  <c r="N1778" i="4"/>
  <c r="P1778" i="4"/>
  <c r="N1777" i="4"/>
  <c r="P1777" i="4"/>
  <c r="M1777" i="4"/>
  <c r="N1776" i="4"/>
  <c r="P1776" i="4"/>
  <c r="M1776" i="4"/>
  <c r="P1775" i="4"/>
  <c r="N1775" i="4"/>
  <c r="M1775" i="4"/>
  <c r="N1774" i="4"/>
  <c r="P1774" i="4"/>
  <c r="M1774" i="4"/>
  <c r="P1773" i="4"/>
  <c r="N1773" i="4"/>
  <c r="M1773" i="4"/>
  <c r="P1772" i="4"/>
  <c r="N1772" i="4"/>
  <c r="M1772" i="4"/>
  <c r="M1771" i="4"/>
  <c r="N1771" i="4"/>
  <c r="P1771" i="4"/>
  <c r="M1770" i="4"/>
  <c r="N1770" i="4"/>
  <c r="P1770" i="4"/>
  <c r="N1769" i="4"/>
  <c r="P1769" i="4"/>
  <c r="M1769" i="4"/>
  <c r="M1768" i="4"/>
  <c r="N1768" i="4"/>
  <c r="P1768" i="4"/>
  <c r="M1767" i="4"/>
  <c r="P1767" i="4"/>
  <c r="N1767" i="4"/>
  <c r="P1766" i="4"/>
  <c r="M1766" i="4"/>
  <c r="N1766" i="4"/>
  <c r="P1765" i="4"/>
  <c r="M1765" i="4"/>
  <c r="N1765" i="4"/>
  <c r="P1764" i="4"/>
  <c r="N1764" i="4"/>
  <c r="M1764" i="4"/>
  <c r="M1763" i="4"/>
  <c r="N1763" i="4"/>
  <c r="P1763" i="4"/>
  <c r="M1762" i="4"/>
  <c r="N1762" i="4"/>
  <c r="P1762" i="4"/>
  <c r="P1761" i="4"/>
  <c r="N1761" i="4"/>
  <c r="M1761" i="4"/>
  <c r="M1760" i="4"/>
  <c r="N1760" i="4"/>
  <c r="P1760" i="4"/>
  <c r="M1759" i="4"/>
  <c r="P1759" i="4"/>
  <c r="N1759" i="4"/>
  <c r="P1758" i="4"/>
  <c r="N1758" i="4"/>
  <c r="M1758" i="4"/>
  <c r="N1757" i="4"/>
  <c r="P1757" i="4"/>
  <c r="M1757" i="4"/>
  <c r="M1756" i="4"/>
  <c r="N1756" i="4"/>
  <c r="P1756" i="4"/>
  <c r="P1755" i="4"/>
  <c r="N1755" i="4"/>
  <c r="M1755" i="4"/>
  <c r="N1754" i="4"/>
  <c r="M1754" i="4"/>
  <c r="P1754" i="4"/>
  <c r="P1753" i="4"/>
  <c r="N1753" i="4"/>
  <c r="M1753" i="4"/>
  <c r="P1752" i="4"/>
  <c r="N1752" i="4"/>
  <c r="M1752" i="4"/>
  <c r="P1751" i="4"/>
  <c r="N1751" i="4"/>
  <c r="M1751" i="4"/>
  <c r="N1750" i="4"/>
  <c r="M1750" i="4"/>
  <c r="P1750" i="4"/>
  <c r="N1749" i="4"/>
  <c r="M1749" i="4"/>
  <c r="P1749" i="4"/>
  <c r="P1748" i="4"/>
  <c r="N1748" i="4"/>
  <c r="M1748" i="4"/>
  <c r="N1747" i="4"/>
  <c r="M1747" i="4"/>
  <c r="P1747" i="4"/>
  <c r="P1746" i="4"/>
  <c r="N1746" i="4"/>
  <c r="M1746" i="4"/>
  <c r="P1745" i="4"/>
  <c r="N1745" i="4"/>
  <c r="M1745" i="4"/>
  <c r="N1744" i="4"/>
  <c r="P1744" i="4"/>
  <c r="M1744" i="4"/>
  <c r="P1743" i="4"/>
  <c r="N1743" i="4"/>
  <c r="M1743" i="4"/>
  <c r="P1742" i="4"/>
  <c r="N1742" i="4"/>
  <c r="M1742" i="4"/>
  <c r="N1741" i="4"/>
  <c r="M1741" i="4"/>
  <c r="P1741" i="4"/>
  <c r="N1740" i="4"/>
  <c r="M1740" i="4"/>
  <c r="P1740" i="4"/>
  <c r="P1739" i="4"/>
  <c r="N1739" i="4"/>
  <c r="M1739" i="4"/>
  <c r="P1738" i="4"/>
  <c r="N1738" i="4"/>
  <c r="M1738" i="4"/>
  <c r="P1737" i="4"/>
  <c r="N1737" i="4"/>
  <c r="M1737" i="4"/>
  <c r="P1736" i="4"/>
  <c r="N1736" i="4"/>
  <c r="M1736" i="4"/>
  <c r="P1735" i="4"/>
  <c r="N1735" i="4"/>
  <c r="M1735" i="4"/>
  <c r="M1734" i="4"/>
  <c r="P1734" i="4"/>
  <c r="M1733" i="4"/>
  <c r="P1733" i="4"/>
  <c r="P1732" i="4"/>
  <c r="M1732" i="4"/>
  <c r="P1731" i="4"/>
  <c r="M1731" i="4"/>
  <c r="P1730" i="4"/>
  <c r="M1730" i="4"/>
  <c r="P1729" i="4"/>
  <c r="M1729" i="4"/>
  <c r="P1728" i="4"/>
  <c r="M1728" i="4"/>
  <c r="P1727" i="4"/>
  <c r="M1727" i="4"/>
  <c r="P1726" i="4"/>
  <c r="M1726" i="4"/>
  <c r="P1725" i="4"/>
  <c r="M1725" i="4"/>
  <c r="P1724" i="4"/>
  <c r="M1724" i="4"/>
  <c r="P1723" i="4"/>
  <c r="M1723" i="4"/>
  <c r="P1722" i="4"/>
  <c r="M1722" i="4"/>
  <c r="P1721" i="4"/>
  <c r="M1721" i="4"/>
  <c r="M1720" i="4"/>
  <c r="P1720" i="4"/>
  <c r="M1719" i="4"/>
  <c r="P1719" i="4"/>
  <c r="M1718" i="4"/>
  <c r="P1718" i="4"/>
  <c r="P1717" i="4"/>
  <c r="M1717" i="4"/>
  <c r="M1716" i="4"/>
  <c r="P1716" i="4"/>
  <c r="M1715" i="4"/>
  <c r="P1715" i="4"/>
  <c r="P1714" i="4"/>
  <c r="M1714" i="4"/>
  <c r="P1713" i="4"/>
  <c r="M1713" i="4"/>
  <c r="M1712" i="4"/>
  <c r="P1712" i="4"/>
  <c r="P1711" i="4"/>
  <c r="M1711" i="4"/>
  <c r="P1710" i="4"/>
  <c r="M1710" i="4"/>
  <c r="P1709" i="4"/>
  <c r="M1709" i="4"/>
  <c r="P1708" i="4"/>
  <c r="M1708" i="4"/>
  <c r="M1707" i="4"/>
  <c r="P1707" i="4"/>
  <c r="P1706" i="4"/>
  <c r="M1706" i="4"/>
  <c r="M1705" i="4"/>
  <c r="P1705" i="4"/>
  <c r="M1704" i="4"/>
  <c r="P1704" i="4"/>
  <c r="P1703" i="4"/>
  <c r="M1703" i="4"/>
  <c r="M1702" i="4"/>
  <c r="P1702" i="4"/>
  <c r="M1701" i="4"/>
  <c r="P1701" i="4"/>
  <c r="M1700" i="4"/>
  <c r="P1700" i="4"/>
  <c r="M1699" i="4"/>
  <c r="P1699" i="4"/>
  <c r="M1698" i="4"/>
  <c r="P1698" i="4"/>
  <c r="M1697" i="4"/>
  <c r="P1697" i="4"/>
  <c r="P1696" i="4"/>
  <c r="M1696" i="4"/>
  <c r="M1695" i="4"/>
  <c r="P1695" i="4"/>
  <c r="M1694" i="4"/>
  <c r="P1694" i="4"/>
  <c r="P1693" i="4"/>
  <c r="M1693" i="4"/>
  <c r="P1692" i="4"/>
  <c r="M1692" i="4"/>
  <c r="M1691" i="4"/>
  <c r="P1691" i="4"/>
  <c r="P1690" i="4"/>
  <c r="M1690" i="4"/>
  <c r="P1689" i="4"/>
  <c r="M1689" i="4"/>
  <c r="P1688" i="4"/>
  <c r="M1688" i="4"/>
  <c r="M1687" i="4"/>
  <c r="P1687" i="4"/>
  <c r="P1686" i="4"/>
  <c r="M1686" i="4"/>
  <c r="P1685" i="4"/>
  <c r="M1685" i="4"/>
  <c r="M1684" i="4"/>
  <c r="P1684" i="4"/>
  <c r="P1683" i="4"/>
  <c r="M1683" i="4"/>
  <c r="P1682" i="4"/>
  <c r="M1682" i="4"/>
  <c r="P1681" i="4"/>
  <c r="M1681" i="4"/>
  <c r="M1680" i="4"/>
  <c r="P1680" i="4"/>
  <c r="P1679" i="4"/>
  <c r="M1679" i="4"/>
  <c r="P1678" i="4"/>
  <c r="M1678" i="4"/>
  <c r="M1677" i="4"/>
  <c r="P1677" i="4"/>
  <c r="P1676" i="4"/>
  <c r="M1676" i="4"/>
  <c r="P1675" i="4"/>
  <c r="M1675" i="4"/>
  <c r="P1674" i="4"/>
  <c r="M1674" i="4"/>
  <c r="P1673" i="4"/>
  <c r="M1673" i="4"/>
  <c r="P1672" i="4"/>
  <c r="M1672" i="4"/>
  <c r="P1671" i="4"/>
  <c r="M1671" i="4"/>
  <c r="P1670" i="4"/>
  <c r="M1670" i="4"/>
  <c r="M1669" i="4"/>
  <c r="P1669" i="4"/>
  <c r="M1668" i="4"/>
  <c r="P1668" i="4"/>
  <c r="P1667" i="4"/>
  <c r="M1667" i="4"/>
  <c r="P1666" i="4"/>
  <c r="M1666" i="4"/>
  <c r="P1665" i="4"/>
  <c r="M1665" i="4"/>
  <c r="P1664" i="4"/>
  <c r="M1664" i="4"/>
  <c r="P1663" i="4"/>
  <c r="M1663" i="4"/>
  <c r="P1662" i="4"/>
  <c r="M1662" i="4"/>
  <c r="P1661" i="4"/>
  <c r="M1661" i="4"/>
  <c r="M1660" i="4"/>
  <c r="P1660" i="4"/>
  <c r="M1659" i="4"/>
  <c r="P1659" i="4"/>
  <c r="P1658" i="4"/>
  <c r="M1658" i="4"/>
  <c r="P1657" i="4"/>
  <c r="M1657" i="4"/>
  <c r="M1656" i="4"/>
  <c r="P1656" i="4"/>
  <c r="P1655" i="4"/>
  <c r="M1655" i="4"/>
  <c r="P1654" i="4"/>
  <c r="M1654" i="4"/>
  <c r="M1653" i="4"/>
  <c r="P1653" i="4"/>
  <c r="M1652" i="4"/>
  <c r="P1652" i="4"/>
  <c r="P1651" i="4"/>
  <c r="M1651" i="4"/>
  <c r="P1650" i="4"/>
  <c r="M1650" i="4"/>
  <c r="P1649" i="4"/>
  <c r="M1649" i="4"/>
  <c r="P1648" i="4"/>
  <c r="M1648" i="4"/>
  <c r="P1647" i="4"/>
  <c r="M1647" i="4"/>
  <c r="M1646" i="4"/>
  <c r="P1646" i="4"/>
  <c r="P1645" i="4"/>
  <c r="M1645" i="4"/>
  <c r="P1644" i="4"/>
  <c r="M1644" i="4"/>
  <c r="P1643" i="4"/>
  <c r="M1643" i="4"/>
  <c r="M1642" i="4"/>
  <c r="P1642" i="4"/>
  <c r="M1641" i="4"/>
  <c r="P1641" i="4"/>
  <c r="P1640" i="4"/>
  <c r="M1640" i="4"/>
  <c r="P1639" i="4"/>
  <c r="M1639" i="4"/>
  <c r="P1638" i="4"/>
  <c r="M1638" i="4"/>
  <c r="P1637" i="4"/>
  <c r="M1637" i="4"/>
  <c r="P1636" i="4"/>
  <c r="M1636" i="4"/>
  <c r="P1635" i="4"/>
  <c r="M1635" i="4"/>
  <c r="P1634" i="4"/>
  <c r="M1634" i="4"/>
  <c r="P1633" i="4"/>
  <c r="M1633" i="4"/>
  <c r="P1632" i="4"/>
  <c r="M1632" i="4"/>
  <c r="P1631" i="4"/>
  <c r="M1631" i="4"/>
  <c r="P1630" i="4"/>
  <c r="M1630" i="4"/>
  <c r="P1629" i="4"/>
  <c r="M1629" i="4"/>
  <c r="P1628" i="4"/>
  <c r="M1628" i="4"/>
  <c r="P1627" i="4"/>
  <c r="M1627" i="4"/>
  <c r="P1626" i="4"/>
  <c r="N1626" i="4"/>
  <c r="M1626" i="4"/>
  <c r="P1625" i="4"/>
  <c r="N1625" i="4"/>
  <c r="M1625" i="4"/>
  <c r="P1624" i="4"/>
  <c r="N1624" i="4"/>
  <c r="M1624" i="4"/>
  <c r="P1623" i="4"/>
  <c r="N1623" i="4"/>
  <c r="M1623" i="4"/>
  <c r="P1622" i="4"/>
  <c r="N1622" i="4"/>
  <c r="M1622" i="4"/>
  <c r="P1621" i="4"/>
  <c r="N1621" i="4"/>
  <c r="M1621" i="4"/>
  <c r="P1620" i="4"/>
  <c r="N1620" i="4"/>
  <c r="M1620" i="4"/>
  <c r="M1619" i="4"/>
  <c r="N1619" i="4"/>
  <c r="P1619" i="4"/>
  <c r="P1618" i="4"/>
  <c r="N1618" i="4"/>
  <c r="M1618" i="4"/>
  <c r="P1617" i="4"/>
  <c r="N1617" i="4"/>
  <c r="M1617" i="4"/>
  <c r="P1616" i="4"/>
  <c r="N1616" i="4"/>
  <c r="M1616" i="4"/>
  <c r="M1615" i="4"/>
  <c r="P1615" i="4"/>
  <c r="N1615" i="4"/>
  <c r="P1614" i="4"/>
  <c r="N1614" i="4"/>
  <c r="M1614" i="4"/>
  <c r="N1613" i="4"/>
  <c r="P1613" i="4"/>
  <c r="M1613" i="4"/>
  <c r="N1612" i="4"/>
  <c r="M1612" i="4"/>
  <c r="P1612" i="4"/>
  <c r="P1611" i="4"/>
  <c r="N1611" i="4"/>
  <c r="M1611" i="4"/>
  <c r="P1610" i="4"/>
  <c r="N1610" i="4"/>
  <c r="M1610" i="4"/>
  <c r="M1609" i="4"/>
  <c r="P1609" i="4"/>
  <c r="N1609" i="4"/>
  <c r="M1608" i="4"/>
  <c r="P1608" i="4"/>
  <c r="N1608" i="4"/>
  <c r="M1607" i="4"/>
  <c r="P1607" i="4"/>
  <c r="N1607" i="4"/>
  <c r="P1606" i="4"/>
  <c r="M1606" i="4"/>
  <c r="N1606" i="4"/>
  <c r="N1605" i="4"/>
  <c r="P1605" i="4"/>
  <c r="M1605" i="4"/>
  <c r="M1604" i="4"/>
  <c r="N1604" i="4"/>
  <c r="P1604" i="4"/>
  <c r="M1603" i="4"/>
  <c r="P1603" i="4"/>
  <c r="N1603" i="4"/>
  <c r="P1602" i="4"/>
  <c r="N1602" i="4"/>
  <c r="M1602" i="4"/>
  <c r="P1601" i="4"/>
  <c r="N1601" i="4"/>
  <c r="M1601" i="4"/>
  <c r="M1600" i="4"/>
  <c r="P1600" i="4"/>
  <c r="N1600" i="4"/>
  <c r="N1599" i="4"/>
  <c r="P1599" i="4"/>
  <c r="M1599" i="4"/>
  <c r="M1598" i="4"/>
  <c r="N1598" i="4"/>
  <c r="P1598" i="4"/>
  <c r="N1597" i="4"/>
  <c r="P1597" i="4"/>
  <c r="M1597" i="4"/>
  <c r="P1596" i="4"/>
  <c r="N1596" i="4"/>
  <c r="M1596" i="4"/>
  <c r="M1595" i="4"/>
  <c r="N1595" i="4"/>
  <c r="P1595" i="4"/>
  <c r="N1594" i="4"/>
  <c r="P1594" i="4"/>
  <c r="M1594" i="4"/>
  <c r="P1593" i="4"/>
  <c r="M1593" i="4"/>
  <c r="N1593" i="4"/>
  <c r="P1592" i="4"/>
  <c r="M1592" i="4"/>
  <c r="N1592" i="4"/>
  <c r="N1591" i="4"/>
  <c r="P1591" i="4"/>
  <c r="M1591" i="4"/>
  <c r="M1590" i="4"/>
  <c r="N1590" i="4"/>
  <c r="P1590" i="4"/>
  <c r="P1589" i="4"/>
  <c r="N1589" i="4"/>
  <c r="M1589" i="4"/>
  <c r="P1588" i="4"/>
  <c r="N1588" i="4"/>
  <c r="M1588" i="4"/>
  <c r="M1587" i="4"/>
  <c r="N1587" i="4"/>
  <c r="P1587" i="4"/>
  <c r="M1586" i="4"/>
  <c r="P1586" i="4"/>
  <c r="N1586" i="4"/>
  <c r="M1585" i="4"/>
  <c r="P1585" i="4"/>
  <c r="N1585" i="4"/>
  <c r="M1584" i="4"/>
  <c r="N1584" i="4"/>
  <c r="P1584" i="4"/>
  <c r="P1583" i="4"/>
  <c r="M1583" i="4"/>
  <c r="N1583" i="4"/>
  <c r="P1582" i="4"/>
  <c r="N1582" i="4"/>
  <c r="M1582" i="4"/>
  <c r="N1581" i="4"/>
  <c r="P1581" i="4"/>
  <c r="M1581" i="4"/>
  <c r="M1580" i="4"/>
  <c r="N1580" i="4"/>
  <c r="P1580" i="4"/>
  <c r="M1579" i="4"/>
  <c r="N1579" i="4"/>
  <c r="P1579" i="4"/>
  <c r="N1578" i="4"/>
  <c r="P1578" i="4"/>
  <c r="M1578" i="4"/>
  <c r="M1577" i="4"/>
  <c r="N1577" i="4"/>
  <c r="P1577" i="4"/>
  <c r="N1576" i="4"/>
  <c r="M1576" i="4"/>
  <c r="P1576" i="4"/>
  <c r="P1575" i="4"/>
  <c r="N1575" i="4"/>
  <c r="M1575" i="4"/>
  <c r="P1574" i="4"/>
  <c r="N1574" i="4"/>
  <c r="M1574" i="4"/>
  <c r="M1573" i="4"/>
  <c r="P1573" i="4"/>
  <c r="N1573" i="4"/>
  <c r="P1572" i="4"/>
  <c r="M1572" i="4"/>
  <c r="N1572" i="4"/>
  <c r="M1571" i="4"/>
  <c r="N1571" i="4"/>
  <c r="P1571" i="4"/>
  <c r="N1570" i="4"/>
  <c r="P1570" i="4"/>
  <c r="M1570" i="4"/>
  <c r="M1569" i="4"/>
  <c r="P1569" i="4"/>
  <c r="N1569" i="4"/>
  <c r="P1568" i="4"/>
  <c r="N1568" i="4"/>
  <c r="M1568" i="4"/>
  <c r="P1567" i="4"/>
  <c r="N1567" i="4"/>
  <c r="M1567" i="4"/>
  <c r="M1566" i="4"/>
  <c r="P1566" i="4"/>
  <c r="N1566" i="4"/>
  <c r="M1565" i="4"/>
  <c r="P1565" i="4"/>
  <c r="N1565" i="4"/>
  <c r="N1564" i="4"/>
  <c r="P1564" i="4"/>
  <c r="M1564" i="4"/>
  <c r="N1563" i="4"/>
  <c r="P1563" i="4"/>
  <c r="M1563" i="4"/>
  <c r="M1562" i="4"/>
  <c r="N1562" i="4"/>
  <c r="P1562" i="4"/>
  <c r="N1561" i="4"/>
  <c r="M1561" i="4"/>
  <c r="P1561" i="4"/>
  <c r="P1560" i="4"/>
  <c r="M1560" i="4"/>
  <c r="N1560" i="4"/>
  <c r="M1559" i="4"/>
  <c r="N1559" i="4"/>
  <c r="P1559" i="4"/>
  <c r="P1558" i="4"/>
  <c r="M1558" i="4"/>
  <c r="N1558" i="4"/>
  <c r="P1557" i="4"/>
  <c r="N1557" i="4"/>
  <c r="M1557" i="4"/>
  <c r="P1556" i="4"/>
  <c r="N1556" i="4"/>
  <c r="M1556" i="4"/>
  <c r="M1555" i="4"/>
  <c r="N1555" i="4"/>
  <c r="P1555" i="4"/>
  <c r="P1554" i="4"/>
  <c r="N1554" i="4"/>
  <c r="M1554" i="4"/>
  <c r="P1553" i="4"/>
  <c r="N1553" i="4"/>
  <c r="M1553" i="4"/>
  <c r="P1552" i="4"/>
  <c r="N1552" i="4"/>
  <c r="M1552" i="4"/>
  <c r="P1551" i="4"/>
  <c r="N1551" i="4"/>
  <c r="M1551" i="4"/>
  <c r="P1550" i="4"/>
  <c r="N1550" i="4"/>
  <c r="M1550" i="4"/>
  <c r="P1549" i="4"/>
  <c r="N1549" i="4"/>
  <c r="M1549" i="4"/>
  <c r="P1548" i="4"/>
  <c r="N1548" i="4"/>
  <c r="M1548" i="4"/>
  <c r="P1547" i="4"/>
  <c r="N1547" i="4"/>
  <c r="M1547" i="4"/>
  <c r="P1546" i="4"/>
  <c r="N1546" i="4"/>
  <c r="M1546" i="4"/>
  <c r="P1545" i="4"/>
  <c r="N1545" i="4"/>
  <c r="M1545" i="4"/>
  <c r="P1544" i="4"/>
  <c r="N1544" i="4"/>
  <c r="M1544" i="4"/>
  <c r="P1543" i="4"/>
  <c r="N1543" i="4"/>
  <c r="M1543" i="4"/>
  <c r="P1542" i="4"/>
  <c r="N1542" i="4"/>
  <c r="M1542" i="4"/>
  <c r="P1541" i="4"/>
  <c r="M1541" i="4"/>
  <c r="P1540" i="4"/>
  <c r="M1540" i="4"/>
  <c r="P1539" i="4"/>
  <c r="M1539" i="4"/>
  <c r="P1538" i="4"/>
  <c r="M1538" i="4"/>
  <c r="P1537" i="4"/>
  <c r="M1537" i="4"/>
  <c r="P1536" i="4"/>
  <c r="M1536" i="4"/>
  <c r="P1535" i="4"/>
  <c r="M1535" i="4"/>
  <c r="P1534" i="4"/>
  <c r="M1534" i="4"/>
  <c r="P1533" i="4"/>
  <c r="M1533" i="4"/>
  <c r="P1532" i="4"/>
  <c r="M1532" i="4"/>
  <c r="P1531" i="4"/>
  <c r="M1531" i="4"/>
  <c r="P1530" i="4"/>
  <c r="M1530" i="4"/>
  <c r="P1529" i="4"/>
  <c r="M1529" i="4"/>
  <c r="P1528" i="4"/>
  <c r="M1528" i="4"/>
  <c r="P1527" i="4"/>
  <c r="M1527" i="4"/>
  <c r="P1526" i="4"/>
  <c r="M1526" i="4"/>
  <c r="P1525" i="4"/>
  <c r="M1525" i="4"/>
  <c r="P1524" i="4"/>
  <c r="M1524" i="4"/>
  <c r="P1523" i="4"/>
  <c r="M1523" i="4"/>
  <c r="P1522" i="4"/>
  <c r="M1522" i="4"/>
  <c r="P1521" i="4"/>
  <c r="M1521" i="4"/>
  <c r="P1520" i="4"/>
  <c r="M1520" i="4"/>
  <c r="P1519" i="4"/>
  <c r="M1519" i="4"/>
  <c r="P1518" i="4"/>
  <c r="M1518" i="4"/>
  <c r="P1517" i="4"/>
  <c r="M1517" i="4"/>
  <c r="P1516" i="4"/>
  <c r="M1516" i="4"/>
  <c r="P1515" i="4"/>
  <c r="M1515" i="4"/>
  <c r="P1514" i="4"/>
  <c r="M1514" i="4"/>
  <c r="P1513" i="4"/>
  <c r="M1513" i="4"/>
  <c r="P1512" i="4"/>
  <c r="M1512" i="4"/>
  <c r="P1511" i="4"/>
  <c r="M1511" i="4"/>
  <c r="P1510" i="4"/>
  <c r="M1510" i="4"/>
  <c r="P1509" i="4"/>
  <c r="M1509" i="4"/>
  <c r="P1508" i="4"/>
  <c r="M1508" i="4"/>
  <c r="P1507" i="4"/>
  <c r="M1507" i="4"/>
  <c r="P1506" i="4"/>
  <c r="M1506" i="4"/>
  <c r="P1505" i="4"/>
  <c r="M1505" i="4"/>
  <c r="P1504" i="4"/>
  <c r="M1504" i="4"/>
  <c r="P1503" i="4"/>
  <c r="M1503" i="4"/>
  <c r="P1502" i="4"/>
  <c r="M1502" i="4"/>
  <c r="P1501" i="4"/>
  <c r="M1501" i="4"/>
  <c r="P1500" i="4"/>
  <c r="M1500" i="4"/>
  <c r="P1499" i="4"/>
  <c r="M1499" i="4"/>
  <c r="P1498" i="4"/>
  <c r="M1498" i="4"/>
  <c r="P1497" i="4"/>
  <c r="M1497" i="4"/>
  <c r="P1496" i="4"/>
  <c r="M1496" i="4"/>
  <c r="P1495" i="4"/>
  <c r="M1495" i="4"/>
  <c r="P1494" i="4"/>
  <c r="M1494" i="4"/>
  <c r="P1493" i="4"/>
  <c r="M1493" i="4"/>
  <c r="P1492" i="4"/>
  <c r="M1492" i="4"/>
  <c r="P1491" i="4"/>
  <c r="M1491" i="4"/>
  <c r="P1490" i="4"/>
  <c r="M1490" i="4"/>
  <c r="P1489" i="4"/>
  <c r="M1489" i="4"/>
  <c r="P1488" i="4"/>
  <c r="M1488" i="4"/>
  <c r="P1487" i="4"/>
  <c r="M1487" i="4"/>
  <c r="P1486" i="4"/>
  <c r="M1486" i="4"/>
  <c r="P1485" i="4"/>
  <c r="M1485" i="4"/>
  <c r="P1484" i="4"/>
  <c r="M1484" i="4"/>
  <c r="P1483" i="4"/>
  <c r="M1483" i="4"/>
  <c r="P1482" i="4"/>
  <c r="M1482" i="4"/>
  <c r="P1481" i="4"/>
  <c r="M1481" i="4"/>
  <c r="P1480" i="4"/>
  <c r="M1480" i="4"/>
  <c r="P1479" i="4"/>
  <c r="M1479" i="4"/>
  <c r="P1478" i="4"/>
  <c r="M1478" i="4"/>
  <c r="P1477" i="4"/>
  <c r="M1477" i="4"/>
  <c r="P1476" i="4"/>
  <c r="M1476" i="4"/>
  <c r="P1475" i="4"/>
  <c r="M1475" i="4"/>
  <c r="P1474" i="4"/>
  <c r="M1474" i="4"/>
  <c r="P1473" i="4"/>
  <c r="M1473" i="4"/>
  <c r="P1472" i="4"/>
  <c r="M1472" i="4"/>
  <c r="P1471" i="4"/>
  <c r="M1471" i="4"/>
  <c r="P1470" i="4"/>
  <c r="M1470" i="4"/>
  <c r="P1469" i="4"/>
  <c r="M1469" i="4"/>
  <c r="P1468" i="4"/>
  <c r="M1468" i="4"/>
  <c r="P1467" i="4"/>
  <c r="M1467" i="4"/>
  <c r="P1466" i="4"/>
  <c r="M1466" i="4"/>
  <c r="P1465" i="4"/>
  <c r="M1465" i="4"/>
  <c r="P1464" i="4"/>
  <c r="N1464" i="4"/>
  <c r="M1464" i="4"/>
  <c r="P1463" i="4"/>
  <c r="N1463" i="4"/>
  <c r="M1463" i="4"/>
  <c r="P1462" i="4"/>
  <c r="N1462" i="4"/>
  <c r="M1462" i="4"/>
  <c r="P1461" i="4"/>
  <c r="N1461" i="4"/>
  <c r="M1461" i="4"/>
  <c r="P1460" i="4"/>
  <c r="N1460" i="4"/>
  <c r="M1460" i="4"/>
  <c r="P1458" i="4"/>
  <c r="M1458" i="4"/>
  <c r="P1457" i="4"/>
  <c r="M1457" i="4"/>
  <c r="P1456" i="4"/>
  <c r="M1456" i="4"/>
  <c r="P1455" i="4"/>
  <c r="M1455" i="4"/>
  <c r="M1454" i="4"/>
  <c r="P1454" i="4"/>
  <c r="M1453" i="4"/>
  <c r="P1453" i="4"/>
  <c r="P1452" i="4"/>
  <c r="M1452" i="4"/>
  <c r="P1451" i="4"/>
  <c r="M1451" i="4"/>
  <c r="P1450" i="4"/>
  <c r="M1450" i="4"/>
  <c r="P1449" i="4"/>
  <c r="M1449" i="4"/>
  <c r="P1448" i="4"/>
  <c r="M1448" i="4"/>
  <c r="M1447" i="4"/>
  <c r="P1447" i="4"/>
  <c r="M1446" i="4"/>
  <c r="P1446" i="4"/>
  <c r="P1445" i="4"/>
  <c r="M1445" i="4"/>
  <c r="P1444" i="4"/>
  <c r="M1444" i="4"/>
  <c r="M1443" i="4"/>
  <c r="P1443" i="4"/>
  <c r="P1442" i="4"/>
  <c r="M1442" i="4"/>
  <c r="M1441" i="4"/>
  <c r="P1441" i="4"/>
  <c r="M1440" i="4"/>
  <c r="P1440" i="4"/>
  <c r="P1439" i="4"/>
  <c r="M1439" i="4"/>
  <c r="P1438" i="4"/>
  <c r="M1438" i="4"/>
  <c r="P1437" i="4"/>
  <c r="M1437" i="4"/>
  <c r="P1436" i="4"/>
  <c r="M1436" i="4"/>
  <c r="P1435" i="4"/>
  <c r="M1435" i="4"/>
  <c r="M1434" i="4"/>
  <c r="P1434" i="4"/>
  <c r="M1433" i="4"/>
  <c r="P1433" i="4"/>
  <c r="P1432" i="4"/>
  <c r="M1432" i="4"/>
  <c r="P1431" i="4"/>
  <c r="M1431" i="4"/>
  <c r="M1430" i="4"/>
  <c r="P1430" i="4"/>
  <c r="P1429" i="4"/>
  <c r="M1429" i="4"/>
  <c r="P1428" i="4"/>
  <c r="M1428" i="4"/>
  <c r="M1427" i="4"/>
  <c r="P1427" i="4"/>
  <c r="M1426" i="4"/>
  <c r="P1426" i="4"/>
  <c r="P1425" i="4"/>
  <c r="M1425" i="4"/>
  <c r="P1424" i="4"/>
  <c r="M1424" i="4"/>
  <c r="P1423" i="4"/>
  <c r="M1423" i="4"/>
  <c r="P1422" i="4"/>
  <c r="M1422" i="4"/>
  <c r="P1421" i="4"/>
  <c r="M1421" i="4"/>
  <c r="M1420" i="4"/>
  <c r="P1420" i="4"/>
  <c r="M1419" i="4"/>
  <c r="P1419" i="4"/>
  <c r="P1418" i="4"/>
  <c r="M1418" i="4"/>
  <c r="P1417" i="4"/>
  <c r="M1417" i="4"/>
  <c r="M1416" i="4"/>
  <c r="P1416" i="4"/>
  <c r="P1415" i="4"/>
  <c r="M1415" i="4"/>
  <c r="M1414" i="4"/>
  <c r="P1414" i="4"/>
  <c r="M1413" i="4"/>
  <c r="P1413" i="4"/>
  <c r="P1412" i="4"/>
  <c r="M1412" i="4"/>
  <c r="P1411" i="4"/>
  <c r="M1411" i="4"/>
  <c r="P1410" i="4"/>
  <c r="M1410" i="4"/>
  <c r="P1409" i="4"/>
  <c r="M1409" i="4"/>
  <c r="P1408" i="4"/>
  <c r="M1408" i="4"/>
  <c r="M1407" i="4"/>
  <c r="P1407" i="4"/>
  <c r="M1406" i="4"/>
  <c r="P1406" i="4"/>
  <c r="P1405" i="4"/>
  <c r="M1405" i="4"/>
  <c r="P1404" i="4"/>
  <c r="M1404" i="4"/>
  <c r="M1403" i="4"/>
  <c r="P1403" i="4"/>
  <c r="P1402" i="4"/>
  <c r="M1402" i="4"/>
  <c r="P1401" i="4"/>
  <c r="M1401" i="4"/>
  <c r="P1400" i="4"/>
  <c r="M1400" i="4"/>
  <c r="P1399" i="4"/>
  <c r="M1399" i="4"/>
  <c r="P1398" i="4"/>
  <c r="M1398" i="4"/>
  <c r="P1397" i="4"/>
  <c r="M1397" i="4"/>
  <c r="P1396" i="4"/>
  <c r="M1396" i="4"/>
  <c r="P1395" i="4"/>
  <c r="M1395" i="4"/>
  <c r="P1394" i="4"/>
  <c r="M1394" i="4"/>
  <c r="P1393" i="4"/>
  <c r="M1393" i="4"/>
  <c r="P1392" i="4"/>
  <c r="M1392" i="4"/>
  <c r="P1391" i="4"/>
  <c r="M1391" i="4"/>
  <c r="P1390" i="4"/>
  <c r="M1390" i="4"/>
  <c r="P1389" i="4"/>
  <c r="M1389" i="4"/>
  <c r="M1388" i="4"/>
  <c r="P1388" i="4"/>
  <c r="P1387" i="4"/>
  <c r="M1387" i="4"/>
  <c r="P1386" i="4"/>
  <c r="M1386" i="4"/>
  <c r="M1385" i="4"/>
  <c r="P1385" i="4"/>
  <c r="M1384" i="4"/>
  <c r="P1384" i="4"/>
  <c r="P1383" i="4"/>
  <c r="M1383" i="4"/>
  <c r="P1382" i="4"/>
  <c r="M1382" i="4"/>
  <c r="P1381" i="4"/>
  <c r="M1381" i="4"/>
  <c r="P1380" i="4"/>
  <c r="M1380" i="4"/>
  <c r="P1379" i="4"/>
  <c r="M1379" i="4"/>
  <c r="P1378" i="4"/>
  <c r="M1378" i="4"/>
  <c r="M1377" i="4"/>
  <c r="P1377" i="4"/>
  <c r="M1376" i="4"/>
  <c r="P1376" i="4"/>
  <c r="P1375" i="4"/>
  <c r="M1375" i="4"/>
  <c r="M1374" i="4"/>
  <c r="P1374" i="4"/>
  <c r="P1373" i="4"/>
  <c r="M1373" i="4"/>
  <c r="P1372" i="4"/>
  <c r="M1372" i="4"/>
  <c r="P1371" i="4"/>
  <c r="M1371" i="4"/>
  <c r="P1370" i="4"/>
  <c r="M1370" i="4"/>
  <c r="P1369" i="4"/>
  <c r="M1369" i="4"/>
  <c r="P1368" i="4"/>
  <c r="M1368" i="4"/>
  <c r="P1367" i="4"/>
  <c r="M1367" i="4"/>
  <c r="P1366" i="4"/>
  <c r="M1366" i="4"/>
  <c r="P1365" i="4"/>
  <c r="M1365" i="4"/>
  <c r="P1364" i="4"/>
  <c r="M1364" i="4"/>
  <c r="P1363" i="4"/>
  <c r="M1363" i="4"/>
  <c r="P1362" i="4"/>
  <c r="M1362" i="4"/>
  <c r="P1361" i="4"/>
  <c r="M1361" i="4"/>
  <c r="P1360" i="4"/>
  <c r="M1360" i="4"/>
  <c r="P1359" i="4"/>
  <c r="M1359" i="4"/>
  <c r="P1358" i="4"/>
  <c r="M1358" i="4"/>
  <c r="P1357" i="4"/>
  <c r="M1357" i="4"/>
  <c r="P1356" i="4"/>
  <c r="M1356" i="4"/>
  <c r="P1355" i="4"/>
  <c r="M1355" i="4"/>
  <c r="P1354" i="4"/>
  <c r="M1354" i="4"/>
  <c r="P1353" i="4"/>
  <c r="M1353" i="4"/>
  <c r="P1352" i="4"/>
  <c r="M1352" i="4"/>
  <c r="P1351" i="4"/>
  <c r="M1351" i="4"/>
  <c r="P1350" i="4"/>
  <c r="M1350" i="4"/>
  <c r="P1349" i="4"/>
  <c r="M1349" i="4"/>
  <c r="P1348" i="4"/>
  <c r="M1348" i="4"/>
  <c r="P1347" i="4"/>
  <c r="M1347" i="4"/>
  <c r="P1346" i="4"/>
  <c r="M1346" i="4"/>
  <c r="P1345" i="4"/>
  <c r="M1345" i="4"/>
  <c r="P1344" i="4"/>
  <c r="M1344" i="4"/>
  <c r="P1343" i="4"/>
  <c r="M1343" i="4"/>
  <c r="P1342" i="4"/>
  <c r="M1342" i="4"/>
  <c r="P1341" i="4"/>
  <c r="M1341" i="4"/>
  <c r="P1340" i="4"/>
  <c r="M1340" i="4"/>
  <c r="P1339" i="4"/>
  <c r="M1339" i="4"/>
  <c r="P1338" i="4"/>
  <c r="M1338" i="4"/>
  <c r="P1337" i="4"/>
  <c r="M1337" i="4"/>
  <c r="P1336" i="4"/>
  <c r="M1336" i="4"/>
  <c r="P1335" i="4"/>
  <c r="M1335" i="4"/>
  <c r="P1334" i="4"/>
  <c r="M1334" i="4"/>
  <c r="P1333" i="4"/>
  <c r="M1333" i="4"/>
  <c r="P1332" i="4"/>
  <c r="M1332" i="4"/>
  <c r="P1331" i="4"/>
  <c r="M1331" i="4"/>
  <c r="P1330" i="4"/>
  <c r="M1330" i="4"/>
  <c r="P1329" i="4"/>
  <c r="M1329" i="4"/>
  <c r="P1328" i="4"/>
  <c r="M1328" i="4"/>
  <c r="P1327" i="4"/>
  <c r="M1327" i="4"/>
  <c r="P1326" i="4"/>
  <c r="M1326" i="4"/>
  <c r="P1325" i="4"/>
  <c r="M1325" i="4"/>
  <c r="P1324" i="4"/>
  <c r="M1324" i="4"/>
  <c r="P1323" i="4"/>
  <c r="M1323" i="4"/>
  <c r="P1322" i="4"/>
  <c r="M1322" i="4"/>
  <c r="P1321" i="4"/>
  <c r="M1321" i="4"/>
  <c r="P1320" i="4"/>
  <c r="M1320" i="4"/>
  <c r="P1319" i="4"/>
  <c r="M1319" i="4"/>
  <c r="P1318" i="4"/>
  <c r="M1318" i="4"/>
  <c r="P1317" i="4"/>
  <c r="M1317" i="4"/>
  <c r="P1316" i="4"/>
  <c r="M1316" i="4"/>
  <c r="P1315" i="4"/>
  <c r="M1315" i="4"/>
  <c r="P1314" i="4"/>
  <c r="M1314" i="4"/>
  <c r="P1313" i="4"/>
  <c r="M1313" i="4"/>
  <c r="P1312" i="4"/>
  <c r="M1312" i="4"/>
  <c r="P1311" i="4"/>
  <c r="M1311" i="4"/>
  <c r="P1310" i="4"/>
  <c r="M1310" i="4"/>
  <c r="P1309" i="4"/>
  <c r="M1309" i="4"/>
  <c r="P1308" i="4"/>
  <c r="M1308" i="4"/>
  <c r="P1307" i="4"/>
  <c r="M1307" i="4"/>
  <c r="P1306" i="4"/>
  <c r="M1306" i="4"/>
  <c r="P1305" i="4"/>
  <c r="M1305" i="4"/>
  <c r="P1304" i="4"/>
  <c r="M1304" i="4"/>
  <c r="P1303" i="4"/>
  <c r="M1303" i="4"/>
  <c r="P1302" i="4"/>
  <c r="M1302" i="4"/>
  <c r="P1301" i="4"/>
  <c r="N1301" i="4"/>
  <c r="M1301" i="4"/>
  <c r="P1300" i="4"/>
  <c r="N1300" i="4"/>
  <c r="M1300" i="4"/>
  <c r="P1299" i="4"/>
  <c r="N1299" i="4"/>
  <c r="M1299" i="4"/>
  <c r="P1298" i="4"/>
  <c r="N1298" i="4"/>
  <c r="M1298" i="4"/>
  <c r="P1297" i="4"/>
  <c r="N1297" i="4"/>
  <c r="M1297" i="4"/>
  <c r="P1296" i="4"/>
  <c r="N1296" i="4"/>
  <c r="M1296" i="4"/>
  <c r="P1295" i="4"/>
  <c r="N1295" i="4"/>
  <c r="M1295" i="4"/>
  <c r="P1294" i="4"/>
  <c r="N1294" i="4"/>
  <c r="M1294" i="4"/>
  <c r="P1293" i="4"/>
  <c r="N1293" i="4"/>
  <c r="M1293" i="4"/>
  <c r="P1292" i="4"/>
  <c r="N1292" i="4"/>
  <c r="M1292" i="4"/>
  <c r="P1291" i="4"/>
  <c r="N1291" i="4"/>
  <c r="M1291" i="4"/>
  <c r="P1290" i="4"/>
  <c r="N1290" i="4"/>
  <c r="M1290" i="4"/>
  <c r="P1289" i="4"/>
  <c r="N1289" i="4"/>
  <c r="M1289" i="4"/>
  <c r="P1288" i="4"/>
  <c r="N1288" i="4"/>
  <c r="M1288" i="4"/>
  <c r="P1287" i="4"/>
  <c r="N1287" i="4"/>
  <c r="M1287" i="4"/>
  <c r="P1286" i="4"/>
  <c r="N1286" i="4"/>
  <c r="M1286" i="4"/>
  <c r="P1285" i="4"/>
  <c r="N1285" i="4"/>
  <c r="M1285" i="4"/>
  <c r="P1284" i="4"/>
  <c r="N1284" i="4"/>
  <c r="M1284" i="4"/>
  <c r="P1283" i="4"/>
  <c r="N1283" i="4"/>
  <c r="M1283" i="4"/>
  <c r="P1282" i="4"/>
  <c r="N1282" i="4"/>
  <c r="M1282" i="4"/>
  <c r="P1281" i="4"/>
  <c r="N1281" i="4"/>
  <c r="M1281" i="4"/>
  <c r="P1280" i="4"/>
  <c r="N1280" i="4"/>
  <c r="M1280" i="4"/>
  <c r="P1279" i="4"/>
  <c r="N1279" i="4"/>
  <c r="M1279" i="4"/>
  <c r="P1278" i="4"/>
  <c r="N1278" i="4"/>
  <c r="M1278" i="4"/>
  <c r="P1277" i="4"/>
  <c r="N1277" i="4"/>
  <c r="M1277" i="4"/>
  <c r="P1276" i="4"/>
  <c r="N1276" i="4"/>
  <c r="M1276" i="4"/>
  <c r="P1275" i="4"/>
  <c r="N1275" i="4"/>
  <c r="M1275" i="4"/>
  <c r="P1274" i="4"/>
  <c r="N1274" i="4"/>
  <c r="M1274" i="4"/>
  <c r="P1273" i="4"/>
  <c r="N1273" i="4"/>
  <c r="M1273" i="4"/>
  <c r="M1272" i="4"/>
  <c r="P1272" i="4"/>
  <c r="N1272" i="4"/>
  <c r="M1271" i="4"/>
  <c r="N1271" i="4"/>
  <c r="P1271" i="4"/>
  <c r="P1270" i="4"/>
  <c r="M1270" i="4"/>
  <c r="N1270" i="4"/>
  <c r="M1269" i="4"/>
  <c r="P1269" i="4"/>
  <c r="N1269" i="4"/>
  <c r="N1268" i="4"/>
  <c r="M1268" i="4"/>
  <c r="P1268" i="4"/>
  <c r="N1267" i="4"/>
  <c r="P1267" i="4"/>
  <c r="M1267" i="4"/>
  <c r="M1266" i="4"/>
  <c r="N1266" i="4"/>
  <c r="P1266" i="4"/>
  <c r="P1265" i="4"/>
  <c r="M1265" i="4"/>
  <c r="N1265" i="4"/>
  <c r="M1264" i="4"/>
  <c r="N1264" i="4"/>
  <c r="P1264" i="4"/>
  <c r="P1263" i="4"/>
  <c r="M1263" i="4"/>
  <c r="M1262" i="4"/>
  <c r="P1262" i="4"/>
  <c r="M1261" i="4"/>
  <c r="P1261" i="4"/>
  <c r="M1260" i="4"/>
  <c r="P1260" i="4"/>
  <c r="M1259" i="4"/>
  <c r="P1259" i="4"/>
  <c r="P1258" i="4"/>
  <c r="M1258" i="4"/>
  <c r="P1257" i="4"/>
  <c r="M1257" i="4"/>
  <c r="P1256" i="4"/>
  <c r="M1256" i="4"/>
  <c r="P1255" i="4"/>
  <c r="M1255" i="4"/>
  <c r="P1254" i="4"/>
  <c r="M1254" i="4"/>
  <c r="M1253" i="4"/>
  <c r="P1253" i="4"/>
  <c r="M1252" i="4"/>
  <c r="P1252" i="4"/>
  <c r="P1251" i="4"/>
  <c r="M1251" i="4"/>
  <c r="P1250" i="4"/>
  <c r="M1250" i="4"/>
  <c r="P1249" i="4"/>
  <c r="M1249" i="4"/>
  <c r="P1248" i="4"/>
  <c r="M1248" i="4"/>
  <c r="P1247" i="4"/>
  <c r="M1247" i="4"/>
  <c r="P1246" i="4"/>
  <c r="M1246" i="4"/>
  <c r="P1245" i="4"/>
  <c r="M1245" i="4"/>
  <c r="P1244" i="4"/>
  <c r="M1244" i="4"/>
  <c r="M1243" i="4"/>
  <c r="P1243" i="4"/>
  <c r="M1242" i="4"/>
  <c r="P1242" i="4"/>
  <c r="M1241" i="4"/>
  <c r="P1241" i="4"/>
  <c r="P1240" i="4"/>
  <c r="M1240" i="4"/>
  <c r="M1239" i="4"/>
  <c r="P1239" i="4"/>
  <c r="M1238" i="4"/>
  <c r="P1238" i="4"/>
  <c r="P1237" i="4"/>
  <c r="M1237" i="4"/>
  <c r="M1236" i="4"/>
  <c r="P1236" i="4"/>
  <c r="M1235" i="4"/>
  <c r="P1235" i="4"/>
  <c r="P1234" i="4"/>
  <c r="M1234" i="4"/>
  <c r="P1233" i="4"/>
  <c r="M1233" i="4"/>
  <c r="M1232" i="4"/>
  <c r="P1232" i="4"/>
  <c r="M1231" i="4"/>
  <c r="P1231" i="4"/>
  <c r="P1230" i="4"/>
  <c r="M1230" i="4"/>
  <c r="P1229" i="4"/>
  <c r="M1229" i="4"/>
  <c r="M1228" i="4"/>
  <c r="P1228" i="4"/>
  <c r="P1227" i="4"/>
  <c r="M1227" i="4"/>
  <c r="M1226" i="4"/>
  <c r="P1226" i="4"/>
  <c r="P1225" i="4"/>
  <c r="M1225" i="4"/>
  <c r="M1224" i="4"/>
  <c r="P1224" i="4"/>
  <c r="M1223" i="4"/>
  <c r="P1223" i="4"/>
  <c r="M1222" i="4"/>
  <c r="P1222" i="4"/>
  <c r="M1221" i="4"/>
  <c r="P1221" i="4"/>
  <c r="M1220" i="4"/>
  <c r="P1220" i="4"/>
  <c r="M1219" i="4"/>
  <c r="P1219" i="4"/>
  <c r="P1218" i="4"/>
  <c r="M1218" i="4"/>
  <c r="M1217" i="4"/>
  <c r="P1217" i="4"/>
  <c r="M1216" i="4"/>
  <c r="P1216" i="4"/>
  <c r="P1215" i="4"/>
  <c r="M1215" i="4"/>
  <c r="M1214" i="4"/>
  <c r="P1214" i="4"/>
  <c r="M1213" i="4"/>
  <c r="P1213" i="4"/>
  <c r="P1212" i="4"/>
  <c r="M1212" i="4"/>
  <c r="P1211" i="4"/>
  <c r="M1211" i="4"/>
  <c r="P1210" i="4"/>
  <c r="M1210" i="4"/>
  <c r="P1209" i="4"/>
  <c r="M1209" i="4"/>
  <c r="P1208" i="4"/>
  <c r="M1208" i="4"/>
  <c r="P1207" i="4"/>
  <c r="M1207" i="4"/>
  <c r="M1206" i="4"/>
  <c r="P1206" i="4"/>
  <c r="P1205" i="4"/>
  <c r="M1205" i="4"/>
  <c r="P1204" i="4"/>
  <c r="M1204" i="4"/>
  <c r="P1203" i="4"/>
  <c r="M1203" i="4"/>
  <c r="M1202" i="4"/>
  <c r="P1202" i="4"/>
  <c r="P1201" i="4"/>
  <c r="M1201" i="4"/>
  <c r="M1200" i="4"/>
  <c r="P1200" i="4"/>
  <c r="M1199" i="4"/>
  <c r="P1199" i="4"/>
  <c r="P1198" i="4"/>
  <c r="M1198" i="4"/>
  <c r="P1197" i="4"/>
  <c r="M1197" i="4"/>
  <c r="M1196" i="4"/>
  <c r="P1196" i="4"/>
  <c r="P1195" i="4"/>
  <c r="M1195" i="4"/>
  <c r="M1194" i="4"/>
  <c r="P1194" i="4"/>
  <c r="P1193" i="4"/>
  <c r="M1193" i="4"/>
  <c r="M1192" i="4"/>
  <c r="P1192" i="4"/>
  <c r="M1191" i="4"/>
  <c r="P1191" i="4"/>
  <c r="M1190" i="4"/>
  <c r="P1190" i="4"/>
  <c r="P1189" i="4"/>
  <c r="M1189" i="4"/>
  <c r="P1188" i="4"/>
  <c r="M1188" i="4"/>
  <c r="M1187" i="4"/>
  <c r="P1187" i="4"/>
  <c r="P1186" i="4"/>
  <c r="M1186" i="4"/>
  <c r="M1185" i="4"/>
  <c r="P1185" i="4"/>
  <c r="M1184" i="4"/>
  <c r="P1184" i="4"/>
  <c r="P1183" i="4"/>
  <c r="M1183" i="4"/>
  <c r="P1182" i="4"/>
  <c r="M1182" i="4"/>
  <c r="M1181" i="4"/>
  <c r="P1181" i="4"/>
  <c r="P1180" i="4"/>
  <c r="M1180" i="4"/>
  <c r="M1179" i="4"/>
  <c r="P1179" i="4"/>
  <c r="P1178" i="4"/>
  <c r="M1178" i="4"/>
  <c r="M1177" i="4"/>
  <c r="P1177" i="4"/>
  <c r="P1176" i="4"/>
  <c r="M1176" i="4"/>
  <c r="P1175" i="4"/>
  <c r="M1175" i="4"/>
  <c r="M1174" i="4"/>
  <c r="P1174" i="4"/>
  <c r="P1173" i="4"/>
  <c r="M1173" i="4"/>
  <c r="M1172" i="4"/>
  <c r="P1172" i="4"/>
  <c r="P1171" i="4"/>
  <c r="M1171" i="4"/>
  <c r="M1170" i="4"/>
  <c r="P1170" i="4"/>
  <c r="P1169" i="4"/>
  <c r="M1169" i="4"/>
  <c r="P1168" i="4"/>
  <c r="M1168" i="4"/>
  <c r="M1167" i="4"/>
  <c r="P1167" i="4"/>
  <c r="P1166" i="4"/>
  <c r="M1166" i="4"/>
  <c r="M1165" i="4"/>
  <c r="P1165" i="4"/>
  <c r="P1164" i="4"/>
  <c r="M1164" i="4"/>
  <c r="P1163" i="4"/>
  <c r="M1163" i="4"/>
  <c r="M1162" i="4"/>
  <c r="P1162" i="4"/>
  <c r="M1161" i="4"/>
  <c r="P1161" i="4"/>
  <c r="M1160" i="4"/>
  <c r="P1160" i="4"/>
  <c r="P1159" i="4"/>
  <c r="M1159" i="4"/>
  <c r="M1158" i="4"/>
  <c r="P1158" i="4"/>
  <c r="M1157" i="4"/>
  <c r="P1157" i="4"/>
  <c r="P1156" i="4"/>
  <c r="M1156" i="4"/>
  <c r="P1155" i="4"/>
  <c r="M1155" i="4"/>
  <c r="M1154" i="4"/>
  <c r="P1154" i="4"/>
  <c r="M1153" i="4"/>
  <c r="P1153" i="4"/>
  <c r="M1152" i="4"/>
  <c r="P1152" i="4"/>
  <c r="P1151" i="4"/>
  <c r="M1151" i="4"/>
  <c r="P1150" i="4"/>
  <c r="M1150" i="4"/>
  <c r="M1149" i="4"/>
  <c r="P1149" i="4"/>
  <c r="M1148" i="4"/>
  <c r="P1148" i="4"/>
  <c r="P1147" i="4"/>
  <c r="M1147" i="4"/>
  <c r="M1146" i="4"/>
  <c r="P1146" i="4"/>
  <c r="P1145" i="4"/>
  <c r="M1145" i="4"/>
  <c r="P1144" i="4"/>
  <c r="M1144" i="4"/>
  <c r="P1143" i="4"/>
  <c r="M1143" i="4"/>
  <c r="M1142" i="4"/>
  <c r="P1142" i="4"/>
  <c r="M1141" i="4"/>
  <c r="P1141" i="4"/>
  <c r="P1140" i="4"/>
  <c r="M1140" i="4"/>
  <c r="P1139" i="4"/>
  <c r="N1139" i="4"/>
  <c r="M1139" i="4"/>
  <c r="P1138" i="4"/>
  <c r="N1138" i="4"/>
  <c r="M1138" i="4"/>
  <c r="M1137" i="4"/>
  <c r="P1137" i="4"/>
  <c r="N1137" i="4"/>
  <c r="P1136" i="4"/>
  <c r="N1136" i="4"/>
  <c r="M1136" i="4"/>
  <c r="P1135" i="4"/>
  <c r="N1135" i="4"/>
  <c r="M1135" i="4"/>
  <c r="P1134" i="4"/>
  <c r="N1134" i="4"/>
  <c r="M1134" i="4"/>
  <c r="P1133" i="4"/>
  <c r="N1133" i="4"/>
  <c r="M1133" i="4"/>
  <c r="M1132" i="4"/>
  <c r="P1132" i="4"/>
  <c r="N1132" i="4"/>
  <c r="P1131" i="4"/>
  <c r="M1131" i="4"/>
  <c r="N1131" i="4"/>
  <c r="M1130" i="4"/>
  <c r="P1130" i="4"/>
  <c r="N1130" i="4"/>
  <c r="N1129" i="4"/>
  <c r="M1129" i="4"/>
  <c r="P1129" i="4"/>
  <c r="M1128" i="4"/>
  <c r="P1128" i="4"/>
  <c r="N1128" i="4"/>
  <c r="M1127" i="4"/>
  <c r="P1127" i="4"/>
  <c r="N1127" i="4"/>
  <c r="P1126" i="4"/>
  <c r="N1126" i="4"/>
  <c r="M1126" i="4"/>
  <c r="N1125" i="4"/>
  <c r="M1125" i="4"/>
  <c r="P1125" i="4"/>
  <c r="P1124" i="4"/>
  <c r="N1124" i="4"/>
  <c r="M1124" i="4"/>
  <c r="P1123" i="4"/>
  <c r="M1123" i="4"/>
  <c r="N1123" i="4"/>
  <c r="N1122" i="4"/>
  <c r="M1122" i="4"/>
  <c r="P1122" i="4"/>
  <c r="N1121" i="4"/>
  <c r="P1121" i="4"/>
  <c r="M1121" i="4"/>
  <c r="P1120" i="4"/>
  <c r="N1120" i="4"/>
  <c r="M1120" i="4"/>
  <c r="P1119" i="4"/>
  <c r="M1119" i="4"/>
  <c r="N1119" i="4"/>
  <c r="P1118" i="4"/>
  <c r="M1118" i="4"/>
  <c r="N1118" i="4"/>
  <c r="N1117" i="4"/>
  <c r="P1117" i="4"/>
  <c r="M1117" i="4"/>
  <c r="M1116" i="4"/>
  <c r="N1116" i="4"/>
  <c r="P1116" i="4"/>
  <c r="N1115" i="4"/>
  <c r="P1115" i="4"/>
  <c r="M1115" i="4"/>
  <c r="M1114" i="4"/>
  <c r="N1114" i="4"/>
  <c r="P1114" i="4"/>
  <c r="P1113" i="4"/>
  <c r="N1113" i="4"/>
  <c r="M1113" i="4"/>
  <c r="N1112" i="4"/>
  <c r="M1112" i="4"/>
  <c r="P1112" i="4"/>
  <c r="P1111" i="4"/>
  <c r="M1111" i="4"/>
  <c r="N1111" i="4"/>
  <c r="P1110" i="4"/>
  <c r="N1110" i="4"/>
  <c r="M1110" i="4"/>
  <c r="P1109" i="4"/>
  <c r="N1109" i="4"/>
  <c r="M1109" i="4"/>
  <c r="P1108" i="4"/>
  <c r="N1108" i="4"/>
  <c r="M1108" i="4"/>
  <c r="P1107" i="4"/>
  <c r="M1107" i="4"/>
  <c r="N1107" i="4"/>
  <c r="P1106" i="4"/>
  <c r="N1106" i="4"/>
  <c r="M1106" i="4"/>
  <c r="M1105" i="4"/>
  <c r="N1105" i="4"/>
  <c r="P1105" i="4"/>
  <c r="N1104" i="4"/>
  <c r="P1104" i="4"/>
  <c r="M1104" i="4"/>
  <c r="M1103" i="4"/>
  <c r="N1103" i="4"/>
  <c r="P1103" i="4"/>
  <c r="P1102" i="4"/>
  <c r="M1102" i="4"/>
  <c r="N1102" i="4"/>
  <c r="N1101" i="4"/>
  <c r="M1101" i="4"/>
  <c r="P1101" i="4"/>
  <c r="P1100" i="4"/>
  <c r="N1100" i="4"/>
  <c r="M1100" i="4"/>
  <c r="N1099" i="4"/>
  <c r="M1099" i="4"/>
  <c r="P1099" i="4"/>
  <c r="P1098" i="4"/>
  <c r="M1098" i="4"/>
  <c r="N1098" i="4"/>
  <c r="M1097" i="4"/>
  <c r="P1097" i="4"/>
  <c r="N1097" i="4"/>
  <c r="P1096" i="4"/>
  <c r="M1096" i="4"/>
  <c r="N1096" i="4"/>
  <c r="P1095" i="4"/>
  <c r="N1095" i="4"/>
  <c r="M1095" i="4"/>
  <c r="N1094" i="4"/>
  <c r="M1094" i="4"/>
  <c r="P1094" i="4"/>
  <c r="N1093" i="4"/>
  <c r="M1093" i="4"/>
  <c r="P1093" i="4"/>
  <c r="M1092" i="4"/>
  <c r="N1092" i="4"/>
  <c r="P1092" i="4"/>
  <c r="P1091" i="4"/>
  <c r="M1091" i="4"/>
  <c r="N1091" i="4"/>
  <c r="P1090" i="4"/>
  <c r="N1090" i="4"/>
  <c r="M1090" i="4"/>
  <c r="M1089" i="4"/>
  <c r="N1089" i="4"/>
  <c r="P1089" i="4"/>
  <c r="M1088" i="4"/>
  <c r="P1088" i="4"/>
  <c r="N1088" i="4"/>
  <c r="M1087" i="4"/>
  <c r="N1087" i="4"/>
  <c r="P1087" i="4"/>
  <c r="P1086" i="4"/>
  <c r="M1086" i="4"/>
  <c r="N1086" i="4"/>
  <c r="N1085" i="4"/>
  <c r="M1085" i="4"/>
  <c r="P1085" i="4"/>
  <c r="N1084" i="4"/>
  <c r="P1084" i="4"/>
  <c r="M1084" i="4"/>
  <c r="M1083" i="4"/>
  <c r="N1083" i="4"/>
  <c r="P1083" i="4"/>
  <c r="M1082" i="4"/>
  <c r="N1082" i="4"/>
  <c r="P1082" i="4"/>
  <c r="M1081" i="4"/>
  <c r="N1081" i="4"/>
  <c r="P1081" i="4"/>
  <c r="M1080" i="4"/>
  <c r="N1080" i="4"/>
  <c r="P1080" i="4"/>
  <c r="M1079" i="4"/>
  <c r="N1079" i="4"/>
  <c r="P1079" i="4"/>
  <c r="P1078" i="4"/>
  <c r="M1078" i="4"/>
  <c r="N1078" i="4"/>
  <c r="M1077" i="4"/>
  <c r="N1077" i="4"/>
  <c r="P1077" i="4"/>
  <c r="N1076" i="4"/>
  <c r="M1076" i="4"/>
  <c r="P1076" i="4"/>
  <c r="N1075" i="4"/>
  <c r="P1075" i="4"/>
  <c r="M1075" i="4"/>
  <c r="P1074" i="4"/>
  <c r="M1074" i="4"/>
  <c r="N1074" i="4"/>
  <c r="N1073" i="4"/>
  <c r="M1073" i="4"/>
  <c r="P1073" i="4"/>
  <c r="M1072" i="4"/>
  <c r="N1072" i="4"/>
  <c r="P1072" i="4"/>
  <c r="M1071" i="4"/>
  <c r="N1071" i="4"/>
  <c r="P1071" i="4"/>
  <c r="M1070" i="4"/>
  <c r="P1070" i="4"/>
  <c r="P1069" i="4"/>
  <c r="M1069" i="4"/>
  <c r="P1068" i="4"/>
  <c r="M1068" i="4"/>
  <c r="M1067" i="4"/>
  <c r="P1067" i="4"/>
  <c r="P1066" i="4"/>
  <c r="M1066" i="4"/>
  <c r="P1065" i="4"/>
  <c r="M1065" i="4"/>
  <c r="P1064" i="4"/>
  <c r="M1064" i="4"/>
  <c r="M1063" i="4"/>
  <c r="P1063" i="4"/>
  <c r="P1062" i="4"/>
  <c r="M1062" i="4"/>
  <c r="P1061" i="4"/>
  <c r="M1061" i="4"/>
  <c r="M1060" i="4"/>
  <c r="P1060" i="4"/>
  <c r="P1059" i="4"/>
  <c r="M1059" i="4"/>
  <c r="M1058" i="4"/>
  <c r="P1058" i="4"/>
  <c r="P1057" i="4"/>
  <c r="M1057" i="4"/>
  <c r="M1056" i="4"/>
  <c r="P1056" i="4"/>
  <c r="P1055" i="4"/>
  <c r="M1055" i="4"/>
  <c r="M1054" i="4"/>
  <c r="P1054" i="4"/>
  <c r="P1053" i="4"/>
  <c r="M1053" i="4"/>
  <c r="M1052" i="4"/>
  <c r="P1052" i="4"/>
  <c r="M1051" i="4"/>
  <c r="P1051" i="4"/>
  <c r="P1050" i="4"/>
  <c r="M1050" i="4"/>
  <c r="M1049" i="4"/>
  <c r="P1049" i="4"/>
  <c r="M1048" i="4"/>
  <c r="P1048" i="4"/>
  <c r="M1047" i="4"/>
  <c r="P1047" i="4"/>
  <c r="P1046" i="4"/>
  <c r="M1046" i="4"/>
  <c r="M1045" i="4"/>
  <c r="P1045" i="4"/>
  <c r="M1044" i="4"/>
  <c r="P1044" i="4"/>
  <c r="M1043" i="4"/>
  <c r="P1043" i="4"/>
  <c r="M1042" i="4"/>
  <c r="P1042" i="4"/>
  <c r="M1041" i="4"/>
  <c r="P1041" i="4"/>
  <c r="M1040" i="4"/>
  <c r="P1040" i="4"/>
  <c r="P1039" i="4"/>
  <c r="M1039" i="4"/>
  <c r="M1038" i="4"/>
  <c r="P1038" i="4"/>
  <c r="P1037" i="4"/>
  <c r="M1037" i="4"/>
  <c r="P1036" i="4"/>
  <c r="M1036" i="4"/>
  <c r="M1035" i="4"/>
  <c r="P1035" i="4"/>
  <c r="P1034" i="4"/>
  <c r="M1034" i="4"/>
  <c r="M1033" i="4"/>
  <c r="P1033" i="4"/>
  <c r="M1032" i="4"/>
  <c r="P1032" i="4"/>
  <c r="M1031" i="4"/>
  <c r="P1031" i="4"/>
  <c r="P1030" i="4"/>
  <c r="M1030" i="4"/>
  <c r="M1029" i="4"/>
  <c r="P1029" i="4"/>
  <c r="M1028" i="4"/>
  <c r="P1028" i="4"/>
  <c r="M1027" i="4"/>
  <c r="P1027" i="4"/>
  <c r="P1026" i="4"/>
  <c r="M1026" i="4"/>
  <c r="P1025" i="4"/>
  <c r="M1025" i="4"/>
  <c r="P1024" i="4"/>
  <c r="M1024" i="4"/>
  <c r="M1023" i="4"/>
  <c r="P1023" i="4"/>
  <c r="P1022" i="4"/>
  <c r="M1022" i="4"/>
  <c r="P1021" i="4"/>
  <c r="M1021" i="4"/>
  <c r="P1020" i="4"/>
  <c r="M1020" i="4"/>
  <c r="M1019" i="4"/>
  <c r="P1019" i="4"/>
  <c r="P1018" i="4"/>
  <c r="M1018" i="4"/>
  <c r="M1017" i="4"/>
  <c r="P1017" i="4"/>
  <c r="M1016" i="4"/>
  <c r="P1016" i="4"/>
  <c r="M1015" i="4"/>
  <c r="P1015" i="4"/>
  <c r="M1014" i="4"/>
  <c r="P1014" i="4"/>
  <c r="P1013" i="4"/>
  <c r="M1013" i="4"/>
  <c r="M1012" i="4"/>
  <c r="P1012" i="4"/>
  <c r="M1011" i="4"/>
  <c r="P1011" i="4"/>
  <c r="P1010" i="4"/>
  <c r="M1010" i="4"/>
  <c r="M1009" i="4"/>
  <c r="P1009" i="4"/>
  <c r="M1008" i="4"/>
  <c r="P1008" i="4"/>
  <c r="M1007" i="4"/>
  <c r="P1007" i="4"/>
  <c r="P1006" i="4"/>
  <c r="M1006" i="4"/>
  <c r="M1005" i="4"/>
  <c r="P1005" i="4"/>
  <c r="M1004" i="4"/>
  <c r="P1004" i="4"/>
  <c r="P1003" i="4"/>
  <c r="M1003" i="4"/>
  <c r="M1002" i="4"/>
  <c r="P1002" i="4"/>
  <c r="M1001" i="4"/>
  <c r="P1001" i="4"/>
  <c r="M1000" i="4"/>
  <c r="P1000" i="4"/>
  <c r="P999" i="4"/>
  <c r="M999" i="4"/>
  <c r="M998" i="4"/>
  <c r="P998" i="4"/>
  <c r="M997" i="4"/>
  <c r="P997" i="4"/>
  <c r="P996" i="4"/>
  <c r="M996" i="4"/>
  <c r="M995" i="4"/>
  <c r="P995" i="4"/>
  <c r="P994" i="4"/>
  <c r="M994" i="4"/>
  <c r="M993" i="4"/>
  <c r="P993" i="4"/>
  <c r="M992" i="4"/>
  <c r="P992" i="4"/>
  <c r="P991" i="4"/>
  <c r="M991" i="4"/>
  <c r="P990" i="4"/>
  <c r="M990" i="4"/>
  <c r="M989" i="4"/>
  <c r="P989" i="4"/>
  <c r="M988" i="4"/>
  <c r="P988" i="4"/>
  <c r="M987" i="4"/>
  <c r="P987" i="4"/>
  <c r="M986" i="4"/>
  <c r="P986" i="4"/>
  <c r="P985" i="4"/>
  <c r="M985" i="4"/>
  <c r="P984" i="4"/>
  <c r="M984" i="4"/>
  <c r="M983" i="4"/>
  <c r="P983" i="4"/>
  <c r="P982" i="4"/>
  <c r="M982" i="4"/>
  <c r="P981" i="4"/>
  <c r="M981" i="4"/>
  <c r="P980" i="4"/>
  <c r="M980" i="4"/>
  <c r="P979" i="4"/>
  <c r="M979" i="4"/>
  <c r="M978" i="4"/>
  <c r="P978" i="4"/>
  <c r="P977" i="4"/>
  <c r="M977" i="4"/>
  <c r="M976" i="4"/>
  <c r="N976" i="4"/>
  <c r="P976" i="4"/>
  <c r="M975" i="4"/>
  <c r="P975" i="4"/>
  <c r="N975" i="4"/>
  <c r="P974" i="4"/>
  <c r="N974" i="4"/>
  <c r="M974" i="4"/>
  <c r="M973" i="4"/>
  <c r="N973" i="4"/>
  <c r="P973" i="4"/>
  <c r="M972" i="4"/>
  <c r="N972" i="4"/>
  <c r="P972" i="4"/>
  <c r="M971" i="4"/>
  <c r="P971" i="4"/>
  <c r="N971" i="4"/>
  <c r="P970" i="4"/>
  <c r="N970" i="4"/>
  <c r="M970" i="4"/>
  <c r="M969" i="4"/>
  <c r="N969" i="4"/>
  <c r="P969" i="4"/>
  <c r="M968" i="4"/>
  <c r="P968" i="4"/>
  <c r="N968" i="4"/>
  <c r="P967" i="4"/>
  <c r="N967" i="4"/>
  <c r="M967" i="4"/>
  <c r="M966" i="4"/>
  <c r="N966" i="4"/>
  <c r="P966" i="4"/>
  <c r="P965" i="4"/>
  <c r="N965" i="4"/>
  <c r="M965" i="4"/>
  <c r="M964" i="4"/>
  <c r="N964" i="4"/>
  <c r="P964" i="4"/>
  <c r="M963" i="4"/>
  <c r="N963" i="4"/>
  <c r="P963" i="4"/>
  <c r="M962" i="4"/>
  <c r="N962" i="4"/>
  <c r="P962" i="4"/>
  <c r="N961" i="4"/>
  <c r="P961" i="4"/>
  <c r="M961" i="4"/>
  <c r="P960" i="4"/>
  <c r="M960" i="4"/>
  <c r="N960" i="4"/>
  <c r="N959" i="4"/>
  <c r="M959" i="4"/>
  <c r="P959" i="4"/>
  <c r="P958" i="4"/>
  <c r="M958" i="4"/>
  <c r="N958" i="4"/>
  <c r="P957" i="4"/>
  <c r="N957" i="4"/>
  <c r="M957" i="4"/>
  <c r="P956" i="4"/>
  <c r="N956" i="4"/>
  <c r="M956" i="4"/>
  <c r="P955" i="4"/>
  <c r="N955" i="4"/>
  <c r="M955" i="4"/>
  <c r="P954" i="4"/>
  <c r="N954" i="4"/>
  <c r="M954" i="4"/>
  <c r="P953" i="4"/>
  <c r="N953" i="4"/>
  <c r="M953" i="4"/>
  <c r="P952" i="4"/>
  <c r="N952" i="4"/>
  <c r="M952" i="4"/>
  <c r="P951" i="4"/>
  <c r="N951" i="4"/>
  <c r="M951" i="4"/>
  <c r="P950" i="4"/>
  <c r="N950" i="4"/>
  <c r="M950" i="4"/>
  <c r="P949" i="4"/>
  <c r="N949" i="4"/>
  <c r="M949" i="4"/>
  <c r="P948" i="4"/>
  <c r="N948" i="4"/>
  <c r="M948" i="4"/>
  <c r="P947" i="4"/>
  <c r="N947" i="4"/>
  <c r="M947" i="4"/>
  <c r="N946" i="4"/>
  <c r="M946" i="4"/>
  <c r="P946" i="4"/>
  <c r="P945" i="4"/>
  <c r="N945" i="4"/>
  <c r="M945" i="4"/>
  <c r="P944" i="4"/>
  <c r="N944" i="4"/>
  <c r="M944" i="4"/>
  <c r="P943" i="4"/>
  <c r="N943" i="4"/>
  <c r="M943" i="4"/>
  <c r="N942" i="4"/>
  <c r="M942" i="4"/>
  <c r="P942" i="4"/>
  <c r="M941" i="4"/>
  <c r="N941" i="4"/>
  <c r="P941" i="4"/>
  <c r="P940" i="4"/>
  <c r="N940" i="4"/>
  <c r="M940" i="4"/>
  <c r="P939" i="4"/>
  <c r="N939" i="4"/>
  <c r="M939" i="4"/>
  <c r="P938" i="4"/>
  <c r="N938" i="4"/>
  <c r="M938" i="4"/>
  <c r="N937" i="4"/>
  <c r="P937" i="4"/>
  <c r="M937" i="4"/>
  <c r="P936" i="4"/>
  <c r="N936" i="4"/>
  <c r="M936" i="4"/>
  <c r="P935" i="4"/>
  <c r="N935" i="4"/>
  <c r="M935" i="4"/>
  <c r="P934" i="4"/>
  <c r="N934" i="4"/>
  <c r="M934" i="4"/>
  <c r="N933" i="4"/>
  <c r="M933" i="4"/>
  <c r="P933" i="4"/>
  <c r="P932" i="4"/>
  <c r="N932" i="4"/>
  <c r="M932" i="4"/>
  <c r="P931" i="4"/>
  <c r="M931" i="4"/>
  <c r="N931" i="4"/>
  <c r="P930" i="4"/>
  <c r="N930" i="4"/>
  <c r="M930" i="4"/>
  <c r="P929" i="4"/>
  <c r="M929" i="4"/>
  <c r="N929" i="4"/>
  <c r="P928" i="4"/>
  <c r="N928" i="4"/>
  <c r="M928" i="4"/>
  <c r="M927" i="4"/>
  <c r="N927" i="4"/>
  <c r="P927" i="4"/>
  <c r="P926" i="4"/>
  <c r="M926" i="4"/>
  <c r="N926" i="4"/>
  <c r="M925" i="4"/>
  <c r="N925" i="4"/>
  <c r="P925" i="4"/>
  <c r="M924" i="4"/>
  <c r="N924" i="4"/>
  <c r="P924" i="4"/>
  <c r="M923" i="4"/>
  <c r="N923" i="4"/>
  <c r="P923" i="4"/>
  <c r="N922" i="4"/>
  <c r="M922" i="4"/>
  <c r="P922" i="4"/>
  <c r="N921" i="4"/>
  <c r="P921" i="4"/>
  <c r="M921" i="4"/>
  <c r="M920" i="4"/>
  <c r="P920" i="4"/>
  <c r="N920" i="4"/>
  <c r="P919" i="4"/>
  <c r="N919" i="4"/>
  <c r="M919" i="4"/>
  <c r="M918" i="4"/>
  <c r="N918" i="4"/>
  <c r="P918" i="4"/>
  <c r="P917" i="4"/>
  <c r="N917" i="4"/>
  <c r="M917" i="4"/>
  <c r="P916" i="4"/>
  <c r="N916" i="4"/>
  <c r="M916" i="4"/>
  <c r="P915" i="4"/>
  <c r="N915" i="4"/>
  <c r="M915" i="4"/>
  <c r="M914" i="4"/>
  <c r="N914" i="4"/>
  <c r="P914" i="4"/>
  <c r="N913" i="4"/>
  <c r="M913" i="4"/>
  <c r="P913" i="4"/>
  <c r="M911" i="4"/>
  <c r="P911" i="4"/>
  <c r="M910" i="4"/>
  <c r="P910" i="4"/>
  <c r="P909" i="4"/>
  <c r="M909" i="4"/>
  <c r="P908" i="4"/>
  <c r="M908" i="4"/>
  <c r="M907" i="4"/>
  <c r="P907" i="4"/>
  <c r="P906" i="4"/>
  <c r="M906" i="4"/>
  <c r="P905" i="4"/>
  <c r="M905" i="4"/>
  <c r="P904" i="4"/>
  <c r="M904" i="4"/>
  <c r="P903" i="4"/>
  <c r="M903" i="4"/>
  <c r="P902" i="4"/>
  <c r="M902" i="4"/>
  <c r="P901" i="4"/>
  <c r="M901" i="4"/>
  <c r="P900" i="4"/>
  <c r="M900" i="4"/>
  <c r="M899" i="4"/>
  <c r="P899" i="4"/>
  <c r="P898" i="4"/>
  <c r="M898" i="4"/>
  <c r="M897" i="4"/>
  <c r="P897" i="4"/>
  <c r="P896" i="4"/>
  <c r="M896" i="4"/>
  <c r="M895" i="4"/>
  <c r="P895" i="4"/>
  <c r="M894" i="4"/>
  <c r="P894" i="4"/>
  <c r="M893" i="4"/>
  <c r="P893" i="4"/>
  <c r="M892" i="4"/>
  <c r="P892" i="4"/>
  <c r="P891" i="4"/>
  <c r="M891" i="4"/>
  <c r="P890" i="4"/>
  <c r="M890" i="4"/>
  <c r="M889" i="4"/>
  <c r="P889" i="4"/>
  <c r="M888" i="4"/>
  <c r="P888" i="4"/>
  <c r="M887" i="4"/>
  <c r="P887" i="4"/>
  <c r="P886" i="4"/>
  <c r="M886" i="4"/>
  <c r="M885" i="4"/>
  <c r="P885" i="4"/>
  <c r="M884" i="4"/>
  <c r="P884" i="4"/>
  <c r="M883" i="4"/>
  <c r="P883" i="4"/>
  <c r="M882" i="4"/>
  <c r="P882" i="4"/>
  <c r="P881" i="4"/>
  <c r="M881" i="4"/>
  <c r="M880" i="4"/>
  <c r="P880" i="4"/>
  <c r="M879" i="4"/>
  <c r="P879" i="4"/>
  <c r="P878" i="4"/>
  <c r="M878" i="4"/>
  <c r="M877" i="4"/>
  <c r="P877" i="4"/>
  <c r="P876" i="4"/>
  <c r="M876" i="4"/>
  <c r="M875" i="4"/>
  <c r="P875" i="4"/>
  <c r="M874" i="4"/>
  <c r="P874" i="4"/>
  <c r="M873" i="4"/>
  <c r="P873" i="4"/>
  <c r="P872" i="4"/>
  <c r="M872" i="4"/>
  <c r="M871" i="4"/>
  <c r="P871" i="4"/>
  <c r="P870" i="4"/>
  <c r="M870" i="4"/>
  <c r="P869" i="4"/>
  <c r="M869" i="4"/>
  <c r="P868" i="4"/>
  <c r="M868" i="4"/>
  <c r="M867" i="4"/>
  <c r="P867" i="4"/>
  <c r="P866" i="4"/>
  <c r="M866" i="4"/>
  <c r="P865" i="4"/>
  <c r="M865" i="4"/>
  <c r="P864" i="4"/>
  <c r="M864" i="4"/>
  <c r="M863" i="4"/>
  <c r="P863" i="4"/>
  <c r="M862" i="4"/>
  <c r="P862" i="4"/>
  <c r="M861" i="4"/>
  <c r="P861" i="4"/>
  <c r="M860" i="4"/>
  <c r="P860" i="4"/>
  <c r="P859" i="4"/>
  <c r="M859" i="4"/>
  <c r="P858" i="4"/>
  <c r="M858" i="4"/>
  <c r="M857" i="4"/>
  <c r="P857" i="4"/>
  <c r="M856" i="4"/>
  <c r="P856" i="4"/>
  <c r="M855" i="4"/>
  <c r="P855" i="4"/>
  <c r="M854" i="4"/>
  <c r="P854" i="4"/>
  <c r="P853" i="4"/>
  <c r="M853" i="4"/>
  <c r="P852" i="4"/>
  <c r="M852" i="4"/>
  <c r="P851" i="4"/>
  <c r="M851" i="4"/>
  <c r="P850" i="4"/>
  <c r="M850" i="4"/>
  <c r="P849" i="4"/>
  <c r="M849" i="4"/>
  <c r="P848" i="4"/>
  <c r="M848" i="4"/>
  <c r="P847" i="4"/>
  <c r="M847" i="4"/>
  <c r="P846" i="4"/>
  <c r="M846" i="4"/>
  <c r="P845" i="4"/>
  <c r="M845" i="4"/>
  <c r="P844" i="4"/>
  <c r="M844" i="4"/>
  <c r="P843" i="4"/>
  <c r="M843" i="4"/>
  <c r="P842" i="4"/>
  <c r="M842" i="4"/>
  <c r="P841" i="4"/>
  <c r="M841" i="4"/>
  <c r="P840" i="4"/>
  <c r="M840" i="4"/>
  <c r="M839" i="4"/>
  <c r="P839" i="4"/>
  <c r="P838" i="4"/>
  <c r="M838" i="4"/>
  <c r="M837" i="4"/>
  <c r="P837" i="4"/>
  <c r="P836" i="4"/>
  <c r="M836" i="4"/>
  <c r="P835" i="4"/>
  <c r="M835" i="4"/>
  <c r="P834" i="4"/>
  <c r="M834" i="4"/>
  <c r="P833" i="4"/>
  <c r="M833" i="4"/>
  <c r="P832" i="4"/>
  <c r="M832" i="4"/>
  <c r="P831" i="4"/>
  <c r="M831" i="4"/>
  <c r="P830" i="4"/>
  <c r="M830" i="4"/>
  <c r="P829" i="4"/>
  <c r="M829" i="4"/>
  <c r="P828" i="4"/>
  <c r="M828" i="4"/>
  <c r="P827" i="4"/>
  <c r="M827" i="4"/>
  <c r="P826" i="4"/>
  <c r="M826" i="4"/>
  <c r="P825" i="4"/>
  <c r="M825" i="4"/>
  <c r="P824" i="4"/>
  <c r="M824" i="4"/>
  <c r="P823" i="4"/>
  <c r="M823" i="4"/>
  <c r="P822" i="4"/>
  <c r="M822" i="4"/>
  <c r="M821" i="4"/>
  <c r="P821" i="4"/>
  <c r="P820" i="4"/>
  <c r="M820" i="4"/>
  <c r="P819" i="4"/>
  <c r="M819" i="4"/>
  <c r="P818" i="4"/>
  <c r="M818" i="4"/>
  <c r="P817" i="4"/>
  <c r="M817" i="4"/>
  <c r="P816" i="4"/>
  <c r="M816" i="4"/>
  <c r="P815" i="4"/>
  <c r="M815" i="4"/>
  <c r="P814" i="4"/>
  <c r="N814" i="4"/>
  <c r="M814" i="4"/>
  <c r="P813" i="4"/>
  <c r="N813" i="4"/>
  <c r="M813" i="4"/>
  <c r="P812" i="4"/>
  <c r="N812" i="4"/>
  <c r="M812" i="4"/>
  <c r="N811" i="4"/>
  <c r="M811" i="4"/>
  <c r="P811" i="4"/>
  <c r="P810" i="4"/>
  <c r="N810" i="4"/>
  <c r="M810" i="4"/>
  <c r="P809" i="4"/>
  <c r="N809" i="4"/>
  <c r="M809" i="4"/>
  <c r="P808" i="4"/>
  <c r="N808" i="4"/>
  <c r="M808" i="4"/>
  <c r="P807" i="4"/>
  <c r="N807" i="4"/>
  <c r="M807" i="4"/>
  <c r="P806" i="4"/>
  <c r="N806" i="4"/>
  <c r="M806" i="4"/>
  <c r="N805" i="4"/>
  <c r="M805" i="4"/>
  <c r="P805" i="4"/>
  <c r="P804" i="4"/>
  <c r="N804" i="4"/>
  <c r="M804" i="4"/>
  <c r="N803" i="4"/>
  <c r="P803" i="4"/>
  <c r="M803" i="4"/>
  <c r="N802" i="4"/>
  <c r="P802" i="4"/>
  <c r="M802" i="4"/>
  <c r="N801" i="4"/>
  <c r="M801" i="4"/>
  <c r="P801" i="4"/>
  <c r="P800" i="4"/>
  <c r="N800" i="4"/>
  <c r="M800" i="4"/>
  <c r="N799" i="4"/>
  <c r="M799" i="4"/>
  <c r="P799" i="4"/>
  <c r="M798" i="4"/>
  <c r="N798" i="4"/>
  <c r="P798" i="4"/>
  <c r="N797" i="4"/>
  <c r="M797" i="4"/>
  <c r="P797" i="4"/>
  <c r="M796" i="4"/>
  <c r="N796" i="4"/>
  <c r="P796" i="4"/>
  <c r="P795" i="4"/>
  <c r="M795" i="4"/>
  <c r="N795" i="4"/>
  <c r="P794" i="4"/>
  <c r="M794" i="4"/>
  <c r="M793" i="4"/>
  <c r="P793" i="4"/>
  <c r="M792" i="4"/>
  <c r="P792" i="4"/>
  <c r="M791" i="4"/>
  <c r="P791" i="4"/>
  <c r="M790" i="4"/>
  <c r="P790" i="4"/>
  <c r="P789" i="4"/>
  <c r="M789" i="4"/>
  <c r="M788" i="4"/>
  <c r="P788" i="4"/>
  <c r="M787" i="4"/>
  <c r="P787" i="4"/>
  <c r="P786" i="4"/>
  <c r="M786" i="4"/>
  <c r="P785" i="4"/>
  <c r="M785" i="4"/>
  <c r="P784" i="4"/>
  <c r="M784" i="4"/>
  <c r="P783" i="4"/>
  <c r="M783" i="4"/>
  <c r="P782" i="4"/>
  <c r="M782" i="4"/>
  <c r="P781" i="4"/>
  <c r="M781" i="4"/>
  <c r="M780" i="4"/>
  <c r="P780" i="4"/>
  <c r="P779" i="4"/>
  <c r="M779" i="4"/>
  <c r="M778" i="4"/>
  <c r="P778" i="4"/>
  <c r="M777" i="4"/>
  <c r="P777" i="4"/>
  <c r="P776" i="4"/>
  <c r="M776" i="4"/>
  <c r="P775" i="4"/>
  <c r="M775" i="4"/>
  <c r="P774" i="4"/>
  <c r="M774" i="4"/>
  <c r="P773" i="4"/>
  <c r="M773" i="4"/>
  <c r="M772" i="4"/>
  <c r="P772" i="4"/>
  <c r="M771" i="4"/>
  <c r="P771" i="4"/>
  <c r="M770" i="4"/>
  <c r="P770" i="4"/>
  <c r="P769" i="4"/>
  <c r="M769" i="4"/>
  <c r="P768" i="4"/>
  <c r="M768" i="4"/>
  <c r="P767" i="4"/>
  <c r="M767" i="4"/>
  <c r="P766" i="4"/>
  <c r="M766" i="4"/>
  <c r="M765" i="4"/>
  <c r="P765" i="4"/>
  <c r="P764" i="4"/>
  <c r="M764" i="4"/>
  <c r="P763" i="4"/>
  <c r="M763" i="4"/>
  <c r="M762" i="4"/>
  <c r="P762" i="4"/>
  <c r="M761" i="4"/>
  <c r="P761" i="4"/>
  <c r="P760" i="4"/>
  <c r="M760" i="4"/>
  <c r="P759" i="4"/>
  <c r="M759" i="4"/>
  <c r="M758" i="4"/>
  <c r="P758" i="4"/>
  <c r="P757" i="4"/>
  <c r="M757" i="4"/>
  <c r="P756" i="4"/>
  <c r="M756" i="4"/>
  <c r="P755" i="4"/>
  <c r="M755" i="4"/>
  <c r="P754" i="4"/>
  <c r="M754" i="4"/>
  <c r="M753" i="4"/>
  <c r="P753" i="4"/>
  <c r="M752" i="4"/>
  <c r="P752" i="4"/>
  <c r="M751" i="4"/>
  <c r="P751" i="4"/>
  <c r="M750" i="4"/>
  <c r="P750" i="4"/>
  <c r="M749" i="4"/>
  <c r="P749" i="4"/>
  <c r="P748" i="4"/>
  <c r="M748" i="4"/>
  <c r="P747" i="4"/>
  <c r="M747" i="4"/>
  <c r="M746" i="4"/>
  <c r="P746" i="4"/>
  <c r="M745" i="4"/>
  <c r="P745" i="4"/>
  <c r="M744" i="4"/>
  <c r="P744" i="4"/>
  <c r="M743" i="4"/>
  <c r="P743" i="4"/>
  <c r="M742" i="4"/>
  <c r="P742" i="4"/>
  <c r="P741" i="4"/>
  <c r="M741" i="4"/>
  <c r="M740" i="4"/>
  <c r="P740" i="4"/>
  <c r="P739" i="4"/>
  <c r="M739" i="4"/>
  <c r="P738" i="4"/>
  <c r="M738" i="4"/>
  <c r="M737" i="4"/>
  <c r="P737" i="4"/>
  <c r="M736" i="4"/>
  <c r="P736" i="4"/>
  <c r="P735" i="4"/>
  <c r="M735" i="4"/>
  <c r="P734" i="4"/>
  <c r="M734" i="4"/>
  <c r="M733" i="4"/>
  <c r="P733" i="4"/>
  <c r="P732" i="4"/>
  <c r="M732" i="4"/>
  <c r="P731" i="4"/>
  <c r="M731" i="4"/>
  <c r="M730" i="4"/>
  <c r="P730" i="4"/>
  <c r="M729" i="4"/>
  <c r="P729" i="4"/>
  <c r="P728" i="4"/>
  <c r="M728" i="4"/>
  <c r="M727" i="4"/>
  <c r="P727" i="4"/>
  <c r="P726" i="4"/>
  <c r="M726" i="4"/>
  <c r="P725" i="4"/>
  <c r="M725" i="4"/>
  <c r="P724" i="4"/>
  <c r="M724" i="4"/>
  <c r="P723" i="4"/>
  <c r="M723" i="4"/>
  <c r="P722" i="4"/>
  <c r="M722" i="4"/>
  <c r="P721" i="4"/>
  <c r="M721" i="4"/>
  <c r="P720" i="4"/>
  <c r="M720" i="4"/>
  <c r="M719" i="4"/>
  <c r="P719" i="4"/>
  <c r="P718" i="4"/>
  <c r="M718" i="4"/>
  <c r="P717" i="4"/>
  <c r="M717" i="4"/>
  <c r="M716" i="4"/>
  <c r="P716" i="4"/>
  <c r="M715" i="4"/>
  <c r="P715" i="4"/>
  <c r="M714" i="4"/>
  <c r="P714" i="4"/>
  <c r="P713" i="4"/>
  <c r="M713" i="4"/>
  <c r="M712" i="4"/>
  <c r="P712" i="4"/>
  <c r="M711" i="4"/>
  <c r="P711" i="4"/>
  <c r="M710" i="4"/>
  <c r="P710" i="4"/>
  <c r="M709" i="4"/>
  <c r="P709" i="4"/>
  <c r="M708" i="4"/>
  <c r="P708" i="4"/>
  <c r="P707" i="4"/>
  <c r="M707" i="4"/>
  <c r="P706" i="4"/>
  <c r="M706" i="4"/>
  <c r="P705" i="4"/>
  <c r="M705" i="4"/>
  <c r="P704" i="4"/>
  <c r="M704" i="4"/>
  <c r="M703" i="4"/>
  <c r="P703" i="4"/>
  <c r="M702" i="4"/>
  <c r="P702" i="4"/>
  <c r="P701" i="4"/>
  <c r="M701" i="4"/>
  <c r="P700" i="4"/>
  <c r="M700" i="4"/>
  <c r="P699" i="4"/>
  <c r="M699" i="4"/>
  <c r="P698" i="4"/>
  <c r="M698" i="4"/>
  <c r="M697" i="4"/>
  <c r="P697" i="4"/>
  <c r="M696" i="4"/>
  <c r="P696" i="4"/>
  <c r="M695" i="4"/>
  <c r="P695" i="4"/>
  <c r="P694" i="4"/>
  <c r="M694" i="4"/>
  <c r="P693" i="4"/>
  <c r="M693" i="4"/>
  <c r="P692" i="4"/>
  <c r="M692" i="4"/>
  <c r="P691" i="4"/>
  <c r="M691" i="4"/>
  <c r="M690" i="4"/>
  <c r="P690" i="4"/>
  <c r="P689" i="4"/>
  <c r="M689" i="4"/>
  <c r="P688" i="4"/>
  <c r="M688" i="4"/>
  <c r="M687" i="4"/>
  <c r="P687" i="4"/>
  <c r="P686" i="4"/>
  <c r="M686" i="4"/>
  <c r="M685" i="4"/>
  <c r="P685" i="4"/>
  <c r="P684" i="4"/>
  <c r="M684" i="4"/>
  <c r="P683" i="4"/>
  <c r="M683" i="4"/>
  <c r="M682" i="4"/>
  <c r="P682" i="4"/>
  <c r="P681" i="4"/>
  <c r="M681" i="4"/>
  <c r="M680" i="4"/>
  <c r="P680" i="4"/>
  <c r="P679" i="4"/>
  <c r="M679" i="4"/>
  <c r="P678" i="4"/>
  <c r="M678" i="4"/>
  <c r="P677" i="4"/>
  <c r="M677" i="4"/>
  <c r="P676" i="4"/>
  <c r="M676" i="4"/>
  <c r="P675" i="4"/>
  <c r="M675" i="4"/>
  <c r="P674" i="4"/>
  <c r="M674" i="4"/>
  <c r="P673" i="4"/>
  <c r="M673" i="4"/>
  <c r="M672" i="4"/>
  <c r="P672" i="4"/>
  <c r="M671" i="4"/>
  <c r="P671" i="4"/>
  <c r="M670" i="4"/>
  <c r="P670" i="4"/>
  <c r="P669" i="4"/>
  <c r="M669" i="4"/>
  <c r="P668" i="4"/>
  <c r="M668" i="4"/>
  <c r="P667" i="4"/>
  <c r="M667" i="4"/>
  <c r="M666" i="4"/>
  <c r="P666" i="4"/>
  <c r="M665" i="4"/>
  <c r="P665" i="4"/>
  <c r="P664" i="4"/>
  <c r="M664" i="4"/>
  <c r="M663" i="4"/>
  <c r="P663" i="4"/>
  <c r="P662" i="4"/>
  <c r="M662" i="4"/>
  <c r="P661" i="4"/>
  <c r="M661" i="4"/>
  <c r="M660" i="4"/>
  <c r="P660" i="4"/>
  <c r="M659" i="4"/>
  <c r="P659" i="4"/>
  <c r="P658" i="4"/>
  <c r="M658" i="4"/>
  <c r="P657" i="4"/>
  <c r="M657" i="4"/>
  <c r="M656" i="4"/>
  <c r="P656" i="4"/>
  <c r="P655" i="4"/>
  <c r="M655" i="4"/>
  <c r="P654" i="4"/>
  <c r="M654" i="4"/>
  <c r="P653" i="4"/>
  <c r="M653" i="4"/>
  <c r="M652" i="4"/>
  <c r="N652" i="4"/>
  <c r="P652" i="4"/>
  <c r="M651" i="4"/>
  <c r="N651" i="4"/>
  <c r="P651" i="4"/>
  <c r="P650" i="4"/>
  <c r="M650" i="4"/>
  <c r="N650" i="4"/>
  <c r="P649" i="4"/>
  <c r="N649" i="4"/>
  <c r="M649" i="4"/>
  <c r="P648" i="4"/>
  <c r="M648" i="4"/>
  <c r="N648" i="4"/>
  <c r="P647" i="4"/>
  <c r="N647" i="4"/>
  <c r="M647" i="4"/>
  <c r="M646" i="4"/>
  <c r="N646" i="4"/>
  <c r="P646" i="4"/>
  <c r="P645" i="4"/>
  <c r="N645" i="4"/>
  <c r="M645" i="4"/>
  <c r="N644" i="4"/>
  <c r="M644" i="4"/>
  <c r="P644" i="4"/>
  <c r="P643" i="4"/>
  <c r="N643" i="4"/>
  <c r="M643" i="4"/>
  <c r="M642" i="4"/>
  <c r="P642" i="4"/>
  <c r="N642" i="4"/>
  <c r="M641" i="4"/>
  <c r="N641" i="4"/>
  <c r="P641" i="4"/>
  <c r="N640" i="4"/>
  <c r="P640" i="4"/>
  <c r="M640" i="4"/>
  <c r="M639" i="4"/>
  <c r="P639" i="4"/>
  <c r="N639" i="4"/>
  <c r="N638" i="4"/>
  <c r="M638" i="4"/>
  <c r="P638" i="4"/>
  <c r="P637" i="4"/>
  <c r="N637" i="4"/>
  <c r="M637" i="4"/>
  <c r="P636" i="4"/>
  <c r="M636" i="4"/>
  <c r="N636" i="4"/>
  <c r="N635" i="4"/>
  <c r="P635" i="4"/>
  <c r="M635" i="4"/>
  <c r="M634" i="4"/>
  <c r="P634" i="4"/>
  <c r="N634" i="4"/>
  <c r="P633" i="4"/>
  <c r="N633" i="4"/>
  <c r="M633" i="4"/>
  <c r="P632" i="4"/>
  <c r="N632" i="4"/>
  <c r="M632" i="4"/>
  <c r="M631" i="4"/>
  <c r="P631" i="4"/>
  <c r="N631" i="4"/>
  <c r="P630" i="4"/>
  <c r="M630" i="4"/>
  <c r="N630" i="4"/>
  <c r="N629" i="4"/>
  <c r="P629" i="4"/>
  <c r="M629" i="4"/>
  <c r="P628" i="4"/>
  <c r="N628" i="4"/>
  <c r="M628" i="4"/>
  <c r="P627" i="4"/>
  <c r="N627" i="4"/>
  <c r="M627" i="4"/>
  <c r="N626" i="4"/>
  <c r="M626" i="4"/>
  <c r="P626" i="4"/>
  <c r="P625" i="4"/>
  <c r="N625" i="4"/>
  <c r="M625" i="4"/>
  <c r="N624" i="4"/>
  <c r="P624" i="4"/>
  <c r="M624" i="4"/>
  <c r="N623" i="4"/>
  <c r="P623" i="4"/>
  <c r="M623" i="4"/>
  <c r="P622" i="4"/>
  <c r="N622" i="4"/>
  <c r="M622" i="4"/>
  <c r="N621" i="4"/>
  <c r="M621" i="4"/>
  <c r="P621" i="4"/>
  <c r="P620" i="4"/>
  <c r="N620" i="4"/>
  <c r="M620" i="4"/>
  <c r="P619" i="4"/>
  <c r="M619" i="4"/>
  <c r="N619" i="4"/>
  <c r="M618" i="4"/>
  <c r="N618" i="4"/>
  <c r="P618" i="4"/>
  <c r="N617" i="4"/>
  <c r="M617" i="4"/>
  <c r="P617" i="4"/>
  <c r="P616" i="4"/>
  <c r="N616" i="4"/>
  <c r="M616" i="4"/>
  <c r="P615" i="4"/>
  <c r="N615" i="4"/>
  <c r="M615" i="4"/>
  <c r="N614" i="4"/>
  <c r="M614" i="4"/>
  <c r="P614" i="4"/>
  <c r="N613" i="4"/>
  <c r="M613" i="4"/>
  <c r="P613" i="4"/>
  <c r="P612" i="4"/>
  <c r="M612" i="4"/>
  <c r="N612" i="4"/>
  <c r="P611" i="4"/>
  <c r="M611" i="4"/>
  <c r="N611" i="4"/>
  <c r="P610" i="4"/>
  <c r="N610" i="4"/>
  <c r="M610" i="4"/>
  <c r="N609" i="4"/>
  <c r="P609" i="4"/>
  <c r="M609" i="4"/>
  <c r="M608" i="4"/>
  <c r="N608" i="4"/>
  <c r="P608" i="4"/>
  <c r="N607" i="4"/>
  <c r="M607" i="4"/>
  <c r="P607" i="4"/>
  <c r="P606" i="4"/>
  <c r="N606" i="4"/>
  <c r="M606" i="4"/>
  <c r="M605" i="4"/>
  <c r="P605" i="4"/>
  <c r="N605" i="4"/>
  <c r="P604" i="4"/>
  <c r="N604" i="4"/>
  <c r="M604" i="4"/>
  <c r="P603" i="4"/>
  <c r="M603" i="4"/>
  <c r="N603" i="4"/>
  <c r="M602" i="4"/>
  <c r="N602" i="4"/>
  <c r="P602" i="4"/>
  <c r="M601" i="4"/>
  <c r="N601" i="4"/>
  <c r="P601" i="4"/>
  <c r="P600" i="4"/>
  <c r="M600" i="4"/>
  <c r="N600" i="4"/>
  <c r="P599" i="4"/>
  <c r="M599" i="4"/>
  <c r="N599" i="4"/>
  <c r="M598" i="4"/>
  <c r="N598" i="4"/>
  <c r="P598" i="4"/>
  <c r="M597" i="4"/>
  <c r="N597" i="4"/>
  <c r="P597" i="4"/>
  <c r="N596" i="4"/>
  <c r="P596" i="4"/>
  <c r="M596" i="4"/>
  <c r="M595" i="4"/>
  <c r="N595" i="4"/>
  <c r="P595" i="4"/>
  <c r="P594" i="4"/>
  <c r="N594" i="4"/>
  <c r="M594" i="4"/>
  <c r="M593" i="4"/>
  <c r="P593" i="4"/>
  <c r="N593" i="4"/>
  <c r="P592" i="4"/>
  <c r="N592" i="4"/>
  <c r="M592" i="4"/>
  <c r="N591" i="4"/>
  <c r="P591" i="4"/>
  <c r="M591" i="4"/>
  <c r="M590" i="4"/>
  <c r="P590" i="4"/>
  <c r="N590" i="4"/>
  <c r="P589" i="4"/>
  <c r="N589" i="4"/>
  <c r="M589" i="4"/>
  <c r="N588" i="4"/>
  <c r="M588" i="4"/>
  <c r="P588" i="4"/>
  <c r="P587" i="4"/>
  <c r="M587" i="4"/>
  <c r="N587" i="4"/>
  <c r="M586" i="4"/>
  <c r="P586" i="4"/>
  <c r="M585" i="4"/>
  <c r="P585" i="4"/>
  <c r="M584" i="4"/>
  <c r="P584" i="4"/>
  <c r="M583" i="4"/>
  <c r="P583" i="4"/>
  <c r="M582" i="4"/>
  <c r="P582" i="4"/>
  <c r="M581" i="4"/>
  <c r="P581" i="4"/>
  <c r="M580" i="4"/>
  <c r="P580" i="4"/>
  <c r="P579" i="4"/>
  <c r="M579" i="4"/>
  <c r="M578" i="4"/>
  <c r="P578" i="4"/>
  <c r="M577" i="4"/>
  <c r="P577" i="4"/>
  <c r="M576" i="4"/>
  <c r="P576" i="4"/>
  <c r="P575" i="4"/>
  <c r="M575" i="4"/>
  <c r="P574" i="4"/>
  <c r="M574" i="4"/>
  <c r="P573" i="4"/>
  <c r="M573" i="4"/>
  <c r="M572" i="4"/>
  <c r="P572" i="4"/>
  <c r="M571" i="4"/>
  <c r="P571" i="4"/>
  <c r="M570" i="4"/>
  <c r="P570" i="4"/>
  <c r="M569" i="4"/>
  <c r="P569" i="4"/>
  <c r="M568" i="4"/>
  <c r="P568" i="4"/>
  <c r="P567" i="4"/>
  <c r="M567" i="4"/>
  <c r="M566" i="4"/>
  <c r="P566" i="4"/>
  <c r="M565" i="4"/>
  <c r="P565" i="4"/>
  <c r="P564" i="4"/>
  <c r="M564" i="4"/>
  <c r="P563" i="4"/>
  <c r="M563" i="4"/>
  <c r="P562" i="4"/>
  <c r="M562" i="4"/>
  <c r="P561" i="4"/>
  <c r="M561" i="4"/>
  <c r="M560" i="4"/>
  <c r="P560" i="4"/>
  <c r="M559" i="4"/>
  <c r="P559" i="4"/>
  <c r="P558" i="4"/>
  <c r="M558" i="4"/>
  <c r="M557" i="4"/>
  <c r="P557" i="4"/>
  <c r="M556" i="4"/>
  <c r="P556" i="4"/>
  <c r="M555" i="4"/>
  <c r="P555" i="4"/>
  <c r="M554" i="4"/>
  <c r="P554" i="4"/>
  <c r="P553" i="4"/>
  <c r="M553" i="4"/>
  <c r="P552" i="4"/>
  <c r="M552" i="4"/>
  <c r="P551" i="4"/>
  <c r="M551" i="4"/>
  <c r="M550" i="4"/>
  <c r="P550" i="4"/>
  <c r="M549" i="4"/>
  <c r="P549" i="4"/>
  <c r="P548" i="4"/>
  <c r="M548" i="4"/>
  <c r="M547" i="4"/>
  <c r="P547" i="4"/>
  <c r="M546" i="4"/>
  <c r="P546" i="4"/>
  <c r="M545" i="4"/>
  <c r="P545" i="4"/>
  <c r="M544" i="4"/>
  <c r="P544" i="4"/>
  <c r="M543" i="4"/>
  <c r="P543" i="4"/>
  <c r="M542" i="4"/>
  <c r="P542" i="4"/>
  <c r="M541" i="4"/>
  <c r="P541" i="4"/>
  <c r="P540" i="4"/>
  <c r="M540" i="4"/>
  <c r="M539" i="4"/>
  <c r="P539" i="4"/>
  <c r="P538" i="4"/>
  <c r="M538" i="4"/>
  <c r="P537" i="4"/>
  <c r="M537" i="4"/>
  <c r="M536" i="4"/>
  <c r="P536" i="4"/>
  <c r="P535" i="4"/>
  <c r="M535" i="4"/>
  <c r="P534" i="4"/>
  <c r="M534" i="4"/>
  <c r="P533" i="4"/>
  <c r="M533" i="4"/>
  <c r="P532" i="4"/>
  <c r="M532" i="4"/>
  <c r="P531" i="4"/>
  <c r="M531" i="4"/>
  <c r="P530" i="4"/>
  <c r="M530" i="4"/>
  <c r="M529" i="4"/>
  <c r="P529" i="4"/>
  <c r="M528" i="4"/>
  <c r="P528" i="4"/>
  <c r="M527" i="4"/>
  <c r="P527" i="4"/>
  <c r="P526" i="4"/>
  <c r="M526" i="4"/>
  <c r="M525" i="4"/>
  <c r="P525" i="4"/>
  <c r="P524" i="4"/>
  <c r="M524" i="4"/>
  <c r="M523" i="4"/>
  <c r="P523" i="4"/>
  <c r="P522" i="4"/>
  <c r="M522" i="4"/>
  <c r="M521" i="4"/>
  <c r="P521" i="4"/>
  <c r="P520" i="4"/>
  <c r="M520" i="4"/>
  <c r="P519" i="4"/>
  <c r="M519" i="4"/>
  <c r="M518" i="4"/>
  <c r="P518" i="4"/>
  <c r="M517" i="4"/>
  <c r="P517" i="4"/>
  <c r="P516" i="4"/>
  <c r="M516" i="4"/>
  <c r="P515" i="4"/>
  <c r="M515" i="4"/>
  <c r="P514" i="4"/>
  <c r="M514" i="4"/>
  <c r="P513" i="4"/>
  <c r="M513" i="4"/>
  <c r="P512" i="4"/>
  <c r="M512" i="4"/>
  <c r="M511" i="4"/>
  <c r="P511" i="4"/>
  <c r="P510" i="4"/>
  <c r="M510" i="4"/>
  <c r="M509" i="4"/>
  <c r="P509" i="4"/>
  <c r="P508" i="4"/>
  <c r="M508" i="4"/>
  <c r="M507" i="4"/>
  <c r="P507" i="4"/>
  <c r="P506" i="4"/>
  <c r="M506" i="4"/>
  <c r="P505" i="4"/>
  <c r="M505" i="4"/>
  <c r="P504" i="4"/>
  <c r="M504" i="4"/>
  <c r="P503" i="4"/>
  <c r="M503" i="4"/>
  <c r="P502" i="4"/>
  <c r="M502" i="4"/>
  <c r="P501" i="4"/>
  <c r="M501" i="4"/>
  <c r="P500" i="4"/>
  <c r="M500" i="4"/>
  <c r="M499" i="4"/>
  <c r="P499" i="4"/>
  <c r="M498" i="4"/>
  <c r="P498" i="4"/>
  <c r="P497" i="4"/>
  <c r="M497" i="4"/>
  <c r="M496" i="4"/>
  <c r="P496" i="4"/>
  <c r="P495" i="4"/>
  <c r="M495" i="4"/>
  <c r="P494" i="4"/>
  <c r="M494" i="4"/>
  <c r="P493" i="4"/>
  <c r="M493" i="4"/>
  <c r="M492" i="4"/>
  <c r="P492" i="4"/>
  <c r="P491" i="4"/>
  <c r="M491" i="4"/>
  <c r="P490" i="4"/>
  <c r="M490" i="4"/>
  <c r="P489" i="4"/>
  <c r="N489" i="4"/>
  <c r="M489" i="4"/>
  <c r="P488" i="4"/>
  <c r="N488" i="4"/>
  <c r="M488" i="4"/>
  <c r="P487" i="4"/>
  <c r="M487" i="4"/>
  <c r="N487" i="4"/>
  <c r="M486" i="4"/>
  <c r="N486" i="4"/>
  <c r="P486" i="4"/>
  <c r="P485" i="4"/>
  <c r="N485" i="4"/>
  <c r="M485" i="4"/>
  <c r="P484" i="4"/>
  <c r="M484" i="4"/>
  <c r="N484" i="4"/>
  <c r="P483" i="4"/>
  <c r="N483" i="4"/>
  <c r="M483" i="4"/>
  <c r="N482" i="4"/>
  <c r="M482" i="4"/>
  <c r="P482" i="4"/>
  <c r="M481" i="4"/>
  <c r="P481" i="4"/>
  <c r="N481" i="4"/>
  <c r="P480" i="4"/>
  <c r="N480" i="4"/>
  <c r="M480" i="4"/>
  <c r="M479" i="4"/>
  <c r="P479" i="4"/>
  <c r="N479" i="4"/>
  <c r="P478" i="4"/>
  <c r="M478" i="4"/>
  <c r="N478" i="4"/>
  <c r="P477" i="4"/>
  <c r="N477" i="4"/>
  <c r="M477" i="4"/>
  <c r="P476" i="4"/>
  <c r="N476" i="4"/>
  <c r="M476" i="4"/>
  <c r="P475" i="4"/>
  <c r="M475" i="4"/>
  <c r="N475" i="4"/>
  <c r="M474" i="4"/>
  <c r="N474" i="4"/>
  <c r="P474" i="4"/>
  <c r="P473" i="4"/>
  <c r="M473" i="4"/>
  <c r="N473" i="4"/>
  <c r="M472" i="4"/>
  <c r="P472" i="4"/>
  <c r="N472" i="4"/>
  <c r="P471" i="4"/>
  <c r="N471" i="4"/>
  <c r="M471" i="4"/>
  <c r="N470" i="4"/>
  <c r="P470" i="4"/>
  <c r="M470" i="4"/>
  <c r="N469" i="4"/>
  <c r="P469" i="4"/>
  <c r="M469" i="4"/>
  <c r="M468" i="4"/>
  <c r="N468" i="4"/>
  <c r="P468" i="4"/>
  <c r="N467" i="4"/>
  <c r="P467" i="4"/>
  <c r="M467" i="4"/>
  <c r="N466" i="4"/>
  <c r="M466" i="4"/>
  <c r="P466" i="4"/>
  <c r="N465" i="4"/>
  <c r="M465" i="4"/>
  <c r="P465" i="4"/>
  <c r="P464" i="4"/>
  <c r="N464" i="4"/>
  <c r="M464" i="4"/>
  <c r="M463" i="4"/>
  <c r="P463" i="4"/>
  <c r="N463" i="4"/>
  <c r="M462" i="4"/>
  <c r="N462" i="4"/>
  <c r="P462" i="4"/>
  <c r="N461" i="4"/>
  <c r="P461" i="4"/>
  <c r="M461" i="4"/>
  <c r="M460" i="4"/>
  <c r="P460" i="4"/>
  <c r="N460" i="4"/>
  <c r="P459" i="4"/>
  <c r="N459" i="4"/>
  <c r="M459" i="4"/>
  <c r="N458" i="4"/>
  <c r="P458" i="4"/>
  <c r="M458" i="4"/>
  <c r="M457" i="4"/>
  <c r="N457" i="4"/>
  <c r="P457" i="4"/>
  <c r="M456" i="4"/>
  <c r="P456" i="4"/>
  <c r="N456" i="4"/>
  <c r="P455" i="4"/>
  <c r="N455" i="4"/>
  <c r="M455" i="4"/>
  <c r="P454" i="4"/>
  <c r="N454" i="4"/>
  <c r="M454" i="4"/>
  <c r="P453" i="4"/>
  <c r="N453" i="4"/>
  <c r="M453" i="4"/>
  <c r="M452" i="4"/>
  <c r="P452" i="4"/>
  <c r="N452" i="4"/>
  <c r="M451" i="4"/>
  <c r="N451" i="4"/>
  <c r="P451" i="4"/>
  <c r="P450" i="4"/>
  <c r="N450" i="4"/>
  <c r="M450" i="4"/>
  <c r="P449" i="4"/>
  <c r="N449" i="4"/>
  <c r="M449" i="4"/>
  <c r="M448" i="4"/>
  <c r="P448" i="4"/>
  <c r="N448" i="4"/>
  <c r="M447" i="4"/>
  <c r="P447" i="4"/>
  <c r="N447" i="4"/>
  <c r="M446" i="4"/>
  <c r="P446" i="4"/>
  <c r="N446" i="4"/>
  <c r="P445" i="4"/>
  <c r="M445" i="4"/>
  <c r="N445" i="4"/>
  <c r="N444" i="4"/>
  <c r="P444" i="4"/>
  <c r="M444" i="4"/>
  <c r="M443" i="4"/>
  <c r="N443" i="4"/>
  <c r="P443" i="4"/>
  <c r="M442" i="4"/>
  <c r="N442" i="4"/>
  <c r="P442" i="4"/>
  <c r="M441" i="4"/>
  <c r="N441" i="4"/>
  <c r="P441" i="4"/>
  <c r="N440" i="4"/>
  <c r="P440" i="4"/>
  <c r="M440" i="4"/>
  <c r="N439" i="4"/>
  <c r="M439" i="4"/>
  <c r="P439" i="4"/>
  <c r="P438" i="4"/>
  <c r="N438" i="4"/>
  <c r="M438" i="4"/>
  <c r="M437" i="4"/>
  <c r="P437" i="4"/>
  <c r="N437" i="4"/>
  <c r="P436" i="4"/>
  <c r="N436" i="4"/>
  <c r="M436" i="4"/>
  <c r="M435" i="4"/>
  <c r="P435" i="4"/>
  <c r="N435" i="4"/>
  <c r="N434" i="4"/>
  <c r="M434" i="4"/>
  <c r="P434" i="4"/>
  <c r="P433" i="4"/>
  <c r="M433" i="4"/>
  <c r="N433" i="4"/>
  <c r="M432" i="4"/>
  <c r="N432" i="4"/>
  <c r="P432" i="4"/>
  <c r="N431" i="4"/>
  <c r="M431" i="4"/>
  <c r="P431" i="4"/>
  <c r="P430" i="4"/>
  <c r="N430" i="4"/>
  <c r="M430" i="4"/>
  <c r="P429" i="4"/>
  <c r="N429" i="4"/>
  <c r="M429" i="4"/>
  <c r="P428" i="4"/>
  <c r="M428" i="4"/>
  <c r="N428" i="4"/>
  <c r="N427" i="4"/>
  <c r="M427" i="4"/>
  <c r="P427" i="4"/>
  <c r="P426" i="4"/>
  <c r="M426" i="4"/>
  <c r="N426" i="4"/>
  <c r="M425" i="4"/>
  <c r="N425" i="4"/>
  <c r="P425" i="4"/>
  <c r="N424" i="4"/>
  <c r="M424" i="4"/>
  <c r="P424" i="4"/>
  <c r="M423" i="4"/>
  <c r="N423" i="4"/>
  <c r="P423" i="4"/>
  <c r="P422" i="4"/>
  <c r="M422" i="4"/>
  <c r="N422" i="4"/>
  <c r="M421" i="4"/>
  <c r="N421" i="4"/>
  <c r="P421" i="4"/>
  <c r="M420" i="4"/>
  <c r="N420" i="4"/>
  <c r="P420" i="4"/>
  <c r="P419" i="4"/>
  <c r="M419" i="4"/>
  <c r="N419" i="4"/>
  <c r="M418" i="4"/>
  <c r="N418" i="4"/>
  <c r="P418" i="4"/>
  <c r="P417" i="4"/>
  <c r="M417" i="4"/>
  <c r="N417" i="4"/>
  <c r="P416" i="4"/>
  <c r="N416" i="4"/>
  <c r="M416" i="4"/>
  <c r="P415" i="4"/>
  <c r="N415" i="4"/>
  <c r="M415" i="4"/>
  <c r="P414" i="4"/>
  <c r="M414" i="4"/>
  <c r="N414" i="4"/>
  <c r="N413" i="4"/>
  <c r="M413" i="4"/>
  <c r="P413" i="4"/>
  <c r="P412" i="4"/>
  <c r="N412" i="4"/>
  <c r="M412" i="4"/>
  <c r="P411" i="4"/>
  <c r="N411" i="4"/>
  <c r="M411" i="4"/>
  <c r="M410" i="4"/>
  <c r="N410" i="4"/>
  <c r="P410" i="4"/>
  <c r="M409" i="4"/>
  <c r="N409" i="4"/>
  <c r="P409" i="4"/>
  <c r="N408" i="4"/>
  <c r="M408" i="4"/>
  <c r="P408" i="4"/>
  <c r="M407" i="4"/>
  <c r="N407" i="4"/>
  <c r="P407" i="4"/>
  <c r="P406" i="4"/>
  <c r="M406" i="4"/>
  <c r="N406" i="4"/>
  <c r="M405" i="4"/>
  <c r="N405" i="4"/>
  <c r="P405" i="4"/>
  <c r="M404" i="4"/>
  <c r="N404" i="4"/>
  <c r="P404" i="4"/>
  <c r="M403" i="4"/>
  <c r="P403" i="4"/>
  <c r="N403" i="4"/>
  <c r="M402" i="4"/>
  <c r="N402" i="4"/>
  <c r="P402" i="4"/>
  <c r="M401" i="4"/>
  <c r="N401" i="4"/>
  <c r="P401" i="4"/>
  <c r="M400" i="4"/>
  <c r="N400" i="4"/>
  <c r="P400" i="4"/>
  <c r="P399" i="4"/>
  <c r="N399" i="4"/>
  <c r="M399" i="4"/>
  <c r="P398" i="4"/>
  <c r="M398" i="4"/>
  <c r="N398" i="4"/>
  <c r="P397" i="4"/>
  <c r="M397" i="4"/>
  <c r="N397" i="4"/>
  <c r="M396" i="4"/>
  <c r="N396" i="4"/>
  <c r="P396" i="4"/>
  <c r="M395" i="4"/>
  <c r="N395" i="4"/>
  <c r="P395" i="4"/>
  <c r="P394" i="4"/>
  <c r="N394" i="4"/>
  <c r="M394" i="4"/>
  <c r="P393" i="4"/>
  <c r="N393" i="4"/>
  <c r="M393" i="4"/>
  <c r="M392" i="4"/>
  <c r="P392" i="4"/>
  <c r="M391" i="4"/>
  <c r="P391" i="4"/>
  <c r="P390" i="4"/>
  <c r="M390" i="4"/>
  <c r="M389" i="4"/>
  <c r="P389" i="4"/>
  <c r="M388" i="4"/>
  <c r="P388" i="4"/>
  <c r="P387" i="4"/>
  <c r="M387" i="4"/>
  <c r="P386" i="4"/>
  <c r="M386" i="4"/>
  <c r="M385" i="4"/>
  <c r="P385" i="4"/>
  <c r="P384" i="4"/>
  <c r="M384" i="4"/>
  <c r="M383" i="4"/>
  <c r="P383" i="4"/>
  <c r="P382" i="4"/>
  <c r="M382" i="4"/>
  <c r="M381" i="4"/>
  <c r="P381" i="4"/>
  <c r="M380" i="4"/>
  <c r="P380" i="4"/>
  <c r="M379" i="4"/>
  <c r="P379" i="4"/>
  <c r="M378" i="4"/>
  <c r="P378" i="4"/>
  <c r="P377" i="4"/>
  <c r="M377" i="4"/>
  <c r="P376" i="4"/>
  <c r="M376" i="4"/>
  <c r="M375" i="4"/>
  <c r="P375" i="4"/>
  <c r="M374" i="4"/>
  <c r="P374" i="4"/>
  <c r="M373" i="4"/>
  <c r="P373" i="4"/>
  <c r="M372" i="4"/>
  <c r="P372" i="4"/>
  <c r="P371" i="4"/>
  <c r="M371" i="4"/>
  <c r="P370" i="4"/>
  <c r="M370" i="4"/>
  <c r="M369" i="4"/>
  <c r="P369" i="4"/>
  <c r="P368" i="4"/>
  <c r="M368" i="4"/>
  <c r="P367" i="4"/>
  <c r="M367" i="4"/>
  <c r="P366" i="4"/>
  <c r="M366" i="4"/>
  <c r="M365" i="4"/>
  <c r="P365" i="4"/>
  <c r="M364" i="4"/>
  <c r="P363" i="4"/>
  <c r="M363" i="4"/>
  <c r="P362" i="4"/>
  <c r="M362" i="4"/>
  <c r="M361" i="4"/>
  <c r="P361" i="4"/>
  <c r="M360" i="4"/>
  <c r="P360" i="4"/>
  <c r="M359" i="4"/>
  <c r="P359" i="4"/>
  <c r="M358" i="4"/>
  <c r="P358" i="4"/>
  <c r="M357" i="4"/>
  <c r="P357" i="4"/>
  <c r="P356" i="4"/>
  <c r="M356" i="4"/>
  <c r="P355" i="4"/>
  <c r="M355" i="4"/>
  <c r="P354" i="4"/>
  <c r="M354" i="4"/>
  <c r="M353" i="4"/>
  <c r="P353" i="4"/>
  <c r="P352" i="4"/>
  <c r="M352" i="4"/>
  <c r="P351" i="4"/>
  <c r="M351" i="4"/>
  <c r="M350" i="4"/>
  <c r="P350" i="4"/>
  <c r="M349" i="4"/>
  <c r="P349" i="4"/>
  <c r="P348" i="4"/>
  <c r="M348" i="4"/>
  <c r="M347" i="4"/>
  <c r="P347" i="4"/>
  <c r="P346" i="4"/>
  <c r="M346" i="4"/>
  <c r="P345" i="4"/>
  <c r="M345" i="4"/>
  <c r="P344" i="4"/>
  <c r="M344" i="4"/>
  <c r="P343" i="4"/>
  <c r="M343" i="4"/>
  <c r="P342" i="4"/>
  <c r="M342" i="4"/>
  <c r="P341" i="4"/>
  <c r="M341" i="4"/>
  <c r="M340" i="4"/>
  <c r="P340" i="4"/>
  <c r="P339" i="4"/>
  <c r="M339" i="4"/>
  <c r="P338" i="4"/>
  <c r="M338" i="4"/>
  <c r="M337" i="4"/>
  <c r="P337" i="4"/>
  <c r="M336" i="4"/>
  <c r="P336" i="4"/>
  <c r="P335" i="4"/>
  <c r="M335" i="4"/>
  <c r="P334" i="4"/>
  <c r="M334" i="4"/>
  <c r="M333" i="4"/>
  <c r="P333" i="4"/>
  <c r="P332" i="4"/>
  <c r="M332" i="4"/>
  <c r="P331" i="4"/>
  <c r="M331" i="4"/>
  <c r="P330" i="4"/>
  <c r="M330" i="4"/>
  <c r="P329" i="4"/>
  <c r="M329" i="4"/>
  <c r="P328" i="4"/>
  <c r="M328" i="4"/>
  <c r="P327" i="4"/>
  <c r="N327" i="4"/>
  <c r="M327" i="4"/>
  <c r="P326" i="4"/>
  <c r="M326" i="4"/>
  <c r="N326" i="4"/>
  <c r="N325" i="4"/>
  <c r="P325" i="4"/>
  <c r="M325" i="4"/>
  <c r="M324" i="4"/>
  <c r="N324" i="4"/>
  <c r="P324" i="4"/>
  <c r="M323" i="4"/>
  <c r="N323" i="4"/>
  <c r="P323" i="4"/>
  <c r="N322" i="4"/>
  <c r="M322" i="4"/>
  <c r="P322" i="4"/>
  <c r="M321" i="4"/>
  <c r="P321" i="4"/>
  <c r="N321" i="4"/>
  <c r="P320" i="4"/>
  <c r="N320" i="4"/>
  <c r="M320" i="4"/>
  <c r="P319" i="4"/>
  <c r="M319" i="4"/>
  <c r="N319" i="4"/>
  <c r="P318" i="4"/>
  <c r="N318" i="4"/>
  <c r="M318" i="4"/>
  <c r="P317" i="4"/>
  <c r="M317" i="4"/>
  <c r="P316" i="4"/>
  <c r="M316" i="4"/>
  <c r="P315" i="4"/>
  <c r="M315" i="4"/>
  <c r="P314" i="4"/>
  <c r="M314" i="4"/>
  <c r="P313" i="4"/>
  <c r="M313" i="4"/>
  <c r="M312" i="4"/>
  <c r="P312" i="4"/>
  <c r="M311" i="4"/>
  <c r="P311" i="4"/>
  <c r="P310" i="4"/>
  <c r="M310" i="4"/>
  <c r="P309" i="4"/>
  <c r="M309" i="4"/>
  <c r="M308" i="4"/>
  <c r="P308" i="4"/>
  <c r="P307" i="4"/>
  <c r="M307" i="4"/>
  <c r="M306" i="4"/>
  <c r="P306" i="4"/>
  <c r="M305" i="4"/>
  <c r="P305" i="4"/>
  <c r="P304" i="4"/>
  <c r="M304" i="4"/>
  <c r="M303" i="4"/>
  <c r="P303" i="4"/>
  <c r="M302" i="4"/>
  <c r="P302" i="4"/>
  <c r="P301" i="4"/>
  <c r="M301" i="4"/>
  <c r="M300" i="4"/>
  <c r="P300" i="4"/>
  <c r="M299" i="4"/>
  <c r="P299" i="4"/>
  <c r="M298" i="4"/>
  <c r="P298" i="4"/>
  <c r="P297" i="4"/>
  <c r="M297" i="4"/>
  <c r="M296" i="4"/>
  <c r="P296" i="4"/>
  <c r="M295" i="4"/>
  <c r="P295" i="4"/>
  <c r="M294" i="4"/>
  <c r="P294" i="4"/>
  <c r="M293" i="4"/>
  <c r="P293" i="4"/>
  <c r="M292" i="4"/>
  <c r="P292" i="4"/>
  <c r="M291" i="4"/>
  <c r="P291" i="4"/>
  <c r="M290" i="4"/>
  <c r="P290" i="4"/>
  <c r="P289" i="4"/>
  <c r="M289" i="4"/>
  <c r="P288" i="4"/>
  <c r="M288" i="4"/>
  <c r="M287" i="4"/>
  <c r="P287" i="4"/>
  <c r="M286" i="4"/>
  <c r="P286" i="4"/>
  <c r="M285" i="4"/>
  <c r="P285" i="4"/>
  <c r="P284" i="4"/>
  <c r="M284" i="4"/>
  <c r="P283" i="4"/>
  <c r="M283" i="4"/>
  <c r="M282" i="4"/>
  <c r="P282" i="4"/>
  <c r="P281" i="4"/>
  <c r="M281" i="4"/>
  <c r="M280" i="4"/>
  <c r="P280" i="4"/>
  <c r="P279" i="4"/>
  <c r="M279" i="4"/>
  <c r="M278" i="4"/>
  <c r="P278" i="4"/>
  <c r="M277" i="4"/>
  <c r="P277" i="4"/>
  <c r="P276" i="4"/>
  <c r="M276" i="4"/>
  <c r="P275" i="4"/>
  <c r="M275" i="4"/>
  <c r="P274" i="4"/>
  <c r="M274" i="4"/>
  <c r="M273" i="4"/>
  <c r="P273" i="4"/>
  <c r="M272" i="4"/>
  <c r="P272" i="4"/>
  <c r="M271" i="4"/>
  <c r="P271" i="4"/>
  <c r="M270" i="4"/>
  <c r="P270" i="4"/>
  <c r="P269" i="4"/>
  <c r="M269" i="4"/>
  <c r="M268" i="4"/>
  <c r="P268" i="4"/>
  <c r="M267" i="4"/>
  <c r="P267" i="4"/>
  <c r="M266" i="4"/>
  <c r="P266" i="4"/>
  <c r="M265" i="4"/>
  <c r="P265" i="4"/>
  <c r="P264" i="4"/>
  <c r="M264" i="4"/>
  <c r="P263" i="4"/>
  <c r="M263" i="4"/>
  <c r="M262" i="4"/>
  <c r="P262" i="4"/>
  <c r="M261" i="4"/>
  <c r="P261" i="4"/>
  <c r="P260" i="4"/>
  <c r="M260" i="4"/>
  <c r="P259" i="4"/>
  <c r="M259" i="4"/>
  <c r="M258" i="4"/>
  <c r="P258" i="4"/>
  <c r="M257" i="4"/>
  <c r="P257" i="4"/>
  <c r="M256" i="4"/>
  <c r="P256" i="4"/>
  <c r="P255" i="4"/>
  <c r="M255" i="4"/>
  <c r="P254" i="4"/>
  <c r="M254" i="4"/>
  <c r="P253" i="4"/>
  <c r="M253" i="4"/>
  <c r="M252" i="4"/>
  <c r="P252" i="4"/>
  <c r="M251" i="4"/>
  <c r="P251" i="4"/>
  <c r="P250" i="4"/>
  <c r="M250" i="4"/>
  <c r="P249" i="4"/>
  <c r="M249" i="4"/>
  <c r="P248" i="4"/>
  <c r="M248" i="4"/>
  <c r="P247" i="4"/>
  <c r="M247" i="4"/>
  <c r="P246" i="4"/>
  <c r="M246" i="4"/>
  <c r="P245" i="4"/>
  <c r="M245" i="4"/>
  <c r="P244" i="4"/>
  <c r="M244" i="4"/>
  <c r="P243" i="4"/>
  <c r="M243" i="4"/>
  <c r="P242" i="4"/>
  <c r="M242" i="4"/>
  <c r="P241" i="4"/>
  <c r="M241" i="4"/>
  <c r="P240" i="4"/>
  <c r="M240" i="4"/>
  <c r="P239" i="4"/>
  <c r="M239" i="4"/>
  <c r="P238" i="4"/>
  <c r="M238" i="4"/>
  <c r="P237" i="4"/>
  <c r="M237" i="4"/>
  <c r="M236" i="4"/>
  <c r="P236" i="4"/>
  <c r="P235" i="4"/>
  <c r="M235" i="4"/>
  <c r="M234" i="4"/>
  <c r="P234" i="4"/>
  <c r="M233" i="4"/>
  <c r="P233" i="4"/>
  <c r="M232" i="4"/>
  <c r="P232" i="4"/>
  <c r="P231" i="4"/>
  <c r="M231" i="4"/>
  <c r="P230" i="4"/>
  <c r="M230" i="4"/>
  <c r="M229" i="4"/>
  <c r="P229" i="4"/>
  <c r="M228" i="4"/>
  <c r="P228" i="4"/>
  <c r="M227" i="4"/>
  <c r="P227" i="4"/>
  <c r="P226" i="4"/>
  <c r="M226" i="4"/>
  <c r="P225" i="4"/>
  <c r="M225" i="4"/>
  <c r="P224" i="4"/>
  <c r="M224" i="4"/>
  <c r="M223" i="4"/>
  <c r="P223" i="4"/>
  <c r="M222" i="4"/>
  <c r="P222" i="4"/>
  <c r="P221" i="4"/>
  <c r="M221" i="4"/>
  <c r="P220" i="4"/>
  <c r="M220" i="4"/>
  <c r="P219" i="4"/>
  <c r="M219" i="4"/>
  <c r="P218" i="4"/>
  <c r="M218" i="4"/>
  <c r="P217" i="4"/>
  <c r="M217" i="4"/>
  <c r="M216" i="4"/>
  <c r="P216" i="4"/>
  <c r="P215" i="4"/>
  <c r="M215" i="4"/>
  <c r="M214" i="4"/>
  <c r="P214" i="4"/>
  <c r="M213" i="4"/>
  <c r="P213" i="4"/>
  <c r="M212" i="4"/>
  <c r="P212" i="4"/>
  <c r="P211" i="4"/>
  <c r="M211" i="4"/>
  <c r="P210" i="4"/>
  <c r="M210" i="4"/>
  <c r="P209" i="4"/>
  <c r="M209" i="4"/>
  <c r="P208" i="4"/>
  <c r="M208" i="4"/>
  <c r="P207" i="4"/>
  <c r="M207" i="4"/>
  <c r="P206" i="4"/>
  <c r="M206" i="4"/>
  <c r="P205" i="4"/>
  <c r="M205" i="4"/>
  <c r="P204" i="4"/>
  <c r="M204" i="4"/>
  <c r="P203" i="4"/>
  <c r="M203" i="4"/>
  <c r="M202" i="4"/>
  <c r="P202" i="4"/>
  <c r="M201" i="4"/>
  <c r="P201" i="4"/>
  <c r="M200" i="4"/>
  <c r="P200" i="4"/>
  <c r="P199" i="4"/>
  <c r="M199" i="4"/>
  <c r="P198" i="4"/>
  <c r="M198" i="4"/>
  <c r="M197" i="4"/>
  <c r="P197" i="4"/>
  <c r="M196" i="4"/>
  <c r="P196" i="4"/>
  <c r="M195" i="4"/>
  <c r="P195" i="4"/>
  <c r="M194" i="4"/>
  <c r="P194" i="4"/>
  <c r="M193" i="4"/>
  <c r="P193" i="4"/>
  <c r="M192" i="4"/>
  <c r="P192" i="4"/>
  <c r="P191" i="4"/>
  <c r="M191" i="4"/>
  <c r="M190" i="4"/>
  <c r="P190" i="4"/>
  <c r="P189" i="4"/>
  <c r="M189" i="4"/>
  <c r="P188" i="4"/>
  <c r="M188" i="4"/>
  <c r="P187" i="4"/>
  <c r="M187" i="4"/>
  <c r="P186" i="4"/>
  <c r="M186" i="4"/>
  <c r="M185" i="4"/>
  <c r="P185" i="4"/>
  <c r="P184" i="4"/>
  <c r="M184" i="4"/>
  <c r="M183" i="4"/>
  <c r="P183" i="4"/>
  <c r="M182" i="4"/>
  <c r="P182" i="4"/>
  <c r="M181" i="4"/>
  <c r="P181" i="4"/>
  <c r="M180" i="4"/>
  <c r="P180" i="4"/>
  <c r="P179" i="4"/>
  <c r="M179" i="4"/>
  <c r="M178" i="4"/>
  <c r="P178" i="4"/>
  <c r="P177" i="4"/>
  <c r="M177" i="4"/>
  <c r="M176" i="4"/>
  <c r="P176" i="4"/>
  <c r="P175" i="4"/>
  <c r="M175" i="4"/>
  <c r="P174" i="4"/>
  <c r="M174" i="4"/>
  <c r="P173" i="4"/>
  <c r="M173" i="4"/>
  <c r="M172" i="4"/>
  <c r="P172" i="4"/>
  <c r="P171" i="4"/>
  <c r="M171" i="4"/>
  <c r="P170" i="4"/>
  <c r="M170" i="4"/>
  <c r="P169" i="4"/>
  <c r="M169" i="4"/>
  <c r="P168" i="4"/>
  <c r="M168" i="4"/>
  <c r="P167" i="4"/>
  <c r="M167" i="4"/>
  <c r="P166" i="4"/>
  <c r="M166" i="4"/>
  <c r="N165" i="4"/>
  <c r="M165" i="4"/>
  <c r="P165" i="4"/>
  <c r="M164" i="4"/>
  <c r="N164" i="4"/>
  <c r="P164" i="4"/>
  <c r="P163" i="4"/>
  <c r="N163" i="4"/>
  <c r="M163" i="4"/>
  <c r="P162" i="4"/>
  <c r="N162" i="4"/>
  <c r="M162" i="4"/>
  <c r="P161" i="4"/>
  <c r="N161" i="4"/>
  <c r="M161" i="4"/>
  <c r="P160" i="4"/>
  <c r="N160" i="4"/>
  <c r="M160" i="4"/>
  <c r="P159" i="4"/>
  <c r="N159" i="4"/>
  <c r="M159" i="4"/>
  <c r="P158" i="4"/>
  <c r="N158" i="4"/>
  <c r="M158" i="4"/>
  <c r="P157" i="4"/>
  <c r="N157" i="4"/>
  <c r="M157" i="4"/>
  <c r="P156" i="4"/>
  <c r="N156" i="4"/>
  <c r="M156" i="4"/>
  <c r="P155" i="4"/>
  <c r="N155" i="4"/>
  <c r="M155" i="4"/>
  <c r="P154" i="4"/>
  <c r="N154" i="4"/>
  <c r="M154" i="4"/>
  <c r="P153" i="4"/>
  <c r="N153" i="4"/>
  <c r="M153" i="4"/>
  <c r="P152" i="4"/>
  <c r="N152" i="4"/>
  <c r="M152" i="4"/>
  <c r="P151" i="4"/>
  <c r="N151" i="4"/>
  <c r="M151" i="4"/>
  <c r="P150" i="4"/>
  <c r="N150" i="4"/>
  <c r="M150" i="4"/>
  <c r="P149" i="4"/>
  <c r="N149" i="4"/>
  <c r="M149" i="4"/>
  <c r="P148" i="4"/>
  <c r="N148" i="4"/>
  <c r="M148" i="4"/>
  <c r="P147" i="4"/>
  <c r="N147" i="4"/>
  <c r="M147" i="4"/>
  <c r="P146" i="4"/>
  <c r="N146" i="4"/>
  <c r="M146" i="4"/>
  <c r="P145" i="4"/>
  <c r="N145" i="4"/>
  <c r="M145" i="4"/>
  <c r="P144" i="4"/>
  <c r="N144" i="4"/>
  <c r="M144" i="4"/>
  <c r="M143" i="4"/>
  <c r="N143" i="4"/>
  <c r="P143" i="4"/>
  <c r="P142" i="4"/>
  <c r="N142" i="4"/>
  <c r="M142" i="4"/>
  <c r="M141" i="4"/>
  <c r="P141" i="4"/>
  <c r="N141" i="4"/>
  <c r="N140" i="4"/>
  <c r="P140" i="4"/>
  <c r="M140" i="4"/>
  <c r="M139" i="4"/>
  <c r="P139" i="4"/>
  <c r="N139" i="4"/>
  <c r="P138" i="4"/>
  <c r="M138" i="4"/>
  <c r="N138" i="4"/>
  <c r="M137" i="4"/>
  <c r="N137" i="4"/>
  <c r="P137" i="4"/>
  <c r="N136" i="4"/>
  <c r="P136" i="4"/>
  <c r="M136" i="4"/>
  <c r="P135" i="4"/>
  <c r="N135" i="4"/>
  <c r="M135" i="4"/>
  <c r="M134" i="4"/>
  <c r="P134" i="4"/>
  <c r="N134" i="4"/>
  <c r="M133" i="4"/>
  <c r="P133" i="4"/>
  <c r="N133" i="4"/>
  <c r="M132" i="4"/>
  <c r="N132" i="4"/>
  <c r="P132" i="4"/>
  <c r="M131" i="4"/>
  <c r="N131" i="4"/>
  <c r="P131" i="4"/>
  <c r="M130" i="4"/>
  <c r="P130" i="4"/>
  <c r="N130" i="4"/>
  <c r="P129" i="4"/>
  <c r="N129" i="4"/>
  <c r="M129" i="4"/>
  <c r="P128" i="4"/>
  <c r="N128" i="4"/>
  <c r="M128" i="4"/>
  <c r="P127" i="4"/>
  <c r="N127" i="4"/>
  <c r="M127" i="4"/>
  <c r="P126" i="4"/>
  <c r="N126" i="4"/>
  <c r="M126" i="4"/>
  <c r="N125" i="4"/>
  <c r="P125" i="4"/>
  <c r="M125" i="4"/>
  <c r="M124" i="4"/>
  <c r="P124" i="4"/>
  <c r="N124" i="4"/>
  <c r="M123" i="4"/>
  <c r="N123" i="4"/>
  <c r="P123" i="4"/>
  <c r="P122" i="4"/>
  <c r="N122" i="4"/>
  <c r="M122" i="4"/>
  <c r="P121" i="4"/>
  <c r="N121" i="4"/>
  <c r="M121" i="4"/>
  <c r="P120" i="4"/>
  <c r="M120" i="4"/>
  <c r="P119" i="4"/>
  <c r="M119" i="4"/>
  <c r="M118" i="4"/>
  <c r="P118" i="4"/>
  <c r="P117" i="4"/>
  <c r="M117" i="4"/>
  <c r="M116" i="4"/>
  <c r="P116" i="4"/>
  <c r="M115" i="4"/>
  <c r="P115" i="4"/>
  <c r="M114" i="4"/>
  <c r="P114" i="4"/>
  <c r="M113" i="4"/>
  <c r="P113" i="4"/>
  <c r="P112" i="4"/>
  <c r="M112" i="4"/>
  <c r="P111" i="4"/>
  <c r="M111" i="4"/>
  <c r="M110" i="4"/>
  <c r="P110" i="4"/>
  <c r="P109" i="4"/>
  <c r="M109" i="4"/>
  <c r="M108" i="4"/>
  <c r="P108" i="4"/>
  <c r="M107" i="4"/>
  <c r="P107" i="4"/>
  <c r="M106" i="4"/>
  <c r="P106" i="4"/>
  <c r="M105" i="4"/>
  <c r="P105" i="4"/>
  <c r="P104" i="4"/>
  <c r="M104" i="4"/>
  <c r="P103" i="4"/>
  <c r="M103" i="4"/>
  <c r="M102" i="4"/>
  <c r="P102" i="4"/>
  <c r="M101" i="4"/>
  <c r="P101" i="4"/>
  <c r="P100" i="4"/>
  <c r="M100" i="4"/>
  <c r="P99" i="4"/>
  <c r="M99" i="4"/>
  <c r="P98" i="4"/>
  <c r="M98" i="4"/>
  <c r="P97" i="4"/>
  <c r="M97" i="4"/>
  <c r="P96" i="4"/>
  <c r="M96" i="4"/>
  <c r="P95" i="4"/>
  <c r="M95" i="4"/>
  <c r="M94" i="4"/>
  <c r="P94" i="4"/>
  <c r="M93" i="4"/>
  <c r="P93" i="4"/>
  <c r="M92" i="4"/>
  <c r="P92" i="4"/>
  <c r="M91" i="4"/>
  <c r="P91" i="4"/>
  <c r="P90" i="4"/>
  <c r="M90" i="4"/>
  <c r="M89" i="4"/>
  <c r="P89" i="4"/>
  <c r="M88" i="4"/>
  <c r="P88" i="4"/>
  <c r="P87" i="4"/>
  <c r="M87" i="4"/>
  <c r="M86" i="4"/>
  <c r="P86" i="4"/>
  <c r="M85" i="4"/>
  <c r="P85" i="4"/>
  <c r="P84" i="4"/>
  <c r="M84" i="4"/>
  <c r="M83" i="4"/>
  <c r="P83" i="4"/>
  <c r="P82" i="4"/>
  <c r="M82" i="4"/>
  <c r="P81" i="4"/>
  <c r="M81" i="4"/>
  <c r="P80" i="4"/>
  <c r="M80" i="4"/>
  <c r="P79" i="4"/>
  <c r="M79" i="4"/>
  <c r="M78" i="4"/>
  <c r="P78" i="4"/>
  <c r="M77" i="4"/>
  <c r="P77" i="4"/>
  <c r="P76" i="4"/>
  <c r="M76" i="4"/>
  <c r="P75" i="4"/>
  <c r="M75" i="4"/>
  <c r="M74" i="4"/>
  <c r="P74" i="4"/>
  <c r="P73" i="4"/>
  <c r="M73" i="4"/>
  <c r="P72" i="4"/>
  <c r="M72" i="4"/>
  <c r="P71" i="4"/>
  <c r="M71" i="4"/>
  <c r="P70" i="4"/>
  <c r="M70" i="4"/>
  <c r="P69" i="4"/>
  <c r="M69" i="4"/>
  <c r="P68" i="4"/>
  <c r="M68" i="4"/>
  <c r="M67" i="4"/>
  <c r="P67" i="4"/>
  <c r="P66" i="4"/>
  <c r="M66" i="4"/>
  <c r="M65" i="4"/>
  <c r="P65" i="4"/>
  <c r="M64" i="4"/>
  <c r="P64" i="4"/>
  <c r="P63" i="4"/>
  <c r="M63" i="4"/>
  <c r="M62" i="4"/>
  <c r="P62" i="4"/>
  <c r="M61" i="4"/>
  <c r="P61" i="4"/>
  <c r="P60" i="4"/>
  <c r="M60" i="4"/>
  <c r="M59" i="4"/>
  <c r="P59" i="4"/>
  <c r="M58" i="4"/>
  <c r="P58" i="4"/>
  <c r="M57" i="4"/>
  <c r="P57" i="4"/>
  <c r="P56" i="4"/>
  <c r="M56" i="4"/>
  <c r="P55" i="4"/>
  <c r="M55" i="4"/>
  <c r="M54" i="4"/>
  <c r="P54" i="4"/>
  <c r="M53" i="4"/>
  <c r="P53" i="4"/>
  <c r="M52" i="4"/>
  <c r="P52" i="4"/>
  <c r="M51" i="4"/>
  <c r="P51" i="4"/>
  <c r="M50" i="4"/>
  <c r="P50" i="4"/>
  <c r="P49" i="4"/>
  <c r="M49" i="4"/>
  <c r="P48" i="4"/>
  <c r="M48" i="4"/>
  <c r="P47" i="4"/>
  <c r="M47" i="4"/>
  <c r="P46" i="4"/>
  <c r="M46" i="4"/>
  <c r="P45" i="4"/>
  <c r="M45" i="4"/>
  <c r="P44" i="4"/>
  <c r="M44" i="4"/>
  <c r="P43" i="4"/>
  <c r="M43" i="4"/>
  <c r="P42" i="4"/>
  <c r="M42" i="4"/>
  <c r="P41" i="4"/>
  <c r="M41" i="4"/>
  <c r="P40" i="4"/>
  <c r="M40" i="4"/>
  <c r="M39" i="4"/>
  <c r="P39" i="4"/>
  <c r="P38" i="4"/>
  <c r="M38" i="4"/>
  <c r="M37" i="4"/>
  <c r="P37" i="4"/>
  <c r="M36" i="4"/>
  <c r="P36" i="4"/>
  <c r="M35" i="4"/>
  <c r="P35" i="4"/>
  <c r="M34" i="4"/>
  <c r="P34" i="4"/>
  <c r="P33" i="4"/>
  <c r="M33" i="4"/>
  <c r="P32" i="4"/>
  <c r="M32" i="4"/>
  <c r="M31" i="4"/>
  <c r="P31" i="4"/>
  <c r="P30" i="4"/>
  <c r="M30" i="4"/>
  <c r="P29" i="4"/>
  <c r="M29" i="4"/>
  <c r="P28" i="4"/>
  <c r="M28" i="4"/>
  <c r="P27" i="4"/>
  <c r="M27" i="4"/>
  <c r="P26" i="4"/>
  <c r="M26" i="4"/>
  <c r="P25" i="4"/>
  <c r="M25" i="4"/>
  <c r="P24" i="4"/>
  <c r="M24" i="4"/>
  <c r="P23" i="4"/>
  <c r="M23" i="4"/>
  <c r="P22" i="4"/>
  <c r="M22" i="4"/>
  <c r="P21" i="4"/>
  <c r="M21" i="4"/>
  <c r="P20" i="4"/>
  <c r="M20" i="4"/>
  <c r="M19" i="4"/>
  <c r="P19" i="4"/>
  <c r="M18" i="4"/>
  <c r="P18" i="4"/>
  <c r="M17" i="4"/>
  <c r="P17" i="4"/>
  <c r="M16" i="4"/>
  <c r="P16" i="4"/>
  <c r="M15" i="4"/>
  <c r="P15" i="4"/>
  <c r="P14" i="4"/>
  <c r="M14" i="4"/>
  <c r="M13" i="4"/>
  <c r="P13" i="4"/>
  <c r="P12" i="4"/>
  <c r="M12" i="4"/>
  <c r="P11" i="4"/>
  <c r="M11" i="4"/>
  <c r="P10" i="4"/>
  <c r="M10" i="4"/>
  <c r="P9" i="4"/>
  <c r="M9" i="4"/>
  <c r="M8" i="4"/>
  <c r="P8" i="4"/>
  <c r="P7" i="4"/>
  <c r="M7" i="4"/>
  <c r="M2006" i="2"/>
  <c r="F2006" i="2"/>
  <c r="E2006" i="2"/>
  <c r="D2006" i="2"/>
  <c r="AA2006" i="2"/>
  <c r="M2005" i="2"/>
  <c r="F2005" i="2"/>
  <c r="E2005" i="2"/>
  <c r="D2005" i="2"/>
  <c r="AA2005" i="2"/>
  <c r="M2004" i="2"/>
  <c r="F2004" i="2"/>
  <c r="E2004" i="2"/>
  <c r="D2004" i="2"/>
  <c r="AA2004" i="2"/>
  <c r="M2003" i="2"/>
  <c r="F2003" i="2"/>
  <c r="E2003" i="2"/>
  <c r="D2003" i="2"/>
  <c r="AA2003" i="2"/>
  <c r="M2002" i="2"/>
  <c r="F2002" i="2"/>
  <c r="E2002" i="2"/>
  <c r="D2002" i="2"/>
  <c r="AA2002" i="2"/>
  <c r="M2001" i="2"/>
  <c r="E2001" i="2"/>
  <c r="F2001" i="2"/>
  <c r="D2001" i="2"/>
  <c r="G2001" i="2" s="1"/>
  <c r="AA2001" i="2"/>
  <c r="M2000" i="2"/>
  <c r="D2000" i="2"/>
  <c r="E2000" i="2"/>
  <c r="F2000" i="2"/>
  <c r="AA2000" i="2"/>
  <c r="M1999" i="2"/>
  <c r="F1999" i="2"/>
  <c r="E1999" i="2"/>
  <c r="D1999" i="2"/>
  <c r="AA1999" i="2"/>
  <c r="M1998" i="2"/>
  <c r="D1998" i="2"/>
  <c r="E1998" i="2"/>
  <c r="F1998" i="2"/>
  <c r="AA1998" i="2"/>
  <c r="M1997" i="2"/>
  <c r="D1997" i="2"/>
  <c r="E1997" i="2"/>
  <c r="F1997" i="2"/>
  <c r="AA1997" i="2"/>
  <c r="M1996" i="2"/>
  <c r="E1996" i="2"/>
  <c r="D1996" i="2"/>
  <c r="F1996" i="2"/>
  <c r="AA1996" i="2"/>
  <c r="M1995" i="2"/>
  <c r="D1995" i="2"/>
  <c r="F1995" i="2"/>
  <c r="E1995" i="2"/>
  <c r="AA1995" i="2"/>
  <c r="M1994" i="2"/>
  <c r="F1994" i="2"/>
  <c r="E1994" i="2"/>
  <c r="D1994" i="2"/>
  <c r="AA1994" i="2"/>
  <c r="M1993" i="2"/>
  <c r="N1993" i="2" s="1"/>
  <c r="O1993" i="2"/>
  <c r="F1993" i="2"/>
  <c r="E1993" i="2"/>
  <c r="D1993" i="2"/>
  <c r="AA1993" i="2"/>
  <c r="M1992" i="2"/>
  <c r="E1992" i="2"/>
  <c r="F1992" i="2"/>
  <c r="D1992" i="2"/>
  <c r="G1992" i="2" s="1"/>
  <c r="AA1992" i="2"/>
  <c r="M1991" i="2"/>
  <c r="E1991" i="2"/>
  <c r="D1991" i="2"/>
  <c r="F1991" i="2"/>
  <c r="AA1991" i="2"/>
  <c r="M1990" i="2"/>
  <c r="D1990" i="2"/>
  <c r="F1990" i="2"/>
  <c r="E1990" i="2"/>
  <c r="AA1990" i="2"/>
  <c r="M1989" i="2"/>
  <c r="F1989" i="2"/>
  <c r="E1989" i="2"/>
  <c r="D1989" i="2"/>
  <c r="G1989" i="2" s="1"/>
  <c r="V1989" i="2" s="1"/>
  <c r="AA1989" i="2"/>
  <c r="M1988" i="2"/>
  <c r="F1988" i="2"/>
  <c r="E1988" i="2"/>
  <c r="D1988" i="2"/>
  <c r="G1988" i="2" s="1"/>
  <c r="V1988" i="2" s="1"/>
  <c r="AA1988" i="2"/>
  <c r="M1987" i="2"/>
  <c r="D1987" i="2"/>
  <c r="F1987" i="2"/>
  <c r="E1987" i="2"/>
  <c r="AA1987" i="2"/>
  <c r="M1986" i="2"/>
  <c r="F1986" i="2"/>
  <c r="D1986" i="2"/>
  <c r="E1986" i="2"/>
  <c r="AA1986" i="2"/>
  <c r="J1984" i="4"/>
  <c r="N1984" i="4" s="1"/>
  <c r="M1985" i="2"/>
  <c r="E1985" i="2"/>
  <c r="D1985" i="2"/>
  <c r="F1985" i="2"/>
  <c r="AA1985" i="2"/>
  <c r="M1984" i="2"/>
  <c r="F1984" i="2"/>
  <c r="E1984" i="2"/>
  <c r="D1984" i="2"/>
  <c r="AA1984" i="2"/>
  <c r="M1983" i="2"/>
  <c r="F1983" i="2"/>
  <c r="E1983" i="2"/>
  <c r="D1983" i="2"/>
  <c r="J1983" i="4"/>
  <c r="N1983" i="4" s="1"/>
  <c r="AA1983" i="2"/>
  <c r="M1982" i="2"/>
  <c r="F1982" i="2"/>
  <c r="E1982" i="2"/>
  <c r="D1982" i="2"/>
  <c r="G1982" i="2" s="1"/>
  <c r="V1982" i="2" s="1"/>
  <c r="J1982" i="4"/>
  <c r="N1982" i="4" s="1"/>
  <c r="AA1982" i="2"/>
  <c r="M1981" i="2"/>
  <c r="D1981" i="2"/>
  <c r="E1981" i="2"/>
  <c r="F1981" i="2"/>
  <c r="AA1981" i="2"/>
  <c r="J1981" i="4"/>
  <c r="N1981" i="4" s="1"/>
  <c r="M1980" i="2"/>
  <c r="N1980" i="2" s="1"/>
  <c r="O1980" i="2"/>
  <c r="F1980" i="2"/>
  <c r="E1980" i="2"/>
  <c r="D1980" i="2"/>
  <c r="G1980" i="2" s="1"/>
  <c r="J1980" i="4"/>
  <c r="N1980" i="4" s="1"/>
  <c r="AA1980" i="2"/>
  <c r="M1979" i="2"/>
  <c r="N1979" i="2" s="1"/>
  <c r="O1979" i="2"/>
  <c r="E1979" i="2"/>
  <c r="D1979" i="2"/>
  <c r="F1979" i="2"/>
  <c r="AA1979" i="2"/>
  <c r="J1979" i="4"/>
  <c r="N1979" i="4" s="1"/>
  <c r="M1978" i="2"/>
  <c r="D1978" i="2"/>
  <c r="E1978" i="2"/>
  <c r="F1978" i="2"/>
  <c r="AA1978" i="2"/>
  <c r="J1978" i="4"/>
  <c r="N1978" i="4" s="1"/>
  <c r="M1977" i="2"/>
  <c r="F1977" i="2"/>
  <c r="E1977" i="2"/>
  <c r="D1977" i="2"/>
  <c r="G1977" i="2" s="1"/>
  <c r="V1977" i="2" s="1"/>
  <c r="J1977" i="4"/>
  <c r="N1977" i="4" s="1"/>
  <c r="AA1977" i="2"/>
  <c r="M1976" i="2"/>
  <c r="N1976" i="2" s="1"/>
  <c r="O1976" i="2"/>
  <c r="D1976" i="2"/>
  <c r="F1976" i="2"/>
  <c r="E1976" i="2"/>
  <c r="AA1976" i="2"/>
  <c r="J1976" i="4"/>
  <c r="N1976" i="4" s="1"/>
  <c r="M1975" i="2"/>
  <c r="N1975" i="2" s="1"/>
  <c r="O1975" i="2"/>
  <c r="D1975" i="2"/>
  <c r="E1975" i="2"/>
  <c r="F1975" i="2"/>
  <c r="AA1975" i="2"/>
  <c r="J1975" i="4"/>
  <c r="N1975" i="4" s="1"/>
  <c r="M1974" i="2"/>
  <c r="F1974" i="2"/>
  <c r="E1974" i="2"/>
  <c r="D1974" i="2"/>
  <c r="G1974" i="2" s="1"/>
  <c r="V1974" i="2" s="1"/>
  <c r="AA1974" i="2"/>
  <c r="J1974" i="4"/>
  <c r="N1974" i="4" s="1"/>
  <c r="M1973" i="2"/>
  <c r="N1973" i="2" s="1"/>
  <c r="O1973" i="2"/>
  <c r="D1973" i="2"/>
  <c r="E1973" i="2"/>
  <c r="F1973" i="2"/>
  <c r="AA1973" i="2"/>
  <c r="J1973" i="4"/>
  <c r="N1973" i="4" s="1"/>
  <c r="M1972" i="2"/>
  <c r="N1972" i="2" s="1"/>
  <c r="O1972" i="2"/>
  <c r="F1972" i="2"/>
  <c r="E1972" i="2"/>
  <c r="D1972" i="2"/>
  <c r="G1972" i="2" s="1"/>
  <c r="AA1972" i="2"/>
  <c r="J1972" i="4"/>
  <c r="N1972" i="4" s="1"/>
  <c r="M1971" i="2"/>
  <c r="D1971" i="2"/>
  <c r="F1971" i="2"/>
  <c r="E1971" i="2"/>
  <c r="AA1971" i="2"/>
  <c r="J1971" i="4"/>
  <c r="N1971" i="4" s="1"/>
  <c r="M1970" i="2"/>
  <c r="N1970" i="2" s="1"/>
  <c r="O1970" i="2"/>
  <c r="F1970" i="2"/>
  <c r="E1970" i="2"/>
  <c r="D1970" i="2"/>
  <c r="AA1970" i="2"/>
  <c r="J1970" i="4"/>
  <c r="N1970" i="4" s="1"/>
  <c r="M1969" i="2"/>
  <c r="N1969" i="2" s="1"/>
  <c r="O1969" i="2"/>
  <c r="F1969" i="2"/>
  <c r="E1969" i="2"/>
  <c r="D1969" i="2"/>
  <c r="J1969" i="4"/>
  <c r="N1969" i="4" s="1"/>
  <c r="AA1969" i="2"/>
  <c r="M1968" i="2"/>
  <c r="N1968" i="2" s="1"/>
  <c r="O1968" i="2"/>
  <c r="D1968" i="2"/>
  <c r="E1968" i="2"/>
  <c r="F1968" i="2"/>
  <c r="AA1968" i="2"/>
  <c r="J1968" i="4"/>
  <c r="N1968" i="4" s="1"/>
  <c r="M1967" i="2"/>
  <c r="F1967" i="2"/>
  <c r="D1967" i="2"/>
  <c r="E1967" i="2"/>
  <c r="AA1967" i="2"/>
  <c r="J1967" i="4"/>
  <c r="N1967" i="4" s="1"/>
  <c r="M1966" i="2"/>
  <c r="N1966" i="2" s="1"/>
  <c r="O1966" i="2"/>
  <c r="D1966" i="2"/>
  <c r="E1966" i="2"/>
  <c r="F1966" i="2"/>
  <c r="J1966" i="4"/>
  <c r="N1966" i="4" s="1"/>
  <c r="AA1966" i="2"/>
  <c r="M1965" i="2"/>
  <c r="D1965" i="2"/>
  <c r="F1965" i="2"/>
  <c r="E1965" i="2"/>
  <c r="J1965" i="4"/>
  <c r="N1965" i="4" s="1"/>
  <c r="AA1965" i="2"/>
  <c r="M1964" i="2"/>
  <c r="N1964" i="2" s="1"/>
  <c r="O1964" i="2"/>
  <c r="D1964" i="2"/>
  <c r="E1964" i="2"/>
  <c r="F1964" i="2"/>
  <c r="J1964" i="4"/>
  <c r="N1964" i="4" s="1"/>
  <c r="AA1964" i="2"/>
  <c r="M1963" i="2"/>
  <c r="E1963" i="2"/>
  <c r="F1963" i="2"/>
  <c r="D1963" i="2"/>
  <c r="G1963" i="2" s="1"/>
  <c r="V1963" i="2" s="1"/>
  <c r="AA1963" i="2"/>
  <c r="J1963" i="4"/>
  <c r="N1963" i="4" s="1"/>
  <c r="M1962" i="2"/>
  <c r="D1962" i="2"/>
  <c r="E1962" i="2"/>
  <c r="F1962" i="2"/>
  <c r="AA1962" i="2"/>
  <c r="J1962" i="4"/>
  <c r="N1962" i="4" s="1"/>
  <c r="M1961" i="2"/>
  <c r="D1961" i="2"/>
  <c r="E1961" i="2"/>
  <c r="F1961" i="2"/>
  <c r="J1961" i="4"/>
  <c r="N1961" i="4" s="1"/>
  <c r="AA1961" i="2"/>
  <c r="M1960" i="2"/>
  <c r="D1960" i="2"/>
  <c r="F1960" i="2"/>
  <c r="E1960" i="2"/>
  <c r="J1960" i="4"/>
  <c r="N1960" i="4" s="1"/>
  <c r="AA1960" i="2"/>
  <c r="M1959" i="2"/>
  <c r="E1959" i="2"/>
  <c r="F1959" i="2"/>
  <c r="D1959" i="2"/>
  <c r="G1959" i="2" s="1"/>
  <c r="V1959" i="2" s="1"/>
  <c r="J1959" i="4"/>
  <c r="N1959" i="4" s="1"/>
  <c r="AA1959" i="2"/>
  <c r="M1958" i="2"/>
  <c r="D1958" i="2"/>
  <c r="E1958" i="2"/>
  <c r="F1958" i="2"/>
  <c r="AA1958" i="2"/>
  <c r="J1958" i="4"/>
  <c r="N1958" i="4" s="1"/>
  <c r="M1957" i="2"/>
  <c r="D1957" i="2"/>
  <c r="E1957" i="2"/>
  <c r="F1957" i="2"/>
  <c r="J1957" i="4"/>
  <c r="N1957" i="4" s="1"/>
  <c r="AA1957" i="2"/>
  <c r="M1956" i="2"/>
  <c r="F1956" i="2"/>
  <c r="E1956" i="2"/>
  <c r="D1956" i="2"/>
  <c r="AA1956" i="2"/>
  <c r="J1956" i="4"/>
  <c r="N1956" i="4" s="1"/>
  <c r="M1955" i="2"/>
  <c r="N1955" i="2" s="1"/>
  <c r="O1955" i="2"/>
  <c r="D1955" i="2"/>
  <c r="F1955" i="2"/>
  <c r="E1955" i="2"/>
  <c r="AA1955" i="2"/>
  <c r="J1955" i="4"/>
  <c r="N1955" i="4" s="1"/>
  <c r="M1954" i="2"/>
  <c r="D1954" i="2"/>
  <c r="E1954" i="2"/>
  <c r="F1954" i="2"/>
  <c r="AA1954" i="2"/>
  <c r="J1954" i="4"/>
  <c r="N1954" i="4" s="1"/>
  <c r="M1953" i="2"/>
  <c r="E1953" i="2"/>
  <c r="F1953" i="2"/>
  <c r="D1953" i="2"/>
  <c r="G1953" i="2" s="1"/>
  <c r="V1953" i="2" s="1"/>
  <c r="J1953" i="4"/>
  <c r="N1953" i="4" s="1"/>
  <c r="AA1953" i="2"/>
  <c r="M1952" i="2"/>
  <c r="D1952" i="2"/>
  <c r="E1952" i="2"/>
  <c r="F1952" i="2"/>
  <c r="AA1952" i="2"/>
  <c r="J1952" i="4"/>
  <c r="N1952" i="4" s="1"/>
  <c r="M1951" i="2"/>
  <c r="N1951" i="2" s="1"/>
  <c r="O1951" i="2"/>
  <c r="D1951" i="2"/>
  <c r="E1951" i="2"/>
  <c r="F1951" i="2"/>
  <c r="AA1951" i="2"/>
  <c r="J1951" i="4"/>
  <c r="N1951" i="4" s="1"/>
  <c r="M1950" i="2"/>
  <c r="N1950" i="2" s="1"/>
  <c r="O1950" i="2"/>
  <c r="D1950" i="2"/>
  <c r="E1950" i="2"/>
  <c r="F1950" i="2"/>
  <c r="M1949" i="2"/>
  <c r="D1949" i="2"/>
  <c r="F1949" i="2"/>
  <c r="E1949" i="2"/>
  <c r="AA1949" i="2"/>
  <c r="M1948" i="2"/>
  <c r="N1948" i="2" s="1"/>
  <c r="O1948" i="2"/>
  <c r="D1948" i="2"/>
  <c r="E1948" i="2"/>
  <c r="F1948" i="2"/>
  <c r="AA1948" i="2"/>
  <c r="M1947" i="2"/>
  <c r="F1947" i="2"/>
  <c r="E1947" i="2"/>
  <c r="D1947" i="2"/>
  <c r="AA1947" i="2"/>
  <c r="M1946" i="2"/>
  <c r="N1946" i="2" s="1"/>
  <c r="O1946" i="2"/>
  <c r="D1946" i="2"/>
  <c r="E1946" i="2"/>
  <c r="F1946" i="2"/>
  <c r="AA1946" i="2"/>
  <c r="M1945" i="2"/>
  <c r="E1945" i="2"/>
  <c r="D1945" i="2"/>
  <c r="F1945" i="2"/>
  <c r="AA1945" i="2"/>
  <c r="M1944" i="2"/>
  <c r="D1944" i="2"/>
  <c r="E1944" i="2"/>
  <c r="F1944" i="2"/>
  <c r="AA1944" i="2"/>
  <c r="M1943" i="2"/>
  <c r="N1943" i="2" s="1"/>
  <c r="O1943" i="2"/>
  <c r="E1943" i="2"/>
  <c r="F1943" i="2"/>
  <c r="D1943" i="2"/>
  <c r="G1943" i="2" s="1"/>
  <c r="AA1943" i="2"/>
  <c r="M1942" i="2"/>
  <c r="N1942" i="2" s="1"/>
  <c r="O1942" i="2"/>
  <c r="F1942" i="2"/>
  <c r="D1942" i="2"/>
  <c r="E1942" i="2"/>
  <c r="AA1942" i="2"/>
  <c r="M1941" i="2"/>
  <c r="F1941" i="2"/>
  <c r="E1941" i="2"/>
  <c r="D1941" i="2"/>
  <c r="G1941" i="2" s="1"/>
  <c r="V1941" i="2" s="1"/>
  <c r="AA1941" i="2"/>
  <c r="M1940" i="2"/>
  <c r="F1940" i="2"/>
  <c r="E1940" i="2"/>
  <c r="D1940" i="2"/>
  <c r="G1940" i="2" s="1"/>
  <c r="V1940" i="2" s="1"/>
  <c r="AA1940" i="2"/>
  <c r="M1939" i="2"/>
  <c r="E1939" i="2"/>
  <c r="D1939" i="2"/>
  <c r="F1939" i="2"/>
  <c r="AA1939" i="2"/>
  <c r="M1938" i="2"/>
  <c r="F1938" i="2"/>
  <c r="E1938" i="2"/>
  <c r="D1938" i="2"/>
  <c r="AA1938" i="2"/>
  <c r="M1937" i="2"/>
  <c r="E1937" i="2"/>
  <c r="D1937" i="2"/>
  <c r="F1937" i="2"/>
  <c r="AA1937" i="2"/>
  <c r="M1936" i="2"/>
  <c r="N1936" i="2" s="1"/>
  <c r="O1936" i="2"/>
  <c r="F1936" i="2"/>
  <c r="E1936" i="2"/>
  <c r="D1936" i="2"/>
  <c r="AA1936" i="2"/>
  <c r="M1935" i="2"/>
  <c r="F1935" i="2"/>
  <c r="E1935" i="2"/>
  <c r="D1935" i="2"/>
  <c r="AA1935" i="2"/>
  <c r="M1934" i="2"/>
  <c r="F1934" i="2"/>
  <c r="E1934" i="2"/>
  <c r="D1934" i="2"/>
  <c r="G1934" i="2" s="1"/>
  <c r="V1934" i="2" s="1"/>
  <c r="AA1934" i="2"/>
  <c r="M1933" i="2"/>
  <c r="D1933" i="2"/>
  <c r="E1933" i="2"/>
  <c r="F1933" i="2"/>
  <c r="J1933" i="4"/>
  <c r="N1933" i="4" s="1"/>
  <c r="AA1933" i="2"/>
  <c r="M1932" i="2"/>
  <c r="F1932" i="2"/>
  <c r="D1932" i="2"/>
  <c r="E1932" i="2"/>
  <c r="AA1932" i="2"/>
  <c r="J1932" i="4"/>
  <c r="N1932" i="4" s="1"/>
  <c r="M1931" i="2"/>
  <c r="N1931" i="2" s="1"/>
  <c r="O1931" i="2"/>
  <c r="D1931" i="2"/>
  <c r="E1931" i="2"/>
  <c r="F1931" i="2"/>
  <c r="J1931" i="4"/>
  <c r="N1931" i="4" s="1"/>
  <c r="AA1931" i="2"/>
  <c r="M1930" i="2"/>
  <c r="N1930" i="2" s="1"/>
  <c r="O1930" i="2"/>
  <c r="F1930" i="2"/>
  <c r="D1930" i="2"/>
  <c r="E1930" i="2"/>
  <c r="J1930" i="4"/>
  <c r="N1930" i="4" s="1"/>
  <c r="AA1930" i="2"/>
  <c r="M1929" i="2"/>
  <c r="E1929" i="2"/>
  <c r="F1929" i="2"/>
  <c r="D1929" i="2"/>
  <c r="J1929" i="4"/>
  <c r="N1929" i="4" s="1"/>
  <c r="AA1929" i="2"/>
  <c r="M1928" i="2"/>
  <c r="D1928" i="2"/>
  <c r="E1928" i="2"/>
  <c r="F1928" i="2"/>
  <c r="J1928" i="4"/>
  <c r="N1928" i="4" s="1"/>
  <c r="AA1928" i="2"/>
  <c r="M1927" i="2"/>
  <c r="N1927" i="2" s="1"/>
  <c r="O1927" i="2"/>
  <c r="F1927" i="2"/>
  <c r="E1927" i="2"/>
  <c r="D1927" i="2"/>
  <c r="G1927" i="2" s="1"/>
  <c r="J1927" i="4"/>
  <c r="N1927" i="4" s="1"/>
  <c r="AA1927" i="2"/>
  <c r="M1926" i="2"/>
  <c r="N1926" i="2" s="1"/>
  <c r="O1926" i="2"/>
  <c r="D1926" i="2"/>
  <c r="E1926" i="2"/>
  <c r="F1926" i="2"/>
  <c r="J1926" i="4"/>
  <c r="N1926" i="4" s="1"/>
  <c r="AA1926" i="2"/>
  <c r="M1925" i="2"/>
  <c r="N1925" i="2" s="1"/>
  <c r="O1925" i="2"/>
  <c r="E1925" i="2"/>
  <c r="F1925" i="2"/>
  <c r="D1925" i="2"/>
  <c r="G1925" i="2" s="1"/>
  <c r="AA1925" i="2"/>
  <c r="J1925" i="4"/>
  <c r="N1925" i="4" s="1"/>
  <c r="M1924" i="2"/>
  <c r="F1924" i="2"/>
  <c r="E1924" i="2"/>
  <c r="D1924" i="2"/>
  <c r="G1924" i="2" s="1"/>
  <c r="J1924" i="4"/>
  <c r="N1924" i="4" s="1"/>
  <c r="AA1924" i="2"/>
  <c r="M1923" i="2"/>
  <c r="D1923" i="2"/>
  <c r="F1923" i="2"/>
  <c r="E1923" i="2"/>
  <c r="J1923" i="4"/>
  <c r="N1923" i="4" s="1"/>
  <c r="AA1923" i="2"/>
  <c r="M1922" i="2"/>
  <c r="F1922" i="2"/>
  <c r="E1922" i="2"/>
  <c r="D1922" i="2"/>
  <c r="G1922" i="2" s="1"/>
  <c r="V1922" i="2" s="1"/>
  <c r="J1922" i="4"/>
  <c r="N1922" i="4" s="1"/>
  <c r="AA1922" i="2"/>
  <c r="M1921" i="2"/>
  <c r="N1921" i="2" s="1"/>
  <c r="O1921" i="2"/>
  <c r="F1921" i="2"/>
  <c r="E1921" i="2"/>
  <c r="D1921" i="2"/>
  <c r="J1921" i="4"/>
  <c r="N1921" i="4" s="1"/>
  <c r="AA1921" i="2"/>
  <c r="M1920" i="2"/>
  <c r="F1920" i="2"/>
  <c r="E1920" i="2"/>
  <c r="D1920" i="2"/>
  <c r="G1920" i="2" s="1"/>
  <c r="V1920" i="2" s="1"/>
  <c r="J1920" i="4"/>
  <c r="N1920" i="4" s="1"/>
  <c r="AA1920" i="2"/>
  <c r="M1919" i="2"/>
  <c r="D1919" i="2"/>
  <c r="F1919" i="2"/>
  <c r="E1919" i="2"/>
  <c r="J1919" i="4"/>
  <c r="N1919" i="4" s="1"/>
  <c r="AA1919" i="2"/>
  <c r="M1918" i="2"/>
  <c r="D1918" i="2"/>
  <c r="E1918" i="2"/>
  <c r="F1918" i="2"/>
  <c r="J1918" i="4"/>
  <c r="N1918" i="4" s="1"/>
  <c r="AA1918" i="2"/>
  <c r="M1917" i="2"/>
  <c r="F1917" i="2"/>
  <c r="E1917" i="2"/>
  <c r="D1917" i="2"/>
  <c r="G1917" i="2" s="1"/>
  <c r="V1917" i="2" s="1"/>
  <c r="J1917" i="4"/>
  <c r="N1917" i="4" s="1"/>
  <c r="AA1917" i="2"/>
  <c r="M1916" i="2"/>
  <c r="D1916" i="2"/>
  <c r="F1916" i="2"/>
  <c r="E1916" i="2"/>
  <c r="J1916" i="4"/>
  <c r="N1916" i="4" s="1"/>
  <c r="AA1916" i="2"/>
  <c r="M1915" i="2"/>
  <c r="F1915" i="2"/>
  <c r="E1915" i="2"/>
  <c r="D1915" i="2"/>
  <c r="G1915" i="2" s="1"/>
  <c r="V1915" i="2" s="1"/>
  <c r="J1915" i="4"/>
  <c r="N1915" i="4" s="1"/>
  <c r="AA1915" i="2"/>
  <c r="M1914" i="2"/>
  <c r="D1914" i="2"/>
  <c r="E1914" i="2"/>
  <c r="F1914" i="2"/>
  <c r="J1914" i="4"/>
  <c r="N1914" i="4" s="1"/>
  <c r="AA1914" i="2"/>
  <c r="M1913" i="2"/>
  <c r="E1913" i="2"/>
  <c r="F1913" i="2"/>
  <c r="D1913" i="2"/>
  <c r="AA1913" i="2"/>
  <c r="J1913" i="4"/>
  <c r="N1913" i="4" s="1"/>
  <c r="M1912" i="2"/>
  <c r="F1912" i="2"/>
  <c r="E1912" i="2"/>
  <c r="D1912" i="2"/>
  <c r="J1912" i="4"/>
  <c r="N1912" i="4" s="1"/>
  <c r="AA1912" i="2"/>
  <c r="M1911" i="2"/>
  <c r="D1911" i="2"/>
  <c r="E1911" i="2"/>
  <c r="F1911" i="2"/>
  <c r="J1911" i="4"/>
  <c r="N1911" i="4" s="1"/>
  <c r="AA1911" i="2"/>
  <c r="M1910" i="2"/>
  <c r="N1910" i="2" s="1"/>
  <c r="O1910" i="2"/>
  <c r="E1910" i="2"/>
  <c r="F1910" i="2"/>
  <c r="D1910" i="2"/>
  <c r="G1910" i="2" s="1"/>
  <c r="AA1910" i="2"/>
  <c r="J1910" i="4"/>
  <c r="N1910" i="4" s="1"/>
  <c r="M1909" i="2"/>
  <c r="D1909" i="2"/>
  <c r="E1909" i="2"/>
  <c r="F1909" i="2"/>
  <c r="AA1909" i="2"/>
  <c r="J1909" i="4"/>
  <c r="N1909" i="4" s="1"/>
  <c r="M1908" i="2"/>
  <c r="N1908" i="2" s="1"/>
  <c r="O1908" i="2"/>
  <c r="F1908" i="2"/>
  <c r="E1908" i="2"/>
  <c r="D1908" i="2"/>
  <c r="G1908" i="2" s="1"/>
  <c r="AA1908" i="2"/>
  <c r="J1908" i="4"/>
  <c r="N1908" i="4" s="1"/>
  <c r="M1907" i="2"/>
  <c r="F1907" i="2"/>
  <c r="E1907" i="2"/>
  <c r="D1907" i="2"/>
  <c r="J1907" i="4"/>
  <c r="N1907" i="4" s="1"/>
  <c r="AA1907" i="2"/>
  <c r="M1906" i="2"/>
  <c r="D1906" i="2"/>
  <c r="E1906" i="2"/>
  <c r="F1906" i="2"/>
  <c r="J1906" i="4"/>
  <c r="N1906" i="4" s="1"/>
  <c r="AA1906" i="2"/>
  <c r="M1905" i="2"/>
  <c r="D1905" i="2"/>
  <c r="E1905" i="2"/>
  <c r="F1905" i="2"/>
  <c r="J1905" i="4"/>
  <c r="N1905" i="4" s="1"/>
  <c r="AA1905" i="2"/>
  <c r="M1904" i="2"/>
  <c r="D1904" i="2"/>
  <c r="E1904" i="2"/>
  <c r="F1904" i="2"/>
  <c r="J1904" i="4"/>
  <c r="N1904" i="4" s="1"/>
  <c r="AA1904" i="2"/>
  <c r="M1903" i="2"/>
  <c r="N1903" i="2" s="1"/>
  <c r="O1903" i="2"/>
  <c r="E1903" i="2"/>
  <c r="D1903" i="2"/>
  <c r="F1903" i="2"/>
  <c r="AA1903" i="2"/>
  <c r="J1903" i="4"/>
  <c r="N1903" i="4" s="1"/>
  <c r="M1902" i="2"/>
  <c r="N1902" i="2" s="1"/>
  <c r="O1902" i="2"/>
  <c r="E1902" i="2"/>
  <c r="F1902" i="2"/>
  <c r="D1902" i="2"/>
  <c r="G1902" i="2" s="1"/>
  <c r="AA1902" i="2"/>
  <c r="J1902" i="4"/>
  <c r="N1902" i="4" s="1"/>
  <c r="M1901" i="2"/>
  <c r="E1901" i="2"/>
  <c r="D1901" i="2"/>
  <c r="F1901" i="2"/>
  <c r="J1901" i="4"/>
  <c r="N1901" i="4" s="1"/>
  <c r="AA1901" i="2"/>
  <c r="M1900" i="2"/>
  <c r="E1900" i="2"/>
  <c r="D1900" i="2"/>
  <c r="F1900" i="2"/>
  <c r="J1900" i="4"/>
  <c r="N1900" i="4" s="1"/>
  <c r="AA1900" i="2"/>
  <c r="M1899" i="2"/>
  <c r="N1899" i="2" s="1"/>
  <c r="O1899" i="2"/>
  <c r="E1899" i="2"/>
  <c r="F1899" i="2"/>
  <c r="D1899" i="2"/>
  <c r="AA1899" i="2"/>
  <c r="J1899" i="4"/>
  <c r="N1899" i="4" s="1"/>
  <c r="M1898" i="2"/>
  <c r="N1898" i="2" s="1"/>
  <c r="O1898" i="2"/>
  <c r="D1898" i="2"/>
  <c r="E1898" i="2"/>
  <c r="F1898" i="2"/>
  <c r="AA1898" i="2"/>
  <c r="J1898" i="4"/>
  <c r="N1898" i="4" s="1"/>
  <c r="M1897" i="2"/>
  <c r="F1897" i="2"/>
  <c r="E1897" i="2"/>
  <c r="D1897" i="2"/>
  <c r="J1897" i="4"/>
  <c r="N1897" i="4" s="1"/>
  <c r="AA1897" i="2"/>
  <c r="M1896" i="2"/>
  <c r="F1896" i="2"/>
  <c r="E1896" i="2"/>
  <c r="D1896" i="2"/>
  <c r="G1896" i="2" s="1"/>
  <c r="V1896" i="2" s="1"/>
  <c r="AA1896" i="2"/>
  <c r="J1896" i="4"/>
  <c r="N1896" i="4" s="1"/>
  <c r="M1895" i="2"/>
  <c r="F1895" i="2"/>
  <c r="D1895" i="2"/>
  <c r="E1895" i="2"/>
  <c r="J1895" i="4"/>
  <c r="N1895" i="4" s="1"/>
  <c r="AA1895" i="2"/>
  <c r="M1894" i="2"/>
  <c r="N1894" i="2" s="1"/>
  <c r="O1894" i="2"/>
  <c r="D1894" i="2"/>
  <c r="E1894" i="2"/>
  <c r="F1894" i="2"/>
  <c r="J1894" i="4"/>
  <c r="N1894" i="4" s="1"/>
  <c r="AA1894" i="2"/>
  <c r="M1893" i="2"/>
  <c r="E1893" i="2"/>
  <c r="F1893" i="2"/>
  <c r="D1893" i="2"/>
  <c r="AA1893" i="2"/>
  <c r="J1893" i="4"/>
  <c r="N1893" i="4" s="1"/>
  <c r="M1892" i="2"/>
  <c r="E1892" i="2"/>
  <c r="F1892" i="2"/>
  <c r="D1892" i="2"/>
  <c r="J1892" i="4"/>
  <c r="N1892" i="4" s="1"/>
  <c r="AA1892" i="2"/>
  <c r="M1891" i="2"/>
  <c r="D1891" i="2"/>
  <c r="F1891" i="2"/>
  <c r="E1891" i="2"/>
  <c r="J1891" i="4"/>
  <c r="N1891" i="4" s="1"/>
  <c r="AA1891" i="2"/>
  <c r="M1890" i="2"/>
  <c r="F1890" i="2"/>
  <c r="E1890" i="2"/>
  <c r="D1890" i="2"/>
  <c r="J1890" i="4"/>
  <c r="N1890" i="4" s="1"/>
  <c r="AA1890" i="2"/>
  <c r="M1889" i="2"/>
  <c r="F1889" i="2"/>
  <c r="E1889" i="2"/>
  <c r="D1889" i="2"/>
  <c r="J1889" i="4"/>
  <c r="N1889" i="4" s="1"/>
  <c r="AA1889" i="2"/>
  <c r="M1888" i="2"/>
  <c r="F1888" i="2"/>
  <c r="E1888" i="2"/>
  <c r="D1888" i="2"/>
  <c r="G1888" i="2" s="1"/>
  <c r="J1888" i="4"/>
  <c r="N1888" i="4" s="1"/>
  <c r="AA1888" i="2"/>
  <c r="M1887" i="2"/>
  <c r="D1887" i="2"/>
  <c r="E1887" i="2"/>
  <c r="F1887" i="2"/>
  <c r="J1887" i="4"/>
  <c r="N1887" i="4" s="1"/>
  <c r="AA1887" i="2"/>
  <c r="M1886" i="2"/>
  <c r="D1886" i="2"/>
  <c r="E1886" i="2"/>
  <c r="F1886" i="2"/>
  <c r="AA1886" i="2"/>
  <c r="J1886" i="4"/>
  <c r="N1886" i="4" s="1"/>
  <c r="M1885" i="2"/>
  <c r="N1885" i="2" s="1"/>
  <c r="O1885" i="2"/>
  <c r="F1885" i="2"/>
  <c r="E1885" i="2"/>
  <c r="D1885" i="2"/>
  <c r="G1885" i="2" s="1"/>
  <c r="AA1885" i="2"/>
  <c r="J1885" i="4"/>
  <c r="N1885" i="4" s="1"/>
  <c r="M1884" i="2"/>
  <c r="F1884" i="2"/>
  <c r="E1884" i="2"/>
  <c r="D1884" i="2"/>
  <c r="G1884" i="2" s="1"/>
  <c r="V1884" i="2" s="1"/>
  <c r="J1884" i="4"/>
  <c r="N1884" i="4" s="1"/>
  <c r="AA1884" i="2"/>
  <c r="M1883" i="2"/>
  <c r="D1883" i="2"/>
  <c r="E1883" i="2"/>
  <c r="F1883" i="2"/>
  <c r="J1883" i="4"/>
  <c r="N1883" i="4" s="1"/>
  <c r="AA1883" i="2"/>
  <c r="M1882" i="2"/>
  <c r="D1882" i="2"/>
  <c r="E1882" i="2"/>
  <c r="F1882" i="2"/>
  <c r="J1882" i="4"/>
  <c r="N1882" i="4" s="1"/>
  <c r="AA1882" i="2"/>
  <c r="M1881" i="2"/>
  <c r="D1881" i="2"/>
  <c r="E1881" i="2"/>
  <c r="F1881" i="2"/>
  <c r="J1881" i="4"/>
  <c r="N1881" i="4" s="1"/>
  <c r="AA1881" i="2"/>
  <c r="M1880" i="2"/>
  <c r="E1880" i="2"/>
  <c r="D1880" i="2"/>
  <c r="F1880" i="2"/>
  <c r="J1880" i="4"/>
  <c r="N1880" i="4" s="1"/>
  <c r="AA1880" i="2"/>
  <c r="M1879" i="2"/>
  <c r="F1879" i="2"/>
  <c r="E1879" i="2"/>
  <c r="D1879" i="2"/>
  <c r="G1879" i="2" s="1"/>
  <c r="V1879" i="2" s="1"/>
  <c r="AA1879" i="2"/>
  <c r="J1879" i="4"/>
  <c r="N1879" i="4" s="1"/>
  <c r="M1878" i="2"/>
  <c r="F1878" i="2"/>
  <c r="E1878" i="2"/>
  <c r="D1878" i="2"/>
  <c r="J1878" i="4"/>
  <c r="N1878" i="4" s="1"/>
  <c r="AA1878" i="2"/>
  <c r="M1877" i="2"/>
  <c r="E1877" i="2"/>
  <c r="F1877" i="2"/>
  <c r="D1877" i="2"/>
  <c r="G1877" i="2" s="1"/>
  <c r="V1877" i="2" s="1"/>
  <c r="J1877" i="4"/>
  <c r="N1877" i="4" s="1"/>
  <c r="AA1877" i="2"/>
  <c r="M1876" i="2"/>
  <c r="D1876" i="2"/>
  <c r="F1876" i="2"/>
  <c r="E1876" i="2"/>
  <c r="AA1876" i="2"/>
  <c r="J1876" i="4"/>
  <c r="N1876" i="4" s="1"/>
  <c r="M1875" i="2"/>
  <c r="N1875" i="2" s="1"/>
  <c r="O1875" i="2"/>
  <c r="F1875" i="2"/>
  <c r="E1875" i="2"/>
  <c r="D1875" i="2"/>
  <c r="AA1875" i="2"/>
  <c r="J1875" i="4"/>
  <c r="N1875" i="4" s="1"/>
  <c r="M1874" i="2"/>
  <c r="E1874" i="2"/>
  <c r="D1874" i="2"/>
  <c r="F1874" i="2"/>
  <c r="AA1874" i="2"/>
  <c r="J1874" i="4"/>
  <c r="N1874" i="4" s="1"/>
  <c r="M1873" i="2"/>
  <c r="D1873" i="2"/>
  <c r="E1873" i="2"/>
  <c r="F1873" i="2"/>
  <c r="J1873" i="4"/>
  <c r="N1873" i="4" s="1"/>
  <c r="AA1873" i="2"/>
  <c r="M1872" i="2"/>
  <c r="F1872" i="2"/>
  <c r="E1872" i="2"/>
  <c r="D1872" i="2"/>
  <c r="AA1872" i="2"/>
  <c r="J1872" i="4"/>
  <c r="N1872" i="4" s="1"/>
  <c r="M1871" i="2"/>
  <c r="F1871" i="2"/>
  <c r="D1871" i="2"/>
  <c r="E1871" i="2"/>
  <c r="J1871" i="4"/>
  <c r="N1871" i="4" s="1"/>
  <c r="AA1871" i="2"/>
  <c r="M1870" i="2"/>
  <c r="D1870" i="2"/>
  <c r="E1870" i="2"/>
  <c r="F1870" i="2"/>
  <c r="J1870" i="4"/>
  <c r="N1870" i="4" s="1"/>
  <c r="AA1870" i="2"/>
  <c r="M1869" i="2"/>
  <c r="D1869" i="2"/>
  <c r="F1869" i="2"/>
  <c r="E1869" i="2"/>
  <c r="J1869" i="4"/>
  <c r="N1869" i="4" s="1"/>
  <c r="AA1869" i="2"/>
  <c r="M1868" i="2"/>
  <c r="F1868" i="2"/>
  <c r="E1868" i="2"/>
  <c r="D1868" i="2"/>
  <c r="G1868" i="2" s="1"/>
  <c r="V1868" i="2" s="1"/>
  <c r="J1868" i="4"/>
  <c r="N1868" i="4" s="1"/>
  <c r="AA1868" i="2"/>
  <c r="M1867" i="2"/>
  <c r="N1867" i="2" s="1"/>
  <c r="O1867" i="2"/>
  <c r="D1867" i="2"/>
  <c r="E1867" i="2"/>
  <c r="F1867" i="2"/>
  <c r="J1867" i="4"/>
  <c r="N1867" i="4" s="1"/>
  <c r="AA1867" i="2"/>
  <c r="M1866" i="2"/>
  <c r="F1866" i="2"/>
  <c r="E1866" i="2"/>
  <c r="D1866" i="2"/>
  <c r="G1866" i="2" s="1"/>
  <c r="V1866" i="2" s="1"/>
  <c r="J1866" i="4"/>
  <c r="N1866" i="4" s="1"/>
  <c r="AA1866" i="2"/>
  <c r="M1865" i="2"/>
  <c r="E1865" i="2"/>
  <c r="F1865" i="2"/>
  <c r="D1865" i="2"/>
  <c r="AA1865" i="2"/>
  <c r="J1865" i="4"/>
  <c r="N1865" i="4" s="1"/>
  <c r="M1864" i="2"/>
  <c r="D1864" i="2"/>
  <c r="E1864" i="2"/>
  <c r="F1864" i="2"/>
  <c r="J1864" i="4"/>
  <c r="N1864" i="4" s="1"/>
  <c r="AA1864" i="2"/>
  <c r="M1863" i="2"/>
  <c r="N1863" i="2" s="1"/>
  <c r="O1863" i="2"/>
  <c r="E1863" i="2"/>
  <c r="F1863" i="2"/>
  <c r="D1863" i="2"/>
  <c r="G1863" i="2" s="1"/>
  <c r="AA1863" i="2"/>
  <c r="J1863" i="4"/>
  <c r="N1863" i="4" s="1"/>
  <c r="M1862" i="2"/>
  <c r="F1862" i="2"/>
  <c r="D1862" i="2"/>
  <c r="E1862" i="2"/>
  <c r="J1862" i="4"/>
  <c r="N1862" i="4" s="1"/>
  <c r="AA1862" i="2"/>
  <c r="M1861" i="2"/>
  <c r="F1861" i="2"/>
  <c r="E1861" i="2"/>
  <c r="D1861" i="2"/>
  <c r="G1861" i="2" s="1"/>
  <c r="J1861" i="4"/>
  <c r="N1861" i="4" s="1"/>
  <c r="AA1861" i="2"/>
  <c r="M1860" i="2"/>
  <c r="F1860" i="2"/>
  <c r="E1860" i="2"/>
  <c r="D1860" i="2"/>
  <c r="G1860" i="2" s="1"/>
  <c r="V1860" i="2" s="1"/>
  <c r="J1860" i="4"/>
  <c r="N1860" i="4" s="1"/>
  <c r="AA1860" i="2"/>
  <c r="M1859" i="2"/>
  <c r="E1859" i="2"/>
  <c r="D1859" i="2"/>
  <c r="F1859" i="2"/>
  <c r="J1859" i="4"/>
  <c r="N1859" i="4" s="1"/>
  <c r="AA1859" i="2"/>
  <c r="M1858" i="2"/>
  <c r="F1858" i="2"/>
  <c r="E1858" i="2"/>
  <c r="D1858" i="2"/>
  <c r="G1858" i="2" s="1"/>
  <c r="J1858" i="4"/>
  <c r="N1858" i="4" s="1"/>
  <c r="AA1858" i="2"/>
  <c r="M1857" i="2"/>
  <c r="D1857" i="2"/>
  <c r="E1857" i="2"/>
  <c r="F1857" i="2"/>
  <c r="J1857" i="4"/>
  <c r="N1857" i="4" s="1"/>
  <c r="AA1857" i="2"/>
  <c r="M1856" i="2"/>
  <c r="D1856" i="2"/>
  <c r="E1856" i="2"/>
  <c r="F1856" i="2"/>
  <c r="AA1856" i="2"/>
  <c r="J1856" i="4"/>
  <c r="N1856" i="4" s="1"/>
  <c r="M1855" i="2"/>
  <c r="N1855" i="2" s="1"/>
  <c r="O1855" i="2"/>
  <c r="D1855" i="2"/>
  <c r="E1855" i="2"/>
  <c r="F1855" i="2"/>
  <c r="AA1855" i="2"/>
  <c r="J1855" i="4"/>
  <c r="N1855" i="4" s="1"/>
  <c r="M1854" i="2"/>
  <c r="E1854" i="2"/>
  <c r="F1854" i="2"/>
  <c r="D1854" i="2"/>
  <c r="AA1854" i="2"/>
  <c r="J1854" i="4"/>
  <c r="N1854" i="4" s="1"/>
  <c r="M1853" i="2"/>
  <c r="F1853" i="2"/>
  <c r="E1853" i="2"/>
  <c r="D1853" i="2"/>
  <c r="G1853" i="2" s="1"/>
  <c r="J1853" i="4"/>
  <c r="N1853" i="4" s="1"/>
  <c r="AA1853" i="2"/>
  <c r="M1852" i="2"/>
  <c r="D1852" i="2"/>
  <c r="E1852" i="2"/>
  <c r="F1852" i="2"/>
  <c r="J1852" i="4"/>
  <c r="N1852" i="4" s="1"/>
  <c r="AA1852" i="2"/>
  <c r="M1851" i="2"/>
  <c r="N1851" i="2" s="1"/>
  <c r="O1851" i="2"/>
  <c r="F1851" i="2"/>
  <c r="D1851" i="2"/>
  <c r="E1851" i="2"/>
  <c r="J1851" i="4"/>
  <c r="N1851" i="4" s="1"/>
  <c r="AA1851" i="2"/>
  <c r="M1850" i="2"/>
  <c r="F1850" i="2"/>
  <c r="E1850" i="2"/>
  <c r="D1850" i="2"/>
  <c r="G1850" i="2" s="1"/>
  <c r="V1850" i="2" s="1"/>
  <c r="J1850" i="4"/>
  <c r="N1850" i="4" s="1"/>
  <c r="AA1850" i="2"/>
  <c r="M1849" i="2"/>
  <c r="F1849" i="2"/>
  <c r="D1849" i="2"/>
  <c r="E1849" i="2"/>
  <c r="AA1849" i="2"/>
  <c r="J1849" i="4"/>
  <c r="N1849" i="4" s="1"/>
  <c r="M1848" i="2"/>
  <c r="N1848" i="2" s="1"/>
  <c r="O1848" i="2"/>
  <c r="F1848" i="2"/>
  <c r="E1848" i="2"/>
  <c r="D1848" i="2"/>
  <c r="G1848" i="2" s="1"/>
  <c r="J1848" i="4"/>
  <c r="N1848" i="4" s="1"/>
  <c r="AA1848" i="2"/>
  <c r="M1847" i="2"/>
  <c r="E1847" i="2"/>
  <c r="D1847" i="2"/>
  <c r="F1847" i="2"/>
  <c r="J1847" i="4"/>
  <c r="N1847" i="4" s="1"/>
  <c r="AA1847" i="2"/>
  <c r="M1846" i="2"/>
  <c r="F1846" i="2"/>
  <c r="E1846" i="2"/>
  <c r="D1846" i="2"/>
  <c r="J1846" i="4"/>
  <c r="N1846" i="4" s="1"/>
  <c r="AA1846" i="2"/>
  <c r="M1845" i="2"/>
  <c r="N1845" i="2" s="1"/>
  <c r="O1845" i="2"/>
  <c r="E1845" i="2"/>
  <c r="D1845" i="2"/>
  <c r="F1845" i="2"/>
  <c r="J1845" i="4"/>
  <c r="N1845" i="4" s="1"/>
  <c r="AA1845" i="2"/>
  <c r="M1844" i="2"/>
  <c r="E1844" i="2"/>
  <c r="F1844" i="2"/>
  <c r="D1844" i="2"/>
  <c r="G1844" i="2" s="1"/>
  <c r="J1844" i="4"/>
  <c r="N1844" i="4" s="1"/>
  <c r="AA1844" i="2"/>
  <c r="M1843" i="2"/>
  <c r="D1843" i="2"/>
  <c r="E1843" i="2"/>
  <c r="F1843" i="2"/>
  <c r="J1843" i="4"/>
  <c r="N1843" i="4" s="1"/>
  <c r="AA1843" i="2"/>
  <c r="M1842" i="2"/>
  <c r="N1842" i="2" s="1"/>
  <c r="O1842" i="2"/>
  <c r="F1842" i="2"/>
  <c r="D1842" i="2"/>
  <c r="E1842" i="2"/>
  <c r="AA1842" i="2"/>
  <c r="J1842" i="4"/>
  <c r="N1842" i="4" s="1"/>
  <c r="M1841" i="2"/>
  <c r="F1841" i="2"/>
  <c r="D1841" i="2"/>
  <c r="E1841" i="2"/>
  <c r="J1841" i="4"/>
  <c r="N1841" i="4" s="1"/>
  <c r="AA1841" i="2"/>
  <c r="M1840" i="2"/>
  <c r="F1840" i="2"/>
  <c r="E1840" i="2"/>
  <c r="D1840" i="2"/>
  <c r="J1840" i="4"/>
  <c r="N1840" i="4" s="1"/>
  <c r="AA1840" i="2"/>
  <c r="M1839" i="2"/>
  <c r="F1839" i="2"/>
  <c r="E1839" i="2"/>
  <c r="D1839" i="2"/>
  <c r="J1839" i="4"/>
  <c r="N1839" i="4" s="1"/>
  <c r="AA1839" i="2"/>
  <c r="M1838" i="2"/>
  <c r="F1838" i="2"/>
  <c r="E1838" i="2"/>
  <c r="D1838" i="2"/>
  <c r="AA1838" i="2"/>
  <c r="J1838" i="4"/>
  <c r="N1838" i="4" s="1"/>
  <c r="M1837" i="2"/>
  <c r="F1837" i="2"/>
  <c r="E1837" i="2"/>
  <c r="D1837" i="2"/>
  <c r="AA1837" i="2"/>
  <c r="J1837" i="4"/>
  <c r="N1837" i="4" s="1"/>
  <c r="M1836" i="2"/>
  <c r="D1836" i="2"/>
  <c r="F1836" i="2"/>
  <c r="E1836" i="2"/>
  <c r="J1836" i="4"/>
  <c r="N1836" i="4" s="1"/>
  <c r="AA1836" i="2"/>
  <c r="M1835" i="2"/>
  <c r="F1835" i="2"/>
  <c r="E1835" i="2"/>
  <c r="D1835" i="2"/>
  <c r="G1835" i="2" s="1"/>
  <c r="V1835" i="2" s="1"/>
  <c r="J1835" i="4"/>
  <c r="N1835" i="4" s="1"/>
  <c r="AA1835" i="2"/>
  <c r="M1834" i="2"/>
  <c r="F1834" i="2"/>
  <c r="E1834" i="2"/>
  <c r="D1834" i="2"/>
  <c r="J1834" i="4"/>
  <c r="N1834" i="4" s="1"/>
  <c r="AA1834" i="2"/>
  <c r="M1833" i="2"/>
  <c r="F1833" i="2"/>
  <c r="E1833" i="2"/>
  <c r="D1833" i="2"/>
  <c r="G1833" i="2" s="1"/>
  <c r="V1833" i="2" s="1"/>
  <c r="J1833" i="4"/>
  <c r="N1833" i="4" s="1"/>
  <c r="AA1833" i="2"/>
  <c r="M1832" i="2"/>
  <c r="E1832" i="2"/>
  <c r="F1832" i="2"/>
  <c r="D1832" i="2"/>
  <c r="G1832" i="2" s="1"/>
  <c r="V1832" i="2" s="1"/>
  <c r="J1832" i="4"/>
  <c r="N1832" i="4" s="1"/>
  <c r="AA1832" i="2"/>
  <c r="M1831" i="2"/>
  <c r="D1831" i="2"/>
  <c r="F1831" i="2"/>
  <c r="E1831" i="2"/>
  <c r="J1831" i="4"/>
  <c r="N1831" i="4" s="1"/>
  <c r="AA1831" i="2"/>
  <c r="M1830" i="2"/>
  <c r="D1830" i="2"/>
  <c r="F1830" i="2"/>
  <c r="E1830" i="2"/>
  <c r="AA1830" i="2"/>
  <c r="J1830" i="4"/>
  <c r="N1830" i="4" s="1"/>
  <c r="M1829" i="2"/>
  <c r="E1829" i="2"/>
  <c r="F1829" i="2"/>
  <c r="D1829" i="2"/>
  <c r="J1829" i="4"/>
  <c r="N1829" i="4" s="1"/>
  <c r="AA1829" i="2"/>
  <c r="M1828" i="2"/>
  <c r="N1828" i="2" s="1"/>
  <c r="O1828" i="2"/>
  <c r="F1828" i="2"/>
  <c r="D1828" i="2"/>
  <c r="E1828" i="2"/>
  <c r="AA1828" i="2"/>
  <c r="J1828" i="4"/>
  <c r="N1828" i="4" s="1"/>
  <c r="M1827" i="2"/>
  <c r="N1827" i="2" s="1"/>
  <c r="O1827" i="2"/>
  <c r="D1827" i="2"/>
  <c r="F1827" i="2"/>
  <c r="E1827" i="2"/>
  <c r="AA1827" i="2"/>
  <c r="J1827" i="4"/>
  <c r="N1827" i="4" s="1"/>
  <c r="M1826" i="2"/>
  <c r="D1826" i="2"/>
  <c r="E1826" i="2"/>
  <c r="F1826" i="2"/>
  <c r="AA1826" i="2"/>
  <c r="J1826" i="4"/>
  <c r="N1826" i="4" s="1"/>
  <c r="M1825" i="2"/>
  <c r="N1825" i="2" s="1"/>
  <c r="O1825" i="2"/>
  <c r="E1825" i="2"/>
  <c r="F1825" i="2"/>
  <c r="D1825" i="2"/>
  <c r="AA1825" i="2"/>
  <c r="J1825" i="4"/>
  <c r="N1825" i="4" s="1"/>
  <c r="M1824" i="2"/>
  <c r="D1824" i="2"/>
  <c r="E1824" i="2"/>
  <c r="F1824" i="2"/>
  <c r="AA1824" i="2"/>
  <c r="J1824" i="4"/>
  <c r="N1824" i="4" s="1"/>
  <c r="M1823" i="2"/>
  <c r="N1823" i="2" s="1"/>
  <c r="O1823" i="2"/>
  <c r="E1823" i="2"/>
  <c r="F1823" i="2"/>
  <c r="D1823" i="2"/>
  <c r="J1823" i="4"/>
  <c r="N1823" i="4" s="1"/>
  <c r="AA1823" i="2"/>
  <c r="M1822" i="2"/>
  <c r="E1822" i="2"/>
  <c r="D1822" i="2"/>
  <c r="F1822" i="2"/>
  <c r="AA1822" i="2"/>
  <c r="J1822" i="4"/>
  <c r="N1822" i="4" s="1"/>
  <c r="M1821" i="2"/>
  <c r="N1821" i="2" s="1"/>
  <c r="O1821" i="2"/>
  <c r="E1821" i="2"/>
  <c r="D1821" i="2"/>
  <c r="F1821" i="2"/>
  <c r="J1821" i="4"/>
  <c r="N1821" i="4" s="1"/>
  <c r="AA1821" i="2"/>
  <c r="M1820" i="2"/>
  <c r="D1820" i="2"/>
  <c r="F1820" i="2"/>
  <c r="E1820" i="2"/>
  <c r="AA1820" i="2"/>
  <c r="J1820" i="4"/>
  <c r="N1820" i="4" s="1"/>
  <c r="M1819" i="2"/>
  <c r="N1819" i="2" s="1"/>
  <c r="O1819" i="2"/>
  <c r="D1819" i="2"/>
  <c r="E1819" i="2"/>
  <c r="F1819" i="2"/>
  <c r="J1819" i="4"/>
  <c r="N1819" i="4" s="1"/>
  <c r="AA1819" i="2"/>
  <c r="M1818" i="2"/>
  <c r="N1818" i="2" s="1"/>
  <c r="O1818" i="2"/>
  <c r="D1818" i="2"/>
  <c r="E1818" i="2"/>
  <c r="F1818" i="2"/>
  <c r="AA1818" i="2"/>
  <c r="J1818" i="4"/>
  <c r="N1818" i="4" s="1"/>
  <c r="M1817" i="2"/>
  <c r="E1817" i="2"/>
  <c r="D1817" i="2"/>
  <c r="F1817" i="2"/>
  <c r="AA1817" i="2"/>
  <c r="J1817" i="4"/>
  <c r="N1817" i="4" s="1"/>
  <c r="M1816" i="2"/>
  <c r="E1816" i="2"/>
  <c r="F1816" i="2"/>
  <c r="D1816" i="2"/>
  <c r="AA1816" i="2"/>
  <c r="J1816" i="4"/>
  <c r="N1816" i="4" s="1"/>
  <c r="M1815" i="2"/>
  <c r="N1815" i="2" s="1"/>
  <c r="O1815" i="2"/>
  <c r="E1815" i="2"/>
  <c r="F1815" i="2"/>
  <c r="D1815" i="2"/>
  <c r="AA1815" i="2"/>
  <c r="J1815" i="4"/>
  <c r="N1815" i="4" s="1"/>
  <c r="M1814" i="2"/>
  <c r="N1814" i="2" s="1"/>
  <c r="O1814" i="2"/>
  <c r="F1814" i="2"/>
  <c r="E1814" i="2"/>
  <c r="D1814" i="2"/>
  <c r="AA1814" i="2"/>
  <c r="J1814" i="4"/>
  <c r="N1814" i="4" s="1"/>
  <c r="M1813" i="2"/>
  <c r="E1813" i="2"/>
  <c r="F1813" i="2"/>
  <c r="D1813" i="2"/>
  <c r="G1813" i="2" s="1"/>
  <c r="V1813" i="2" s="1"/>
  <c r="J1813" i="4"/>
  <c r="N1813" i="4" s="1"/>
  <c r="AA1813" i="2"/>
  <c r="M1812" i="2"/>
  <c r="E1812" i="2"/>
  <c r="F1812" i="2"/>
  <c r="D1812" i="2"/>
  <c r="G1812" i="2" s="1"/>
  <c r="J1812" i="4"/>
  <c r="N1812" i="4" s="1"/>
  <c r="AA1812" i="2"/>
  <c r="M1811" i="2"/>
  <c r="D1811" i="2"/>
  <c r="F1811" i="2"/>
  <c r="E1811" i="2"/>
  <c r="J1811" i="4"/>
  <c r="N1811" i="4" s="1"/>
  <c r="AA1811" i="2"/>
  <c r="M1810" i="2"/>
  <c r="D1810" i="2"/>
  <c r="F1810" i="2"/>
  <c r="E1810" i="2"/>
  <c r="AA1810" i="2"/>
  <c r="J1810" i="4"/>
  <c r="N1810" i="4" s="1"/>
  <c r="M1809" i="2"/>
  <c r="N1809" i="2" s="1"/>
  <c r="O1809" i="2"/>
  <c r="E1809" i="2"/>
  <c r="D1809" i="2"/>
  <c r="F1809" i="2"/>
  <c r="J1809" i="4"/>
  <c r="N1809" i="4" s="1"/>
  <c r="AA1809" i="2"/>
  <c r="M1808" i="2"/>
  <c r="D1808" i="2"/>
  <c r="E1808" i="2"/>
  <c r="F1808" i="2"/>
  <c r="J1808" i="4"/>
  <c r="N1808" i="4" s="1"/>
  <c r="AA1808" i="2"/>
  <c r="M1807" i="2"/>
  <c r="D1807" i="2"/>
  <c r="F1807" i="2"/>
  <c r="E1807" i="2"/>
  <c r="J1807" i="4"/>
  <c r="N1807" i="4" s="1"/>
  <c r="AA1807" i="2"/>
  <c r="M1806" i="2"/>
  <c r="D1806" i="2"/>
  <c r="F1806" i="2"/>
  <c r="E1806" i="2"/>
  <c r="J1806" i="4"/>
  <c r="N1806" i="4" s="1"/>
  <c r="AA1806" i="2"/>
  <c r="M1805" i="2"/>
  <c r="F1805" i="2"/>
  <c r="E1805" i="2"/>
  <c r="D1805" i="2"/>
  <c r="J1805" i="4"/>
  <c r="N1805" i="4" s="1"/>
  <c r="AA1805" i="2"/>
  <c r="M1804" i="2"/>
  <c r="D1804" i="2"/>
  <c r="F1804" i="2"/>
  <c r="E1804" i="2"/>
  <c r="J1804" i="4"/>
  <c r="N1804" i="4" s="1"/>
  <c r="AA1804" i="2"/>
  <c r="M1803" i="2"/>
  <c r="N1803" i="2" s="1"/>
  <c r="O1803" i="2"/>
  <c r="D1803" i="2"/>
  <c r="F1803" i="2"/>
  <c r="E1803" i="2"/>
  <c r="AA1803" i="2"/>
  <c r="J1803" i="4"/>
  <c r="N1803" i="4" s="1"/>
  <c r="M1802" i="2"/>
  <c r="N1802" i="2" s="1"/>
  <c r="O1802" i="2"/>
  <c r="E1802" i="2"/>
  <c r="F1802" i="2"/>
  <c r="D1802" i="2"/>
  <c r="AA1802" i="2"/>
  <c r="J1802" i="4"/>
  <c r="N1802" i="4" s="1"/>
  <c r="M1801" i="2"/>
  <c r="D1801" i="2"/>
  <c r="F1801" i="2"/>
  <c r="E1801" i="2"/>
  <c r="AA1801" i="2"/>
  <c r="J1801" i="4"/>
  <c r="N1801" i="4" s="1"/>
  <c r="M1800" i="2"/>
  <c r="D1800" i="2"/>
  <c r="F1800" i="2"/>
  <c r="E1800" i="2"/>
  <c r="AA1800" i="2"/>
  <c r="J1800" i="4"/>
  <c r="N1800" i="4" s="1"/>
  <c r="M1799" i="2"/>
  <c r="F1799" i="2"/>
  <c r="D1799" i="2"/>
  <c r="E1799" i="2"/>
  <c r="AA1799" i="2"/>
  <c r="J1799" i="4"/>
  <c r="N1799" i="4" s="1"/>
  <c r="M1798" i="2"/>
  <c r="D1798" i="2"/>
  <c r="E1798" i="2"/>
  <c r="F1798" i="2"/>
  <c r="AA1798" i="2"/>
  <c r="J1798" i="4"/>
  <c r="N1798" i="4" s="1"/>
  <c r="M1797" i="2"/>
  <c r="D1797" i="2"/>
  <c r="F1797" i="2"/>
  <c r="E1797" i="2"/>
  <c r="J1797" i="4"/>
  <c r="N1797" i="4" s="1"/>
  <c r="AA1797" i="2"/>
  <c r="M1796" i="2"/>
  <c r="N1796" i="2" s="1"/>
  <c r="O1796" i="2"/>
  <c r="D1796" i="2"/>
  <c r="E1796" i="2"/>
  <c r="F1796" i="2"/>
  <c r="J1796" i="4"/>
  <c r="N1796" i="4" s="1"/>
  <c r="AA1796" i="2"/>
  <c r="M1795" i="2"/>
  <c r="N1795" i="2" s="1"/>
  <c r="O1795" i="2"/>
  <c r="D1795" i="2"/>
  <c r="F1795" i="2"/>
  <c r="E1795" i="2"/>
  <c r="J1795" i="4"/>
  <c r="N1795" i="4" s="1"/>
  <c r="AA1795" i="2"/>
  <c r="M1794" i="2"/>
  <c r="E1794" i="2"/>
  <c r="F1794" i="2"/>
  <c r="D1794" i="2"/>
  <c r="G1794" i="2" s="1"/>
  <c r="J1794" i="4"/>
  <c r="N1794" i="4" s="1"/>
  <c r="AA1794" i="2"/>
  <c r="M1793" i="2"/>
  <c r="D1793" i="2"/>
  <c r="F1793" i="2"/>
  <c r="E1793" i="2"/>
  <c r="AA1793" i="2"/>
  <c r="J1793" i="4"/>
  <c r="N1793" i="4" s="1"/>
  <c r="M1792" i="2"/>
  <c r="F1792" i="2"/>
  <c r="E1792" i="2"/>
  <c r="D1792" i="2"/>
  <c r="AA1792" i="2"/>
  <c r="J1792" i="4"/>
  <c r="N1792" i="4" s="1"/>
  <c r="M1791" i="2"/>
  <c r="E1791" i="2"/>
  <c r="D1791" i="2"/>
  <c r="F1791" i="2"/>
  <c r="AA1791" i="2"/>
  <c r="J1791" i="4"/>
  <c r="N1791" i="4" s="1"/>
  <c r="M1790" i="2"/>
  <c r="E1790" i="2"/>
  <c r="D1790" i="2"/>
  <c r="F1790" i="2"/>
  <c r="J1790" i="4"/>
  <c r="N1790" i="4" s="1"/>
  <c r="AA1790" i="2"/>
  <c r="M1789" i="2"/>
  <c r="D1789" i="2"/>
  <c r="E1789" i="2"/>
  <c r="F1789" i="2"/>
  <c r="AA1789" i="2"/>
  <c r="J1789" i="4"/>
  <c r="N1789" i="4" s="1"/>
  <c r="M1788" i="2"/>
  <c r="D1788" i="2"/>
  <c r="E1788" i="2"/>
  <c r="F1788" i="2"/>
  <c r="M1787" i="2"/>
  <c r="D1787" i="2"/>
  <c r="E1787" i="2"/>
  <c r="F1787" i="2"/>
  <c r="AA1787" i="2"/>
  <c r="M1786" i="2"/>
  <c r="N1786" i="2" s="1"/>
  <c r="O1786" i="2"/>
  <c r="D1786" i="2"/>
  <c r="E1786" i="2"/>
  <c r="F1786" i="2"/>
  <c r="AA1786" i="2"/>
  <c r="M1785" i="2"/>
  <c r="E1785" i="2"/>
  <c r="D1785" i="2"/>
  <c r="F1785" i="2"/>
  <c r="AA1785" i="2"/>
  <c r="M1784" i="2"/>
  <c r="D1784" i="2"/>
  <c r="E1784" i="2"/>
  <c r="F1784" i="2"/>
  <c r="AA1784" i="2"/>
  <c r="M1783" i="2"/>
  <c r="D1783" i="2"/>
  <c r="F1783" i="2"/>
  <c r="E1783" i="2"/>
  <c r="AA1783" i="2"/>
  <c r="M1782" i="2"/>
  <c r="D1782" i="2"/>
  <c r="E1782" i="2"/>
  <c r="F1782" i="2"/>
  <c r="AA1782" i="2"/>
  <c r="M1781" i="2"/>
  <c r="N1781" i="2" s="1"/>
  <c r="O1781" i="2"/>
  <c r="D1781" i="2"/>
  <c r="E1781" i="2"/>
  <c r="F1781" i="2"/>
  <c r="AA1781" i="2"/>
  <c r="M1780" i="2"/>
  <c r="E1780" i="2"/>
  <c r="D1780" i="2"/>
  <c r="F1780" i="2"/>
  <c r="AA1780" i="2"/>
  <c r="M1779" i="2"/>
  <c r="F1779" i="2"/>
  <c r="E1779" i="2"/>
  <c r="D1779" i="2"/>
  <c r="AA1779" i="2"/>
  <c r="M1778" i="2"/>
  <c r="D1778" i="2"/>
  <c r="E1778" i="2"/>
  <c r="F1778" i="2"/>
  <c r="AA1778" i="2"/>
  <c r="M1777" i="2"/>
  <c r="F1777" i="2"/>
  <c r="E1777" i="2"/>
  <c r="D1777" i="2"/>
  <c r="AA1777" i="2"/>
  <c r="M1776" i="2"/>
  <c r="D1776" i="2"/>
  <c r="F1776" i="2"/>
  <c r="E1776" i="2"/>
  <c r="AA1776" i="2"/>
  <c r="M1775" i="2"/>
  <c r="E1775" i="2"/>
  <c r="D1775" i="2"/>
  <c r="F1775" i="2"/>
  <c r="AA1775" i="2"/>
  <c r="M1774" i="2"/>
  <c r="F1774" i="2"/>
  <c r="E1774" i="2"/>
  <c r="D1774" i="2"/>
  <c r="AA1774" i="2"/>
  <c r="M1773" i="2"/>
  <c r="F1773" i="2"/>
  <c r="E1773" i="2"/>
  <c r="D1773" i="2"/>
  <c r="AA1773" i="2"/>
  <c r="M1772" i="2"/>
  <c r="N1772" i="2" s="1"/>
  <c r="O1772" i="2"/>
  <c r="F1772" i="2"/>
  <c r="E1772" i="2"/>
  <c r="D1772" i="2"/>
  <c r="AA1772" i="2"/>
  <c r="M1771" i="2"/>
  <c r="F1771" i="2"/>
  <c r="E1771" i="2"/>
  <c r="D1771" i="2"/>
  <c r="AA1771" i="2"/>
  <c r="M1770" i="2"/>
  <c r="D1770" i="2"/>
  <c r="E1770" i="2"/>
  <c r="F1770" i="2"/>
  <c r="AA1770" i="2"/>
  <c r="M1769" i="2"/>
  <c r="F1769" i="2"/>
  <c r="E1769" i="2"/>
  <c r="D1769" i="2"/>
  <c r="AA1769" i="2"/>
  <c r="M1768" i="2"/>
  <c r="D1768" i="2"/>
  <c r="E1768" i="2"/>
  <c r="F1768" i="2"/>
  <c r="AA1768" i="2"/>
  <c r="M1767" i="2"/>
  <c r="F1767" i="2"/>
  <c r="D1767" i="2"/>
  <c r="E1767" i="2"/>
  <c r="AA1767" i="2"/>
  <c r="M1766" i="2"/>
  <c r="F1766" i="2"/>
  <c r="E1766" i="2"/>
  <c r="D1766" i="2"/>
  <c r="AA1766" i="2"/>
  <c r="M1765" i="2"/>
  <c r="E1765" i="2"/>
  <c r="F1765" i="2"/>
  <c r="D1765" i="2"/>
  <c r="AA1765" i="2"/>
  <c r="M1764" i="2"/>
  <c r="F1764" i="2"/>
  <c r="E1764" i="2"/>
  <c r="D1764" i="2"/>
  <c r="AA1764" i="2"/>
  <c r="M1763" i="2"/>
  <c r="F1763" i="2"/>
  <c r="E1763" i="2"/>
  <c r="D1763" i="2"/>
  <c r="AA1763" i="2"/>
  <c r="M1762" i="2"/>
  <c r="F1762" i="2"/>
  <c r="E1762" i="2"/>
  <c r="D1762" i="2"/>
  <c r="AA1762" i="2"/>
  <c r="M1761" i="2"/>
  <c r="N1761" i="2" s="1"/>
  <c r="O1761" i="2"/>
  <c r="E1761" i="2"/>
  <c r="F1761" i="2"/>
  <c r="D1761" i="2"/>
  <c r="AA1761" i="2"/>
  <c r="M1760" i="2"/>
  <c r="D1760" i="2"/>
  <c r="E1760" i="2"/>
  <c r="F1760" i="2"/>
  <c r="AA1760" i="2"/>
  <c r="M1759" i="2"/>
  <c r="E1759" i="2"/>
  <c r="D1759" i="2"/>
  <c r="F1759" i="2"/>
  <c r="AA1759" i="2"/>
  <c r="M1758" i="2"/>
  <c r="N1758" i="2" s="1"/>
  <c r="O1758" i="2"/>
  <c r="E1758" i="2"/>
  <c r="D1758" i="2"/>
  <c r="F1758" i="2"/>
  <c r="AA1758" i="2"/>
  <c r="M1757" i="2"/>
  <c r="D1757" i="2"/>
  <c r="E1757" i="2"/>
  <c r="F1757" i="2"/>
  <c r="AA1757" i="2"/>
  <c r="M1756" i="2"/>
  <c r="N1756" i="2" s="1"/>
  <c r="O1756" i="2"/>
  <c r="E1756" i="2"/>
  <c r="F1756" i="2"/>
  <c r="D1756" i="2"/>
  <c r="G1756" i="2" s="1"/>
  <c r="AA1756" i="2"/>
  <c r="M1755" i="2"/>
  <c r="F1755" i="2"/>
  <c r="E1755" i="2"/>
  <c r="D1755" i="2"/>
  <c r="AA1755" i="2"/>
  <c r="M1754" i="2"/>
  <c r="E1754" i="2"/>
  <c r="D1754" i="2"/>
  <c r="F1754" i="2"/>
  <c r="AA1754" i="2"/>
  <c r="M1753" i="2"/>
  <c r="N1753" i="2" s="1"/>
  <c r="O1753" i="2"/>
  <c r="D1753" i="2"/>
  <c r="E1753" i="2"/>
  <c r="F1753" i="2"/>
  <c r="AA1753" i="2"/>
  <c r="M1752" i="2"/>
  <c r="D1752" i="2"/>
  <c r="E1752" i="2"/>
  <c r="F1752" i="2"/>
  <c r="AA1752" i="2"/>
  <c r="M1751" i="2"/>
  <c r="N1751" i="2" s="1"/>
  <c r="O1751" i="2"/>
  <c r="E1751" i="2"/>
  <c r="D1751" i="2"/>
  <c r="F1751" i="2"/>
  <c r="AA1751" i="2"/>
  <c r="M1750" i="2"/>
  <c r="F1750" i="2"/>
  <c r="E1750" i="2"/>
  <c r="D1750" i="2"/>
  <c r="G1750" i="2" s="1"/>
  <c r="V1750" i="2" s="1"/>
  <c r="AA1750" i="2"/>
  <c r="M1749" i="2"/>
  <c r="N1749" i="2" s="1"/>
  <c r="O1749" i="2"/>
  <c r="F1749" i="2"/>
  <c r="D1749" i="2"/>
  <c r="E1749" i="2"/>
  <c r="AA1749" i="2"/>
  <c r="M1748" i="2"/>
  <c r="D1748" i="2"/>
  <c r="F1748" i="2"/>
  <c r="E1748" i="2"/>
  <c r="AA1748" i="2"/>
  <c r="M1747" i="2"/>
  <c r="E1747" i="2"/>
  <c r="F1747" i="2"/>
  <c r="D1747" i="2"/>
  <c r="G1747" i="2" s="1"/>
  <c r="AA1747" i="2"/>
  <c r="M1746" i="2"/>
  <c r="F1746" i="2"/>
  <c r="E1746" i="2"/>
  <c r="D1746" i="2"/>
  <c r="AA1746" i="2"/>
  <c r="M1745" i="2"/>
  <c r="F1745" i="2"/>
  <c r="E1745" i="2"/>
  <c r="D1745" i="2"/>
  <c r="AA1745" i="2"/>
  <c r="M1744" i="2"/>
  <c r="N1744" i="2" s="1"/>
  <c r="O1744" i="2"/>
  <c r="E1744" i="2"/>
  <c r="D1744" i="2"/>
  <c r="F1744" i="2"/>
  <c r="AA1744" i="2"/>
  <c r="M1743" i="2"/>
  <c r="D1743" i="2"/>
  <c r="E1743" i="2"/>
  <c r="F1743" i="2"/>
  <c r="AA1743" i="2"/>
  <c r="M1742" i="2"/>
  <c r="D1742" i="2"/>
  <c r="E1742" i="2"/>
  <c r="F1742" i="2"/>
  <c r="AA1742" i="2"/>
  <c r="M1741" i="2"/>
  <c r="F1741" i="2"/>
  <c r="D1741" i="2"/>
  <c r="E1741" i="2"/>
  <c r="AA1741" i="2"/>
  <c r="M1740" i="2"/>
  <c r="D1740" i="2"/>
  <c r="E1740" i="2"/>
  <c r="F1740" i="2"/>
  <c r="AA1740" i="2"/>
  <c r="M1739" i="2"/>
  <c r="D1739" i="2"/>
  <c r="F1739" i="2"/>
  <c r="E1739" i="2"/>
  <c r="AA1739" i="2"/>
  <c r="M1738" i="2"/>
  <c r="N1738" i="2" s="1"/>
  <c r="O1738" i="2"/>
  <c r="E1738" i="2"/>
  <c r="F1738" i="2"/>
  <c r="D1738" i="2"/>
  <c r="AA1738" i="2"/>
  <c r="M1737" i="2"/>
  <c r="F1737" i="2"/>
  <c r="E1737" i="2"/>
  <c r="D1737" i="2"/>
  <c r="AA1737" i="2"/>
  <c r="M1736" i="2"/>
  <c r="E1736" i="2"/>
  <c r="F1736" i="2"/>
  <c r="D1736" i="2"/>
  <c r="AA1736" i="2"/>
  <c r="M1735" i="2"/>
  <c r="F1735" i="2"/>
  <c r="E1735" i="2"/>
  <c r="D1735" i="2"/>
  <c r="AA1735" i="2"/>
  <c r="M1734" i="2"/>
  <c r="F1734" i="2"/>
  <c r="E1734" i="2"/>
  <c r="D1734" i="2"/>
  <c r="J1734" i="4"/>
  <c r="N1734" i="4" s="1"/>
  <c r="AA1734" i="2"/>
  <c r="M1733" i="2"/>
  <c r="E1733" i="2"/>
  <c r="F1733" i="2"/>
  <c r="D1733" i="2"/>
  <c r="J1733" i="4"/>
  <c r="N1733" i="4" s="1"/>
  <c r="AA1733" i="2"/>
  <c r="M1732" i="2"/>
  <c r="D1732" i="2"/>
  <c r="F1732" i="2"/>
  <c r="E1732" i="2"/>
  <c r="J1732" i="4"/>
  <c r="N1732" i="4" s="1"/>
  <c r="AA1732" i="2"/>
  <c r="M1731" i="2"/>
  <c r="D1731" i="2"/>
  <c r="E1731" i="2"/>
  <c r="F1731" i="2"/>
  <c r="AA1731" i="2"/>
  <c r="J1731" i="4"/>
  <c r="N1731" i="4" s="1"/>
  <c r="M1730" i="2"/>
  <c r="D1730" i="2"/>
  <c r="F1730" i="2"/>
  <c r="E1730" i="2"/>
  <c r="AA1730" i="2"/>
  <c r="J1730" i="4"/>
  <c r="N1730" i="4" s="1"/>
  <c r="M1729" i="2"/>
  <c r="F1729" i="2"/>
  <c r="E1729" i="2"/>
  <c r="D1729" i="2"/>
  <c r="AA1729" i="2"/>
  <c r="J1729" i="4"/>
  <c r="N1729" i="4" s="1"/>
  <c r="M1728" i="2"/>
  <c r="F1728" i="2"/>
  <c r="E1728" i="2"/>
  <c r="D1728" i="2"/>
  <c r="G1728" i="2" s="1"/>
  <c r="V1728" i="2" s="1"/>
  <c r="AA1728" i="2"/>
  <c r="J1728" i="4"/>
  <c r="N1728" i="4" s="1"/>
  <c r="M1727" i="2"/>
  <c r="E1727" i="2"/>
  <c r="D1727" i="2"/>
  <c r="F1727" i="2"/>
  <c r="AA1727" i="2"/>
  <c r="J1727" i="4"/>
  <c r="N1727" i="4" s="1"/>
  <c r="M1726" i="2"/>
  <c r="F1726" i="2"/>
  <c r="D1726" i="2"/>
  <c r="E1726" i="2"/>
  <c r="J1726" i="4"/>
  <c r="N1726" i="4" s="1"/>
  <c r="AA1726" i="2"/>
  <c r="M1725" i="2"/>
  <c r="N1725" i="2" s="1"/>
  <c r="O1725" i="2"/>
  <c r="F1725" i="2"/>
  <c r="D1725" i="2"/>
  <c r="E1725" i="2"/>
  <c r="J1725" i="4"/>
  <c r="N1725" i="4" s="1"/>
  <c r="AA1725" i="2"/>
  <c r="M1724" i="2"/>
  <c r="F1724" i="2"/>
  <c r="E1724" i="2"/>
  <c r="D1724" i="2"/>
  <c r="G1724" i="2" s="1"/>
  <c r="V1724" i="2" s="1"/>
  <c r="AA1724" i="2"/>
  <c r="J1724" i="4"/>
  <c r="N1724" i="4" s="1"/>
  <c r="M1723" i="2"/>
  <c r="E1723" i="2"/>
  <c r="D1723" i="2"/>
  <c r="F1723" i="2"/>
  <c r="J1723" i="4"/>
  <c r="N1723" i="4" s="1"/>
  <c r="AA1723" i="2"/>
  <c r="M1722" i="2"/>
  <c r="F1722" i="2"/>
  <c r="E1722" i="2"/>
  <c r="D1722" i="2"/>
  <c r="J1722" i="4"/>
  <c r="N1722" i="4" s="1"/>
  <c r="AA1722" i="2"/>
  <c r="M1721" i="2"/>
  <c r="F1721" i="2"/>
  <c r="D1721" i="2"/>
  <c r="E1721" i="2"/>
  <c r="J1721" i="4"/>
  <c r="N1721" i="4" s="1"/>
  <c r="AA1721" i="2"/>
  <c r="M1720" i="2"/>
  <c r="N1720" i="2" s="1"/>
  <c r="O1720" i="2"/>
  <c r="E1720" i="2"/>
  <c r="F1720" i="2"/>
  <c r="D1720" i="2"/>
  <c r="AA1720" i="2"/>
  <c r="J1720" i="4"/>
  <c r="N1720" i="4" s="1"/>
  <c r="M1719" i="2"/>
  <c r="E1719" i="2"/>
  <c r="D1719" i="2"/>
  <c r="F1719" i="2"/>
  <c r="AA1719" i="2"/>
  <c r="J1719" i="4"/>
  <c r="N1719" i="4" s="1"/>
  <c r="M1718" i="2"/>
  <c r="E1718" i="2"/>
  <c r="D1718" i="2"/>
  <c r="F1718" i="2"/>
  <c r="J1718" i="4"/>
  <c r="N1718" i="4" s="1"/>
  <c r="AA1718" i="2"/>
  <c r="M1717" i="2"/>
  <c r="F1717" i="2"/>
  <c r="E1717" i="2"/>
  <c r="D1717" i="2"/>
  <c r="J1717" i="4"/>
  <c r="N1717" i="4" s="1"/>
  <c r="AA1717" i="2"/>
  <c r="M1716" i="2"/>
  <c r="F1716" i="2"/>
  <c r="E1716" i="2"/>
  <c r="D1716" i="2"/>
  <c r="J1716" i="4"/>
  <c r="N1716" i="4" s="1"/>
  <c r="AA1716" i="2"/>
  <c r="M1715" i="2"/>
  <c r="D1715" i="2"/>
  <c r="F1715" i="2"/>
  <c r="E1715" i="2"/>
  <c r="J1715" i="4"/>
  <c r="N1715" i="4" s="1"/>
  <c r="AA1715" i="2"/>
  <c r="M1714" i="2"/>
  <c r="E1714" i="2"/>
  <c r="F1714" i="2"/>
  <c r="D1714" i="2"/>
  <c r="J1714" i="4"/>
  <c r="N1714" i="4" s="1"/>
  <c r="AA1714" i="2"/>
  <c r="M1713" i="2"/>
  <c r="E1713" i="2"/>
  <c r="D1713" i="2"/>
  <c r="F1713" i="2"/>
  <c r="J1713" i="4"/>
  <c r="N1713" i="4" s="1"/>
  <c r="AA1713" i="2"/>
  <c r="M1712" i="2"/>
  <c r="F1712" i="2"/>
  <c r="D1712" i="2"/>
  <c r="E1712" i="2"/>
  <c r="J1712" i="4"/>
  <c r="N1712" i="4" s="1"/>
  <c r="AA1712" i="2"/>
  <c r="M1711" i="2"/>
  <c r="N1711" i="2" s="1"/>
  <c r="O1711" i="2"/>
  <c r="F1711" i="2"/>
  <c r="D1711" i="2"/>
  <c r="E1711" i="2"/>
  <c r="J1711" i="4"/>
  <c r="N1711" i="4" s="1"/>
  <c r="AA1711" i="2"/>
  <c r="M1710" i="2"/>
  <c r="F1710" i="2"/>
  <c r="D1710" i="2"/>
  <c r="E1710" i="2"/>
  <c r="J1710" i="4"/>
  <c r="N1710" i="4" s="1"/>
  <c r="AA1710" i="2"/>
  <c r="M1709" i="2"/>
  <c r="N1709" i="2" s="1"/>
  <c r="O1709" i="2"/>
  <c r="E1709" i="2"/>
  <c r="D1709" i="2"/>
  <c r="F1709" i="2"/>
  <c r="AA1709" i="2"/>
  <c r="J1709" i="4"/>
  <c r="N1709" i="4" s="1"/>
  <c r="M1708" i="2"/>
  <c r="D1708" i="2"/>
  <c r="E1708" i="2"/>
  <c r="F1708" i="2"/>
  <c r="J1708" i="4"/>
  <c r="N1708" i="4" s="1"/>
  <c r="AA1708" i="2"/>
  <c r="M1707" i="2"/>
  <c r="D1707" i="2"/>
  <c r="F1707" i="2"/>
  <c r="E1707" i="2"/>
  <c r="J1707" i="4"/>
  <c r="N1707" i="4" s="1"/>
  <c r="AA1707" i="2"/>
  <c r="M1706" i="2"/>
  <c r="F1706" i="2"/>
  <c r="E1706" i="2"/>
  <c r="D1706" i="2"/>
  <c r="J1706" i="4"/>
  <c r="N1706" i="4" s="1"/>
  <c r="AA1706" i="2"/>
  <c r="M1705" i="2"/>
  <c r="F1705" i="2"/>
  <c r="E1705" i="2"/>
  <c r="D1705" i="2"/>
  <c r="AA1705" i="2"/>
  <c r="J1705" i="4"/>
  <c r="N1705" i="4" s="1"/>
  <c r="M1704" i="2"/>
  <c r="E1704" i="2"/>
  <c r="F1704" i="2"/>
  <c r="D1704" i="2"/>
  <c r="AA1704" i="2"/>
  <c r="J1704" i="4"/>
  <c r="N1704" i="4" s="1"/>
  <c r="M1703" i="2"/>
  <c r="N1703" i="2" s="1"/>
  <c r="O1703" i="2"/>
  <c r="F1703" i="2"/>
  <c r="D1703" i="2"/>
  <c r="E1703" i="2"/>
  <c r="J1703" i="4"/>
  <c r="N1703" i="4" s="1"/>
  <c r="AA1703" i="2"/>
  <c r="M1702" i="2"/>
  <c r="F1702" i="2"/>
  <c r="E1702" i="2"/>
  <c r="D1702" i="2"/>
  <c r="J1702" i="4"/>
  <c r="N1702" i="4" s="1"/>
  <c r="AA1702" i="2"/>
  <c r="M1701" i="2"/>
  <c r="D1701" i="2"/>
  <c r="F1701" i="2"/>
  <c r="E1701" i="2"/>
  <c r="AA1701" i="2"/>
  <c r="J1701" i="4"/>
  <c r="N1701" i="4" s="1"/>
  <c r="M1700" i="2"/>
  <c r="D1700" i="2"/>
  <c r="E1700" i="2"/>
  <c r="F1700" i="2"/>
  <c r="AA1700" i="2"/>
  <c r="J1700" i="4"/>
  <c r="N1700" i="4" s="1"/>
  <c r="M1699" i="2"/>
  <c r="N1699" i="2" s="1"/>
  <c r="O1699" i="2"/>
  <c r="D1699" i="2"/>
  <c r="E1699" i="2"/>
  <c r="F1699" i="2"/>
  <c r="AA1699" i="2"/>
  <c r="J1699" i="4"/>
  <c r="N1699" i="4" s="1"/>
  <c r="M1698" i="2"/>
  <c r="N1698" i="2" s="1"/>
  <c r="O1698" i="2"/>
  <c r="D1698" i="2"/>
  <c r="E1698" i="2"/>
  <c r="F1698" i="2"/>
  <c r="AA1698" i="2"/>
  <c r="J1698" i="4"/>
  <c r="N1698" i="4" s="1"/>
  <c r="M1697" i="2"/>
  <c r="D1697" i="2"/>
  <c r="F1697" i="2"/>
  <c r="E1697" i="2"/>
  <c r="AA1697" i="2"/>
  <c r="J1697" i="4"/>
  <c r="N1697" i="4" s="1"/>
  <c r="M1696" i="2"/>
  <c r="F1696" i="2"/>
  <c r="E1696" i="2"/>
  <c r="D1696" i="2"/>
  <c r="AA1696" i="2"/>
  <c r="J1696" i="4"/>
  <c r="N1696" i="4" s="1"/>
  <c r="M1695" i="2"/>
  <c r="F1695" i="2"/>
  <c r="E1695" i="2"/>
  <c r="D1695" i="2"/>
  <c r="J1695" i="4"/>
  <c r="N1695" i="4" s="1"/>
  <c r="AA1695" i="2"/>
  <c r="M1694" i="2"/>
  <c r="F1694" i="2"/>
  <c r="D1694" i="2"/>
  <c r="E1694" i="2"/>
  <c r="AA1694" i="2"/>
  <c r="J1694" i="4"/>
  <c r="N1694" i="4" s="1"/>
  <c r="M1693" i="2"/>
  <c r="E1693" i="2"/>
  <c r="F1693" i="2"/>
  <c r="D1693" i="2"/>
  <c r="AA1693" i="2"/>
  <c r="J1693" i="4"/>
  <c r="N1693" i="4" s="1"/>
  <c r="M1692" i="2"/>
  <c r="F1692" i="2"/>
  <c r="D1692" i="2"/>
  <c r="E1692" i="2"/>
  <c r="AA1692" i="2"/>
  <c r="J1692" i="4"/>
  <c r="N1692" i="4" s="1"/>
  <c r="M1691" i="2"/>
  <c r="D1691" i="2"/>
  <c r="E1691" i="2"/>
  <c r="F1691" i="2"/>
  <c r="AA1691" i="2"/>
  <c r="J1691" i="4"/>
  <c r="N1691" i="4" s="1"/>
  <c r="M1690" i="2"/>
  <c r="E1690" i="2"/>
  <c r="F1690" i="2"/>
  <c r="D1690" i="2"/>
  <c r="AA1690" i="2"/>
  <c r="J1690" i="4"/>
  <c r="N1690" i="4" s="1"/>
  <c r="M1689" i="2"/>
  <c r="E1689" i="2"/>
  <c r="F1689" i="2"/>
  <c r="D1689" i="2"/>
  <c r="AA1689" i="2"/>
  <c r="J1689" i="4"/>
  <c r="N1689" i="4" s="1"/>
  <c r="M1688" i="2"/>
  <c r="D1688" i="2"/>
  <c r="F1688" i="2"/>
  <c r="E1688" i="2"/>
  <c r="AA1688" i="2"/>
  <c r="J1688" i="4"/>
  <c r="N1688" i="4" s="1"/>
  <c r="M1687" i="2"/>
  <c r="E1687" i="2"/>
  <c r="F1687" i="2"/>
  <c r="D1687" i="2"/>
  <c r="AA1687" i="2"/>
  <c r="J1687" i="4"/>
  <c r="N1687" i="4" s="1"/>
  <c r="M1686" i="2"/>
  <c r="D1686" i="2"/>
  <c r="F1686" i="2"/>
  <c r="E1686" i="2"/>
  <c r="AA1686" i="2"/>
  <c r="J1686" i="4"/>
  <c r="N1686" i="4" s="1"/>
  <c r="M1685" i="2"/>
  <c r="D1685" i="2"/>
  <c r="F1685" i="2"/>
  <c r="E1685" i="2"/>
  <c r="J1685" i="4"/>
  <c r="N1685" i="4" s="1"/>
  <c r="AA1685" i="2"/>
  <c r="M1684" i="2"/>
  <c r="N1684" i="2" s="1"/>
  <c r="O1684" i="2"/>
  <c r="D1684" i="2"/>
  <c r="E1684" i="2"/>
  <c r="F1684" i="2"/>
  <c r="J1684" i="4"/>
  <c r="N1684" i="4" s="1"/>
  <c r="AA1684" i="2"/>
  <c r="M1683" i="2"/>
  <c r="N1683" i="2" s="1"/>
  <c r="O1683" i="2"/>
  <c r="D1683" i="2"/>
  <c r="E1683" i="2"/>
  <c r="F1683" i="2"/>
  <c r="AA1683" i="2"/>
  <c r="J1683" i="4"/>
  <c r="N1683" i="4" s="1"/>
  <c r="M1682" i="2"/>
  <c r="E1682" i="2"/>
  <c r="F1682" i="2"/>
  <c r="D1682" i="2"/>
  <c r="G1682" i="2" s="1"/>
  <c r="V1682" i="2" s="1"/>
  <c r="J1682" i="4"/>
  <c r="N1682" i="4" s="1"/>
  <c r="AA1682" i="2"/>
  <c r="M1681" i="2"/>
  <c r="F1681" i="2"/>
  <c r="E1681" i="2"/>
  <c r="D1681" i="2"/>
  <c r="J1681" i="4"/>
  <c r="N1681" i="4" s="1"/>
  <c r="AA1681" i="2"/>
  <c r="M1680" i="2"/>
  <c r="E1680" i="2"/>
  <c r="F1680" i="2"/>
  <c r="D1680" i="2"/>
  <c r="J1680" i="4"/>
  <c r="N1680" i="4" s="1"/>
  <c r="AA1680" i="2"/>
  <c r="M1679" i="2"/>
  <c r="F1679" i="2"/>
  <c r="D1679" i="2"/>
  <c r="E1679" i="2"/>
  <c r="AA1679" i="2"/>
  <c r="J1679" i="4"/>
  <c r="N1679" i="4" s="1"/>
  <c r="M1678" i="2"/>
  <c r="D1678" i="2"/>
  <c r="E1678" i="2"/>
  <c r="F1678" i="2"/>
  <c r="AA1678" i="2"/>
  <c r="J1678" i="4"/>
  <c r="N1678" i="4" s="1"/>
  <c r="M1677" i="2"/>
  <c r="E1677" i="2"/>
  <c r="F1677" i="2"/>
  <c r="D1677" i="2"/>
  <c r="AA1677" i="2"/>
  <c r="J1677" i="4"/>
  <c r="N1677" i="4" s="1"/>
  <c r="M1676" i="2"/>
  <c r="F1676" i="2"/>
  <c r="E1676" i="2"/>
  <c r="D1676" i="2"/>
  <c r="J1676" i="4"/>
  <c r="N1676" i="4" s="1"/>
  <c r="AA1676" i="2"/>
  <c r="M1675" i="2"/>
  <c r="D1675" i="2"/>
  <c r="E1675" i="2"/>
  <c r="F1675" i="2"/>
  <c r="AA1675" i="2"/>
  <c r="J1675" i="4"/>
  <c r="N1675" i="4" s="1"/>
  <c r="M1674" i="2"/>
  <c r="D1674" i="2"/>
  <c r="E1674" i="2"/>
  <c r="F1674" i="2"/>
  <c r="J1674" i="4"/>
  <c r="N1674" i="4" s="1"/>
  <c r="AA1674" i="2"/>
  <c r="M1673" i="2"/>
  <c r="D1673" i="2"/>
  <c r="F1673" i="2"/>
  <c r="E1673" i="2"/>
  <c r="J1673" i="4"/>
  <c r="N1673" i="4" s="1"/>
  <c r="AA1673" i="2"/>
  <c r="M1672" i="2"/>
  <c r="F1672" i="2"/>
  <c r="D1672" i="2"/>
  <c r="E1672" i="2"/>
  <c r="AA1672" i="2"/>
  <c r="J1672" i="4"/>
  <c r="N1672" i="4" s="1"/>
  <c r="M1671" i="2"/>
  <c r="F1671" i="2"/>
  <c r="D1671" i="2"/>
  <c r="E1671" i="2"/>
  <c r="J1671" i="4"/>
  <c r="N1671" i="4" s="1"/>
  <c r="AA1671" i="2"/>
  <c r="M1670" i="2"/>
  <c r="F1670" i="2"/>
  <c r="E1670" i="2"/>
  <c r="D1670" i="2"/>
  <c r="G1670" i="2" s="1"/>
  <c r="AA1670" i="2"/>
  <c r="J1670" i="4"/>
  <c r="N1670" i="4" s="1"/>
  <c r="M1669" i="2"/>
  <c r="F1669" i="2"/>
  <c r="D1669" i="2"/>
  <c r="E1669" i="2"/>
  <c r="AA1669" i="2"/>
  <c r="J1669" i="4"/>
  <c r="N1669" i="4" s="1"/>
  <c r="M1668" i="2"/>
  <c r="D1668" i="2"/>
  <c r="F1668" i="2"/>
  <c r="E1668" i="2"/>
  <c r="AA1668" i="2"/>
  <c r="J1668" i="4"/>
  <c r="N1668" i="4" s="1"/>
  <c r="M1667" i="2"/>
  <c r="D1667" i="2"/>
  <c r="F1667" i="2"/>
  <c r="E1667" i="2"/>
  <c r="J1667" i="4"/>
  <c r="N1667" i="4" s="1"/>
  <c r="AA1667" i="2"/>
  <c r="M1666" i="2"/>
  <c r="N1666" i="2" s="1"/>
  <c r="O1666" i="2"/>
  <c r="F1666" i="2"/>
  <c r="D1666" i="2"/>
  <c r="E1666" i="2"/>
  <c r="AA1666" i="2"/>
  <c r="J1666" i="4"/>
  <c r="N1666" i="4" s="1"/>
  <c r="M1665" i="2"/>
  <c r="F1665" i="2"/>
  <c r="D1665" i="2"/>
  <c r="E1665" i="2"/>
  <c r="J1665" i="4"/>
  <c r="N1665" i="4" s="1"/>
  <c r="AA1665" i="2"/>
  <c r="M1664" i="2"/>
  <c r="E1664" i="2"/>
  <c r="D1664" i="2"/>
  <c r="F1664" i="2"/>
  <c r="J1664" i="4"/>
  <c r="N1664" i="4" s="1"/>
  <c r="AA1664" i="2"/>
  <c r="M1663" i="2"/>
  <c r="N1663" i="2" s="1"/>
  <c r="O1663" i="2"/>
  <c r="D1663" i="2"/>
  <c r="F1663" i="2"/>
  <c r="E1663" i="2"/>
  <c r="AA1663" i="2"/>
  <c r="J1663" i="4"/>
  <c r="N1663" i="4" s="1"/>
  <c r="M1662" i="2"/>
  <c r="F1662" i="2"/>
  <c r="E1662" i="2"/>
  <c r="D1662" i="2"/>
  <c r="G1662" i="2" s="1"/>
  <c r="V1662" i="2" s="1"/>
  <c r="J1662" i="4"/>
  <c r="N1662" i="4" s="1"/>
  <c r="AA1662" i="2"/>
  <c r="M1661" i="2"/>
  <c r="F1661" i="2"/>
  <c r="D1661" i="2"/>
  <c r="E1661" i="2"/>
  <c r="AA1661" i="2"/>
  <c r="J1661" i="4"/>
  <c r="N1661" i="4" s="1"/>
  <c r="M1660" i="2"/>
  <c r="N1660" i="2" s="1"/>
  <c r="O1660" i="2"/>
  <c r="E1660" i="2"/>
  <c r="F1660" i="2"/>
  <c r="D1660" i="2"/>
  <c r="G1660" i="2" s="1"/>
  <c r="J1660" i="4"/>
  <c r="N1660" i="4" s="1"/>
  <c r="AA1660" i="2"/>
  <c r="M1659" i="2"/>
  <c r="E1659" i="2"/>
  <c r="D1659" i="2"/>
  <c r="F1659" i="2"/>
  <c r="J1659" i="4"/>
  <c r="N1659" i="4" s="1"/>
  <c r="AA1659" i="2"/>
  <c r="M1658" i="2"/>
  <c r="E1658" i="2"/>
  <c r="D1658" i="2"/>
  <c r="F1658" i="2"/>
  <c r="J1658" i="4"/>
  <c r="N1658" i="4" s="1"/>
  <c r="AA1658" i="2"/>
  <c r="M1657" i="2"/>
  <c r="E1657" i="2"/>
  <c r="F1657" i="2"/>
  <c r="D1657" i="2"/>
  <c r="G1657" i="2" s="1"/>
  <c r="V1657" i="2" s="1"/>
  <c r="AA1657" i="2"/>
  <c r="J1657" i="4"/>
  <c r="N1657" i="4" s="1"/>
  <c r="M1656" i="2"/>
  <c r="E1656" i="2"/>
  <c r="F1656" i="2"/>
  <c r="D1656" i="2"/>
  <c r="G1656" i="2" s="1"/>
  <c r="V1656" i="2" s="1"/>
  <c r="J1656" i="4"/>
  <c r="N1656" i="4" s="1"/>
  <c r="AA1656" i="2"/>
  <c r="M1655" i="2"/>
  <c r="N1655" i="2" s="1"/>
  <c r="O1655" i="2"/>
  <c r="D1655" i="2"/>
  <c r="F1655" i="2"/>
  <c r="E1655" i="2"/>
  <c r="J1655" i="4"/>
  <c r="N1655" i="4" s="1"/>
  <c r="AA1655" i="2"/>
  <c r="M1654" i="2"/>
  <c r="N1654" i="2" s="1"/>
  <c r="O1654" i="2"/>
  <c r="F1654" i="2"/>
  <c r="D1654" i="2"/>
  <c r="E1654" i="2"/>
  <c r="J1654" i="4"/>
  <c r="N1654" i="4" s="1"/>
  <c r="AA1654" i="2"/>
  <c r="M1653" i="2"/>
  <c r="D1653" i="2"/>
  <c r="F1653" i="2"/>
  <c r="E1653" i="2"/>
  <c r="AA1653" i="2"/>
  <c r="J1653" i="4"/>
  <c r="N1653" i="4" s="1"/>
  <c r="M1652" i="2"/>
  <c r="F1652" i="2"/>
  <c r="E1652" i="2"/>
  <c r="D1652" i="2"/>
  <c r="G1652" i="2" s="1"/>
  <c r="V1652" i="2" s="1"/>
  <c r="AA1652" i="2"/>
  <c r="J1652" i="4"/>
  <c r="N1652" i="4" s="1"/>
  <c r="M1651" i="2"/>
  <c r="N1651" i="2" s="1"/>
  <c r="O1651" i="2"/>
  <c r="D1651" i="2"/>
  <c r="F1651" i="2"/>
  <c r="E1651" i="2"/>
  <c r="J1651" i="4"/>
  <c r="N1651" i="4" s="1"/>
  <c r="AA1651" i="2"/>
  <c r="M1650" i="2"/>
  <c r="N1650" i="2" s="1"/>
  <c r="O1650" i="2"/>
  <c r="F1650" i="2"/>
  <c r="E1650" i="2"/>
  <c r="D1650" i="2"/>
  <c r="G1650" i="2" s="1"/>
  <c r="AA1650" i="2"/>
  <c r="J1650" i="4"/>
  <c r="N1650" i="4" s="1"/>
  <c r="M1649" i="2"/>
  <c r="E1649" i="2"/>
  <c r="F1649" i="2"/>
  <c r="D1649" i="2"/>
  <c r="G1649" i="2" s="1"/>
  <c r="V1649" i="2" s="1"/>
  <c r="AA1649" i="2"/>
  <c r="J1649" i="4"/>
  <c r="N1649" i="4" s="1"/>
  <c r="M1648" i="2"/>
  <c r="N1648" i="2" s="1"/>
  <c r="O1648" i="2"/>
  <c r="F1648" i="2"/>
  <c r="D1648" i="2"/>
  <c r="E1648" i="2"/>
  <c r="AA1648" i="2"/>
  <c r="J1648" i="4"/>
  <c r="N1648" i="4" s="1"/>
  <c r="M1647" i="2"/>
  <c r="F1647" i="2"/>
  <c r="E1647" i="2"/>
  <c r="D1647" i="2"/>
  <c r="G1647" i="2" s="1"/>
  <c r="V1647" i="2" s="1"/>
  <c r="AA1647" i="2"/>
  <c r="J1647" i="4"/>
  <c r="N1647" i="4" s="1"/>
  <c r="M1646" i="2"/>
  <c r="N1646" i="2" s="1"/>
  <c r="O1646" i="2"/>
  <c r="F1646" i="2"/>
  <c r="E1646" i="2"/>
  <c r="D1646" i="2"/>
  <c r="G1646" i="2" s="1"/>
  <c r="V1646" i="2" s="1"/>
  <c r="T1646" i="2"/>
  <c r="U1646" i="2" s="1"/>
  <c r="J1646" i="4"/>
  <c r="N1646" i="4" s="1"/>
  <c r="AA1646" i="2"/>
  <c r="M1645" i="2"/>
  <c r="D1645" i="2"/>
  <c r="F1645" i="2"/>
  <c r="E1645" i="2"/>
  <c r="AA1645" i="2"/>
  <c r="J1645" i="4"/>
  <c r="N1645" i="4" s="1"/>
  <c r="M1644" i="2"/>
  <c r="N1644" i="2" s="1"/>
  <c r="O1644" i="2"/>
  <c r="D1644" i="2"/>
  <c r="F1644" i="2"/>
  <c r="E1644" i="2"/>
  <c r="AA1644" i="2"/>
  <c r="J1644" i="4"/>
  <c r="N1644" i="4" s="1"/>
  <c r="M1643" i="2"/>
  <c r="N1643" i="2" s="1"/>
  <c r="O1643" i="2"/>
  <c r="E1643" i="2"/>
  <c r="D1643" i="2"/>
  <c r="F1643" i="2"/>
  <c r="AA1643" i="2"/>
  <c r="J1643" i="4"/>
  <c r="N1643" i="4" s="1"/>
  <c r="M1642" i="2"/>
  <c r="N1642" i="2" s="1"/>
  <c r="O1642" i="2"/>
  <c r="E1642" i="2"/>
  <c r="F1642" i="2"/>
  <c r="D1642" i="2"/>
  <c r="G1642" i="2" s="1"/>
  <c r="V1642" i="2" s="1"/>
  <c r="T1642" i="2"/>
  <c r="U1642" i="2" s="1"/>
  <c r="AA1642" i="2"/>
  <c r="J1642" i="4"/>
  <c r="N1642" i="4" s="1"/>
  <c r="M1641" i="2"/>
  <c r="N1641" i="2" s="1"/>
  <c r="O1641" i="2"/>
  <c r="D1641" i="2"/>
  <c r="E1641" i="2"/>
  <c r="F1641" i="2"/>
  <c r="AA1641" i="2"/>
  <c r="J1641" i="4"/>
  <c r="N1641" i="4" s="1"/>
  <c r="M1640" i="2"/>
  <c r="E1640" i="2"/>
  <c r="D1640" i="2"/>
  <c r="F1640" i="2"/>
  <c r="AA1640" i="2"/>
  <c r="J1640" i="4"/>
  <c r="N1640" i="4" s="1"/>
  <c r="M1639" i="2"/>
  <c r="N1639" i="2" s="1"/>
  <c r="O1639" i="2"/>
  <c r="E1639" i="2"/>
  <c r="F1639" i="2"/>
  <c r="D1639" i="2"/>
  <c r="G1639" i="2" s="1"/>
  <c r="V1639" i="2" s="1"/>
  <c r="AA1639" i="2"/>
  <c r="J1639" i="4"/>
  <c r="N1639" i="4" s="1"/>
  <c r="T1639" i="2"/>
  <c r="U1639" i="2" s="1"/>
  <c r="M1638" i="2"/>
  <c r="E1638" i="2"/>
  <c r="F1638" i="2"/>
  <c r="D1638" i="2"/>
  <c r="G1638" i="2" s="1"/>
  <c r="V1638" i="2" s="1"/>
  <c r="J1638" i="4"/>
  <c r="N1638" i="4" s="1"/>
  <c r="AA1638" i="2"/>
  <c r="M1637" i="2"/>
  <c r="D1637" i="2"/>
  <c r="E1637" i="2"/>
  <c r="F1637" i="2"/>
  <c r="AA1637" i="2"/>
  <c r="J1637" i="4"/>
  <c r="N1637" i="4" s="1"/>
  <c r="M1636" i="2"/>
  <c r="D1636" i="2"/>
  <c r="E1636" i="2"/>
  <c r="F1636" i="2"/>
  <c r="AA1636" i="2"/>
  <c r="J1636" i="4"/>
  <c r="N1636" i="4" s="1"/>
  <c r="M1635" i="2"/>
  <c r="D1635" i="2"/>
  <c r="E1635" i="2"/>
  <c r="F1635" i="2"/>
  <c r="AA1635" i="2"/>
  <c r="J1635" i="4"/>
  <c r="N1635" i="4" s="1"/>
  <c r="M1634" i="2"/>
  <c r="F1634" i="2"/>
  <c r="E1634" i="2"/>
  <c r="D1634" i="2"/>
  <c r="G1634" i="2" s="1"/>
  <c r="V1634" i="2" s="1"/>
  <c r="J1634" i="4"/>
  <c r="N1634" i="4" s="1"/>
  <c r="AA1634" i="2"/>
  <c r="M1633" i="2"/>
  <c r="N1633" i="2" s="1"/>
  <c r="O1633" i="2"/>
  <c r="F1633" i="2"/>
  <c r="E1633" i="2"/>
  <c r="D1633" i="2"/>
  <c r="G1633" i="2" s="1"/>
  <c r="V1633" i="2" s="1"/>
  <c r="T1633" i="2"/>
  <c r="U1633" i="2" s="1"/>
  <c r="AA1633" i="2"/>
  <c r="J1633" i="4"/>
  <c r="N1633" i="4" s="1"/>
  <c r="M1632" i="2"/>
  <c r="E1632" i="2"/>
  <c r="F1632" i="2"/>
  <c r="D1632" i="2"/>
  <c r="G1632" i="2" s="1"/>
  <c r="V1632" i="2" s="1"/>
  <c r="AA1632" i="2"/>
  <c r="J1632" i="4"/>
  <c r="N1632" i="4" s="1"/>
  <c r="M1631" i="2"/>
  <c r="E1631" i="2"/>
  <c r="D1631" i="2"/>
  <c r="F1631" i="2"/>
  <c r="AA1631" i="2"/>
  <c r="J1631" i="4"/>
  <c r="N1631" i="4" s="1"/>
  <c r="M1630" i="2"/>
  <c r="N1630" i="2" s="1"/>
  <c r="O1630" i="2"/>
  <c r="D1630" i="2"/>
  <c r="F1630" i="2"/>
  <c r="E1630" i="2"/>
  <c r="AA1630" i="2"/>
  <c r="J1630" i="4"/>
  <c r="N1630" i="4" s="1"/>
  <c r="M1629" i="2"/>
  <c r="F1629" i="2"/>
  <c r="E1629" i="2"/>
  <c r="D1629" i="2"/>
  <c r="G1629" i="2" s="1"/>
  <c r="AA1629" i="2"/>
  <c r="J1629" i="4"/>
  <c r="N1629" i="4" s="1"/>
  <c r="M1628" i="2"/>
  <c r="E1628" i="2"/>
  <c r="F1628" i="2"/>
  <c r="D1628" i="2"/>
  <c r="G1628" i="2" s="1"/>
  <c r="V1628" i="2" s="1"/>
  <c r="AA1628" i="2"/>
  <c r="J1628" i="4"/>
  <c r="N1628" i="4" s="1"/>
  <c r="M1627" i="2"/>
  <c r="N1627" i="2" s="1"/>
  <c r="O1627" i="2"/>
  <c r="F1627" i="2"/>
  <c r="E1627" i="2"/>
  <c r="D1627" i="2"/>
  <c r="J1627" i="4"/>
  <c r="N1627" i="4" s="1"/>
  <c r="AA1627" i="2"/>
  <c r="M1626" i="2"/>
  <c r="F1626" i="2"/>
  <c r="D1626" i="2"/>
  <c r="E1626" i="2"/>
  <c r="M1625" i="2"/>
  <c r="D1625" i="2"/>
  <c r="E1625" i="2"/>
  <c r="F1625" i="2"/>
  <c r="AA1625" i="2"/>
  <c r="M1624" i="2"/>
  <c r="N1624" i="2" s="1"/>
  <c r="O1624" i="2"/>
  <c r="F1624" i="2"/>
  <c r="D1624" i="2"/>
  <c r="E1624" i="2"/>
  <c r="AA1624" i="2"/>
  <c r="M1623" i="2"/>
  <c r="E1623" i="2"/>
  <c r="D1623" i="2"/>
  <c r="F1623" i="2"/>
  <c r="AA1623" i="2"/>
  <c r="M1622" i="2"/>
  <c r="F1622" i="2"/>
  <c r="E1622" i="2"/>
  <c r="D1622" i="2"/>
  <c r="AA1622" i="2"/>
  <c r="M1621" i="2"/>
  <c r="D1621" i="2"/>
  <c r="E1621" i="2"/>
  <c r="F1621" i="2"/>
  <c r="AA1621" i="2"/>
  <c r="M1620" i="2"/>
  <c r="D1620" i="2"/>
  <c r="E1620" i="2"/>
  <c r="F1620" i="2"/>
  <c r="AA1620" i="2"/>
  <c r="M1619" i="2"/>
  <c r="D1619" i="2"/>
  <c r="E1619" i="2"/>
  <c r="F1619" i="2"/>
  <c r="AA1619" i="2"/>
  <c r="M1618" i="2"/>
  <c r="N1618" i="2" s="1"/>
  <c r="O1618" i="2"/>
  <c r="E1618" i="2"/>
  <c r="F1618" i="2"/>
  <c r="D1618" i="2"/>
  <c r="G1618" i="2" s="1"/>
  <c r="AA1618" i="2"/>
  <c r="M1617" i="2"/>
  <c r="F1617" i="2"/>
  <c r="E1617" i="2"/>
  <c r="D1617" i="2"/>
  <c r="G1617" i="2" s="1"/>
  <c r="V1617" i="2" s="1"/>
  <c r="AA1617" i="2"/>
  <c r="M1616" i="2"/>
  <c r="F1616" i="2"/>
  <c r="E1616" i="2"/>
  <c r="D1616" i="2"/>
  <c r="G1616" i="2" s="1"/>
  <c r="V1616" i="2" s="1"/>
  <c r="AA1616" i="2"/>
  <c r="M1615" i="2"/>
  <c r="N1615" i="2" s="1"/>
  <c r="O1615" i="2"/>
  <c r="F1615" i="2"/>
  <c r="E1615" i="2"/>
  <c r="D1615" i="2"/>
  <c r="AA1615" i="2"/>
  <c r="M1614" i="2"/>
  <c r="N1614" i="2" s="1"/>
  <c r="O1614" i="2"/>
  <c r="E1614" i="2"/>
  <c r="F1614" i="2"/>
  <c r="D1614" i="2"/>
  <c r="G1614" i="2" s="1"/>
  <c r="AA1614" i="2"/>
  <c r="M1613" i="2"/>
  <c r="N1613" i="2" s="1"/>
  <c r="O1613" i="2"/>
  <c r="E1613" i="2"/>
  <c r="F1613" i="2"/>
  <c r="D1613" i="2"/>
  <c r="G1613" i="2" s="1"/>
  <c r="AA1613" i="2"/>
  <c r="M1612" i="2"/>
  <c r="F1612" i="2"/>
  <c r="E1612" i="2"/>
  <c r="D1612" i="2"/>
  <c r="G1612" i="2" s="1"/>
  <c r="V1612" i="2" s="1"/>
  <c r="AA1612" i="2"/>
  <c r="M1611" i="2"/>
  <c r="D1611" i="2"/>
  <c r="E1611" i="2"/>
  <c r="F1611" i="2"/>
  <c r="AA1611" i="2"/>
  <c r="M1610" i="2"/>
  <c r="N1610" i="2" s="1"/>
  <c r="O1610" i="2"/>
  <c r="E1610" i="2"/>
  <c r="D1610" i="2"/>
  <c r="F1610" i="2"/>
  <c r="AA1610" i="2"/>
  <c r="M1609" i="2"/>
  <c r="E1609" i="2"/>
  <c r="F1609" i="2"/>
  <c r="D1609" i="2"/>
  <c r="AA1609" i="2"/>
  <c r="M1608" i="2"/>
  <c r="F1608" i="2"/>
  <c r="E1608" i="2"/>
  <c r="D1608" i="2"/>
  <c r="G1608" i="2" s="1"/>
  <c r="V1608" i="2" s="1"/>
  <c r="AA1608" i="2"/>
  <c r="M1607" i="2"/>
  <c r="D1607" i="2"/>
  <c r="F1607" i="2"/>
  <c r="E1607" i="2"/>
  <c r="AA1607" i="2"/>
  <c r="M1606" i="2"/>
  <c r="N1606" i="2" s="1"/>
  <c r="O1606" i="2"/>
  <c r="D1606" i="2"/>
  <c r="E1606" i="2"/>
  <c r="F1606" i="2"/>
  <c r="AA1606" i="2"/>
  <c r="M1605" i="2"/>
  <c r="F1605" i="2"/>
  <c r="E1605" i="2"/>
  <c r="D1605" i="2"/>
  <c r="G1605" i="2" s="1"/>
  <c r="V1605" i="2" s="1"/>
  <c r="AA1605" i="2"/>
  <c r="M1604" i="2"/>
  <c r="F1604" i="2"/>
  <c r="E1604" i="2"/>
  <c r="D1604" i="2"/>
  <c r="AA1604" i="2"/>
  <c r="M1603" i="2"/>
  <c r="F1603" i="2"/>
  <c r="E1603" i="2"/>
  <c r="D1603" i="2"/>
  <c r="G1603" i="2" s="1"/>
  <c r="AA1603" i="2"/>
  <c r="M1602" i="2"/>
  <c r="N1602" i="2" s="1"/>
  <c r="O1602" i="2"/>
  <c r="F1602" i="2"/>
  <c r="D1602" i="2"/>
  <c r="E1602" i="2"/>
  <c r="AA1602" i="2"/>
  <c r="M1601" i="2"/>
  <c r="N1601" i="2" s="1"/>
  <c r="O1601" i="2"/>
  <c r="F1601" i="2"/>
  <c r="E1601" i="2"/>
  <c r="D1601" i="2"/>
  <c r="AA1601" i="2"/>
  <c r="M1600" i="2"/>
  <c r="D1600" i="2"/>
  <c r="E1600" i="2"/>
  <c r="F1600" i="2"/>
  <c r="AA1600" i="2"/>
  <c r="M1599" i="2"/>
  <c r="D1599" i="2"/>
  <c r="F1599" i="2"/>
  <c r="E1599" i="2"/>
  <c r="AA1599" i="2"/>
  <c r="M1598" i="2"/>
  <c r="N1598" i="2" s="1"/>
  <c r="O1598" i="2"/>
  <c r="E1598" i="2"/>
  <c r="F1598" i="2"/>
  <c r="D1598" i="2"/>
  <c r="G1598" i="2" s="1"/>
  <c r="AA1598" i="2"/>
  <c r="M1597" i="2"/>
  <c r="N1597" i="2" s="1"/>
  <c r="O1597" i="2"/>
  <c r="D1597" i="2"/>
  <c r="E1597" i="2"/>
  <c r="F1597" i="2"/>
  <c r="AA1597" i="2"/>
  <c r="M1596" i="2"/>
  <c r="N1596" i="2" s="1"/>
  <c r="O1596" i="2"/>
  <c r="F1596" i="2"/>
  <c r="E1596" i="2"/>
  <c r="D1596" i="2"/>
  <c r="AA1596" i="2"/>
  <c r="M1595" i="2"/>
  <c r="N1595" i="2" s="1"/>
  <c r="O1595" i="2"/>
  <c r="F1595" i="2"/>
  <c r="D1595" i="2"/>
  <c r="E1595" i="2"/>
  <c r="AA1595" i="2"/>
  <c r="M1594" i="2"/>
  <c r="D1594" i="2"/>
  <c r="E1594" i="2"/>
  <c r="F1594" i="2"/>
  <c r="AA1594" i="2"/>
  <c r="M1593" i="2"/>
  <c r="F1593" i="2"/>
  <c r="E1593" i="2"/>
  <c r="D1593" i="2"/>
  <c r="G1593" i="2" s="1"/>
  <c r="V1593" i="2" s="1"/>
  <c r="AA1593" i="2"/>
  <c r="M1592" i="2"/>
  <c r="N1592" i="2" s="1"/>
  <c r="O1592" i="2"/>
  <c r="F1592" i="2"/>
  <c r="E1592" i="2"/>
  <c r="D1592" i="2"/>
  <c r="G1592" i="2" s="1"/>
  <c r="AA1592" i="2"/>
  <c r="M1591" i="2"/>
  <c r="N1591" i="2" s="1"/>
  <c r="O1591" i="2"/>
  <c r="F1591" i="2"/>
  <c r="E1591" i="2"/>
  <c r="D1591" i="2"/>
  <c r="G1591" i="2" s="1"/>
  <c r="AA1591" i="2"/>
  <c r="M1590" i="2"/>
  <c r="F1590" i="2"/>
  <c r="E1590" i="2"/>
  <c r="D1590" i="2"/>
  <c r="G1590" i="2" s="1"/>
  <c r="AA1590" i="2"/>
  <c r="M1589" i="2"/>
  <c r="F1589" i="2"/>
  <c r="D1589" i="2"/>
  <c r="E1589" i="2"/>
  <c r="AA1589" i="2"/>
  <c r="M1588" i="2"/>
  <c r="N1588" i="2" s="1"/>
  <c r="O1588" i="2"/>
  <c r="F1588" i="2"/>
  <c r="E1588" i="2"/>
  <c r="D1588" i="2"/>
  <c r="G1588" i="2" s="1"/>
  <c r="AA1588" i="2"/>
  <c r="M1587" i="2"/>
  <c r="D1587" i="2"/>
  <c r="E1587" i="2"/>
  <c r="F1587" i="2"/>
  <c r="AA1587" i="2"/>
  <c r="M1586" i="2"/>
  <c r="E1586" i="2"/>
  <c r="F1586" i="2"/>
  <c r="D1586" i="2"/>
  <c r="AA1586" i="2"/>
  <c r="M1585" i="2"/>
  <c r="D1585" i="2"/>
  <c r="F1585" i="2"/>
  <c r="E1585" i="2"/>
  <c r="AA1585" i="2"/>
  <c r="M1584" i="2"/>
  <c r="D1584" i="2"/>
  <c r="E1584" i="2"/>
  <c r="F1584" i="2"/>
  <c r="AA1584" i="2"/>
  <c r="M1583" i="2"/>
  <c r="F1583" i="2"/>
  <c r="D1583" i="2"/>
  <c r="E1583" i="2"/>
  <c r="AA1583" i="2"/>
  <c r="M1582" i="2"/>
  <c r="N1582" i="2" s="1"/>
  <c r="O1582" i="2"/>
  <c r="D1582" i="2"/>
  <c r="E1582" i="2"/>
  <c r="F1582" i="2"/>
  <c r="AA1582" i="2"/>
  <c r="M1581" i="2"/>
  <c r="F1581" i="2"/>
  <c r="E1581" i="2"/>
  <c r="D1581" i="2"/>
  <c r="G1581" i="2" s="1"/>
  <c r="AA1581" i="2"/>
  <c r="M1580" i="2"/>
  <c r="N1580" i="2" s="1"/>
  <c r="O1580" i="2"/>
  <c r="E1580" i="2"/>
  <c r="D1580" i="2"/>
  <c r="F1580" i="2"/>
  <c r="AA1580" i="2"/>
  <c r="M1579" i="2"/>
  <c r="D1579" i="2"/>
  <c r="E1579" i="2"/>
  <c r="F1579" i="2"/>
  <c r="AA1579" i="2"/>
  <c r="M1578" i="2"/>
  <c r="N1578" i="2" s="1"/>
  <c r="O1578" i="2"/>
  <c r="F1578" i="2"/>
  <c r="E1578" i="2"/>
  <c r="D1578" i="2"/>
  <c r="G1578" i="2" s="1"/>
  <c r="AA1578" i="2"/>
  <c r="M1577" i="2"/>
  <c r="N1577" i="2" s="1"/>
  <c r="O1577" i="2"/>
  <c r="F1577" i="2"/>
  <c r="E1577" i="2"/>
  <c r="D1577" i="2"/>
  <c r="G1577" i="2" s="1"/>
  <c r="AA1577" i="2"/>
  <c r="M1576" i="2"/>
  <c r="N1576" i="2" s="1"/>
  <c r="O1576" i="2"/>
  <c r="D1576" i="2"/>
  <c r="E1576" i="2"/>
  <c r="F1576" i="2"/>
  <c r="AA1576" i="2"/>
  <c r="M1575" i="2"/>
  <c r="D1575" i="2"/>
  <c r="E1575" i="2"/>
  <c r="F1575" i="2"/>
  <c r="AA1575" i="2"/>
  <c r="M1574" i="2"/>
  <c r="N1574" i="2" s="1"/>
  <c r="O1574" i="2"/>
  <c r="F1574" i="2"/>
  <c r="E1574" i="2"/>
  <c r="D1574" i="2"/>
  <c r="G1574" i="2" s="1"/>
  <c r="AA1574" i="2"/>
  <c r="M1573" i="2"/>
  <c r="E1573" i="2"/>
  <c r="F1573" i="2"/>
  <c r="D1573" i="2"/>
  <c r="G1573" i="2" s="1"/>
  <c r="AA1573" i="2"/>
  <c r="M1572" i="2"/>
  <c r="D1572" i="2"/>
  <c r="E1572" i="2"/>
  <c r="F1572" i="2"/>
  <c r="AA1572" i="2"/>
  <c r="M1571" i="2"/>
  <c r="D1571" i="2"/>
  <c r="E1571" i="2"/>
  <c r="F1571" i="2"/>
  <c r="AA1571" i="2"/>
  <c r="M1570" i="2"/>
  <c r="N1570" i="2" s="1"/>
  <c r="O1570" i="2"/>
  <c r="F1570" i="2"/>
  <c r="E1570" i="2"/>
  <c r="D1570" i="2"/>
  <c r="AA1570" i="2"/>
  <c r="M1569" i="2"/>
  <c r="D1569" i="2"/>
  <c r="F1569" i="2"/>
  <c r="E1569" i="2"/>
  <c r="AA1569" i="2"/>
  <c r="M1568" i="2"/>
  <c r="D1568" i="2"/>
  <c r="F1568" i="2"/>
  <c r="E1568" i="2"/>
  <c r="AA1568" i="2"/>
  <c r="M1567" i="2"/>
  <c r="F1567" i="2"/>
  <c r="E1567" i="2"/>
  <c r="D1567" i="2"/>
  <c r="G1567" i="2" s="1"/>
  <c r="AA1567" i="2"/>
  <c r="M1566" i="2"/>
  <c r="D1566" i="2"/>
  <c r="F1566" i="2"/>
  <c r="E1566" i="2"/>
  <c r="AA1566" i="2"/>
  <c r="M1565" i="2"/>
  <c r="D1565" i="2"/>
  <c r="E1565" i="2"/>
  <c r="F1565" i="2"/>
  <c r="AA1565" i="2"/>
  <c r="M1564" i="2"/>
  <c r="F1564" i="2"/>
  <c r="E1564" i="2"/>
  <c r="D1564" i="2"/>
  <c r="AA1564" i="2"/>
  <c r="M1563" i="2"/>
  <c r="F1563" i="2"/>
  <c r="D1563" i="2"/>
  <c r="E1563" i="2"/>
  <c r="AA1563" i="2"/>
  <c r="M1562" i="2"/>
  <c r="N1562" i="2" s="1"/>
  <c r="O1562" i="2"/>
  <c r="F1562" i="2"/>
  <c r="D1562" i="2"/>
  <c r="E1562" i="2"/>
  <c r="AA1562" i="2"/>
  <c r="M1561" i="2"/>
  <c r="N1561" i="2" s="1"/>
  <c r="O1561" i="2"/>
  <c r="D1561" i="2"/>
  <c r="F1561" i="2"/>
  <c r="E1561" i="2"/>
  <c r="AA1561" i="2"/>
  <c r="M1560" i="2"/>
  <c r="N1560" i="2" s="1"/>
  <c r="O1560" i="2"/>
  <c r="F1560" i="2"/>
  <c r="E1560" i="2"/>
  <c r="D1560" i="2"/>
  <c r="G1560" i="2" s="1"/>
  <c r="AA1560" i="2"/>
  <c r="M1559" i="2"/>
  <c r="N1559" i="2" s="1"/>
  <c r="O1559" i="2"/>
  <c r="F1559" i="2"/>
  <c r="E1559" i="2"/>
  <c r="D1559" i="2"/>
  <c r="G1559" i="2" s="1"/>
  <c r="AA1559" i="2"/>
  <c r="M1558" i="2"/>
  <c r="D1558" i="2"/>
  <c r="E1558" i="2"/>
  <c r="F1558" i="2"/>
  <c r="AA1558" i="2"/>
  <c r="M1557" i="2"/>
  <c r="N1557" i="2" s="1"/>
  <c r="O1557" i="2"/>
  <c r="F1557" i="2"/>
  <c r="D1557" i="2"/>
  <c r="E1557" i="2"/>
  <c r="AA1557" i="2"/>
  <c r="M1556" i="2"/>
  <c r="N1556" i="2" s="1"/>
  <c r="O1556" i="2"/>
  <c r="F1556" i="2"/>
  <c r="E1556" i="2"/>
  <c r="D1556" i="2"/>
  <c r="G1556" i="2" s="1"/>
  <c r="AA1556" i="2"/>
  <c r="M1555" i="2"/>
  <c r="N1555" i="2" s="1"/>
  <c r="O1555" i="2"/>
  <c r="F1555" i="2"/>
  <c r="E1555" i="2"/>
  <c r="D1555" i="2"/>
  <c r="AA1555" i="2"/>
  <c r="M1554" i="2"/>
  <c r="N1554" i="2" s="1"/>
  <c r="O1554" i="2"/>
  <c r="F1554" i="2"/>
  <c r="D1554" i="2"/>
  <c r="E1554" i="2"/>
  <c r="AA1554" i="2"/>
  <c r="M1553" i="2"/>
  <c r="D1553" i="2"/>
  <c r="E1553" i="2"/>
  <c r="F1553" i="2"/>
  <c r="AA1553" i="2"/>
  <c r="M1552" i="2"/>
  <c r="N1552" i="2" s="1"/>
  <c r="O1552" i="2"/>
  <c r="F1552" i="2"/>
  <c r="D1552" i="2"/>
  <c r="E1552" i="2"/>
  <c r="AA1552" i="2"/>
  <c r="M1551" i="2"/>
  <c r="F1551" i="2"/>
  <c r="E1551" i="2"/>
  <c r="D1551" i="2"/>
  <c r="AA1551" i="2"/>
  <c r="M1550" i="2"/>
  <c r="F1550" i="2"/>
  <c r="E1550" i="2"/>
  <c r="D1550" i="2"/>
  <c r="AA1550" i="2"/>
  <c r="M1549" i="2"/>
  <c r="D1549" i="2"/>
  <c r="E1549" i="2"/>
  <c r="F1549" i="2"/>
  <c r="AA1549" i="2"/>
  <c r="M1548" i="2"/>
  <c r="F1548" i="2"/>
  <c r="E1548" i="2"/>
  <c r="D1548" i="2"/>
  <c r="G1548" i="2" s="1"/>
  <c r="AA1548" i="2"/>
  <c r="M1547" i="2"/>
  <c r="F1547" i="2"/>
  <c r="E1547" i="2"/>
  <c r="D1547" i="2"/>
  <c r="AA1547" i="2"/>
  <c r="M1546" i="2"/>
  <c r="F1546" i="2"/>
  <c r="E1546" i="2"/>
  <c r="D1546" i="2"/>
  <c r="G1546" i="2" s="1"/>
  <c r="AA1546" i="2"/>
  <c r="M1545" i="2"/>
  <c r="N1545" i="2" s="1"/>
  <c r="O1545" i="2"/>
  <c r="E1545" i="2"/>
  <c r="D1545" i="2"/>
  <c r="F1545" i="2"/>
  <c r="AA1545" i="2"/>
  <c r="M1544" i="2"/>
  <c r="F1544" i="2"/>
  <c r="E1544" i="2"/>
  <c r="D1544" i="2"/>
  <c r="G1544" i="2" s="1"/>
  <c r="AA1544" i="2"/>
  <c r="M1543" i="2"/>
  <c r="F1543" i="2"/>
  <c r="E1543" i="2"/>
  <c r="D1543" i="2"/>
  <c r="G1543" i="2" s="1"/>
  <c r="AA1543" i="2"/>
  <c r="M1542" i="2"/>
  <c r="D1542" i="2"/>
  <c r="F1542" i="2"/>
  <c r="E1542" i="2"/>
  <c r="AA1542" i="2"/>
  <c r="M1541" i="2"/>
  <c r="D1541" i="2"/>
  <c r="F1541" i="2"/>
  <c r="E1541" i="2"/>
  <c r="J1541" i="4"/>
  <c r="N1541" i="4" s="1"/>
  <c r="AA1541" i="2"/>
  <c r="M1540" i="2"/>
  <c r="N1540" i="2" s="1"/>
  <c r="O1540" i="2"/>
  <c r="E1540" i="2"/>
  <c r="F1540" i="2"/>
  <c r="D1540" i="2"/>
  <c r="G1540" i="2" s="1"/>
  <c r="J1540" i="4"/>
  <c r="N1540" i="4" s="1"/>
  <c r="AA1540" i="2"/>
  <c r="M1539" i="2"/>
  <c r="F1539" i="2"/>
  <c r="D1539" i="2"/>
  <c r="E1539" i="2"/>
  <c r="AA1539" i="2"/>
  <c r="J1539" i="4"/>
  <c r="N1539" i="4" s="1"/>
  <c r="M1538" i="2"/>
  <c r="F1538" i="2"/>
  <c r="E1538" i="2"/>
  <c r="D1538" i="2"/>
  <c r="AA1538" i="2"/>
  <c r="J1538" i="4"/>
  <c r="N1538" i="4" s="1"/>
  <c r="M1537" i="2"/>
  <c r="E1537" i="2"/>
  <c r="D1537" i="2"/>
  <c r="F1537" i="2"/>
  <c r="J1537" i="4"/>
  <c r="N1537" i="4" s="1"/>
  <c r="AA1537" i="2"/>
  <c r="M1536" i="2"/>
  <c r="N1536" i="2" s="1"/>
  <c r="O1536" i="2"/>
  <c r="F1536" i="2"/>
  <c r="E1536" i="2"/>
  <c r="D1536" i="2"/>
  <c r="AA1536" i="2"/>
  <c r="J1536" i="4"/>
  <c r="N1536" i="4" s="1"/>
  <c r="M1535" i="2"/>
  <c r="N1535" i="2" s="1"/>
  <c r="O1535" i="2"/>
  <c r="F1535" i="2"/>
  <c r="E1535" i="2"/>
  <c r="D1535" i="2"/>
  <c r="G1535" i="2" s="1"/>
  <c r="AA1535" i="2"/>
  <c r="J1535" i="4"/>
  <c r="N1535" i="4" s="1"/>
  <c r="M1534" i="2"/>
  <c r="D1534" i="2"/>
  <c r="F1534" i="2"/>
  <c r="E1534" i="2"/>
  <c r="J1534" i="4"/>
  <c r="N1534" i="4" s="1"/>
  <c r="AA1534" i="2"/>
  <c r="M1533" i="2"/>
  <c r="D1533" i="2"/>
  <c r="E1533" i="2"/>
  <c r="F1533" i="2"/>
  <c r="AA1533" i="2"/>
  <c r="J1533" i="4"/>
  <c r="N1533" i="4" s="1"/>
  <c r="M1532" i="2"/>
  <c r="N1532" i="2" s="1"/>
  <c r="O1532" i="2"/>
  <c r="E1532" i="2"/>
  <c r="D1532" i="2"/>
  <c r="F1532" i="2"/>
  <c r="AA1532" i="2"/>
  <c r="J1532" i="4"/>
  <c r="N1532" i="4" s="1"/>
  <c r="M1531" i="2"/>
  <c r="N1531" i="2" s="1"/>
  <c r="O1531" i="2"/>
  <c r="F1531" i="2"/>
  <c r="E1531" i="2"/>
  <c r="D1531" i="2"/>
  <c r="G1531" i="2" s="1"/>
  <c r="AA1531" i="2"/>
  <c r="J1531" i="4"/>
  <c r="N1531" i="4" s="1"/>
  <c r="M1530" i="2"/>
  <c r="F1530" i="2"/>
  <c r="E1530" i="2"/>
  <c r="D1530" i="2"/>
  <c r="AA1530" i="2"/>
  <c r="J1530" i="4"/>
  <c r="N1530" i="4" s="1"/>
  <c r="M1529" i="2"/>
  <c r="F1529" i="2"/>
  <c r="E1529" i="2"/>
  <c r="D1529" i="2"/>
  <c r="AA1529" i="2"/>
  <c r="J1529" i="4"/>
  <c r="N1529" i="4" s="1"/>
  <c r="M1528" i="2"/>
  <c r="D1528" i="2"/>
  <c r="E1528" i="2"/>
  <c r="F1528" i="2"/>
  <c r="J1528" i="4"/>
  <c r="N1528" i="4" s="1"/>
  <c r="AA1528" i="2"/>
  <c r="M1527" i="2"/>
  <c r="D1527" i="2"/>
  <c r="E1527" i="2"/>
  <c r="F1527" i="2"/>
  <c r="AA1527" i="2"/>
  <c r="J1527" i="4"/>
  <c r="N1527" i="4" s="1"/>
  <c r="M1526" i="2"/>
  <c r="N1526" i="2" s="1"/>
  <c r="O1526" i="2"/>
  <c r="D1526" i="2"/>
  <c r="E1526" i="2"/>
  <c r="F1526" i="2"/>
  <c r="J1526" i="4"/>
  <c r="N1526" i="4" s="1"/>
  <c r="AA1526" i="2"/>
  <c r="M1525" i="2"/>
  <c r="F1525" i="2"/>
  <c r="E1525" i="2"/>
  <c r="D1525" i="2"/>
  <c r="AA1525" i="2"/>
  <c r="J1525" i="4"/>
  <c r="N1525" i="4" s="1"/>
  <c r="M1524" i="2"/>
  <c r="D1524" i="2"/>
  <c r="E1524" i="2"/>
  <c r="F1524" i="2"/>
  <c r="AA1524" i="2"/>
  <c r="J1524" i="4"/>
  <c r="N1524" i="4" s="1"/>
  <c r="M1523" i="2"/>
  <c r="D1523" i="2"/>
  <c r="F1523" i="2"/>
  <c r="E1523" i="2"/>
  <c r="AA1523" i="2"/>
  <c r="J1523" i="4"/>
  <c r="N1523" i="4" s="1"/>
  <c r="M1522" i="2"/>
  <c r="D1522" i="2"/>
  <c r="E1522" i="2"/>
  <c r="F1522" i="2"/>
  <c r="J1522" i="4"/>
  <c r="N1522" i="4" s="1"/>
  <c r="AA1522" i="2"/>
  <c r="M1521" i="2"/>
  <c r="E1521" i="2"/>
  <c r="F1521" i="2"/>
  <c r="D1521" i="2"/>
  <c r="G1521" i="2" s="1"/>
  <c r="AA1521" i="2"/>
  <c r="J1521" i="4"/>
  <c r="N1521" i="4" s="1"/>
  <c r="M1520" i="2"/>
  <c r="D1520" i="2"/>
  <c r="F1520" i="2"/>
  <c r="E1520" i="2"/>
  <c r="J1520" i="4"/>
  <c r="N1520" i="4" s="1"/>
  <c r="AA1520" i="2"/>
  <c r="M1519" i="2"/>
  <c r="F1519" i="2"/>
  <c r="E1519" i="2"/>
  <c r="D1519" i="2"/>
  <c r="G1519" i="2" s="1"/>
  <c r="AA1519" i="2"/>
  <c r="J1519" i="4"/>
  <c r="N1519" i="4" s="1"/>
  <c r="M1518" i="2"/>
  <c r="F1518" i="2"/>
  <c r="E1518" i="2"/>
  <c r="D1518" i="2"/>
  <c r="J1518" i="4"/>
  <c r="N1518" i="4" s="1"/>
  <c r="AA1518" i="2"/>
  <c r="M1517" i="2"/>
  <c r="E1517" i="2"/>
  <c r="D1517" i="2"/>
  <c r="F1517" i="2"/>
  <c r="AA1517" i="2"/>
  <c r="J1517" i="4"/>
  <c r="N1517" i="4" s="1"/>
  <c r="M1516" i="2"/>
  <c r="D1516" i="2"/>
  <c r="F1516" i="2"/>
  <c r="E1516" i="2"/>
  <c r="AA1516" i="2"/>
  <c r="J1516" i="4"/>
  <c r="N1516" i="4" s="1"/>
  <c r="M1515" i="2"/>
  <c r="D1515" i="2"/>
  <c r="E1515" i="2"/>
  <c r="F1515" i="2"/>
  <c r="J1515" i="4"/>
  <c r="N1515" i="4" s="1"/>
  <c r="AA1515" i="2"/>
  <c r="M1514" i="2"/>
  <c r="E1514" i="2"/>
  <c r="D1514" i="2"/>
  <c r="F1514" i="2"/>
  <c r="J1514" i="4"/>
  <c r="N1514" i="4" s="1"/>
  <c r="AA1514" i="2"/>
  <c r="M1513" i="2"/>
  <c r="F1513" i="2"/>
  <c r="D1513" i="2"/>
  <c r="E1513" i="2"/>
  <c r="J1513" i="4"/>
  <c r="N1513" i="4" s="1"/>
  <c r="AA1513" i="2"/>
  <c r="M1512" i="2"/>
  <c r="F1512" i="2"/>
  <c r="D1512" i="2"/>
  <c r="E1512" i="2"/>
  <c r="J1512" i="4"/>
  <c r="N1512" i="4" s="1"/>
  <c r="AA1512" i="2"/>
  <c r="M1511" i="2"/>
  <c r="N1511" i="2" s="1"/>
  <c r="O1511" i="2"/>
  <c r="E1511" i="2"/>
  <c r="F1511" i="2"/>
  <c r="D1511" i="2"/>
  <c r="G1511" i="2" s="1"/>
  <c r="J1511" i="4"/>
  <c r="N1511" i="4" s="1"/>
  <c r="AA1511" i="2"/>
  <c r="M1510" i="2"/>
  <c r="N1510" i="2" s="1"/>
  <c r="O1510" i="2"/>
  <c r="D1510" i="2"/>
  <c r="F1510" i="2"/>
  <c r="E1510" i="2"/>
  <c r="J1510" i="4"/>
  <c r="N1510" i="4" s="1"/>
  <c r="AA1510" i="2"/>
  <c r="M1509" i="2"/>
  <c r="F1509" i="2"/>
  <c r="D1509" i="2"/>
  <c r="E1509" i="2"/>
  <c r="AA1509" i="2"/>
  <c r="J1509" i="4"/>
  <c r="N1509" i="4" s="1"/>
  <c r="M1508" i="2"/>
  <c r="D1508" i="2"/>
  <c r="F1508" i="2"/>
  <c r="E1508" i="2"/>
  <c r="AA1508" i="2"/>
  <c r="J1508" i="4"/>
  <c r="N1508" i="4" s="1"/>
  <c r="M1507" i="2"/>
  <c r="N1507" i="2" s="1"/>
  <c r="O1507" i="2"/>
  <c r="D1507" i="2"/>
  <c r="E1507" i="2"/>
  <c r="F1507" i="2"/>
  <c r="AA1507" i="2"/>
  <c r="J1507" i="4"/>
  <c r="N1507" i="4" s="1"/>
  <c r="M1506" i="2"/>
  <c r="F1506" i="2"/>
  <c r="D1506" i="2"/>
  <c r="E1506" i="2"/>
  <c r="AA1506" i="2"/>
  <c r="J1506" i="4"/>
  <c r="N1506" i="4" s="1"/>
  <c r="M1505" i="2"/>
  <c r="D1505" i="2"/>
  <c r="F1505" i="2"/>
  <c r="E1505" i="2"/>
  <c r="J1505" i="4"/>
  <c r="N1505" i="4" s="1"/>
  <c r="AA1505" i="2"/>
  <c r="M1504" i="2"/>
  <c r="D1504" i="2"/>
  <c r="F1504" i="2"/>
  <c r="E1504" i="2"/>
  <c r="AA1504" i="2"/>
  <c r="J1504" i="4"/>
  <c r="N1504" i="4" s="1"/>
  <c r="M1503" i="2"/>
  <c r="F1503" i="2"/>
  <c r="D1503" i="2"/>
  <c r="E1503" i="2"/>
  <c r="AA1503" i="2"/>
  <c r="J1503" i="4"/>
  <c r="N1503" i="4" s="1"/>
  <c r="M1502" i="2"/>
  <c r="E1502" i="2"/>
  <c r="D1502" i="2"/>
  <c r="F1502" i="2"/>
  <c r="AA1502" i="2"/>
  <c r="J1502" i="4"/>
  <c r="N1502" i="4" s="1"/>
  <c r="M1501" i="2"/>
  <c r="D1501" i="2"/>
  <c r="E1501" i="2"/>
  <c r="F1501" i="2"/>
  <c r="AA1501" i="2"/>
  <c r="J1501" i="4"/>
  <c r="N1501" i="4" s="1"/>
  <c r="M1500" i="2"/>
  <c r="E1500" i="2"/>
  <c r="F1500" i="2"/>
  <c r="D1500" i="2"/>
  <c r="G1500" i="2" s="1"/>
  <c r="J1500" i="4"/>
  <c r="N1500" i="4" s="1"/>
  <c r="AA1500" i="2"/>
  <c r="M1499" i="2"/>
  <c r="N1499" i="2" s="1"/>
  <c r="O1499" i="2"/>
  <c r="E1499" i="2"/>
  <c r="F1499" i="2"/>
  <c r="D1499" i="2"/>
  <c r="G1499" i="2" s="1"/>
  <c r="J1499" i="4"/>
  <c r="N1499" i="4" s="1"/>
  <c r="AA1499" i="2"/>
  <c r="M1498" i="2"/>
  <c r="E1498" i="2"/>
  <c r="F1498" i="2"/>
  <c r="D1498" i="2"/>
  <c r="G1498" i="2" s="1"/>
  <c r="V1498" i="2" s="1"/>
  <c r="AA1498" i="2"/>
  <c r="J1498" i="4"/>
  <c r="N1498" i="4" s="1"/>
  <c r="M1497" i="2"/>
  <c r="F1497" i="2"/>
  <c r="E1497" i="2"/>
  <c r="D1497" i="2"/>
  <c r="G1497" i="2" s="1"/>
  <c r="V1497" i="2" s="1"/>
  <c r="AA1497" i="2"/>
  <c r="J1497" i="4"/>
  <c r="N1497" i="4" s="1"/>
  <c r="M1496" i="2"/>
  <c r="D1496" i="2"/>
  <c r="E1496" i="2"/>
  <c r="F1496" i="2"/>
  <c r="AA1496" i="2"/>
  <c r="J1496" i="4"/>
  <c r="N1496" i="4" s="1"/>
  <c r="M1495" i="2"/>
  <c r="F1495" i="2"/>
  <c r="D1495" i="2"/>
  <c r="E1495" i="2"/>
  <c r="J1495" i="4"/>
  <c r="N1495" i="4" s="1"/>
  <c r="AA1495" i="2"/>
  <c r="M1494" i="2"/>
  <c r="E1494" i="2"/>
  <c r="F1494" i="2"/>
  <c r="D1494" i="2"/>
  <c r="G1494" i="2" s="1"/>
  <c r="J1494" i="4"/>
  <c r="N1494" i="4" s="1"/>
  <c r="AA1494" i="2"/>
  <c r="M1493" i="2"/>
  <c r="E1493" i="2"/>
  <c r="F1493" i="2"/>
  <c r="D1493" i="2"/>
  <c r="G1493" i="2" s="1"/>
  <c r="V1493" i="2" s="1"/>
  <c r="J1493" i="4"/>
  <c r="N1493" i="4" s="1"/>
  <c r="AA1493" i="2"/>
  <c r="M1492" i="2"/>
  <c r="E1492" i="2"/>
  <c r="D1492" i="2"/>
  <c r="F1492" i="2"/>
  <c r="AA1492" i="2"/>
  <c r="J1492" i="4"/>
  <c r="N1492" i="4" s="1"/>
  <c r="M1491" i="2"/>
  <c r="N1491" i="2" s="1"/>
  <c r="O1491" i="2"/>
  <c r="E1491" i="2"/>
  <c r="F1491" i="2"/>
  <c r="D1491" i="2"/>
  <c r="G1491" i="2" s="1"/>
  <c r="J1491" i="4"/>
  <c r="N1491" i="4" s="1"/>
  <c r="AA1491" i="2"/>
  <c r="M1490" i="2"/>
  <c r="N1490" i="2" s="1"/>
  <c r="O1490" i="2"/>
  <c r="D1490" i="2"/>
  <c r="F1490" i="2"/>
  <c r="E1490" i="2"/>
  <c r="J1490" i="4"/>
  <c r="N1490" i="4" s="1"/>
  <c r="AA1490" i="2"/>
  <c r="M1489" i="2"/>
  <c r="N1489" i="2" s="1"/>
  <c r="O1489" i="2"/>
  <c r="E1489" i="2"/>
  <c r="D1489" i="2"/>
  <c r="F1489" i="2"/>
  <c r="AA1489" i="2"/>
  <c r="J1489" i="4"/>
  <c r="N1489" i="4" s="1"/>
  <c r="M1488" i="2"/>
  <c r="N1488" i="2" s="1"/>
  <c r="O1488" i="2"/>
  <c r="E1488" i="2"/>
  <c r="D1488" i="2"/>
  <c r="F1488" i="2"/>
  <c r="J1488" i="4"/>
  <c r="N1488" i="4" s="1"/>
  <c r="AA1488" i="2"/>
  <c r="M1487" i="2"/>
  <c r="F1487" i="2"/>
  <c r="E1487" i="2"/>
  <c r="D1487" i="2"/>
  <c r="AA1487" i="2"/>
  <c r="J1487" i="4"/>
  <c r="N1487" i="4" s="1"/>
  <c r="M1486" i="2"/>
  <c r="N1486" i="2" s="1"/>
  <c r="O1486" i="2"/>
  <c r="E1486" i="2"/>
  <c r="F1486" i="2"/>
  <c r="D1486" i="2"/>
  <c r="G1486" i="2" s="1"/>
  <c r="J1486" i="4"/>
  <c r="N1486" i="4" s="1"/>
  <c r="AA1486" i="2"/>
  <c r="M1485" i="2"/>
  <c r="D1485" i="2"/>
  <c r="F1485" i="2"/>
  <c r="E1485" i="2"/>
  <c r="AA1485" i="2"/>
  <c r="J1485" i="4"/>
  <c r="N1485" i="4" s="1"/>
  <c r="M1484" i="2"/>
  <c r="F1484" i="2"/>
  <c r="D1484" i="2"/>
  <c r="E1484" i="2"/>
  <c r="AA1484" i="2"/>
  <c r="J1484" i="4"/>
  <c r="N1484" i="4" s="1"/>
  <c r="M1483" i="2"/>
  <c r="N1483" i="2" s="1"/>
  <c r="O1483" i="2"/>
  <c r="D1483" i="2"/>
  <c r="F1483" i="2"/>
  <c r="E1483" i="2"/>
  <c r="J1483" i="4"/>
  <c r="N1483" i="4" s="1"/>
  <c r="AA1483" i="2"/>
  <c r="M1482" i="2"/>
  <c r="E1482" i="2"/>
  <c r="D1482" i="2"/>
  <c r="F1482" i="2"/>
  <c r="J1482" i="4"/>
  <c r="N1482" i="4" s="1"/>
  <c r="AA1482" i="2"/>
  <c r="M1481" i="2"/>
  <c r="N1481" i="2" s="1"/>
  <c r="O1481" i="2"/>
  <c r="F1481" i="2"/>
  <c r="D1481" i="2"/>
  <c r="E1481" i="2"/>
  <c r="AA1481" i="2"/>
  <c r="J1481" i="4"/>
  <c r="N1481" i="4" s="1"/>
  <c r="M1480" i="2"/>
  <c r="N1480" i="2" s="1"/>
  <c r="O1480" i="2"/>
  <c r="E1480" i="2"/>
  <c r="F1480" i="2"/>
  <c r="D1480" i="2"/>
  <c r="G1480" i="2" s="1"/>
  <c r="J1480" i="4"/>
  <c r="N1480" i="4" s="1"/>
  <c r="AA1480" i="2"/>
  <c r="M1479" i="2"/>
  <c r="E1479" i="2"/>
  <c r="F1479" i="2"/>
  <c r="D1479" i="2"/>
  <c r="J1479" i="4"/>
  <c r="N1479" i="4" s="1"/>
  <c r="AA1479" i="2"/>
  <c r="M1478" i="2"/>
  <c r="E1478" i="2"/>
  <c r="F1478" i="2"/>
  <c r="D1478" i="2"/>
  <c r="G1478" i="2" s="1"/>
  <c r="AA1478" i="2"/>
  <c r="J1478" i="4"/>
  <c r="N1478" i="4" s="1"/>
  <c r="M1477" i="2"/>
  <c r="F1477" i="2"/>
  <c r="D1477" i="2"/>
  <c r="E1477" i="2"/>
  <c r="J1477" i="4"/>
  <c r="N1477" i="4" s="1"/>
  <c r="AA1477" i="2"/>
  <c r="M1476" i="2"/>
  <c r="N1476" i="2" s="1"/>
  <c r="O1476" i="2"/>
  <c r="D1476" i="2"/>
  <c r="F1476" i="2"/>
  <c r="E1476" i="2"/>
  <c r="AA1476" i="2"/>
  <c r="J1476" i="4"/>
  <c r="N1476" i="4" s="1"/>
  <c r="M1475" i="2"/>
  <c r="E1475" i="2"/>
  <c r="D1475" i="2"/>
  <c r="F1475" i="2"/>
  <c r="J1475" i="4"/>
  <c r="N1475" i="4" s="1"/>
  <c r="AA1475" i="2"/>
  <c r="M1474" i="2"/>
  <c r="D1474" i="2"/>
  <c r="F1474" i="2"/>
  <c r="E1474" i="2"/>
  <c r="J1474" i="4"/>
  <c r="N1474" i="4" s="1"/>
  <c r="AA1474" i="2"/>
  <c r="M1473" i="2"/>
  <c r="E1473" i="2"/>
  <c r="D1473" i="2"/>
  <c r="F1473" i="2"/>
  <c r="AA1473" i="2"/>
  <c r="J1473" i="4"/>
  <c r="N1473" i="4" s="1"/>
  <c r="M1472" i="2"/>
  <c r="N1472" i="2" s="1"/>
  <c r="O1472" i="2"/>
  <c r="D1472" i="2"/>
  <c r="E1472" i="2"/>
  <c r="F1472" i="2"/>
  <c r="J1472" i="4"/>
  <c r="N1472" i="4" s="1"/>
  <c r="AA1472" i="2"/>
  <c r="M1471" i="2"/>
  <c r="D1471" i="2"/>
  <c r="F1471" i="2"/>
  <c r="E1471" i="2"/>
  <c r="J1471" i="4"/>
  <c r="N1471" i="4" s="1"/>
  <c r="AA1471" i="2"/>
  <c r="M1470" i="2"/>
  <c r="N1470" i="2" s="1"/>
  <c r="O1470" i="2"/>
  <c r="D1470" i="2"/>
  <c r="E1470" i="2"/>
  <c r="F1470" i="2"/>
  <c r="J1470" i="4"/>
  <c r="N1470" i="4" s="1"/>
  <c r="AA1470" i="2"/>
  <c r="M1469" i="2"/>
  <c r="F1469" i="2"/>
  <c r="D1469" i="2"/>
  <c r="E1469" i="2"/>
  <c r="AA1469" i="2"/>
  <c r="J1469" i="4"/>
  <c r="N1469" i="4" s="1"/>
  <c r="M1468" i="2"/>
  <c r="N1468" i="2" s="1"/>
  <c r="O1468" i="2"/>
  <c r="E1468" i="2"/>
  <c r="F1468" i="2"/>
  <c r="D1468" i="2"/>
  <c r="G1468" i="2" s="1"/>
  <c r="AA1468" i="2"/>
  <c r="J1468" i="4"/>
  <c r="N1468" i="4" s="1"/>
  <c r="M1467" i="2"/>
  <c r="D1467" i="2"/>
  <c r="F1467" i="2"/>
  <c r="E1467" i="2"/>
  <c r="AA1467" i="2"/>
  <c r="J1467" i="4"/>
  <c r="N1467" i="4" s="1"/>
  <c r="M1466" i="2"/>
  <c r="N1466" i="2" s="1"/>
  <c r="O1466" i="2"/>
  <c r="E1466" i="2"/>
  <c r="D1466" i="2"/>
  <c r="F1466" i="2"/>
  <c r="J1466" i="4"/>
  <c r="N1466" i="4" s="1"/>
  <c r="AA1466" i="2"/>
  <c r="M1465" i="2"/>
  <c r="F1465" i="2"/>
  <c r="E1465" i="2"/>
  <c r="D1465" i="2"/>
  <c r="AA1465" i="2"/>
  <c r="J1465" i="4"/>
  <c r="N1465" i="4" s="1"/>
  <c r="M1464" i="2"/>
  <c r="N1464" i="2" s="1"/>
  <c r="O1464" i="2"/>
  <c r="M1463" i="2"/>
  <c r="F1463" i="2"/>
  <c r="E1463" i="2"/>
  <c r="D1463" i="2"/>
  <c r="G1463" i="2" s="1"/>
  <c r="V1463" i="2" s="1"/>
  <c r="AA1463" i="2"/>
  <c r="M1462" i="2"/>
  <c r="N1462" i="2" s="1"/>
  <c r="O1462" i="2"/>
  <c r="D1462" i="2"/>
  <c r="E1462" i="2"/>
  <c r="F1462" i="2"/>
  <c r="AA1462" i="2"/>
  <c r="M1461" i="2"/>
  <c r="F1461" i="2"/>
  <c r="E1461" i="2"/>
  <c r="D1461" i="2"/>
  <c r="AA1461" i="2"/>
  <c r="M1460" i="2"/>
  <c r="D1460" i="2"/>
  <c r="E1460" i="2"/>
  <c r="F1460" i="2"/>
  <c r="AA1460" i="2"/>
  <c r="M1459" i="2"/>
  <c r="N1459" i="2" s="1"/>
  <c r="O1459" i="2"/>
  <c r="F1459" i="2"/>
  <c r="E1459" i="2"/>
  <c r="D1459" i="2"/>
  <c r="G1459" i="2" s="1"/>
  <c r="AA1459" i="2"/>
  <c r="J1459" i="4"/>
  <c r="N1459" i="4" s="1"/>
  <c r="M1458" i="2"/>
  <c r="F1458" i="2"/>
  <c r="E1458" i="2"/>
  <c r="D1458" i="2"/>
  <c r="G1458" i="2" s="1"/>
  <c r="V1458" i="2" s="1"/>
  <c r="AA1458" i="2"/>
  <c r="J1458" i="4"/>
  <c r="N1458" i="4" s="1"/>
  <c r="M1457" i="2"/>
  <c r="F1457" i="2"/>
  <c r="D1457" i="2"/>
  <c r="E1457" i="2"/>
  <c r="AA1457" i="2"/>
  <c r="J1457" i="4"/>
  <c r="N1457" i="4" s="1"/>
  <c r="M1456" i="2"/>
  <c r="D1456" i="2"/>
  <c r="F1456" i="2"/>
  <c r="E1456" i="2"/>
  <c r="AA1456" i="2"/>
  <c r="J1456" i="4"/>
  <c r="N1456" i="4" s="1"/>
  <c r="M1455" i="2"/>
  <c r="F1455" i="2"/>
  <c r="D1455" i="2"/>
  <c r="E1455" i="2"/>
  <c r="AA1455" i="2"/>
  <c r="J1455" i="4"/>
  <c r="N1455" i="4" s="1"/>
  <c r="M1454" i="2"/>
  <c r="N1454" i="2" s="1"/>
  <c r="O1454" i="2"/>
  <c r="D1454" i="2"/>
  <c r="E1454" i="2"/>
  <c r="F1454" i="2"/>
  <c r="J1454" i="4"/>
  <c r="N1454" i="4" s="1"/>
  <c r="AA1454" i="2"/>
  <c r="M1453" i="2"/>
  <c r="F1453" i="2"/>
  <c r="E1453" i="2"/>
  <c r="D1453" i="2"/>
  <c r="G1453" i="2" s="1"/>
  <c r="V1453" i="2" s="1"/>
  <c r="AA1453" i="2"/>
  <c r="J1453" i="4"/>
  <c r="N1453" i="4" s="1"/>
  <c r="M1452" i="2"/>
  <c r="F1452" i="2"/>
  <c r="E1452" i="2"/>
  <c r="D1452" i="2"/>
  <c r="AA1452" i="2"/>
  <c r="J1452" i="4"/>
  <c r="N1452" i="4" s="1"/>
  <c r="M1451" i="2"/>
  <c r="F1451" i="2"/>
  <c r="E1451" i="2"/>
  <c r="D1451" i="2"/>
  <c r="AA1451" i="2"/>
  <c r="J1451" i="4"/>
  <c r="N1451" i="4" s="1"/>
  <c r="M1450" i="2"/>
  <c r="E1450" i="2"/>
  <c r="D1450" i="2"/>
  <c r="F1450" i="2"/>
  <c r="AA1450" i="2"/>
  <c r="J1450" i="4"/>
  <c r="N1450" i="4" s="1"/>
  <c r="M1449" i="2"/>
  <c r="F1449" i="2"/>
  <c r="E1449" i="2"/>
  <c r="D1449" i="2"/>
  <c r="AA1449" i="2"/>
  <c r="J1449" i="4"/>
  <c r="N1449" i="4" s="1"/>
  <c r="M1448" i="2"/>
  <c r="F1448" i="2"/>
  <c r="E1448" i="2"/>
  <c r="D1448" i="2"/>
  <c r="G1448" i="2" s="1"/>
  <c r="V1448" i="2" s="1"/>
  <c r="AA1448" i="2"/>
  <c r="J1448" i="4"/>
  <c r="N1448" i="4" s="1"/>
  <c r="M1447" i="2"/>
  <c r="N1447" i="2" s="1"/>
  <c r="O1447" i="2"/>
  <c r="F1447" i="2"/>
  <c r="E1447" i="2"/>
  <c r="D1447" i="2"/>
  <c r="AA1447" i="2"/>
  <c r="J1447" i="4"/>
  <c r="N1447" i="4" s="1"/>
  <c r="M1446" i="2"/>
  <c r="N1446" i="2" s="1"/>
  <c r="O1446" i="2"/>
  <c r="F1446" i="2"/>
  <c r="E1446" i="2"/>
  <c r="D1446" i="2"/>
  <c r="G1446" i="2" s="1"/>
  <c r="J1446" i="4"/>
  <c r="N1446" i="4" s="1"/>
  <c r="AA1446" i="2"/>
  <c r="M1445" i="2"/>
  <c r="N1445" i="2" s="1"/>
  <c r="O1445" i="2"/>
  <c r="D1445" i="2"/>
  <c r="E1445" i="2"/>
  <c r="F1445" i="2"/>
  <c r="AA1445" i="2"/>
  <c r="J1445" i="4"/>
  <c r="N1445" i="4" s="1"/>
  <c r="M1444" i="2"/>
  <c r="N1444" i="2" s="1"/>
  <c r="O1444" i="2"/>
  <c r="F1444" i="2"/>
  <c r="D1444" i="2"/>
  <c r="E1444" i="2"/>
  <c r="J1444" i="4"/>
  <c r="N1444" i="4" s="1"/>
  <c r="AA1444" i="2"/>
  <c r="M1443" i="2"/>
  <c r="N1443" i="2" s="1"/>
  <c r="O1443" i="2"/>
  <c r="D1443" i="2"/>
  <c r="E1443" i="2"/>
  <c r="F1443" i="2"/>
  <c r="AA1443" i="2"/>
  <c r="J1443" i="4"/>
  <c r="N1443" i="4" s="1"/>
  <c r="M1442" i="2"/>
  <c r="N1442" i="2" s="1"/>
  <c r="O1442" i="2"/>
  <c r="E1442" i="2"/>
  <c r="D1442" i="2"/>
  <c r="F1442" i="2"/>
  <c r="J1442" i="4"/>
  <c r="N1442" i="4" s="1"/>
  <c r="AA1442" i="2"/>
  <c r="M1441" i="2"/>
  <c r="D1441" i="2"/>
  <c r="F1441" i="2"/>
  <c r="E1441" i="2"/>
  <c r="J1441" i="4"/>
  <c r="N1441" i="4" s="1"/>
  <c r="AA1441" i="2"/>
  <c r="M1440" i="2"/>
  <c r="F1440" i="2"/>
  <c r="E1440" i="2"/>
  <c r="D1440" i="2"/>
  <c r="G1440" i="2" s="1"/>
  <c r="V1440" i="2" s="1"/>
  <c r="J1440" i="4"/>
  <c r="N1440" i="4" s="1"/>
  <c r="AA1440" i="2"/>
  <c r="M1439" i="2"/>
  <c r="F1439" i="2"/>
  <c r="E1439" i="2"/>
  <c r="D1439" i="2"/>
  <c r="J1439" i="4"/>
  <c r="N1439" i="4" s="1"/>
  <c r="AA1439" i="2"/>
  <c r="M1438" i="2"/>
  <c r="F1438" i="2"/>
  <c r="E1438" i="2"/>
  <c r="D1438" i="2"/>
  <c r="G1438" i="2" s="1"/>
  <c r="V1438" i="2" s="1"/>
  <c r="J1438" i="4"/>
  <c r="N1438" i="4" s="1"/>
  <c r="AA1438" i="2"/>
  <c r="M1437" i="2"/>
  <c r="N1437" i="2" s="1"/>
  <c r="O1437" i="2"/>
  <c r="D1437" i="2"/>
  <c r="E1437" i="2"/>
  <c r="F1437" i="2"/>
  <c r="AA1437" i="2"/>
  <c r="J1437" i="4"/>
  <c r="N1437" i="4" s="1"/>
  <c r="M1436" i="2"/>
  <c r="N1436" i="2" s="1"/>
  <c r="O1436" i="2"/>
  <c r="D1436" i="2"/>
  <c r="F1436" i="2"/>
  <c r="E1436" i="2"/>
  <c r="J1436" i="4"/>
  <c r="N1436" i="4" s="1"/>
  <c r="AA1436" i="2"/>
  <c r="M1435" i="2"/>
  <c r="N1435" i="2" s="1"/>
  <c r="O1435" i="2"/>
  <c r="F1435" i="2"/>
  <c r="D1435" i="2"/>
  <c r="E1435" i="2"/>
  <c r="J1435" i="4"/>
  <c r="N1435" i="4" s="1"/>
  <c r="AA1435" i="2"/>
  <c r="M1434" i="2"/>
  <c r="D1434" i="2"/>
  <c r="F1434" i="2"/>
  <c r="E1434" i="2"/>
  <c r="J1434" i="4"/>
  <c r="N1434" i="4" s="1"/>
  <c r="AA1434" i="2"/>
  <c r="M1433" i="2"/>
  <c r="E1433" i="2"/>
  <c r="D1433" i="2"/>
  <c r="F1433" i="2"/>
  <c r="J1433" i="4"/>
  <c r="N1433" i="4" s="1"/>
  <c r="AA1433" i="2"/>
  <c r="M1432" i="2"/>
  <c r="F1432" i="2"/>
  <c r="E1432" i="2"/>
  <c r="D1432" i="2"/>
  <c r="AA1432" i="2"/>
  <c r="J1432" i="4"/>
  <c r="N1432" i="4" s="1"/>
  <c r="M1431" i="2"/>
  <c r="N1431" i="2" s="1"/>
  <c r="O1431" i="2"/>
  <c r="E1431" i="2"/>
  <c r="D1431" i="2"/>
  <c r="F1431" i="2"/>
  <c r="J1431" i="4"/>
  <c r="N1431" i="4" s="1"/>
  <c r="AA1431" i="2"/>
  <c r="M1430" i="2"/>
  <c r="N1430" i="2" s="1"/>
  <c r="O1430" i="2"/>
  <c r="D1430" i="2"/>
  <c r="E1430" i="2"/>
  <c r="F1430" i="2"/>
  <c r="J1430" i="4"/>
  <c r="N1430" i="4" s="1"/>
  <c r="AA1430" i="2"/>
  <c r="M1429" i="2"/>
  <c r="F1429" i="2"/>
  <c r="E1429" i="2"/>
  <c r="D1429" i="2"/>
  <c r="G1429" i="2" s="1"/>
  <c r="AA1429" i="2"/>
  <c r="J1429" i="4"/>
  <c r="N1429" i="4" s="1"/>
  <c r="M1428" i="2"/>
  <c r="E1428" i="2"/>
  <c r="F1428" i="2"/>
  <c r="D1428" i="2"/>
  <c r="G1428" i="2" s="1"/>
  <c r="V1428" i="2" s="1"/>
  <c r="J1428" i="4"/>
  <c r="N1428" i="4" s="1"/>
  <c r="AA1428" i="2"/>
  <c r="M1427" i="2"/>
  <c r="N1427" i="2" s="1"/>
  <c r="O1427" i="2"/>
  <c r="D1427" i="2"/>
  <c r="E1427" i="2"/>
  <c r="F1427" i="2"/>
  <c r="AA1427" i="2"/>
  <c r="J1427" i="4"/>
  <c r="N1427" i="4" s="1"/>
  <c r="M1426" i="2"/>
  <c r="D1426" i="2"/>
  <c r="F1426" i="2"/>
  <c r="E1426" i="2"/>
  <c r="AA1426" i="2"/>
  <c r="J1426" i="4"/>
  <c r="N1426" i="4" s="1"/>
  <c r="M1425" i="2"/>
  <c r="F1425" i="2"/>
  <c r="E1425" i="2"/>
  <c r="D1425" i="2"/>
  <c r="J1425" i="4"/>
  <c r="N1425" i="4" s="1"/>
  <c r="AA1425" i="2"/>
  <c r="M1424" i="2"/>
  <c r="F1424" i="2"/>
  <c r="E1424" i="2"/>
  <c r="D1424" i="2"/>
  <c r="G1424" i="2" s="1"/>
  <c r="V1424" i="2" s="1"/>
  <c r="J1424" i="4"/>
  <c r="N1424" i="4" s="1"/>
  <c r="AA1424" i="2"/>
  <c r="M1423" i="2"/>
  <c r="D1423" i="2"/>
  <c r="E1423" i="2"/>
  <c r="F1423" i="2"/>
  <c r="J1423" i="4"/>
  <c r="N1423" i="4" s="1"/>
  <c r="AA1423" i="2"/>
  <c r="M1422" i="2"/>
  <c r="N1422" i="2" s="1"/>
  <c r="O1422" i="2"/>
  <c r="F1422" i="2"/>
  <c r="E1422" i="2"/>
  <c r="D1422" i="2"/>
  <c r="AA1422" i="2"/>
  <c r="J1422" i="4"/>
  <c r="N1422" i="4" s="1"/>
  <c r="M1421" i="2"/>
  <c r="N1421" i="2" s="1"/>
  <c r="O1421" i="2"/>
  <c r="D1421" i="2"/>
  <c r="F1421" i="2"/>
  <c r="E1421" i="2"/>
  <c r="J1421" i="4"/>
  <c r="N1421" i="4" s="1"/>
  <c r="AA1421" i="2"/>
  <c r="M1420" i="2"/>
  <c r="D1420" i="2"/>
  <c r="F1420" i="2"/>
  <c r="E1420" i="2"/>
  <c r="AA1420" i="2"/>
  <c r="J1420" i="4"/>
  <c r="N1420" i="4" s="1"/>
  <c r="M1419" i="2"/>
  <c r="N1419" i="2" s="1"/>
  <c r="O1419" i="2"/>
  <c r="F1419" i="2"/>
  <c r="E1419" i="2"/>
  <c r="D1419" i="2"/>
  <c r="G1419" i="2" s="1"/>
  <c r="J1419" i="4"/>
  <c r="N1419" i="4" s="1"/>
  <c r="AA1419" i="2"/>
  <c r="M1418" i="2"/>
  <c r="F1418" i="2"/>
  <c r="E1418" i="2"/>
  <c r="D1418" i="2"/>
  <c r="G1418" i="2" s="1"/>
  <c r="V1418" i="2" s="1"/>
  <c r="AA1418" i="2"/>
  <c r="J1418" i="4"/>
  <c r="N1418" i="4" s="1"/>
  <c r="M1417" i="2"/>
  <c r="F1417" i="2"/>
  <c r="E1417" i="2"/>
  <c r="D1417" i="2"/>
  <c r="J1417" i="4"/>
  <c r="N1417" i="4" s="1"/>
  <c r="AA1417" i="2"/>
  <c r="M1416" i="2"/>
  <c r="F1416" i="2"/>
  <c r="D1416" i="2"/>
  <c r="E1416" i="2"/>
  <c r="J1416" i="4"/>
  <c r="N1416" i="4" s="1"/>
  <c r="AA1416" i="2"/>
  <c r="M1415" i="2"/>
  <c r="E1415" i="2"/>
  <c r="F1415" i="2"/>
  <c r="D1415" i="2"/>
  <c r="J1415" i="4"/>
  <c r="N1415" i="4" s="1"/>
  <c r="AA1415" i="2"/>
  <c r="M1414" i="2"/>
  <c r="D1414" i="2"/>
  <c r="F1414" i="2"/>
  <c r="E1414" i="2"/>
  <c r="J1414" i="4"/>
  <c r="N1414" i="4" s="1"/>
  <c r="AA1414" i="2"/>
  <c r="M1413" i="2"/>
  <c r="D1413" i="2"/>
  <c r="E1413" i="2"/>
  <c r="F1413" i="2"/>
  <c r="J1413" i="4"/>
  <c r="N1413" i="4" s="1"/>
  <c r="AA1413" i="2"/>
  <c r="M1412" i="2"/>
  <c r="E1412" i="2"/>
  <c r="F1412" i="2"/>
  <c r="D1412" i="2"/>
  <c r="G1412" i="2" s="1"/>
  <c r="V1412" i="2" s="1"/>
  <c r="J1412" i="4"/>
  <c r="N1412" i="4" s="1"/>
  <c r="AA1412" i="2"/>
  <c r="M1411" i="2"/>
  <c r="F1411" i="2"/>
  <c r="E1411" i="2"/>
  <c r="D1411" i="2"/>
  <c r="J1411" i="4"/>
  <c r="N1411" i="4" s="1"/>
  <c r="AA1411" i="2"/>
  <c r="M1410" i="2"/>
  <c r="F1410" i="2"/>
  <c r="E1410" i="2"/>
  <c r="D1410" i="2"/>
  <c r="J1410" i="4"/>
  <c r="N1410" i="4" s="1"/>
  <c r="AA1410" i="2"/>
  <c r="M1409" i="2"/>
  <c r="F1409" i="2"/>
  <c r="E1409" i="2"/>
  <c r="D1409" i="2"/>
  <c r="J1409" i="4"/>
  <c r="N1409" i="4" s="1"/>
  <c r="AA1409" i="2"/>
  <c r="M1408" i="2"/>
  <c r="F1408" i="2"/>
  <c r="E1408" i="2"/>
  <c r="D1408" i="2"/>
  <c r="G1408" i="2" s="1"/>
  <c r="V1408" i="2" s="1"/>
  <c r="J1408" i="4"/>
  <c r="N1408" i="4" s="1"/>
  <c r="AA1408" i="2"/>
  <c r="M1407" i="2"/>
  <c r="E1407" i="2"/>
  <c r="D1407" i="2"/>
  <c r="F1407" i="2"/>
  <c r="J1407" i="4"/>
  <c r="N1407" i="4" s="1"/>
  <c r="AA1407" i="2"/>
  <c r="M1406" i="2"/>
  <c r="F1406" i="2"/>
  <c r="E1406" i="2"/>
  <c r="D1406" i="2"/>
  <c r="G1406" i="2" s="1"/>
  <c r="V1406" i="2" s="1"/>
  <c r="J1406" i="4"/>
  <c r="N1406" i="4" s="1"/>
  <c r="AA1406" i="2"/>
  <c r="M1405" i="2"/>
  <c r="F1405" i="2"/>
  <c r="E1405" i="2"/>
  <c r="D1405" i="2"/>
  <c r="G1405" i="2" s="1"/>
  <c r="V1405" i="2" s="1"/>
  <c r="J1405" i="4"/>
  <c r="N1405" i="4" s="1"/>
  <c r="AA1405" i="2"/>
  <c r="M1404" i="2"/>
  <c r="F1404" i="2"/>
  <c r="E1404" i="2"/>
  <c r="D1404" i="2"/>
  <c r="J1404" i="4"/>
  <c r="N1404" i="4" s="1"/>
  <c r="AA1404" i="2"/>
  <c r="M1403" i="2"/>
  <c r="N1403" i="2" s="1"/>
  <c r="O1403" i="2"/>
  <c r="F1403" i="2"/>
  <c r="E1403" i="2"/>
  <c r="D1403" i="2"/>
  <c r="AA1403" i="2"/>
  <c r="J1403" i="4"/>
  <c r="N1403" i="4" s="1"/>
  <c r="M1402" i="2"/>
  <c r="N1402" i="2" s="1"/>
  <c r="O1402" i="2"/>
  <c r="E1402" i="2"/>
  <c r="F1402" i="2"/>
  <c r="D1402" i="2"/>
  <c r="G1402" i="2" s="1"/>
  <c r="AA1402" i="2"/>
  <c r="J1402" i="4"/>
  <c r="N1402" i="4" s="1"/>
  <c r="M1401" i="2"/>
  <c r="D1401" i="2"/>
  <c r="F1401" i="2"/>
  <c r="E1401" i="2"/>
  <c r="J1401" i="4"/>
  <c r="N1401" i="4" s="1"/>
  <c r="AA1401" i="2"/>
  <c r="M1400" i="2"/>
  <c r="N1400" i="2" s="1"/>
  <c r="O1400" i="2"/>
  <c r="D1400" i="2"/>
  <c r="E1400" i="2"/>
  <c r="F1400" i="2"/>
  <c r="AA1400" i="2"/>
  <c r="J1400" i="4"/>
  <c r="N1400" i="4" s="1"/>
  <c r="M1399" i="2"/>
  <c r="F1399" i="2"/>
  <c r="D1399" i="2"/>
  <c r="E1399" i="2"/>
  <c r="AA1399" i="2"/>
  <c r="J1399" i="4"/>
  <c r="N1399" i="4" s="1"/>
  <c r="M1398" i="2"/>
  <c r="E1398" i="2"/>
  <c r="D1398" i="2"/>
  <c r="F1398" i="2"/>
  <c r="AA1398" i="2"/>
  <c r="J1398" i="4"/>
  <c r="N1398" i="4" s="1"/>
  <c r="M1397" i="2"/>
  <c r="F1397" i="2"/>
  <c r="E1397" i="2"/>
  <c r="D1397" i="2"/>
  <c r="AA1397" i="2"/>
  <c r="J1397" i="4"/>
  <c r="N1397" i="4" s="1"/>
  <c r="M1396" i="2"/>
  <c r="F1396" i="2"/>
  <c r="E1396" i="2"/>
  <c r="D1396" i="2"/>
  <c r="G1396" i="2" s="1"/>
  <c r="V1396" i="2" s="1"/>
  <c r="J1396" i="4"/>
  <c r="N1396" i="4" s="1"/>
  <c r="AA1396" i="2"/>
  <c r="M1395" i="2"/>
  <c r="F1395" i="2"/>
  <c r="D1395" i="2"/>
  <c r="E1395" i="2"/>
  <c r="AA1395" i="2"/>
  <c r="J1395" i="4"/>
  <c r="N1395" i="4" s="1"/>
  <c r="M1394" i="2"/>
  <c r="F1394" i="2"/>
  <c r="E1394" i="2"/>
  <c r="D1394" i="2"/>
  <c r="AA1394" i="2"/>
  <c r="J1394" i="4"/>
  <c r="N1394" i="4" s="1"/>
  <c r="M1393" i="2"/>
  <c r="N1393" i="2" s="1"/>
  <c r="O1393" i="2"/>
  <c r="F1393" i="2"/>
  <c r="D1393" i="2"/>
  <c r="E1393" i="2"/>
  <c r="J1393" i="4"/>
  <c r="N1393" i="4" s="1"/>
  <c r="AA1393" i="2"/>
  <c r="M1392" i="2"/>
  <c r="N1392" i="2" s="1"/>
  <c r="O1392" i="2"/>
  <c r="F1392" i="2"/>
  <c r="E1392" i="2"/>
  <c r="D1392" i="2"/>
  <c r="AA1392" i="2"/>
  <c r="J1392" i="4"/>
  <c r="N1392" i="4" s="1"/>
  <c r="M1391" i="2"/>
  <c r="N1391" i="2" s="1"/>
  <c r="O1391" i="2"/>
  <c r="F1391" i="2"/>
  <c r="E1391" i="2"/>
  <c r="D1391" i="2"/>
  <c r="G1391" i="2" s="1"/>
  <c r="AA1391" i="2"/>
  <c r="J1391" i="4"/>
  <c r="N1391" i="4" s="1"/>
  <c r="M1390" i="2"/>
  <c r="N1390" i="2" s="1"/>
  <c r="O1390" i="2"/>
  <c r="F1390" i="2"/>
  <c r="E1390" i="2"/>
  <c r="D1390" i="2"/>
  <c r="G1390" i="2" s="1"/>
  <c r="J1390" i="4"/>
  <c r="N1390" i="4" s="1"/>
  <c r="AA1390" i="2"/>
  <c r="M1389" i="2"/>
  <c r="D1389" i="2"/>
  <c r="E1389" i="2"/>
  <c r="F1389" i="2"/>
  <c r="J1389" i="4"/>
  <c r="N1389" i="4" s="1"/>
  <c r="AA1389" i="2"/>
  <c r="M1388" i="2"/>
  <c r="D1388" i="2"/>
  <c r="E1388" i="2"/>
  <c r="F1388" i="2"/>
  <c r="AA1388" i="2"/>
  <c r="J1388" i="4"/>
  <c r="N1388" i="4" s="1"/>
  <c r="M1387" i="2"/>
  <c r="F1387" i="2"/>
  <c r="D1387" i="2"/>
  <c r="E1387" i="2"/>
  <c r="AA1387" i="2"/>
  <c r="J1387" i="4"/>
  <c r="N1387" i="4" s="1"/>
  <c r="M1386" i="2"/>
  <c r="N1386" i="2" s="1"/>
  <c r="O1386" i="2"/>
  <c r="E1386" i="2"/>
  <c r="D1386" i="2"/>
  <c r="F1386" i="2"/>
  <c r="J1386" i="4"/>
  <c r="N1386" i="4" s="1"/>
  <c r="AA1386" i="2"/>
  <c r="M1385" i="2"/>
  <c r="N1385" i="2" s="1"/>
  <c r="O1385" i="2"/>
  <c r="F1385" i="2"/>
  <c r="E1385" i="2"/>
  <c r="D1385" i="2"/>
  <c r="J1385" i="4"/>
  <c r="N1385" i="4" s="1"/>
  <c r="AA1385" i="2"/>
  <c r="M1384" i="2"/>
  <c r="F1384" i="2"/>
  <c r="E1384" i="2"/>
  <c r="D1384" i="2"/>
  <c r="J1384" i="4"/>
  <c r="N1384" i="4" s="1"/>
  <c r="AA1384" i="2"/>
  <c r="M1383" i="2"/>
  <c r="N1383" i="2" s="1"/>
  <c r="O1383" i="2"/>
  <c r="F1383" i="2"/>
  <c r="E1383" i="2"/>
  <c r="D1383" i="2"/>
  <c r="J1383" i="4"/>
  <c r="N1383" i="4" s="1"/>
  <c r="AA1383" i="2"/>
  <c r="M1382" i="2"/>
  <c r="E1382" i="2"/>
  <c r="F1382" i="2"/>
  <c r="D1382" i="2"/>
  <c r="AA1382" i="2"/>
  <c r="J1382" i="4"/>
  <c r="N1382" i="4" s="1"/>
  <c r="M1381" i="2"/>
  <c r="N1381" i="2" s="1"/>
  <c r="O1381" i="2"/>
  <c r="D1381" i="2"/>
  <c r="E1381" i="2"/>
  <c r="F1381" i="2"/>
  <c r="J1381" i="4"/>
  <c r="N1381" i="4" s="1"/>
  <c r="AA1381" i="2"/>
  <c r="M1380" i="2"/>
  <c r="D1380" i="2"/>
  <c r="E1380" i="2"/>
  <c r="F1380" i="2"/>
  <c r="J1380" i="4"/>
  <c r="N1380" i="4" s="1"/>
  <c r="AA1380" i="2"/>
  <c r="M1379" i="2"/>
  <c r="D1379" i="2"/>
  <c r="E1379" i="2"/>
  <c r="F1379" i="2"/>
  <c r="J1379" i="4"/>
  <c r="N1379" i="4" s="1"/>
  <c r="AA1379" i="2"/>
  <c r="M1378" i="2"/>
  <c r="E1378" i="2"/>
  <c r="D1378" i="2"/>
  <c r="F1378" i="2"/>
  <c r="J1378" i="4"/>
  <c r="N1378" i="4" s="1"/>
  <c r="AA1378" i="2"/>
  <c r="M1377" i="2"/>
  <c r="D1377" i="2"/>
  <c r="E1377" i="2"/>
  <c r="F1377" i="2"/>
  <c r="AA1377" i="2"/>
  <c r="J1377" i="4"/>
  <c r="N1377" i="4" s="1"/>
  <c r="M1376" i="2"/>
  <c r="N1376" i="2" s="1"/>
  <c r="O1376" i="2"/>
  <c r="E1376" i="2"/>
  <c r="D1376" i="2"/>
  <c r="F1376" i="2"/>
  <c r="AA1376" i="2"/>
  <c r="J1376" i="4"/>
  <c r="N1376" i="4" s="1"/>
  <c r="M1375" i="2"/>
  <c r="F1375" i="2"/>
  <c r="E1375" i="2"/>
  <c r="D1375" i="2"/>
  <c r="AA1375" i="2"/>
  <c r="J1375" i="4"/>
  <c r="N1375" i="4" s="1"/>
  <c r="M1374" i="2"/>
  <c r="D1374" i="2"/>
  <c r="F1374" i="2"/>
  <c r="E1374" i="2"/>
  <c r="AA1374" i="2"/>
  <c r="J1374" i="4"/>
  <c r="N1374" i="4" s="1"/>
  <c r="M1373" i="2"/>
  <c r="D1373" i="2"/>
  <c r="E1373" i="2"/>
  <c r="F1373" i="2"/>
  <c r="AA1373" i="2"/>
  <c r="J1373" i="4"/>
  <c r="N1373" i="4" s="1"/>
  <c r="M1372" i="2"/>
  <c r="F1372" i="2"/>
  <c r="E1372" i="2"/>
  <c r="D1372" i="2"/>
  <c r="J1372" i="4"/>
  <c r="N1372" i="4" s="1"/>
  <c r="AA1372" i="2"/>
  <c r="M1371" i="2"/>
  <c r="D1371" i="2"/>
  <c r="F1371" i="2"/>
  <c r="E1371" i="2"/>
  <c r="AA1371" i="2"/>
  <c r="J1371" i="4"/>
  <c r="N1371" i="4" s="1"/>
  <c r="M1370" i="2"/>
  <c r="F1370" i="2"/>
  <c r="D1370" i="2"/>
  <c r="E1370" i="2"/>
  <c r="J1370" i="4"/>
  <c r="N1370" i="4" s="1"/>
  <c r="AA1370" i="2"/>
  <c r="M1369" i="2"/>
  <c r="D1369" i="2"/>
  <c r="F1369" i="2"/>
  <c r="E1369" i="2"/>
  <c r="AA1369" i="2"/>
  <c r="J1369" i="4"/>
  <c r="N1369" i="4" s="1"/>
  <c r="M1368" i="2"/>
  <c r="F1368" i="2"/>
  <c r="E1368" i="2"/>
  <c r="D1368" i="2"/>
  <c r="AA1368" i="2"/>
  <c r="J1368" i="4"/>
  <c r="N1368" i="4" s="1"/>
  <c r="M1367" i="2"/>
  <c r="N1367" i="2" s="1"/>
  <c r="O1367" i="2"/>
  <c r="D1367" i="2"/>
  <c r="E1367" i="2"/>
  <c r="F1367" i="2"/>
  <c r="J1367" i="4"/>
  <c r="N1367" i="4" s="1"/>
  <c r="AA1367" i="2"/>
  <c r="M1366" i="2"/>
  <c r="F1366" i="2"/>
  <c r="E1366" i="2"/>
  <c r="D1366" i="2"/>
  <c r="G1366" i="2" s="1"/>
  <c r="AA1366" i="2"/>
  <c r="J1366" i="4"/>
  <c r="N1366" i="4" s="1"/>
  <c r="M1365" i="2"/>
  <c r="F1365" i="2"/>
  <c r="E1365" i="2"/>
  <c r="D1365" i="2"/>
  <c r="J1365" i="4"/>
  <c r="N1365" i="4" s="1"/>
  <c r="AA1365" i="2"/>
  <c r="M1364" i="2"/>
  <c r="D1364" i="2"/>
  <c r="E1364" i="2"/>
  <c r="F1364" i="2"/>
  <c r="J1364" i="4"/>
  <c r="N1364" i="4" s="1"/>
  <c r="AA1364" i="2"/>
  <c r="M1363" i="2"/>
  <c r="F1363" i="2"/>
  <c r="D1363" i="2"/>
  <c r="E1363" i="2"/>
  <c r="AA1363" i="2"/>
  <c r="J1363" i="4"/>
  <c r="N1363" i="4" s="1"/>
  <c r="M1362" i="2"/>
  <c r="E1362" i="2"/>
  <c r="F1362" i="2"/>
  <c r="D1362" i="2"/>
  <c r="G1362" i="2" s="1"/>
  <c r="V1362" i="2" s="1"/>
  <c r="J1362" i="4"/>
  <c r="N1362" i="4" s="1"/>
  <c r="AA1362" i="2"/>
  <c r="M1361" i="2"/>
  <c r="F1361" i="2"/>
  <c r="D1361" i="2"/>
  <c r="E1361" i="2"/>
  <c r="J1361" i="4"/>
  <c r="N1361" i="4" s="1"/>
  <c r="AA1361" i="2"/>
  <c r="M1360" i="2"/>
  <c r="F1360" i="2"/>
  <c r="E1360" i="2"/>
  <c r="D1360" i="2"/>
  <c r="AA1360" i="2"/>
  <c r="J1360" i="4"/>
  <c r="N1360" i="4" s="1"/>
  <c r="M1359" i="2"/>
  <c r="N1359" i="2" s="1"/>
  <c r="O1359" i="2"/>
  <c r="E1359" i="2"/>
  <c r="D1359" i="2"/>
  <c r="F1359" i="2"/>
  <c r="AA1359" i="2"/>
  <c r="J1359" i="4"/>
  <c r="N1359" i="4" s="1"/>
  <c r="M1358" i="2"/>
  <c r="D1358" i="2"/>
  <c r="E1358" i="2"/>
  <c r="F1358" i="2"/>
  <c r="J1358" i="4"/>
  <c r="N1358" i="4" s="1"/>
  <c r="AA1358" i="2"/>
  <c r="M1357" i="2"/>
  <c r="D1357" i="2"/>
  <c r="E1357" i="2"/>
  <c r="F1357" i="2"/>
  <c r="J1357" i="4"/>
  <c r="N1357" i="4" s="1"/>
  <c r="AA1357" i="2"/>
  <c r="M1356" i="2"/>
  <c r="E1356" i="2"/>
  <c r="D1356" i="2"/>
  <c r="F1356" i="2"/>
  <c r="AA1356" i="2"/>
  <c r="J1356" i="4"/>
  <c r="N1356" i="4" s="1"/>
  <c r="M1355" i="2"/>
  <c r="E1355" i="2"/>
  <c r="D1355" i="2"/>
  <c r="F1355" i="2"/>
  <c r="J1355" i="4"/>
  <c r="N1355" i="4" s="1"/>
  <c r="AA1355" i="2"/>
  <c r="M1354" i="2"/>
  <c r="D1354" i="2"/>
  <c r="F1354" i="2"/>
  <c r="E1354" i="2"/>
  <c r="J1354" i="4"/>
  <c r="N1354" i="4" s="1"/>
  <c r="AA1354" i="2"/>
  <c r="M1353" i="2"/>
  <c r="E1353" i="2"/>
  <c r="F1353" i="2"/>
  <c r="D1353" i="2"/>
  <c r="G1353" i="2" s="1"/>
  <c r="AA1353" i="2"/>
  <c r="J1353" i="4"/>
  <c r="N1353" i="4" s="1"/>
  <c r="M1352" i="2"/>
  <c r="E1352" i="2"/>
  <c r="F1352" i="2"/>
  <c r="D1352" i="2"/>
  <c r="G1352" i="2" s="1"/>
  <c r="V1352" i="2" s="1"/>
  <c r="J1352" i="4"/>
  <c r="N1352" i="4" s="1"/>
  <c r="AA1352" i="2"/>
  <c r="M1351" i="2"/>
  <c r="F1351" i="2"/>
  <c r="E1351" i="2"/>
  <c r="D1351" i="2"/>
  <c r="G1351" i="2" s="1"/>
  <c r="J1351" i="4"/>
  <c r="N1351" i="4" s="1"/>
  <c r="AA1351" i="2"/>
  <c r="M1350" i="2"/>
  <c r="E1350" i="2"/>
  <c r="D1350" i="2"/>
  <c r="F1350" i="2"/>
  <c r="J1350" i="4"/>
  <c r="N1350" i="4" s="1"/>
  <c r="AA1350" i="2"/>
  <c r="M1349" i="2"/>
  <c r="D1349" i="2"/>
  <c r="F1349" i="2"/>
  <c r="E1349" i="2"/>
  <c r="AA1349" i="2"/>
  <c r="J1349" i="4"/>
  <c r="N1349" i="4" s="1"/>
  <c r="M1348" i="2"/>
  <c r="E1348" i="2"/>
  <c r="F1348" i="2"/>
  <c r="D1348" i="2"/>
  <c r="G1348" i="2" s="1"/>
  <c r="J1348" i="4"/>
  <c r="N1348" i="4" s="1"/>
  <c r="AA1348" i="2"/>
  <c r="M1347" i="2"/>
  <c r="E1347" i="2"/>
  <c r="F1347" i="2"/>
  <c r="D1347" i="2"/>
  <c r="G1347" i="2" s="1"/>
  <c r="V1347" i="2" s="1"/>
  <c r="J1347" i="4"/>
  <c r="N1347" i="4" s="1"/>
  <c r="AA1347" i="2"/>
  <c r="M1346" i="2"/>
  <c r="E1346" i="2"/>
  <c r="D1346" i="2"/>
  <c r="F1346" i="2"/>
  <c r="AA1346" i="2"/>
  <c r="J1346" i="4"/>
  <c r="N1346" i="4" s="1"/>
  <c r="M1345" i="2"/>
  <c r="E1345" i="2"/>
  <c r="F1345" i="2"/>
  <c r="D1345" i="2"/>
  <c r="G1345" i="2" s="1"/>
  <c r="V1345" i="2" s="1"/>
  <c r="J1345" i="4"/>
  <c r="N1345" i="4" s="1"/>
  <c r="AA1345" i="2"/>
  <c r="M1344" i="2"/>
  <c r="D1344" i="2"/>
  <c r="E1344" i="2"/>
  <c r="F1344" i="2"/>
  <c r="J1344" i="4"/>
  <c r="N1344" i="4" s="1"/>
  <c r="AA1344" i="2"/>
  <c r="M1343" i="2"/>
  <c r="N1343" i="2" s="1"/>
  <c r="O1343" i="2"/>
  <c r="F1343" i="2"/>
  <c r="D1343" i="2"/>
  <c r="E1343" i="2"/>
  <c r="J1343" i="4"/>
  <c r="N1343" i="4" s="1"/>
  <c r="AA1343" i="2"/>
  <c r="M1342" i="2"/>
  <c r="E1342" i="2"/>
  <c r="D1342" i="2"/>
  <c r="F1342" i="2"/>
  <c r="J1342" i="4"/>
  <c r="N1342" i="4" s="1"/>
  <c r="AA1342" i="2"/>
  <c r="M1341" i="2"/>
  <c r="F1341" i="2"/>
  <c r="D1341" i="2"/>
  <c r="E1341" i="2"/>
  <c r="J1341" i="4"/>
  <c r="N1341" i="4" s="1"/>
  <c r="AA1341" i="2"/>
  <c r="M1340" i="2"/>
  <c r="F1340" i="2"/>
  <c r="D1340" i="2"/>
  <c r="E1340" i="2"/>
  <c r="J1340" i="4"/>
  <c r="N1340" i="4" s="1"/>
  <c r="AA1340" i="2"/>
  <c r="M1339" i="2"/>
  <c r="F1339" i="2"/>
  <c r="D1339" i="2"/>
  <c r="E1339" i="2"/>
  <c r="J1339" i="4"/>
  <c r="N1339" i="4" s="1"/>
  <c r="AA1339" i="2"/>
  <c r="M1338" i="2"/>
  <c r="F1338" i="2"/>
  <c r="D1338" i="2"/>
  <c r="E1338" i="2"/>
  <c r="J1338" i="4"/>
  <c r="N1338" i="4" s="1"/>
  <c r="AA1338" i="2"/>
  <c r="M1337" i="2"/>
  <c r="E1337" i="2"/>
  <c r="F1337" i="2"/>
  <c r="D1337" i="2"/>
  <c r="G1337" i="2" s="1"/>
  <c r="V1337" i="2" s="1"/>
  <c r="AA1337" i="2"/>
  <c r="J1337" i="4"/>
  <c r="N1337" i="4" s="1"/>
  <c r="M1336" i="2"/>
  <c r="N1336" i="2" s="1"/>
  <c r="O1336" i="2"/>
  <c r="D1336" i="2"/>
  <c r="F1336" i="2"/>
  <c r="E1336" i="2"/>
  <c r="AA1336" i="2"/>
  <c r="J1336" i="4"/>
  <c r="N1336" i="4" s="1"/>
  <c r="M1335" i="2"/>
  <c r="F1335" i="2"/>
  <c r="E1335" i="2"/>
  <c r="D1335" i="2"/>
  <c r="G1335" i="2" s="1"/>
  <c r="V1335" i="2" s="1"/>
  <c r="J1335" i="4"/>
  <c r="N1335" i="4" s="1"/>
  <c r="AA1335" i="2"/>
  <c r="M1334" i="2"/>
  <c r="D1334" i="2"/>
  <c r="E1334" i="2"/>
  <c r="F1334" i="2"/>
  <c r="J1334" i="4"/>
  <c r="N1334" i="4" s="1"/>
  <c r="AA1334" i="2"/>
  <c r="M1333" i="2"/>
  <c r="N1333" i="2" s="1"/>
  <c r="O1333" i="2"/>
  <c r="F1333" i="2"/>
  <c r="D1333" i="2"/>
  <c r="E1333" i="2"/>
  <c r="J1333" i="4"/>
  <c r="N1333" i="4" s="1"/>
  <c r="AA1333" i="2"/>
  <c r="M1332" i="2"/>
  <c r="N1332" i="2" s="1"/>
  <c r="O1332" i="2"/>
  <c r="F1332" i="2"/>
  <c r="E1332" i="2"/>
  <c r="D1332" i="2"/>
  <c r="G1332" i="2" s="1"/>
  <c r="AA1332" i="2"/>
  <c r="J1332" i="4"/>
  <c r="N1332" i="4" s="1"/>
  <c r="M1331" i="2"/>
  <c r="N1331" i="2" s="1"/>
  <c r="O1331" i="2"/>
  <c r="F1331" i="2"/>
  <c r="D1331" i="2"/>
  <c r="E1331" i="2"/>
  <c r="AA1331" i="2"/>
  <c r="J1331" i="4"/>
  <c r="N1331" i="4" s="1"/>
  <c r="M1330" i="2"/>
  <c r="E1330" i="2"/>
  <c r="F1330" i="2"/>
  <c r="D1330" i="2"/>
  <c r="G1330" i="2" s="1"/>
  <c r="V1330" i="2" s="1"/>
  <c r="AA1330" i="2"/>
  <c r="J1330" i="4"/>
  <c r="N1330" i="4" s="1"/>
  <c r="M1329" i="2"/>
  <c r="E1329" i="2"/>
  <c r="F1329" i="2"/>
  <c r="D1329" i="2"/>
  <c r="G1329" i="2" s="1"/>
  <c r="V1329" i="2" s="1"/>
  <c r="J1329" i="4"/>
  <c r="N1329" i="4" s="1"/>
  <c r="AA1329" i="2"/>
  <c r="M1328" i="2"/>
  <c r="N1328" i="2" s="1"/>
  <c r="O1328" i="2"/>
  <c r="E1328" i="2"/>
  <c r="D1328" i="2"/>
  <c r="F1328" i="2"/>
  <c r="AA1328" i="2"/>
  <c r="J1328" i="4"/>
  <c r="N1328" i="4" s="1"/>
  <c r="M1327" i="2"/>
  <c r="N1327" i="2" s="1"/>
  <c r="O1327" i="2"/>
  <c r="F1327" i="2"/>
  <c r="D1327" i="2"/>
  <c r="E1327" i="2"/>
  <c r="J1327" i="4"/>
  <c r="N1327" i="4" s="1"/>
  <c r="AA1327" i="2"/>
  <c r="M1326" i="2"/>
  <c r="E1326" i="2"/>
  <c r="D1326" i="2"/>
  <c r="F1326" i="2"/>
  <c r="AA1326" i="2"/>
  <c r="J1326" i="4"/>
  <c r="N1326" i="4" s="1"/>
  <c r="M1325" i="2"/>
  <c r="D1325" i="2"/>
  <c r="F1325" i="2"/>
  <c r="E1325" i="2"/>
  <c r="AA1325" i="2"/>
  <c r="J1325" i="4"/>
  <c r="N1325" i="4" s="1"/>
  <c r="M1324" i="2"/>
  <c r="N1324" i="2" s="1"/>
  <c r="O1324" i="2"/>
  <c r="F1324" i="2"/>
  <c r="D1324" i="2"/>
  <c r="E1324" i="2"/>
  <c r="J1324" i="4"/>
  <c r="N1324" i="4" s="1"/>
  <c r="AA1324" i="2"/>
  <c r="M1323" i="2"/>
  <c r="N1323" i="2" s="1"/>
  <c r="O1323" i="2"/>
  <c r="F1323" i="2"/>
  <c r="D1323" i="2"/>
  <c r="E1323" i="2"/>
  <c r="J1323" i="4"/>
  <c r="N1323" i="4" s="1"/>
  <c r="AA1323" i="2"/>
  <c r="M1322" i="2"/>
  <c r="E1322" i="2"/>
  <c r="F1322" i="2"/>
  <c r="D1322" i="2"/>
  <c r="J1322" i="4"/>
  <c r="N1322" i="4" s="1"/>
  <c r="AA1322" i="2"/>
  <c r="M1321" i="2"/>
  <c r="N1321" i="2" s="1"/>
  <c r="O1321" i="2"/>
  <c r="F1321" i="2"/>
  <c r="E1321" i="2"/>
  <c r="D1321" i="2"/>
  <c r="G1321" i="2" s="1"/>
  <c r="AA1321" i="2"/>
  <c r="J1321" i="4"/>
  <c r="N1321" i="4" s="1"/>
  <c r="M1320" i="2"/>
  <c r="E1320" i="2"/>
  <c r="D1320" i="2"/>
  <c r="F1320" i="2"/>
  <c r="J1320" i="4"/>
  <c r="N1320" i="4" s="1"/>
  <c r="AA1320" i="2"/>
  <c r="M1319" i="2"/>
  <c r="E1319" i="2"/>
  <c r="D1319" i="2"/>
  <c r="F1319" i="2"/>
  <c r="J1319" i="4"/>
  <c r="N1319" i="4" s="1"/>
  <c r="AA1319" i="2"/>
  <c r="M1318" i="2"/>
  <c r="E1318" i="2"/>
  <c r="D1318" i="2"/>
  <c r="F1318" i="2"/>
  <c r="J1318" i="4"/>
  <c r="N1318" i="4" s="1"/>
  <c r="AA1318" i="2"/>
  <c r="M1317" i="2"/>
  <c r="N1317" i="2" s="1"/>
  <c r="O1317" i="2"/>
  <c r="E1317" i="2"/>
  <c r="D1317" i="2"/>
  <c r="F1317" i="2"/>
  <c r="AA1317" i="2"/>
  <c r="J1317" i="4"/>
  <c r="N1317" i="4" s="1"/>
  <c r="M1316" i="2"/>
  <c r="N1316" i="2" s="1"/>
  <c r="O1316" i="2"/>
  <c r="D1316" i="2"/>
  <c r="E1316" i="2"/>
  <c r="F1316" i="2"/>
  <c r="J1316" i="4"/>
  <c r="N1316" i="4" s="1"/>
  <c r="AA1316" i="2"/>
  <c r="M1315" i="2"/>
  <c r="F1315" i="2"/>
  <c r="E1315" i="2"/>
  <c r="D1315" i="2"/>
  <c r="G1315" i="2" s="1"/>
  <c r="V1315" i="2" s="1"/>
  <c r="AA1315" i="2"/>
  <c r="J1315" i="4"/>
  <c r="N1315" i="4" s="1"/>
  <c r="M1314" i="2"/>
  <c r="N1314" i="2" s="1"/>
  <c r="O1314" i="2"/>
  <c r="F1314" i="2"/>
  <c r="D1314" i="2"/>
  <c r="E1314" i="2"/>
  <c r="J1314" i="4"/>
  <c r="N1314" i="4" s="1"/>
  <c r="AA1314" i="2"/>
  <c r="M1313" i="2"/>
  <c r="N1313" i="2" s="1"/>
  <c r="O1313" i="2"/>
  <c r="F1313" i="2"/>
  <c r="E1313" i="2"/>
  <c r="D1313" i="2"/>
  <c r="G1313" i="2" s="1"/>
  <c r="J1313" i="4"/>
  <c r="N1313" i="4" s="1"/>
  <c r="AA1313" i="2"/>
  <c r="M1312" i="2"/>
  <c r="D1312" i="2"/>
  <c r="E1312" i="2"/>
  <c r="F1312" i="2"/>
  <c r="J1312" i="4"/>
  <c r="N1312" i="4" s="1"/>
  <c r="AA1312" i="2"/>
  <c r="M1311" i="2"/>
  <c r="F1311" i="2"/>
  <c r="E1311" i="2"/>
  <c r="D1311" i="2"/>
  <c r="J1311" i="4"/>
  <c r="N1311" i="4" s="1"/>
  <c r="AA1311" i="2"/>
  <c r="M1310" i="2"/>
  <c r="N1310" i="2" s="1"/>
  <c r="O1310" i="2"/>
  <c r="E1310" i="2"/>
  <c r="F1310" i="2"/>
  <c r="D1310" i="2"/>
  <c r="G1310" i="2" s="1"/>
  <c r="AA1310" i="2"/>
  <c r="J1310" i="4"/>
  <c r="N1310" i="4" s="1"/>
  <c r="M1309" i="2"/>
  <c r="F1309" i="2"/>
  <c r="D1309" i="2"/>
  <c r="E1309" i="2"/>
  <c r="AA1309" i="2"/>
  <c r="J1309" i="4"/>
  <c r="N1309" i="4" s="1"/>
  <c r="M1308" i="2"/>
  <c r="N1308" i="2" s="1"/>
  <c r="O1308" i="2"/>
  <c r="D1308" i="2"/>
  <c r="F1308" i="2"/>
  <c r="E1308" i="2"/>
  <c r="AA1308" i="2"/>
  <c r="J1308" i="4"/>
  <c r="N1308" i="4" s="1"/>
  <c r="M1307" i="2"/>
  <c r="F1307" i="2"/>
  <c r="D1307" i="2"/>
  <c r="E1307" i="2"/>
  <c r="AA1307" i="2"/>
  <c r="J1307" i="4"/>
  <c r="N1307" i="4" s="1"/>
  <c r="M1306" i="2"/>
  <c r="N1306" i="2" s="1"/>
  <c r="O1306" i="2"/>
  <c r="D1306" i="2"/>
  <c r="F1306" i="2"/>
  <c r="E1306" i="2"/>
  <c r="J1306" i="4"/>
  <c r="N1306" i="4" s="1"/>
  <c r="AA1306" i="2"/>
  <c r="M1305" i="2"/>
  <c r="E1305" i="2"/>
  <c r="F1305" i="2"/>
  <c r="D1305" i="2"/>
  <c r="G1305" i="2" s="1"/>
  <c r="J1305" i="4"/>
  <c r="N1305" i="4" s="1"/>
  <c r="AA1305" i="2"/>
  <c r="M1304" i="2"/>
  <c r="D1304" i="2"/>
  <c r="F1304" i="2"/>
  <c r="E1304" i="2"/>
  <c r="AA1304" i="2"/>
  <c r="J1304" i="4"/>
  <c r="N1304" i="4" s="1"/>
  <c r="M1303" i="2"/>
  <c r="E1303" i="2"/>
  <c r="D1303" i="2"/>
  <c r="F1303" i="2"/>
  <c r="J1303" i="4"/>
  <c r="N1303" i="4" s="1"/>
  <c r="AA1303" i="2"/>
  <c r="M1302" i="2"/>
  <c r="N1302" i="2" s="1"/>
  <c r="O1302" i="2"/>
  <c r="E1302" i="2"/>
  <c r="D1302" i="2"/>
  <c r="F1302" i="2"/>
  <c r="AA1302" i="2"/>
  <c r="J1302" i="4"/>
  <c r="N1302" i="4" s="1"/>
  <c r="M1301" i="2"/>
  <c r="D1301" i="2"/>
  <c r="F1301" i="2"/>
  <c r="E1301" i="2"/>
  <c r="M1300" i="2"/>
  <c r="N1300" i="2" s="1"/>
  <c r="O1300" i="2"/>
  <c r="D1300" i="2"/>
  <c r="F1300" i="2"/>
  <c r="E1300" i="2"/>
  <c r="AA1300" i="2"/>
  <c r="M1299" i="2"/>
  <c r="E1299" i="2"/>
  <c r="F1299" i="2"/>
  <c r="D1299" i="2"/>
  <c r="G1299" i="2" s="1"/>
  <c r="V1299" i="2" s="1"/>
  <c r="AA1299" i="2"/>
  <c r="M1298" i="2"/>
  <c r="F1298" i="2"/>
  <c r="E1298" i="2"/>
  <c r="D1298" i="2"/>
  <c r="G1298" i="2" s="1"/>
  <c r="V1298" i="2" s="1"/>
  <c r="AA1298" i="2"/>
  <c r="M1297" i="2"/>
  <c r="F1297" i="2"/>
  <c r="E1297" i="2"/>
  <c r="D1297" i="2"/>
  <c r="G1297" i="2" s="1"/>
  <c r="V1297" i="2" s="1"/>
  <c r="AA1297" i="2"/>
  <c r="M1296" i="2"/>
  <c r="D1296" i="2"/>
  <c r="F1296" i="2"/>
  <c r="E1296" i="2"/>
  <c r="AA1296" i="2"/>
  <c r="M1295" i="2"/>
  <c r="E1295" i="2"/>
  <c r="F1295" i="2"/>
  <c r="D1295" i="2"/>
  <c r="G1295" i="2" s="1"/>
  <c r="V1295" i="2" s="1"/>
  <c r="AA1295" i="2"/>
  <c r="M1294" i="2"/>
  <c r="F1294" i="2"/>
  <c r="D1294" i="2"/>
  <c r="E1294" i="2"/>
  <c r="AA1294" i="2"/>
  <c r="M1293" i="2"/>
  <c r="E1293" i="2"/>
  <c r="D1293" i="2"/>
  <c r="F1293" i="2"/>
  <c r="AA1293" i="2"/>
  <c r="M1292" i="2"/>
  <c r="F1292" i="2"/>
  <c r="E1292" i="2"/>
  <c r="D1292" i="2"/>
  <c r="G1292" i="2" s="1"/>
  <c r="V1292" i="2" s="1"/>
  <c r="AA1292" i="2"/>
  <c r="M1291" i="2"/>
  <c r="F1291" i="2"/>
  <c r="D1291" i="2"/>
  <c r="E1291" i="2"/>
  <c r="AA1291" i="2"/>
  <c r="M1290" i="2"/>
  <c r="F1290" i="2"/>
  <c r="E1290" i="2"/>
  <c r="D1290" i="2"/>
  <c r="G1290" i="2" s="1"/>
  <c r="AA1290" i="2"/>
  <c r="M1289" i="2"/>
  <c r="N1289" i="2" s="1"/>
  <c r="O1289" i="2"/>
  <c r="F1289" i="2"/>
  <c r="E1289" i="2"/>
  <c r="D1289" i="2"/>
  <c r="G1289" i="2" s="1"/>
  <c r="AA1289" i="2"/>
  <c r="M1288" i="2"/>
  <c r="F1288" i="2"/>
  <c r="D1288" i="2"/>
  <c r="E1288" i="2"/>
  <c r="AA1288" i="2"/>
  <c r="M1287" i="2"/>
  <c r="N1287" i="2" s="1"/>
  <c r="O1287" i="2"/>
  <c r="D1287" i="2"/>
  <c r="F1287" i="2"/>
  <c r="E1287" i="2"/>
  <c r="AA1287" i="2"/>
  <c r="M1286" i="2"/>
  <c r="E1286" i="2"/>
  <c r="D1286" i="2"/>
  <c r="F1286" i="2"/>
  <c r="AA1286" i="2"/>
  <c r="M1285" i="2"/>
  <c r="F1285" i="2"/>
  <c r="E1285" i="2"/>
  <c r="D1285" i="2"/>
  <c r="G1285" i="2" s="1"/>
  <c r="V1285" i="2" s="1"/>
  <c r="AA1285" i="2"/>
  <c r="M1284" i="2"/>
  <c r="D1284" i="2"/>
  <c r="E1284" i="2"/>
  <c r="F1284" i="2"/>
  <c r="AA1284" i="2"/>
  <c r="M1283" i="2"/>
  <c r="F1283" i="2"/>
  <c r="E1283" i="2"/>
  <c r="D1283" i="2"/>
  <c r="G1283" i="2" s="1"/>
  <c r="V1283" i="2" s="1"/>
  <c r="AA1283" i="2"/>
  <c r="M1282" i="2"/>
  <c r="N1282" i="2" s="1"/>
  <c r="O1282" i="2"/>
  <c r="F1282" i="2"/>
  <c r="E1282" i="2"/>
  <c r="D1282" i="2"/>
  <c r="G1282" i="2" s="1"/>
  <c r="AA1282" i="2"/>
  <c r="M1281" i="2"/>
  <c r="F1281" i="2"/>
  <c r="E1281" i="2"/>
  <c r="D1281" i="2"/>
  <c r="G1281" i="2" s="1"/>
  <c r="V1281" i="2" s="1"/>
  <c r="AA1281" i="2"/>
  <c r="M1280" i="2"/>
  <c r="D1280" i="2"/>
  <c r="F1280" i="2"/>
  <c r="E1280" i="2"/>
  <c r="AA1280" i="2"/>
  <c r="M1279" i="2"/>
  <c r="D1279" i="2"/>
  <c r="E1279" i="2"/>
  <c r="F1279" i="2"/>
  <c r="AA1279" i="2"/>
  <c r="M1278" i="2"/>
  <c r="F1278" i="2"/>
  <c r="E1278" i="2"/>
  <c r="D1278" i="2"/>
  <c r="G1278" i="2" s="1"/>
  <c r="V1278" i="2" s="1"/>
  <c r="AA1278" i="2"/>
  <c r="M1277" i="2"/>
  <c r="D1277" i="2"/>
  <c r="E1277" i="2"/>
  <c r="F1277" i="2"/>
  <c r="AA1277" i="2"/>
  <c r="M1276" i="2"/>
  <c r="N1276" i="2" s="1"/>
  <c r="O1276" i="2"/>
  <c r="E1276" i="2"/>
  <c r="D1276" i="2"/>
  <c r="F1276" i="2"/>
  <c r="AA1276" i="2"/>
  <c r="M1275" i="2"/>
  <c r="D1275" i="2"/>
  <c r="E1275" i="2"/>
  <c r="F1275" i="2"/>
  <c r="AA1275" i="2"/>
  <c r="M1274" i="2"/>
  <c r="N1274" i="2" s="1"/>
  <c r="O1274" i="2"/>
  <c r="F1274" i="2"/>
  <c r="E1274" i="2"/>
  <c r="D1274" i="2"/>
  <c r="AA1274" i="2"/>
  <c r="M1273" i="2"/>
  <c r="F1273" i="2"/>
  <c r="D1273" i="2"/>
  <c r="E1273" i="2"/>
  <c r="AA1273" i="2"/>
  <c r="M1272" i="2"/>
  <c r="F1272" i="2"/>
  <c r="E1272" i="2"/>
  <c r="D1272" i="2"/>
  <c r="AA1272" i="2"/>
  <c r="M1271" i="2"/>
  <c r="D1271" i="2"/>
  <c r="F1271" i="2"/>
  <c r="E1271" i="2"/>
  <c r="AA1271" i="2"/>
  <c r="M1270" i="2"/>
  <c r="D1270" i="2"/>
  <c r="E1270" i="2"/>
  <c r="F1270" i="2"/>
  <c r="AA1270" i="2"/>
  <c r="M1269" i="2"/>
  <c r="N1269" i="2" s="1"/>
  <c r="O1269" i="2"/>
  <c r="F1269" i="2"/>
  <c r="E1269" i="2"/>
  <c r="D1269" i="2"/>
  <c r="G1269" i="2" s="1"/>
  <c r="AA1269" i="2"/>
  <c r="M1268" i="2"/>
  <c r="N1268" i="2" s="1"/>
  <c r="O1268" i="2"/>
  <c r="F1268" i="2"/>
  <c r="E1268" i="2"/>
  <c r="D1268" i="2"/>
  <c r="G1268" i="2" s="1"/>
  <c r="AA1268" i="2"/>
  <c r="M1267" i="2"/>
  <c r="N1267" i="2" s="1"/>
  <c r="O1267" i="2"/>
  <c r="D1267" i="2"/>
  <c r="E1267" i="2"/>
  <c r="F1267" i="2"/>
  <c r="AA1267" i="2"/>
  <c r="M1266" i="2"/>
  <c r="F1266" i="2"/>
  <c r="E1266" i="2"/>
  <c r="D1266" i="2"/>
  <c r="G1266" i="2" s="1"/>
  <c r="V1266" i="2" s="1"/>
  <c r="AA1266" i="2"/>
  <c r="M1265" i="2"/>
  <c r="F1265" i="2"/>
  <c r="E1265" i="2"/>
  <c r="D1265" i="2"/>
  <c r="AA1265" i="2"/>
  <c r="M1264" i="2"/>
  <c r="F1264" i="2"/>
  <c r="E1264" i="2"/>
  <c r="D1264" i="2"/>
  <c r="G1264" i="2" s="1"/>
  <c r="V1264" i="2" s="1"/>
  <c r="AA1264" i="2"/>
  <c r="M1263" i="2"/>
  <c r="F1263" i="2"/>
  <c r="E1263" i="2"/>
  <c r="D1263" i="2"/>
  <c r="G1263" i="2" s="1"/>
  <c r="V1263" i="2" s="1"/>
  <c r="J1263" i="4"/>
  <c r="N1263" i="4" s="1"/>
  <c r="AA1263" i="2"/>
  <c r="M1262" i="2"/>
  <c r="E1262" i="2"/>
  <c r="D1262" i="2"/>
  <c r="F1262" i="2"/>
  <c r="AA1262" i="2"/>
  <c r="J1262" i="4"/>
  <c r="N1262" i="4" s="1"/>
  <c r="M1261" i="2"/>
  <c r="F1261" i="2"/>
  <c r="E1261" i="2"/>
  <c r="D1261" i="2"/>
  <c r="AA1261" i="2"/>
  <c r="J1261" i="4"/>
  <c r="N1261" i="4" s="1"/>
  <c r="M1260" i="2"/>
  <c r="F1260" i="2"/>
  <c r="E1260" i="2"/>
  <c r="D1260" i="2"/>
  <c r="G1260" i="2" s="1"/>
  <c r="V1260" i="2" s="1"/>
  <c r="AA1260" i="2"/>
  <c r="J1260" i="4"/>
  <c r="N1260" i="4" s="1"/>
  <c r="M1259" i="2"/>
  <c r="D1259" i="2"/>
  <c r="F1259" i="2"/>
  <c r="E1259" i="2"/>
  <c r="AA1259" i="2"/>
  <c r="J1259" i="4"/>
  <c r="N1259" i="4" s="1"/>
  <c r="M1258" i="2"/>
  <c r="F1258" i="2"/>
  <c r="E1258" i="2"/>
  <c r="D1258" i="2"/>
  <c r="G1258" i="2" s="1"/>
  <c r="V1258" i="2" s="1"/>
  <c r="AA1258" i="2"/>
  <c r="J1258" i="4"/>
  <c r="N1258" i="4" s="1"/>
  <c r="M1257" i="2"/>
  <c r="N1257" i="2" s="1"/>
  <c r="O1257" i="2"/>
  <c r="F1257" i="2"/>
  <c r="E1257" i="2"/>
  <c r="D1257" i="2"/>
  <c r="G1257" i="2" s="1"/>
  <c r="AA1257" i="2"/>
  <c r="J1257" i="4"/>
  <c r="N1257" i="4" s="1"/>
  <c r="M1256" i="2"/>
  <c r="N1256" i="2" s="1"/>
  <c r="O1256" i="2"/>
  <c r="F1256" i="2"/>
  <c r="D1256" i="2"/>
  <c r="E1256" i="2"/>
  <c r="J1256" i="4"/>
  <c r="N1256" i="4" s="1"/>
  <c r="AA1256" i="2"/>
  <c r="M1255" i="2"/>
  <c r="D1255" i="2"/>
  <c r="E1255" i="2"/>
  <c r="F1255" i="2"/>
  <c r="AA1255" i="2"/>
  <c r="J1255" i="4"/>
  <c r="N1255" i="4" s="1"/>
  <c r="M1254" i="2"/>
  <c r="N1254" i="2" s="1"/>
  <c r="O1254" i="2"/>
  <c r="E1254" i="2"/>
  <c r="D1254" i="2"/>
  <c r="F1254" i="2"/>
  <c r="J1254" i="4"/>
  <c r="N1254" i="4" s="1"/>
  <c r="AA1254" i="2"/>
  <c r="M1253" i="2"/>
  <c r="F1253" i="2"/>
  <c r="D1253" i="2"/>
  <c r="E1253" i="2"/>
  <c r="J1253" i="4"/>
  <c r="N1253" i="4" s="1"/>
  <c r="AA1253" i="2"/>
  <c r="M1252" i="2"/>
  <c r="D1252" i="2"/>
  <c r="E1252" i="2"/>
  <c r="F1252" i="2"/>
  <c r="AA1252" i="2"/>
  <c r="J1252" i="4"/>
  <c r="N1252" i="4" s="1"/>
  <c r="M1251" i="2"/>
  <c r="E1251" i="2"/>
  <c r="F1251" i="2"/>
  <c r="D1251" i="2"/>
  <c r="G1251" i="2" s="1"/>
  <c r="J1251" i="4"/>
  <c r="N1251" i="4" s="1"/>
  <c r="AA1251" i="2"/>
  <c r="M1250" i="2"/>
  <c r="F1250" i="2"/>
  <c r="E1250" i="2"/>
  <c r="D1250" i="2"/>
  <c r="G1250" i="2" s="1"/>
  <c r="V1250" i="2" s="1"/>
  <c r="AA1250" i="2"/>
  <c r="J1250" i="4"/>
  <c r="N1250" i="4" s="1"/>
  <c r="M1249" i="2"/>
  <c r="F1249" i="2"/>
  <c r="D1249" i="2"/>
  <c r="E1249" i="2"/>
  <c r="AA1249" i="2"/>
  <c r="J1249" i="4"/>
  <c r="N1249" i="4" s="1"/>
  <c r="M1248" i="2"/>
  <c r="N1248" i="2" s="1"/>
  <c r="O1248" i="2"/>
  <c r="F1248" i="2"/>
  <c r="E1248" i="2"/>
  <c r="D1248" i="2"/>
  <c r="G1248" i="2" s="1"/>
  <c r="AA1248" i="2"/>
  <c r="J1248" i="4"/>
  <c r="N1248" i="4" s="1"/>
  <c r="M1247" i="2"/>
  <c r="E1247" i="2"/>
  <c r="D1247" i="2"/>
  <c r="F1247" i="2"/>
  <c r="AA1247" i="2"/>
  <c r="J1247" i="4"/>
  <c r="N1247" i="4" s="1"/>
  <c r="M1246" i="2"/>
  <c r="F1246" i="2"/>
  <c r="E1246" i="2"/>
  <c r="D1246" i="2"/>
  <c r="G1246" i="2" s="1"/>
  <c r="V1246" i="2" s="1"/>
  <c r="AA1246" i="2"/>
  <c r="J1246" i="4"/>
  <c r="N1246" i="4" s="1"/>
  <c r="M1245" i="2"/>
  <c r="E1245" i="2"/>
  <c r="F1245" i="2"/>
  <c r="D1245" i="2"/>
  <c r="AA1245" i="2"/>
  <c r="J1245" i="4"/>
  <c r="N1245" i="4" s="1"/>
  <c r="M1244" i="2"/>
  <c r="D1244" i="2"/>
  <c r="E1244" i="2"/>
  <c r="F1244" i="2"/>
  <c r="AA1244" i="2"/>
  <c r="J1244" i="4"/>
  <c r="N1244" i="4" s="1"/>
  <c r="M1243" i="2"/>
  <c r="F1243" i="2"/>
  <c r="D1243" i="2"/>
  <c r="E1243" i="2"/>
  <c r="AA1243" i="2"/>
  <c r="J1243" i="4"/>
  <c r="N1243" i="4" s="1"/>
  <c r="M1242" i="2"/>
  <c r="F1242" i="2"/>
  <c r="E1242" i="2"/>
  <c r="D1242" i="2"/>
  <c r="G1242" i="2" s="1"/>
  <c r="J1242" i="4"/>
  <c r="N1242" i="4" s="1"/>
  <c r="AA1242" i="2"/>
  <c r="M1241" i="2"/>
  <c r="F1241" i="2"/>
  <c r="E1241" i="2"/>
  <c r="D1241" i="2"/>
  <c r="G1241" i="2" s="1"/>
  <c r="V1241" i="2" s="1"/>
  <c r="AA1241" i="2"/>
  <c r="J1241" i="4"/>
  <c r="N1241" i="4" s="1"/>
  <c r="M1240" i="2"/>
  <c r="F1240" i="2"/>
  <c r="E1240" i="2"/>
  <c r="D1240" i="2"/>
  <c r="AA1240" i="2"/>
  <c r="J1240" i="4"/>
  <c r="N1240" i="4" s="1"/>
  <c r="M1239" i="2"/>
  <c r="F1239" i="2"/>
  <c r="E1239" i="2"/>
  <c r="D1239" i="2"/>
  <c r="J1239" i="4"/>
  <c r="N1239" i="4" s="1"/>
  <c r="AA1239" i="2"/>
  <c r="M1238" i="2"/>
  <c r="F1238" i="2"/>
  <c r="E1238" i="2"/>
  <c r="D1238" i="2"/>
  <c r="AA1238" i="2"/>
  <c r="J1238" i="4"/>
  <c r="N1238" i="4" s="1"/>
  <c r="M1237" i="2"/>
  <c r="N1237" i="2" s="1"/>
  <c r="O1237" i="2"/>
  <c r="D1237" i="2"/>
  <c r="F1237" i="2"/>
  <c r="E1237" i="2"/>
  <c r="J1237" i="4"/>
  <c r="N1237" i="4" s="1"/>
  <c r="AA1237" i="2"/>
  <c r="M1236" i="2"/>
  <c r="F1236" i="2"/>
  <c r="E1236" i="2"/>
  <c r="D1236" i="2"/>
  <c r="G1236" i="2" s="1"/>
  <c r="AA1236" i="2"/>
  <c r="J1236" i="4"/>
  <c r="N1236" i="4" s="1"/>
  <c r="M1235" i="2"/>
  <c r="N1235" i="2" s="1"/>
  <c r="O1235" i="2"/>
  <c r="F1235" i="2"/>
  <c r="D1235" i="2"/>
  <c r="E1235" i="2"/>
  <c r="AA1235" i="2"/>
  <c r="J1235" i="4"/>
  <c r="N1235" i="4" s="1"/>
  <c r="M1234" i="2"/>
  <c r="N1234" i="2" s="1"/>
  <c r="O1234" i="2"/>
  <c r="D1234" i="2"/>
  <c r="F1234" i="2"/>
  <c r="E1234" i="2"/>
  <c r="AA1234" i="2"/>
  <c r="J1234" i="4"/>
  <c r="N1234" i="4" s="1"/>
  <c r="M1233" i="2"/>
  <c r="D1233" i="2"/>
  <c r="F1233" i="2"/>
  <c r="E1233" i="2"/>
  <c r="AA1233" i="2"/>
  <c r="J1233" i="4"/>
  <c r="N1233" i="4" s="1"/>
  <c r="M1232" i="2"/>
  <c r="F1232" i="2"/>
  <c r="E1232" i="2"/>
  <c r="D1232" i="2"/>
  <c r="AA1232" i="2"/>
  <c r="J1232" i="4"/>
  <c r="N1232" i="4" s="1"/>
  <c r="M1231" i="2"/>
  <c r="D1231" i="2"/>
  <c r="F1231" i="2"/>
  <c r="E1231" i="2"/>
  <c r="AA1231" i="2"/>
  <c r="J1231" i="4"/>
  <c r="N1231" i="4" s="1"/>
  <c r="M1230" i="2"/>
  <c r="N1230" i="2" s="1"/>
  <c r="O1230" i="2"/>
  <c r="D1230" i="2"/>
  <c r="E1230" i="2"/>
  <c r="F1230" i="2"/>
  <c r="AA1230" i="2"/>
  <c r="J1230" i="4"/>
  <c r="N1230" i="4" s="1"/>
  <c r="M1229" i="2"/>
  <c r="F1229" i="2"/>
  <c r="E1229" i="2"/>
  <c r="D1229" i="2"/>
  <c r="J1229" i="4"/>
  <c r="N1229" i="4" s="1"/>
  <c r="AA1229" i="2"/>
  <c r="M1228" i="2"/>
  <c r="E1228" i="2"/>
  <c r="D1228" i="2"/>
  <c r="F1228" i="2"/>
  <c r="J1228" i="4"/>
  <c r="N1228" i="4" s="1"/>
  <c r="AA1228" i="2"/>
  <c r="M1227" i="2"/>
  <c r="N1227" i="2" s="1"/>
  <c r="O1227" i="2"/>
  <c r="F1227" i="2"/>
  <c r="E1227" i="2"/>
  <c r="D1227" i="2"/>
  <c r="G1227" i="2" s="1"/>
  <c r="AA1227" i="2"/>
  <c r="J1227" i="4"/>
  <c r="N1227" i="4" s="1"/>
  <c r="M1226" i="2"/>
  <c r="F1226" i="2"/>
  <c r="E1226" i="2"/>
  <c r="D1226" i="2"/>
  <c r="J1226" i="4"/>
  <c r="N1226" i="4" s="1"/>
  <c r="AA1226" i="2"/>
  <c r="M1225" i="2"/>
  <c r="N1225" i="2" s="1"/>
  <c r="O1225" i="2"/>
  <c r="D1225" i="2"/>
  <c r="E1225" i="2"/>
  <c r="F1225" i="2"/>
  <c r="AA1225" i="2"/>
  <c r="J1225" i="4"/>
  <c r="N1225" i="4" s="1"/>
  <c r="M1224" i="2"/>
  <c r="N1224" i="2" s="1"/>
  <c r="O1224" i="2"/>
  <c r="D1224" i="2"/>
  <c r="F1224" i="2"/>
  <c r="E1224" i="2"/>
  <c r="J1224" i="4"/>
  <c r="N1224" i="4" s="1"/>
  <c r="AA1224" i="2"/>
  <c r="M1223" i="2"/>
  <c r="N1223" i="2" s="1"/>
  <c r="O1223" i="2"/>
  <c r="D1223" i="2"/>
  <c r="E1223" i="2"/>
  <c r="F1223" i="2"/>
  <c r="AA1223" i="2"/>
  <c r="J1223" i="4"/>
  <c r="N1223" i="4" s="1"/>
  <c r="M1222" i="2"/>
  <c r="N1222" i="2" s="1"/>
  <c r="O1222" i="2"/>
  <c r="F1222" i="2"/>
  <c r="E1222" i="2"/>
  <c r="D1222" i="2"/>
  <c r="G1222" i="2" s="1"/>
  <c r="AA1222" i="2"/>
  <c r="J1222" i="4"/>
  <c r="N1222" i="4" s="1"/>
  <c r="M1221" i="2"/>
  <c r="F1221" i="2"/>
  <c r="E1221" i="2"/>
  <c r="D1221" i="2"/>
  <c r="G1221" i="2" s="1"/>
  <c r="J1221" i="4"/>
  <c r="N1221" i="4" s="1"/>
  <c r="AA1221" i="2"/>
  <c r="M1220" i="2"/>
  <c r="D1220" i="2"/>
  <c r="F1220" i="2"/>
  <c r="E1220" i="2"/>
  <c r="J1220" i="4"/>
  <c r="N1220" i="4" s="1"/>
  <c r="AA1220" i="2"/>
  <c r="M1219" i="2"/>
  <c r="N1219" i="2" s="1"/>
  <c r="O1219" i="2"/>
  <c r="F1219" i="2"/>
  <c r="D1219" i="2"/>
  <c r="E1219" i="2"/>
  <c r="AA1219" i="2"/>
  <c r="J1219" i="4"/>
  <c r="N1219" i="4" s="1"/>
  <c r="M1218" i="2"/>
  <c r="N1218" i="2" s="1"/>
  <c r="O1218" i="2"/>
  <c r="D1218" i="2"/>
  <c r="E1218" i="2"/>
  <c r="F1218" i="2"/>
  <c r="AA1218" i="2"/>
  <c r="J1218" i="4"/>
  <c r="N1218" i="4" s="1"/>
  <c r="M1217" i="2"/>
  <c r="D1217" i="2"/>
  <c r="E1217" i="2"/>
  <c r="F1217" i="2"/>
  <c r="AA1217" i="2"/>
  <c r="J1217" i="4"/>
  <c r="N1217" i="4" s="1"/>
  <c r="M1216" i="2"/>
  <c r="F1216" i="2"/>
  <c r="E1216" i="2"/>
  <c r="D1216" i="2"/>
  <c r="G1216" i="2" s="1"/>
  <c r="V1216" i="2" s="1"/>
  <c r="AA1216" i="2"/>
  <c r="J1216" i="4"/>
  <c r="N1216" i="4" s="1"/>
  <c r="M1215" i="2"/>
  <c r="N1215" i="2" s="1"/>
  <c r="O1215" i="2"/>
  <c r="E1215" i="2"/>
  <c r="D1215" i="2"/>
  <c r="F1215" i="2"/>
  <c r="J1215" i="4"/>
  <c r="N1215" i="4" s="1"/>
  <c r="AA1215" i="2"/>
  <c r="M1214" i="2"/>
  <c r="N1214" i="2" s="1"/>
  <c r="O1214" i="2"/>
  <c r="D1214" i="2"/>
  <c r="E1214" i="2"/>
  <c r="F1214" i="2"/>
  <c r="J1214" i="4"/>
  <c r="N1214" i="4" s="1"/>
  <c r="AA1214" i="2"/>
  <c r="M1213" i="2"/>
  <c r="N1213" i="2" s="1"/>
  <c r="O1213" i="2"/>
  <c r="E1213" i="2"/>
  <c r="F1213" i="2"/>
  <c r="D1213" i="2"/>
  <c r="J1213" i="4"/>
  <c r="N1213" i="4" s="1"/>
  <c r="AA1213" i="2"/>
  <c r="M1212" i="2"/>
  <c r="N1212" i="2" s="1"/>
  <c r="O1212" i="2"/>
  <c r="D1212" i="2"/>
  <c r="E1212" i="2"/>
  <c r="F1212" i="2"/>
  <c r="AA1212" i="2"/>
  <c r="J1212" i="4"/>
  <c r="N1212" i="4" s="1"/>
  <c r="M1211" i="2"/>
  <c r="N1211" i="2" s="1"/>
  <c r="O1211" i="2"/>
  <c r="D1211" i="2"/>
  <c r="E1211" i="2"/>
  <c r="F1211" i="2"/>
  <c r="AA1211" i="2"/>
  <c r="J1211" i="4"/>
  <c r="N1211" i="4" s="1"/>
  <c r="M1210" i="2"/>
  <c r="N1210" i="2" s="1"/>
  <c r="O1210" i="2"/>
  <c r="F1210" i="2"/>
  <c r="E1210" i="2"/>
  <c r="D1210" i="2"/>
  <c r="G1210" i="2" s="1"/>
  <c r="AA1210" i="2"/>
  <c r="J1210" i="4"/>
  <c r="N1210" i="4" s="1"/>
  <c r="M1209" i="2"/>
  <c r="E1209" i="2"/>
  <c r="F1209" i="2"/>
  <c r="D1209" i="2"/>
  <c r="G1209" i="2" s="1"/>
  <c r="V1209" i="2" s="1"/>
  <c r="AA1209" i="2"/>
  <c r="J1209" i="4"/>
  <c r="N1209" i="4" s="1"/>
  <c r="M1208" i="2"/>
  <c r="E1208" i="2"/>
  <c r="D1208" i="2"/>
  <c r="F1208" i="2"/>
  <c r="AA1208" i="2"/>
  <c r="J1208" i="4"/>
  <c r="N1208" i="4" s="1"/>
  <c r="M1207" i="2"/>
  <c r="N1207" i="2" s="1"/>
  <c r="O1207" i="2"/>
  <c r="E1207" i="2"/>
  <c r="F1207" i="2"/>
  <c r="D1207" i="2"/>
  <c r="G1207" i="2" s="1"/>
  <c r="J1207" i="4"/>
  <c r="N1207" i="4" s="1"/>
  <c r="AA1207" i="2"/>
  <c r="M1206" i="2"/>
  <c r="F1206" i="2"/>
  <c r="E1206" i="2"/>
  <c r="D1206" i="2"/>
  <c r="G1206" i="2" s="1"/>
  <c r="V1206" i="2" s="1"/>
  <c r="AA1206" i="2"/>
  <c r="J1206" i="4"/>
  <c r="N1206" i="4" s="1"/>
  <c r="M1205" i="2"/>
  <c r="F1205" i="2"/>
  <c r="E1205" i="2"/>
  <c r="D1205" i="2"/>
  <c r="J1205" i="4"/>
  <c r="N1205" i="4" s="1"/>
  <c r="AA1205" i="2"/>
  <c r="M1204" i="2"/>
  <c r="N1204" i="2" s="1"/>
  <c r="O1204" i="2"/>
  <c r="D1204" i="2"/>
  <c r="E1204" i="2"/>
  <c r="F1204" i="2"/>
  <c r="AA1204" i="2"/>
  <c r="J1204" i="4"/>
  <c r="N1204" i="4" s="1"/>
  <c r="M1203" i="2"/>
  <c r="N1203" i="2" s="1"/>
  <c r="O1203" i="2"/>
  <c r="E1203" i="2"/>
  <c r="F1203" i="2"/>
  <c r="D1203" i="2"/>
  <c r="J1203" i="4"/>
  <c r="N1203" i="4" s="1"/>
  <c r="AA1203" i="2"/>
  <c r="M1202" i="2"/>
  <c r="D1202" i="2"/>
  <c r="E1202" i="2"/>
  <c r="F1202" i="2"/>
  <c r="AA1202" i="2"/>
  <c r="J1202" i="4"/>
  <c r="N1202" i="4" s="1"/>
  <c r="M1201" i="2"/>
  <c r="N1201" i="2" s="1"/>
  <c r="O1201" i="2"/>
  <c r="D1201" i="2"/>
  <c r="F1201" i="2"/>
  <c r="E1201" i="2"/>
  <c r="J1201" i="4"/>
  <c r="N1201" i="4" s="1"/>
  <c r="AA1201" i="2"/>
  <c r="M1200" i="2"/>
  <c r="F1200" i="2"/>
  <c r="E1200" i="2"/>
  <c r="D1200" i="2"/>
  <c r="G1200" i="2" s="1"/>
  <c r="V1200" i="2" s="1"/>
  <c r="AA1200" i="2"/>
  <c r="J1200" i="4"/>
  <c r="N1200" i="4" s="1"/>
  <c r="M1199" i="2"/>
  <c r="F1199" i="2"/>
  <c r="E1199" i="2"/>
  <c r="D1199" i="2"/>
  <c r="AA1199" i="2"/>
  <c r="J1199" i="4"/>
  <c r="N1199" i="4" s="1"/>
  <c r="M1198" i="2"/>
  <c r="F1198" i="2"/>
  <c r="E1198" i="2"/>
  <c r="D1198" i="2"/>
  <c r="AA1198" i="2"/>
  <c r="J1198" i="4"/>
  <c r="N1198" i="4" s="1"/>
  <c r="M1197" i="2"/>
  <c r="F1197" i="2"/>
  <c r="E1197" i="2"/>
  <c r="D1197" i="2"/>
  <c r="AA1197" i="2"/>
  <c r="J1197" i="4"/>
  <c r="N1197" i="4" s="1"/>
  <c r="M1196" i="2"/>
  <c r="D1196" i="2"/>
  <c r="E1196" i="2"/>
  <c r="F1196" i="2"/>
  <c r="AA1196" i="2"/>
  <c r="J1196" i="4"/>
  <c r="N1196" i="4" s="1"/>
  <c r="M1195" i="2"/>
  <c r="N1195" i="2" s="1"/>
  <c r="O1195" i="2"/>
  <c r="D1195" i="2"/>
  <c r="E1195" i="2"/>
  <c r="F1195" i="2"/>
  <c r="J1195" i="4"/>
  <c r="N1195" i="4" s="1"/>
  <c r="AA1195" i="2"/>
  <c r="M1194" i="2"/>
  <c r="N1194" i="2" s="1"/>
  <c r="O1194" i="2"/>
  <c r="E1194" i="2"/>
  <c r="D1194" i="2"/>
  <c r="F1194" i="2"/>
  <c r="J1194" i="4"/>
  <c r="N1194" i="4" s="1"/>
  <c r="AA1194" i="2"/>
  <c r="M1193" i="2"/>
  <c r="D1193" i="2"/>
  <c r="E1193" i="2"/>
  <c r="F1193" i="2"/>
  <c r="J1193" i="4"/>
  <c r="N1193" i="4" s="1"/>
  <c r="AA1193" i="2"/>
  <c r="M1192" i="2"/>
  <c r="F1192" i="2"/>
  <c r="D1192" i="2"/>
  <c r="E1192" i="2"/>
  <c r="J1192" i="4"/>
  <c r="N1192" i="4" s="1"/>
  <c r="AA1192" i="2"/>
  <c r="M1191" i="2"/>
  <c r="D1191" i="2"/>
  <c r="E1191" i="2"/>
  <c r="F1191" i="2"/>
  <c r="J1191" i="4"/>
  <c r="N1191" i="4" s="1"/>
  <c r="AA1191" i="2"/>
  <c r="M1190" i="2"/>
  <c r="E1190" i="2"/>
  <c r="D1190" i="2"/>
  <c r="F1190" i="2"/>
  <c r="AA1190" i="2"/>
  <c r="J1190" i="4"/>
  <c r="N1190" i="4" s="1"/>
  <c r="M1189" i="2"/>
  <c r="F1189" i="2"/>
  <c r="E1189" i="2"/>
  <c r="D1189" i="2"/>
  <c r="J1189" i="4"/>
  <c r="N1189" i="4" s="1"/>
  <c r="AA1189" i="2"/>
  <c r="M1188" i="2"/>
  <c r="E1188" i="2"/>
  <c r="D1188" i="2"/>
  <c r="F1188" i="2"/>
  <c r="J1188" i="4"/>
  <c r="N1188" i="4" s="1"/>
  <c r="AA1188" i="2"/>
  <c r="M1187" i="2"/>
  <c r="F1187" i="2"/>
  <c r="E1187" i="2"/>
  <c r="D1187" i="2"/>
  <c r="J1187" i="4"/>
  <c r="N1187" i="4" s="1"/>
  <c r="AA1187" i="2"/>
  <c r="M1186" i="2"/>
  <c r="F1186" i="2"/>
  <c r="E1186" i="2"/>
  <c r="D1186" i="2"/>
  <c r="AA1186" i="2"/>
  <c r="J1186" i="4"/>
  <c r="N1186" i="4" s="1"/>
  <c r="M1185" i="2"/>
  <c r="F1185" i="2"/>
  <c r="E1185" i="2"/>
  <c r="D1185" i="2"/>
  <c r="J1185" i="4"/>
  <c r="N1185" i="4" s="1"/>
  <c r="AA1185" i="2"/>
  <c r="M1184" i="2"/>
  <c r="F1184" i="2"/>
  <c r="E1184" i="2"/>
  <c r="D1184" i="2"/>
  <c r="G1184" i="2" s="1"/>
  <c r="J1184" i="4"/>
  <c r="N1184" i="4" s="1"/>
  <c r="AA1184" i="2"/>
  <c r="M1183" i="2"/>
  <c r="F1183" i="2"/>
  <c r="D1183" i="2"/>
  <c r="E1183" i="2"/>
  <c r="AA1183" i="2"/>
  <c r="J1183" i="4"/>
  <c r="N1183" i="4" s="1"/>
  <c r="M1182" i="2"/>
  <c r="N1182" i="2" s="1"/>
  <c r="O1182" i="2"/>
  <c r="F1182" i="2"/>
  <c r="D1182" i="2"/>
  <c r="E1182" i="2"/>
  <c r="J1182" i="4"/>
  <c r="N1182" i="4" s="1"/>
  <c r="AA1182" i="2"/>
  <c r="M1181" i="2"/>
  <c r="F1181" i="2"/>
  <c r="E1181" i="2"/>
  <c r="D1181" i="2"/>
  <c r="J1181" i="4"/>
  <c r="N1181" i="4" s="1"/>
  <c r="AA1181" i="2"/>
  <c r="M1180" i="2"/>
  <c r="F1180" i="2"/>
  <c r="E1180" i="2"/>
  <c r="D1180" i="2"/>
  <c r="J1180" i="4"/>
  <c r="N1180" i="4" s="1"/>
  <c r="AA1180" i="2"/>
  <c r="M1179" i="2"/>
  <c r="E1179" i="2"/>
  <c r="F1179" i="2"/>
  <c r="D1179" i="2"/>
  <c r="G1179" i="2" s="1"/>
  <c r="V1179" i="2" s="1"/>
  <c r="J1179" i="4"/>
  <c r="N1179" i="4" s="1"/>
  <c r="AA1179" i="2"/>
  <c r="M1178" i="2"/>
  <c r="N1178" i="2" s="1"/>
  <c r="O1178" i="2"/>
  <c r="E1178" i="2"/>
  <c r="D1178" i="2"/>
  <c r="F1178" i="2"/>
  <c r="J1178" i="4"/>
  <c r="N1178" i="4" s="1"/>
  <c r="AA1178" i="2"/>
  <c r="M1177" i="2"/>
  <c r="N1177" i="2" s="1"/>
  <c r="O1177" i="2"/>
  <c r="D1177" i="2"/>
  <c r="E1177" i="2"/>
  <c r="F1177" i="2"/>
  <c r="AA1177" i="2"/>
  <c r="J1177" i="4"/>
  <c r="N1177" i="4" s="1"/>
  <c r="M1176" i="2"/>
  <c r="D1176" i="2"/>
  <c r="F1176" i="2"/>
  <c r="E1176" i="2"/>
  <c r="AA1176" i="2"/>
  <c r="J1176" i="4"/>
  <c r="N1176" i="4" s="1"/>
  <c r="M1175" i="2"/>
  <c r="N1175" i="2" s="1"/>
  <c r="O1175" i="2"/>
  <c r="E1175" i="2"/>
  <c r="F1175" i="2"/>
  <c r="D1175" i="2"/>
  <c r="AA1175" i="2"/>
  <c r="J1175" i="4"/>
  <c r="N1175" i="4" s="1"/>
  <c r="M1174" i="2"/>
  <c r="D1174" i="2"/>
  <c r="E1174" i="2"/>
  <c r="F1174" i="2"/>
  <c r="J1174" i="4"/>
  <c r="N1174" i="4" s="1"/>
  <c r="AA1174" i="2"/>
  <c r="M1173" i="2"/>
  <c r="F1173" i="2"/>
  <c r="E1173" i="2"/>
  <c r="D1173" i="2"/>
  <c r="G1173" i="2" s="1"/>
  <c r="V1173" i="2" s="1"/>
  <c r="J1173" i="4"/>
  <c r="N1173" i="4" s="1"/>
  <c r="AA1173" i="2"/>
  <c r="M1172" i="2"/>
  <c r="N1172" i="2" s="1"/>
  <c r="O1172" i="2"/>
  <c r="F1172" i="2"/>
  <c r="E1172" i="2"/>
  <c r="D1172" i="2"/>
  <c r="G1172" i="2" s="1"/>
  <c r="AA1172" i="2"/>
  <c r="J1172" i="4"/>
  <c r="N1172" i="4" s="1"/>
  <c r="M1171" i="2"/>
  <c r="N1171" i="2" s="1"/>
  <c r="O1171" i="2"/>
  <c r="E1171" i="2"/>
  <c r="F1171" i="2"/>
  <c r="D1171" i="2"/>
  <c r="J1171" i="4"/>
  <c r="N1171" i="4" s="1"/>
  <c r="AA1171" i="2"/>
  <c r="M1170" i="2"/>
  <c r="D1170" i="2"/>
  <c r="E1170" i="2"/>
  <c r="F1170" i="2"/>
  <c r="J1170" i="4"/>
  <c r="N1170" i="4" s="1"/>
  <c r="AA1170" i="2"/>
  <c r="M1169" i="2"/>
  <c r="E1169" i="2"/>
  <c r="F1169" i="2"/>
  <c r="D1169" i="2"/>
  <c r="AA1169" i="2"/>
  <c r="J1169" i="4"/>
  <c r="N1169" i="4" s="1"/>
  <c r="M1168" i="2"/>
  <c r="E1168" i="2"/>
  <c r="D1168" i="2"/>
  <c r="F1168" i="2"/>
  <c r="AA1168" i="2"/>
  <c r="J1168" i="4"/>
  <c r="N1168" i="4" s="1"/>
  <c r="M1167" i="2"/>
  <c r="N1167" i="2" s="1"/>
  <c r="O1167" i="2"/>
  <c r="F1167" i="2"/>
  <c r="E1167" i="2"/>
  <c r="D1167" i="2"/>
  <c r="AA1167" i="2"/>
  <c r="J1167" i="4"/>
  <c r="N1167" i="4" s="1"/>
  <c r="M1166" i="2"/>
  <c r="E1166" i="2"/>
  <c r="F1166" i="2"/>
  <c r="D1166" i="2"/>
  <c r="G1166" i="2" s="1"/>
  <c r="V1166" i="2" s="1"/>
  <c r="J1166" i="4"/>
  <c r="N1166" i="4" s="1"/>
  <c r="AA1166" i="2"/>
  <c r="M1165" i="2"/>
  <c r="D1165" i="2"/>
  <c r="E1165" i="2"/>
  <c r="F1165" i="2"/>
  <c r="J1165" i="4"/>
  <c r="N1165" i="4" s="1"/>
  <c r="AA1165" i="2"/>
  <c r="M1164" i="2"/>
  <c r="F1164" i="2"/>
  <c r="E1164" i="2"/>
  <c r="D1164" i="2"/>
  <c r="AA1164" i="2"/>
  <c r="J1164" i="4"/>
  <c r="N1164" i="4" s="1"/>
  <c r="M1163" i="2"/>
  <c r="D1163" i="2"/>
  <c r="F1163" i="2"/>
  <c r="E1163" i="2"/>
  <c r="J1163" i="4"/>
  <c r="N1163" i="4" s="1"/>
  <c r="AA1163" i="2"/>
  <c r="M1162" i="2"/>
  <c r="E1162" i="2"/>
  <c r="D1162" i="2"/>
  <c r="F1162" i="2"/>
  <c r="AA1162" i="2"/>
  <c r="J1162" i="4"/>
  <c r="N1162" i="4" s="1"/>
  <c r="M1161" i="2"/>
  <c r="F1161" i="2"/>
  <c r="E1161" i="2"/>
  <c r="D1161" i="2"/>
  <c r="AA1161" i="2"/>
  <c r="J1161" i="4"/>
  <c r="N1161" i="4" s="1"/>
  <c r="M1160" i="2"/>
  <c r="F1160" i="2"/>
  <c r="E1160" i="2"/>
  <c r="D1160" i="2"/>
  <c r="J1160" i="4"/>
  <c r="N1160" i="4" s="1"/>
  <c r="AA1160" i="2"/>
  <c r="M1159" i="2"/>
  <c r="E1159" i="2"/>
  <c r="F1159" i="2"/>
  <c r="D1159" i="2"/>
  <c r="AA1159" i="2"/>
  <c r="J1159" i="4"/>
  <c r="N1159" i="4" s="1"/>
  <c r="M1158" i="2"/>
  <c r="D1158" i="2"/>
  <c r="F1158" i="2"/>
  <c r="E1158" i="2"/>
  <c r="J1158" i="4"/>
  <c r="N1158" i="4" s="1"/>
  <c r="AA1158" i="2"/>
  <c r="M1157" i="2"/>
  <c r="F1157" i="2"/>
  <c r="E1157" i="2"/>
  <c r="D1157" i="2"/>
  <c r="AA1157" i="2"/>
  <c r="J1157" i="4"/>
  <c r="N1157" i="4" s="1"/>
  <c r="M1156" i="2"/>
  <c r="E1156" i="2"/>
  <c r="D1156" i="2"/>
  <c r="F1156" i="2"/>
  <c r="AA1156" i="2"/>
  <c r="J1156" i="4"/>
  <c r="N1156" i="4" s="1"/>
  <c r="M1155" i="2"/>
  <c r="D1155" i="2"/>
  <c r="F1155" i="2"/>
  <c r="E1155" i="2"/>
  <c r="J1155" i="4"/>
  <c r="N1155" i="4" s="1"/>
  <c r="AA1155" i="2"/>
  <c r="M1154" i="2"/>
  <c r="E1154" i="2"/>
  <c r="F1154" i="2"/>
  <c r="D1154" i="2"/>
  <c r="J1154" i="4"/>
  <c r="N1154" i="4" s="1"/>
  <c r="AA1154" i="2"/>
  <c r="M1153" i="2"/>
  <c r="E1153" i="2"/>
  <c r="D1153" i="2"/>
  <c r="F1153" i="2"/>
  <c r="AA1153" i="2"/>
  <c r="J1153" i="4"/>
  <c r="N1153" i="4" s="1"/>
  <c r="M1152" i="2"/>
  <c r="N1152" i="2" s="1"/>
  <c r="O1152" i="2"/>
  <c r="D1152" i="2"/>
  <c r="E1152" i="2"/>
  <c r="F1152" i="2"/>
  <c r="AA1152" i="2"/>
  <c r="J1152" i="4"/>
  <c r="N1152" i="4" s="1"/>
  <c r="M1151" i="2"/>
  <c r="D1151" i="2"/>
  <c r="E1151" i="2"/>
  <c r="F1151" i="2"/>
  <c r="J1151" i="4"/>
  <c r="N1151" i="4" s="1"/>
  <c r="AA1151" i="2"/>
  <c r="M1150" i="2"/>
  <c r="D1150" i="2"/>
  <c r="F1150" i="2"/>
  <c r="E1150" i="2"/>
  <c r="AA1150" i="2"/>
  <c r="J1150" i="4"/>
  <c r="N1150" i="4" s="1"/>
  <c r="M1149" i="2"/>
  <c r="N1149" i="2" s="1"/>
  <c r="O1149" i="2"/>
  <c r="E1149" i="2"/>
  <c r="F1149" i="2"/>
  <c r="D1149" i="2"/>
  <c r="AA1149" i="2"/>
  <c r="J1149" i="4"/>
  <c r="N1149" i="4" s="1"/>
  <c r="M1148" i="2"/>
  <c r="E1148" i="2"/>
  <c r="D1148" i="2"/>
  <c r="F1148" i="2"/>
  <c r="AA1148" i="2"/>
  <c r="J1148" i="4"/>
  <c r="N1148" i="4" s="1"/>
  <c r="M1147" i="2"/>
  <c r="N1147" i="2" s="1"/>
  <c r="O1147" i="2"/>
  <c r="D1147" i="2"/>
  <c r="E1147" i="2"/>
  <c r="F1147" i="2"/>
  <c r="J1147" i="4"/>
  <c r="N1147" i="4" s="1"/>
  <c r="AA1147" i="2"/>
  <c r="M1146" i="2"/>
  <c r="F1146" i="2"/>
  <c r="D1146" i="2"/>
  <c r="E1146" i="2"/>
  <c r="AA1146" i="2"/>
  <c r="J1146" i="4"/>
  <c r="N1146" i="4" s="1"/>
  <c r="M1145" i="2"/>
  <c r="D1145" i="2"/>
  <c r="F1145" i="2"/>
  <c r="E1145" i="2"/>
  <c r="J1145" i="4"/>
  <c r="N1145" i="4" s="1"/>
  <c r="AA1145" i="2"/>
  <c r="M1144" i="2"/>
  <c r="F1144" i="2"/>
  <c r="D1144" i="2"/>
  <c r="E1144" i="2"/>
  <c r="J1144" i="4"/>
  <c r="N1144" i="4" s="1"/>
  <c r="AA1144" i="2"/>
  <c r="M1143" i="2"/>
  <c r="D1143" i="2"/>
  <c r="F1143" i="2"/>
  <c r="E1143" i="2"/>
  <c r="J1143" i="4"/>
  <c r="N1143" i="4" s="1"/>
  <c r="AA1143" i="2"/>
  <c r="M1142" i="2"/>
  <c r="N1142" i="2" s="1"/>
  <c r="O1142" i="2"/>
  <c r="F1142" i="2"/>
  <c r="D1142" i="2"/>
  <c r="E1142" i="2"/>
  <c r="J1142" i="4"/>
  <c r="N1142" i="4" s="1"/>
  <c r="AA1142" i="2"/>
  <c r="M1141" i="2"/>
  <c r="F1141" i="2"/>
  <c r="E1141" i="2"/>
  <c r="D1141" i="2"/>
  <c r="J1141" i="4"/>
  <c r="N1141" i="4" s="1"/>
  <c r="AA1141" i="2"/>
  <c r="M1140" i="2"/>
  <c r="D1140" i="2"/>
  <c r="F1140" i="2"/>
  <c r="E1140" i="2"/>
  <c r="J1140" i="4"/>
  <c r="N1140" i="4" s="1"/>
  <c r="AA1140" i="2"/>
  <c r="M1139" i="2"/>
  <c r="D1139" i="2"/>
  <c r="F1139" i="2"/>
  <c r="E1139" i="2"/>
  <c r="M1138" i="2"/>
  <c r="N1138" i="2" s="1"/>
  <c r="O1138" i="2"/>
  <c r="D1138" i="2"/>
  <c r="E1138" i="2"/>
  <c r="F1138" i="2"/>
  <c r="AA1138" i="2"/>
  <c r="M1137" i="2"/>
  <c r="F1137" i="2"/>
  <c r="E1137" i="2"/>
  <c r="D1137" i="2"/>
  <c r="G1137" i="2" s="1"/>
  <c r="V1137" i="2" s="1"/>
  <c r="AA1137" i="2"/>
  <c r="M1136" i="2"/>
  <c r="F1136" i="2"/>
  <c r="D1136" i="2"/>
  <c r="E1136" i="2"/>
  <c r="AA1136" i="2"/>
  <c r="M1135" i="2"/>
  <c r="D1135" i="2"/>
  <c r="E1135" i="2"/>
  <c r="F1135" i="2"/>
  <c r="AA1135" i="2"/>
  <c r="M1134" i="2"/>
  <c r="D1134" i="2"/>
  <c r="E1134" i="2"/>
  <c r="F1134" i="2"/>
  <c r="AA1134" i="2"/>
  <c r="M1133" i="2"/>
  <c r="E1133" i="2"/>
  <c r="F1133" i="2"/>
  <c r="D1133" i="2"/>
  <c r="AA1133" i="2"/>
  <c r="M1132" i="2"/>
  <c r="F1132" i="2"/>
  <c r="E1132" i="2"/>
  <c r="D1132" i="2"/>
  <c r="G1132" i="2" s="1"/>
  <c r="V1132" i="2" s="1"/>
  <c r="AA1132" i="2"/>
  <c r="M1131" i="2"/>
  <c r="F1131" i="2"/>
  <c r="E1131" i="2"/>
  <c r="D1131" i="2"/>
  <c r="G1131" i="2" s="1"/>
  <c r="V1131" i="2" s="1"/>
  <c r="AA1131" i="2"/>
  <c r="M1130" i="2"/>
  <c r="N1130" i="2" s="1"/>
  <c r="O1130" i="2"/>
  <c r="F1130" i="2"/>
  <c r="D1130" i="2"/>
  <c r="E1130" i="2"/>
  <c r="AA1130" i="2"/>
  <c r="M1129" i="2"/>
  <c r="N1129" i="2" s="1"/>
  <c r="O1129" i="2"/>
  <c r="D1129" i="2"/>
  <c r="E1129" i="2"/>
  <c r="F1129" i="2"/>
  <c r="AA1129" i="2"/>
  <c r="M1128" i="2"/>
  <c r="D1128" i="2"/>
  <c r="F1128" i="2"/>
  <c r="E1128" i="2"/>
  <c r="AA1128" i="2"/>
  <c r="M1127" i="2"/>
  <c r="N1127" i="2" s="1"/>
  <c r="O1127" i="2"/>
  <c r="F1127" i="2"/>
  <c r="D1127" i="2"/>
  <c r="E1127" i="2"/>
  <c r="AA1127" i="2"/>
  <c r="M1126" i="2"/>
  <c r="E1126" i="2"/>
  <c r="D1126" i="2"/>
  <c r="F1126" i="2"/>
  <c r="AA1126" i="2"/>
  <c r="M1125" i="2"/>
  <c r="N1125" i="2" s="1"/>
  <c r="O1125" i="2"/>
  <c r="D1125" i="2"/>
  <c r="F1125" i="2"/>
  <c r="E1125" i="2"/>
  <c r="AA1125" i="2"/>
  <c r="M1124" i="2"/>
  <c r="D1124" i="2"/>
  <c r="E1124" i="2"/>
  <c r="F1124" i="2"/>
  <c r="AA1124" i="2"/>
  <c r="M1123" i="2"/>
  <c r="F1123" i="2"/>
  <c r="D1123" i="2"/>
  <c r="E1123" i="2"/>
  <c r="AA1123" i="2"/>
  <c r="M1122" i="2"/>
  <c r="E1122" i="2"/>
  <c r="F1122" i="2"/>
  <c r="D1122" i="2"/>
  <c r="AA1122" i="2"/>
  <c r="M1121" i="2"/>
  <c r="F1121" i="2"/>
  <c r="E1121" i="2"/>
  <c r="D1121" i="2"/>
  <c r="AA1121" i="2"/>
  <c r="M1120" i="2"/>
  <c r="N1120" i="2" s="1"/>
  <c r="O1120" i="2"/>
  <c r="F1120" i="2"/>
  <c r="E1120" i="2"/>
  <c r="D1120" i="2"/>
  <c r="AA1120" i="2"/>
  <c r="M1119" i="2"/>
  <c r="N1119" i="2" s="1"/>
  <c r="O1119" i="2"/>
  <c r="F1119" i="2"/>
  <c r="E1119" i="2"/>
  <c r="D1119" i="2"/>
  <c r="AA1119" i="2"/>
  <c r="M1118" i="2"/>
  <c r="F1118" i="2"/>
  <c r="E1118" i="2"/>
  <c r="D1118" i="2"/>
  <c r="AA1118" i="2"/>
  <c r="M1117" i="2"/>
  <c r="D1117" i="2"/>
  <c r="E1117" i="2"/>
  <c r="F1117" i="2"/>
  <c r="AA1117" i="2"/>
  <c r="M1116" i="2"/>
  <c r="N1116" i="2" s="1"/>
  <c r="O1116" i="2"/>
  <c r="F1116" i="2"/>
  <c r="D1116" i="2"/>
  <c r="E1116" i="2"/>
  <c r="AA1116" i="2"/>
  <c r="M1115" i="2"/>
  <c r="N1115" i="2" s="1"/>
  <c r="O1115" i="2"/>
  <c r="F1115" i="2"/>
  <c r="E1115" i="2"/>
  <c r="D1115" i="2"/>
  <c r="AA1115" i="2"/>
  <c r="M1114" i="2"/>
  <c r="E1114" i="2"/>
  <c r="D1114" i="2"/>
  <c r="F1114" i="2"/>
  <c r="AA1114" i="2"/>
  <c r="M1113" i="2"/>
  <c r="F1113" i="2"/>
  <c r="E1113" i="2"/>
  <c r="D1113" i="2"/>
  <c r="AA1113" i="2"/>
  <c r="M1112" i="2"/>
  <c r="E1112" i="2"/>
  <c r="D1112" i="2"/>
  <c r="F1112" i="2"/>
  <c r="AA1112" i="2"/>
  <c r="M1111" i="2"/>
  <c r="F1111" i="2"/>
  <c r="E1111" i="2"/>
  <c r="D1111" i="2"/>
  <c r="AA1111" i="2"/>
  <c r="M1110" i="2"/>
  <c r="N1110" i="2" s="1"/>
  <c r="O1110" i="2"/>
  <c r="E1110" i="2"/>
  <c r="F1110" i="2"/>
  <c r="D1110" i="2"/>
  <c r="AA1110" i="2"/>
  <c r="M1109" i="2"/>
  <c r="F1109" i="2"/>
  <c r="E1109" i="2"/>
  <c r="D1109" i="2"/>
  <c r="G1109" i="2" s="1"/>
  <c r="V1109" i="2" s="1"/>
  <c r="AA1109" i="2"/>
  <c r="M1108" i="2"/>
  <c r="F1108" i="2"/>
  <c r="D1108" i="2"/>
  <c r="E1108" i="2"/>
  <c r="AA1108" i="2"/>
  <c r="M1107" i="2"/>
  <c r="F1107" i="2"/>
  <c r="D1107" i="2"/>
  <c r="E1107" i="2"/>
  <c r="AA1107" i="2"/>
  <c r="M1106" i="2"/>
  <c r="F1106" i="2"/>
  <c r="E1106" i="2"/>
  <c r="D1106" i="2"/>
  <c r="AA1106" i="2"/>
  <c r="M1105" i="2"/>
  <c r="D1105" i="2"/>
  <c r="F1105" i="2"/>
  <c r="E1105" i="2"/>
  <c r="AA1105" i="2"/>
  <c r="M1104" i="2"/>
  <c r="N1104" i="2" s="1"/>
  <c r="O1104" i="2"/>
  <c r="F1104" i="2"/>
  <c r="D1104" i="2"/>
  <c r="E1104" i="2"/>
  <c r="AA1104" i="2"/>
  <c r="M1103" i="2"/>
  <c r="N1103" i="2" s="1"/>
  <c r="O1103" i="2"/>
  <c r="D1103" i="2"/>
  <c r="F1103" i="2"/>
  <c r="E1103" i="2"/>
  <c r="AA1103" i="2"/>
  <c r="M1102" i="2"/>
  <c r="D1102" i="2"/>
  <c r="E1102" i="2"/>
  <c r="F1102" i="2"/>
  <c r="AA1102" i="2"/>
  <c r="M1101" i="2"/>
  <c r="N1101" i="2" s="1"/>
  <c r="O1101" i="2"/>
  <c r="E1101" i="2"/>
  <c r="D1101" i="2"/>
  <c r="F1101" i="2"/>
  <c r="AA1101" i="2"/>
  <c r="M1100" i="2"/>
  <c r="F1100" i="2"/>
  <c r="E1100" i="2"/>
  <c r="D1100" i="2"/>
  <c r="AA1100" i="2"/>
  <c r="M1099" i="2"/>
  <c r="D1099" i="2"/>
  <c r="E1099" i="2"/>
  <c r="F1099" i="2"/>
  <c r="AA1099" i="2"/>
  <c r="M1098" i="2"/>
  <c r="N1098" i="2" s="1"/>
  <c r="O1098" i="2"/>
  <c r="E1098" i="2"/>
  <c r="F1098" i="2"/>
  <c r="D1098" i="2"/>
  <c r="AA1098" i="2"/>
  <c r="M1097" i="2"/>
  <c r="D1097" i="2"/>
  <c r="E1097" i="2"/>
  <c r="F1097" i="2"/>
  <c r="AA1097" i="2"/>
  <c r="M1096" i="2"/>
  <c r="F1096" i="2"/>
  <c r="D1096" i="2"/>
  <c r="E1096" i="2"/>
  <c r="AA1096" i="2"/>
  <c r="M1095" i="2"/>
  <c r="F1095" i="2"/>
  <c r="E1095" i="2"/>
  <c r="D1095" i="2"/>
  <c r="AA1095" i="2"/>
  <c r="M1094" i="2"/>
  <c r="F1094" i="2"/>
  <c r="E1094" i="2"/>
  <c r="D1094" i="2"/>
  <c r="AA1094" i="2"/>
  <c r="M1093" i="2"/>
  <c r="F1093" i="2"/>
  <c r="E1093" i="2"/>
  <c r="D1093" i="2"/>
  <c r="G1093" i="2" s="1"/>
  <c r="V1093" i="2" s="1"/>
  <c r="AA1093" i="2"/>
  <c r="M1092" i="2"/>
  <c r="D1092" i="2"/>
  <c r="F1092" i="2"/>
  <c r="E1092" i="2"/>
  <c r="AA1092" i="2"/>
  <c r="M1091" i="2"/>
  <c r="D1091" i="2"/>
  <c r="E1091" i="2"/>
  <c r="F1091" i="2"/>
  <c r="AA1091" i="2"/>
  <c r="M1090" i="2"/>
  <c r="E1090" i="2"/>
  <c r="D1090" i="2"/>
  <c r="F1090" i="2"/>
  <c r="AA1090" i="2"/>
  <c r="M1089" i="2"/>
  <c r="F1089" i="2"/>
  <c r="E1089" i="2"/>
  <c r="D1089" i="2"/>
  <c r="G1089" i="2" s="1"/>
  <c r="AA1089" i="2"/>
  <c r="M1088" i="2"/>
  <c r="F1088" i="2"/>
  <c r="E1088" i="2"/>
  <c r="D1088" i="2"/>
  <c r="AA1088" i="2"/>
  <c r="M1087" i="2"/>
  <c r="E1087" i="2"/>
  <c r="F1087" i="2"/>
  <c r="D1087" i="2"/>
  <c r="G1087" i="2" s="1"/>
  <c r="V1087" i="2" s="1"/>
  <c r="AA1087" i="2"/>
  <c r="M1086" i="2"/>
  <c r="N1086" i="2" s="1"/>
  <c r="O1086" i="2"/>
  <c r="F1086" i="2"/>
  <c r="E1086" i="2"/>
  <c r="D1086" i="2"/>
  <c r="AA1086" i="2"/>
  <c r="M1085" i="2"/>
  <c r="F1085" i="2"/>
  <c r="E1085" i="2"/>
  <c r="D1085" i="2"/>
  <c r="AA1085" i="2"/>
  <c r="M1084" i="2"/>
  <c r="N1084" i="2" s="1"/>
  <c r="O1084" i="2"/>
  <c r="E1084" i="2"/>
  <c r="F1084" i="2"/>
  <c r="D1084" i="2"/>
  <c r="G1084" i="2" s="1"/>
  <c r="AA1084" i="2"/>
  <c r="M1083" i="2"/>
  <c r="N1083" i="2" s="1"/>
  <c r="O1083" i="2"/>
  <c r="F1083" i="2"/>
  <c r="E1083" i="2"/>
  <c r="D1083" i="2"/>
  <c r="AA1083" i="2"/>
  <c r="M1082" i="2"/>
  <c r="D1082" i="2"/>
  <c r="F1082" i="2"/>
  <c r="E1082" i="2"/>
  <c r="AA1082" i="2"/>
  <c r="M1081" i="2"/>
  <c r="F1081" i="2"/>
  <c r="E1081" i="2"/>
  <c r="D1081" i="2"/>
  <c r="AA1081" i="2"/>
  <c r="M1080" i="2"/>
  <c r="F1080" i="2"/>
  <c r="E1080" i="2"/>
  <c r="D1080" i="2"/>
  <c r="G1080" i="2" s="1"/>
  <c r="V1080" i="2" s="1"/>
  <c r="AA1080" i="2"/>
  <c r="M1079" i="2"/>
  <c r="F1079" i="2"/>
  <c r="E1079" i="2"/>
  <c r="D1079" i="2"/>
  <c r="G1079" i="2" s="1"/>
  <c r="V1079" i="2" s="1"/>
  <c r="AA1079" i="2"/>
  <c r="M1078" i="2"/>
  <c r="E1078" i="2"/>
  <c r="F1078" i="2"/>
  <c r="D1078" i="2"/>
  <c r="AA1078" i="2"/>
  <c r="M1077" i="2"/>
  <c r="D1077" i="2"/>
  <c r="E1077" i="2"/>
  <c r="F1077" i="2"/>
  <c r="AA1077" i="2"/>
  <c r="M1076" i="2"/>
  <c r="D1076" i="2"/>
  <c r="E1076" i="2"/>
  <c r="F1076" i="2"/>
  <c r="AA1076" i="2"/>
  <c r="M1075" i="2"/>
  <c r="D1075" i="2"/>
  <c r="E1075" i="2"/>
  <c r="F1075" i="2"/>
  <c r="AA1075" i="2"/>
  <c r="M1074" i="2"/>
  <c r="N1074" i="2" s="1"/>
  <c r="O1074" i="2"/>
  <c r="E1074" i="2"/>
  <c r="F1074" i="2"/>
  <c r="D1074" i="2"/>
  <c r="AA1074" i="2"/>
  <c r="M1073" i="2"/>
  <c r="D1073" i="2"/>
  <c r="E1073" i="2"/>
  <c r="F1073" i="2"/>
  <c r="AA1073" i="2"/>
  <c r="M1072" i="2"/>
  <c r="N1072" i="2" s="1"/>
  <c r="O1072" i="2"/>
  <c r="F1072" i="2"/>
  <c r="E1072" i="2"/>
  <c r="D1072" i="2"/>
  <c r="G1072" i="2" s="1"/>
  <c r="AA1072" i="2"/>
  <c r="M1071" i="2"/>
  <c r="E1071" i="2"/>
  <c r="F1071" i="2"/>
  <c r="D1071" i="2"/>
  <c r="G1071" i="2" s="1"/>
  <c r="V1071" i="2" s="1"/>
  <c r="AA1071" i="2"/>
  <c r="M1070" i="2"/>
  <c r="F1070" i="2"/>
  <c r="D1070" i="2"/>
  <c r="E1070" i="2"/>
  <c r="AA1070" i="2"/>
  <c r="J1070" i="4"/>
  <c r="N1070" i="4" s="1"/>
  <c r="M1069" i="2"/>
  <c r="E1069" i="2"/>
  <c r="F1069" i="2"/>
  <c r="D1069" i="2"/>
  <c r="G1069" i="2" s="1"/>
  <c r="J1069" i="4"/>
  <c r="N1069" i="4" s="1"/>
  <c r="AA1069" i="2"/>
  <c r="M1068" i="2"/>
  <c r="N1068" i="2" s="1"/>
  <c r="O1068" i="2"/>
  <c r="D1068" i="2"/>
  <c r="E1068" i="2"/>
  <c r="F1068" i="2"/>
  <c r="J1068" i="4"/>
  <c r="N1068" i="4" s="1"/>
  <c r="AA1068" i="2"/>
  <c r="M1067" i="2"/>
  <c r="F1067" i="2"/>
  <c r="E1067" i="2"/>
  <c r="D1067" i="2"/>
  <c r="J1067" i="4"/>
  <c r="N1067" i="4" s="1"/>
  <c r="AA1067" i="2"/>
  <c r="M1066" i="2"/>
  <c r="D1066" i="2"/>
  <c r="F1066" i="2"/>
  <c r="E1066" i="2"/>
  <c r="J1066" i="4"/>
  <c r="N1066" i="4" s="1"/>
  <c r="AA1066" i="2"/>
  <c r="M1065" i="2"/>
  <c r="N1065" i="2" s="1"/>
  <c r="O1065" i="2"/>
  <c r="E1065" i="2"/>
  <c r="D1065" i="2"/>
  <c r="F1065" i="2"/>
  <c r="J1065" i="4"/>
  <c r="N1065" i="4" s="1"/>
  <c r="AA1065" i="2"/>
  <c r="M1064" i="2"/>
  <c r="F1064" i="2"/>
  <c r="D1064" i="2"/>
  <c r="E1064" i="2"/>
  <c r="J1064" i="4"/>
  <c r="N1064" i="4" s="1"/>
  <c r="AA1064" i="2"/>
  <c r="M1063" i="2"/>
  <c r="D1063" i="2"/>
  <c r="F1063" i="2"/>
  <c r="E1063" i="2"/>
  <c r="J1063" i="4"/>
  <c r="N1063" i="4" s="1"/>
  <c r="AA1063" i="2"/>
  <c r="M1062" i="2"/>
  <c r="F1062" i="2"/>
  <c r="D1062" i="2"/>
  <c r="E1062" i="2"/>
  <c r="J1062" i="4"/>
  <c r="N1062" i="4" s="1"/>
  <c r="AA1062" i="2"/>
  <c r="M1061" i="2"/>
  <c r="F1061" i="2"/>
  <c r="E1061" i="2"/>
  <c r="D1061" i="2"/>
  <c r="J1061" i="4"/>
  <c r="N1061" i="4" s="1"/>
  <c r="AA1061" i="2"/>
  <c r="M1060" i="2"/>
  <c r="D1060" i="2"/>
  <c r="F1060" i="2"/>
  <c r="E1060" i="2"/>
  <c r="AA1060" i="2"/>
  <c r="J1060" i="4"/>
  <c r="N1060" i="4" s="1"/>
  <c r="M1059" i="2"/>
  <c r="D1059" i="2"/>
  <c r="F1059" i="2"/>
  <c r="E1059" i="2"/>
  <c r="J1059" i="4"/>
  <c r="N1059" i="4" s="1"/>
  <c r="AA1059" i="2"/>
  <c r="M1058" i="2"/>
  <c r="F1058" i="2"/>
  <c r="E1058" i="2"/>
  <c r="D1058" i="2"/>
  <c r="G1058" i="2" s="1"/>
  <c r="V1058" i="2" s="1"/>
  <c r="J1058" i="4"/>
  <c r="N1058" i="4" s="1"/>
  <c r="AA1058" i="2"/>
  <c r="M1057" i="2"/>
  <c r="E1057" i="2"/>
  <c r="F1057" i="2"/>
  <c r="D1057" i="2"/>
  <c r="J1057" i="4"/>
  <c r="N1057" i="4" s="1"/>
  <c r="AA1057" i="2"/>
  <c r="M1056" i="2"/>
  <c r="F1056" i="2"/>
  <c r="E1056" i="2"/>
  <c r="D1056" i="2"/>
  <c r="AA1056" i="2"/>
  <c r="J1056" i="4"/>
  <c r="N1056" i="4" s="1"/>
  <c r="M1055" i="2"/>
  <c r="F1055" i="2"/>
  <c r="E1055" i="2"/>
  <c r="D1055" i="2"/>
  <c r="J1055" i="4"/>
  <c r="N1055" i="4" s="1"/>
  <c r="AA1055" i="2"/>
  <c r="M1054" i="2"/>
  <c r="F1054" i="2"/>
  <c r="E1054" i="2"/>
  <c r="D1054" i="2"/>
  <c r="J1054" i="4"/>
  <c r="N1054" i="4" s="1"/>
  <c r="AA1054" i="2"/>
  <c r="M1053" i="2"/>
  <c r="F1053" i="2"/>
  <c r="E1053" i="2"/>
  <c r="D1053" i="2"/>
  <c r="AA1053" i="2"/>
  <c r="J1053" i="4"/>
  <c r="N1053" i="4" s="1"/>
  <c r="M1052" i="2"/>
  <c r="F1052" i="2"/>
  <c r="E1052" i="2"/>
  <c r="D1052" i="2"/>
  <c r="AA1052" i="2"/>
  <c r="J1052" i="4"/>
  <c r="N1052" i="4" s="1"/>
  <c r="M1051" i="2"/>
  <c r="F1051" i="2"/>
  <c r="E1051" i="2"/>
  <c r="D1051" i="2"/>
  <c r="J1051" i="4"/>
  <c r="N1051" i="4" s="1"/>
  <c r="AA1051" i="2"/>
  <c r="M1050" i="2"/>
  <c r="E1050" i="2"/>
  <c r="D1050" i="2"/>
  <c r="F1050" i="2"/>
  <c r="J1050" i="4"/>
  <c r="N1050" i="4" s="1"/>
  <c r="AA1050" i="2"/>
  <c r="M1049" i="2"/>
  <c r="N1049" i="2" s="1"/>
  <c r="O1049" i="2"/>
  <c r="D1049" i="2"/>
  <c r="F1049" i="2"/>
  <c r="E1049" i="2"/>
  <c r="J1049" i="4"/>
  <c r="N1049" i="4" s="1"/>
  <c r="AA1049" i="2"/>
  <c r="M1048" i="2"/>
  <c r="F1048" i="2"/>
  <c r="E1048" i="2"/>
  <c r="D1048" i="2"/>
  <c r="J1048" i="4"/>
  <c r="N1048" i="4" s="1"/>
  <c r="AA1048" i="2"/>
  <c r="M1047" i="2"/>
  <c r="N1047" i="2" s="1"/>
  <c r="O1047" i="2"/>
  <c r="E1047" i="2"/>
  <c r="D1047" i="2"/>
  <c r="F1047" i="2"/>
  <c r="J1047" i="4"/>
  <c r="N1047" i="4" s="1"/>
  <c r="AA1047" i="2"/>
  <c r="M1046" i="2"/>
  <c r="F1046" i="2"/>
  <c r="E1046" i="2"/>
  <c r="D1046" i="2"/>
  <c r="G1046" i="2" s="1"/>
  <c r="V1046" i="2" s="1"/>
  <c r="J1046" i="4"/>
  <c r="N1046" i="4" s="1"/>
  <c r="AA1046" i="2"/>
  <c r="M1045" i="2"/>
  <c r="F1045" i="2"/>
  <c r="E1045" i="2"/>
  <c r="D1045" i="2"/>
  <c r="J1045" i="4"/>
  <c r="N1045" i="4" s="1"/>
  <c r="AA1045" i="2"/>
  <c r="M1044" i="2"/>
  <c r="D1044" i="2"/>
  <c r="E1044" i="2"/>
  <c r="F1044" i="2"/>
  <c r="J1044" i="4"/>
  <c r="N1044" i="4" s="1"/>
  <c r="AA1044" i="2"/>
  <c r="M1043" i="2"/>
  <c r="F1043" i="2"/>
  <c r="E1043" i="2"/>
  <c r="D1043" i="2"/>
  <c r="J1043" i="4"/>
  <c r="N1043" i="4" s="1"/>
  <c r="AA1043" i="2"/>
  <c r="M1042" i="2"/>
  <c r="D1042" i="2"/>
  <c r="E1042" i="2"/>
  <c r="F1042" i="2"/>
  <c r="AA1042" i="2"/>
  <c r="J1042" i="4"/>
  <c r="N1042" i="4" s="1"/>
  <c r="M1041" i="2"/>
  <c r="F1041" i="2"/>
  <c r="E1041" i="2"/>
  <c r="D1041" i="2"/>
  <c r="AA1041" i="2"/>
  <c r="J1041" i="4"/>
  <c r="N1041" i="4" s="1"/>
  <c r="M1040" i="2"/>
  <c r="F1040" i="2"/>
  <c r="E1040" i="2"/>
  <c r="D1040" i="2"/>
  <c r="AA1040" i="2"/>
  <c r="J1040" i="4"/>
  <c r="N1040" i="4" s="1"/>
  <c r="M1039" i="2"/>
  <c r="F1039" i="2"/>
  <c r="E1039" i="2"/>
  <c r="D1039" i="2"/>
  <c r="G1039" i="2" s="1"/>
  <c r="V1039" i="2" s="1"/>
  <c r="J1039" i="4"/>
  <c r="N1039" i="4" s="1"/>
  <c r="AA1039" i="2"/>
  <c r="M1038" i="2"/>
  <c r="E1038" i="2"/>
  <c r="F1038" i="2"/>
  <c r="D1038" i="2"/>
  <c r="G1038" i="2" s="1"/>
  <c r="J1038" i="4"/>
  <c r="N1038" i="4" s="1"/>
  <c r="AA1038" i="2"/>
  <c r="M1037" i="2"/>
  <c r="N1037" i="2" s="1"/>
  <c r="O1037" i="2"/>
  <c r="E1037" i="2"/>
  <c r="D1037" i="2"/>
  <c r="F1037" i="2"/>
  <c r="J1037" i="4"/>
  <c r="N1037" i="4" s="1"/>
  <c r="AA1037" i="2"/>
  <c r="M1036" i="2"/>
  <c r="E1036" i="2"/>
  <c r="F1036" i="2"/>
  <c r="D1036" i="2"/>
  <c r="J1036" i="4"/>
  <c r="N1036" i="4" s="1"/>
  <c r="AA1036" i="2"/>
  <c r="M1035" i="2"/>
  <c r="F1035" i="2"/>
  <c r="E1035" i="2"/>
  <c r="D1035" i="2"/>
  <c r="J1035" i="4"/>
  <c r="N1035" i="4" s="1"/>
  <c r="AA1035" i="2"/>
  <c r="M1034" i="2"/>
  <c r="D1034" i="2"/>
  <c r="E1034" i="2"/>
  <c r="F1034" i="2"/>
  <c r="J1034" i="4"/>
  <c r="N1034" i="4" s="1"/>
  <c r="AA1034" i="2"/>
  <c r="M1033" i="2"/>
  <c r="D1033" i="2"/>
  <c r="E1033" i="2"/>
  <c r="F1033" i="2"/>
  <c r="J1033" i="4"/>
  <c r="N1033" i="4" s="1"/>
  <c r="AA1033" i="2"/>
  <c r="M1032" i="2"/>
  <c r="N1032" i="2" s="1"/>
  <c r="O1032" i="2"/>
  <c r="D1032" i="2"/>
  <c r="E1032" i="2"/>
  <c r="F1032" i="2"/>
  <c r="J1032" i="4"/>
  <c r="N1032" i="4" s="1"/>
  <c r="AA1032" i="2"/>
  <c r="M1031" i="2"/>
  <c r="N1031" i="2" s="1"/>
  <c r="O1031" i="2"/>
  <c r="D1031" i="2"/>
  <c r="F1031" i="2"/>
  <c r="E1031" i="2"/>
  <c r="J1031" i="4"/>
  <c r="N1031" i="4" s="1"/>
  <c r="AA1031" i="2"/>
  <c r="M1030" i="2"/>
  <c r="E1030" i="2"/>
  <c r="D1030" i="2"/>
  <c r="F1030" i="2"/>
  <c r="J1030" i="4"/>
  <c r="N1030" i="4" s="1"/>
  <c r="AA1030" i="2"/>
  <c r="M1029" i="2"/>
  <c r="D1029" i="2"/>
  <c r="E1029" i="2"/>
  <c r="F1029" i="2"/>
  <c r="AA1029" i="2"/>
  <c r="J1029" i="4"/>
  <c r="N1029" i="4" s="1"/>
  <c r="M1028" i="2"/>
  <c r="E1028" i="2"/>
  <c r="F1028" i="2"/>
  <c r="D1028" i="2"/>
  <c r="AA1028" i="2"/>
  <c r="J1028" i="4"/>
  <c r="N1028" i="4" s="1"/>
  <c r="M1027" i="2"/>
  <c r="D1027" i="2"/>
  <c r="E1027" i="2"/>
  <c r="F1027" i="2"/>
  <c r="J1027" i="4"/>
  <c r="N1027" i="4" s="1"/>
  <c r="AA1027" i="2"/>
  <c r="M1026" i="2"/>
  <c r="E1026" i="2"/>
  <c r="F1026" i="2"/>
  <c r="D1026" i="2"/>
  <c r="AA1026" i="2"/>
  <c r="J1026" i="4"/>
  <c r="N1026" i="4" s="1"/>
  <c r="M1025" i="2"/>
  <c r="D1025" i="2"/>
  <c r="E1025" i="2"/>
  <c r="F1025" i="2"/>
  <c r="AA1025" i="2"/>
  <c r="J1025" i="4"/>
  <c r="N1025" i="4" s="1"/>
  <c r="M1024" i="2"/>
  <c r="E1024" i="2"/>
  <c r="F1024" i="2"/>
  <c r="D1024" i="2"/>
  <c r="G1024" i="2" s="1"/>
  <c r="V1024" i="2" s="1"/>
  <c r="AA1024" i="2"/>
  <c r="J1024" i="4"/>
  <c r="N1024" i="4" s="1"/>
  <c r="M1023" i="2"/>
  <c r="E1023" i="2"/>
  <c r="F1023" i="2"/>
  <c r="D1023" i="2"/>
  <c r="G1023" i="2" s="1"/>
  <c r="V1023" i="2" s="1"/>
  <c r="AA1023" i="2"/>
  <c r="J1023" i="4"/>
  <c r="N1023" i="4" s="1"/>
  <c r="M1022" i="2"/>
  <c r="D1022" i="2"/>
  <c r="F1022" i="2"/>
  <c r="E1022" i="2"/>
  <c r="AA1022" i="2"/>
  <c r="J1022" i="4"/>
  <c r="N1022" i="4" s="1"/>
  <c r="M1021" i="2"/>
  <c r="E1021" i="2"/>
  <c r="D1021" i="2"/>
  <c r="F1021" i="2"/>
  <c r="AA1021" i="2"/>
  <c r="J1021" i="4"/>
  <c r="N1021" i="4" s="1"/>
  <c r="M1020" i="2"/>
  <c r="E1020" i="2"/>
  <c r="D1020" i="2"/>
  <c r="F1020" i="2"/>
  <c r="J1020" i="4"/>
  <c r="N1020" i="4" s="1"/>
  <c r="AA1020" i="2"/>
  <c r="M1019" i="2"/>
  <c r="N1019" i="2" s="1"/>
  <c r="O1019" i="2"/>
  <c r="F1019" i="2"/>
  <c r="E1019" i="2"/>
  <c r="D1019" i="2"/>
  <c r="G1019" i="2" s="1"/>
  <c r="AA1019" i="2"/>
  <c r="J1019" i="4"/>
  <c r="N1019" i="4" s="1"/>
  <c r="M1018" i="2"/>
  <c r="F1018" i="2"/>
  <c r="E1018" i="2"/>
  <c r="D1018" i="2"/>
  <c r="AA1018" i="2"/>
  <c r="J1018" i="4"/>
  <c r="N1018" i="4" s="1"/>
  <c r="M1017" i="2"/>
  <c r="E1017" i="2"/>
  <c r="F1017" i="2"/>
  <c r="D1017" i="2"/>
  <c r="AA1017" i="2"/>
  <c r="J1017" i="4"/>
  <c r="N1017" i="4" s="1"/>
  <c r="M1016" i="2"/>
  <c r="F1016" i="2"/>
  <c r="E1016" i="2"/>
  <c r="D1016" i="2"/>
  <c r="AA1016" i="2"/>
  <c r="J1016" i="4"/>
  <c r="N1016" i="4" s="1"/>
  <c r="M1015" i="2"/>
  <c r="E1015" i="2"/>
  <c r="F1015" i="2"/>
  <c r="D1015" i="2"/>
  <c r="AA1015" i="2"/>
  <c r="J1015" i="4"/>
  <c r="N1015" i="4" s="1"/>
  <c r="M1014" i="2"/>
  <c r="E1014" i="2"/>
  <c r="D1014" i="2"/>
  <c r="F1014" i="2"/>
  <c r="J1014" i="4"/>
  <c r="N1014" i="4" s="1"/>
  <c r="AA1014" i="2"/>
  <c r="M1013" i="2"/>
  <c r="D1013" i="2"/>
  <c r="E1013" i="2"/>
  <c r="F1013" i="2"/>
  <c r="AA1013" i="2"/>
  <c r="J1013" i="4"/>
  <c r="N1013" i="4" s="1"/>
  <c r="M1012" i="2"/>
  <c r="E1012" i="2"/>
  <c r="F1012" i="2"/>
  <c r="D1012" i="2"/>
  <c r="AA1012" i="2"/>
  <c r="J1012" i="4"/>
  <c r="N1012" i="4" s="1"/>
  <c r="M1011" i="2"/>
  <c r="N1011" i="2" s="1"/>
  <c r="O1011" i="2"/>
  <c r="E1011" i="2"/>
  <c r="D1011" i="2"/>
  <c r="F1011" i="2"/>
  <c r="AA1011" i="2"/>
  <c r="J1011" i="4"/>
  <c r="N1011" i="4" s="1"/>
  <c r="M1010" i="2"/>
  <c r="N1010" i="2" s="1"/>
  <c r="O1010" i="2"/>
  <c r="D1010" i="2"/>
  <c r="F1010" i="2"/>
  <c r="E1010" i="2"/>
  <c r="AA1010" i="2"/>
  <c r="J1010" i="4"/>
  <c r="N1010" i="4" s="1"/>
  <c r="M1009" i="2"/>
  <c r="F1009" i="2"/>
  <c r="D1009" i="2"/>
  <c r="E1009" i="2"/>
  <c r="J1009" i="4"/>
  <c r="N1009" i="4" s="1"/>
  <c r="AA1009" i="2"/>
  <c r="M1008" i="2"/>
  <c r="D1008" i="2"/>
  <c r="F1008" i="2"/>
  <c r="E1008" i="2"/>
  <c r="AA1008" i="2"/>
  <c r="J1008" i="4"/>
  <c r="N1008" i="4" s="1"/>
  <c r="M1007" i="2"/>
  <c r="F1007" i="2"/>
  <c r="D1007" i="2"/>
  <c r="E1007" i="2"/>
  <c r="AA1007" i="2"/>
  <c r="J1007" i="4"/>
  <c r="N1007" i="4" s="1"/>
  <c r="M1006" i="2"/>
  <c r="E1006" i="2"/>
  <c r="D1006" i="2"/>
  <c r="F1006" i="2"/>
  <c r="J1006" i="4"/>
  <c r="N1006" i="4" s="1"/>
  <c r="AA1006" i="2"/>
  <c r="M1005" i="2"/>
  <c r="D1005" i="2"/>
  <c r="E1005" i="2"/>
  <c r="F1005" i="2"/>
  <c r="AA1005" i="2"/>
  <c r="J1005" i="4"/>
  <c r="N1005" i="4" s="1"/>
  <c r="M1004" i="2"/>
  <c r="D1004" i="2"/>
  <c r="F1004" i="2"/>
  <c r="E1004" i="2"/>
  <c r="AA1004" i="2"/>
  <c r="J1004" i="4"/>
  <c r="N1004" i="4" s="1"/>
  <c r="M1003" i="2"/>
  <c r="N1003" i="2" s="1"/>
  <c r="O1003" i="2"/>
  <c r="D1003" i="2"/>
  <c r="F1003" i="2"/>
  <c r="E1003" i="2"/>
  <c r="AA1003" i="2"/>
  <c r="J1003" i="4"/>
  <c r="N1003" i="4" s="1"/>
  <c r="M1002" i="2"/>
  <c r="D1002" i="2"/>
  <c r="E1002" i="2"/>
  <c r="F1002" i="2"/>
  <c r="AA1002" i="2"/>
  <c r="J1002" i="4"/>
  <c r="N1002" i="4" s="1"/>
  <c r="M1001" i="2"/>
  <c r="N1001" i="2" s="1"/>
  <c r="O1001" i="2"/>
  <c r="E1001" i="2"/>
  <c r="F1001" i="2"/>
  <c r="D1001" i="2"/>
  <c r="G1001" i="2" s="1"/>
  <c r="AA1001" i="2"/>
  <c r="J1001" i="4"/>
  <c r="N1001" i="4" s="1"/>
  <c r="M1000" i="2"/>
  <c r="N1000" i="2" s="1"/>
  <c r="O1000" i="2"/>
  <c r="E1000" i="2"/>
  <c r="F1000" i="2"/>
  <c r="D1000" i="2"/>
  <c r="G1000" i="2" s="1"/>
  <c r="AA1000" i="2"/>
  <c r="J1000" i="4"/>
  <c r="N1000" i="4" s="1"/>
  <c r="M999" i="2"/>
  <c r="E999" i="2"/>
  <c r="D999" i="2"/>
  <c r="F999" i="2"/>
  <c r="AA999" i="2"/>
  <c r="J999" i="4"/>
  <c r="N999" i="4" s="1"/>
  <c r="M998" i="2"/>
  <c r="N998" i="2" s="1"/>
  <c r="O998" i="2"/>
  <c r="F998" i="2"/>
  <c r="D998" i="2"/>
  <c r="E998" i="2"/>
  <c r="J998" i="4"/>
  <c r="N998" i="4" s="1"/>
  <c r="AA998" i="2"/>
  <c r="M997" i="2"/>
  <c r="D997" i="2"/>
  <c r="F997" i="2"/>
  <c r="E997" i="2"/>
  <c r="AA997" i="2"/>
  <c r="J997" i="4"/>
  <c r="N997" i="4" s="1"/>
  <c r="M996" i="2"/>
  <c r="D996" i="2"/>
  <c r="F996" i="2"/>
  <c r="E996" i="2"/>
  <c r="J996" i="4"/>
  <c r="N996" i="4" s="1"/>
  <c r="AA996" i="2"/>
  <c r="M995" i="2"/>
  <c r="N995" i="2" s="1"/>
  <c r="O995" i="2"/>
  <c r="E995" i="2"/>
  <c r="F995" i="2"/>
  <c r="D995" i="2"/>
  <c r="G995" i="2" s="1"/>
  <c r="J995" i="4"/>
  <c r="N995" i="4" s="1"/>
  <c r="AA995" i="2"/>
  <c r="M994" i="2"/>
  <c r="F994" i="2"/>
  <c r="D994" i="2"/>
  <c r="E994" i="2"/>
  <c r="AA994" i="2"/>
  <c r="J994" i="4"/>
  <c r="N994" i="4" s="1"/>
  <c r="M993" i="2"/>
  <c r="N993" i="2" s="1"/>
  <c r="O993" i="2"/>
  <c r="E993" i="2"/>
  <c r="F993" i="2"/>
  <c r="D993" i="2"/>
  <c r="G993" i="2" s="1"/>
  <c r="AA993" i="2"/>
  <c r="J993" i="4"/>
  <c r="N993" i="4" s="1"/>
  <c r="M992" i="2"/>
  <c r="N992" i="2" s="1"/>
  <c r="O992" i="2"/>
  <c r="D992" i="2"/>
  <c r="E992" i="2"/>
  <c r="F992" i="2"/>
  <c r="AA992" i="2"/>
  <c r="J992" i="4"/>
  <c r="N992" i="4" s="1"/>
  <c r="M991" i="2"/>
  <c r="N991" i="2" s="1"/>
  <c r="O991" i="2"/>
  <c r="F991" i="2"/>
  <c r="D991" i="2"/>
  <c r="E991" i="2"/>
  <c r="AA991" i="2"/>
  <c r="J991" i="4"/>
  <c r="N991" i="4" s="1"/>
  <c r="M990" i="2"/>
  <c r="D990" i="2"/>
  <c r="E990" i="2"/>
  <c r="F990" i="2"/>
  <c r="J990" i="4"/>
  <c r="N990" i="4" s="1"/>
  <c r="AA990" i="2"/>
  <c r="M989" i="2"/>
  <c r="F989" i="2"/>
  <c r="D989" i="2"/>
  <c r="E989" i="2"/>
  <c r="AA989" i="2"/>
  <c r="J989" i="4"/>
  <c r="N989" i="4" s="1"/>
  <c r="M988" i="2"/>
  <c r="N988" i="2" s="1"/>
  <c r="O988" i="2"/>
  <c r="E988" i="2"/>
  <c r="D988" i="2"/>
  <c r="F988" i="2"/>
  <c r="J988" i="4"/>
  <c r="N988" i="4" s="1"/>
  <c r="AA988" i="2"/>
  <c r="M987" i="2"/>
  <c r="N987" i="2" s="1"/>
  <c r="O987" i="2"/>
  <c r="D987" i="2"/>
  <c r="F987" i="2"/>
  <c r="E987" i="2"/>
  <c r="AA987" i="2"/>
  <c r="J987" i="4"/>
  <c r="N987" i="4" s="1"/>
  <c r="M986" i="2"/>
  <c r="D986" i="2"/>
  <c r="F986" i="2"/>
  <c r="E986" i="2"/>
  <c r="J986" i="4"/>
  <c r="N986" i="4" s="1"/>
  <c r="AA986" i="2"/>
  <c r="M985" i="2"/>
  <c r="E985" i="2"/>
  <c r="F985" i="2"/>
  <c r="D985" i="2"/>
  <c r="J985" i="4"/>
  <c r="N985" i="4" s="1"/>
  <c r="AA985" i="2"/>
  <c r="M984" i="2"/>
  <c r="D984" i="2"/>
  <c r="F984" i="2"/>
  <c r="E984" i="2"/>
  <c r="J984" i="4"/>
  <c r="N984" i="4" s="1"/>
  <c r="AA984" i="2"/>
  <c r="M983" i="2"/>
  <c r="N983" i="2" s="1"/>
  <c r="O983" i="2"/>
  <c r="F983" i="2"/>
  <c r="D983" i="2"/>
  <c r="E983" i="2"/>
  <c r="AA983" i="2"/>
  <c r="J983" i="4"/>
  <c r="N983" i="4" s="1"/>
  <c r="M982" i="2"/>
  <c r="D982" i="2"/>
  <c r="E982" i="2"/>
  <c r="F982" i="2"/>
  <c r="AA982" i="2"/>
  <c r="J982" i="4"/>
  <c r="N982" i="4" s="1"/>
  <c r="M981" i="2"/>
  <c r="N981" i="2" s="1"/>
  <c r="O981" i="2"/>
  <c r="F981" i="2"/>
  <c r="E981" i="2"/>
  <c r="D981" i="2"/>
  <c r="G981" i="2" s="1"/>
  <c r="V981" i="2" s="1"/>
  <c r="T981" i="2"/>
  <c r="U981" i="2" s="1"/>
  <c r="J981" i="4"/>
  <c r="N981" i="4" s="1"/>
  <c r="AA981" i="2"/>
  <c r="M980" i="2"/>
  <c r="N980" i="2" s="1"/>
  <c r="O980" i="2"/>
  <c r="F980" i="2"/>
  <c r="E980" i="2"/>
  <c r="D980" i="2"/>
  <c r="G980" i="2" s="1"/>
  <c r="V980" i="2" s="1"/>
  <c r="AA980" i="2"/>
  <c r="J980" i="4"/>
  <c r="N980" i="4" s="1"/>
  <c r="T980" i="2"/>
  <c r="U980" i="2" s="1"/>
  <c r="M979" i="2"/>
  <c r="N979" i="2" s="1"/>
  <c r="O979" i="2"/>
  <c r="E979" i="2"/>
  <c r="D979" i="2"/>
  <c r="F979" i="2"/>
  <c r="AA979" i="2"/>
  <c r="J979" i="4"/>
  <c r="N979" i="4" s="1"/>
  <c r="M978" i="2"/>
  <c r="N978" i="2" s="1"/>
  <c r="O978" i="2"/>
  <c r="D978" i="2"/>
  <c r="E978" i="2"/>
  <c r="F978" i="2"/>
  <c r="J978" i="4"/>
  <c r="N978" i="4" s="1"/>
  <c r="AA978" i="2"/>
  <c r="N977" i="2"/>
  <c r="O977" i="2"/>
  <c r="D977" i="2"/>
  <c r="F977" i="2"/>
  <c r="E977" i="2"/>
  <c r="M976" i="2"/>
  <c r="D976" i="2"/>
  <c r="F976" i="2"/>
  <c r="E976" i="2"/>
  <c r="AA976" i="2"/>
  <c r="M975" i="2"/>
  <c r="N975" i="2" s="1"/>
  <c r="O975" i="2"/>
  <c r="D975" i="2"/>
  <c r="F975" i="2"/>
  <c r="E975" i="2"/>
  <c r="AA975" i="2"/>
  <c r="M974" i="2"/>
  <c r="N974" i="2" s="1"/>
  <c r="O974" i="2"/>
  <c r="D974" i="2"/>
  <c r="E974" i="2"/>
  <c r="F974" i="2"/>
  <c r="AA974" i="2"/>
  <c r="M973" i="2"/>
  <c r="D973" i="2"/>
  <c r="E973" i="2"/>
  <c r="F973" i="2"/>
  <c r="AA973" i="2"/>
  <c r="M972" i="2"/>
  <c r="N972" i="2" s="1"/>
  <c r="O972" i="2"/>
  <c r="D972" i="2"/>
  <c r="E972" i="2"/>
  <c r="F972" i="2"/>
  <c r="AA972" i="2"/>
  <c r="M971" i="2"/>
  <c r="N971" i="2" s="1"/>
  <c r="O971" i="2"/>
  <c r="D971" i="2"/>
  <c r="E971" i="2"/>
  <c r="F971" i="2"/>
  <c r="AA971" i="2"/>
  <c r="M970" i="2"/>
  <c r="E970" i="2"/>
  <c r="F970" i="2"/>
  <c r="D970" i="2"/>
  <c r="G970" i="2" s="1"/>
  <c r="V970" i="2" s="1"/>
  <c r="AA970" i="2"/>
  <c r="M969" i="2"/>
  <c r="N969" i="2" s="1"/>
  <c r="O969" i="2"/>
  <c r="E969" i="2"/>
  <c r="D969" i="2"/>
  <c r="F969" i="2"/>
  <c r="AA969" i="2"/>
  <c r="M968" i="2"/>
  <c r="N968" i="2" s="1"/>
  <c r="O968" i="2"/>
  <c r="D968" i="2"/>
  <c r="E968" i="2"/>
  <c r="F968" i="2"/>
  <c r="AA968" i="2"/>
  <c r="M967" i="2"/>
  <c r="N967" i="2" s="1"/>
  <c r="O967" i="2"/>
  <c r="F967" i="2"/>
  <c r="E967" i="2"/>
  <c r="D967" i="2"/>
  <c r="G967" i="2" s="1"/>
  <c r="V967" i="2" s="1"/>
  <c r="AA967" i="2"/>
  <c r="T967" i="2"/>
  <c r="U967" i="2" s="1"/>
  <c r="M966" i="2"/>
  <c r="F966" i="2"/>
  <c r="E966" i="2"/>
  <c r="D966" i="2"/>
  <c r="G966" i="2" s="1"/>
  <c r="V966" i="2" s="1"/>
  <c r="AA966" i="2"/>
  <c r="M965" i="2"/>
  <c r="F965" i="2"/>
  <c r="E965" i="2"/>
  <c r="D965" i="2"/>
  <c r="G965" i="2" s="1"/>
  <c r="V965" i="2" s="1"/>
  <c r="AA965" i="2"/>
  <c r="M964" i="2"/>
  <c r="N964" i="2" s="1"/>
  <c r="O964" i="2"/>
  <c r="F964" i="2"/>
  <c r="E964" i="2"/>
  <c r="D964" i="2"/>
  <c r="G964" i="2" s="1"/>
  <c r="V964" i="2" s="1"/>
  <c r="AA964" i="2"/>
  <c r="T964" i="2"/>
  <c r="U964" i="2" s="1"/>
  <c r="M963" i="2"/>
  <c r="N963" i="2" s="1"/>
  <c r="O963" i="2"/>
  <c r="E963" i="2"/>
  <c r="F963" i="2"/>
  <c r="D963" i="2"/>
  <c r="G963" i="2" s="1"/>
  <c r="V963" i="2" s="1"/>
  <c r="AA963" i="2"/>
  <c r="T963" i="2"/>
  <c r="U963" i="2" s="1"/>
  <c r="M962" i="2"/>
  <c r="E962" i="2"/>
  <c r="F962" i="2"/>
  <c r="D962" i="2"/>
  <c r="G962" i="2" s="1"/>
  <c r="V962" i="2" s="1"/>
  <c r="AA962" i="2"/>
  <c r="M961" i="2"/>
  <c r="N961" i="2" s="1"/>
  <c r="O961" i="2"/>
  <c r="D961" i="2"/>
  <c r="F961" i="2"/>
  <c r="E961" i="2"/>
  <c r="AA961" i="2"/>
  <c r="M960" i="2"/>
  <c r="N960" i="2" s="1"/>
  <c r="O960" i="2"/>
  <c r="D960" i="2"/>
  <c r="F960" i="2"/>
  <c r="E960" i="2"/>
  <c r="AA960" i="2"/>
  <c r="M959" i="2"/>
  <c r="N959" i="2" s="1"/>
  <c r="O959" i="2"/>
  <c r="E959" i="2"/>
  <c r="F959" i="2"/>
  <c r="D959" i="2"/>
  <c r="G959" i="2" s="1"/>
  <c r="V959" i="2" s="1"/>
  <c r="T959" i="2"/>
  <c r="U959" i="2" s="1"/>
  <c r="AA959" i="2"/>
  <c r="M958" i="2"/>
  <c r="D958" i="2"/>
  <c r="E958" i="2"/>
  <c r="F958" i="2"/>
  <c r="AA958" i="2"/>
  <c r="M957" i="2"/>
  <c r="N957" i="2" s="1"/>
  <c r="O957" i="2"/>
  <c r="F957" i="2"/>
  <c r="E957" i="2"/>
  <c r="D957" i="2"/>
  <c r="G957" i="2" s="1"/>
  <c r="V957" i="2" s="1"/>
  <c r="T957" i="2"/>
  <c r="U957" i="2" s="1"/>
  <c r="AA957" i="2"/>
  <c r="M956" i="2"/>
  <c r="F956" i="2"/>
  <c r="E956" i="2"/>
  <c r="D956" i="2"/>
  <c r="G956" i="2" s="1"/>
  <c r="V956" i="2" s="1"/>
  <c r="AA956" i="2"/>
  <c r="M955" i="2"/>
  <c r="N955" i="2" s="1"/>
  <c r="O955" i="2"/>
  <c r="E955" i="2"/>
  <c r="F955" i="2"/>
  <c r="D955" i="2"/>
  <c r="G955" i="2" s="1"/>
  <c r="V955" i="2" s="1"/>
  <c r="AA955" i="2"/>
  <c r="T955" i="2"/>
  <c r="U955" i="2" s="1"/>
  <c r="M954" i="2"/>
  <c r="D954" i="2"/>
  <c r="E954" i="2"/>
  <c r="F954" i="2"/>
  <c r="AA954" i="2"/>
  <c r="M953" i="2"/>
  <c r="F953" i="2"/>
  <c r="E953" i="2"/>
  <c r="D953" i="2"/>
  <c r="G953" i="2" s="1"/>
  <c r="V953" i="2" s="1"/>
  <c r="AA953" i="2"/>
  <c r="M952" i="2"/>
  <c r="N952" i="2" s="1"/>
  <c r="O952" i="2"/>
  <c r="E952" i="2"/>
  <c r="F952" i="2"/>
  <c r="D952" i="2"/>
  <c r="G952" i="2" s="1"/>
  <c r="V952" i="2" s="1"/>
  <c r="AA952" i="2"/>
  <c r="T952" i="2"/>
  <c r="U952" i="2" s="1"/>
  <c r="M951" i="2"/>
  <c r="N951" i="2" s="1"/>
  <c r="O951" i="2"/>
  <c r="F951" i="2"/>
  <c r="E951" i="2"/>
  <c r="D951" i="2"/>
  <c r="G951" i="2" s="1"/>
  <c r="V951" i="2" s="1"/>
  <c r="T951" i="2"/>
  <c r="U951" i="2" s="1"/>
  <c r="AA951" i="2"/>
  <c r="M950" i="2"/>
  <c r="N950" i="2" s="1"/>
  <c r="O950" i="2"/>
  <c r="D950" i="2"/>
  <c r="E950" i="2"/>
  <c r="F950" i="2"/>
  <c r="AA950" i="2"/>
  <c r="M949" i="2"/>
  <c r="E949" i="2"/>
  <c r="D949" i="2"/>
  <c r="F949" i="2"/>
  <c r="AA949" i="2"/>
  <c r="M948" i="2"/>
  <c r="N948" i="2" s="1"/>
  <c r="O948" i="2"/>
  <c r="D948" i="2"/>
  <c r="E948" i="2"/>
  <c r="F948" i="2"/>
  <c r="AA948" i="2"/>
  <c r="M947" i="2"/>
  <c r="N947" i="2" s="1"/>
  <c r="O947" i="2"/>
  <c r="F947" i="2"/>
  <c r="D947" i="2"/>
  <c r="E947" i="2"/>
  <c r="AA947" i="2"/>
  <c r="M946" i="2"/>
  <c r="N946" i="2" s="1"/>
  <c r="O946" i="2"/>
  <c r="F946" i="2"/>
  <c r="E946" i="2"/>
  <c r="D946" i="2"/>
  <c r="G946" i="2" s="1"/>
  <c r="V946" i="2" s="1"/>
  <c r="T946" i="2"/>
  <c r="U946" i="2" s="1"/>
  <c r="AA946" i="2"/>
  <c r="M945" i="2"/>
  <c r="F945" i="2"/>
  <c r="E945" i="2"/>
  <c r="D945" i="2"/>
  <c r="G945" i="2" s="1"/>
  <c r="V945" i="2" s="1"/>
  <c r="AA945" i="2"/>
  <c r="M944" i="2"/>
  <c r="D944" i="2"/>
  <c r="E944" i="2"/>
  <c r="F944" i="2"/>
  <c r="AA944" i="2"/>
  <c r="M943" i="2"/>
  <c r="N943" i="2" s="1"/>
  <c r="O943" i="2"/>
  <c r="E943" i="2"/>
  <c r="D943" i="2"/>
  <c r="F943" i="2"/>
  <c r="AA943" i="2"/>
  <c r="M942" i="2"/>
  <c r="N942" i="2" s="1"/>
  <c r="O942" i="2"/>
  <c r="D942" i="2"/>
  <c r="E942" i="2"/>
  <c r="F942" i="2"/>
  <c r="AA942" i="2"/>
  <c r="M941" i="2"/>
  <c r="N941" i="2" s="1"/>
  <c r="O941" i="2"/>
  <c r="F941" i="2"/>
  <c r="D941" i="2"/>
  <c r="E941" i="2"/>
  <c r="AA941" i="2"/>
  <c r="M940" i="2"/>
  <c r="N940" i="2" s="1"/>
  <c r="O940" i="2"/>
  <c r="E940" i="2"/>
  <c r="F940" i="2"/>
  <c r="D940" i="2"/>
  <c r="G940" i="2" s="1"/>
  <c r="V940" i="2" s="1"/>
  <c r="T940" i="2"/>
  <c r="U940" i="2" s="1"/>
  <c r="AA940" i="2"/>
  <c r="M939" i="2"/>
  <c r="N939" i="2" s="1"/>
  <c r="O939" i="2"/>
  <c r="F939" i="2"/>
  <c r="E939" i="2"/>
  <c r="D939" i="2"/>
  <c r="G939" i="2" s="1"/>
  <c r="V939" i="2" s="1"/>
  <c r="T939" i="2"/>
  <c r="U939" i="2" s="1"/>
  <c r="AA939" i="2"/>
  <c r="M938" i="2"/>
  <c r="D938" i="2"/>
  <c r="F938" i="2"/>
  <c r="E938" i="2"/>
  <c r="AA938" i="2"/>
  <c r="M937" i="2"/>
  <c r="N937" i="2" s="1"/>
  <c r="O937" i="2"/>
  <c r="F937" i="2"/>
  <c r="E937" i="2"/>
  <c r="D937" i="2"/>
  <c r="G937" i="2" s="1"/>
  <c r="V937" i="2" s="1"/>
  <c r="AA937" i="2"/>
  <c r="T937" i="2"/>
  <c r="U937" i="2" s="1"/>
  <c r="M936" i="2"/>
  <c r="F936" i="2"/>
  <c r="E936" i="2"/>
  <c r="D936" i="2"/>
  <c r="G936" i="2" s="1"/>
  <c r="V936" i="2" s="1"/>
  <c r="AA936" i="2"/>
  <c r="M935" i="2"/>
  <c r="F935" i="2"/>
  <c r="E935" i="2"/>
  <c r="D935" i="2"/>
  <c r="G935" i="2" s="1"/>
  <c r="V935" i="2" s="1"/>
  <c r="AA935" i="2"/>
  <c r="M934" i="2"/>
  <c r="D934" i="2"/>
  <c r="F934" i="2"/>
  <c r="E934" i="2"/>
  <c r="AA934" i="2"/>
  <c r="M933" i="2"/>
  <c r="N933" i="2" s="1"/>
  <c r="O933" i="2"/>
  <c r="F933" i="2"/>
  <c r="D933" i="2"/>
  <c r="E933" i="2"/>
  <c r="AA933" i="2"/>
  <c r="M932" i="2"/>
  <c r="F932" i="2"/>
  <c r="E932" i="2"/>
  <c r="D932" i="2"/>
  <c r="G932" i="2" s="1"/>
  <c r="V932" i="2" s="1"/>
  <c r="AA932" i="2"/>
  <c r="M931" i="2"/>
  <c r="F931" i="2"/>
  <c r="E931" i="2"/>
  <c r="D931" i="2"/>
  <c r="G931" i="2" s="1"/>
  <c r="V931" i="2" s="1"/>
  <c r="AA931" i="2"/>
  <c r="M930" i="2"/>
  <c r="F930" i="2"/>
  <c r="E930" i="2"/>
  <c r="D930" i="2"/>
  <c r="G930" i="2" s="1"/>
  <c r="V930" i="2" s="1"/>
  <c r="AA930" i="2"/>
  <c r="M929" i="2"/>
  <c r="N929" i="2" s="1"/>
  <c r="O929" i="2"/>
  <c r="D929" i="2"/>
  <c r="E929" i="2"/>
  <c r="F929" i="2"/>
  <c r="AA929" i="2"/>
  <c r="M928" i="2"/>
  <c r="N928" i="2" s="1"/>
  <c r="O928" i="2"/>
  <c r="D928" i="2"/>
  <c r="E928" i="2"/>
  <c r="F928" i="2"/>
  <c r="AA928" i="2"/>
  <c r="M927" i="2"/>
  <c r="F927" i="2"/>
  <c r="E927" i="2"/>
  <c r="D927" i="2"/>
  <c r="G927" i="2" s="1"/>
  <c r="V927" i="2" s="1"/>
  <c r="AA927" i="2"/>
  <c r="M926" i="2"/>
  <c r="E926" i="2"/>
  <c r="F926" i="2"/>
  <c r="D926" i="2"/>
  <c r="G926" i="2" s="1"/>
  <c r="V926" i="2" s="1"/>
  <c r="AA926" i="2"/>
  <c r="M925" i="2"/>
  <c r="N925" i="2" s="1"/>
  <c r="O925" i="2"/>
  <c r="E925" i="2"/>
  <c r="F925" i="2"/>
  <c r="D925" i="2"/>
  <c r="G925" i="2" s="1"/>
  <c r="V925" i="2" s="1"/>
  <c r="AA925" i="2"/>
  <c r="T925" i="2"/>
  <c r="U925" i="2" s="1"/>
  <c r="M924" i="2"/>
  <c r="N924" i="2" s="1"/>
  <c r="O924" i="2"/>
  <c r="E924" i="2"/>
  <c r="D924" i="2"/>
  <c r="F924" i="2"/>
  <c r="AA924" i="2"/>
  <c r="M923" i="2"/>
  <c r="E923" i="2"/>
  <c r="F923" i="2"/>
  <c r="D923" i="2"/>
  <c r="G923" i="2" s="1"/>
  <c r="V923" i="2" s="1"/>
  <c r="AA923" i="2"/>
  <c r="M922" i="2"/>
  <c r="F922" i="2"/>
  <c r="E922" i="2"/>
  <c r="D922" i="2"/>
  <c r="G922" i="2" s="1"/>
  <c r="V922" i="2" s="1"/>
  <c r="AA922" i="2"/>
  <c r="M921" i="2"/>
  <c r="E921" i="2"/>
  <c r="D921" i="2"/>
  <c r="F921" i="2"/>
  <c r="AA921" i="2"/>
  <c r="M920" i="2"/>
  <c r="N920" i="2" s="1"/>
  <c r="O920" i="2"/>
  <c r="F920" i="2"/>
  <c r="D920" i="2"/>
  <c r="E920" i="2"/>
  <c r="AA920" i="2"/>
  <c r="M919" i="2"/>
  <c r="N919" i="2" s="1"/>
  <c r="O919" i="2"/>
  <c r="D919" i="2"/>
  <c r="F919" i="2"/>
  <c r="E919" i="2"/>
  <c r="AA919" i="2"/>
  <c r="M918" i="2"/>
  <c r="N918" i="2" s="1"/>
  <c r="O918" i="2"/>
  <c r="D918" i="2"/>
  <c r="F918" i="2"/>
  <c r="E918" i="2"/>
  <c r="AA918" i="2"/>
  <c r="M917" i="2"/>
  <c r="F917" i="2"/>
  <c r="E917" i="2"/>
  <c r="D917" i="2"/>
  <c r="G917" i="2" s="1"/>
  <c r="V917" i="2" s="1"/>
  <c r="AA917" i="2"/>
  <c r="M916" i="2"/>
  <c r="N916" i="2" s="1"/>
  <c r="O916" i="2"/>
  <c r="E916" i="2"/>
  <c r="D916" i="2"/>
  <c r="F916" i="2"/>
  <c r="AA916" i="2"/>
  <c r="M915" i="2"/>
  <c r="N915" i="2" s="1"/>
  <c r="O915" i="2"/>
  <c r="E915" i="2"/>
  <c r="F915" i="2"/>
  <c r="D915" i="2"/>
  <c r="AA915" i="2"/>
  <c r="M914" i="2"/>
  <c r="D914" i="2"/>
  <c r="E914" i="2"/>
  <c r="F914" i="2"/>
  <c r="AA914" i="2"/>
  <c r="M913" i="2"/>
  <c r="D913" i="2"/>
  <c r="F913" i="2"/>
  <c r="E913" i="2"/>
  <c r="AA913" i="2"/>
  <c r="M912" i="2"/>
  <c r="D912" i="2"/>
  <c r="E912" i="2"/>
  <c r="F912" i="2"/>
  <c r="AA912" i="2"/>
  <c r="M911" i="2"/>
  <c r="N911" i="2" s="1"/>
  <c r="O911" i="2"/>
  <c r="E911" i="2"/>
  <c r="F911" i="2"/>
  <c r="D911" i="2"/>
  <c r="G911" i="2" s="1"/>
  <c r="AA911" i="2"/>
  <c r="J911" i="4"/>
  <c r="N911" i="4" s="1"/>
  <c r="M910" i="2"/>
  <c r="F910" i="2"/>
  <c r="D910" i="2"/>
  <c r="E910" i="2"/>
  <c r="J910" i="4"/>
  <c r="N910" i="4" s="1"/>
  <c r="AA910" i="2"/>
  <c r="M909" i="2"/>
  <c r="F909" i="2"/>
  <c r="D909" i="2"/>
  <c r="E909" i="2"/>
  <c r="J909" i="4"/>
  <c r="N909" i="4" s="1"/>
  <c r="AA909" i="2"/>
  <c r="M908" i="2"/>
  <c r="E908" i="2"/>
  <c r="F908" i="2"/>
  <c r="D908" i="2"/>
  <c r="J908" i="4"/>
  <c r="N908" i="4" s="1"/>
  <c r="AA908" i="2"/>
  <c r="M907" i="2"/>
  <c r="E907" i="2"/>
  <c r="F907" i="2"/>
  <c r="D907" i="2"/>
  <c r="G907" i="2" s="1"/>
  <c r="V907" i="2" s="1"/>
  <c r="AA907" i="2"/>
  <c r="J907" i="4"/>
  <c r="N907" i="4" s="1"/>
  <c r="M906" i="2"/>
  <c r="N906" i="2" s="1"/>
  <c r="O906" i="2"/>
  <c r="E906" i="2"/>
  <c r="D906" i="2"/>
  <c r="F906" i="2"/>
  <c r="AA906" i="2"/>
  <c r="J906" i="4"/>
  <c r="N906" i="4" s="1"/>
  <c r="M905" i="2"/>
  <c r="F905" i="2"/>
  <c r="E905" i="2"/>
  <c r="D905" i="2"/>
  <c r="G905" i="2" s="1"/>
  <c r="V905" i="2" s="1"/>
  <c r="AA905" i="2"/>
  <c r="J905" i="4"/>
  <c r="N905" i="4" s="1"/>
  <c r="M904" i="2"/>
  <c r="F904" i="2"/>
  <c r="E904" i="2"/>
  <c r="D904" i="2"/>
  <c r="G904" i="2" s="1"/>
  <c r="V904" i="2" s="1"/>
  <c r="AA904" i="2"/>
  <c r="J904" i="4"/>
  <c r="N904" i="4" s="1"/>
  <c r="M903" i="2"/>
  <c r="N903" i="2" s="1"/>
  <c r="O903" i="2"/>
  <c r="D903" i="2"/>
  <c r="E903" i="2"/>
  <c r="F903" i="2"/>
  <c r="AA903" i="2"/>
  <c r="J903" i="4"/>
  <c r="N903" i="4" s="1"/>
  <c r="M902" i="2"/>
  <c r="D902" i="2"/>
  <c r="F902" i="2"/>
  <c r="E902" i="2"/>
  <c r="AA902" i="2"/>
  <c r="J902" i="4"/>
  <c r="N902" i="4" s="1"/>
  <c r="M901" i="2"/>
  <c r="N901" i="2" s="1"/>
  <c r="O901" i="2"/>
  <c r="F901" i="2"/>
  <c r="E901" i="2"/>
  <c r="D901" i="2"/>
  <c r="AA901" i="2"/>
  <c r="J901" i="4"/>
  <c r="N901" i="4" s="1"/>
  <c r="M900" i="2"/>
  <c r="N900" i="2" s="1"/>
  <c r="O900" i="2"/>
  <c r="D900" i="2"/>
  <c r="E900" i="2"/>
  <c r="F900" i="2"/>
  <c r="J900" i="4"/>
  <c r="N900" i="4" s="1"/>
  <c r="AA900" i="2"/>
  <c r="M899" i="2"/>
  <c r="D899" i="2"/>
  <c r="E899" i="2"/>
  <c r="F899" i="2"/>
  <c r="J899" i="4"/>
  <c r="N899" i="4" s="1"/>
  <c r="AA899" i="2"/>
  <c r="M898" i="2"/>
  <c r="E898" i="2"/>
  <c r="F898" i="2"/>
  <c r="D898" i="2"/>
  <c r="J898" i="4"/>
  <c r="N898" i="4" s="1"/>
  <c r="AA898" i="2"/>
  <c r="M897" i="2"/>
  <c r="E897" i="2"/>
  <c r="D897" i="2"/>
  <c r="F897" i="2"/>
  <c r="J897" i="4"/>
  <c r="N897" i="4" s="1"/>
  <c r="AA897" i="2"/>
  <c r="M896" i="2"/>
  <c r="F896" i="2"/>
  <c r="E896" i="2"/>
  <c r="D896" i="2"/>
  <c r="G896" i="2" s="1"/>
  <c r="V896" i="2" s="1"/>
  <c r="AA896" i="2"/>
  <c r="J896" i="4"/>
  <c r="N896" i="4" s="1"/>
  <c r="M895" i="2"/>
  <c r="N895" i="2" s="1"/>
  <c r="O895" i="2"/>
  <c r="E895" i="2"/>
  <c r="F895" i="2"/>
  <c r="D895" i="2"/>
  <c r="G895" i="2" s="1"/>
  <c r="AA895" i="2"/>
  <c r="J895" i="4"/>
  <c r="N895" i="4" s="1"/>
  <c r="M894" i="2"/>
  <c r="N894" i="2" s="1"/>
  <c r="O894" i="2"/>
  <c r="F894" i="2"/>
  <c r="E894" i="2"/>
  <c r="D894" i="2"/>
  <c r="G894" i="2" s="1"/>
  <c r="J894" i="4"/>
  <c r="N894" i="4" s="1"/>
  <c r="AA894" i="2"/>
  <c r="M893" i="2"/>
  <c r="F893" i="2"/>
  <c r="E893" i="2"/>
  <c r="D893" i="2"/>
  <c r="G893" i="2" s="1"/>
  <c r="AA893" i="2"/>
  <c r="J893" i="4"/>
  <c r="N893" i="4" s="1"/>
  <c r="M892" i="2"/>
  <c r="F892" i="2"/>
  <c r="D892" i="2"/>
  <c r="E892" i="2"/>
  <c r="AA892" i="2"/>
  <c r="J892" i="4"/>
  <c r="N892" i="4" s="1"/>
  <c r="M891" i="2"/>
  <c r="D891" i="2"/>
  <c r="F891" i="2"/>
  <c r="E891" i="2"/>
  <c r="AA891" i="2"/>
  <c r="J891" i="4"/>
  <c r="N891" i="4" s="1"/>
  <c r="M890" i="2"/>
  <c r="F890" i="2"/>
  <c r="E890" i="2"/>
  <c r="D890" i="2"/>
  <c r="G890" i="2" s="1"/>
  <c r="V890" i="2" s="1"/>
  <c r="AA890" i="2"/>
  <c r="J890" i="4"/>
  <c r="N890" i="4" s="1"/>
  <c r="M889" i="2"/>
  <c r="F889" i="2"/>
  <c r="E889" i="2"/>
  <c r="D889" i="2"/>
  <c r="G889" i="2" s="1"/>
  <c r="V889" i="2" s="1"/>
  <c r="AA889" i="2"/>
  <c r="J889" i="4"/>
  <c r="N889" i="4" s="1"/>
  <c r="M888" i="2"/>
  <c r="N888" i="2" s="1"/>
  <c r="O888" i="2"/>
  <c r="D888" i="2"/>
  <c r="E888" i="2"/>
  <c r="F888" i="2"/>
  <c r="AA888" i="2"/>
  <c r="J888" i="4"/>
  <c r="N888" i="4" s="1"/>
  <c r="M887" i="2"/>
  <c r="E887" i="2"/>
  <c r="F887" i="2"/>
  <c r="D887" i="2"/>
  <c r="G887" i="2" s="1"/>
  <c r="V887" i="2" s="1"/>
  <c r="J887" i="4"/>
  <c r="N887" i="4" s="1"/>
  <c r="AA887" i="2"/>
  <c r="M886" i="2"/>
  <c r="E886" i="2"/>
  <c r="D886" i="2"/>
  <c r="F886" i="2"/>
  <c r="AA886" i="2"/>
  <c r="J886" i="4"/>
  <c r="N886" i="4" s="1"/>
  <c r="M885" i="2"/>
  <c r="F885" i="2"/>
  <c r="D885" i="2"/>
  <c r="E885" i="2"/>
  <c r="AA885" i="2"/>
  <c r="J885" i="4"/>
  <c r="N885" i="4" s="1"/>
  <c r="M884" i="2"/>
  <c r="N884" i="2" s="1"/>
  <c r="O884" i="2"/>
  <c r="F884" i="2"/>
  <c r="E884" i="2"/>
  <c r="D884" i="2"/>
  <c r="G884" i="2" s="1"/>
  <c r="AA884" i="2"/>
  <c r="J884" i="4"/>
  <c r="N884" i="4" s="1"/>
  <c r="M883" i="2"/>
  <c r="D883" i="2"/>
  <c r="E883" i="2"/>
  <c r="F883" i="2"/>
  <c r="AA883" i="2"/>
  <c r="J883" i="4"/>
  <c r="N883" i="4" s="1"/>
  <c r="M882" i="2"/>
  <c r="F882" i="2"/>
  <c r="E882" i="2"/>
  <c r="D882" i="2"/>
  <c r="G882" i="2" s="1"/>
  <c r="V882" i="2" s="1"/>
  <c r="AA882" i="2"/>
  <c r="J882" i="4"/>
  <c r="N882" i="4" s="1"/>
  <c r="M881" i="2"/>
  <c r="F881" i="2"/>
  <c r="E881" i="2"/>
  <c r="D881" i="2"/>
  <c r="G881" i="2" s="1"/>
  <c r="V881" i="2" s="1"/>
  <c r="AA881" i="2"/>
  <c r="J881" i="4"/>
  <c r="N881" i="4" s="1"/>
  <c r="M880" i="2"/>
  <c r="D880" i="2"/>
  <c r="F880" i="2"/>
  <c r="E880" i="2"/>
  <c r="AA880" i="2"/>
  <c r="J880" i="4"/>
  <c r="N880" i="4" s="1"/>
  <c r="M879" i="2"/>
  <c r="D879" i="2"/>
  <c r="E879" i="2"/>
  <c r="F879" i="2"/>
  <c r="J879" i="4"/>
  <c r="N879" i="4" s="1"/>
  <c r="AA879" i="2"/>
  <c r="M878" i="2"/>
  <c r="E878" i="2"/>
  <c r="D878" i="2"/>
  <c r="F878" i="2"/>
  <c r="J878" i="4"/>
  <c r="N878" i="4" s="1"/>
  <c r="AA878" i="2"/>
  <c r="M877" i="2"/>
  <c r="N877" i="2" s="1"/>
  <c r="O877" i="2"/>
  <c r="F877" i="2"/>
  <c r="E877" i="2"/>
  <c r="D877" i="2"/>
  <c r="G877" i="2" s="1"/>
  <c r="J877" i="4"/>
  <c r="N877" i="4" s="1"/>
  <c r="AA877" i="2"/>
  <c r="M876" i="2"/>
  <c r="F876" i="2"/>
  <c r="E876" i="2"/>
  <c r="D876" i="2"/>
  <c r="G876" i="2" s="1"/>
  <c r="V876" i="2" s="1"/>
  <c r="AA876" i="2"/>
  <c r="J876" i="4"/>
  <c r="N876" i="4" s="1"/>
  <c r="M875" i="2"/>
  <c r="F875" i="2"/>
  <c r="E875" i="2"/>
  <c r="D875" i="2"/>
  <c r="J875" i="4"/>
  <c r="N875" i="4" s="1"/>
  <c r="AA875" i="2"/>
  <c r="M874" i="2"/>
  <c r="E874" i="2"/>
  <c r="F874" i="2"/>
  <c r="D874" i="2"/>
  <c r="G874" i="2" s="1"/>
  <c r="V874" i="2" s="1"/>
  <c r="AA874" i="2"/>
  <c r="J874" i="4"/>
  <c r="N874" i="4" s="1"/>
  <c r="M873" i="2"/>
  <c r="N873" i="2" s="1"/>
  <c r="O873" i="2"/>
  <c r="F873" i="2"/>
  <c r="E873" i="2"/>
  <c r="D873" i="2"/>
  <c r="J873" i="4"/>
  <c r="N873" i="4" s="1"/>
  <c r="AA873" i="2"/>
  <c r="M872" i="2"/>
  <c r="N872" i="2" s="1"/>
  <c r="O872" i="2"/>
  <c r="D872" i="2"/>
  <c r="F872" i="2"/>
  <c r="E872" i="2"/>
  <c r="J872" i="4"/>
  <c r="N872" i="4" s="1"/>
  <c r="AA872" i="2"/>
  <c r="M871" i="2"/>
  <c r="N871" i="2" s="1"/>
  <c r="O871" i="2"/>
  <c r="F871" i="2"/>
  <c r="E871" i="2"/>
  <c r="D871" i="2"/>
  <c r="G871" i="2" s="1"/>
  <c r="J871" i="4"/>
  <c r="N871" i="4" s="1"/>
  <c r="AA871" i="2"/>
  <c r="M870" i="2"/>
  <c r="N870" i="2" s="1"/>
  <c r="O870" i="2"/>
  <c r="D870" i="2"/>
  <c r="E870" i="2"/>
  <c r="F870" i="2"/>
  <c r="J870" i="4"/>
  <c r="N870" i="4" s="1"/>
  <c r="AA870" i="2"/>
  <c r="M869" i="2"/>
  <c r="N869" i="2" s="1"/>
  <c r="O869" i="2"/>
  <c r="E869" i="2"/>
  <c r="D869" i="2"/>
  <c r="F869" i="2"/>
  <c r="AA869" i="2"/>
  <c r="J869" i="4"/>
  <c r="N869" i="4" s="1"/>
  <c r="M868" i="2"/>
  <c r="E868" i="2"/>
  <c r="F868" i="2"/>
  <c r="D868" i="2"/>
  <c r="G868" i="2" s="1"/>
  <c r="V868" i="2" s="1"/>
  <c r="AA868" i="2"/>
  <c r="J868" i="4"/>
  <c r="N868" i="4" s="1"/>
  <c r="M867" i="2"/>
  <c r="D867" i="2"/>
  <c r="E867" i="2"/>
  <c r="F867" i="2"/>
  <c r="J867" i="4"/>
  <c r="N867" i="4" s="1"/>
  <c r="AA867" i="2"/>
  <c r="M866" i="2"/>
  <c r="N866" i="2" s="1"/>
  <c r="O866" i="2"/>
  <c r="D866" i="2"/>
  <c r="F866" i="2"/>
  <c r="E866" i="2"/>
  <c r="AA866" i="2"/>
  <c r="J866" i="4"/>
  <c r="N866" i="4" s="1"/>
  <c r="M865" i="2"/>
  <c r="D865" i="2"/>
  <c r="F865" i="2"/>
  <c r="E865" i="2"/>
  <c r="J865" i="4"/>
  <c r="N865" i="4" s="1"/>
  <c r="AA865" i="2"/>
  <c r="M864" i="2"/>
  <c r="F864" i="2"/>
  <c r="D864" i="2"/>
  <c r="E864" i="2"/>
  <c r="J864" i="4"/>
  <c r="N864" i="4" s="1"/>
  <c r="AA864" i="2"/>
  <c r="M863" i="2"/>
  <c r="N863" i="2" s="1"/>
  <c r="O863" i="2"/>
  <c r="D863" i="2"/>
  <c r="E863" i="2"/>
  <c r="F863" i="2"/>
  <c r="AA863" i="2"/>
  <c r="J863" i="4"/>
  <c r="N863" i="4" s="1"/>
  <c r="M862" i="2"/>
  <c r="N862" i="2" s="1"/>
  <c r="O862" i="2"/>
  <c r="E862" i="2"/>
  <c r="D862" i="2"/>
  <c r="F862" i="2"/>
  <c r="AA862" i="2"/>
  <c r="J862" i="4"/>
  <c r="N862" i="4" s="1"/>
  <c r="M861" i="2"/>
  <c r="D861" i="2"/>
  <c r="E861" i="2"/>
  <c r="F861" i="2"/>
  <c r="J861" i="4"/>
  <c r="N861" i="4" s="1"/>
  <c r="AA861" i="2"/>
  <c r="M860" i="2"/>
  <c r="F860" i="2"/>
  <c r="E860" i="2"/>
  <c r="D860" i="2"/>
  <c r="AA860" i="2"/>
  <c r="J860" i="4"/>
  <c r="N860" i="4" s="1"/>
  <c r="M859" i="2"/>
  <c r="F859" i="2"/>
  <c r="E859" i="2"/>
  <c r="D859" i="2"/>
  <c r="G859" i="2" s="1"/>
  <c r="V859" i="2" s="1"/>
  <c r="AA859" i="2"/>
  <c r="J859" i="4"/>
  <c r="N859" i="4" s="1"/>
  <c r="M858" i="2"/>
  <c r="E858" i="2"/>
  <c r="F858" i="2"/>
  <c r="D858" i="2"/>
  <c r="G858" i="2" s="1"/>
  <c r="V858" i="2" s="1"/>
  <c r="AA858" i="2"/>
  <c r="J858" i="4"/>
  <c r="N858" i="4" s="1"/>
  <c r="M857" i="2"/>
  <c r="F857" i="2"/>
  <c r="E857" i="2"/>
  <c r="D857" i="2"/>
  <c r="G857" i="2" s="1"/>
  <c r="V857" i="2" s="1"/>
  <c r="AA857" i="2"/>
  <c r="J857" i="4"/>
  <c r="N857" i="4" s="1"/>
  <c r="M856" i="2"/>
  <c r="E856" i="2"/>
  <c r="D856" i="2"/>
  <c r="F856" i="2"/>
  <c r="J856" i="4"/>
  <c r="N856" i="4" s="1"/>
  <c r="AA856" i="2"/>
  <c r="M855" i="2"/>
  <c r="E855" i="2"/>
  <c r="D855" i="2"/>
  <c r="F855" i="2"/>
  <c r="J855" i="4"/>
  <c r="N855" i="4" s="1"/>
  <c r="AA855" i="2"/>
  <c r="M854" i="2"/>
  <c r="N854" i="2" s="1"/>
  <c r="O854" i="2"/>
  <c r="D854" i="2"/>
  <c r="E854" i="2"/>
  <c r="F854" i="2"/>
  <c r="J854" i="4"/>
  <c r="N854" i="4" s="1"/>
  <c r="AA854" i="2"/>
  <c r="M853" i="2"/>
  <c r="E853" i="2"/>
  <c r="F853" i="2"/>
  <c r="D853" i="2"/>
  <c r="G853" i="2" s="1"/>
  <c r="V853" i="2" s="1"/>
  <c r="J853" i="4"/>
  <c r="N853" i="4" s="1"/>
  <c r="AA853" i="2"/>
  <c r="M852" i="2"/>
  <c r="N852" i="2" s="1"/>
  <c r="O852" i="2"/>
  <c r="F852" i="2"/>
  <c r="E852" i="2"/>
  <c r="D852" i="2"/>
  <c r="G852" i="2" s="1"/>
  <c r="AA852" i="2"/>
  <c r="J852" i="4"/>
  <c r="N852" i="4" s="1"/>
  <c r="M851" i="2"/>
  <c r="N851" i="2" s="1"/>
  <c r="O851" i="2"/>
  <c r="E851" i="2"/>
  <c r="D851" i="2"/>
  <c r="F851" i="2"/>
  <c r="AA851" i="2"/>
  <c r="J851" i="4"/>
  <c r="N851" i="4" s="1"/>
  <c r="M850" i="2"/>
  <c r="D850" i="2"/>
  <c r="F850" i="2"/>
  <c r="E850" i="2"/>
  <c r="AA850" i="2"/>
  <c r="J850" i="4"/>
  <c r="N850" i="4" s="1"/>
  <c r="M849" i="2"/>
  <c r="F849" i="2"/>
  <c r="D849" i="2"/>
  <c r="E849" i="2"/>
  <c r="J849" i="4"/>
  <c r="N849" i="4" s="1"/>
  <c r="AA849" i="2"/>
  <c r="M848" i="2"/>
  <c r="D848" i="2"/>
  <c r="F848" i="2"/>
  <c r="E848" i="2"/>
  <c r="AA848" i="2"/>
  <c r="J848" i="4"/>
  <c r="N848" i="4" s="1"/>
  <c r="M847" i="2"/>
  <c r="D847" i="2"/>
  <c r="E847" i="2"/>
  <c r="F847" i="2"/>
  <c r="AA847" i="2"/>
  <c r="J847" i="4"/>
  <c r="N847" i="4" s="1"/>
  <c r="M846" i="2"/>
  <c r="N846" i="2" s="1"/>
  <c r="O846" i="2"/>
  <c r="D846" i="2"/>
  <c r="F846" i="2"/>
  <c r="E846" i="2"/>
  <c r="AA846" i="2"/>
  <c r="J846" i="4"/>
  <c r="N846" i="4" s="1"/>
  <c r="M845" i="2"/>
  <c r="F845" i="2"/>
  <c r="E845" i="2"/>
  <c r="D845" i="2"/>
  <c r="AA845" i="2"/>
  <c r="J845" i="4"/>
  <c r="N845" i="4" s="1"/>
  <c r="M844" i="2"/>
  <c r="F844" i="2"/>
  <c r="D844" i="2"/>
  <c r="E844" i="2"/>
  <c r="AA844" i="2"/>
  <c r="J844" i="4"/>
  <c r="N844" i="4" s="1"/>
  <c r="N843" i="2"/>
  <c r="O843" i="2"/>
  <c r="E843" i="2"/>
  <c r="D843" i="2"/>
  <c r="F843" i="2"/>
  <c r="AA843" i="2"/>
  <c r="J843" i="4"/>
  <c r="N843" i="4" s="1"/>
  <c r="M842" i="2"/>
  <c r="E842" i="2"/>
  <c r="D842" i="2"/>
  <c r="F842" i="2"/>
  <c r="AA842" i="2"/>
  <c r="J842" i="4"/>
  <c r="N842" i="4" s="1"/>
  <c r="M841" i="2"/>
  <c r="F841" i="2"/>
  <c r="D841" i="2"/>
  <c r="E841" i="2"/>
  <c r="AA841" i="2"/>
  <c r="J841" i="4"/>
  <c r="N841" i="4" s="1"/>
  <c r="M840" i="2"/>
  <c r="E840" i="2"/>
  <c r="D840" i="2"/>
  <c r="F840" i="2"/>
  <c r="AA840" i="2"/>
  <c r="J840" i="4"/>
  <c r="N840" i="4" s="1"/>
  <c r="M839" i="2"/>
  <c r="D839" i="2"/>
  <c r="E839" i="2"/>
  <c r="F839" i="2"/>
  <c r="J839" i="4"/>
  <c r="N839" i="4" s="1"/>
  <c r="AA839" i="2"/>
  <c r="M838" i="2"/>
  <c r="N838" i="2" s="1"/>
  <c r="O838" i="2"/>
  <c r="E838" i="2"/>
  <c r="D838" i="2"/>
  <c r="F838" i="2"/>
  <c r="J838" i="4"/>
  <c r="N838" i="4" s="1"/>
  <c r="AA838" i="2"/>
  <c r="M837" i="2"/>
  <c r="F837" i="2"/>
  <c r="E837" i="2"/>
  <c r="D837" i="2"/>
  <c r="G837" i="2" s="1"/>
  <c r="V837" i="2" s="1"/>
  <c r="AA837" i="2"/>
  <c r="J837" i="4"/>
  <c r="N837" i="4" s="1"/>
  <c r="M836" i="2"/>
  <c r="D836" i="2"/>
  <c r="F836" i="2"/>
  <c r="E836" i="2"/>
  <c r="AA836" i="2"/>
  <c r="J836" i="4"/>
  <c r="N836" i="4" s="1"/>
  <c r="M835" i="2"/>
  <c r="N835" i="2" s="1"/>
  <c r="O835" i="2"/>
  <c r="D835" i="2"/>
  <c r="E835" i="2"/>
  <c r="F835" i="2"/>
  <c r="AA835" i="2"/>
  <c r="J835" i="4"/>
  <c r="N835" i="4" s="1"/>
  <c r="M834" i="2"/>
  <c r="D834" i="2"/>
  <c r="E834" i="2"/>
  <c r="F834" i="2"/>
  <c r="AA834" i="2"/>
  <c r="J834" i="4"/>
  <c r="N834" i="4" s="1"/>
  <c r="M833" i="2"/>
  <c r="E833" i="2"/>
  <c r="D833" i="2"/>
  <c r="F833" i="2"/>
  <c r="AA833" i="2"/>
  <c r="J833" i="4"/>
  <c r="N833" i="4" s="1"/>
  <c r="M832" i="2"/>
  <c r="D832" i="2"/>
  <c r="F832" i="2"/>
  <c r="E832" i="2"/>
  <c r="AA832" i="2"/>
  <c r="J832" i="4"/>
  <c r="N832" i="4" s="1"/>
  <c r="M831" i="2"/>
  <c r="E831" i="2"/>
  <c r="D831" i="2"/>
  <c r="F831" i="2"/>
  <c r="AA831" i="2"/>
  <c r="J831" i="4"/>
  <c r="N831" i="4" s="1"/>
  <c r="M830" i="2"/>
  <c r="D830" i="2"/>
  <c r="E830" i="2"/>
  <c r="F830" i="2"/>
  <c r="J830" i="4"/>
  <c r="N830" i="4" s="1"/>
  <c r="AA830" i="2"/>
  <c r="M829" i="2"/>
  <c r="E829" i="2"/>
  <c r="F829" i="2"/>
  <c r="D829" i="2"/>
  <c r="G829" i="2" s="1"/>
  <c r="V829" i="2" s="1"/>
  <c r="J829" i="4"/>
  <c r="N829" i="4" s="1"/>
  <c r="AA829" i="2"/>
  <c r="M828" i="2"/>
  <c r="F828" i="2"/>
  <c r="D828" i="2"/>
  <c r="E828" i="2"/>
  <c r="J828" i="4"/>
  <c r="N828" i="4" s="1"/>
  <c r="AA828" i="2"/>
  <c r="M827" i="2"/>
  <c r="D827" i="2"/>
  <c r="F827" i="2"/>
  <c r="E827" i="2"/>
  <c r="J827" i="4"/>
  <c r="N827" i="4" s="1"/>
  <c r="AA827" i="2"/>
  <c r="M826" i="2"/>
  <c r="F826" i="2"/>
  <c r="E826" i="2"/>
  <c r="D826" i="2"/>
  <c r="J826" i="4"/>
  <c r="N826" i="4" s="1"/>
  <c r="AA826" i="2"/>
  <c r="M825" i="2"/>
  <c r="E825" i="2"/>
  <c r="F825" i="2"/>
  <c r="D825" i="2"/>
  <c r="G825" i="2" s="1"/>
  <c r="V825" i="2" s="1"/>
  <c r="J825" i="4"/>
  <c r="N825" i="4" s="1"/>
  <c r="AA825" i="2"/>
  <c r="M824" i="2"/>
  <c r="F824" i="2"/>
  <c r="D824" i="2"/>
  <c r="E824" i="2"/>
  <c r="J824" i="4"/>
  <c r="N824" i="4" s="1"/>
  <c r="AA824" i="2"/>
  <c r="M823" i="2"/>
  <c r="E823" i="2"/>
  <c r="F823" i="2"/>
  <c r="D823" i="2"/>
  <c r="G823" i="2" s="1"/>
  <c r="V823" i="2" s="1"/>
  <c r="J823" i="4"/>
  <c r="N823" i="4" s="1"/>
  <c r="AA823" i="2"/>
  <c r="M822" i="2"/>
  <c r="D822" i="2"/>
  <c r="E822" i="2"/>
  <c r="F822" i="2"/>
  <c r="J822" i="4"/>
  <c r="N822" i="4" s="1"/>
  <c r="AA822" i="2"/>
  <c r="M821" i="2"/>
  <c r="F821" i="2"/>
  <c r="E821" i="2"/>
  <c r="D821" i="2"/>
  <c r="G821" i="2" s="1"/>
  <c r="V821" i="2" s="1"/>
  <c r="AA821" i="2"/>
  <c r="J821" i="4"/>
  <c r="N821" i="4" s="1"/>
  <c r="M820" i="2"/>
  <c r="E820" i="2"/>
  <c r="D820" i="2"/>
  <c r="F820" i="2"/>
  <c r="AA820" i="2"/>
  <c r="J820" i="4"/>
  <c r="N820" i="4" s="1"/>
  <c r="M819" i="2"/>
  <c r="N819" i="2" s="1"/>
  <c r="O819" i="2"/>
  <c r="F819" i="2"/>
  <c r="D819" i="2"/>
  <c r="E819" i="2"/>
  <c r="AA819" i="2"/>
  <c r="J819" i="4"/>
  <c r="N819" i="4" s="1"/>
  <c r="M818" i="2"/>
  <c r="E818" i="2"/>
  <c r="F818" i="2"/>
  <c r="D818" i="2"/>
  <c r="G818" i="2" s="1"/>
  <c r="V818" i="2" s="1"/>
  <c r="AA818" i="2"/>
  <c r="J818" i="4"/>
  <c r="N818" i="4" s="1"/>
  <c r="M817" i="2"/>
  <c r="N817" i="2" s="1"/>
  <c r="O817" i="2"/>
  <c r="E817" i="2"/>
  <c r="D817" i="2"/>
  <c r="F817" i="2"/>
  <c r="J817" i="4"/>
  <c r="N817" i="4" s="1"/>
  <c r="AA817" i="2"/>
  <c r="M816" i="2"/>
  <c r="D816" i="2"/>
  <c r="F816" i="2"/>
  <c r="E816" i="2"/>
  <c r="J816" i="4"/>
  <c r="N816" i="4" s="1"/>
  <c r="AA816" i="2"/>
  <c r="M815" i="2"/>
  <c r="D815" i="2"/>
  <c r="E815" i="2"/>
  <c r="F815" i="2"/>
  <c r="M814" i="2"/>
  <c r="N814" i="2" s="1"/>
  <c r="O814" i="2"/>
  <c r="D814" i="2"/>
  <c r="E814" i="2"/>
  <c r="F814" i="2"/>
  <c r="AA814" i="2"/>
  <c r="M813" i="2"/>
  <c r="N813" i="2" s="1"/>
  <c r="O813" i="2"/>
  <c r="D813" i="2"/>
  <c r="F813" i="2"/>
  <c r="E813" i="2"/>
  <c r="AA813" i="2"/>
  <c r="M812" i="2"/>
  <c r="F812" i="2"/>
  <c r="E812" i="2"/>
  <c r="D812" i="2"/>
  <c r="G812" i="2" s="1"/>
  <c r="V812" i="2" s="1"/>
  <c r="AA812" i="2"/>
  <c r="M811" i="2"/>
  <c r="D811" i="2"/>
  <c r="E811" i="2"/>
  <c r="F811" i="2"/>
  <c r="AA811" i="2"/>
  <c r="M810" i="2"/>
  <c r="N810" i="2" s="1"/>
  <c r="O810" i="2"/>
  <c r="F810" i="2"/>
  <c r="D810" i="2"/>
  <c r="E810" i="2"/>
  <c r="AA810" i="2"/>
  <c r="M809" i="2"/>
  <c r="D809" i="2"/>
  <c r="E809" i="2"/>
  <c r="F809" i="2"/>
  <c r="AA809" i="2"/>
  <c r="M808" i="2"/>
  <c r="N808" i="2" s="1"/>
  <c r="O808" i="2"/>
  <c r="E808" i="2"/>
  <c r="F808" i="2"/>
  <c r="D808" i="2"/>
  <c r="G808" i="2" s="1"/>
  <c r="AA808" i="2"/>
  <c r="M807" i="2"/>
  <c r="F807" i="2"/>
  <c r="E807" i="2"/>
  <c r="D807" i="2"/>
  <c r="G807" i="2" s="1"/>
  <c r="AA807" i="2"/>
  <c r="M806" i="2"/>
  <c r="N806" i="2" s="1"/>
  <c r="O806" i="2"/>
  <c r="E806" i="2"/>
  <c r="F806" i="2"/>
  <c r="D806" i="2"/>
  <c r="G806" i="2" s="1"/>
  <c r="AA806" i="2"/>
  <c r="M805" i="2"/>
  <c r="N805" i="2" s="1"/>
  <c r="O805" i="2"/>
  <c r="D805" i="2"/>
  <c r="E805" i="2"/>
  <c r="F805" i="2"/>
  <c r="AA805" i="2"/>
  <c r="M804" i="2"/>
  <c r="N804" i="2" s="1"/>
  <c r="O804" i="2"/>
  <c r="E804" i="2"/>
  <c r="F804" i="2"/>
  <c r="D804" i="2"/>
  <c r="G804" i="2" s="1"/>
  <c r="AA804" i="2"/>
  <c r="M803" i="2"/>
  <c r="E803" i="2"/>
  <c r="D803" i="2"/>
  <c r="F803" i="2"/>
  <c r="AA803" i="2"/>
  <c r="M802" i="2"/>
  <c r="F802" i="2"/>
  <c r="D802" i="2"/>
  <c r="E802" i="2"/>
  <c r="AA802" i="2"/>
  <c r="M801" i="2"/>
  <c r="N801" i="2" s="1"/>
  <c r="O801" i="2"/>
  <c r="D801" i="2"/>
  <c r="E801" i="2"/>
  <c r="F801" i="2"/>
  <c r="AA801" i="2"/>
  <c r="M800" i="2"/>
  <c r="F800" i="2"/>
  <c r="E800" i="2"/>
  <c r="D800" i="2"/>
  <c r="AA800" i="2"/>
  <c r="M799" i="2"/>
  <c r="F799" i="2"/>
  <c r="D799" i="2"/>
  <c r="E799" i="2"/>
  <c r="AA799" i="2"/>
  <c r="M798" i="2"/>
  <c r="N798" i="2" s="1"/>
  <c r="O798" i="2"/>
  <c r="D798" i="2"/>
  <c r="E798" i="2"/>
  <c r="F798" i="2"/>
  <c r="AA798" i="2"/>
  <c r="M797" i="2"/>
  <c r="N797" i="2" s="1"/>
  <c r="O797" i="2"/>
  <c r="D797" i="2"/>
  <c r="E797" i="2"/>
  <c r="F797" i="2"/>
  <c r="AA797" i="2"/>
  <c r="M796" i="2"/>
  <c r="E796" i="2"/>
  <c r="F796" i="2"/>
  <c r="D796" i="2"/>
  <c r="G796" i="2" s="1"/>
  <c r="V796" i="2" s="1"/>
  <c r="AA796" i="2"/>
  <c r="M795" i="2"/>
  <c r="F795" i="2"/>
  <c r="E795" i="2"/>
  <c r="D795" i="2"/>
  <c r="G795" i="2" s="1"/>
  <c r="V795" i="2" s="1"/>
  <c r="AA795" i="2"/>
  <c r="M794" i="2"/>
  <c r="D794" i="2"/>
  <c r="F794" i="2"/>
  <c r="E794" i="2"/>
  <c r="J794" i="4"/>
  <c r="N794" i="4" s="1"/>
  <c r="AA794" i="2"/>
  <c r="M793" i="2"/>
  <c r="N793" i="2" s="1"/>
  <c r="O793" i="2"/>
  <c r="E793" i="2"/>
  <c r="D793" i="2"/>
  <c r="F793" i="2"/>
  <c r="J793" i="4"/>
  <c r="N793" i="4" s="1"/>
  <c r="AA793" i="2"/>
  <c r="M792" i="2"/>
  <c r="E792" i="2"/>
  <c r="D792" i="2"/>
  <c r="F792" i="2"/>
  <c r="J792" i="4"/>
  <c r="N792" i="4" s="1"/>
  <c r="AA792" i="2"/>
  <c r="M791" i="2"/>
  <c r="F791" i="2"/>
  <c r="E791" i="2"/>
  <c r="D791" i="2"/>
  <c r="G791" i="2" s="1"/>
  <c r="AA791" i="2"/>
  <c r="J791" i="4"/>
  <c r="N791" i="4" s="1"/>
  <c r="M790" i="2"/>
  <c r="F790" i="2"/>
  <c r="E790" i="2"/>
  <c r="D790" i="2"/>
  <c r="G790" i="2" s="1"/>
  <c r="V790" i="2" s="1"/>
  <c r="J790" i="4"/>
  <c r="N790" i="4" s="1"/>
  <c r="AA790" i="2"/>
  <c r="M789" i="2"/>
  <c r="F789" i="2"/>
  <c r="E789" i="2"/>
  <c r="D789" i="2"/>
  <c r="G789" i="2" s="1"/>
  <c r="V789" i="2" s="1"/>
  <c r="AA789" i="2"/>
  <c r="J789" i="4"/>
  <c r="N789" i="4" s="1"/>
  <c r="M788" i="2"/>
  <c r="E788" i="2"/>
  <c r="F788" i="2"/>
  <c r="D788" i="2"/>
  <c r="G788" i="2" s="1"/>
  <c r="V788" i="2" s="1"/>
  <c r="J788" i="4"/>
  <c r="N788" i="4" s="1"/>
  <c r="AA788" i="2"/>
  <c r="M787" i="2"/>
  <c r="N787" i="2" s="1"/>
  <c r="O787" i="2"/>
  <c r="F787" i="2"/>
  <c r="D787" i="2"/>
  <c r="E787" i="2"/>
  <c r="J787" i="4"/>
  <c r="N787" i="4" s="1"/>
  <c r="AA787" i="2"/>
  <c r="M786" i="2"/>
  <c r="N786" i="2" s="1"/>
  <c r="O786" i="2"/>
  <c r="F786" i="2"/>
  <c r="D786" i="2"/>
  <c r="E786" i="2"/>
  <c r="AA786" i="2"/>
  <c r="J786" i="4"/>
  <c r="N786" i="4" s="1"/>
  <c r="M785" i="2"/>
  <c r="N785" i="2" s="1"/>
  <c r="O785" i="2"/>
  <c r="E785" i="2"/>
  <c r="D785" i="2"/>
  <c r="F785" i="2"/>
  <c r="J785" i="4"/>
  <c r="N785" i="4" s="1"/>
  <c r="AA785" i="2"/>
  <c r="M784" i="2"/>
  <c r="E784" i="2"/>
  <c r="F784" i="2"/>
  <c r="D784" i="2"/>
  <c r="AA784" i="2"/>
  <c r="J784" i="4"/>
  <c r="N784" i="4" s="1"/>
  <c r="M783" i="2"/>
  <c r="N783" i="2" s="1"/>
  <c r="O783" i="2"/>
  <c r="F783" i="2"/>
  <c r="E783" i="2"/>
  <c r="D783" i="2"/>
  <c r="G783" i="2" s="1"/>
  <c r="AA783" i="2"/>
  <c r="J783" i="4"/>
  <c r="N783" i="4" s="1"/>
  <c r="M782" i="2"/>
  <c r="E782" i="2"/>
  <c r="F782" i="2"/>
  <c r="D782" i="2"/>
  <c r="G782" i="2" s="1"/>
  <c r="V782" i="2" s="1"/>
  <c r="AA782" i="2"/>
  <c r="J782" i="4"/>
  <c r="N782" i="4" s="1"/>
  <c r="M781" i="2"/>
  <c r="F781" i="2"/>
  <c r="D781" i="2"/>
  <c r="E781" i="2"/>
  <c r="AA781" i="2"/>
  <c r="J781" i="4"/>
  <c r="N781" i="4" s="1"/>
  <c r="M780" i="2"/>
  <c r="D780" i="2"/>
  <c r="E780" i="2"/>
  <c r="F780" i="2"/>
  <c r="J780" i="4"/>
  <c r="N780" i="4" s="1"/>
  <c r="AA780" i="2"/>
  <c r="M779" i="2"/>
  <c r="E779" i="2"/>
  <c r="D779" i="2"/>
  <c r="F779" i="2"/>
  <c r="J779" i="4"/>
  <c r="N779" i="4" s="1"/>
  <c r="AA779" i="2"/>
  <c r="M778" i="2"/>
  <c r="D778" i="2"/>
  <c r="F778" i="2"/>
  <c r="E778" i="2"/>
  <c r="J778" i="4"/>
  <c r="N778" i="4" s="1"/>
  <c r="AA778" i="2"/>
  <c r="M777" i="2"/>
  <c r="F777" i="2"/>
  <c r="E777" i="2"/>
  <c r="D777" i="2"/>
  <c r="G777" i="2" s="1"/>
  <c r="J777" i="4"/>
  <c r="N777" i="4" s="1"/>
  <c r="AA777" i="2"/>
  <c r="M776" i="2"/>
  <c r="F776" i="2"/>
  <c r="E776" i="2"/>
  <c r="D776" i="2"/>
  <c r="AA776" i="2"/>
  <c r="J776" i="4"/>
  <c r="N776" i="4" s="1"/>
  <c r="M775" i="2"/>
  <c r="N775" i="2" s="1"/>
  <c r="O775" i="2"/>
  <c r="E775" i="2"/>
  <c r="D775" i="2"/>
  <c r="F775" i="2"/>
  <c r="AA775" i="2"/>
  <c r="J775" i="4"/>
  <c r="N775" i="4" s="1"/>
  <c r="M774" i="2"/>
  <c r="D774" i="2"/>
  <c r="E774" i="2"/>
  <c r="F774" i="2"/>
  <c r="AA774" i="2"/>
  <c r="J774" i="4"/>
  <c r="N774" i="4" s="1"/>
  <c r="M773" i="2"/>
  <c r="F773" i="2"/>
  <c r="E773" i="2"/>
  <c r="D773" i="2"/>
  <c r="G773" i="2" s="1"/>
  <c r="V773" i="2" s="1"/>
  <c r="AA773" i="2"/>
  <c r="J773" i="4"/>
  <c r="N773" i="4" s="1"/>
  <c r="M772" i="2"/>
  <c r="F772" i="2"/>
  <c r="D772" i="2"/>
  <c r="E772" i="2"/>
  <c r="J772" i="4"/>
  <c r="N772" i="4" s="1"/>
  <c r="AA772" i="2"/>
  <c r="M771" i="2"/>
  <c r="N771" i="2" s="1"/>
  <c r="O771" i="2"/>
  <c r="D771" i="2"/>
  <c r="E771" i="2"/>
  <c r="F771" i="2"/>
  <c r="AA771" i="2"/>
  <c r="J771" i="4"/>
  <c r="N771" i="4" s="1"/>
  <c r="M770" i="2"/>
  <c r="N770" i="2" s="1"/>
  <c r="O770" i="2"/>
  <c r="D770" i="2"/>
  <c r="E770" i="2"/>
  <c r="F770" i="2"/>
  <c r="AA770" i="2"/>
  <c r="J770" i="4"/>
  <c r="N770" i="4" s="1"/>
  <c r="M769" i="2"/>
  <c r="D769" i="2"/>
  <c r="F769" i="2"/>
  <c r="E769" i="2"/>
  <c r="J769" i="4"/>
  <c r="N769" i="4" s="1"/>
  <c r="AA769" i="2"/>
  <c r="M768" i="2"/>
  <c r="N768" i="2" s="1"/>
  <c r="O768" i="2"/>
  <c r="D768" i="2"/>
  <c r="F768" i="2"/>
  <c r="E768" i="2"/>
  <c r="AA768" i="2"/>
  <c r="J768" i="4"/>
  <c r="N768" i="4" s="1"/>
  <c r="M767" i="2"/>
  <c r="N767" i="2" s="1"/>
  <c r="O767" i="2"/>
  <c r="D767" i="2"/>
  <c r="E767" i="2"/>
  <c r="F767" i="2"/>
  <c r="J767" i="4"/>
  <c r="N767" i="4" s="1"/>
  <c r="AA767" i="2"/>
  <c r="M766" i="2"/>
  <c r="D766" i="2"/>
  <c r="F766" i="2"/>
  <c r="E766" i="2"/>
  <c r="AA766" i="2"/>
  <c r="J766" i="4"/>
  <c r="N766" i="4" s="1"/>
  <c r="M765" i="2"/>
  <c r="D765" i="2"/>
  <c r="E765" i="2"/>
  <c r="F765" i="2"/>
  <c r="J765" i="4"/>
  <c r="N765" i="4" s="1"/>
  <c r="AA765" i="2"/>
  <c r="M764" i="2"/>
  <c r="N764" i="2" s="1"/>
  <c r="O764" i="2"/>
  <c r="F764" i="2"/>
  <c r="D764" i="2"/>
  <c r="E764" i="2"/>
  <c r="AA764" i="2"/>
  <c r="J764" i="4"/>
  <c r="N764" i="4" s="1"/>
  <c r="M763" i="2"/>
  <c r="N763" i="2" s="1"/>
  <c r="O763" i="2"/>
  <c r="F763" i="2"/>
  <c r="E763" i="2"/>
  <c r="D763" i="2"/>
  <c r="J763" i="4"/>
  <c r="N763" i="4" s="1"/>
  <c r="AA763" i="2"/>
  <c r="M762" i="2"/>
  <c r="F762" i="2"/>
  <c r="E762" i="2"/>
  <c r="D762" i="2"/>
  <c r="G762" i="2" s="1"/>
  <c r="V762" i="2" s="1"/>
  <c r="J762" i="4"/>
  <c r="N762" i="4" s="1"/>
  <c r="AA762" i="2"/>
  <c r="M761" i="2"/>
  <c r="F761" i="2"/>
  <c r="E761" i="2"/>
  <c r="D761" i="2"/>
  <c r="G761" i="2" s="1"/>
  <c r="V761" i="2" s="1"/>
  <c r="J761" i="4"/>
  <c r="N761" i="4" s="1"/>
  <c r="AA761" i="2"/>
  <c r="M760" i="2"/>
  <c r="F760" i="2"/>
  <c r="E760" i="2"/>
  <c r="D760" i="2"/>
  <c r="G760" i="2" s="1"/>
  <c r="V760" i="2" s="1"/>
  <c r="J760" i="4"/>
  <c r="N760" i="4" s="1"/>
  <c r="AA760" i="2"/>
  <c r="M759" i="2"/>
  <c r="D759" i="2"/>
  <c r="E759" i="2"/>
  <c r="F759" i="2"/>
  <c r="J759" i="4"/>
  <c r="N759" i="4" s="1"/>
  <c r="AA759" i="2"/>
  <c r="M758" i="2"/>
  <c r="N758" i="2" s="1"/>
  <c r="O758" i="2"/>
  <c r="F758" i="2"/>
  <c r="D758" i="2"/>
  <c r="E758" i="2"/>
  <c r="J758" i="4"/>
  <c r="N758" i="4" s="1"/>
  <c r="AA758" i="2"/>
  <c r="M757" i="2"/>
  <c r="D757" i="2"/>
  <c r="E757" i="2"/>
  <c r="F757" i="2"/>
  <c r="J757" i="4"/>
  <c r="N757" i="4" s="1"/>
  <c r="AA757" i="2"/>
  <c r="M756" i="2"/>
  <c r="F756" i="2"/>
  <c r="E756" i="2"/>
  <c r="D756" i="2"/>
  <c r="G756" i="2" s="1"/>
  <c r="V756" i="2" s="1"/>
  <c r="AA756" i="2"/>
  <c r="J756" i="4"/>
  <c r="N756" i="4" s="1"/>
  <c r="M755" i="2"/>
  <c r="N755" i="2" s="1"/>
  <c r="O755" i="2"/>
  <c r="D755" i="2"/>
  <c r="F755" i="2"/>
  <c r="E755" i="2"/>
  <c r="J755" i="4"/>
  <c r="N755" i="4" s="1"/>
  <c r="AA755" i="2"/>
  <c r="M754" i="2"/>
  <c r="N754" i="2" s="1"/>
  <c r="O754" i="2"/>
  <c r="F754" i="2"/>
  <c r="D754" i="2"/>
  <c r="E754" i="2"/>
  <c r="J754" i="4"/>
  <c r="N754" i="4" s="1"/>
  <c r="AA754" i="2"/>
  <c r="M753" i="2"/>
  <c r="N753" i="2" s="1"/>
  <c r="O753" i="2"/>
  <c r="E753" i="2"/>
  <c r="D753" i="2"/>
  <c r="F753" i="2"/>
  <c r="AA753" i="2"/>
  <c r="J753" i="4"/>
  <c r="N753" i="4" s="1"/>
  <c r="M752" i="2"/>
  <c r="N752" i="2" s="1"/>
  <c r="O752" i="2"/>
  <c r="F752" i="2"/>
  <c r="D752" i="2"/>
  <c r="E752" i="2"/>
  <c r="AA752" i="2"/>
  <c r="J752" i="4"/>
  <c r="N752" i="4" s="1"/>
  <c r="M751" i="2"/>
  <c r="D751" i="2"/>
  <c r="F751" i="2"/>
  <c r="E751" i="2"/>
  <c r="AA751" i="2"/>
  <c r="J751" i="4"/>
  <c r="N751" i="4" s="1"/>
  <c r="M750" i="2"/>
  <c r="F750" i="2"/>
  <c r="E750" i="2"/>
  <c r="D750" i="2"/>
  <c r="J750" i="4"/>
  <c r="N750" i="4" s="1"/>
  <c r="AA750" i="2"/>
  <c r="M749" i="2"/>
  <c r="E749" i="2"/>
  <c r="D749" i="2"/>
  <c r="F749" i="2"/>
  <c r="AA749" i="2"/>
  <c r="J749" i="4"/>
  <c r="N749" i="4" s="1"/>
  <c r="M748" i="2"/>
  <c r="F748" i="2"/>
  <c r="D748" i="2"/>
  <c r="E748" i="2"/>
  <c r="J748" i="4"/>
  <c r="N748" i="4" s="1"/>
  <c r="AA748" i="2"/>
  <c r="M747" i="2"/>
  <c r="F747" i="2"/>
  <c r="E747" i="2"/>
  <c r="D747" i="2"/>
  <c r="AA747" i="2"/>
  <c r="J747" i="4"/>
  <c r="N747" i="4" s="1"/>
  <c r="M746" i="2"/>
  <c r="E746" i="2"/>
  <c r="F746" i="2"/>
  <c r="D746" i="2"/>
  <c r="G746" i="2" s="1"/>
  <c r="AA746" i="2"/>
  <c r="J746" i="4"/>
  <c r="N746" i="4" s="1"/>
  <c r="M745" i="2"/>
  <c r="D745" i="2"/>
  <c r="E745" i="2"/>
  <c r="F745" i="2"/>
  <c r="AA745" i="2"/>
  <c r="J745" i="4"/>
  <c r="N745" i="4" s="1"/>
  <c r="M744" i="2"/>
  <c r="F744" i="2"/>
  <c r="E744" i="2"/>
  <c r="D744" i="2"/>
  <c r="G744" i="2" s="1"/>
  <c r="V744" i="2" s="1"/>
  <c r="AA744" i="2"/>
  <c r="J744" i="4"/>
  <c r="N744" i="4" s="1"/>
  <c r="M743" i="2"/>
  <c r="E743" i="2"/>
  <c r="F743" i="2"/>
  <c r="D743" i="2"/>
  <c r="AA743" i="2"/>
  <c r="J743" i="4"/>
  <c r="N743" i="4" s="1"/>
  <c r="M742" i="2"/>
  <c r="F742" i="2"/>
  <c r="E742" i="2"/>
  <c r="D742" i="2"/>
  <c r="AA742" i="2"/>
  <c r="J742" i="4"/>
  <c r="N742" i="4" s="1"/>
  <c r="M741" i="2"/>
  <c r="E741" i="2"/>
  <c r="F741" i="2"/>
  <c r="D741" i="2"/>
  <c r="G741" i="2" s="1"/>
  <c r="V741" i="2" s="1"/>
  <c r="AA741" i="2"/>
  <c r="J741" i="4"/>
  <c r="N741" i="4" s="1"/>
  <c r="M740" i="2"/>
  <c r="D740" i="2"/>
  <c r="F740" i="2"/>
  <c r="E740" i="2"/>
  <c r="AA740" i="2"/>
  <c r="J740" i="4"/>
  <c r="N740" i="4" s="1"/>
  <c r="M739" i="2"/>
  <c r="N739" i="2" s="1"/>
  <c r="O739" i="2"/>
  <c r="E739" i="2"/>
  <c r="F739" i="2"/>
  <c r="D739" i="2"/>
  <c r="G739" i="2" s="1"/>
  <c r="AA739" i="2"/>
  <c r="J739" i="4"/>
  <c r="N739" i="4" s="1"/>
  <c r="M738" i="2"/>
  <c r="D738" i="2"/>
  <c r="F738" i="2"/>
  <c r="E738" i="2"/>
  <c r="J738" i="4"/>
  <c r="N738" i="4" s="1"/>
  <c r="AA738" i="2"/>
  <c r="M737" i="2"/>
  <c r="D737" i="2"/>
  <c r="F737" i="2"/>
  <c r="E737" i="2"/>
  <c r="J737" i="4"/>
  <c r="N737" i="4" s="1"/>
  <c r="AA737" i="2"/>
  <c r="M736" i="2"/>
  <c r="F736" i="2"/>
  <c r="E736" i="2"/>
  <c r="D736" i="2"/>
  <c r="J736" i="4"/>
  <c r="N736" i="4" s="1"/>
  <c r="AA736" i="2"/>
  <c r="M735" i="2"/>
  <c r="F735" i="2"/>
  <c r="E735" i="2"/>
  <c r="D735" i="2"/>
  <c r="J735" i="4"/>
  <c r="N735" i="4" s="1"/>
  <c r="AA735" i="2"/>
  <c r="M734" i="2"/>
  <c r="D734" i="2"/>
  <c r="F734" i="2"/>
  <c r="E734" i="2"/>
  <c r="J734" i="4"/>
  <c r="N734" i="4" s="1"/>
  <c r="AA734" i="2"/>
  <c r="M733" i="2"/>
  <c r="F733" i="2"/>
  <c r="E733" i="2"/>
  <c r="D733" i="2"/>
  <c r="J733" i="4"/>
  <c r="N733" i="4" s="1"/>
  <c r="AA733" i="2"/>
  <c r="M732" i="2"/>
  <c r="D732" i="2"/>
  <c r="E732" i="2"/>
  <c r="F732" i="2"/>
  <c r="AA732" i="2"/>
  <c r="J732" i="4"/>
  <c r="N732" i="4" s="1"/>
  <c r="M731" i="2"/>
  <c r="D731" i="2"/>
  <c r="E731" i="2"/>
  <c r="F731" i="2"/>
  <c r="AA731" i="2"/>
  <c r="J731" i="4"/>
  <c r="N731" i="4" s="1"/>
  <c r="M730" i="2"/>
  <c r="D730" i="2"/>
  <c r="F730" i="2"/>
  <c r="E730" i="2"/>
  <c r="AA730" i="2"/>
  <c r="J730" i="4"/>
  <c r="N730" i="4" s="1"/>
  <c r="M729" i="2"/>
  <c r="E729" i="2"/>
  <c r="D729" i="2"/>
  <c r="F729" i="2"/>
  <c r="J729" i="4"/>
  <c r="N729" i="4" s="1"/>
  <c r="AA729" i="2"/>
  <c r="M728" i="2"/>
  <c r="F728" i="2"/>
  <c r="E728" i="2"/>
  <c r="D728" i="2"/>
  <c r="AA728" i="2"/>
  <c r="J728" i="4"/>
  <c r="N728" i="4" s="1"/>
  <c r="M727" i="2"/>
  <c r="N727" i="2" s="1"/>
  <c r="O727" i="2"/>
  <c r="D727" i="2"/>
  <c r="E727" i="2"/>
  <c r="F727" i="2"/>
  <c r="AA727" i="2"/>
  <c r="J727" i="4"/>
  <c r="N727" i="4" s="1"/>
  <c r="M726" i="2"/>
  <c r="E726" i="2"/>
  <c r="F726" i="2"/>
  <c r="D726" i="2"/>
  <c r="G726" i="2" s="1"/>
  <c r="V726" i="2" s="1"/>
  <c r="AA726" i="2"/>
  <c r="J726" i="4"/>
  <c r="N726" i="4" s="1"/>
  <c r="M725" i="2"/>
  <c r="D725" i="2"/>
  <c r="E725" i="2"/>
  <c r="F725" i="2"/>
  <c r="J725" i="4"/>
  <c r="N725" i="4" s="1"/>
  <c r="AA725" i="2"/>
  <c r="M724" i="2"/>
  <c r="F724" i="2"/>
  <c r="E724" i="2"/>
  <c r="D724" i="2"/>
  <c r="G724" i="2" s="1"/>
  <c r="V724" i="2" s="1"/>
  <c r="J724" i="4"/>
  <c r="N724" i="4" s="1"/>
  <c r="AA724" i="2"/>
  <c r="M723" i="2"/>
  <c r="N723" i="2" s="1"/>
  <c r="O723" i="2"/>
  <c r="D723" i="2"/>
  <c r="E723" i="2"/>
  <c r="F723" i="2"/>
  <c r="AA723" i="2"/>
  <c r="J723" i="4"/>
  <c r="N723" i="4" s="1"/>
  <c r="M722" i="2"/>
  <c r="D722" i="2"/>
  <c r="E722" i="2"/>
  <c r="F722" i="2"/>
  <c r="AA722" i="2"/>
  <c r="J722" i="4"/>
  <c r="N722" i="4" s="1"/>
  <c r="M721" i="2"/>
  <c r="D721" i="2"/>
  <c r="E721" i="2"/>
  <c r="F721" i="2"/>
  <c r="J721" i="4"/>
  <c r="N721" i="4" s="1"/>
  <c r="AA721" i="2"/>
  <c r="M720" i="2"/>
  <c r="E720" i="2"/>
  <c r="F720" i="2"/>
  <c r="D720" i="2"/>
  <c r="J720" i="4"/>
  <c r="N720" i="4" s="1"/>
  <c r="AA720" i="2"/>
  <c r="M719" i="2"/>
  <c r="N719" i="2" s="1"/>
  <c r="O719" i="2"/>
  <c r="E719" i="2"/>
  <c r="F719" i="2"/>
  <c r="D719" i="2"/>
  <c r="G719" i="2" s="1"/>
  <c r="AA719" i="2"/>
  <c r="J719" i="4"/>
  <c r="N719" i="4" s="1"/>
  <c r="M718" i="2"/>
  <c r="D718" i="2"/>
  <c r="F718" i="2"/>
  <c r="E718" i="2"/>
  <c r="J718" i="4"/>
  <c r="N718" i="4" s="1"/>
  <c r="AA718" i="2"/>
  <c r="M717" i="2"/>
  <c r="E717" i="2"/>
  <c r="D717" i="2"/>
  <c r="F717" i="2"/>
  <c r="AA717" i="2"/>
  <c r="J717" i="4"/>
  <c r="N717" i="4" s="1"/>
  <c r="M716" i="2"/>
  <c r="D716" i="2"/>
  <c r="E716" i="2"/>
  <c r="F716" i="2"/>
  <c r="J716" i="4"/>
  <c r="N716" i="4" s="1"/>
  <c r="AA716" i="2"/>
  <c r="M715" i="2"/>
  <c r="N715" i="2" s="1"/>
  <c r="O715" i="2"/>
  <c r="F715" i="2"/>
  <c r="E715" i="2"/>
  <c r="D715" i="2"/>
  <c r="AA715" i="2"/>
  <c r="J715" i="4"/>
  <c r="N715" i="4" s="1"/>
  <c r="M714" i="2"/>
  <c r="D714" i="2"/>
  <c r="E714" i="2"/>
  <c r="F714" i="2"/>
  <c r="AA714" i="2"/>
  <c r="J714" i="4"/>
  <c r="N714" i="4" s="1"/>
  <c r="M713" i="2"/>
  <c r="F713" i="2"/>
  <c r="E713" i="2"/>
  <c r="D713" i="2"/>
  <c r="G713" i="2" s="1"/>
  <c r="J713" i="4"/>
  <c r="N713" i="4" s="1"/>
  <c r="AA713" i="2"/>
  <c r="M712" i="2"/>
  <c r="D712" i="2"/>
  <c r="F712" i="2"/>
  <c r="E712" i="2"/>
  <c r="J712" i="4"/>
  <c r="N712" i="4" s="1"/>
  <c r="AA712" i="2"/>
  <c r="M711" i="2"/>
  <c r="F711" i="2"/>
  <c r="E711" i="2"/>
  <c r="D711" i="2"/>
  <c r="J711" i="4"/>
  <c r="N711" i="4" s="1"/>
  <c r="AA711" i="2"/>
  <c r="M710" i="2"/>
  <c r="F710" i="2"/>
  <c r="E710" i="2"/>
  <c r="D710" i="2"/>
  <c r="G710" i="2" s="1"/>
  <c r="V710" i="2" s="1"/>
  <c r="J710" i="4"/>
  <c r="N710" i="4" s="1"/>
  <c r="AA710" i="2"/>
  <c r="M709" i="2"/>
  <c r="D709" i="2"/>
  <c r="E709" i="2"/>
  <c r="F709" i="2"/>
  <c r="AA709" i="2"/>
  <c r="J709" i="4"/>
  <c r="N709" i="4" s="1"/>
  <c r="M708" i="2"/>
  <c r="N708" i="2" s="1"/>
  <c r="O708" i="2"/>
  <c r="F708" i="2"/>
  <c r="D708" i="2"/>
  <c r="E708" i="2"/>
  <c r="AA708" i="2"/>
  <c r="J708" i="4"/>
  <c r="N708" i="4" s="1"/>
  <c r="M707" i="2"/>
  <c r="F707" i="2"/>
  <c r="E707" i="2"/>
  <c r="D707" i="2"/>
  <c r="J707" i="4"/>
  <c r="N707" i="4" s="1"/>
  <c r="AA707" i="2"/>
  <c r="M706" i="2"/>
  <c r="F706" i="2"/>
  <c r="E706" i="2"/>
  <c r="D706" i="2"/>
  <c r="AA706" i="2"/>
  <c r="J706" i="4"/>
  <c r="N706" i="4" s="1"/>
  <c r="M705" i="2"/>
  <c r="E705" i="2"/>
  <c r="F705" i="2"/>
  <c r="D705" i="2"/>
  <c r="G705" i="2" s="1"/>
  <c r="V705" i="2" s="1"/>
  <c r="AA705" i="2"/>
  <c r="J705" i="4"/>
  <c r="N705" i="4" s="1"/>
  <c r="M704" i="2"/>
  <c r="F704" i="2"/>
  <c r="E704" i="2"/>
  <c r="D704" i="2"/>
  <c r="AA704" i="2"/>
  <c r="J704" i="4"/>
  <c r="N704" i="4" s="1"/>
  <c r="M703" i="2"/>
  <c r="D703" i="2"/>
  <c r="E703" i="2"/>
  <c r="F703" i="2"/>
  <c r="J703" i="4"/>
  <c r="N703" i="4" s="1"/>
  <c r="AA703" i="2"/>
  <c r="M702" i="2"/>
  <c r="N702" i="2" s="1"/>
  <c r="O702" i="2"/>
  <c r="D702" i="2"/>
  <c r="E702" i="2"/>
  <c r="F702" i="2"/>
  <c r="AA702" i="2"/>
  <c r="J702" i="4"/>
  <c r="N702" i="4" s="1"/>
  <c r="M701" i="2"/>
  <c r="E701" i="2"/>
  <c r="D701" i="2"/>
  <c r="F701" i="2"/>
  <c r="J701" i="4"/>
  <c r="N701" i="4" s="1"/>
  <c r="AA701" i="2"/>
  <c r="M700" i="2"/>
  <c r="N700" i="2" s="1"/>
  <c r="O700" i="2"/>
  <c r="D700" i="2"/>
  <c r="E700" i="2"/>
  <c r="F700" i="2"/>
  <c r="J700" i="4"/>
  <c r="N700" i="4" s="1"/>
  <c r="AA700" i="2"/>
  <c r="M699" i="2"/>
  <c r="D699" i="2"/>
  <c r="E699" i="2"/>
  <c r="F699" i="2"/>
  <c r="AA699" i="2"/>
  <c r="J699" i="4"/>
  <c r="N699" i="4" s="1"/>
  <c r="M698" i="2"/>
  <c r="F698" i="2"/>
  <c r="D698" i="2"/>
  <c r="E698" i="2"/>
  <c r="AA698" i="2"/>
  <c r="J698" i="4"/>
  <c r="N698" i="4" s="1"/>
  <c r="M697" i="2"/>
  <c r="E697" i="2"/>
  <c r="D697" i="2"/>
  <c r="F697" i="2"/>
  <c r="J697" i="4"/>
  <c r="N697" i="4" s="1"/>
  <c r="AA697" i="2"/>
  <c r="M696" i="2"/>
  <c r="D696" i="2"/>
  <c r="E696" i="2"/>
  <c r="F696" i="2"/>
  <c r="AA696" i="2"/>
  <c r="J696" i="4"/>
  <c r="N696" i="4" s="1"/>
  <c r="M695" i="2"/>
  <c r="F695" i="2"/>
  <c r="E695" i="2"/>
  <c r="D695" i="2"/>
  <c r="J695" i="4"/>
  <c r="N695" i="4" s="1"/>
  <c r="AA695" i="2"/>
  <c r="M694" i="2"/>
  <c r="D694" i="2"/>
  <c r="E694" i="2"/>
  <c r="F694" i="2"/>
  <c r="J694" i="4"/>
  <c r="N694" i="4" s="1"/>
  <c r="AA694" i="2"/>
  <c r="M693" i="2"/>
  <c r="D693" i="2"/>
  <c r="E693" i="2"/>
  <c r="F693" i="2"/>
  <c r="J693" i="4"/>
  <c r="N693" i="4" s="1"/>
  <c r="AA693" i="2"/>
  <c r="M692" i="2"/>
  <c r="F692" i="2"/>
  <c r="E692" i="2"/>
  <c r="D692" i="2"/>
  <c r="J692" i="4"/>
  <c r="N692" i="4" s="1"/>
  <c r="AA692" i="2"/>
  <c r="M691" i="2"/>
  <c r="N691" i="2" s="1"/>
  <c r="O691" i="2"/>
  <c r="F691" i="2"/>
  <c r="E691" i="2"/>
  <c r="D691" i="2"/>
  <c r="AA691" i="2"/>
  <c r="J691" i="4"/>
  <c r="N691" i="4" s="1"/>
  <c r="M690" i="2"/>
  <c r="N690" i="2" s="1"/>
  <c r="O690" i="2"/>
  <c r="F690" i="2"/>
  <c r="D690" i="2"/>
  <c r="E690" i="2"/>
  <c r="AA690" i="2"/>
  <c r="J690" i="4"/>
  <c r="N690" i="4" s="1"/>
  <c r="M689" i="2"/>
  <c r="N689" i="2" s="1"/>
  <c r="O689" i="2"/>
  <c r="E689" i="2"/>
  <c r="F689" i="2"/>
  <c r="D689" i="2"/>
  <c r="J689" i="4"/>
  <c r="N689" i="4" s="1"/>
  <c r="AA689" i="2"/>
  <c r="M688" i="2"/>
  <c r="F688" i="2"/>
  <c r="E688" i="2"/>
  <c r="D688" i="2"/>
  <c r="G688" i="2" s="1"/>
  <c r="V688" i="2" s="1"/>
  <c r="J688" i="4"/>
  <c r="N688" i="4" s="1"/>
  <c r="AA688" i="2"/>
  <c r="M687" i="2"/>
  <c r="F687" i="2"/>
  <c r="D687" i="2"/>
  <c r="E687" i="2"/>
  <c r="J687" i="4"/>
  <c r="N687" i="4" s="1"/>
  <c r="AA687" i="2"/>
  <c r="M686" i="2"/>
  <c r="N686" i="2" s="1"/>
  <c r="O686" i="2"/>
  <c r="F686" i="2"/>
  <c r="E686" i="2"/>
  <c r="D686" i="2"/>
  <c r="G686" i="2" s="1"/>
  <c r="J686" i="4"/>
  <c r="N686" i="4" s="1"/>
  <c r="AA686" i="2"/>
  <c r="M685" i="2"/>
  <c r="F685" i="2"/>
  <c r="D685" i="2"/>
  <c r="E685" i="2"/>
  <c r="J685" i="4"/>
  <c r="N685" i="4" s="1"/>
  <c r="AA685" i="2"/>
  <c r="M684" i="2"/>
  <c r="F684" i="2"/>
  <c r="E684" i="2"/>
  <c r="D684" i="2"/>
  <c r="G684" i="2" s="1"/>
  <c r="V684" i="2" s="1"/>
  <c r="J684" i="4"/>
  <c r="N684" i="4" s="1"/>
  <c r="AA684" i="2"/>
  <c r="M683" i="2"/>
  <c r="E683" i="2"/>
  <c r="D683" i="2"/>
  <c r="F683" i="2"/>
  <c r="AA683" i="2"/>
  <c r="J683" i="4"/>
  <c r="N683" i="4" s="1"/>
  <c r="M682" i="2"/>
  <c r="N682" i="2" s="1"/>
  <c r="O682" i="2"/>
  <c r="F682" i="2"/>
  <c r="E682" i="2"/>
  <c r="D682" i="2"/>
  <c r="AA682" i="2"/>
  <c r="J682" i="4"/>
  <c r="N682" i="4" s="1"/>
  <c r="M681" i="2"/>
  <c r="F681" i="2"/>
  <c r="D681" i="2"/>
  <c r="E681" i="2"/>
  <c r="AA681" i="2"/>
  <c r="J681" i="4"/>
  <c r="N681" i="4" s="1"/>
  <c r="M680" i="2"/>
  <c r="F680" i="2"/>
  <c r="D680" i="2"/>
  <c r="E680" i="2"/>
  <c r="AA680" i="2"/>
  <c r="J680" i="4"/>
  <c r="N680" i="4" s="1"/>
  <c r="M679" i="2"/>
  <c r="N679" i="2" s="1"/>
  <c r="O679" i="2"/>
  <c r="D679" i="2"/>
  <c r="E679" i="2"/>
  <c r="F679" i="2"/>
  <c r="J679" i="4"/>
  <c r="N679" i="4" s="1"/>
  <c r="AA679" i="2"/>
  <c r="M678" i="2"/>
  <c r="F678" i="2"/>
  <c r="D678" i="2"/>
  <c r="E678" i="2"/>
  <c r="AA678" i="2"/>
  <c r="J678" i="4"/>
  <c r="N678" i="4" s="1"/>
  <c r="M677" i="2"/>
  <c r="F677" i="2"/>
  <c r="E677" i="2"/>
  <c r="D677" i="2"/>
  <c r="G677" i="2" s="1"/>
  <c r="V677" i="2" s="1"/>
  <c r="AA677" i="2"/>
  <c r="J677" i="4"/>
  <c r="N677" i="4" s="1"/>
  <c r="M676" i="2"/>
  <c r="E676" i="2"/>
  <c r="D676" i="2"/>
  <c r="F676" i="2"/>
  <c r="AA676" i="2"/>
  <c r="J676" i="4"/>
  <c r="N676" i="4" s="1"/>
  <c r="M675" i="2"/>
  <c r="N675" i="2" s="1"/>
  <c r="O675" i="2"/>
  <c r="E675" i="2"/>
  <c r="D675" i="2"/>
  <c r="F675" i="2"/>
  <c r="AA675" i="2"/>
  <c r="J675" i="4"/>
  <c r="N675" i="4" s="1"/>
  <c r="M674" i="2"/>
  <c r="D674" i="2"/>
  <c r="F674" i="2"/>
  <c r="E674" i="2"/>
  <c r="AA674" i="2"/>
  <c r="J674" i="4"/>
  <c r="N674" i="4" s="1"/>
  <c r="M673" i="2"/>
  <c r="N673" i="2" s="1"/>
  <c r="O673" i="2"/>
  <c r="E673" i="2"/>
  <c r="D673" i="2"/>
  <c r="F673" i="2"/>
  <c r="J673" i="4"/>
  <c r="N673" i="4" s="1"/>
  <c r="AA673" i="2"/>
  <c r="M672" i="2"/>
  <c r="N672" i="2" s="1"/>
  <c r="O672" i="2"/>
  <c r="D672" i="2"/>
  <c r="F672" i="2"/>
  <c r="E672" i="2"/>
  <c r="J672" i="4"/>
  <c r="N672" i="4" s="1"/>
  <c r="AA672" i="2"/>
  <c r="M671" i="2"/>
  <c r="F671" i="2"/>
  <c r="D671" i="2"/>
  <c r="E671" i="2"/>
  <c r="J671" i="4"/>
  <c r="N671" i="4" s="1"/>
  <c r="AA671" i="2"/>
  <c r="M670" i="2"/>
  <c r="N670" i="2" s="1"/>
  <c r="O670" i="2"/>
  <c r="F670" i="2"/>
  <c r="E670" i="2"/>
  <c r="D670" i="2"/>
  <c r="J670" i="4"/>
  <c r="N670" i="4" s="1"/>
  <c r="AA670" i="2"/>
  <c r="M669" i="2"/>
  <c r="E669" i="2"/>
  <c r="F669" i="2"/>
  <c r="D669" i="2"/>
  <c r="G669" i="2" s="1"/>
  <c r="J669" i="4"/>
  <c r="N669" i="4" s="1"/>
  <c r="AA669" i="2"/>
  <c r="M668" i="2"/>
  <c r="N668" i="2" s="1"/>
  <c r="O668" i="2"/>
  <c r="E668" i="2"/>
  <c r="F668" i="2"/>
  <c r="D668" i="2"/>
  <c r="G668" i="2" s="1"/>
  <c r="J668" i="4"/>
  <c r="N668" i="4" s="1"/>
  <c r="AA668" i="2"/>
  <c r="M667" i="2"/>
  <c r="N667" i="2" s="1"/>
  <c r="O667" i="2"/>
  <c r="E667" i="2"/>
  <c r="F667" i="2"/>
  <c r="D667" i="2"/>
  <c r="G667" i="2" s="1"/>
  <c r="AA667" i="2"/>
  <c r="J667" i="4"/>
  <c r="N667" i="4" s="1"/>
  <c r="M666" i="2"/>
  <c r="E666" i="2"/>
  <c r="F666" i="2"/>
  <c r="D666" i="2"/>
  <c r="G666" i="2" s="1"/>
  <c r="J666" i="4"/>
  <c r="N666" i="4" s="1"/>
  <c r="AA666" i="2"/>
  <c r="M665" i="2"/>
  <c r="E665" i="2"/>
  <c r="F665" i="2"/>
  <c r="D665" i="2"/>
  <c r="G665" i="2" s="1"/>
  <c r="AA665" i="2"/>
  <c r="J665" i="4"/>
  <c r="N665" i="4" s="1"/>
  <c r="M664" i="2"/>
  <c r="N664" i="2" s="1"/>
  <c r="O664" i="2"/>
  <c r="F664" i="2"/>
  <c r="E664" i="2"/>
  <c r="D664" i="2"/>
  <c r="G664" i="2" s="1"/>
  <c r="AA664" i="2"/>
  <c r="J664" i="4"/>
  <c r="N664" i="4" s="1"/>
  <c r="M663" i="2"/>
  <c r="F663" i="2"/>
  <c r="D663" i="2"/>
  <c r="E663" i="2"/>
  <c r="AA663" i="2"/>
  <c r="J663" i="4"/>
  <c r="N663" i="4" s="1"/>
  <c r="M662" i="2"/>
  <c r="N662" i="2" s="1"/>
  <c r="O662" i="2"/>
  <c r="F662" i="2"/>
  <c r="E662" i="2"/>
  <c r="D662" i="2"/>
  <c r="G662" i="2" s="1"/>
  <c r="AA662" i="2"/>
  <c r="J662" i="4"/>
  <c r="N662" i="4" s="1"/>
  <c r="M661" i="2"/>
  <c r="E661" i="2"/>
  <c r="D661" i="2"/>
  <c r="F661" i="2"/>
  <c r="AA661" i="2"/>
  <c r="J661" i="4"/>
  <c r="N661" i="4" s="1"/>
  <c r="M660" i="2"/>
  <c r="D660" i="2"/>
  <c r="E660" i="2"/>
  <c r="F660" i="2"/>
  <c r="J660" i="4"/>
  <c r="N660" i="4" s="1"/>
  <c r="AA660" i="2"/>
  <c r="E659" i="2"/>
  <c r="D659" i="2"/>
  <c r="F659" i="2"/>
  <c r="AA659" i="2"/>
  <c r="J659" i="4"/>
  <c r="N659" i="4" s="1"/>
  <c r="M658" i="2"/>
  <c r="D658" i="2"/>
  <c r="E658" i="2"/>
  <c r="F658" i="2"/>
  <c r="J658" i="4"/>
  <c r="N658" i="4" s="1"/>
  <c r="AA658" i="2"/>
  <c r="M657" i="2"/>
  <c r="D657" i="2"/>
  <c r="E657" i="2"/>
  <c r="F657" i="2"/>
  <c r="AA657" i="2"/>
  <c r="J657" i="4"/>
  <c r="N657" i="4" s="1"/>
  <c r="M656" i="2"/>
  <c r="N656" i="2" s="1"/>
  <c r="O656" i="2"/>
  <c r="F656" i="2"/>
  <c r="E656" i="2"/>
  <c r="D656" i="2"/>
  <c r="G656" i="2" s="1"/>
  <c r="J656" i="4"/>
  <c r="N656" i="4" s="1"/>
  <c r="AA656" i="2"/>
  <c r="M655" i="2"/>
  <c r="N655" i="2" s="1"/>
  <c r="O655" i="2"/>
  <c r="D655" i="2"/>
  <c r="F655" i="2"/>
  <c r="E655" i="2"/>
  <c r="J655" i="4"/>
  <c r="N655" i="4" s="1"/>
  <c r="AA655" i="2"/>
  <c r="M654" i="2"/>
  <c r="F654" i="2"/>
  <c r="D654" i="2"/>
  <c r="E654" i="2"/>
  <c r="AA654" i="2"/>
  <c r="J654" i="4"/>
  <c r="N654" i="4" s="1"/>
  <c r="M653" i="2"/>
  <c r="M652" i="2"/>
  <c r="N652" i="2" s="1"/>
  <c r="O652" i="2"/>
  <c r="F652" i="2"/>
  <c r="D652" i="2"/>
  <c r="E652" i="2"/>
  <c r="AA652" i="2"/>
  <c r="M651" i="2"/>
  <c r="F651" i="2"/>
  <c r="E651" i="2"/>
  <c r="D651" i="2"/>
  <c r="G651" i="2" s="1"/>
  <c r="AA651" i="2"/>
  <c r="M650" i="2"/>
  <c r="D650" i="2"/>
  <c r="E650" i="2"/>
  <c r="F650" i="2"/>
  <c r="AA650" i="2"/>
  <c r="M649" i="2"/>
  <c r="D649" i="2"/>
  <c r="F649" i="2"/>
  <c r="E649" i="2"/>
  <c r="AA649" i="2"/>
  <c r="M648" i="2"/>
  <c r="N648" i="2" s="1"/>
  <c r="O648" i="2"/>
  <c r="F648" i="2"/>
  <c r="D648" i="2"/>
  <c r="E648" i="2"/>
  <c r="AA648" i="2"/>
  <c r="M647" i="2"/>
  <c r="F647" i="2"/>
  <c r="E647" i="2"/>
  <c r="D647" i="2"/>
  <c r="AA647" i="2"/>
  <c r="M646" i="2"/>
  <c r="E646" i="2"/>
  <c r="D646" i="2"/>
  <c r="F646" i="2"/>
  <c r="AA646" i="2"/>
  <c r="M645" i="2"/>
  <c r="D645" i="2"/>
  <c r="F645" i="2"/>
  <c r="E645" i="2"/>
  <c r="AA645" i="2"/>
  <c r="M644" i="2"/>
  <c r="F644" i="2"/>
  <c r="E644" i="2"/>
  <c r="D644" i="2"/>
  <c r="G644" i="2" s="1"/>
  <c r="AA644" i="2"/>
  <c r="M643" i="2"/>
  <c r="F643" i="2"/>
  <c r="E643" i="2"/>
  <c r="D643" i="2"/>
  <c r="AA643" i="2"/>
  <c r="M642" i="2"/>
  <c r="F642" i="2"/>
  <c r="E642" i="2"/>
  <c r="D642" i="2"/>
  <c r="G642" i="2" s="1"/>
  <c r="AA642" i="2"/>
  <c r="M641" i="2"/>
  <c r="E641" i="2"/>
  <c r="D641" i="2"/>
  <c r="F641" i="2"/>
  <c r="AA641" i="2"/>
  <c r="M640" i="2"/>
  <c r="E640" i="2"/>
  <c r="D640" i="2"/>
  <c r="F640" i="2"/>
  <c r="AA640" i="2"/>
  <c r="M639" i="2"/>
  <c r="D639" i="2"/>
  <c r="F639" i="2"/>
  <c r="E639" i="2"/>
  <c r="AA639" i="2"/>
  <c r="M638" i="2"/>
  <c r="N638" i="2" s="1"/>
  <c r="O638" i="2"/>
  <c r="D638" i="2"/>
  <c r="F638" i="2"/>
  <c r="E638" i="2"/>
  <c r="AA638" i="2"/>
  <c r="M637" i="2"/>
  <c r="N637" i="2" s="1"/>
  <c r="O637" i="2"/>
  <c r="D637" i="2"/>
  <c r="E637" i="2"/>
  <c r="F637" i="2"/>
  <c r="AA637" i="2"/>
  <c r="M636" i="2"/>
  <c r="D636" i="2"/>
  <c r="E636" i="2"/>
  <c r="F636" i="2"/>
  <c r="AA636" i="2"/>
  <c r="M635" i="2"/>
  <c r="N635" i="2" s="1"/>
  <c r="O635" i="2"/>
  <c r="D635" i="2"/>
  <c r="E635" i="2"/>
  <c r="F635" i="2"/>
  <c r="AA635" i="2"/>
  <c r="M634" i="2"/>
  <c r="F634" i="2"/>
  <c r="E634" i="2"/>
  <c r="D634" i="2"/>
  <c r="G634" i="2" s="1"/>
  <c r="AA634" i="2"/>
  <c r="M633" i="2"/>
  <c r="E633" i="2"/>
  <c r="F633" i="2"/>
  <c r="D633" i="2"/>
  <c r="AA633" i="2"/>
  <c r="M632" i="2"/>
  <c r="E632" i="2"/>
  <c r="F632" i="2"/>
  <c r="D632" i="2"/>
  <c r="G632" i="2" s="1"/>
  <c r="AA632" i="2"/>
  <c r="M631" i="2"/>
  <c r="N631" i="2" s="1"/>
  <c r="O631" i="2"/>
  <c r="F631" i="2"/>
  <c r="D631" i="2"/>
  <c r="E631" i="2"/>
  <c r="AA631" i="2"/>
  <c r="M630" i="2"/>
  <c r="F630" i="2"/>
  <c r="E630" i="2"/>
  <c r="D630" i="2"/>
  <c r="G630" i="2" s="1"/>
  <c r="AA630" i="2"/>
  <c r="M629" i="2"/>
  <c r="N629" i="2" s="1"/>
  <c r="O629" i="2"/>
  <c r="D629" i="2"/>
  <c r="E629" i="2"/>
  <c r="F629" i="2"/>
  <c r="AA629" i="2"/>
  <c r="M628" i="2"/>
  <c r="N628" i="2" s="1"/>
  <c r="O628" i="2"/>
  <c r="F628" i="2"/>
  <c r="E628" i="2"/>
  <c r="D628" i="2"/>
  <c r="G628" i="2" s="1"/>
  <c r="AA628" i="2"/>
  <c r="M627" i="2"/>
  <c r="N627" i="2" s="1"/>
  <c r="O627" i="2"/>
  <c r="E627" i="2"/>
  <c r="F627" i="2"/>
  <c r="D627" i="2"/>
  <c r="G627" i="2" s="1"/>
  <c r="AA627" i="2"/>
  <c r="M626" i="2"/>
  <c r="N626" i="2" s="1"/>
  <c r="O626" i="2"/>
  <c r="D626" i="2"/>
  <c r="E626" i="2"/>
  <c r="F626" i="2"/>
  <c r="AA626" i="2"/>
  <c r="M625" i="2"/>
  <c r="N625" i="2" s="1"/>
  <c r="O625" i="2"/>
  <c r="D625" i="2"/>
  <c r="E625" i="2"/>
  <c r="F625" i="2"/>
  <c r="AA625" i="2"/>
  <c r="M624" i="2"/>
  <c r="N624" i="2" s="1"/>
  <c r="O624" i="2"/>
  <c r="D624" i="2"/>
  <c r="E624" i="2"/>
  <c r="F624" i="2"/>
  <c r="AA624" i="2"/>
  <c r="M623" i="2"/>
  <c r="E623" i="2"/>
  <c r="F623" i="2"/>
  <c r="D623" i="2"/>
  <c r="G623" i="2" s="1"/>
  <c r="AA623" i="2"/>
  <c r="M622" i="2"/>
  <c r="N622" i="2" s="1"/>
  <c r="O622" i="2"/>
  <c r="F622" i="2"/>
  <c r="E622" i="2"/>
  <c r="D622" i="2"/>
  <c r="G622" i="2" s="1"/>
  <c r="AA622" i="2"/>
  <c r="M621" i="2"/>
  <c r="F621" i="2"/>
  <c r="E621" i="2"/>
  <c r="D621" i="2"/>
  <c r="G621" i="2" s="1"/>
  <c r="AA621" i="2"/>
  <c r="M620" i="2"/>
  <c r="D620" i="2"/>
  <c r="E620" i="2"/>
  <c r="F620" i="2"/>
  <c r="AA620" i="2"/>
  <c r="M619" i="2"/>
  <c r="D619" i="2"/>
  <c r="F619" i="2"/>
  <c r="E619" i="2"/>
  <c r="AA619" i="2"/>
  <c r="M618" i="2"/>
  <c r="N618" i="2" s="1"/>
  <c r="O618" i="2"/>
  <c r="D618" i="2"/>
  <c r="E618" i="2"/>
  <c r="F618" i="2"/>
  <c r="AA618" i="2"/>
  <c r="M617" i="2"/>
  <c r="N617" i="2" s="1"/>
  <c r="O617" i="2"/>
  <c r="D617" i="2"/>
  <c r="F617" i="2"/>
  <c r="E617" i="2"/>
  <c r="AA617" i="2"/>
  <c r="M616" i="2"/>
  <c r="E616" i="2"/>
  <c r="D616" i="2"/>
  <c r="F616" i="2"/>
  <c r="AA616" i="2"/>
  <c r="M615" i="2"/>
  <c r="F615" i="2"/>
  <c r="E615" i="2"/>
  <c r="D615" i="2"/>
  <c r="AA615" i="2"/>
  <c r="M614" i="2"/>
  <c r="F614" i="2"/>
  <c r="E614" i="2"/>
  <c r="D614" i="2"/>
  <c r="AA614" i="2"/>
  <c r="M613" i="2"/>
  <c r="N613" i="2" s="1"/>
  <c r="O613" i="2"/>
  <c r="F613" i="2"/>
  <c r="E613" i="2"/>
  <c r="D613" i="2"/>
  <c r="G613" i="2" s="1"/>
  <c r="AA613" i="2"/>
  <c r="M612" i="2"/>
  <c r="F612" i="2"/>
  <c r="E612" i="2"/>
  <c r="D612" i="2"/>
  <c r="G612" i="2" s="1"/>
  <c r="AA612" i="2"/>
  <c r="M611" i="2"/>
  <c r="F611" i="2"/>
  <c r="E611" i="2"/>
  <c r="D611" i="2"/>
  <c r="AA611" i="2"/>
  <c r="M610" i="2"/>
  <c r="F610" i="2"/>
  <c r="E610" i="2"/>
  <c r="D610" i="2"/>
  <c r="G610" i="2" s="1"/>
  <c r="AA610" i="2"/>
  <c r="M609" i="2"/>
  <c r="F609" i="2"/>
  <c r="E609" i="2"/>
  <c r="D609" i="2"/>
  <c r="G609" i="2" s="1"/>
  <c r="AA609" i="2"/>
  <c r="M608" i="2"/>
  <c r="F608" i="2"/>
  <c r="E608" i="2"/>
  <c r="D608" i="2"/>
  <c r="G608" i="2" s="1"/>
  <c r="AA608" i="2"/>
  <c r="M607" i="2"/>
  <c r="F607" i="2"/>
  <c r="E607" i="2"/>
  <c r="D607" i="2"/>
  <c r="G607" i="2" s="1"/>
  <c r="AA607" i="2"/>
  <c r="M606" i="2"/>
  <c r="F606" i="2"/>
  <c r="D606" i="2"/>
  <c r="E606" i="2"/>
  <c r="AA606" i="2"/>
  <c r="M605" i="2"/>
  <c r="N605" i="2" s="1"/>
  <c r="O605" i="2"/>
  <c r="D605" i="2"/>
  <c r="E605" i="2"/>
  <c r="F605" i="2"/>
  <c r="AA605" i="2"/>
  <c r="M604" i="2"/>
  <c r="F604" i="2"/>
  <c r="E604" i="2"/>
  <c r="D604" i="2"/>
  <c r="AA604" i="2"/>
  <c r="M603" i="2"/>
  <c r="F603" i="2"/>
  <c r="E603" i="2"/>
  <c r="D603" i="2"/>
  <c r="G603" i="2" s="1"/>
  <c r="AA603" i="2"/>
  <c r="M602" i="2"/>
  <c r="N602" i="2" s="1"/>
  <c r="O602" i="2"/>
  <c r="D602" i="2"/>
  <c r="E602" i="2"/>
  <c r="F602" i="2"/>
  <c r="AA602" i="2"/>
  <c r="M601" i="2"/>
  <c r="F601" i="2"/>
  <c r="E601" i="2"/>
  <c r="D601" i="2"/>
  <c r="G601" i="2" s="1"/>
  <c r="AA601" i="2"/>
  <c r="M600" i="2"/>
  <c r="N600" i="2" s="1"/>
  <c r="O600" i="2"/>
  <c r="F600" i="2"/>
  <c r="D600" i="2"/>
  <c r="E600" i="2"/>
  <c r="AA600" i="2"/>
  <c r="M599" i="2"/>
  <c r="N599" i="2" s="1"/>
  <c r="O599" i="2"/>
  <c r="F599" i="2"/>
  <c r="D599" i="2"/>
  <c r="E599" i="2"/>
  <c r="AA599" i="2"/>
  <c r="M598" i="2"/>
  <c r="N598" i="2" s="1"/>
  <c r="O598" i="2"/>
  <c r="D598" i="2"/>
  <c r="F598" i="2"/>
  <c r="E598" i="2"/>
  <c r="AA598" i="2"/>
  <c r="M597" i="2"/>
  <c r="N597" i="2" s="1"/>
  <c r="O597" i="2"/>
  <c r="F597" i="2"/>
  <c r="D597" i="2"/>
  <c r="E597" i="2"/>
  <c r="AA597" i="2"/>
  <c r="M596" i="2"/>
  <c r="F596" i="2"/>
  <c r="E596" i="2"/>
  <c r="D596" i="2"/>
  <c r="AA596" i="2"/>
  <c r="M595" i="2"/>
  <c r="F595" i="2"/>
  <c r="E595" i="2"/>
  <c r="D595" i="2"/>
  <c r="AA595" i="2"/>
  <c r="M594" i="2"/>
  <c r="F594" i="2"/>
  <c r="E594" i="2"/>
  <c r="D594" i="2"/>
  <c r="G594" i="2" s="1"/>
  <c r="AA594" i="2"/>
  <c r="M593" i="2"/>
  <c r="D593" i="2"/>
  <c r="E593" i="2"/>
  <c r="F593" i="2"/>
  <c r="AA593" i="2"/>
  <c r="M592" i="2"/>
  <c r="N592" i="2" s="1"/>
  <c r="O592" i="2"/>
  <c r="E592" i="2"/>
  <c r="F592" i="2"/>
  <c r="D592" i="2"/>
  <c r="G592" i="2" s="1"/>
  <c r="AA592" i="2"/>
  <c r="M591" i="2"/>
  <c r="N591" i="2" s="1"/>
  <c r="O591" i="2"/>
  <c r="E591" i="2"/>
  <c r="D591" i="2"/>
  <c r="F591" i="2"/>
  <c r="AA591" i="2"/>
  <c r="M590" i="2"/>
  <c r="D590" i="2"/>
  <c r="E590" i="2"/>
  <c r="F590" i="2"/>
  <c r="AA590" i="2"/>
  <c r="M589" i="2"/>
  <c r="E589" i="2"/>
  <c r="D589" i="2"/>
  <c r="F589" i="2"/>
  <c r="AA589" i="2"/>
  <c r="M588" i="2"/>
  <c r="F588" i="2"/>
  <c r="E588" i="2"/>
  <c r="D588" i="2"/>
  <c r="AA588" i="2"/>
  <c r="M587" i="2"/>
  <c r="E587" i="2"/>
  <c r="F587" i="2"/>
  <c r="D587" i="2"/>
  <c r="G587" i="2" s="1"/>
  <c r="AA587" i="2"/>
  <c r="M586" i="2"/>
  <c r="D586" i="2"/>
  <c r="F586" i="2"/>
  <c r="E586" i="2"/>
  <c r="J586" i="4"/>
  <c r="N586" i="4" s="1"/>
  <c r="AA586" i="2"/>
  <c r="M585" i="2"/>
  <c r="E585" i="2"/>
  <c r="D585" i="2"/>
  <c r="F585" i="2"/>
  <c r="AA585" i="2"/>
  <c r="J585" i="4"/>
  <c r="N585" i="4" s="1"/>
  <c r="M584" i="2"/>
  <c r="F584" i="2"/>
  <c r="E584" i="2"/>
  <c r="D584" i="2"/>
  <c r="J584" i="4"/>
  <c r="N584" i="4" s="1"/>
  <c r="AA584" i="2"/>
  <c r="M583" i="2"/>
  <c r="E583" i="2"/>
  <c r="F583" i="2"/>
  <c r="D583" i="2"/>
  <c r="J583" i="4"/>
  <c r="N583" i="4" s="1"/>
  <c r="AA583" i="2"/>
  <c r="M582" i="2"/>
  <c r="N582" i="2" s="1"/>
  <c r="O582" i="2"/>
  <c r="E582" i="2"/>
  <c r="F582" i="2"/>
  <c r="D582" i="2"/>
  <c r="G582" i="2" s="1"/>
  <c r="AA582" i="2"/>
  <c r="J582" i="4"/>
  <c r="N582" i="4" s="1"/>
  <c r="M581" i="2"/>
  <c r="D581" i="2"/>
  <c r="E581" i="2"/>
  <c r="F581" i="2"/>
  <c r="AA581" i="2"/>
  <c r="J581" i="4"/>
  <c r="N581" i="4" s="1"/>
  <c r="M580" i="2"/>
  <c r="F580" i="2"/>
  <c r="E580" i="2"/>
  <c r="D580" i="2"/>
  <c r="G580" i="2" s="1"/>
  <c r="AA580" i="2"/>
  <c r="J580" i="4"/>
  <c r="N580" i="4" s="1"/>
  <c r="M579" i="2"/>
  <c r="F579" i="2"/>
  <c r="D579" i="2"/>
  <c r="E579" i="2"/>
  <c r="AA579" i="2"/>
  <c r="J579" i="4"/>
  <c r="N579" i="4" s="1"/>
  <c r="M578" i="2"/>
  <c r="F578" i="2"/>
  <c r="E578" i="2"/>
  <c r="D578" i="2"/>
  <c r="AA578" i="2"/>
  <c r="J578" i="4"/>
  <c r="N578" i="4" s="1"/>
  <c r="M577" i="2"/>
  <c r="N577" i="2" s="1"/>
  <c r="O577" i="2"/>
  <c r="F577" i="2"/>
  <c r="E577" i="2"/>
  <c r="D577" i="2"/>
  <c r="G577" i="2" s="1"/>
  <c r="J577" i="4"/>
  <c r="N577" i="4" s="1"/>
  <c r="AA577" i="2"/>
  <c r="M576" i="2"/>
  <c r="N576" i="2" s="1"/>
  <c r="O576" i="2"/>
  <c r="F576" i="2"/>
  <c r="E576" i="2"/>
  <c r="D576" i="2"/>
  <c r="J576" i="4"/>
  <c r="N576" i="4" s="1"/>
  <c r="AA576" i="2"/>
  <c r="M575" i="2"/>
  <c r="N575" i="2" s="1"/>
  <c r="O575" i="2"/>
  <c r="F575" i="2"/>
  <c r="E575" i="2"/>
  <c r="D575" i="2"/>
  <c r="G575" i="2" s="1"/>
  <c r="AA575" i="2"/>
  <c r="J575" i="4"/>
  <c r="N575" i="4" s="1"/>
  <c r="M574" i="2"/>
  <c r="F574" i="2"/>
  <c r="E574" i="2"/>
  <c r="D574" i="2"/>
  <c r="G574" i="2" s="1"/>
  <c r="J574" i="4"/>
  <c r="N574" i="4" s="1"/>
  <c r="AA574" i="2"/>
  <c r="M573" i="2"/>
  <c r="F573" i="2"/>
  <c r="E573" i="2"/>
  <c r="D573" i="2"/>
  <c r="J573" i="4"/>
  <c r="N573" i="4" s="1"/>
  <c r="AA573" i="2"/>
  <c r="M572" i="2"/>
  <c r="N572" i="2" s="1"/>
  <c r="O572" i="2"/>
  <c r="E572" i="2"/>
  <c r="D572" i="2"/>
  <c r="F572" i="2"/>
  <c r="J572" i="4"/>
  <c r="N572" i="4" s="1"/>
  <c r="AA572" i="2"/>
  <c r="M571" i="2"/>
  <c r="N571" i="2" s="1"/>
  <c r="O571" i="2"/>
  <c r="F571" i="2"/>
  <c r="E571" i="2"/>
  <c r="D571" i="2"/>
  <c r="G571" i="2" s="1"/>
  <c r="J571" i="4"/>
  <c r="N571" i="4" s="1"/>
  <c r="AA571" i="2"/>
  <c r="M570" i="2"/>
  <c r="D570" i="2"/>
  <c r="F570" i="2"/>
  <c r="E570" i="2"/>
  <c r="J570" i="4"/>
  <c r="N570" i="4" s="1"/>
  <c r="AA570" i="2"/>
  <c r="M569" i="2"/>
  <c r="D569" i="2"/>
  <c r="E569" i="2"/>
  <c r="F569" i="2"/>
  <c r="J569" i="4"/>
  <c r="N569" i="4" s="1"/>
  <c r="AA569" i="2"/>
  <c r="M568" i="2"/>
  <c r="F568" i="2"/>
  <c r="E568" i="2"/>
  <c r="D568" i="2"/>
  <c r="AA568" i="2"/>
  <c r="J568" i="4"/>
  <c r="N568" i="4" s="1"/>
  <c r="M567" i="2"/>
  <c r="F567" i="2"/>
  <c r="E567" i="2"/>
  <c r="D567" i="2"/>
  <c r="J567" i="4"/>
  <c r="N567" i="4" s="1"/>
  <c r="AA567" i="2"/>
  <c r="M566" i="2"/>
  <c r="F566" i="2"/>
  <c r="E566" i="2"/>
  <c r="D566" i="2"/>
  <c r="G566" i="2" s="1"/>
  <c r="J566" i="4"/>
  <c r="N566" i="4" s="1"/>
  <c r="AA566" i="2"/>
  <c r="M565" i="2"/>
  <c r="N565" i="2" s="1"/>
  <c r="O565" i="2"/>
  <c r="E565" i="2"/>
  <c r="F565" i="2"/>
  <c r="D565" i="2"/>
  <c r="G565" i="2" s="1"/>
  <c r="J565" i="4"/>
  <c r="N565" i="4" s="1"/>
  <c r="AA565" i="2"/>
  <c r="M564" i="2"/>
  <c r="N564" i="2" s="1"/>
  <c r="O564" i="2"/>
  <c r="F564" i="2"/>
  <c r="E564" i="2"/>
  <c r="D564" i="2"/>
  <c r="G564" i="2" s="1"/>
  <c r="J564" i="4"/>
  <c r="N564" i="4" s="1"/>
  <c r="AA564" i="2"/>
  <c r="M563" i="2"/>
  <c r="D563" i="2"/>
  <c r="E563" i="2"/>
  <c r="F563" i="2"/>
  <c r="J563" i="4"/>
  <c r="N563" i="4" s="1"/>
  <c r="AA563" i="2"/>
  <c r="M562" i="2"/>
  <c r="D562" i="2"/>
  <c r="E562" i="2"/>
  <c r="F562" i="2"/>
  <c r="AA562" i="2"/>
  <c r="J562" i="4"/>
  <c r="N562" i="4" s="1"/>
  <c r="M561" i="2"/>
  <c r="N561" i="2" s="1"/>
  <c r="O561" i="2"/>
  <c r="F561" i="2"/>
  <c r="E561" i="2"/>
  <c r="D561" i="2"/>
  <c r="AA561" i="2"/>
  <c r="J561" i="4"/>
  <c r="N561" i="4" s="1"/>
  <c r="M560" i="2"/>
  <c r="N560" i="2" s="1"/>
  <c r="O560" i="2"/>
  <c r="F560" i="2"/>
  <c r="D560" i="2"/>
  <c r="E560" i="2"/>
  <c r="AA560" i="2"/>
  <c r="J560" i="4"/>
  <c r="N560" i="4" s="1"/>
  <c r="M559" i="2"/>
  <c r="D559" i="2"/>
  <c r="E559" i="2"/>
  <c r="F559" i="2"/>
  <c r="AA559" i="2"/>
  <c r="J559" i="4"/>
  <c r="N559" i="4" s="1"/>
  <c r="M558" i="2"/>
  <c r="D558" i="2"/>
  <c r="F558" i="2"/>
  <c r="E558" i="2"/>
  <c r="AA558" i="2"/>
  <c r="J558" i="4"/>
  <c r="N558" i="4" s="1"/>
  <c r="M557" i="2"/>
  <c r="F557" i="2"/>
  <c r="E557" i="2"/>
  <c r="D557" i="2"/>
  <c r="AA557" i="2"/>
  <c r="J557" i="4"/>
  <c r="N557" i="4" s="1"/>
  <c r="M556" i="2"/>
  <c r="N556" i="2" s="1"/>
  <c r="O556" i="2"/>
  <c r="F556" i="2"/>
  <c r="D556" i="2"/>
  <c r="E556" i="2"/>
  <c r="AA556" i="2"/>
  <c r="J556" i="4"/>
  <c r="N556" i="4" s="1"/>
  <c r="M555" i="2"/>
  <c r="D555" i="2"/>
  <c r="F555" i="2"/>
  <c r="E555" i="2"/>
  <c r="AA555" i="2"/>
  <c r="J555" i="4"/>
  <c r="N555" i="4" s="1"/>
  <c r="M554" i="2"/>
  <c r="E554" i="2"/>
  <c r="F554" i="2"/>
  <c r="D554" i="2"/>
  <c r="J554" i="4"/>
  <c r="N554" i="4" s="1"/>
  <c r="AA554" i="2"/>
  <c r="M553" i="2"/>
  <c r="E553" i="2"/>
  <c r="D553" i="2"/>
  <c r="F553" i="2"/>
  <c r="J553" i="4"/>
  <c r="N553" i="4" s="1"/>
  <c r="AA553" i="2"/>
  <c r="M552" i="2"/>
  <c r="F552" i="2"/>
  <c r="D552" i="2"/>
  <c r="E552" i="2"/>
  <c r="J552" i="4"/>
  <c r="N552" i="4" s="1"/>
  <c r="AA552" i="2"/>
  <c r="M551" i="2"/>
  <c r="F551" i="2"/>
  <c r="E551" i="2"/>
  <c r="D551" i="2"/>
  <c r="G551" i="2" s="1"/>
  <c r="J551" i="4"/>
  <c r="N551" i="4" s="1"/>
  <c r="AA551" i="2"/>
  <c r="M550" i="2"/>
  <c r="D550" i="2"/>
  <c r="F550" i="2"/>
  <c r="E550" i="2"/>
  <c r="J550" i="4"/>
  <c r="N550" i="4" s="1"/>
  <c r="AA550" i="2"/>
  <c r="M549" i="2"/>
  <c r="N549" i="2" s="1"/>
  <c r="O549" i="2"/>
  <c r="F549" i="2"/>
  <c r="E549" i="2"/>
  <c r="D549" i="2"/>
  <c r="G549" i="2" s="1"/>
  <c r="J549" i="4"/>
  <c r="N549" i="4" s="1"/>
  <c r="AA549" i="2"/>
  <c r="M548" i="2"/>
  <c r="F548" i="2"/>
  <c r="D548" i="2"/>
  <c r="E548" i="2"/>
  <c r="AA548" i="2"/>
  <c r="J548" i="4"/>
  <c r="N548" i="4" s="1"/>
  <c r="M547" i="2"/>
  <c r="N547" i="2" s="1"/>
  <c r="O547" i="2"/>
  <c r="F547" i="2"/>
  <c r="E547" i="2"/>
  <c r="D547" i="2"/>
  <c r="J547" i="4"/>
  <c r="N547" i="4" s="1"/>
  <c r="AA547" i="2"/>
  <c r="M546" i="2"/>
  <c r="F546" i="2"/>
  <c r="E546" i="2"/>
  <c r="D546" i="2"/>
  <c r="J546" i="4"/>
  <c r="N546" i="4" s="1"/>
  <c r="AA546" i="2"/>
  <c r="M545" i="2"/>
  <c r="D545" i="2"/>
  <c r="E545" i="2"/>
  <c r="F545" i="2"/>
  <c r="J545" i="4"/>
  <c r="N545" i="4" s="1"/>
  <c r="AA545" i="2"/>
  <c r="M544" i="2"/>
  <c r="N544" i="2" s="1"/>
  <c r="O544" i="2"/>
  <c r="D544" i="2"/>
  <c r="F544" i="2"/>
  <c r="E544" i="2"/>
  <c r="AA544" i="2"/>
  <c r="J544" i="4"/>
  <c r="N544" i="4" s="1"/>
  <c r="M543" i="2"/>
  <c r="N543" i="2" s="1"/>
  <c r="O543" i="2"/>
  <c r="F543" i="2"/>
  <c r="D543" i="2"/>
  <c r="E543" i="2"/>
  <c r="AA543" i="2"/>
  <c r="J543" i="4"/>
  <c r="N543" i="4" s="1"/>
  <c r="M542" i="2"/>
  <c r="N542" i="2" s="1"/>
  <c r="O542" i="2"/>
  <c r="F542" i="2"/>
  <c r="D542" i="2"/>
  <c r="E542" i="2"/>
  <c r="AA542" i="2"/>
  <c r="J542" i="4"/>
  <c r="N542" i="4" s="1"/>
  <c r="M541" i="2"/>
  <c r="N541" i="2" s="1"/>
  <c r="O541" i="2"/>
  <c r="D541" i="2"/>
  <c r="F541" i="2"/>
  <c r="E541" i="2"/>
  <c r="J541" i="4"/>
  <c r="N541" i="4" s="1"/>
  <c r="AA541" i="2"/>
  <c r="M540" i="2"/>
  <c r="N540" i="2" s="1"/>
  <c r="O540" i="2"/>
  <c r="D540" i="2"/>
  <c r="E540" i="2"/>
  <c r="F540" i="2"/>
  <c r="AA540" i="2"/>
  <c r="J540" i="4"/>
  <c r="N540" i="4" s="1"/>
  <c r="M539" i="2"/>
  <c r="N539" i="2" s="1"/>
  <c r="O539" i="2"/>
  <c r="D539" i="2"/>
  <c r="E539" i="2"/>
  <c r="F539" i="2"/>
  <c r="J539" i="4"/>
  <c r="N539" i="4" s="1"/>
  <c r="AA539" i="2"/>
  <c r="M538" i="2"/>
  <c r="D538" i="2"/>
  <c r="E538" i="2"/>
  <c r="F538" i="2"/>
  <c r="AA538" i="2"/>
  <c r="J538" i="4"/>
  <c r="N538" i="4" s="1"/>
  <c r="M537" i="2"/>
  <c r="F537" i="2"/>
  <c r="E537" i="2"/>
  <c r="D537" i="2"/>
  <c r="J537" i="4"/>
  <c r="N537" i="4" s="1"/>
  <c r="AA537" i="2"/>
  <c r="M536" i="2"/>
  <c r="D536" i="2"/>
  <c r="F536" i="2"/>
  <c r="E536" i="2"/>
  <c r="J536" i="4"/>
  <c r="N536" i="4" s="1"/>
  <c r="AA536" i="2"/>
  <c r="M535" i="2"/>
  <c r="F535" i="2"/>
  <c r="E535" i="2"/>
  <c r="D535" i="2"/>
  <c r="J535" i="4"/>
  <c r="N535" i="4" s="1"/>
  <c r="AA535" i="2"/>
  <c r="M534" i="2"/>
  <c r="E534" i="2"/>
  <c r="F534" i="2"/>
  <c r="D534" i="2"/>
  <c r="G534" i="2" s="1"/>
  <c r="AA534" i="2"/>
  <c r="J534" i="4"/>
  <c r="N534" i="4" s="1"/>
  <c r="M533" i="2"/>
  <c r="N533" i="2" s="1"/>
  <c r="O533" i="2"/>
  <c r="F533" i="2"/>
  <c r="E533" i="2"/>
  <c r="D533" i="2"/>
  <c r="G533" i="2" s="1"/>
  <c r="J533" i="4"/>
  <c r="N533" i="4" s="1"/>
  <c r="AA533" i="2"/>
  <c r="M532" i="2"/>
  <c r="D532" i="2"/>
  <c r="F532" i="2"/>
  <c r="E532" i="2"/>
  <c r="J532" i="4"/>
  <c r="N532" i="4" s="1"/>
  <c r="AA532" i="2"/>
  <c r="M531" i="2"/>
  <c r="N531" i="2" s="1"/>
  <c r="O531" i="2"/>
  <c r="F531" i="2"/>
  <c r="E531" i="2"/>
  <c r="D531" i="2"/>
  <c r="AA531" i="2"/>
  <c r="J531" i="4"/>
  <c r="N531" i="4" s="1"/>
  <c r="M530" i="2"/>
  <c r="D530" i="2"/>
  <c r="E530" i="2"/>
  <c r="F530" i="2"/>
  <c r="AA530" i="2"/>
  <c r="J530" i="4"/>
  <c r="N530" i="4" s="1"/>
  <c r="M529" i="2"/>
  <c r="D529" i="2"/>
  <c r="E529" i="2"/>
  <c r="F529" i="2"/>
  <c r="AA529" i="2"/>
  <c r="J529" i="4"/>
  <c r="N529" i="4" s="1"/>
  <c r="M528" i="2"/>
  <c r="F528" i="2"/>
  <c r="D528" i="2"/>
  <c r="E528" i="2"/>
  <c r="J528" i="4"/>
  <c r="N528" i="4" s="1"/>
  <c r="AA528" i="2"/>
  <c r="M527" i="2"/>
  <c r="F527" i="2"/>
  <c r="D527" i="2"/>
  <c r="E527" i="2"/>
  <c r="J527" i="4"/>
  <c r="N527" i="4" s="1"/>
  <c r="AA527" i="2"/>
  <c r="M526" i="2"/>
  <c r="F526" i="2"/>
  <c r="E526" i="2"/>
  <c r="D526" i="2"/>
  <c r="J526" i="4"/>
  <c r="N526" i="4" s="1"/>
  <c r="AA526" i="2"/>
  <c r="M525" i="2"/>
  <c r="F525" i="2"/>
  <c r="E525" i="2"/>
  <c r="D525" i="2"/>
  <c r="AA525" i="2"/>
  <c r="J525" i="4"/>
  <c r="N525" i="4" s="1"/>
  <c r="M524" i="2"/>
  <c r="D524" i="2"/>
  <c r="F524" i="2"/>
  <c r="E524" i="2"/>
  <c r="J524" i="4"/>
  <c r="N524" i="4" s="1"/>
  <c r="AA524" i="2"/>
  <c r="M523" i="2"/>
  <c r="N523" i="2" s="1"/>
  <c r="O523" i="2"/>
  <c r="E523" i="2"/>
  <c r="F523" i="2"/>
  <c r="D523" i="2"/>
  <c r="AA523" i="2"/>
  <c r="J523" i="4"/>
  <c r="N523" i="4" s="1"/>
  <c r="M522" i="2"/>
  <c r="D522" i="2"/>
  <c r="F522" i="2"/>
  <c r="E522" i="2"/>
  <c r="J522" i="4"/>
  <c r="N522" i="4" s="1"/>
  <c r="AA522" i="2"/>
  <c r="M521" i="2"/>
  <c r="D521" i="2"/>
  <c r="F521" i="2"/>
  <c r="E521" i="2"/>
  <c r="J521" i="4"/>
  <c r="N521" i="4" s="1"/>
  <c r="AA521" i="2"/>
  <c r="M520" i="2"/>
  <c r="F520" i="2"/>
  <c r="E520" i="2"/>
  <c r="D520" i="2"/>
  <c r="J520" i="4"/>
  <c r="N520" i="4" s="1"/>
  <c r="AA520" i="2"/>
  <c r="M519" i="2"/>
  <c r="F519" i="2"/>
  <c r="E519" i="2"/>
  <c r="D519" i="2"/>
  <c r="G519" i="2" s="1"/>
  <c r="J519" i="4"/>
  <c r="N519" i="4" s="1"/>
  <c r="AA519" i="2"/>
  <c r="M518" i="2"/>
  <c r="D518" i="2"/>
  <c r="F518" i="2"/>
  <c r="E518" i="2"/>
  <c r="J518" i="4"/>
  <c r="N518" i="4" s="1"/>
  <c r="AA518" i="2"/>
  <c r="M517" i="2"/>
  <c r="F517" i="2"/>
  <c r="E517" i="2"/>
  <c r="D517" i="2"/>
  <c r="G517" i="2" s="1"/>
  <c r="J517" i="4"/>
  <c r="N517" i="4" s="1"/>
  <c r="AA517" i="2"/>
  <c r="M516" i="2"/>
  <c r="D516" i="2"/>
  <c r="F516" i="2"/>
  <c r="E516" i="2"/>
  <c r="J516" i="4"/>
  <c r="N516" i="4" s="1"/>
  <c r="AA516" i="2"/>
  <c r="M515" i="2"/>
  <c r="D515" i="2"/>
  <c r="E515" i="2"/>
  <c r="F515" i="2"/>
  <c r="J515" i="4"/>
  <c r="N515" i="4" s="1"/>
  <c r="AA515" i="2"/>
  <c r="M514" i="2"/>
  <c r="N514" i="2" s="1"/>
  <c r="O514" i="2"/>
  <c r="D514" i="2"/>
  <c r="E514" i="2"/>
  <c r="F514" i="2"/>
  <c r="J514" i="4"/>
  <c r="N514" i="4" s="1"/>
  <c r="AA514" i="2"/>
  <c r="M513" i="2"/>
  <c r="N513" i="2" s="1"/>
  <c r="O513" i="2"/>
  <c r="E513" i="2"/>
  <c r="D513" i="2"/>
  <c r="F513" i="2"/>
  <c r="J513" i="4"/>
  <c r="N513" i="4" s="1"/>
  <c r="AA513" i="2"/>
  <c r="M512" i="2"/>
  <c r="F512" i="2"/>
  <c r="E512" i="2"/>
  <c r="D512" i="2"/>
  <c r="AA512" i="2"/>
  <c r="J512" i="4"/>
  <c r="N512" i="4" s="1"/>
  <c r="M511" i="2"/>
  <c r="F511" i="2"/>
  <c r="E511" i="2"/>
  <c r="D511" i="2"/>
  <c r="G511" i="2" s="1"/>
  <c r="AA511" i="2"/>
  <c r="J511" i="4"/>
  <c r="N511" i="4" s="1"/>
  <c r="M510" i="2"/>
  <c r="F510" i="2"/>
  <c r="E510" i="2"/>
  <c r="D510" i="2"/>
  <c r="AA510" i="2"/>
  <c r="J510" i="4"/>
  <c r="N510" i="4" s="1"/>
  <c r="M509" i="2"/>
  <c r="E509" i="2"/>
  <c r="F509" i="2"/>
  <c r="D509" i="2"/>
  <c r="G509" i="2" s="1"/>
  <c r="V509" i="2" s="1"/>
  <c r="AA509" i="2"/>
  <c r="J509" i="4"/>
  <c r="N509" i="4" s="1"/>
  <c r="M508" i="2"/>
  <c r="N508" i="2" s="1"/>
  <c r="O508" i="2"/>
  <c r="F508" i="2"/>
  <c r="E508" i="2"/>
  <c r="D508" i="2"/>
  <c r="G508" i="2" s="1"/>
  <c r="J508" i="4"/>
  <c r="N508" i="4" s="1"/>
  <c r="AA508" i="2"/>
  <c r="M507" i="2"/>
  <c r="E507" i="2"/>
  <c r="F507" i="2"/>
  <c r="D507" i="2"/>
  <c r="AA507" i="2"/>
  <c r="J507" i="4"/>
  <c r="N507" i="4" s="1"/>
  <c r="M506" i="2"/>
  <c r="N506" i="2" s="1"/>
  <c r="O506" i="2"/>
  <c r="E506" i="2"/>
  <c r="F506" i="2"/>
  <c r="D506" i="2"/>
  <c r="G506" i="2" s="1"/>
  <c r="J506" i="4"/>
  <c r="N506" i="4" s="1"/>
  <c r="AA506" i="2"/>
  <c r="M505" i="2"/>
  <c r="F505" i="2"/>
  <c r="D505" i="2"/>
  <c r="E505" i="2"/>
  <c r="AA505" i="2"/>
  <c r="J505" i="4"/>
  <c r="N505" i="4" s="1"/>
  <c r="M504" i="2"/>
  <c r="D504" i="2"/>
  <c r="E504" i="2"/>
  <c r="F504" i="2"/>
  <c r="J504" i="4"/>
  <c r="N504" i="4" s="1"/>
  <c r="AA504" i="2"/>
  <c r="M503" i="2"/>
  <c r="N503" i="2" s="1"/>
  <c r="O503" i="2"/>
  <c r="E503" i="2"/>
  <c r="D503" i="2"/>
  <c r="F503" i="2"/>
  <c r="AA503" i="2"/>
  <c r="J503" i="4"/>
  <c r="N503" i="4" s="1"/>
  <c r="M502" i="2"/>
  <c r="F502" i="2"/>
  <c r="E502" i="2"/>
  <c r="D502" i="2"/>
  <c r="G502" i="2" s="1"/>
  <c r="V502" i="2" s="1"/>
  <c r="J502" i="4"/>
  <c r="N502" i="4" s="1"/>
  <c r="AA502" i="2"/>
  <c r="M501" i="2"/>
  <c r="E501" i="2"/>
  <c r="D501" i="2"/>
  <c r="F501" i="2"/>
  <c r="J501" i="4"/>
  <c r="N501" i="4" s="1"/>
  <c r="AA501" i="2"/>
  <c r="M500" i="2"/>
  <c r="F500" i="2"/>
  <c r="D500" i="2"/>
  <c r="E500" i="2"/>
  <c r="J500" i="4"/>
  <c r="N500" i="4" s="1"/>
  <c r="AA500" i="2"/>
  <c r="M499" i="2"/>
  <c r="F499" i="2"/>
  <c r="E499" i="2"/>
  <c r="D499" i="2"/>
  <c r="J499" i="4"/>
  <c r="N499" i="4" s="1"/>
  <c r="AA499" i="2"/>
  <c r="M498" i="2"/>
  <c r="E498" i="2"/>
  <c r="D498" i="2"/>
  <c r="F498" i="2"/>
  <c r="J498" i="4"/>
  <c r="N498" i="4" s="1"/>
  <c r="AA498" i="2"/>
  <c r="M497" i="2"/>
  <c r="F497" i="2"/>
  <c r="E497" i="2"/>
  <c r="D497" i="2"/>
  <c r="G497" i="2" s="1"/>
  <c r="V497" i="2" s="1"/>
  <c r="J497" i="4"/>
  <c r="N497" i="4" s="1"/>
  <c r="AA497" i="2"/>
  <c r="M496" i="2"/>
  <c r="D496" i="2"/>
  <c r="F496" i="2"/>
  <c r="E496" i="2"/>
  <c r="J496" i="4"/>
  <c r="N496" i="4" s="1"/>
  <c r="AA496" i="2"/>
  <c r="M495" i="2"/>
  <c r="F495" i="2"/>
  <c r="D495" i="2"/>
  <c r="E495" i="2"/>
  <c r="J495" i="4"/>
  <c r="N495" i="4" s="1"/>
  <c r="AA495" i="2"/>
  <c r="M494" i="2"/>
  <c r="D494" i="2"/>
  <c r="E494" i="2"/>
  <c r="F494" i="2"/>
  <c r="J494" i="4"/>
  <c r="N494" i="4" s="1"/>
  <c r="AA494" i="2"/>
  <c r="M493" i="2"/>
  <c r="D493" i="2"/>
  <c r="E493" i="2"/>
  <c r="F493" i="2"/>
  <c r="J493" i="4"/>
  <c r="N493" i="4" s="1"/>
  <c r="AA493" i="2"/>
  <c r="M492" i="2"/>
  <c r="D492" i="2"/>
  <c r="F492" i="2"/>
  <c r="E492" i="2"/>
  <c r="J492" i="4"/>
  <c r="N492" i="4" s="1"/>
  <c r="AA492" i="2"/>
  <c r="M491" i="2"/>
  <c r="E491" i="2"/>
  <c r="D491" i="2"/>
  <c r="F491" i="2"/>
  <c r="J491" i="4"/>
  <c r="N491" i="4" s="1"/>
  <c r="AA491" i="2"/>
  <c r="M490" i="2"/>
  <c r="D490" i="2"/>
  <c r="E490" i="2"/>
  <c r="F490" i="2"/>
  <c r="M489" i="2"/>
  <c r="N489" i="2" s="1"/>
  <c r="O489" i="2"/>
  <c r="F489" i="2"/>
  <c r="E489" i="2"/>
  <c r="D489" i="2"/>
  <c r="G489" i="2" s="1"/>
  <c r="AA489" i="2"/>
  <c r="M488" i="2"/>
  <c r="N488" i="2" s="1"/>
  <c r="O488" i="2"/>
  <c r="F488" i="2"/>
  <c r="E488" i="2"/>
  <c r="D488" i="2"/>
  <c r="G488" i="2" s="1"/>
  <c r="AA488" i="2"/>
  <c r="M487" i="2"/>
  <c r="N487" i="2" s="1"/>
  <c r="O487" i="2"/>
  <c r="F487" i="2"/>
  <c r="E487" i="2"/>
  <c r="D487" i="2"/>
  <c r="G487" i="2" s="1"/>
  <c r="AA487" i="2"/>
  <c r="M486" i="2"/>
  <c r="N486" i="2" s="1"/>
  <c r="O486" i="2"/>
  <c r="E486" i="2"/>
  <c r="F486" i="2"/>
  <c r="D486" i="2"/>
  <c r="G486" i="2" s="1"/>
  <c r="AA486" i="2"/>
  <c r="M485" i="2"/>
  <c r="N485" i="2" s="1"/>
  <c r="O485" i="2"/>
  <c r="D485" i="2"/>
  <c r="F485" i="2"/>
  <c r="E485" i="2"/>
  <c r="AA485" i="2"/>
  <c r="M484" i="2"/>
  <c r="D484" i="2"/>
  <c r="E484" i="2"/>
  <c r="F484" i="2"/>
  <c r="AA484" i="2"/>
  <c r="M483" i="2"/>
  <c r="N483" i="2" s="1"/>
  <c r="O483" i="2"/>
  <c r="D483" i="2"/>
  <c r="F483" i="2"/>
  <c r="E483" i="2"/>
  <c r="AA483" i="2"/>
  <c r="M482" i="2"/>
  <c r="F482" i="2"/>
  <c r="E482" i="2"/>
  <c r="D482" i="2"/>
  <c r="G482" i="2" s="1"/>
  <c r="V482" i="2" s="1"/>
  <c r="AA482" i="2"/>
  <c r="M481" i="2"/>
  <c r="F481" i="2"/>
  <c r="E481" i="2"/>
  <c r="D481" i="2"/>
  <c r="G481" i="2" s="1"/>
  <c r="V481" i="2" s="1"/>
  <c r="AA481" i="2"/>
  <c r="M480" i="2"/>
  <c r="F480" i="2"/>
  <c r="E480" i="2"/>
  <c r="D480" i="2"/>
  <c r="G480" i="2" s="1"/>
  <c r="V480" i="2" s="1"/>
  <c r="AA480" i="2"/>
  <c r="M479" i="2"/>
  <c r="F479" i="2"/>
  <c r="E479" i="2"/>
  <c r="D479" i="2"/>
  <c r="AA479" i="2"/>
  <c r="M478" i="2"/>
  <c r="F478" i="2"/>
  <c r="E478" i="2"/>
  <c r="D478" i="2"/>
  <c r="AA478" i="2"/>
  <c r="M477" i="2"/>
  <c r="F477" i="2"/>
  <c r="E477" i="2"/>
  <c r="D477" i="2"/>
  <c r="G477" i="2" s="1"/>
  <c r="V477" i="2" s="1"/>
  <c r="AA477" i="2"/>
  <c r="M476" i="2"/>
  <c r="N476" i="2" s="1"/>
  <c r="O476" i="2"/>
  <c r="F476" i="2"/>
  <c r="E476" i="2"/>
  <c r="D476" i="2"/>
  <c r="G476" i="2" s="1"/>
  <c r="AA476" i="2"/>
  <c r="M475" i="2"/>
  <c r="N475" i="2" s="1"/>
  <c r="O475" i="2"/>
  <c r="F475" i="2"/>
  <c r="E475" i="2"/>
  <c r="D475" i="2"/>
  <c r="G475" i="2" s="1"/>
  <c r="AA475" i="2"/>
  <c r="M474" i="2"/>
  <c r="F474" i="2"/>
  <c r="E474" i="2"/>
  <c r="D474" i="2"/>
  <c r="G474" i="2" s="1"/>
  <c r="V474" i="2" s="1"/>
  <c r="AA474" i="2"/>
  <c r="M473" i="2"/>
  <c r="N473" i="2" s="1"/>
  <c r="O473" i="2"/>
  <c r="F473" i="2"/>
  <c r="E473" i="2"/>
  <c r="D473" i="2"/>
  <c r="G473" i="2" s="1"/>
  <c r="AA473" i="2"/>
  <c r="M472" i="2"/>
  <c r="D472" i="2"/>
  <c r="E472" i="2"/>
  <c r="F472" i="2"/>
  <c r="AA472" i="2"/>
  <c r="M471" i="2"/>
  <c r="E471" i="2"/>
  <c r="D471" i="2"/>
  <c r="F471" i="2"/>
  <c r="AA471" i="2"/>
  <c r="M470" i="2"/>
  <c r="N470" i="2" s="1"/>
  <c r="O470" i="2"/>
  <c r="D470" i="2"/>
  <c r="F470" i="2"/>
  <c r="E470" i="2"/>
  <c r="AA470" i="2"/>
  <c r="M469" i="2"/>
  <c r="N469" i="2" s="1"/>
  <c r="O469" i="2"/>
  <c r="D469" i="2"/>
  <c r="E469" i="2"/>
  <c r="F469" i="2"/>
  <c r="AA469" i="2"/>
  <c r="M468" i="2"/>
  <c r="N468" i="2" s="1"/>
  <c r="O468" i="2"/>
  <c r="D468" i="2"/>
  <c r="E468" i="2"/>
  <c r="F468" i="2"/>
  <c r="AA468" i="2"/>
  <c r="M467" i="2"/>
  <c r="F467" i="2"/>
  <c r="D467" i="2"/>
  <c r="E467" i="2"/>
  <c r="AA467" i="2"/>
  <c r="M466" i="2"/>
  <c r="F466" i="2"/>
  <c r="E466" i="2"/>
  <c r="D466" i="2"/>
  <c r="G466" i="2" s="1"/>
  <c r="V466" i="2" s="1"/>
  <c r="AA466" i="2"/>
  <c r="M465" i="2"/>
  <c r="N465" i="2" s="1"/>
  <c r="O465" i="2"/>
  <c r="E465" i="2"/>
  <c r="F465" i="2"/>
  <c r="D465" i="2"/>
  <c r="G465" i="2" s="1"/>
  <c r="AA465" i="2"/>
  <c r="M464" i="2"/>
  <c r="E464" i="2"/>
  <c r="F464" i="2"/>
  <c r="D464" i="2"/>
  <c r="G464" i="2" s="1"/>
  <c r="V464" i="2" s="1"/>
  <c r="AA464" i="2"/>
  <c r="M463" i="2"/>
  <c r="D463" i="2"/>
  <c r="F463" i="2"/>
  <c r="E463" i="2"/>
  <c r="AA463" i="2"/>
  <c r="M462" i="2"/>
  <c r="D462" i="2"/>
  <c r="E462" i="2"/>
  <c r="F462" i="2"/>
  <c r="AA462" i="2"/>
  <c r="M461" i="2"/>
  <c r="N461" i="2" s="1"/>
  <c r="O461" i="2"/>
  <c r="F461" i="2"/>
  <c r="D461" i="2"/>
  <c r="E461" i="2"/>
  <c r="AA461" i="2"/>
  <c r="M460" i="2"/>
  <c r="E460" i="2"/>
  <c r="D460" i="2"/>
  <c r="F460" i="2"/>
  <c r="AA460" i="2"/>
  <c r="M459" i="2"/>
  <c r="N459" i="2" s="1"/>
  <c r="O459" i="2"/>
  <c r="F459" i="2"/>
  <c r="D459" i="2"/>
  <c r="E459" i="2"/>
  <c r="AA459" i="2"/>
  <c r="M458" i="2"/>
  <c r="D458" i="2"/>
  <c r="E458" i="2"/>
  <c r="F458" i="2"/>
  <c r="AA458" i="2"/>
  <c r="M457" i="2"/>
  <c r="D457" i="2"/>
  <c r="E457" i="2"/>
  <c r="F457" i="2"/>
  <c r="AA457" i="2"/>
  <c r="M456" i="2"/>
  <c r="N456" i="2" s="1"/>
  <c r="O456" i="2"/>
  <c r="E456" i="2"/>
  <c r="F456" i="2"/>
  <c r="D456" i="2"/>
  <c r="G456" i="2" s="1"/>
  <c r="AA456" i="2"/>
  <c r="M455" i="2"/>
  <c r="D455" i="2"/>
  <c r="E455" i="2"/>
  <c r="F455" i="2"/>
  <c r="AA455" i="2"/>
  <c r="M454" i="2"/>
  <c r="D454" i="2"/>
  <c r="F454" i="2"/>
  <c r="E454" i="2"/>
  <c r="AA454" i="2"/>
  <c r="M453" i="2"/>
  <c r="F453" i="2"/>
  <c r="D453" i="2"/>
  <c r="E453" i="2"/>
  <c r="AA453" i="2"/>
  <c r="M452" i="2"/>
  <c r="E452" i="2"/>
  <c r="F452" i="2"/>
  <c r="D452" i="2"/>
  <c r="AA452" i="2"/>
  <c r="M451" i="2"/>
  <c r="D451" i="2"/>
  <c r="E451" i="2"/>
  <c r="F451" i="2"/>
  <c r="AA451" i="2"/>
  <c r="M450" i="2"/>
  <c r="N450" i="2" s="1"/>
  <c r="O450" i="2"/>
  <c r="D450" i="2"/>
  <c r="E450" i="2"/>
  <c r="F450" i="2"/>
  <c r="AA450" i="2"/>
  <c r="M449" i="2"/>
  <c r="D449" i="2"/>
  <c r="E449" i="2"/>
  <c r="F449" i="2"/>
  <c r="AA449" i="2"/>
  <c r="M448" i="2"/>
  <c r="N448" i="2" s="1"/>
  <c r="O448" i="2"/>
  <c r="E448" i="2"/>
  <c r="F448" i="2"/>
  <c r="D448" i="2"/>
  <c r="G448" i="2" s="1"/>
  <c r="AA448" i="2"/>
  <c r="M447" i="2"/>
  <c r="N447" i="2" s="1"/>
  <c r="O447" i="2"/>
  <c r="D447" i="2"/>
  <c r="E447" i="2"/>
  <c r="F447" i="2"/>
  <c r="AA447" i="2"/>
  <c r="M446" i="2"/>
  <c r="D446" i="2"/>
  <c r="E446" i="2"/>
  <c r="F446" i="2"/>
  <c r="AA446" i="2"/>
  <c r="M445" i="2"/>
  <c r="F445" i="2"/>
  <c r="E445" i="2"/>
  <c r="D445" i="2"/>
  <c r="AA445" i="2"/>
  <c r="M444" i="2"/>
  <c r="D444" i="2"/>
  <c r="E444" i="2"/>
  <c r="F444" i="2"/>
  <c r="AA444" i="2"/>
  <c r="M443" i="2"/>
  <c r="N443" i="2" s="1"/>
  <c r="O443" i="2"/>
  <c r="F443" i="2"/>
  <c r="E443" i="2"/>
  <c r="D443" i="2"/>
  <c r="G443" i="2" s="1"/>
  <c r="AA443" i="2"/>
  <c r="M442" i="2"/>
  <c r="F442" i="2"/>
  <c r="E442" i="2"/>
  <c r="D442" i="2"/>
  <c r="G442" i="2" s="1"/>
  <c r="V442" i="2" s="1"/>
  <c r="AA442" i="2"/>
  <c r="M441" i="2"/>
  <c r="N441" i="2" s="1"/>
  <c r="O441" i="2"/>
  <c r="F441" i="2"/>
  <c r="D441" i="2"/>
  <c r="E441" i="2"/>
  <c r="AA441" i="2"/>
  <c r="M440" i="2"/>
  <c r="N440" i="2" s="1"/>
  <c r="O440" i="2"/>
  <c r="E440" i="2"/>
  <c r="D440" i="2"/>
  <c r="F440" i="2"/>
  <c r="AA440" i="2"/>
  <c r="M439" i="2"/>
  <c r="N439" i="2" s="1"/>
  <c r="O439" i="2"/>
  <c r="F439" i="2"/>
  <c r="D439" i="2"/>
  <c r="E439" i="2"/>
  <c r="AA439" i="2"/>
  <c r="M438" i="2"/>
  <c r="F438" i="2"/>
  <c r="D438" i="2"/>
  <c r="E438" i="2"/>
  <c r="AA438" i="2"/>
  <c r="M437" i="2"/>
  <c r="N437" i="2" s="1"/>
  <c r="O437" i="2"/>
  <c r="E437" i="2"/>
  <c r="F437" i="2"/>
  <c r="D437" i="2"/>
  <c r="G437" i="2" s="1"/>
  <c r="AA437" i="2"/>
  <c r="M436" i="2"/>
  <c r="N436" i="2" s="1"/>
  <c r="O436" i="2"/>
  <c r="D436" i="2"/>
  <c r="E436" i="2"/>
  <c r="F436" i="2"/>
  <c r="AA436" i="2"/>
  <c r="M435" i="2"/>
  <c r="F435" i="2"/>
  <c r="E435" i="2"/>
  <c r="D435" i="2"/>
  <c r="AA435" i="2"/>
  <c r="M434" i="2"/>
  <c r="N434" i="2" s="1"/>
  <c r="O434" i="2"/>
  <c r="F434" i="2"/>
  <c r="E434" i="2"/>
  <c r="D434" i="2"/>
  <c r="G434" i="2" s="1"/>
  <c r="AA434" i="2"/>
  <c r="M433" i="2"/>
  <c r="E433" i="2"/>
  <c r="D433" i="2"/>
  <c r="F433" i="2"/>
  <c r="AA433" i="2"/>
  <c r="M432" i="2"/>
  <c r="N432" i="2" s="1"/>
  <c r="O432" i="2"/>
  <c r="D432" i="2"/>
  <c r="E432" i="2"/>
  <c r="F432" i="2"/>
  <c r="AA432" i="2"/>
  <c r="M431" i="2"/>
  <c r="E431" i="2"/>
  <c r="F431" i="2"/>
  <c r="D431" i="2"/>
  <c r="AA431" i="2"/>
  <c r="M430" i="2"/>
  <c r="F430" i="2"/>
  <c r="E430" i="2"/>
  <c r="D430" i="2"/>
  <c r="AA430" i="2"/>
  <c r="M429" i="2"/>
  <c r="F429" i="2"/>
  <c r="D429" i="2"/>
  <c r="E429" i="2"/>
  <c r="AA429" i="2"/>
  <c r="M428" i="2"/>
  <c r="N428" i="2" s="1"/>
  <c r="O428" i="2"/>
  <c r="E428" i="2"/>
  <c r="D428" i="2"/>
  <c r="F428" i="2"/>
  <c r="AA428" i="2"/>
  <c r="M427" i="2"/>
  <c r="N427" i="2" s="1"/>
  <c r="O427" i="2"/>
  <c r="D427" i="2"/>
  <c r="F427" i="2"/>
  <c r="E427" i="2"/>
  <c r="AA427" i="2"/>
  <c r="M426" i="2"/>
  <c r="D426" i="2"/>
  <c r="F426" i="2"/>
  <c r="E426" i="2"/>
  <c r="AA426" i="2"/>
  <c r="M425" i="2"/>
  <c r="E425" i="2"/>
  <c r="F425" i="2"/>
  <c r="D425" i="2"/>
  <c r="AA425" i="2"/>
  <c r="M424" i="2"/>
  <c r="N424" i="2" s="1"/>
  <c r="O424" i="2"/>
  <c r="E424" i="2"/>
  <c r="D424" i="2"/>
  <c r="F424" i="2"/>
  <c r="AA424" i="2"/>
  <c r="M423" i="2"/>
  <c r="F423" i="2"/>
  <c r="E423" i="2"/>
  <c r="D423" i="2"/>
  <c r="G423" i="2" s="1"/>
  <c r="V423" i="2" s="1"/>
  <c r="AA423" i="2"/>
  <c r="M422" i="2"/>
  <c r="F422" i="2"/>
  <c r="E422" i="2"/>
  <c r="D422" i="2"/>
  <c r="AA422" i="2"/>
  <c r="M421" i="2"/>
  <c r="F421" i="2"/>
  <c r="E421" i="2"/>
  <c r="D421" i="2"/>
  <c r="AA421" i="2"/>
  <c r="M420" i="2"/>
  <c r="D420" i="2"/>
  <c r="E420" i="2"/>
  <c r="F420" i="2"/>
  <c r="AA420" i="2"/>
  <c r="M419" i="2"/>
  <c r="N419" i="2" s="1"/>
  <c r="O419" i="2"/>
  <c r="D419" i="2"/>
  <c r="E419" i="2"/>
  <c r="F419" i="2"/>
  <c r="AA419" i="2"/>
  <c r="M418" i="2"/>
  <c r="E418" i="2"/>
  <c r="D418" i="2"/>
  <c r="F418" i="2"/>
  <c r="AA418" i="2"/>
  <c r="M417" i="2"/>
  <c r="F417" i="2"/>
  <c r="E417" i="2"/>
  <c r="D417" i="2"/>
  <c r="AA417" i="2"/>
  <c r="M416" i="2"/>
  <c r="D416" i="2"/>
  <c r="F416" i="2"/>
  <c r="E416" i="2"/>
  <c r="AA416" i="2"/>
  <c r="M415" i="2"/>
  <c r="N415" i="2" s="1"/>
  <c r="O415" i="2"/>
  <c r="F415" i="2"/>
  <c r="E415" i="2"/>
  <c r="D415" i="2"/>
  <c r="G415" i="2" s="1"/>
  <c r="AA415" i="2"/>
  <c r="M414" i="2"/>
  <c r="D414" i="2"/>
  <c r="F414" i="2"/>
  <c r="E414" i="2"/>
  <c r="AA414" i="2"/>
  <c r="M413" i="2"/>
  <c r="N413" i="2" s="1"/>
  <c r="O413" i="2"/>
  <c r="E413" i="2"/>
  <c r="F413" i="2"/>
  <c r="D413" i="2"/>
  <c r="AA413" i="2"/>
  <c r="M412" i="2"/>
  <c r="D412" i="2"/>
  <c r="F412" i="2"/>
  <c r="E412" i="2"/>
  <c r="AA412" i="2"/>
  <c r="M411" i="2"/>
  <c r="N411" i="2" s="1"/>
  <c r="O411" i="2"/>
  <c r="D411" i="2"/>
  <c r="E411" i="2"/>
  <c r="F411" i="2"/>
  <c r="AA411" i="2"/>
  <c r="M410" i="2"/>
  <c r="F410" i="2"/>
  <c r="D410" i="2"/>
  <c r="E410" i="2"/>
  <c r="AA410" i="2"/>
  <c r="M409" i="2"/>
  <c r="N409" i="2" s="1"/>
  <c r="O409" i="2"/>
  <c r="E409" i="2"/>
  <c r="F409" i="2"/>
  <c r="D409" i="2"/>
  <c r="AA409" i="2"/>
  <c r="M408" i="2"/>
  <c r="N408" i="2" s="1"/>
  <c r="O408" i="2"/>
  <c r="F408" i="2"/>
  <c r="D408" i="2"/>
  <c r="E408" i="2"/>
  <c r="AA408" i="2"/>
  <c r="M407" i="2"/>
  <c r="D407" i="2"/>
  <c r="E407" i="2"/>
  <c r="F407" i="2"/>
  <c r="AA407" i="2"/>
  <c r="M406" i="2"/>
  <c r="D406" i="2"/>
  <c r="E406" i="2"/>
  <c r="F406" i="2"/>
  <c r="AA406" i="2"/>
  <c r="M405" i="2"/>
  <c r="E405" i="2"/>
  <c r="F405" i="2"/>
  <c r="D405" i="2"/>
  <c r="G405" i="2" s="1"/>
  <c r="V405" i="2" s="1"/>
  <c r="AA405" i="2"/>
  <c r="M404" i="2"/>
  <c r="D404" i="2"/>
  <c r="F404" i="2"/>
  <c r="E404" i="2"/>
  <c r="AA404" i="2"/>
  <c r="M403" i="2"/>
  <c r="N403" i="2" s="1"/>
  <c r="O403" i="2"/>
  <c r="F403" i="2"/>
  <c r="D403" i="2"/>
  <c r="E403" i="2"/>
  <c r="AA403" i="2"/>
  <c r="M402" i="2"/>
  <c r="N402" i="2" s="1"/>
  <c r="O402" i="2"/>
  <c r="F402" i="2"/>
  <c r="E402" i="2"/>
  <c r="D402" i="2"/>
  <c r="AA402" i="2"/>
  <c r="M401" i="2"/>
  <c r="N401" i="2" s="1"/>
  <c r="O401" i="2"/>
  <c r="E401" i="2"/>
  <c r="F401" i="2"/>
  <c r="D401" i="2"/>
  <c r="G401" i="2" s="1"/>
  <c r="AA401" i="2"/>
  <c r="M400" i="2"/>
  <c r="F400" i="2"/>
  <c r="D400" i="2"/>
  <c r="E400" i="2"/>
  <c r="AA400" i="2"/>
  <c r="M399" i="2"/>
  <c r="F399" i="2"/>
  <c r="D399" i="2"/>
  <c r="E399" i="2"/>
  <c r="AA399" i="2"/>
  <c r="M398" i="2"/>
  <c r="F398" i="2"/>
  <c r="E398" i="2"/>
  <c r="D398" i="2"/>
  <c r="AA398" i="2"/>
  <c r="M397" i="2"/>
  <c r="N397" i="2" s="1"/>
  <c r="O397" i="2"/>
  <c r="E397" i="2"/>
  <c r="F397" i="2"/>
  <c r="D397" i="2"/>
  <c r="G397" i="2" s="1"/>
  <c r="AA397" i="2"/>
  <c r="M396" i="2"/>
  <c r="N396" i="2" s="1"/>
  <c r="O396" i="2"/>
  <c r="F396" i="2"/>
  <c r="E396" i="2"/>
  <c r="D396" i="2"/>
  <c r="AA396" i="2"/>
  <c r="M395" i="2"/>
  <c r="N395" i="2" s="1"/>
  <c r="O395" i="2"/>
  <c r="D395" i="2"/>
  <c r="E395" i="2"/>
  <c r="F395" i="2"/>
  <c r="AA395" i="2"/>
  <c r="M394" i="2"/>
  <c r="E394" i="2"/>
  <c r="F394" i="2"/>
  <c r="D394" i="2"/>
  <c r="G394" i="2" s="1"/>
  <c r="V394" i="2" s="1"/>
  <c r="AA394" i="2"/>
  <c r="M393" i="2"/>
  <c r="F393" i="2"/>
  <c r="D393" i="2"/>
  <c r="E393" i="2"/>
  <c r="AA393" i="2"/>
  <c r="M392" i="2"/>
  <c r="N392" i="2" s="1"/>
  <c r="O392" i="2"/>
  <c r="E392" i="2"/>
  <c r="F392" i="2"/>
  <c r="D392" i="2"/>
  <c r="G392" i="2" s="1"/>
  <c r="AA392" i="2"/>
  <c r="J392" i="4"/>
  <c r="N392" i="4" s="1"/>
  <c r="M391" i="2"/>
  <c r="N391" i="2" s="1"/>
  <c r="O391" i="2"/>
  <c r="E391" i="2"/>
  <c r="F391" i="2"/>
  <c r="D391" i="2"/>
  <c r="G391" i="2" s="1"/>
  <c r="J391" i="4"/>
  <c r="N391" i="4" s="1"/>
  <c r="AA391" i="2"/>
  <c r="M390" i="2"/>
  <c r="N390" i="2" s="1"/>
  <c r="O390" i="2"/>
  <c r="F390" i="2"/>
  <c r="E390" i="2"/>
  <c r="D390" i="2"/>
  <c r="AA390" i="2"/>
  <c r="J390" i="4"/>
  <c r="N390" i="4" s="1"/>
  <c r="M389" i="2"/>
  <c r="F389" i="2"/>
  <c r="E389" i="2"/>
  <c r="D389" i="2"/>
  <c r="G389" i="2" s="1"/>
  <c r="V389" i="2" s="1"/>
  <c r="J389" i="4"/>
  <c r="N389" i="4" s="1"/>
  <c r="AA389" i="2"/>
  <c r="M388" i="2"/>
  <c r="F388" i="2"/>
  <c r="E388" i="2"/>
  <c r="D388" i="2"/>
  <c r="G388" i="2" s="1"/>
  <c r="V388" i="2" s="1"/>
  <c r="J388" i="4"/>
  <c r="N388" i="4" s="1"/>
  <c r="AA388" i="2"/>
  <c r="M387" i="2"/>
  <c r="N387" i="2" s="1"/>
  <c r="O387" i="2"/>
  <c r="D387" i="2"/>
  <c r="E387" i="2"/>
  <c r="F387" i="2"/>
  <c r="J387" i="4"/>
  <c r="N387" i="4" s="1"/>
  <c r="AA387" i="2"/>
  <c r="M386" i="2"/>
  <c r="F386" i="2"/>
  <c r="D386" i="2"/>
  <c r="E386" i="2"/>
  <c r="AA386" i="2"/>
  <c r="J386" i="4"/>
  <c r="N386" i="4" s="1"/>
  <c r="M385" i="2"/>
  <c r="N385" i="2" s="1"/>
  <c r="O385" i="2"/>
  <c r="E385" i="2"/>
  <c r="D385" i="2"/>
  <c r="F385" i="2"/>
  <c r="AA385" i="2"/>
  <c r="J385" i="4"/>
  <c r="N385" i="4" s="1"/>
  <c r="M384" i="2"/>
  <c r="F384" i="2"/>
  <c r="E384" i="2"/>
  <c r="D384" i="2"/>
  <c r="G384" i="2" s="1"/>
  <c r="V384" i="2" s="1"/>
  <c r="AA384" i="2"/>
  <c r="J384" i="4"/>
  <c r="N384" i="4" s="1"/>
  <c r="M383" i="2"/>
  <c r="F383" i="2"/>
  <c r="E383" i="2"/>
  <c r="D383" i="2"/>
  <c r="AA383" i="2"/>
  <c r="J383" i="4"/>
  <c r="N383" i="4" s="1"/>
  <c r="M382" i="2"/>
  <c r="F382" i="2"/>
  <c r="E382" i="2"/>
  <c r="D382" i="2"/>
  <c r="G382" i="2" s="1"/>
  <c r="V382" i="2" s="1"/>
  <c r="J382" i="4"/>
  <c r="N382" i="4" s="1"/>
  <c r="AA382" i="2"/>
  <c r="M381" i="2"/>
  <c r="D381" i="2"/>
  <c r="E381" i="2"/>
  <c r="F381" i="2"/>
  <c r="AA381" i="2"/>
  <c r="J381" i="4"/>
  <c r="N381" i="4" s="1"/>
  <c r="M380" i="2"/>
  <c r="F380" i="2"/>
  <c r="D380" i="2"/>
  <c r="E380" i="2"/>
  <c r="J380" i="4"/>
  <c r="N380" i="4" s="1"/>
  <c r="AA380" i="2"/>
  <c r="M379" i="2"/>
  <c r="D379" i="2"/>
  <c r="E379" i="2"/>
  <c r="F379" i="2"/>
  <c r="AA379" i="2"/>
  <c r="J379" i="4"/>
  <c r="N379" i="4" s="1"/>
  <c r="M378" i="2"/>
  <c r="F378" i="2"/>
  <c r="E378" i="2"/>
  <c r="D378" i="2"/>
  <c r="J378" i="4"/>
  <c r="N378" i="4" s="1"/>
  <c r="AA378" i="2"/>
  <c r="M377" i="2"/>
  <c r="F377" i="2"/>
  <c r="E377" i="2"/>
  <c r="D377" i="2"/>
  <c r="G377" i="2" s="1"/>
  <c r="V377" i="2" s="1"/>
  <c r="J377" i="4"/>
  <c r="N377" i="4" s="1"/>
  <c r="AA377" i="2"/>
  <c r="M376" i="2"/>
  <c r="F376" i="2"/>
  <c r="E376" i="2"/>
  <c r="D376" i="2"/>
  <c r="J376" i="4"/>
  <c r="N376" i="4" s="1"/>
  <c r="AA376" i="2"/>
  <c r="M375" i="2"/>
  <c r="N375" i="2" s="1"/>
  <c r="O375" i="2"/>
  <c r="D375" i="2"/>
  <c r="E375" i="2"/>
  <c r="F375" i="2"/>
  <c r="J375" i="4"/>
  <c r="N375" i="4" s="1"/>
  <c r="AA375" i="2"/>
  <c r="M374" i="2"/>
  <c r="F374" i="2"/>
  <c r="E374" i="2"/>
  <c r="D374" i="2"/>
  <c r="G374" i="2" s="1"/>
  <c r="J374" i="4"/>
  <c r="N374" i="4" s="1"/>
  <c r="AA374" i="2"/>
  <c r="M373" i="2"/>
  <c r="F373" i="2"/>
  <c r="E373" i="2"/>
  <c r="D373" i="2"/>
  <c r="G373" i="2" s="1"/>
  <c r="V373" i="2" s="1"/>
  <c r="J373" i="4"/>
  <c r="N373" i="4" s="1"/>
  <c r="AA373" i="2"/>
  <c r="M372" i="2"/>
  <c r="F372" i="2"/>
  <c r="E372" i="2"/>
  <c r="D372" i="2"/>
  <c r="J372" i="4"/>
  <c r="N372" i="4" s="1"/>
  <c r="AA372" i="2"/>
  <c r="M371" i="2"/>
  <c r="N371" i="2" s="1"/>
  <c r="O371" i="2"/>
  <c r="D371" i="2"/>
  <c r="E371" i="2"/>
  <c r="F371" i="2"/>
  <c r="J371" i="4"/>
  <c r="N371" i="4" s="1"/>
  <c r="AA371" i="2"/>
  <c r="M370" i="2"/>
  <c r="F370" i="2"/>
  <c r="E370" i="2"/>
  <c r="D370" i="2"/>
  <c r="AA370" i="2"/>
  <c r="J370" i="4"/>
  <c r="N370" i="4" s="1"/>
  <c r="M369" i="2"/>
  <c r="D369" i="2"/>
  <c r="F369" i="2"/>
  <c r="E369" i="2"/>
  <c r="J369" i="4"/>
  <c r="N369" i="4" s="1"/>
  <c r="AA369" i="2"/>
  <c r="M368" i="2"/>
  <c r="D368" i="2"/>
  <c r="F368" i="2"/>
  <c r="E368" i="2"/>
  <c r="J368" i="4"/>
  <c r="N368" i="4" s="1"/>
  <c r="AA368" i="2"/>
  <c r="M367" i="2"/>
  <c r="F367" i="2"/>
  <c r="E367" i="2"/>
  <c r="D367" i="2"/>
  <c r="J367" i="4"/>
  <c r="N367" i="4" s="1"/>
  <c r="AA367" i="2"/>
  <c r="M366" i="2"/>
  <c r="D366" i="2"/>
  <c r="F366" i="2"/>
  <c r="E366" i="2"/>
  <c r="J366" i="4"/>
  <c r="N366" i="4" s="1"/>
  <c r="AA366" i="2"/>
  <c r="M365" i="2"/>
  <c r="F365" i="2"/>
  <c r="E365" i="2"/>
  <c r="D365" i="2"/>
  <c r="J365" i="4"/>
  <c r="N365" i="4" s="1"/>
  <c r="AA365" i="2"/>
  <c r="M364" i="2"/>
  <c r="F364" i="2"/>
  <c r="D364" i="2"/>
  <c r="E364" i="2"/>
  <c r="AA364" i="2"/>
  <c r="J364" i="4"/>
  <c r="N364" i="4" s="1"/>
  <c r="M363" i="2"/>
  <c r="F363" i="2"/>
  <c r="E363" i="2"/>
  <c r="D363" i="2"/>
  <c r="J363" i="4"/>
  <c r="N363" i="4" s="1"/>
  <c r="AA363" i="2"/>
  <c r="M362" i="2"/>
  <c r="N362" i="2" s="1"/>
  <c r="O362" i="2"/>
  <c r="F362" i="2"/>
  <c r="E362" i="2"/>
  <c r="D362" i="2"/>
  <c r="J362" i="4"/>
  <c r="N362" i="4" s="1"/>
  <c r="AA362" i="2"/>
  <c r="M361" i="2"/>
  <c r="F361" i="2"/>
  <c r="E361" i="2"/>
  <c r="D361" i="2"/>
  <c r="J361" i="4"/>
  <c r="N361" i="4" s="1"/>
  <c r="AA361" i="2"/>
  <c r="M360" i="2"/>
  <c r="F360" i="2"/>
  <c r="E360" i="2"/>
  <c r="D360" i="2"/>
  <c r="J360" i="4"/>
  <c r="N360" i="4" s="1"/>
  <c r="AA360" i="2"/>
  <c r="M359" i="2"/>
  <c r="D359" i="2"/>
  <c r="E359" i="2"/>
  <c r="F359" i="2"/>
  <c r="J359" i="4"/>
  <c r="N359" i="4" s="1"/>
  <c r="AA359" i="2"/>
  <c r="M358" i="2"/>
  <c r="D358" i="2"/>
  <c r="F358" i="2"/>
  <c r="E358" i="2"/>
  <c r="AA358" i="2"/>
  <c r="J358" i="4"/>
  <c r="N358" i="4" s="1"/>
  <c r="M357" i="2"/>
  <c r="D357" i="2"/>
  <c r="E357" i="2"/>
  <c r="F357" i="2"/>
  <c r="AA357" i="2"/>
  <c r="J357" i="4"/>
  <c r="N357" i="4" s="1"/>
  <c r="M356" i="2"/>
  <c r="N356" i="2" s="1"/>
  <c r="O356" i="2"/>
  <c r="E356" i="2"/>
  <c r="D356" i="2"/>
  <c r="F356" i="2"/>
  <c r="J356" i="4"/>
  <c r="N356" i="4" s="1"/>
  <c r="AA356" i="2"/>
  <c r="M355" i="2"/>
  <c r="F355" i="2"/>
  <c r="D355" i="2"/>
  <c r="E355" i="2"/>
  <c r="AA355" i="2"/>
  <c r="J355" i="4"/>
  <c r="N355" i="4" s="1"/>
  <c r="M354" i="2"/>
  <c r="F354" i="2"/>
  <c r="E354" i="2"/>
  <c r="D354" i="2"/>
  <c r="AA354" i="2"/>
  <c r="J354" i="4"/>
  <c r="N354" i="4" s="1"/>
  <c r="M353" i="2"/>
  <c r="E353" i="2"/>
  <c r="F353" i="2"/>
  <c r="D353" i="2"/>
  <c r="J353" i="4"/>
  <c r="N353" i="4" s="1"/>
  <c r="AA353" i="2"/>
  <c r="M352" i="2"/>
  <c r="F352" i="2"/>
  <c r="E352" i="2"/>
  <c r="D352" i="2"/>
  <c r="AA352" i="2"/>
  <c r="J352" i="4"/>
  <c r="N352" i="4" s="1"/>
  <c r="M351" i="2"/>
  <c r="F351" i="2"/>
  <c r="E351" i="2"/>
  <c r="D351" i="2"/>
  <c r="J351" i="4"/>
  <c r="N351" i="4" s="1"/>
  <c r="AA351" i="2"/>
  <c r="M350" i="2"/>
  <c r="F350" i="2"/>
  <c r="E350" i="2"/>
  <c r="D350" i="2"/>
  <c r="J350" i="4"/>
  <c r="N350" i="4" s="1"/>
  <c r="AA350" i="2"/>
  <c r="M349" i="2"/>
  <c r="D349" i="2"/>
  <c r="E349" i="2"/>
  <c r="F349" i="2"/>
  <c r="J349" i="4"/>
  <c r="N349" i="4" s="1"/>
  <c r="AA349" i="2"/>
  <c r="M348" i="2"/>
  <c r="F348" i="2"/>
  <c r="E348" i="2"/>
  <c r="D348" i="2"/>
  <c r="G348" i="2" s="1"/>
  <c r="V348" i="2" s="1"/>
  <c r="AA348" i="2"/>
  <c r="J348" i="4"/>
  <c r="N348" i="4" s="1"/>
  <c r="M347" i="2"/>
  <c r="F347" i="2"/>
  <c r="E347" i="2"/>
  <c r="D347" i="2"/>
  <c r="AA347" i="2"/>
  <c r="J347" i="4"/>
  <c r="N347" i="4" s="1"/>
  <c r="M346" i="2"/>
  <c r="F346" i="2"/>
  <c r="E346" i="2"/>
  <c r="D346" i="2"/>
  <c r="J346" i="4"/>
  <c r="N346" i="4" s="1"/>
  <c r="AA346" i="2"/>
  <c r="M345" i="2"/>
  <c r="D345" i="2"/>
  <c r="E345" i="2"/>
  <c r="F345" i="2"/>
  <c r="J345" i="4"/>
  <c r="N345" i="4" s="1"/>
  <c r="AA345" i="2"/>
  <c r="M344" i="2"/>
  <c r="N344" i="2" s="1"/>
  <c r="O344" i="2"/>
  <c r="F344" i="2"/>
  <c r="E344" i="2"/>
  <c r="D344" i="2"/>
  <c r="AA344" i="2"/>
  <c r="J344" i="4"/>
  <c r="N344" i="4" s="1"/>
  <c r="M343" i="2"/>
  <c r="D343" i="2"/>
  <c r="E343" i="2"/>
  <c r="F343" i="2"/>
  <c r="J343" i="4"/>
  <c r="N343" i="4" s="1"/>
  <c r="AA343" i="2"/>
  <c r="M342" i="2"/>
  <c r="D342" i="2"/>
  <c r="E342" i="2"/>
  <c r="F342" i="2"/>
  <c r="AA342" i="2"/>
  <c r="J342" i="4"/>
  <c r="N342" i="4" s="1"/>
  <c r="M341" i="2"/>
  <c r="F341" i="2"/>
  <c r="D341" i="2"/>
  <c r="E341" i="2"/>
  <c r="AA341" i="2"/>
  <c r="J341" i="4"/>
  <c r="N341" i="4" s="1"/>
  <c r="M340" i="2"/>
  <c r="E340" i="2"/>
  <c r="D340" i="2"/>
  <c r="F340" i="2"/>
  <c r="J340" i="4"/>
  <c r="N340" i="4" s="1"/>
  <c r="AA340" i="2"/>
  <c r="M339" i="2"/>
  <c r="F339" i="2"/>
  <c r="D339" i="2"/>
  <c r="E339" i="2"/>
  <c r="AA339" i="2"/>
  <c r="J339" i="4"/>
  <c r="N339" i="4" s="1"/>
  <c r="M338" i="2"/>
  <c r="D338" i="2"/>
  <c r="F338" i="2"/>
  <c r="E338" i="2"/>
  <c r="J338" i="4"/>
  <c r="N338" i="4" s="1"/>
  <c r="AA338" i="2"/>
  <c r="M337" i="2"/>
  <c r="N337" i="2" s="1"/>
  <c r="O337" i="2"/>
  <c r="F337" i="2"/>
  <c r="E337" i="2"/>
  <c r="D337" i="2"/>
  <c r="J337" i="4"/>
  <c r="N337" i="4" s="1"/>
  <c r="AA337" i="2"/>
  <c r="M336" i="2"/>
  <c r="D336" i="2"/>
  <c r="E336" i="2"/>
  <c r="F336" i="2"/>
  <c r="AA336" i="2"/>
  <c r="J336" i="4"/>
  <c r="N336" i="4" s="1"/>
  <c r="M335" i="2"/>
  <c r="F335" i="2"/>
  <c r="E335" i="2"/>
  <c r="D335" i="2"/>
  <c r="J335" i="4"/>
  <c r="N335" i="4" s="1"/>
  <c r="AA335" i="2"/>
  <c r="M334" i="2"/>
  <c r="D334" i="2"/>
  <c r="F334" i="2"/>
  <c r="E334" i="2"/>
  <c r="AA334" i="2"/>
  <c r="J334" i="4"/>
  <c r="N334" i="4" s="1"/>
  <c r="M333" i="2"/>
  <c r="N333" i="2" s="1"/>
  <c r="O333" i="2"/>
  <c r="F333" i="2"/>
  <c r="E333" i="2"/>
  <c r="D333" i="2"/>
  <c r="G333" i="2" s="1"/>
  <c r="AA333" i="2"/>
  <c r="J333" i="4"/>
  <c r="N333" i="4" s="1"/>
  <c r="M332" i="2"/>
  <c r="N332" i="2" s="1"/>
  <c r="O332" i="2"/>
  <c r="D332" i="2"/>
  <c r="E332" i="2"/>
  <c r="F332" i="2"/>
  <c r="J332" i="4"/>
  <c r="N332" i="4" s="1"/>
  <c r="AA332" i="2"/>
  <c r="M331" i="2"/>
  <c r="N331" i="2" s="1"/>
  <c r="O331" i="2"/>
  <c r="D331" i="2"/>
  <c r="E331" i="2"/>
  <c r="F331" i="2"/>
  <c r="J331" i="4"/>
  <c r="N331" i="4" s="1"/>
  <c r="AA331" i="2"/>
  <c r="M330" i="2"/>
  <c r="D330" i="2"/>
  <c r="E330" i="2"/>
  <c r="F330" i="2"/>
  <c r="AA330" i="2"/>
  <c r="J330" i="4"/>
  <c r="N330" i="4" s="1"/>
  <c r="M329" i="2"/>
  <c r="F329" i="2"/>
  <c r="E329" i="2"/>
  <c r="D329" i="2"/>
  <c r="G329" i="2" s="1"/>
  <c r="V329" i="2" s="1"/>
  <c r="J329" i="4"/>
  <c r="N329" i="4" s="1"/>
  <c r="AA329" i="2"/>
  <c r="M328" i="2"/>
  <c r="F328" i="2"/>
  <c r="E328" i="2"/>
  <c r="D328" i="2"/>
  <c r="G328" i="2" s="1"/>
  <c r="M327" i="2"/>
  <c r="E327" i="2"/>
  <c r="D327" i="2"/>
  <c r="F327" i="2"/>
  <c r="AA327" i="2"/>
  <c r="M326" i="2"/>
  <c r="N326" i="2" s="1"/>
  <c r="O326" i="2"/>
  <c r="D326" i="2"/>
  <c r="E326" i="2"/>
  <c r="F326" i="2"/>
  <c r="AA326" i="2"/>
  <c r="M325" i="2"/>
  <c r="N325" i="2" s="1"/>
  <c r="O325" i="2"/>
  <c r="E325" i="2"/>
  <c r="F325" i="2"/>
  <c r="D325" i="2"/>
  <c r="G325" i="2" s="1"/>
  <c r="AA325" i="2"/>
  <c r="M324" i="2"/>
  <c r="N324" i="2" s="1"/>
  <c r="O324" i="2"/>
  <c r="D324" i="2"/>
  <c r="E324" i="2"/>
  <c r="F324" i="2"/>
  <c r="AA324" i="2"/>
  <c r="M323" i="2"/>
  <c r="E323" i="2"/>
  <c r="F323" i="2"/>
  <c r="D323" i="2"/>
  <c r="G323" i="2" s="1"/>
  <c r="V323" i="2" s="1"/>
  <c r="AA323" i="2"/>
  <c r="M322" i="2"/>
  <c r="N322" i="2" s="1"/>
  <c r="O322" i="2"/>
  <c r="F322" i="2"/>
  <c r="D322" i="2"/>
  <c r="E322" i="2"/>
  <c r="AA322" i="2"/>
  <c r="M321" i="2"/>
  <c r="N321" i="2" s="1"/>
  <c r="O321" i="2"/>
  <c r="D321" i="2"/>
  <c r="E321" i="2"/>
  <c r="F321" i="2"/>
  <c r="AA321" i="2"/>
  <c r="M320" i="2"/>
  <c r="D320" i="2"/>
  <c r="F320" i="2"/>
  <c r="E320" i="2"/>
  <c r="AA320" i="2"/>
  <c r="M319" i="2"/>
  <c r="F319" i="2"/>
  <c r="E319" i="2"/>
  <c r="D319" i="2"/>
  <c r="G319" i="2" s="1"/>
  <c r="V319" i="2" s="1"/>
  <c r="AA319" i="2"/>
  <c r="M318" i="2"/>
  <c r="E318" i="2"/>
  <c r="F318" i="2"/>
  <c r="D318" i="2"/>
  <c r="G318" i="2" s="1"/>
  <c r="V318" i="2" s="1"/>
  <c r="AA318" i="2"/>
  <c r="M317" i="2"/>
  <c r="N317" i="2" s="1"/>
  <c r="O317" i="2"/>
  <c r="D317" i="2"/>
  <c r="E317" i="2"/>
  <c r="F317" i="2"/>
  <c r="J317" i="4"/>
  <c r="N317" i="4" s="1"/>
  <c r="AA317" i="2"/>
  <c r="M316" i="2"/>
  <c r="F316" i="2"/>
  <c r="E316" i="2"/>
  <c r="D316" i="2"/>
  <c r="G316" i="2" s="1"/>
  <c r="V316" i="2" s="1"/>
  <c r="AA316" i="2"/>
  <c r="J316" i="4"/>
  <c r="N316" i="4" s="1"/>
  <c r="M315" i="2"/>
  <c r="D315" i="2"/>
  <c r="E315" i="2"/>
  <c r="F315" i="2"/>
  <c r="AA315" i="2"/>
  <c r="J315" i="4"/>
  <c r="N315" i="4" s="1"/>
  <c r="M314" i="2"/>
  <c r="N314" i="2" s="1"/>
  <c r="O314" i="2"/>
  <c r="F314" i="2"/>
  <c r="D314" i="2"/>
  <c r="E314" i="2"/>
  <c r="AA314" i="2"/>
  <c r="J314" i="4"/>
  <c r="N314" i="4" s="1"/>
  <c r="M313" i="2"/>
  <c r="F313" i="2"/>
  <c r="E313" i="2"/>
  <c r="D313" i="2"/>
  <c r="G313" i="2" s="1"/>
  <c r="V313" i="2" s="1"/>
  <c r="AA313" i="2"/>
  <c r="J313" i="4"/>
  <c r="N313" i="4" s="1"/>
  <c r="M312" i="2"/>
  <c r="N312" i="2" s="1"/>
  <c r="O312" i="2"/>
  <c r="F312" i="2"/>
  <c r="E312" i="2"/>
  <c r="D312" i="2"/>
  <c r="G312" i="2" s="1"/>
  <c r="V312" i="2" s="1"/>
  <c r="J312" i="4"/>
  <c r="N312" i="4" s="1"/>
  <c r="AA312" i="2"/>
  <c r="T312" i="2"/>
  <c r="U312" i="2" s="1"/>
  <c r="M311" i="2"/>
  <c r="D311" i="2"/>
  <c r="E311" i="2"/>
  <c r="F311" i="2"/>
  <c r="J311" i="4"/>
  <c r="N311" i="4" s="1"/>
  <c r="AA311" i="2"/>
  <c r="M310" i="2"/>
  <c r="N310" i="2" s="1"/>
  <c r="O310" i="2"/>
  <c r="E310" i="2"/>
  <c r="D310" i="2"/>
  <c r="F310" i="2"/>
  <c r="AA310" i="2"/>
  <c r="J310" i="4"/>
  <c r="N310" i="4" s="1"/>
  <c r="M309" i="2"/>
  <c r="D309" i="2"/>
  <c r="F309" i="2"/>
  <c r="E309" i="2"/>
  <c r="AA309" i="2"/>
  <c r="J309" i="4"/>
  <c r="N309" i="4" s="1"/>
  <c r="M308" i="2"/>
  <c r="F308" i="2"/>
  <c r="E308" i="2"/>
  <c r="D308" i="2"/>
  <c r="G308" i="2" s="1"/>
  <c r="V308" i="2" s="1"/>
  <c r="J308" i="4"/>
  <c r="N308" i="4" s="1"/>
  <c r="AA308" i="2"/>
  <c r="M307" i="2"/>
  <c r="N307" i="2" s="1"/>
  <c r="O307" i="2"/>
  <c r="F307" i="2"/>
  <c r="E307" i="2"/>
  <c r="D307" i="2"/>
  <c r="G307" i="2" s="1"/>
  <c r="V307" i="2" s="1"/>
  <c r="J307" i="4"/>
  <c r="N307" i="4" s="1"/>
  <c r="T307" i="2"/>
  <c r="U307" i="2" s="1"/>
  <c r="AA307" i="2"/>
  <c r="M306" i="2"/>
  <c r="E306" i="2"/>
  <c r="F306" i="2"/>
  <c r="D306" i="2"/>
  <c r="AA306" i="2"/>
  <c r="J306" i="4"/>
  <c r="N306" i="4" s="1"/>
  <c r="M305" i="2"/>
  <c r="D305" i="2"/>
  <c r="F305" i="2"/>
  <c r="E305" i="2"/>
  <c r="AA305" i="2"/>
  <c r="J305" i="4"/>
  <c r="N305" i="4" s="1"/>
  <c r="M304" i="2"/>
  <c r="D304" i="2"/>
  <c r="E304" i="2"/>
  <c r="F304" i="2"/>
  <c r="AA304" i="2"/>
  <c r="J304" i="4"/>
  <c r="N304" i="4" s="1"/>
  <c r="M303" i="2"/>
  <c r="N303" i="2" s="1"/>
  <c r="O303" i="2"/>
  <c r="E303" i="2"/>
  <c r="D303" i="2"/>
  <c r="F303" i="2"/>
  <c r="AA303" i="2"/>
  <c r="J303" i="4"/>
  <c r="N303" i="4" s="1"/>
  <c r="M302" i="2"/>
  <c r="E302" i="2"/>
  <c r="F302" i="2"/>
  <c r="D302" i="2"/>
  <c r="G302" i="2" s="1"/>
  <c r="V302" i="2" s="1"/>
  <c r="J302" i="4"/>
  <c r="N302" i="4" s="1"/>
  <c r="AA302" i="2"/>
  <c r="M301" i="2"/>
  <c r="F301" i="2"/>
  <c r="E301" i="2"/>
  <c r="D301" i="2"/>
  <c r="G301" i="2" s="1"/>
  <c r="V301" i="2" s="1"/>
  <c r="J301" i="4"/>
  <c r="N301" i="4" s="1"/>
  <c r="AA301" i="2"/>
  <c r="M300" i="2"/>
  <c r="F300" i="2"/>
  <c r="E300" i="2"/>
  <c r="D300" i="2"/>
  <c r="G300" i="2" s="1"/>
  <c r="V300" i="2" s="1"/>
  <c r="AA300" i="2"/>
  <c r="J300" i="4"/>
  <c r="N300" i="4" s="1"/>
  <c r="M299" i="2"/>
  <c r="D299" i="2"/>
  <c r="F299" i="2"/>
  <c r="E299" i="2"/>
  <c r="J299" i="4"/>
  <c r="N299" i="4" s="1"/>
  <c r="AA299" i="2"/>
  <c r="M298" i="2"/>
  <c r="F298" i="2"/>
  <c r="E298" i="2"/>
  <c r="D298" i="2"/>
  <c r="G298" i="2" s="1"/>
  <c r="V298" i="2" s="1"/>
  <c r="AA298" i="2"/>
  <c r="J298" i="4"/>
  <c r="N298" i="4" s="1"/>
  <c r="M297" i="2"/>
  <c r="E297" i="2"/>
  <c r="F297" i="2"/>
  <c r="D297" i="2"/>
  <c r="G297" i="2" s="1"/>
  <c r="V297" i="2" s="1"/>
  <c r="AA297" i="2"/>
  <c r="J297" i="4"/>
  <c r="N297" i="4" s="1"/>
  <c r="M296" i="2"/>
  <c r="D296" i="2"/>
  <c r="F296" i="2"/>
  <c r="E296" i="2"/>
  <c r="J296" i="4"/>
  <c r="N296" i="4" s="1"/>
  <c r="AA296" i="2"/>
  <c r="M295" i="2"/>
  <c r="F295" i="2"/>
  <c r="D295" i="2"/>
  <c r="E295" i="2"/>
  <c r="AA295" i="2"/>
  <c r="J295" i="4"/>
  <c r="N295" i="4" s="1"/>
  <c r="M294" i="2"/>
  <c r="N294" i="2" s="1"/>
  <c r="O294" i="2"/>
  <c r="D294" i="2"/>
  <c r="E294" i="2"/>
  <c r="F294" i="2"/>
  <c r="AA294" i="2"/>
  <c r="J294" i="4"/>
  <c r="N294" i="4" s="1"/>
  <c r="M293" i="2"/>
  <c r="E293" i="2"/>
  <c r="F293" i="2"/>
  <c r="D293" i="2"/>
  <c r="J293" i="4"/>
  <c r="N293" i="4" s="1"/>
  <c r="AA293" i="2"/>
  <c r="M292" i="2"/>
  <c r="D292" i="2"/>
  <c r="F292" i="2"/>
  <c r="E292" i="2"/>
  <c r="AA292" i="2"/>
  <c r="J292" i="4"/>
  <c r="N292" i="4" s="1"/>
  <c r="M291" i="2"/>
  <c r="N291" i="2" s="1"/>
  <c r="O291" i="2"/>
  <c r="D291" i="2"/>
  <c r="E291" i="2"/>
  <c r="F291" i="2"/>
  <c r="J291" i="4"/>
  <c r="N291" i="4" s="1"/>
  <c r="AA291" i="2"/>
  <c r="M290" i="2"/>
  <c r="N290" i="2" s="1"/>
  <c r="O290" i="2"/>
  <c r="E290" i="2"/>
  <c r="D290" i="2"/>
  <c r="F290" i="2"/>
  <c r="AA290" i="2"/>
  <c r="J290" i="4"/>
  <c r="N290" i="4" s="1"/>
  <c r="M289" i="2"/>
  <c r="F289" i="2"/>
  <c r="E289" i="2"/>
  <c r="D289" i="2"/>
  <c r="G289" i="2" s="1"/>
  <c r="V289" i="2" s="1"/>
  <c r="J289" i="4"/>
  <c r="N289" i="4" s="1"/>
  <c r="AA289" i="2"/>
  <c r="M288" i="2"/>
  <c r="D288" i="2"/>
  <c r="E288" i="2"/>
  <c r="F288" i="2"/>
  <c r="AA288" i="2"/>
  <c r="J288" i="4"/>
  <c r="N288" i="4" s="1"/>
  <c r="M287" i="2"/>
  <c r="E287" i="2"/>
  <c r="D287" i="2"/>
  <c r="F287" i="2"/>
  <c r="J287" i="4"/>
  <c r="N287" i="4" s="1"/>
  <c r="AA287" i="2"/>
  <c r="M286" i="2"/>
  <c r="N286" i="2" s="1"/>
  <c r="O286" i="2"/>
  <c r="D286" i="2"/>
  <c r="E286" i="2"/>
  <c r="F286" i="2"/>
  <c r="AA286" i="2"/>
  <c r="J286" i="4"/>
  <c r="N286" i="4" s="1"/>
  <c r="M285" i="2"/>
  <c r="E285" i="2"/>
  <c r="F285" i="2"/>
  <c r="D285" i="2"/>
  <c r="G285" i="2" s="1"/>
  <c r="V285" i="2" s="1"/>
  <c r="J285" i="4"/>
  <c r="N285" i="4" s="1"/>
  <c r="AA285" i="2"/>
  <c r="M284" i="2"/>
  <c r="N284" i="2" s="1"/>
  <c r="O284" i="2"/>
  <c r="F284" i="2"/>
  <c r="D284" i="2"/>
  <c r="E284" i="2"/>
  <c r="J284" i="4"/>
  <c r="N284" i="4" s="1"/>
  <c r="AA284" i="2"/>
  <c r="M283" i="2"/>
  <c r="E283" i="2"/>
  <c r="D283" i="2"/>
  <c r="F283" i="2"/>
  <c r="J283" i="4"/>
  <c r="N283" i="4" s="1"/>
  <c r="AA283" i="2"/>
  <c r="M282" i="2"/>
  <c r="F282" i="2"/>
  <c r="E282" i="2"/>
  <c r="D282" i="2"/>
  <c r="G282" i="2" s="1"/>
  <c r="V282" i="2" s="1"/>
  <c r="J282" i="4"/>
  <c r="N282" i="4" s="1"/>
  <c r="AA282" i="2"/>
  <c r="M281" i="2"/>
  <c r="N281" i="2" s="1"/>
  <c r="O281" i="2"/>
  <c r="F281" i="2"/>
  <c r="D281" i="2"/>
  <c r="E281" i="2"/>
  <c r="AA281" i="2"/>
  <c r="J281" i="4"/>
  <c r="N281" i="4" s="1"/>
  <c r="M280" i="2"/>
  <c r="D280" i="2"/>
  <c r="E280" i="2"/>
  <c r="F280" i="2"/>
  <c r="AA280" i="2"/>
  <c r="J280" i="4"/>
  <c r="N280" i="4" s="1"/>
  <c r="M279" i="2"/>
  <c r="D279" i="2"/>
  <c r="E279" i="2"/>
  <c r="F279" i="2"/>
  <c r="J279" i="4"/>
  <c r="N279" i="4" s="1"/>
  <c r="AA279" i="2"/>
  <c r="M278" i="2"/>
  <c r="D278" i="2"/>
  <c r="E278" i="2"/>
  <c r="F278" i="2"/>
  <c r="J278" i="4"/>
  <c r="N278" i="4" s="1"/>
  <c r="AA278" i="2"/>
  <c r="M277" i="2"/>
  <c r="N277" i="2" s="1"/>
  <c r="O277" i="2"/>
  <c r="D277" i="2"/>
  <c r="E277" i="2"/>
  <c r="F277" i="2"/>
  <c r="AA277" i="2"/>
  <c r="J277" i="4"/>
  <c r="N277" i="4" s="1"/>
  <c r="M276" i="2"/>
  <c r="D276" i="2"/>
  <c r="F276" i="2"/>
  <c r="E276" i="2"/>
  <c r="J276" i="4"/>
  <c r="N276" i="4" s="1"/>
  <c r="AA276" i="2"/>
  <c r="M275" i="2"/>
  <c r="N275" i="2" s="1"/>
  <c r="O275" i="2"/>
  <c r="D275" i="2"/>
  <c r="E275" i="2"/>
  <c r="F275" i="2"/>
  <c r="AA275" i="2"/>
  <c r="J275" i="4"/>
  <c r="N275" i="4" s="1"/>
  <c r="M274" i="2"/>
  <c r="N274" i="2" s="1"/>
  <c r="O274" i="2"/>
  <c r="E274" i="2"/>
  <c r="D274" i="2"/>
  <c r="F274" i="2"/>
  <c r="AA274" i="2"/>
  <c r="J274" i="4"/>
  <c r="N274" i="4" s="1"/>
  <c r="M273" i="2"/>
  <c r="N273" i="2" s="1"/>
  <c r="O273" i="2"/>
  <c r="D273" i="2"/>
  <c r="E273" i="2"/>
  <c r="F273" i="2"/>
  <c r="AA273" i="2"/>
  <c r="J273" i="4"/>
  <c r="N273" i="4" s="1"/>
  <c r="M272" i="2"/>
  <c r="E272" i="2"/>
  <c r="D272" i="2"/>
  <c r="F272" i="2"/>
  <c r="J272" i="4"/>
  <c r="N272" i="4" s="1"/>
  <c r="AA272" i="2"/>
  <c r="M271" i="2"/>
  <c r="D271" i="2"/>
  <c r="F271" i="2"/>
  <c r="E271" i="2"/>
  <c r="AA271" i="2"/>
  <c r="J271" i="4"/>
  <c r="N271" i="4" s="1"/>
  <c r="M270" i="2"/>
  <c r="F270" i="2"/>
  <c r="E270" i="2"/>
  <c r="D270" i="2"/>
  <c r="G270" i="2" s="1"/>
  <c r="V270" i="2" s="1"/>
  <c r="AA270" i="2"/>
  <c r="J270" i="4"/>
  <c r="N270" i="4" s="1"/>
  <c r="M269" i="2"/>
  <c r="N269" i="2" s="1"/>
  <c r="O269" i="2"/>
  <c r="F269" i="2"/>
  <c r="D269" i="2"/>
  <c r="E269" i="2"/>
  <c r="J269" i="4"/>
  <c r="N269" i="4" s="1"/>
  <c r="AA269" i="2"/>
  <c r="M268" i="2"/>
  <c r="N268" i="2" s="1"/>
  <c r="O268" i="2"/>
  <c r="E268" i="2"/>
  <c r="D268" i="2"/>
  <c r="F268" i="2"/>
  <c r="AA268" i="2"/>
  <c r="J268" i="4"/>
  <c r="N268" i="4" s="1"/>
  <c r="M267" i="2"/>
  <c r="N267" i="2" s="1"/>
  <c r="O267" i="2"/>
  <c r="F267" i="2"/>
  <c r="E267" i="2"/>
  <c r="D267" i="2"/>
  <c r="G267" i="2" s="1"/>
  <c r="J267" i="4"/>
  <c r="N267" i="4" s="1"/>
  <c r="AA267" i="2"/>
  <c r="M266" i="2"/>
  <c r="F266" i="2"/>
  <c r="E266" i="2"/>
  <c r="D266" i="2"/>
  <c r="G266" i="2" s="1"/>
  <c r="V266" i="2" s="1"/>
  <c r="J266" i="4"/>
  <c r="N266" i="4" s="1"/>
  <c r="AA266" i="2"/>
  <c r="M265" i="2"/>
  <c r="F265" i="2"/>
  <c r="E265" i="2"/>
  <c r="D265" i="2"/>
  <c r="G265" i="2" s="1"/>
  <c r="V265" i="2" s="1"/>
  <c r="AA265" i="2"/>
  <c r="J265" i="4"/>
  <c r="N265" i="4" s="1"/>
  <c r="M264" i="2"/>
  <c r="F264" i="2"/>
  <c r="E264" i="2"/>
  <c r="D264" i="2"/>
  <c r="G264" i="2" s="1"/>
  <c r="V264" i="2" s="1"/>
  <c r="J264" i="4"/>
  <c r="N264" i="4" s="1"/>
  <c r="AA264" i="2"/>
  <c r="M263" i="2"/>
  <c r="N263" i="2" s="1"/>
  <c r="O263" i="2"/>
  <c r="E263" i="2"/>
  <c r="D263" i="2"/>
  <c r="F263" i="2"/>
  <c r="J263" i="4"/>
  <c r="N263" i="4" s="1"/>
  <c r="AA263" i="2"/>
  <c r="M262" i="2"/>
  <c r="F262" i="2"/>
  <c r="E262" i="2"/>
  <c r="D262" i="2"/>
  <c r="G262" i="2" s="1"/>
  <c r="AA262" i="2"/>
  <c r="J262" i="4"/>
  <c r="N262" i="4" s="1"/>
  <c r="M261" i="2"/>
  <c r="N261" i="2" s="1"/>
  <c r="O261" i="2"/>
  <c r="E261" i="2"/>
  <c r="F261" i="2"/>
  <c r="D261" i="2"/>
  <c r="G261" i="2" s="1"/>
  <c r="AA261" i="2"/>
  <c r="J261" i="4"/>
  <c r="N261" i="4" s="1"/>
  <c r="M260" i="2"/>
  <c r="N260" i="2" s="1"/>
  <c r="O260" i="2"/>
  <c r="E260" i="2"/>
  <c r="D260" i="2"/>
  <c r="F260" i="2"/>
  <c r="AA260" i="2"/>
  <c r="J260" i="4"/>
  <c r="N260" i="4" s="1"/>
  <c r="M259" i="2"/>
  <c r="F259" i="2"/>
  <c r="E259" i="2"/>
  <c r="D259" i="2"/>
  <c r="G259" i="2" s="1"/>
  <c r="V259" i="2" s="1"/>
  <c r="AA259" i="2"/>
  <c r="J259" i="4"/>
  <c r="N259" i="4" s="1"/>
  <c r="M258" i="2"/>
  <c r="E258" i="2"/>
  <c r="F258" i="2"/>
  <c r="D258" i="2"/>
  <c r="G258" i="2" s="1"/>
  <c r="V258" i="2" s="1"/>
  <c r="AA258" i="2"/>
  <c r="J258" i="4"/>
  <c r="N258" i="4" s="1"/>
  <c r="M257" i="2"/>
  <c r="N257" i="2" s="1"/>
  <c r="O257" i="2"/>
  <c r="D257" i="2"/>
  <c r="F257" i="2"/>
  <c r="E257" i="2"/>
  <c r="J257" i="4"/>
  <c r="N257" i="4" s="1"/>
  <c r="AA257" i="2"/>
  <c r="M256" i="2"/>
  <c r="N256" i="2" s="1"/>
  <c r="O256" i="2"/>
  <c r="F256" i="2"/>
  <c r="E256" i="2"/>
  <c r="D256" i="2"/>
  <c r="AA256" i="2"/>
  <c r="J256" i="4"/>
  <c r="N256" i="4" s="1"/>
  <c r="M255" i="2"/>
  <c r="N255" i="2" s="1"/>
  <c r="O255" i="2"/>
  <c r="F255" i="2"/>
  <c r="E255" i="2"/>
  <c r="D255" i="2"/>
  <c r="G255" i="2" s="1"/>
  <c r="J255" i="4"/>
  <c r="N255" i="4" s="1"/>
  <c r="AA255" i="2"/>
  <c r="M254" i="2"/>
  <c r="N254" i="2" s="1"/>
  <c r="O254" i="2"/>
  <c r="F254" i="2"/>
  <c r="E254" i="2"/>
  <c r="D254" i="2"/>
  <c r="G254" i="2" s="1"/>
  <c r="J254" i="4"/>
  <c r="N254" i="4" s="1"/>
  <c r="AA254" i="2"/>
  <c r="M253" i="2"/>
  <c r="E253" i="2"/>
  <c r="D253" i="2"/>
  <c r="F253" i="2"/>
  <c r="J253" i="4"/>
  <c r="N253" i="4" s="1"/>
  <c r="AA253" i="2"/>
  <c r="M252" i="2"/>
  <c r="D252" i="2"/>
  <c r="F252" i="2"/>
  <c r="E252" i="2"/>
  <c r="J252" i="4"/>
  <c r="N252" i="4" s="1"/>
  <c r="AA252" i="2"/>
  <c r="M251" i="2"/>
  <c r="D251" i="2"/>
  <c r="E251" i="2"/>
  <c r="F251" i="2"/>
  <c r="J251" i="4"/>
  <c r="N251" i="4" s="1"/>
  <c r="AA251" i="2"/>
  <c r="M250" i="2"/>
  <c r="F250" i="2"/>
  <c r="E250" i="2"/>
  <c r="D250" i="2"/>
  <c r="J250" i="4"/>
  <c r="N250" i="4" s="1"/>
  <c r="AA250" i="2"/>
  <c r="M249" i="2"/>
  <c r="E249" i="2"/>
  <c r="F249" i="2"/>
  <c r="D249" i="2"/>
  <c r="J249" i="4"/>
  <c r="N249" i="4" s="1"/>
  <c r="AA249" i="2"/>
  <c r="M248" i="2"/>
  <c r="E248" i="2"/>
  <c r="D248" i="2"/>
  <c r="F248" i="2"/>
  <c r="J248" i="4"/>
  <c r="N248" i="4" s="1"/>
  <c r="AA248" i="2"/>
  <c r="M247" i="2"/>
  <c r="N247" i="2" s="1"/>
  <c r="O247" i="2"/>
  <c r="F247" i="2"/>
  <c r="D247" i="2"/>
  <c r="E247" i="2"/>
  <c r="AA247" i="2"/>
  <c r="J247" i="4"/>
  <c r="N247" i="4" s="1"/>
  <c r="M246" i="2"/>
  <c r="N246" i="2" s="1"/>
  <c r="O246" i="2"/>
  <c r="D246" i="2"/>
  <c r="F246" i="2"/>
  <c r="E246" i="2"/>
  <c r="J246" i="4"/>
  <c r="N246" i="4" s="1"/>
  <c r="AA246" i="2"/>
  <c r="M245" i="2"/>
  <c r="E245" i="2"/>
  <c r="F245" i="2"/>
  <c r="D245" i="2"/>
  <c r="G245" i="2" s="1"/>
  <c r="V245" i="2" s="1"/>
  <c r="J245" i="4"/>
  <c r="N245" i="4" s="1"/>
  <c r="AA245" i="2"/>
  <c r="M244" i="2"/>
  <c r="F244" i="2"/>
  <c r="E244" i="2"/>
  <c r="D244" i="2"/>
  <c r="J244" i="4"/>
  <c r="N244" i="4" s="1"/>
  <c r="AA244" i="2"/>
  <c r="M243" i="2"/>
  <c r="D243" i="2"/>
  <c r="F243" i="2"/>
  <c r="E243" i="2"/>
  <c r="J243" i="4"/>
  <c r="N243" i="4" s="1"/>
  <c r="AA243" i="2"/>
  <c r="M242" i="2"/>
  <c r="D242" i="2"/>
  <c r="E242" i="2"/>
  <c r="F242" i="2"/>
  <c r="J242" i="4"/>
  <c r="N242" i="4" s="1"/>
  <c r="AA242" i="2"/>
  <c r="M241" i="2"/>
  <c r="F241" i="2"/>
  <c r="D241" i="2"/>
  <c r="E241" i="2"/>
  <c r="J241" i="4"/>
  <c r="N241" i="4" s="1"/>
  <c r="AA241" i="2"/>
  <c r="M240" i="2"/>
  <c r="D240" i="2"/>
  <c r="F240" i="2"/>
  <c r="E240" i="2"/>
  <c r="J240" i="4"/>
  <c r="N240" i="4" s="1"/>
  <c r="AA240" i="2"/>
  <c r="M239" i="2"/>
  <c r="F239" i="2"/>
  <c r="E239" i="2"/>
  <c r="D239" i="2"/>
  <c r="G239" i="2" s="1"/>
  <c r="V239" i="2" s="1"/>
  <c r="J239" i="4"/>
  <c r="N239" i="4" s="1"/>
  <c r="AA239" i="2"/>
  <c r="M238" i="2"/>
  <c r="D238" i="2"/>
  <c r="F238" i="2"/>
  <c r="E238" i="2"/>
  <c r="J238" i="4"/>
  <c r="N238" i="4" s="1"/>
  <c r="AA238" i="2"/>
  <c r="M237" i="2"/>
  <c r="F237" i="2"/>
  <c r="E237" i="2"/>
  <c r="D237" i="2"/>
  <c r="G237" i="2" s="1"/>
  <c r="V237" i="2" s="1"/>
  <c r="J237" i="4"/>
  <c r="N237" i="4" s="1"/>
  <c r="AA237" i="2"/>
  <c r="M236" i="2"/>
  <c r="N236" i="2" s="1"/>
  <c r="O236" i="2"/>
  <c r="F236" i="2"/>
  <c r="E236" i="2"/>
  <c r="D236" i="2"/>
  <c r="G236" i="2" s="1"/>
  <c r="AA236" i="2"/>
  <c r="J236" i="4"/>
  <c r="N236" i="4" s="1"/>
  <c r="M235" i="2"/>
  <c r="E235" i="2"/>
  <c r="F235" i="2"/>
  <c r="D235" i="2"/>
  <c r="G235" i="2" s="1"/>
  <c r="V235" i="2" s="1"/>
  <c r="J235" i="4"/>
  <c r="N235" i="4" s="1"/>
  <c r="AA235" i="2"/>
  <c r="M234" i="2"/>
  <c r="E234" i="2"/>
  <c r="F234" i="2"/>
  <c r="D234" i="2"/>
  <c r="J234" i="4"/>
  <c r="N234" i="4" s="1"/>
  <c r="AA234" i="2"/>
  <c r="M233" i="2"/>
  <c r="N233" i="2" s="1"/>
  <c r="O233" i="2"/>
  <c r="F233" i="2"/>
  <c r="E233" i="2"/>
  <c r="D233" i="2"/>
  <c r="G233" i="2" s="1"/>
  <c r="J233" i="4"/>
  <c r="N233" i="4" s="1"/>
  <c r="AA233" i="2"/>
  <c r="M232" i="2"/>
  <c r="F232" i="2"/>
  <c r="E232" i="2"/>
  <c r="D232" i="2"/>
  <c r="G232" i="2" s="1"/>
  <c r="V232" i="2" s="1"/>
  <c r="J232" i="4"/>
  <c r="N232" i="4" s="1"/>
  <c r="AA232" i="2"/>
  <c r="M231" i="2"/>
  <c r="N231" i="2" s="1"/>
  <c r="O231" i="2"/>
  <c r="E231" i="2"/>
  <c r="D231" i="2"/>
  <c r="F231" i="2"/>
  <c r="J231" i="4"/>
  <c r="N231" i="4" s="1"/>
  <c r="AA231" i="2"/>
  <c r="M230" i="2"/>
  <c r="N230" i="2" s="1"/>
  <c r="O230" i="2"/>
  <c r="F230" i="2"/>
  <c r="E230" i="2"/>
  <c r="D230" i="2"/>
  <c r="G230" i="2" s="1"/>
  <c r="J230" i="4"/>
  <c r="N230" i="4" s="1"/>
  <c r="AA230" i="2"/>
  <c r="M229" i="2"/>
  <c r="F229" i="2"/>
  <c r="E229" i="2"/>
  <c r="D229" i="2"/>
  <c r="J229" i="4"/>
  <c r="N229" i="4" s="1"/>
  <c r="AA229" i="2"/>
  <c r="M228" i="2"/>
  <c r="F228" i="2"/>
  <c r="E228" i="2"/>
  <c r="D228" i="2"/>
  <c r="AA228" i="2"/>
  <c r="J228" i="4"/>
  <c r="N228" i="4" s="1"/>
  <c r="M227" i="2"/>
  <c r="E227" i="2"/>
  <c r="F227" i="2"/>
  <c r="D227" i="2"/>
  <c r="G227" i="2" s="1"/>
  <c r="V227" i="2" s="1"/>
  <c r="J227" i="4"/>
  <c r="N227" i="4" s="1"/>
  <c r="AA227" i="2"/>
  <c r="M226" i="2"/>
  <c r="F226" i="2"/>
  <c r="E226" i="2"/>
  <c r="D226" i="2"/>
  <c r="J226" i="4"/>
  <c r="N226" i="4" s="1"/>
  <c r="AA226" i="2"/>
  <c r="M225" i="2"/>
  <c r="F225" i="2"/>
  <c r="E225" i="2"/>
  <c r="D225" i="2"/>
  <c r="G225" i="2" s="1"/>
  <c r="V225" i="2" s="1"/>
  <c r="J225" i="4"/>
  <c r="N225" i="4" s="1"/>
  <c r="AA225" i="2"/>
  <c r="M224" i="2"/>
  <c r="F224" i="2"/>
  <c r="E224" i="2"/>
  <c r="D224" i="2"/>
  <c r="G224" i="2" s="1"/>
  <c r="V224" i="2" s="1"/>
  <c r="AA224" i="2"/>
  <c r="J224" i="4"/>
  <c r="N224" i="4" s="1"/>
  <c r="M223" i="2"/>
  <c r="F223" i="2"/>
  <c r="E223" i="2"/>
  <c r="D223" i="2"/>
  <c r="G223" i="2" s="1"/>
  <c r="V223" i="2" s="1"/>
  <c r="AA223" i="2"/>
  <c r="J223" i="4"/>
  <c r="N223" i="4" s="1"/>
  <c r="M222" i="2"/>
  <c r="D222" i="2"/>
  <c r="F222" i="2"/>
  <c r="E222" i="2"/>
  <c r="AA222" i="2"/>
  <c r="J222" i="4"/>
  <c r="N222" i="4" s="1"/>
  <c r="M221" i="2"/>
  <c r="F221" i="2"/>
  <c r="E221" i="2"/>
  <c r="D221" i="2"/>
  <c r="G221" i="2" s="1"/>
  <c r="V221" i="2" s="1"/>
  <c r="AA221" i="2"/>
  <c r="J221" i="4"/>
  <c r="N221" i="4" s="1"/>
  <c r="M220" i="2"/>
  <c r="E220" i="2"/>
  <c r="F220" i="2"/>
  <c r="D220" i="2"/>
  <c r="G220" i="2" s="1"/>
  <c r="V220" i="2" s="1"/>
  <c r="AA220" i="2"/>
  <c r="J220" i="4"/>
  <c r="N220" i="4" s="1"/>
  <c r="M219" i="2"/>
  <c r="F219" i="2"/>
  <c r="E219" i="2"/>
  <c r="D219" i="2"/>
  <c r="J219" i="4"/>
  <c r="N219" i="4" s="1"/>
  <c r="AA219" i="2"/>
  <c r="M218" i="2"/>
  <c r="F218" i="2"/>
  <c r="E218" i="2"/>
  <c r="D218" i="2"/>
  <c r="G218" i="2" s="1"/>
  <c r="V218" i="2" s="1"/>
  <c r="J218" i="4"/>
  <c r="N218" i="4" s="1"/>
  <c r="AA218" i="2"/>
  <c r="M217" i="2"/>
  <c r="E217" i="2"/>
  <c r="D217" i="2"/>
  <c r="F217" i="2"/>
  <c r="J217" i="4"/>
  <c r="N217" i="4" s="1"/>
  <c r="AA217" i="2"/>
  <c r="M216" i="2"/>
  <c r="F216" i="2"/>
  <c r="E216" i="2"/>
  <c r="D216" i="2"/>
  <c r="J216" i="4"/>
  <c r="N216" i="4" s="1"/>
  <c r="AA216" i="2"/>
  <c r="M215" i="2"/>
  <c r="F215" i="2"/>
  <c r="E215" i="2"/>
  <c r="D215" i="2"/>
  <c r="G215" i="2" s="1"/>
  <c r="V215" i="2" s="1"/>
  <c r="J215" i="4"/>
  <c r="N215" i="4" s="1"/>
  <c r="AA215" i="2"/>
  <c r="M214" i="2"/>
  <c r="F214" i="2"/>
  <c r="E214" i="2"/>
  <c r="D214" i="2"/>
  <c r="AA214" i="2"/>
  <c r="J214" i="4"/>
  <c r="N214" i="4" s="1"/>
  <c r="M213" i="2"/>
  <c r="N213" i="2" s="1"/>
  <c r="O213" i="2"/>
  <c r="D213" i="2"/>
  <c r="F213" i="2"/>
  <c r="E213" i="2"/>
  <c r="J213" i="4"/>
  <c r="N213" i="4" s="1"/>
  <c r="AA213" i="2"/>
  <c r="M212" i="2"/>
  <c r="D212" i="2"/>
  <c r="E212" i="2"/>
  <c r="F212" i="2"/>
  <c r="AA212" i="2"/>
  <c r="J212" i="4"/>
  <c r="N212" i="4" s="1"/>
  <c r="M211" i="2"/>
  <c r="E211" i="2"/>
  <c r="F211" i="2"/>
  <c r="D211" i="2"/>
  <c r="G211" i="2" s="1"/>
  <c r="V211" i="2" s="1"/>
  <c r="J211" i="4"/>
  <c r="N211" i="4" s="1"/>
  <c r="AA211" i="2"/>
  <c r="M210" i="2"/>
  <c r="D210" i="2"/>
  <c r="F210" i="2"/>
  <c r="E210" i="2"/>
  <c r="AA210" i="2"/>
  <c r="J210" i="4"/>
  <c r="N210" i="4" s="1"/>
  <c r="M209" i="2"/>
  <c r="N209" i="2" s="1"/>
  <c r="O209" i="2"/>
  <c r="D209" i="2"/>
  <c r="E209" i="2"/>
  <c r="F209" i="2"/>
  <c r="AA209" i="2"/>
  <c r="J209" i="4"/>
  <c r="N209" i="4" s="1"/>
  <c r="M208" i="2"/>
  <c r="D208" i="2"/>
  <c r="E208" i="2"/>
  <c r="F208" i="2"/>
  <c r="J208" i="4"/>
  <c r="N208" i="4" s="1"/>
  <c r="AA208" i="2"/>
  <c r="M207" i="2"/>
  <c r="F207" i="2"/>
  <c r="E207" i="2"/>
  <c r="D207" i="2"/>
  <c r="G207" i="2" s="1"/>
  <c r="V207" i="2" s="1"/>
  <c r="AA207" i="2"/>
  <c r="J207" i="4"/>
  <c r="N207" i="4" s="1"/>
  <c r="M206" i="2"/>
  <c r="D206" i="2"/>
  <c r="F206" i="2"/>
  <c r="E206" i="2"/>
  <c r="AA206" i="2"/>
  <c r="J206" i="4"/>
  <c r="N206" i="4" s="1"/>
  <c r="M205" i="2"/>
  <c r="F205" i="2"/>
  <c r="E205" i="2"/>
  <c r="D205" i="2"/>
  <c r="G205" i="2" s="1"/>
  <c r="V205" i="2" s="1"/>
  <c r="J205" i="4"/>
  <c r="N205" i="4" s="1"/>
  <c r="AA205" i="2"/>
  <c r="M204" i="2"/>
  <c r="F204" i="2"/>
  <c r="E204" i="2"/>
  <c r="D204" i="2"/>
  <c r="G204" i="2" s="1"/>
  <c r="V204" i="2" s="1"/>
  <c r="AA204" i="2"/>
  <c r="J204" i="4"/>
  <c r="N204" i="4" s="1"/>
  <c r="M203" i="2"/>
  <c r="E203" i="2"/>
  <c r="F203" i="2"/>
  <c r="D203" i="2"/>
  <c r="J203" i="4"/>
  <c r="N203" i="4" s="1"/>
  <c r="AA203" i="2"/>
  <c r="M202" i="2"/>
  <c r="N202" i="2" s="1"/>
  <c r="O202" i="2"/>
  <c r="D202" i="2"/>
  <c r="E202" i="2"/>
  <c r="F202" i="2"/>
  <c r="J202" i="4"/>
  <c r="N202" i="4" s="1"/>
  <c r="AA202" i="2"/>
  <c r="M201" i="2"/>
  <c r="D201" i="2"/>
  <c r="E201" i="2"/>
  <c r="F201" i="2"/>
  <c r="J201" i="4"/>
  <c r="N201" i="4" s="1"/>
  <c r="AA201" i="2"/>
  <c r="M200" i="2"/>
  <c r="E200" i="2"/>
  <c r="D200" i="2"/>
  <c r="F200" i="2"/>
  <c r="AA200" i="2"/>
  <c r="J200" i="4"/>
  <c r="N200" i="4" s="1"/>
  <c r="M199" i="2"/>
  <c r="N199" i="2" s="1"/>
  <c r="O199" i="2"/>
  <c r="D199" i="2"/>
  <c r="E199" i="2"/>
  <c r="F199" i="2"/>
  <c r="AA199" i="2"/>
  <c r="J199" i="4"/>
  <c r="N199" i="4" s="1"/>
  <c r="M198" i="2"/>
  <c r="F198" i="2"/>
  <c r="E198" i="2"/>
  <c r="D198" i="2"/>
  <c r="G198" i="2" s="1"/>
  <c r="AA198" i="2"/>
  <c r="J198" i="4"/>
  <c r="N198" i="4" s="1"/>
  <c r="M197" i="2"/>
  <c r="D197" i="2"/>
  <c r="E197" i="2"/>
  <c r="F197" i="2"/>
  <c r="J197" i="4"/>
  <c r="N197" i="4" s="1"/>
  <c r="AA197" i="2"/>
  <c r="M196" i="2"/>
  <c r="N196" i="2" s="1"/>
  <c r="O196" i="2"/>
  <c r="D196" i="2"/>
  <c r="E196" i="2"/>
  <c r="F196" i="2"/>
  <c r="AA196" i="2"/>
  <c r="J196" i="4"/>
  <c r="N196" i="4" s="1"/>
  <c r="M195" i="2"/>
  <c r="D195" i="2"/>
  <c r="E195" i="2"/>
  <c r="F195" i="2"/>
  <c r="AA195" i="2"/>
  <c r="J195" i="4"/>
  <c r="N195" i="4" s="1"/>
  <c r="M194" i="2"/>
  <c r="N194" i="2" s="1"/>
  <c r="O194" i="2"/>
  <c r="D194" i="2"/>
  <c r="E194" i="2"/>
  <c r="F194" i="2"/>
  <c r="AA194" i="2"/>
  <c r="J194" i="4"/>
  <c r="N194" i="4" s="1"/>
  <c r="M193" i="2"/>
  <c r="D193" i="2"/>
  <c r="F193" i="2"/>
  <c r="E193" i="2"/>
  <c r="J193" i="4"/>
  <c r="N193" i="4" s="1"/>
  <c r="AA193" i="2"/>
  <c r="M192" i="2"/>
  <c r="F192" i="2"/>
  <c r="E192" i="2"/>
  <c r="D192" i="2"/>
  <c r="G192" i="2" s="1"/>
  <c r="V192" i="2" s="1"/>
  <c r="J192" i="4"/>
  <c r="N192" i="4" s="1"/>
  <c r="AA192" i="2"/>
  <c r="M191" i="2"/>
  <c r="F191" i="2"/>
  <c r="E191" i="2"/>
  <c r="D191" i="2"/>
  <c r="G191" i="2" s="1"/>
  <c r="V191" i="2" s="1"/>
  <c r="J191" i="4"/>
  <c r="N191" i="4" s="1"/>
  <c r="AA191" i="2"/>
  <c r="M190" i="2"/>
  <c r="F190" i="2"/>
  <c r="E190" i="2"/>
  <c r="D190" i="2"/>
  <c r="AA190" i="2"/>
  <c r="J190" i="4"/>
  <c r="N190" i="4" s="1"/>
  <c r="M189" i="2"/>
  <c r="F189" i="2"/>
  <c r="E189" i="2"/>
  <c r="D189" i="2"/>
  <c r="G189" i="2" s="1"/>
  <c r="V189" i="2" s="1"/>
  <c r="J189" i="4"/>
  <c r="N189" i="4" s="1"/>
  <c r="AA189" i="2"/>
  <c r="M188" i="2"/>
  <c r="N188" i="2" s="1"/>
  <c r="O188" i="2"/>
  <c r="D188" i="2"/>
  <c r="E188" i="2"/>
  <c r="F188" i="2"/>
  <c r="J188" i="4"/>
  <c r="N188" i="4" s="1"/>
  <c r="AA188" i="2"/>
  <c r="M187" i="2"/>
  <c r="F187" i="2"/>
  <c r="E187" i="2"/>
  <c r="D187" i="2"/>
  <c r="G187" i="2" s="1"/>
  <c r="V187" i="2" s="1"/>
  <c r="AA187" i="2"/>
  <c r="J187" i="4"/>
  <c r="N187" i="4" s="1"/>
  <c r="M186" i="2"/>
  <c r="D186" i="2"/>
  <c r="F186" i="2"/>
  <c r="E186" i="2"/>
  <c r="J186" i="4"/>
  <c r="N186" i="4" s="1"/>
  <c r="AA186" i="2"/>
  <c r="M185" i="2"/>
  <c r="F185" i="2"/>
  <c r="D185" i="2"/>
  <c r="E185" i="2"/>
  <c r="AA185" i="2"/>
  <c r="J185" i="4"/>
  <c r="N185" i="4" s="1"/>
  <c r="M184" i="2"/>
  <c r="D184" i="2"/>
  <c r="E184" i="2"/>
  <c r="F184" i="2"/>
  <c r="J184" i="4"/>
  <c r="N184" i="4" s="1"/>
  <c r="AA184" i="2"/>
  <c r="M183" i="2"/>
  <c r="E183" i="2"/>
  <c r="D183" i="2"/>
  <c r="F183" i="2"/>
  <c r="J183" i="4"/>
  <c r="N183" i="4" s="1"/>
  <c r="AA183" i="2"/>
  <c r="M182" i="2"/>
  <c r="F182" i="2"/>
  <c r="D182" i="2"/>
  <c r="E182" i="2"/>
  <c r="AA182" i="2"/>
  <c r="J182" i="4"/>
  <c r="N182" i="4" s="1"/>
  <c r="M181" i="2"/>
  <c r="N181" i="2" s="1"/>
  <c r="O181" i="2"/>
  <c r="F181" i="2"/>
  <c r="D181" i="2"/>
  <c r="E181" i="2"/>
  <c r="J181" i="4"/>
  <c r="N181" i="4" s="1"/>
  <c r="AA181" i="2"/>
  <c r="M180" i="2"/>
  <c r="N180" i="2" s="1"/>
  <c r="O180" i="2"/>
  <c r="F180" i="2"/>
  <c r="E180" i="2"/>
  <c r="D180" i="2"/>
  <c r="G180" i="2" s="1"/>
  <c r="AA180" i="2"/>
  <c r="J180" i="4"/>
  <c r="N180" i="4" s="1"/>
  <c r="M179" i="2"/>
  <c r="F179" i="2"/>
  <c r="E179" i="2"/>
  <c r="D179" i="2"/>
  <c r="J179" i="4"/>
  <c r="N179" i="4" s="1"/>
  <c r="AA179" i="2"/>
  <c r="M178" i="2"/>
  <c r="F178" i="2"/>
  <c r="E178" i="2"/>
  <c r="D178" i="2"/>
  <c r="G178" i="2" s="1"/>
  <c r="J178" i="4"/>
  <c r="N178" i="4" s="1"/>
  <c r="AA178" i="2"/>
  <c r="M177" i="2"/>
  <c r="N177" i="2" s="1"/>
  <c r="O177" i="2"/>
  <c r="F177" i="2"/>
  <c r="E177" i="2"/>
  <c r="D177" i="2"/>
  <c r="J177" i="4"/>
  <c r="N177" i="4" s="1"/>
  <c r="AA177" i="2"/>
  <c r="M176" i="2"/>
  <c r="N176" i="2" s="1"/>
  <c r="O176" i="2"/>
  <c r="E176" i="2"/>
  <c r="D176" i="2"/>
  <c r="F176" i="2"/>
  <c r="J176" i="4"/>
  <c r="N176" i="4" s="1"/>
  <c r="AA176" i="2"/>
  <c r="M175" i="2"/>
  <c r="F175" i="2"/>
  <c r="E175" i="2"/>
  <c r="D175" i="2"/>
  <c r="G175" i="2" s="1"/>
  <c r="J175" i="4"/>
  <c r="N175" i="4" s="1"/>
  <c r="AA175" i="2"/>
  <c r="M174" i="2"/>
  <c r="N174" i="2" s="1"/>
  <c r="O174" i="2"/>
  <c r="F174" i="2"/>
  <c r="E174" i="2"/>
  <c r="D174" i="2"/>
  <c r="G174" i="2" s="1"/>
  <c r="J174" i="4"/>
  <c r="N174" i="4" s="1"/>
  <c r="AA174" i="2"/>
  <c r="M173" i="2"/>
  <c r="D173" i="2"/>
  <c r="E173" i="2"/>
  <c r="F173" i="2"/>
  <c r="J173" i="4"/>
  <c r="N173" i="4" s="1"/>
  <c r="AA173" i="2"/>
  <c r="M172" i="2"/>
  <c r="N172" i="2" s="1"/>
  <c r="O172" i="2"/>
  <c r="E172" i="2"/>
  <c r="D172" i="2"/>
  <c r="F172" i="2"/>
  <c r="J172" i="4"/>
  <c r="N172" i="4" s="1"/>
  <c r="AA172" i="2"/>
  <c r="M171" i="2"/>
  <c r="D171" i="2"/>
  <c r="E171" i="2"/>
  <c r="F171" i="2"/>
  <c r="J171" i="4"/>
  <c r="N171" i="4" s="1"/>
  <c r="AA171" i="2"/>
  <c r="M170" i="2"/>
  <c r="N170" i="2" s="1"/>
  <c r="O170" i="2"/>
  <c r="F170" i="2"/>
  <c r="E170" i="2"/>
  <c r="D170" i="2"/>
  <c r="J170" i="4"/>
  <c r="N170" i="4" s="1"/>
  <c r="AA170" i="2"/>
  <c r="M169" i="2"/>
  <c r="D169" i="2"/>
  <c r="E169" i="2"/>
  <c r="F169" i="2"/>
  <c r="J169" i="4"/>
  <c r="N169" i="4" s="1"/>
  <c r="AA169" i="2"/>
  <c r="M168" i="2"/>
  <c r="D168" i="2"/>
  <c r="F168" i="2"/>
  <c r="E168" i="2"/>
  <c r="J168" i="4"/>
  <c r="N168" i="4" s="1"/>
  <c r="AA168" i="2"/>
  <c r="M167" i="2"/>
  <c r="N167" i="2" s="1"/>
  <c r="O167" i="2"/>
  <c r="D167" i="2"/>
  <c r="E167" i="2"/>
  <c r="F167" i="2"/>
  <c r="J167" i="4"/>
  <c r="N167" i="4" s="1"/>
  <c r="AA167" i="2"/>
  <c r="N166" i="2"/>
  <c r="O166" i="2"/>
  <c r="E166" i="2"/>
  <c r="D166" i="2"/>
  <c r="F166" i="2"/>
  <c r="M165" i="2"/>
  <c r="N165" i="2" s="1"/>
  <c r="O165" i="2"/>
  <c r="D165" i="2"/>
  <c r="E165" i="2"/>
  <c r="F165" i="2"/>
  <c r="AA165" i="2"/>
  <c r="M164" i="2"/>
  <c r="D164" i="2"/>
  <c r="E164" i="2"/>
  <c r="F164" i="2"/>
  <c r="AA164" i="2"/>
  <c r="M163" i="2"/>
  <c r="E163" i="2"/>
  <c r="D163" i="2"/>
  <c r="F163" i="2"/>
  <c r="AA163" i="2"/>
  <c r="M162" i="2"/>
  <c r="N162" i="2" s="1"/>
  <c r="O162" i="2"/>
  <c r="D162" i="2"/>
  <c r="E162" i="2"/>
  <c r="F162" i="2"/>
  <c r="AA162" i="2"/>
  <c r="M161" i="2"/>
  <c r="N161" i="2" s="1"/>
  <c r="O161" i="2"/>
  <c r="D161" i="2"/>
  <c r="F161" i="2"/>
  <c r="E161" i="2"/>
  <c r="AA161" i="2"/>
  <c r="M160" i="2"/>
  <c r="F160" i="2"/>
  <c r="D160" i="2"/>
  <c r="E160" i="2"/>
  <c r="AA160" i="2"/>
  <c r="M159" i="2"/>
  <c r="E159" i="2"/>
  <c r="F159" i="2"/>
  <c r="D159" i="2"/>
  <c r="G159" i="2" s="1"/>
  <c r="AA159" i="2"/>
  <c r="M158" i="2"/>
  <c r="F158" i="2"/>
  <c r="E158" i="2"/>
  <c r="D158" i="2"/>
  <c r="AA158" i="2"/>
  <c r="M157" i="2"/>
  <c r="F157" i="2"/>
  <c r="D157" i="2"/>
  <c r="E157" i="2"/>
  <c r="AA157" i="2"/>
  <c r="M156" i="2"/>
  <c r="N156" i="2" s="1"/>
  <c r="O156" i="2"/>
  <c r="D156" i="2"/>
  <c r="E156" i="2"/>
  <c r="F156" i="2"/>
  <c r="AA156" i="2"/>
  <c r="M155" i="2"/>
  <c r="D155" i="2"/>
  <c r="F155" i="2"/>
  <c r="E155" i="2"/>
  <c r="AA155" i="2"/>
  <c r="M154" i="2"/>
  <c r="N154" i="2" s="1"/>
  <c r="O154" i="2"/>
  <c r="F154" i="2"/>
  <c r="E154" i="2"/>
  <c r="D154" i="2"/>
  <c r="AA154" i="2"/>
  <c r="M153" i="2"/>
  <c r="E153" i="2"/>
  <c r="F153" i="2"/>
  <c r="D153" i="2"/>
  <c r="G153" i="2" s="1"/>
  <c r="V153" i="2" s="1"/>
  <c r="AA153" i="2"/>
  <c r="M152" i="2"/>
  <c r="F152" i="2"/>
  <c r="E152" i="2"/>
  <c r="D152" i="2"/>
  <c r="G152" i="2" s="1"/>
  <c r="V152" i="2" s="1"/>
  <c r="AA152" i="2"/>
  <c r="M151" i="2"/>
  <c r="F151" i="2"/>
  <c r="E151" i="2"/>
  <c r="D151" i="2"/>
  <c r="G151" i="2" s="1"/>
  <c r="V151" i="2" s="1"/>
  <c r="AA151" i="2"/>
  <c r="M150" i="2"/>
  <c r="F150" i="2"/>
  <c r="E150" i="2"/>
  <c r="D150" i="2"/>
  <c r="G150" i="2" s="1"/>
  <c r="V150" i="2" s="1"/>
  <c r="AA150" i="2"/>
  <c r="M149" i="2"/>
  <c r="F149" i="2"/>
  <c r="E149" i="2"/>
  <c r="D149" i="2"/>
  <c r="AA149" i="2"/>
  <c r="M148" i="2"/>
  <c r="F148" i="2"/>
  <c r="E148" i="2"/>
  <c r="D148" i="2"/>
  <c r="G148" i="2" s="1"/>
  <c r="V148" i="2" s="1"/>
  <c r="AA148" i="2"/>
  <c r="M147" i="2"/>
  <c r="N147" i="2" s="1"/>
  <c r="O147" i="2"/>
  <c r="F147" i="2"/>
  <c r="E147" i="2"/>
  <c r="D147" i="2"/>
  <c r="G147" i="2" s="1"/>
  <c r="AA147" i="2"/>
  <c r="M146" i="2"/>
  <c r="F146" i="2"/>
  <c r="E146" i="2"/>
  <c r="D146" i="2"/>
  <c r="G146" i="2" s="1"/>
  <c r="V146" i="2" s="1"/>
  <c r="AA146" i="2"/>
  <c r="M145" i="2"/>
  <c r="F145" i="2"/>
  <c r="E145" i="2"/>
  <c r="D145" i="2"/>
  <c r="G145" i="2" s="1"/>
  <c r="V145" i="2" s="1"/>
  <c r="AA145" i="2"/>
  <c r="M144" i="2"/>
  <c r="E144" i="2"/>
  <c r="F144" i="2"/>
  <c r="D144" i="2"/>
  <c r="G144" i="2" s="1"/>
  <c r="V144" i="2" s="1"/>
  <c r="AA144" i="2"/>
  <c r="M143" i="2"/>
  <c r="F143" i="2"/>
  <c r="D143" i="2"/>
  <c r="E143" i="2"/>
  <c r="AA143" i="2"/>
  <c r="M142" i="2"/>
  <c r="D142" i="2"/>
  <c r="E142" i="2"/>
  <c r="F142" i="2"/>
  <c r="AA142" i="2"/>
  <c r="M141" i="2"/>
  <c r="N141" i="2" s="1"/>
  <c r="O141" i="2"/>
  <c r="E141" i="2"/>
  <c r="F141" i="2"/>
  <c r="D141" i="2"/>
  <c r="G141" i="2" s="1"/>
  <c r="AA141" i="2"/>
  <c r="M140" i="2"/>
  <c r="D140" i="2"/>
  <c r="E140" i="2"/>
  <c r="F140" i="2"/>
  <c r="AA140" i="2"/>
  <c r="M139" i="2"/>
  <c r="F139" i="2"/>
  <c r="E139" i="2"/>
  <c r="D139" i="2"/>
  <c r="G139" i="2" s="1"/>
  <c r="V139" i="2" s="1"/>
  <c r="AA139" i="2"/>
  <c r="M138" i="2"/>
  <c r="N138" i="2" s="1"/>
  <c r="O138" i="2"/>
  <c r="D138" i="2"/>
  <c r="E138" i="2"/>
  <c r="F138" i="2"/>
  <c r="AA138" i="2"/>
  <c r="M137" i="2"/>
  <c r="N137" i="2" s="1"/>
  <c r="O137" i="2"/>
  <c r="D137" i="2"/>
  <c r="E137" i="2"/>
  <c r="F137" i="2"/>
  <c r="AA137" i="2"/>
  <c r="M136" i="2"/>
  <c r="N136" i="2" s="1"/>
  <c r="O136" i="2"/>
  <c r="D136" i="2"/>
  <c r="E136" i="2"/>
  <c r="F136" i="2"/>
  <c r="AA136" i="2"/>
  <c r="M135" i="2"/>
  <c r="E135" i="2"/>
  <c r="D135" i="2"/>
  <c r="F135" i="2"/>
  <c r="AA135" i="2"/>
  <c r="M134" i="2"/>
  <c r="F134" i="2"/>
  <c r="E134" i="2"/>
  <c r="D134" i="2"/>
  <c r="G134" i="2" s="1"/>
  <c r="V134" i="2" s="1"/>
  <c r="AA134" i="2"/>
  <c r="M133" i="2"/>
  <c r="E133" i="2"/>
  <c r="D133" i="2"/>
  <c r="F133" i="2"/>
  <c r="AA133" i="2"/>
  <c r="M132" i="2"/>
  <c r="F132" i="2"/>
  <c r="E132" i="2"/>
  <c r="D132" i="2"/>
  <c r="G132" i="2" s="1"/>
  <c r="V132" i="2" s="1"/>
  <c r="AA132" i="2"/>
  <c r="M131" i="2"/>
  <c r="F131" i="2"/>
  <c r="E131" i="2"/>
  <c r="D131" i="2"/>
  <c r="G131" i="2" s="1"/>
  <c r="V131" i="2" s="1"/>
  <c r="AA131" i="2"/>
  <c r="M130" i="2"/>
  <c r="F130" i="2"/>
  <c r="E130" i="2"/>
  <c r="D130" i="2"/>
  <c r="AA130" i="2"/>
  <c r="M129" i="2"/>
  <c r="N129" i="2" s="1"/>
  <c r="O129" i="2"/>
  <c r="E129" i="2"/>
  <c r="D129" i="2"/>
  <c r="F129" i="2"/>
  <c r="AA129" i="2"/>
  <c r="M128" i="2"/>
  <c r="F128" i="2"/>
  <c r="E128" i="2"/>
  <c r="D128" i="2"/>
  <c r="AA128" i="2"/>
  <c r="M127" i="2"/>
  <c r="F127" i="2"/>
  <c r="E127" i="2"/>
  <c r="D127" i="2"/>
  <c r="AA127" i="2"/>
  <c r="M126" i="2"/>
  <c r="D126" i="2"/>
  <c r="E126" i="2"/>
  <c r="F126" i="2"/>
  <c r="AA126" i="2"/>
  <c r="M125" i="2"/>
  <c r="D125" i="2"/>
  <c r="F125" i="2"/>
  <c r="E125" i="2"/>
  <c r="AA125" i="2"/>
  <c r="M124" i="2"/>
  <c r="N124" i="2" s="1"/>
  <c r="O124" i="2"/>
  <c r="D124" i="2"/>
  <c r="F124" i="2"/>
  <c r="E124" i="2"/>
  <c r="AA124" i="2"/>
  <c r="M123" i="2"/>
  <c r="E123" i="2"/>
  <c r="F123" i="2"/>
  <c r="D123" i="2"/>
  <c r="AA123" i="2"/>
  <c r="M122" i="2"/>
  <c r="E122" i="2"/>
  <c r="D122" i="2"/>
  <c r="F122" i="2"/>
  <c r="AA122" i="2"/>
  <c r="M121" i="2"/>
  <c r="N121" i="2" s="1"/>
  <c r="O121" i="2"/>
  <c r="F121" i="2"/>
  <c r="E121" i="2"/>
  <c r="D121" i="2"/>
  <c r="G121" i="2" s="1"/>
  <c r="AA121" i="2"/>
  <c r="M120" i="2"/>
  <c r="F120" i="2"/>
  <c r="E120" i="2"/>
  <c r="D120" i="2"/>
  <c r="G120" i="2" s="1"/>
  <c r="V120" i="2" s="1"/>
  <c r="AA120" i="2"/>
  <c r="J120" i="4"/>
  <c r="N120" i="4" s="1"/>
  <c r="M119" i="2"/>
  <c r="F119" i="2"/>
  <c r="E119" i="2"/>
  <c r="D119" i="2"/>
  <c r="J119" i="4"/>
  <c r="N119" i="4" s="1"/>
  <c r="AA119" i="2"/>
  <c r="M118" i="2"/>
  <c r="E118" i="2"/>
  <c r="F118" i="2"/>
  <c r="D118" i="2"/>
  <c r="G118" i="2" s="1"/>
  <c r="V118" i="2" s="1"/>
  <c r="J118" i="4"/>
  <c r="N118" i="4" s="1"/>
  <c r="AA118" i="2"/>
  <c r="M117" i="2"/>
  <c r="E117" i="2"/>
  <c r="F117" i="2"/>
  <c r="D117" i="2"/>
  <c r="G117" i="2" s="1"/>
  <c r="V117" i="2" s="1"/>
  <c r="J117" i="4"/>
  <c r="N117" i="4" s="1"/>
  <c r="AA117" i="2"/>
  <c r="M116" i="2"/>
  <c r="N116" i="2" s="1"/>
  <c r="O116" i="2"/>
  <c r="D116" i="2"/>
  <c r="F116" i="2"/>
  <c r="E116" i="2"/>
  <c r="J116" i="4"/>
  <c r="N116" i="4" s="1"/>
  <c r="AA116" i="2"/>
  <c r="M115" i="2"/>
  <c r="F115" i="2"/>
  <c r="E115" i="2"/>
  <c r="D115" i="2"/>
  <c r="J115" i="4"/>
  <c r="N115" i="4" s="1"/>
  <c r="AA115" i="2"/>
  <c r="M114" i="2"/>
  <c r="D114" i="2"/>
  <c r="F114" i="2"/>
  <c r="E114" i="2"/>
  <c r="J114" i="4"/>
  <c r="N114" i="4" s="1"/>
  <c r="AA114" i="2"/>
  <c r="M113" i="2"/>
  <c r="N113" i="2" s="1"/>
  <c r="O113" i="2"/>
  <c r="F113" i="2"/>
  <c r="E113" i="2"/>
  <c r="D113" i="2"/>
  <c r="G113" i="2" s="1"/>
  <c r="J113" i="4"/>
  <c r="N113" i="4" s="1"/>
  <c r="AA113" i="2"/>
  <c r="M112" i="2"/>
  <c r="N112" i="2" s="1"/>
  <c r="O112" i="2"/>
  <c r="D112" i="2"/>
  <c r="F112" i="2"/>
  <c r="E112" i="2"/>
  <c r="J112" i="4"/>
  <c r="N112" i="4" s="1"/>
  <c r="AA112" i="2"/>
  <c r="M111" i="2"/>
  <c r="N111" i="2" s="1"/>
  <c r="O111" i="2"/>
  <c r="E111" i="2"/>
  <c r="F111" i="2"/>
  <c r="D111" i="2"/>
  <c r="G111" i="2" s="1"/>
  <c r="J111" i="4"/>
  <c r="N111" i="4" s="1"/>
  <c r="AA111" i="2"/>
  <c r="M110" i="2"/>
  <c r="F110" i="2"/>
  <c r="E110" i="2"/>
  <c r="D110" i="2"/>
  <c r="J110" i="4"/>
  <c r="N110" i="4" s="1"/>
  <c r="AA110" i="2"/>
  <c r="M109" i="2"/>
  <c r="N109" i="2" s="1"/>
  <c r="O109" i="2"/>
  <c r="E109" i="2"/>
  <c r="F109" i="2"/>
  <c r="D109" i="2"/>
  <c r="G109" i="2" s="1"/>
  <c r="J109" i="4"/>
  <c r="N109" i="4" s="1"/>
  <c r="AA109" i="2"/>
  <c r="M108" i="2"/>
  <c r="N108" i="2" s="1"/>
  <c r="O108" i="2"/>
  <c r="D108" i="2"/>
  <c r="E108" i="2"/>
  <c r="F108" i="2"/>
  <c r="J108" i="4"/>
  <c r="N108" i="4" s="1"/>
  <c r="AA108" i="2"/>
  <c r="M107" i="2"/>
  <c r="D107" i="2"/>
  <c r="E107" i="2"/>
  <c r="F107" i="2"/>
  <c r="J107" i="4"/>
  <c r="N107" i="4" s="1"/>
  <c r="AA107" i="2"/>
  <c r="M106" i="2"/>
  <c r="F106" i="2"/>
  <c r="E106" i="2"/>
  <c r="D106" i="2"/>
  <c r="G106" i="2" s="1"/>
  <c r="V106" i="2" s="1"/>
  <c r="AA106" i="2"/>
  <c r="J106" i="4"/>
  <c r="N106" i="4" s="1"/>
  <c r="M105" i="2"/>
  <c r="E105" i="2"/>
  <c r="D105" i="2"/>
  <c r="F105" i="2"/>
  <c r="J105" i="4"/>
  <c r="N105" i="4" s="1"/>
  <c r="AA105" i="2"/>
  <c r="M104" i="2"/>
  <c r="F104" i="2"/>
  <c r="E104" i="2"/>
  <c r="D104" i="2"/>
  <c r="J104" i="4"/>
  <c r="N104" i="4" s="1"/>
  <c r="AA104" i="2"/>
  <c r="M103" i="2"/>
  <c r="E103" i="2"/>
  <c r="D103" i="2"/>
  <c r="F103" i="2"/>
  <c r="J103" i="4"/>
  <c r="N103" i="4" s="1"/>
  <c r="AA103" i="2"/>
  <c r="M102" i="2"/>
  <c r="N102" i="2" s="1"/>
  <c r="O102" i="2"/>
  <c r="D102" i="2"/>
  <c r="F102" i="2"/>
  <c r="E102" i="2"/>
  <c r="AA102" i="2"/>
  <c r="J102" i="4"/>
  <c r="N102" i="4" s="1"/>
  <c r="M101" i="2"/>
  <c r="D101" i="2"/>
  <c r="E101" i="2"/>
  <c r="F101" i="2"/>
  <c r="J101" i="4"/>
  <c r="N101" i="4" s="1"/>
  <c r="AA101" i="2"/>
  <c r="M100" i="2"/>
  <c r="E100" i="2"/>
  <c r="F100" i="2"/>
  <c r="D100" i="2"/>
  <c r="G100" i="2" s="1"/>
  <c r="J100" i="4"/>
  <c r="N100" i="4" s="1"/>
  <c r="AA100" i="2"/>
  <c r="M99" i="2"/>
  <c r="D99" i="2"/>
  <c r="E99" i="2"/>
  <c r="F99" i="2"/>
  <c r="J99" i="4"/>
  <c r="N99" i="4" s="1"/>
  <c r="AA99" i="2"/>
  <c r="M98" i="2"/>
  <c r="N98" i="2" s="1"/>
  <c r="O98" i="2"/>
  <c r="D98" i="2"/>
  <c r="E98" i="2"/>
  <c r="F98" i="2"/>
  <c r="J98" i="4"/>
  <c r="N98" i="4" s="1"/>
  <c r="AA98" i="2"/>
  <c r="M97" i="2"/>
  <c r="E97" i="2"/>
  <c r="D97" i="2"/>
  <c r="F97" i="2"/>
  <c r="J97" i="4"/>
  <c r="N97" i="4" s="1"/>
  <c r="AA97" i="2"/>
  <c r="M96" i="2"/>
  <c r="D96" i="2"/>
  <c r="E96" i="2"/>
  <c r="F96" i="2"/>
  <c r="J96" i="4"/>
  <c r="N96" i="4" s="1"/>
  <c r="AA96" i="2"/>
  <c r="M95" i="2"/>
  <c r="D95" i="2"/>
  <c r="E95" i="2"/>
  <c r="F95" i="2"/>
  <c r="J95" i="4"/>
  <c r="N95" i="4" s="1"/>
  <c r="AA95" i="2"/>
  <c r="M94" i="2"/>
  <c r="N94" i="2" s="1"/>
  <c r="O94" i="2"/>
  <c r="D94" i="2"/>
  <c r="E94" i="2"/>
  <c r="F94" i="2"/>
  <c r="J94" i="4"/>
  <c r="N94" i="4" s="1"/>
  <c r="AA94" i="2"/>
  <c r="M93" i="2"/>
  <c r="E93" i="2"/>
  <c r="F93" i="2"/>
  <c r="D93" i="2"/>
  <c r="G93" i="2" s="1"/>
  <c r="J93" i="4"/>
  <c r="N93" i="4" s="1"/>
  <c r="AA93" i="2"/>
  <c r="M92" i="2"/>
  <c r="F92" i="2"/>
  <c r="D92" i="2"/>
  <c r="E92" i="2"/>
  <c r="J92" i="4"/>
  <c r="N92" i="4" s="1"/>
  <c r="AA92" i="2"/>
  <c r="M91" i="2"/>
  <c r="N91" i="2" s="1"/>
  <c r="O91" i="2"/>
  <c r="F91" i="2"/>
  <c r="D91" i="2"/>
  <c r="E91" i="2"/>
  <c r="AA91" i="2"/>
  <c r="J91" i="4"/>
  <c r="N91" i="4" s="1"/>
  <c r="M90" i="2"/>
  <c r="F90" i="2"/>
  <c r="D90" i="2"/>
  <c r="E90" i="2"/>
  <c r="AA90" i="2"/>
  <c r="J90" i="4"/>
  <c r="N90" i="4" s="1"/>
  <c r="M89" i="2"/>
  <c r="E89" i="2"/>
  <c r="D89" i="2"/>
  <c r="F89" i="2"/>
  <c r="AA89" i="2"/>
  <c r="J89" i="4"/>
  <c r="N89" i="4" s="1"/>
  <c r="M88" i="2"/>
  <c r="N88" i="2" s="1"/>
  <c r="O88" i="2"/>
  <c r="D88" i="2"/>
  <c r="E88" i="2"/>
  <c r="F88" i="2"/>
  <c r="J88" i="4"/>
  <c r="N88" i="4" s="1"/>
  <c r="AA88" i="2"/>
  <c r="M87" i="2"/>
  <c r="N87" i="2" s="1"/>
  <c r="O87" i="2"/>
  <c r="D87" i="2"/>
  <c r="F87" i="2"/>
  <c r="E87" i="2"/>
  <c r="J87" i="4"/>
  <c r="N87" i="4" s="1"/>
  <c r="AA87" i="2"/>
  <c r="M86" i="2"/>
  <c r="F86" i="2"/>
  <c r="E86" i="2"/>
  <c r="D86" i="2"/>
  <c r="G86" i="2" s="1"/>
  <c r="V86" i="2" s="1"/>
  <c r="AA86" i="2"/>
  <c r="J86" i="4"/>
  <c r="N86" i="4" s="1"/>
  <c r="M85" i="2"/>
  <c r="F85" i="2"/>
  <c r="D85" i="2"/>
  <c r="E85" i="2"/>
  <c r="J85" i="4"/>
  <c r="N85" i="4" s="1"/>
  <c r="AA85" i="2"/>
  <c r="M84" i="2"/>
  <c r="D84" i="2"/>
  <c r="E84" i="2"/>
  <c r="F84" i="2"/>
  <c r="J84" i="4"/>
  <c r="N84" i="4" s="1"/>
  <c r="AA84" i="2"/>
  <c r="M83" i="2"/>
  <c r="N83" i="2" s="1"/>
  <c r="O83" i="2"/>
  <c r="F83" i="2"/>
  <c r="E83" i="2"/>
  <c r="D83" i="2"/>
  <c r="G83" i="2" s="1"/>
  <c r="J83" i="4"/>
  <c r="N83" i="4" s="1"/>
  <c r="AA83" i="2"/>
  <c r="M82" i="2"/>
  <c r="F82" i="2"/>
  <c r="E82" i="2"/>
  <c r="D82" i="2"/>
  <c r="G82" i="2" s="1"/>
  <c r="V82" i="2" s="1"/>
  <c r="J82" i="4"/>
  <c r="N82" i="4" s="1"/>
  <c r="AA82" i="2"/>
  <c r="M81" i="2"/>
  <c r="D81" i="2"/>
  <c r="F81" i="2"/>
  <c r="E81" i="2"/>
  <c r="J81" i="4"/>
  <c r="N81" i="4" s="1"/>
  <c r="AA81" i="2"/>
  <c r="M80" i="2"/>
  <c r="F80" i="2"/>
  <c r="E80" i="2"/>
  <c r="D80" i="2"/>
  <c r="G80" i="2" s="1"/>
  <c r="J80" i="4"/>
  <c r="N80" i="4" s="1"/>
  <c r="AA80" i="2"/>
  <c r="M79" i="2"/>
  <c r="F79" i="2"/>
  <c r="E79" i="2"/>
  <c r="D79" i="2"/>
  <c r="J79" i="4"/>
  <c r="N79" i="4" s="1"/>
  <c r="AA79" i="2"/>
  <c r="M78" i="2"/>
  <c r="F78" i="2"/>
  <c r="E78" i="2"/>
  <c r="D78" i="2"/>
  <c r="G78" i="2" s="1"/>
  <c r="V78" i="2" s="1"/>
  <c r="J78" i="4"/>
  <c r="N78" i="4" s="1"/>
  <c r="AA78" i="2"/>
  <c r="M77" i="2"/>
  <c r="F77" i="2"/>
  <c r="E77" i="2"/>
  <c r="D77" i="2"/>
  <c r="J77" i="4"/>
  <c r="N77" i="4" s="1"/>
  <c r="AA77" i="2"/>
  <c r="M76" i="2"/>
  <c r="F76" i="2"/>
  <c r="E76" i="2"/>
  <c r="D76" i="2"/>
  <c r="AA76" i="2"/>
  <c r="J76" i="4"/>
  <c r="N76" i="4" s="1"/>
  <c r="M75" i="2"/>
  <c r="D75" i="2"/>
  <c r="E75" i="2"/>
  <c r="F75" i="2"/>
  <c r="J75" i="4"/>
  <c r="N75" i="4" s="1"/>
  <c r="AA75" i="2"/>
  <c r="M74" i="2"/>
  <c r="N74" i="2" s="1"/>
  <c r="O74" i="2"/>
  <c r="E74" i="2"/>
  <c r="F74" i="2"/>
  <c r="D74" i="2"/>
  <c r="J74" i="4"/>
  <c r="N74" i="4" s="1"/>
  <c r="AA74" i="2"/>
  <c r="M73" i="2"/>
  <c r="F73" i="2"/>
  <c r="D73" i="2"/>
  <c r="E73" i="2"/>
  <c r="J73" i="4"/>
  <c r="N73" i="4" s="1"/>
  <c r="AA73" i="2"/>
  <c r="M72" i="2"/>
  <c r="D72" i="2"/>
  <c r="E72" i="2"/>
  <c r="F72" i="2"/>
  <c r="J72" i="4"/>
  <c r="N72" i="4" s="1"/>
  <c r="AA72" i="2"/>
  <c r="M71" i="2"/>
  <c r="F71" i="2"/>
  <c r="D71" i="2"/>
  <c r="E71" i="2"/>
  <c r="AA71" i="2"/>
  <c r="J71" i="4"/>
  <c r="N71" i="4" s="1"/>
  <c r="M70" i="2"/>
  <c r="D70" i="2"/>
  <c r="E70" i="2"/>
  <c r="F70" i="2"/>
  <c r="J70" i="4"/>
  <c r="N70" i="4" s="1"/>
  <c r="AA70" i="2"/>
  <c r="M69" i="2"/>
  <c r="N69" i="2" s="1"/>
  <c r="O69" i="2"/>
  <c r="F69" i="2"/>
  <c r="D69" i="2"/>
  <c r="E69" i="2"/>
  <c r="J69" i="4"/>
  <c r="N69" i="4" s="1"/>
  <c r="AA69" i="2"/>
  <c r="M68" i="2"/>
  <c r="D68" i="2"/>
  <c r="E68" i="2"/>
  <c r="F68" i="2"/>
  <c r="J68" i="4"/>
  <c r="N68" i="4" s="1"/>
  <c r="AA68" i="2"/>
  <c r="M67" i="2"/>
  <c r="D67" i="2"/>
  <c r="E67" i="2"/>
  <c r="F67" i="2"/>
  <c r="J67" i="4"/>
  <c r="N67" i="4" s="1"/>
  <c r="AA67" i="2"/>
  <c r="M66" i="2"/>
  <c r="F66" i="2"/>
  <c r="E66" i="2"/>
  <c r="D66" i="2"/>
  <c r="G66" i="2" s="1"/>
  <c r="AA66" i="2"/>
  <c r="J66" i="4"/>
  <c r="N66" i="4" s="1"/>
  <c r="M65" i="2"/>
  <c r="F65" i="2"/>
  <c r="E65" i="2"/>
  <c r="D65" i="2"/>
  <c r="AA65" i="2"/>
  <c r="J65" i="4"/>
  <c r="N65" i="4" s="1"/>
  <c r="M64" i="2"/>
  <c r="D64" i="2"/>
  <c r="E64" i="2"/>
  <c r="F64" i="2"/>
  <c r="AA64" i="2"/>
  <c r="J64" i="4"/>
  <c r="N64" i="4" s="1"/>
  <c r="M63" i="2"/>
  <c r="F63" i="2"/>
  <c r="E63" i="2"/>
  <c r="D63" i="2"/>
  <c r="AA63" i="2"/>
  <c r="J63" i="4"/>
  <c r="N63" i="4" s="1"/>
  <c r="M62" i="2"/>
  <c r="N62" i="2" s="1"/>
  <c r="O62" i="2"/>
  <c r="E62" i="2"/>
  <c r="F62" i="2"/>
  <c r="D62" i="2"/>
  <c r="G62" i="2" s="1"/>
  <c r="J62" i="4"/>
  <c r="N62" i="4" s="1"/>
  <c r="AA62" i="2"/>
  <c r="M61" i="2"/>
  <c r="E61" i="2"/>
  <c r="D61" i="2"/>
  <c r="F61" i="2"/>
  <c r="AA61" i="2"/>
  <c r="J61" i="4"/>
  <c r="N61" i="4" s="1"/>
  <c r="M60" i="2"/>
  <c r="E60" i="2"/>
  <c r="F60" i="2"/>
  <c r="D60" i="2"/>
  <c r="G60" i="2" s="1"/>
  <c r="J60" i="4"/>
  <c r="N60" i="4" s="1"/>
  <c r="AA60" i="2"/>
  <c r="M59" i="2"/>
  <c r="N59" i="2" s="1"/>
  <c r="O59" i="2"/>
  <c r="D59" i="2"/>
  <c r="E59" i="2"/>
  <c r="F59" i="2"/>
  <c r="J59" i="4"/>
  <c r="N59" i="4" s="1"/>
  <c r="AA59" i="2"/>
  <c r="M58" i="2"/>
  <c r="D58" i="2"/>
  <c r="E58" i="2"/>
  <c r="F58" i="2"/>
  <c r="J58" i="4"/>
  <c r="N58" i="4" s="1"/>
  <c r="AA58" i="2"/>
  <c r="M57" i="2"/>
  <c r="D57" i="2"/>
  <c r="E57" i="2"/>
  <c r="F57" i="2"/>
  <c r="J57" i="4"/>
  <c r="N57" i="4" s="1"/>
  <c r="AA57" i="2"/>
  <c r="M56" i="2"/>
  <c r="D56" i="2"/>
  <c r="E56" i="2"/>
  <c r="F56" i="2"/>
  <c r="J56" i="4"/>
  <c r="N56" i="4" s="1"/>
  <c r="AA56" i="2"/>
  <c r="M55" i="2"/>
  <c r="N55" i="2" s="1"/>
  <c r="O55" i="2"/>
  <c r="E55" i="2"/>
  <c r="F55" i="2"/>
  <c r="D55" i="2"/>
  <c r="J55" i="4"/>
  <c r="N55" i="4" s="1"/>
  <c r="AA55" i="2"/>
  <c r="M54" i="2"/>
  <c r="N54" i="2" s="1"/>
  <c r="O54" i="2"/>
  <c r="F54" i="2"/>
  <c r="E54" i="2"/>
  <c r="D54" i="2"/>
  <c r="J54" i="4"/>
  <c r="N54" i="4" s="1"/>
  <c r="AA54" i="2"/>
  <c r="M53" i="2"/>
  <c r="D53" i="2"/>
  <c r="E53" i="2"/>
  <c r="F53" i="2"/>
  <c r="J53" i="4"/>
  <c r="N53" i="4" s="1"/>
  <c r="AA53" i="2"/>
  <c r="M52" i="2"/>
  <c r="D52" i="2"/>
  <c r="E52" i="2"/>
  <c r="F52" i="2"/>
  <c r="AA52" i="2"/>
  <c r="J52" i="4"/>
  <c r="N52" i="4" s="1"/>
  <c r="M51" i="2"/>
  <c r="E51" i="2"/>
  <c r="D51" i="2"/>
  <c r="F51" i="2"/>
  <c r="J51" i="4"/>
  <c r="N51" i="4" s="1"/>
  <c r="AA51" i="2"/>
  <c r="M50" i="2"/>
  <c r="E50" i="2"/>
  <c r="D50" i="2"/>
  <c r="F50" i="2"/>
  <c r="J50" i="4"/>
  <c r="N50" i="4" s="1"/>
  <c r="AA50" i="2"/>
  <c r="M49" i="2"/>
  <c r="F49" i="2"/>
  <c r="E49" i="2"/>
  <c r="D49" i="2"/>
  <c r="J49" i="4"/>
  <c r="N49" i="4" s="1"/>
  <c r="AA49" i="2"/>
  <c r="M48" i="2"/>
  <c r="F48" i="2"/>
  <c r="E48" i="2"/>
  <c r="D48" i="2"/>
  <c r="J48" i="4"/>
  <c r="N48" i="4" s="1"/>
  <c r="AA48" i="2"/>
  <c r="M47" i="2"/>
  <c r="D47" i="2"/>
  <c r="F47" i="2"/>
  <c r="E47" i="2"/>
  <c r="AA47" i="2"/>
  <c r="J47" i="4"/>
  <c r="N47" i="4" s="1"/>
  <c r="M46" i="2"/>
  <c r="F46" i="2"/>
  <c r="E46" i="2"/>
  <c r="D46" i="2"/>
  <c r="AA46" i="2"/>
  <c r="J46" i="4"/>
  <c r="N46" i="4" s="1"/>
  <c r="M45" i="2"/>
  <c r="F45" i="2"/>
  <c r="D45" i="2"/>
  <c r="E45" i="2"/>
  <c r="J45" i="4"/>
  <c r="N45" i="4" s="1"/>
  <c r="AA45" i="2"/>
  <c r="M44" i="2"/>
  <c r="F44" i="2"/>
  <c r="E44" i="2"/>
  <c r="D44" i="2"/>
  <c r="G44" i="2" s="1"/>
  <c r="V44" i="2" s="1"/>
  <c r="J44" i="4"/>
  <c r="N44" i="4" s="1"/>
  <c r="AA44" i="2"/>
  <c r="M43" i="2"/>
  <c r="F43" i="2"/>
  <c r="E43" i="2"/>
  <c r="D43" i="2"/>
  <c r="J43" i="4"/>
  <c r="N43" i="4" s="1"/>
  <c r="AA43" i="2"/>
  <c r="M42" i="2"/>
  <c r="D42" i="2"/>
  <c r="E42" i="2"/>
  <c r="F42" i="2"/>
  <c r="AA42" i="2"/>
  <c r="J42" i="4"/>
  <c r="N42" i="4" s="1"/>
  <c r="M41" i="2"/>
  <c r="E41" i="2"/>
  <c r="D41" i="2"/>
  <c r="F41" i="2"/>
  <c r="AA41" i="2"/>
  <c r="J41" i="4"/>
  <c r="N41" i="4" s="1"/>
  <c r="M40" i="2"/>
  <c r="D40" i="2"/>
  <c r="E40" i="2"/>
  <c r="F40" i="2"/>
  <c r="J40" i="4"/>
  <c r="N40" i="4" s="1"/>
  <c r="AA40" i="2"/>
  <c r="M39" i="2"/>
  <c r="F39" i="2"/>
  <c r="E39" i="2"/>
  <c r="D39" i="2"/>
  <c r="G39" i="2" s="1"/>
  <c r="V39" i="2" s="1"/>
  <c r="J39" i="4"/>
  <c r="N39" i="4" s="1"/>
  <c r="AA39" i="2"/>
  <c r="M38" i="2"/>
  <c r="D38" i="2"/>
  <c r="F38" i="2"/>
  <c r="E38" i="2"/>
  <c r="J38" i="4"/>
  <c r="N38" i="4" s="1"/>
  <c r="AA38" i="2"/>
  <c r="M37" i="2"/>
  <c r="E37" i="2"/>
  <c r="F37" i="2"/>
  <c r="D37" i="2"/>
  <c r="J37" i="4"/>
  <c r="N37" i="4" s="1"/>
  <c r="AA37" i="2"/>
  <c r="M36" i="2"/>
  <c r="N36" i="2" s="1"/>
  <c r="O36" i="2"/>
  <c r="F36" i="2"/>
  <c r="D36" i="2"/>
  <c r="E36" i="2"/>
  <c r="J36" i="4"/>
  <c r="N36" i="4" s="1"/>
  <c r="AA36" i="2"/>
  <c r="M35" i="2"/>
  <c r="D35" i="2"/>
  <c r="E35" i="2"/>
  <c r="F35" i="2"/>
  <c r="J35" i="4"/>
  <c r="N35" i="4" s="1"/>
  <c r="AA35" i="2"/>
  <c r="M34" i="2"/>
  <c r="N34" i="2" s="1"/>
  <c r="O34" i="2"/>
  <c r="E34" i="2"/>
  <c r="F34" i="2"/>
  <c r="D34" i="2"/>
  <c r="G34" i="2" s="1"/>
  <c r="J34" i="4"/>
  <c r="N34" i="4" s="1"/>
  <c r="AA34" i="2"/>
  <c r="M33" i="2"/>
  <c r="E33" i="2"/>
  <c r="F33" i="2"/>
  <c r="D33" i="2"/>
  <c r="G33" i="2" s="1"/>
  <c r="J33" i="4"/>
  <c r="N33" i="4" s="1"/>
  <c r="AA33" i="2"/>
  <c r="M32" i="2"/>
  <c r="F32" i="2"/>
  <c r="E32" i="2"/>
  <c r="D32" i="2"/>
  <c r="J32" i="4"/>
  <c r="N32" i="4" s="1"/>
  <c r="AA32" i="2"/>
  <c r="M31" i="2"/>
  <c r="N31" i="2" s="1"/>
  <c r="O31" i="2"/>
  <c r="F31" i="2"/>
  <c r="E31" i="2"/>
  <c r="D31" i="2"/>
  <c r="AA31" i="2"/>
  <c r="J31" i="4"/>
  <c r="N31" i="4" s="1"/>
  <c r="M30" i="2"/>
  <c r="F30" i="2"/>
  <c r="E30" i="2"/>
  <c r="D30" i="2"/>
  <c r="G30" i="2" s="1"/>
  <c r="V30" i="2" s="1"/>
  <c r="J30" i="4"/>
  <c r="N30" i="4" s="1"/>
  <c r="AA30" i="2"/>
  <c r="M29" i="2"/>
  <c r="N29" i="2" s="1"/>
  <c r="O29" i="2"/>
  <c r="D29" i="2"/>
  <c r="E29" i="2"/>
  <c r="F29" i="2"/>
  <c r="J29" i="4"/>
  <c r="N29" i="4" s="1"/>
  <c r="AA29" i="2"/>
  <c r="M28" i="2"/>
  <c r="D28" i="2"/>
  <c r="E28" i="2"/>
  <c r="F28" i="2"/>
  <c r="AA28" i="2"/>
  <c r="J28" i="4"/>
  <c r="N28" i="4" s="1"/>
  <c r="M27" i="2"/>
  <c r="N27" i="2" s="1"/>
  <c r="O27" i="2"/>
  <c r="D27" i="2"/>
  <c r="E27" i="2"/>
  <c r="F27" i="2"/>
  <c r="AA27" i="2"/>
  <c r="J27" i="4"/>
  <c r="N27" i="4" s="1"/>
  <c r="M26" i="2"/>
  <c r="F26" i="2"/>
  <c r="E26" i="2"/>
  <c r="D26" i="2"/>
  <c r="J26" i="4"/>
  <c r="N26" i="4" s="1"/>
  <c r="AA26" i="2"/>
  <c r="M25" i="2"/>
  <c r="N25" i="2" s="1"/>
  <c r="O25" i="2"/>
  <c r="D25" i="2"/>
  <c r="E25" i="2"/>
  <c r="F25" i="2"/>
  <c r="J25" i="4"/>
  <c r="N25" i="4" s="1"/>
  <c r="AA25" i="2"/>
  <c r="M24" i="2"/>
  <c r="D24" i="2"/>
  <c r="E24" i="2"/>
  <c r="F24" i="2"/>
  <c r="J24" i="4"/>
  <c r="N24" i="4" s="1"/>
  <c r="AA24" i="2"/>
  <c r="M23" i="2"/>
  <c r="D23" i="2"/>
  <c r="E23" i="2"/>
  <c r="F23" i="2"/>
  <c r="J23" i="4"/>
  <c r="N23" i="4" s="1"/>
  <c r="AA23" i="2"/>
  <c r="M22" i="2"/>
  <c r="D22" i="2"/>
  <c r="F22" i="2"/>
  <c r="E22" i="2"/>
  <c r="J22" i="4"/>
  <c r="N22" i="4" s="1"/>
  <c r="AA22" i="2"/>
  <c r="M21" i="2"/>
  <c r="D21" i="2"/>
  <c r="E21" i="2"/>
  <c r="F21" i="2"/>
  <c r="J21" i="4"/>
  <c r="N21" i="4" s="1"/>
  <c r="AA21" i="2"/>
  <c r="M20" i="2"/>
  <c r="D20" i="2"/>
  <c r="F20" i="2"/>
  <c r="E20" i="2"/>
  <c r="J20" i="4"/>
  <c r="N20" i="4" s="1"/>
  <c r="AA20" i="2"/>
  <c r="M19" i="2"/>
  <c r="N19" i="2" s="1"/>
  <c r="O19" i="2"/>
  <c r="D19" i="2"/>
  <c r="E19" i="2"/>
  <c r="F19" i="2"/>
  <c r="AA19" i="2"/>
  <c r="J19" i="4"/>
  <c r="N19" i="4" s="1"/>
  <c r="M18" i="2"/>
  <c r="F18" i="2"/>
  <c r="E18" i="2"/>
  <c r="D18" i="2"/>
  <c r="AA18" i="2"/>
  <c r="J18" i="4"/>
  <c r="N18" i="4" s="1"/>
  <c r="M17" i="2"/>
  <c r="D17" i="2"/>
  <c r="F17" i="2"/>
  <c r="E17" i="2"/>
  <c r="J17" i="4"/>
  <c r="N17" i="4" s="1"/>
  <c r="AA17" i="2"/>
  <c r="M16" i="2"/>
  <c r="N16" i="2" s="1"/>
  <c r="O16" i="2"/>
  <c r="D16" i="2"/>
  <c r="E16" i="2"/>
  <c r="F16" i="2"/>
  <c r="J16" i="4"/>
  <c r="N16" i="4" s="1"/>
  <c r="AA16" i="2"/>
  <c r="M15" i="2"/>
  <c r="D15" i="2"/>
  <c r="E15" i="2"/>
  <c r="F15" i="2"/>
  <c r="J15" i="4"/>
  <c r="N15" i="4" s="1"/>
  <c r="AA15" i="2"/>
  <c r="M14" i="2"/>
  <c r="D14" i="2"/>
  <c r="F14" i="2"/>
  <c r="E14" i="2"/>
  <c r="J14" i="4"/>
  <c r="N14" i="4" s="1"/>
  <c r="AA14" i="2"/>
  <c r="M13" i="2"/>
  <c r="N13" i="2" s="1"/>
  <c r="O13" i="2"/>
  <c r="F13" i="2"/>
  <c r="E13" i="2"/>
  <c r="D13" i="2"/>
  <c r="J13" i="4"/>
  <c r="N13" i="4" s="1"/>
  <c r="AA13" i="2"/>
  <c r="M12" i="2"/>
  <c r="F12" i="2"/>
  <c r="E12" i="2"/>
  <c r="D12" i="2"/>
  <c r="G12" i="2" s="1"/>
  <c r="V12" i="2" s="1"/>
  <c r="J12" i="4"/>
  <c r="N12" i="4" s="1"/>
  <c r="AA12" i="2"/>
  <c r="M11" i="2"/>
  <c r="F11" i="2"/>
  <c r="E11" i="2"/>
  <c r="D11" i="2"/>
  <c r="G11" i="2" s="1"/>
  <c r="V11" i="2" s="1"/>
  <c r="J11" i="4"/>
  <c r="N11" i="4" s="1"/>
  <c r="AA11" i="2"/>
  <c r="M10" i="2"/>
  <c r="N10" i="2" s="1"/>
  <c r="O10" i="2"/>
  <c r="D10" i="2"/>
  <c r="E10" i="2"/>
  <c r="F10" i="2"/>
  <c r="J10" i="4"/>
  <c r="N10" i="4" s="1"/>
  <c r="AA10" i="2"/>
  <c r="M9" i="2"/>
  <c r="D9" i="2"/>
  <c r="F9" i="2"/>
  <c r="E9" i="2"/>
  <c r="J9" i="4"/>
  <c r="N9" i="4" s="1"/>
  <c r="AA9" i="2"/>
  <c r="M8" i="2"/>
  <c r="F8" i="2"/>
  <c r="E8" i="2"/>
  <c r="D8" i="2"/>
  <c r="G8" i="2" s="1"/>
  <c r="V8" i="2" s="1"/>
  <c r="J8" i="4"/>
  <c r="N8" i="4" s="1"/>
  <c r="AA8" i="2"/>
  <c r="M7" i="2"/>
  <c r="F7" i="2"/>
  <c r="E7" i="2"/>
  <c r="D7" i="2"/>
  <c r="J7" i="4"/>
  <c r="N7" i="4" s="1"/>
  <c r="AA7" i="2"/>
  <c r="N1858" i="2" l="1"/>
  <c r="O1858" i="2"/>
  <c r="G689" i="2"/>
  <c r="G670" i="2"/>
  <c r="G1680" i="2"/>
  <c r="N1694" i="2"/>
  <c r="O1694" i="2"/>
  <c r="V1650" i="2"/>
  <c r="T1650" i="2"/>
  <c r="U1650" i="2" s="1"/>
  <c r="N1126" i="2"/>
  <c r="O1126" i="2"/>
  <c r="N1092" i="2"/>
  <c r="O1092" i="2"/>
  <c r="N994" i="2"/>
  <c r="O994" i="2"/>
  <c r="N984" i="2"/>
  <c r="O984" i="2"/>
  <c r="N777" i="2"/>
  <c r="O777" i="2"/>
  <c r="N722" i="2"/>
  <c r="O722" i="2"/>
  <c r="N716" i="2"/>
  <c r="O716" i="2"/>
  <c r="G1012" i="2"/>
  <c r="V1012" i="2" s="1"/>
  <c r="G1322" i="2"/>
  <c r="V1322" i="2" s="1"/>
  <c r="G985" i="2"/>
  <c r="V985" i="2" s="1"/>
  <c r="N1506" i="2"/>
  <c r="O1506" i="2"/>
  <c r="N1429" i="2"/>
  <c r="T1429" i="2" s="1"/>
  <c r="U1429" i="2" s="1"/>
  <c r="W1429" i="2" s="1"/>
  <c r="O1429" i="2"/>
  <c r="N1029" i="2"/>
  <c r="O1029" i="2"/>
  <c r="V995" i="2"/>
  <c r="T995" i="2"/>
  <c r="U995" i="2" s="1"/>
  <c r="V993" i="2"/>
  <c r="T993" i="2"/>
  <c r="U993" i="2" s="1"/>
  <c r="V325" i="2"/>
  <c r="T325" i="2"/>
  <c r="U325" i="2" s="1"/>
  <c r="N24" i="2"/>
  <c r="O24" i="2"/>
  <c r="G1993" i="2"/>
  <c r="G1983" i="2"/>
  <c r="V1983" i="2" s="1"/>
  <c r="N2001" i="2"/>
  <c r="O2001" i="2"/>
  <c r="T2001" i="2" s="1"/>
  <c r="U2001" i="2" s="1"/>
  <c r="N1372" i="2"/>
  <c r="O1372" i="2"/>
  <c r="G720" i="2"/>
  <c r="V720" i="2" s="1"/>
  <c r="G747" i="2"/>
  <c r="V747" i="2" s="1"/>
  <c r="G7" i="2"/>
  <c r="V7" i="2" s="1"/>
  <c r="N746" i="2"/>
  <c r="O746" i="2"/>
  <c r="N743" i="2"/>
  <c r="O743" i="2"/>
  <c r="N107" i="2"/>
  <c r="O107" i="2"/>
  <c r="N64" i="2"/>
  <c r="O64" i="2"/>
  <c r="G1622" i="2"/>
  <c r="V1622" i="2" s="1"/>
  <c r="G860" i="2"/>
  <c r="V860" i="2" s="1"/>
  <c r="G826" i="2"/>
  <c r="V826" i="2" s="1"/>
  <c r="G736" i="2"/>
  <c r="V736" i="2" s="1"/>
  <c r="G531" i="2"/>
  <c r="G1452" i="2"/>
  <c r="V1452" i="2" s="1"/>
  <c r="G1238" i="2"/>
  <c r="V1238" i="2" s="1"/>
  <c r="G763" i="2"/>
  <c r="G578" i="2"/>
  <c r="V578" i="2" s="1"/>
  <c r="G510" i="2"/>
  <c r="G372" i="2"/>
  <c r="V372" i="2" s="1"/>
  <c r="G365" i="2"/>
  <c r="V365" i="2" s="1"/>
  <c r="G573" i="2"/>
  <c r="V573" i="2" s="1"/>
  <c r="G1226" i="2"/>
  <c r="V1226" i="2" s="1"/>
  <c r="G1051" i="2"/>
  <c r="V1051" i="2" s="1"/>
  <c r="G1018" i="2"/>
  <c r="V1018" i="2" s="1"/>
  <c r="G845" i="2"/>
  <c r="V845" i="2" s="1"/>
  <c r="G396" i="2"/>
  <c r="G170" i="2"/>
  <c r="G1229" i="2"/>
  <c r="V1229" i="2" s="1"/>
  <c r="G733" i="2"/>
  <c r="V733" i="2" s="1"/>
  <c r="G149" i="2"/>
  <c r="V149" i="2" s="1"/>
  <c r="G130" i="2"/>
  <c r="V130" i="2" s="1"/>
  <c r="G128" i="2"/>
  <c r="V128" i="2" s="1"/>
  <c r="G123" i="2"/>
  <c r="V123" i="2" s="1"/>
  <c r="G226" i="2"/>
  <c r="V226" i="2" s="1"/>
  <c r="G127" i="2"/>
  <c r="V127" i="2" s="1"/>
  <c r="G383" i="2"/>
  <c r="V383" i="2" s="1"/>
  <c r="G158" i="2"/>
  <c r="V158" i="2" s="1"/>
  <c r="G115" i="2"/>
  <c r="V115" i="2" s="1"/>
  <c r="G390" i="2"/>
  <c r="G354" i="2"/>
  <c r="V354" i="2" s="1"/>
  <c r="G1854" i="2"/>
  <c r="V1854" i="2" s="1"/>
  <c r="G1627" i="2"/>
  <c r="G1615" i="2"/>
  <c r="G1609" i="2"/>
  <c r="V1609" i="2" s="1"/>
  <c r="G915" i="2"/>
  <c r="G901" i="2"/>
  <c r="G554" i="2"/>
  <c r="G525" i="2"/>
  <c r="V525" i="2" s="1"/>
  <c r="G507" i="2"/>
  <c r="V507" i="2" s="1"/>
  <c r="G653" i="2"/>
  <c r="V653" i="2" s="1"/>
  <c r="G1088" i="2"/>
  <c r="V1088" i="2" s="1"/>
  <c r="G898" i="2"/>
  <c r="V898" i="2" s="1"/>
  <c r="G561" i="2"/>
  <c r="G535" i="2"/>
  <c r="G478" i="2"/>
  <c r="V478" i="2" s="1"/>
  <c r="G1872" i="2"/>
  <c r="V1872" i="2" s="1"/>
  <c r="G800" i="2"/>
  <c r="V800" i="2" s="1"/>
  <c r="G576" i="2"/>
  <c r="G119" i="2"/>
  <c r="V119" i="2" s="1"/>
  <c r="G110" i="2"/>
  <c r="V110" i="2" s="1"/>
  <c r="G1921" i="2"/>
  <c r="G1913" i="2"/>
  <c r="V1913" i="2" s="1"/>
  <c r="G1839" i="2"/>
  <c r="V1839" i="2" s="1"/>
  <c r="G1604" i="2"/>
  <c r="V1604" i="2" s="1"/>
  <c r="G1538" i="2"/>
  <c r="V1538" i="2" s="1"/>
  <c r="G479" i="2"/>
  <c r="V479" i="2" s="1"/>
  <c r="G452" i="2"/>
  <c r="G421" i="2"/>
  <c r="V421" i="2" s="1"/>
  <c r="G413" i="2"/>
  <c r="G1897" i="2"/>
  <c r="V1897" i="2" s="1"/>
  <c r="G1734" i="2"/>
  <c r="V1734" i="2" s="1"/>
  <c r="G1432" i="2"/>
  <c r="V1432" i="2" s="1"/>
  <c r="G1394" i="2"/>
  <c r="V1394" i="2" s="1"/>
  <c r="G1180" i="2"/>
  <c r="G1036" i="2"/>
  <c r="V1036" i="2" s="1"/>
  <c r="G1015" i="2"/>
  <c r="V1015" i="2" s="1"/>
  <c r="G908" i="2"/>
  <c r="V908" i="2" s="1"/>
  <c r="G537" i="2"/>
  <c r="N1992" i="2"/>
  <c r="O1992" i="2"/>
  <c r="T1992" i="2" s="1"/>
  <c r="U1992" i="2" s="1"/>
  <c r="N1933" i="2"/>
  <c r="O1933" i="2"/>
  <c r="N1928" i="2"/>
  <c r="O1928" i="2"/>
  <c r="N1886" i="2"/>
  <c r="O1886" i="2"/>
  <c r="N1747" i="2"/>
  <c r="O1747" i="2"/>
  <c r="N1742" i="2"/>
  <c r="O1742" i="2"/>
  <c r="N1629" i="2"/>
  <c r="O1629" i="2"/>
  <c r="V1629" i="2"/>
  <c r="T1629" i="2"/>
  <c r="U1629" i="2" s="1"/>
  <c r="N1620" i="2"/>
  <c r="O1620" i="2"/>
  <c r="V1618" i="2"/>
  <c r="T1618" i="2"/>
  <c r="U1618" i="2" s="1"/>
  <c r="V1614" i="2"/>
  <c r="T1614" i="2"/>
  <c r="U1614" i="2" s="1"/>
  <c r="V1613" i="2"/>
  <c r="T1613" i="2"/>
  <c r="U1613" i="2" s="1"/>
  <c r="N1603" i="2"/>
  <c r="O1603" i="2"/>
  <c r="N1528" i="2"/>
  <c r="O1528" i="2"/>
  <c r="N1500" i="2"/>
  <c r="O1500" i="2"/>
  <c r="N1387" i="2"/>
  <c r="O1387" i="2"/>
  <c r="N1377" i="2"/>
  <c r="O1377" i="2"/>
  <c r="N1251" i="2"/>
  <c r="O1251" i="2"/>
  <c r="T1251" i="2" s="1"/>
  <c r="U1251" i="2" s="1"/>
  <c r="N1180" i="2"/>
  <c r="O1180" i="2"/>
  <c r="N1158" i="2"/>
  <c r="O1158" i="2"/>
  <c r="N1124" i="2"/>
  <c r="O1124" i="2"/>
  <c r="N1069" i="2"/>
  <c r="O1069" i="2"/>
  <c r="V911" i="2"/>
  <c r="T911" i="2"/>
  <c r="U911" i="2" s="1"/>
  <c r="N909" i="2"/>
  <c r="O909" i="2"/>
  <c r="N902" i="2"/>
  <c r="O902" i="2"/>
  <c r="N893" i="2"/>
  <c r="O893" i="2"/>
  <c r="N861" i="2"/>
  <c r="O861" i="2"/>
  <c r="N745" i="2"/>
  <c r="O745" i="2"/>
  <c r="N732" i="2"/>
  <c r="O732" i="2"/>
  <c r="N538" i="2"/>
  <c r="O538" i="2"/>
  <c r="N511" i="2"/>
  <c r="O511" i="2"/>
  <c r="N501" i="2"/>
  <c r="O501" i="2"/>
  <c r="N471" i="2"/>
  <c r="O471" i="2"/>
  <c r="N463" i="2"/>
  <c r="O463" i="2"/>
  <c r="N452" i="2"/>
  <c r="O452" i="2"/>
  <c r="N451" i="2"/>
  <c r="O451" i="2"/>
  <c r="N433" i="2"/>
  <c r="O433" i="2"/>
  <c r="N198" i="2"/>
  <c r="O198" i="2"/>
  <c r="N197" i="2"/>
  <c r="O197" i="2"/>
  <c r="N183" i="2"/>
  <c r="O183" i="2"/>
  <c r="N142" i="2"/>
  <c r="O142" i="2"/>
  <c r="N58" i="2"/>
  <c r="O58" i="2"/>
  <c r="N28" i="2"/>
  <c r="O28" i="2"/>
  <c r="N21" i="2"/>
  <c r="O21" i="2"/>
  <c r="N18" i="2"/>
  <c r="O18" i="2"/>
  <c r="G1159" i="2"/>
  <c r="V1159" i="2" s="1"/>
  <c r="G1160" i="2"/>
  <c r="V1160" i="2" s="1"/>
  <c r="G1067" i="2"/>
  <c r="V1067" i="2" s="1"/>
  <c r="G1133" i="2"/>
  <c r="V1133" i="2" s="1"/>
  <c r="G1095" i="2"/>
  <c r="V1095" i="2" s="1"/>
  <c r="N1134" i="2"/>
  <c r="O1134" i="2"/>
  <c r="N353" i="2"/>
  <c r="O353" i="2"/>
  <c r="G445" i="2"/>
  <c r="V445" i="2" s="1"/>
  <c r="N1356" i="2"/>
  <c r="O1356" i="2"/>
  <c r="N1351" i="2"/>
  <c r="O1351" i="2"/>
  <c r="N484" i="2"/>
  <c r="O484" i="2"/>
  <c r="N446" i="2"/>
  <c r="O446" i="2"/>
  <c r="N426" i="2"/>
  <c r="O426" i="2"/>
  <c r="G1834" i="2"/>
  <c r="V1834" i="2" s="1"/>
  <c r="G1829" i="2"/>
  <c r="V1829" i="2" s="1"/>
  <c r="G1825" i="2"/>
  <c r="G1766" i="2"/>
  <c r="V1766" i="2" s="1"/>
  <c r="N1739" i="2"/>
  <c r="O1739" i="2"/>
  <c r="N1735" i="2"/>
  <c r="O1735" i="2"/>
  <c r="N1713" i="2"/>
  <c r="O1713" i="2"/>
  <c r="N15" i="2"/>
  <c r="O15" i="2"/>
  <c r="G1676" i="2"/>
  <c r="V1676" i="2" s="1"/>
  <c r="G76" i="2"/>
  <c r="V76" i="2" s="1"/>
  <c r="N1708" i="2"/>
  <c r="O1708" i="2"/>
  <c r="N99" i="2"/>
  <c r="O99" i="2"/>
  <c r="N67" i="2"/>
  <c r="O67" i="2"/>
  <c r="G695" i="2"/>
  <c r="V695" i="2" s="1"/>
  <c r="N1005" i="2"/>
  <c r="O1005" i="2"/>
  <c r="N698" i="2"/>
  <c r="O698" i="2"/>
  <c r="N1341" i="2"/>
  <c r="O1341" i="2"/>
  <c r="G707" i="2"/>
  <c r="V707" i="2" s="1"/>
  <c r="G706" i="2"/>
  <c r="V706" i="2" s="1"/>
  <c r="G735" i="2"/>
  <c r="V735" i="2" s="1"/>
  <c r="G13" i="2"/>
  <c r="N1021" i="2"/>
  <c r="O1021" i="2"/>
  <c r="N23" i="2"/>
  <c r="O23" i="2"/>
  <c r="G1714" i="2"/>
  <c r="V1714" i="2" s="1"/>
  <c r="G1762" i="2"/>
  <c r="V1762" i="2" s="1"/>
  <c r="N1831" i="2"/>
  <c r="O1831" i="2"/>
  <c r="N1820" i="2"/>
  <c r="O1820" i="2"/>
  <c r="N1812" i="2"/>
  <c r="O1812" i="2"/>
  <c r="T1812" i="2" s="1"/>
  <c r="U1812" i="2" s="1"/>
  <c r="W1812" i="2" s="1"/>
  <c r="N1784" i="2"/>
  <c r="O1784" i="2"/>
  <c r="N1743" i="2"/>
  <c r="O1743" i="2"/>
  <c r="N1736" i="2"/>
  <c r="O1736" i="2"/>
  <c r="N1731" i="2"/>
  <c r="O1731" i="2"/>
  <c r="N1688" i="2"/>
  <c r="O1688" i="2"/>
  <c r="N1680" i="2"/>
  <c r="O1680" i="2"/>
  <c r="T1680" i="2" s="1"/>
  <c r="U1680" i="2" s="1"/>
  <c r="W1680" i="2" s="1"/>
  <c r="N1671" i="2"/>
  <c r="O1671" i="2"/>
  <c r="N1034" i="2"/>
  <c r="O1034" i="2"/>
  <c r="N713" i="2"/>
  <c r="O713" i="2"/>
  <c r="T713" i="2" s="1"/>
  <c r="U713" i="2" s="1"/>
  <c r="W713" i="2" s="1"/>
  <c r="N703" i="2"/>
  <c r="O703" i="2"/>
  <c r="G55" i="2"/>
  <c r="G49" i="2"/>
  <c r="V49" i="2" s="1"/>
  <c r="G26" i="2"/>
  <c r="V26" i="2" s="1"/>
  <c r="G417" i="2"/>
  <c r="V417" i="2" s="1"/>
  <c r="G363" i="2"/>
  <c r="V363" i="2" s="1"/>
  <c r="G54" i="2"/>
  <c r="G46" i="2"/>
  <c r="V46" i="2" s="1"/>
  <c r="G79" i="2"/>
  <c r="V79" i="2" s="1"/>
  <c r="N1339" i="2"/>
  <c r="O1339" i="2"/>
  <c r="N460" i="2"/>
  <c r="O460" i="2"/>
  <c r="N457" i="2"/>
  <c r="O457" i="2"/>
  <c r="N453" i="2"/>
  <c r="O453" i="2"/>
  <c r="N449" i="2"/>
  <c r="O449" i="2"/>
  <c r="N418" i="2"/>
  <c r="O418" i="2"/>
  <c r="N416" i="2"/>
  <c r="O416" i="2"/>
  <c r="N407" i="2"/>
  <c r="O407" i="2"/>
  <c r="N93" i="2"/>
  <c r="O93" i="2"/>
  <c r="N85" i="2"/>
  <c r="O85" i="2"/>
  <c r="N80" i="2"/>
  <c r="O80" i="2"/>
  <c r="N42" i="2"/>
  <c r="O42" i="2"/>
  <c r="N33" i="2"/>
  <c r="O33" i="2"/>
  <c r="N14" i="2"/>
  <c r="O14" i="2"/>
  <c r="G1716" i="2"/>
  <c r="V1716" i="2" s="1"/>
  <c r="G715" i="2"/>
  <c r="G704" i="2"/>
  <c r="V704" i="2" s="1"/>
  <c r="G352" i="2"/>
  <c r="V352" i="2" s="1"/>
  <c r="G1689" i="2"/>
  <c r="V1689" i="2" s="1"/>
  <c r="G1677" i="2"/>
  <c r="V1677" i="2" s="1"/>
  <c r="G1061" i="2"/>
  <c r="V1061" i="2" s="1"/>
  <c r="G728" i="2"/>
  <c r="V728" i="2" s="1"/>
  <c r="G1777" i="2"/>
  <c r="V1777" i="2" s="1"/>
  <c r="G1702" i="2"/>
  <c r="V1702" i="2" s="1"/>
  <c r="G1451" i="2"/>
  <c r="V1451" i="2" s="1"/>
  <c r="G1447" i="2"/>
  <c r="G1439" i="2"/>
  <c r="V1439" i="2" s="1"/>
  <c r="G1792" i="2"/>
  <c r="V1792" i="2" s="1"/>
  <c r="G1461" i="2"/>
  <c r="V1461" i="2" s="1"/>
  <c r="G1417" i="2"/>
  <c r="V1417" i="2" s="1"/>
  <c r="G1403" i="2"/>
  <c r="G711" i="2"/>
  <c r="V711" i="2" s="1"/>
  <c r="N2000" i="2"/>
  <c r="O2000" i="2"/>
  <c r="N1830" i="2"/>
  <c r="O1830" i="2"/>
  <c r="N1794" i="2"/>
  <c r="O1794" i="2"/>
  <c r="N1780" i="2"/>
  <c r="O1780" i="2"/>
  <c r="N1778" i="2"/>
  <c r="O1778" i="2"/>
  <c r="N1770" i="2"/>
  <c r="O1770" i="2"/>
  <c r="N1512" i="2"/>
  <c r="O1512" i="2"/>
  <c r="N1479" i="2"/>
  <c r="O1479" i="2"/>
  <c r="N1423" i="2"/>
  <c r="O1423" i="2"/>
  <c r="N1415" i="2"/>
  <c r="O1415" i="2"/>
  <c r="N1389" i="2"/>
  <c r="O1389" i="2"/>
  <c r="N1348" i="2"/>
  <c r="O1348" i="2"/>
  <c r="N1075" i="2"/>
  <c r="O1075" i="2"/>
  <c r="N1066" i="2"/>
  <c r="O1066" i="2"/>
  <c r="N1036" i="2"/>
  <c r="O1036" i="2"/>
  <c r="N1033" i="2"/>
  <c r="O1033" i="2"/>
  <c r="N731" i="2"/>
  <c r="O731" i="2"/>
  <c r="N714" i="2"/>
  <c r="O714" i="2"/>
  <c r="G32" i="2"/>
  <c r="V32" i="2" s="1"/>
  <c r="G65" i="2"/>
  <c r="V65" i="2" s="1"/>
  <c r="G43" i="2"/>
  <c r="V43" i="2" s="1"/>
  <c r="G48" i="2"/>
  <c r="V48" i="2" s="1"/>
  <c r="G31" i="2"/>
  <c r="N1368" i="2"/>
  <c r="O1368" i="2"/>
  <c r="N706" i="2"/>
  <c r="O706" i="2"/>
  <c r="N66" i="2"/>
  <c r="O66" i="2"/>
  <c r="N61" i="2"/>
  <c r="O61" i="2"/>
  <c r="G1738" i="2"/>
  <c r="G1681" i="2"/>
  <c r="V1681" i="2" s="1"/>
  <c r="G1765" i="2"/>
  <c r="V1765" i="2" s="1"/>
  <c r="G743" i="2"/>
  <c r="G353" i="2"/>
  <c r="G228" i="2"/>
  <c r="V228" i="2" s="1"/>
  <c r="G203" i="2"/>
  <c r="V203" i="2" s="1"/>
  <c r="G875" i="2"/>
  <c r="V875" i="2" s="1"/>
  <c r="G1779" i="2"/>
  <c r="V1779" i="2" s="1"/>
  <c r="G219" i="2"/>
  <c r="V219" i="2" s="1"/>
  <c r="G1705" i="2"/>
  <c r="V1705" i="2" s="1"/>
  <c r="G1774" i="2"/>
  <c r="V1774" i="2" s="1"/>
  <c r="N1779" i="2"/>
  <c r="O1779" i="2"/>
  <c r="N1757" i="2"/>
  <c r="O1757" i="2"/>
  <c r="N1755" i="2"/>
  <c r="O1755" i="2"/>
  <c r="N1752" i="2"/>
  <c r="O1752" i="2"/>
  <c r="N1665" i="2"/>
  <c r="O1665" i="2"/>
  <c r="N791" i="2"/>
  <c r="O791" i="2"/>
  <c r="T791" i="2" s="1"/>
  <c r="U791" i="2" s="1"/>
  <c r="W791" i="2" s="1"/>
  <c r="N720" i="2"/>
  <c r="O720" i="2"/>
  <c r="N709" i="2"/>
  <c r="O709" i="2"/>
  <c r="G77" i="2"/>
  <c r="V77" i="2" s="1"/>
  <c r="G74" i="2"/>
  <c r="T1464" i="2"/>
  <c r="U1464" i="2" s="1"/>
  <c r="W1464" i="2" s="1"/>
  <c r="V1464" i="2"/>
  <c r="N1340" i="2"/>
  <c r="O1340" i="2"/>
  <c r="N693" i="2"/>
  <c r="O693" i="2"/>
  <c r="N37" i="2"/>
  <c r="O37" i="2"/>
  <c r="G1057" i="2"/>
  <c r="V1057" i="2" s="1"/>
  <c r="G435" i="2"/>
  <c r="G1815" i="2"/>
  <c r="G1814" i="2"/>
  <c r="G1383" i="2"/>
  <c r="G1375" i="2"/>
  <c r="V1375" i="2" s="1"/>
  <c r="G1773" i="2"/>
  <c r="V1773" i="2" s="1"/>
  <c r="G1041" i="2"/>
  <c r="V1041" i="2" s="1"/>
  <c r="G1816" i="2"/>
  <c r="V1816" i="2" s="1"/>
  <c r="G1772" i="2"/>
  <c r="G1722" i="2"/>
  <c r="V1722" i="2" s="1"/>
  <c r="N1806" i="2"/>
  <c r="O1806" i="2"/>
  <c r="N1800" i="2"/>
  <c r="O1800" i="2"/>
  <c r="N1792" i="2"/>
  <c r="O1792" i="2"/>
  <c r="N1734" i="2"/>
  <c r="O1734" i="2"/>
  <c r="N1717" i="2"/>
  <c r="O1717" i="2"/>
  <c r="N1686" i="2"/>
  <c r="O1686" i="2"/>
  <c r="N1662" i="2"/>
  <c r="O1662" i="2"/>
  <c r="N1370" i="2"/>
  <c r="O1370" i="2"/>
  <c r="N1366" i="2"/>
  <c r="O1366" i="2"/>
  <c r="N1361" i="2"/>
  <c r="O1361" i="2"/>
  <c r="N1360" i="2"/>
  <c r="O1360" i="2"/>
  <c r="N1358" i="2"/>
  <c r="O1358" i="2"/>
  <c r="N1353" i="2"/>
  <c r="O1353" i="2"/>
  <c r="N1028" i="2"/>
  <c r="O1028" i="2"/>
  <c r="G1999" i="2"/>
  <c r="V1999" i="2" s="1"/>
  <c r="G376" i="2"/>
  <c r="V376" i="2" s="1"/>
  <c r="G347" i="2"/>
  <c r="G256" i="2"/>
  <c r="G234" i="2"/>
  <c r="V234" i="2" s="1"/>
  <c r="G104" i="2"/>
  <c r="V104" i="2" s="1"/>
  <c r="G63" i="2"/>
  <c r="V63" i="2" s="1"/>
  <c r="G154" i="2"/>
  <c r="G1687" i="2"/>
  <c r="V1687" i="2" s="1"/>
  <c r="G350" i="2"/>
  <c r="V350" i="2" s="1"/>
  <c r="G293" i="2"/>
  <c r="V293" i="2" s="1"/>
  <c r="G250" i="2"/>
  <c r="V250" i="2" s="1"/>
  <c r="G249" i="2"/>
  <c r="G229" i="2"/>
  <c r="V229" i="2" s="1"/>
  <c r="G190" i="2"/>
  <c r="V190" i="2" s="1"/>
  <c r="G431" i="2"/>
  <c r="V431" i="2" s="1"/>
  <c r="G402" i="2"/>
  <c r="G378" i="2"/>
  <c r="V378" i="2" s="1"/>
  <c r="G306" i="2"/>
  <c r="V306" i="2" s="1"/>
  <c r="G244" i="2"/>
  <c r="V244" i="2" s="1"/>
  <c r="G216" i="2"/>
  <c r="V216" i="2" s="1"/>
  <c r="G179" i="2"/>
  <c r="G214" i="2"/>
  <c r="V214" i="2" s="1"/>
  <c r="G177" i="2"/>
  <c r="G1733" i="2"/>
  <c r="V1733" i="2" s="1"/>
  <c r="G1704" i="2"/>
  <c r="V1704" i="2" s="1"/>
  <c r="N1669" i="2"/>
  <c r="O1669" i="2"/>
  <c r="N697" i="2"/>
  <c r="O697" i="2"/>
  <c r="N467" i="2"/>
  <c r="O467" i="2"/>
  <c r="N435" i="2"/>
  <c r="O435" i="2"/>
  <c r="V267" i="2"/>
  <c r="T267" i="2"/>
  <c r="U267" i="2" s="1"/>
  <c r="W267" i="2" s="1"/>
  <c r="Y267" i="2" s="1"/>
  <c r="N262" i="2"/>
  <c r="O262" i="2"/>
  <c r="T262" i="2" s="1"/>
  <c r="U262" i="2" s="1"/>
  <c r="W262" i="2" s="1"/>
  <c r="Y262" i="2" s="1"/>
  <c r="V262" i="2"/>
  <c r="V261" i="2"/>
  <c r="T261" i="2"/>
  <c r="U261" i="2" s="1"/>
  <c r="V255" i="2"/>
  <c r="T255" i="2"/>
  <c r="U255" i="2" s="1"/>
  <c r="W255" i="2" s="1"/>
  <c r="Y255" i="2" s="1"/>
  <c r="V254" i="2"/>
  <c r="T254" i="2"/>
  <c r="U254" i="2" s="1"/>
  <c r="W254" i="2" s="1"/>
  <c r="Y254" i="2" s="1"/>
  <c r="N249" i="2"/>
  <c r="O249" i="2"/>
  <c r="V236" i="2"/>
  <c r="T236" i="2"/>
  <c r="U236" i="2" s="1"/>
  <c r="W236" i="2" s="1"/>
  <c r="Y236" i="2" s="1"/>
  <c r="V233" i="2"/>
  <c r="T233" i="2"/>
  <c r="U233" i="2" s="1"/>
  <c r="W233" i="2" s="1"/>
  <c r="Y233" i="2" s="1"/>
  <c r="V230" i="2"/>
  <c r="T230" i="2"/>
  <c r="U230" i="2" s="1"/>
  <c r="W230" i="2" s="1"/>
  <c r="Y230" i="2" s="1"/>
  <c r="N210" i="2"/>
  <c r="O210" i="2"/>
  <c r="N201" i="2"/>
  <c r="O201" i="2"/>
  <c r="N200" i="2"/>
  <c r="O200" i="2"/>
  <c r="V198" i="2"/>
  <c r="N195" i="2"/>
  <c r="O195" i="2"/>
  <c r="N193" i="2"/>
  <c r="O193" i="2"/>
  <c r="N160" i="2"/>
  <c r="O160" i="2"/>
  <c r="N159" i="2"/>
  <c r="O159" i="2"/>
  <c r="T159" i="2" s="1"/>
  <c r="U159" i="2" s="1"/>
  <c r="W159" i="2" s="1"/>
  <c r="Y159" i="2" s="1"/>
  <c r="V159" i="2"/>
  <c r="N126" i="2"/>
  <c r="O126" i="2"/>
  <c r="V109" i="2"/>
  <c r="T109" i="2"/>
  <c r="U109" i="2" s="1"/>
  <c r="W109" i="2" s="1"/>
  <c r="Y109" i="2" s="1"/>
  <c r="N100" i="2"/>
  <c r="O100" i="2"/>
  <c r="N73" i="2"/>
  <c r="O73" i="2"/>
  <c r="N60" i="2"/>
  <c r="O60" i="2"/>
  <c r="G1397" i="2"/>
  <c r="V1397" i="2" s="1"/>
  <c r="G361" i="2"/>
  <c r="V361" i="2" s="1"/>
  <c r="G346" i="2"/>
  <c r="V346" i="2" s="1"/>
  <c r="G1415" i="2"/>
  <c r="G1409" i="2"/>
  <c r="V1409" i="2" s="1"/>
  <c r="G1392" i="2"/>
  <c r="N1533" i="2"/>
  <c r="O1533" i="2"/>
  <c r="N347" i="2"/>
  <c r="O347" i="2"/>
  <c r="N1168" i="2"/>
  <c r="O1168" i="2"/>
  <c r="G742" i="2"/>
  <c r="V742" i="2" s="1"/>
  <c r="G37" i="2"/>
  <c r="G692" i="2"/>
  <c r="V692" i="2" s="1"/>
  <c r="G337" i="2"/>
  <c r="N1995" i="2"/>
  <c r="O1995" i="2"/>
  <c r="N1064" i="2"/>
  <c r="O1064" i="2"/>
  <c r="N1063" i="2"/>
  <c r="O1063" i="2"/>
  <c r="N729" i="2"/>
  <c r="O729" i="2"/>
  <c r="N717" i="2"/>
  <c r="O717" i="2"/>
  <c r="N696" i="2"/>
  <c r="O696" i="2"/>
  <c r="V147" i="2"/>
  <c r="T147" i="2"/>
  <c r="U147" i="2" s="1"/>
  <c r="W147" i="2" s="1"/>
  <c r="Y147" i="2" s="1"/>
  <c r="V141" i="2"/>
  <c r="T141" i="2"/>
  <c r="U141" i="2" s="1"/>
  <c r="W141" i="2" s="1"/>
  <c r="Y141" i="2" s="1"/>
  <c r="V121" i="2"/>
  <c r="T121" i="2"/>
  <c r="U121" i="2" s="1"/>
  <c r="W121" i="2" s="1"/>
  <c r="Y121" i="2" s="1"/>
  <c r="V113" i="2"/>
  <c r="T113" i="2"/>
  <c r="U113" i="2" s="1"/>
  <c r="W113" i="2" s="1"/>
  <c r="Y113" i="2" s="1"/>
  <c r="V111" i="2"/>
  <c r="T111" i="2"/>
  <c r="U111" i="2" s="1"/>
  <c r="W111" i="2" s="1"/>
  <c r="Y111" i="2" s="1"/>
  <c r="V100" i="2"/>
  <c r="N97" i="2"/>
  <c r="O97" i="2"/>
  <c r="N96" i="2"/>
  <c r="O96" i="2"/>
  <c r="V93" i="2"/>
  <c r="N89" i="2"/>
  <c r="O89" i="2"/>
  <c r="V83" i="2"/>
  <c r="T83" i="2"/>
  <c r="U83" i="2" s="1"/>
  <c r="W83" i="2" s="1"/>
  <c r="Y83" i="2" s="1"/>
  <c r="V80" i="2"/>
  <c r="V66" i="2"/>
  <c r="V62" i="2"/>
  <c r="T62" i="2"/>
  <c r="U62" i="2" s="1"/>
  <c r="W62" i="2" s="1"/>
  <c r="Y62" i="2" s="1"/>
  <c r="N53" i="2"/>
  <c r="O53" i="2"/>
  <c r="N52" i="2"/>
  <c r="O52" i="2"/>
  <c r="N26" i="2"/>
  <c r="O26" i="2"/>
  <c r="N20" i="2"/>
  <c r="O20" i="2"/>
  <c r="G1157" i="2"/>
  <c r="V1157" i="2" s="1"/>
  <c r="G2006" i="2"/>
  <c r="V2006" i="2" s="1"/>
  <c r="V1001" i="2"/>
  <c r="T1001" i="2"/>
  <c r="U1001" i="2" s="1"/>
  <c r="W1001" i="2" s="1"/>
  <c r="Y1001" i="2" s="1"/>
  <c r="V1000" i="2"/>
  <c r="T1000" i="2"/>
  <c r="U1000" i="2" s="1"/>
  <c r="W1000" i="2" s="1"/>
  <c r="N329" i="2"/>
  <c r="O329" i="2"/>
  <c r="V60" i="2"/>
  <c r="C23" i="1"/>
  <c r="F37" i="1" s="1"/>
  <c r="G643" i="2"/>
  <c r="V643" i="2" s="1"/>
  <c r="G546" i="2"/>
  <c r="G526" i="2"/>
  <c r="V526" i="2" s="1"/>
  <c r="G614" i="2"/>
  <c r="V614" i="2" s="1"/>
  <c r="G604" i="2"/>
  <c r="V604" i="2" s="1"/>
  <c r="G584" i="2"/>
  <c r="V584" i="2" s="1"/>
  <c r="G583" i="2"/>
  <c r="V583" i="2" s="1"/>
  <c r="G568" i="2"/>
  <c r="G567" i="2"/>
  <c r="G647" i="2"/>
  <c r="V647" i="2" s="1"/>
  <c r="G499" i="2"/>
  <c r="V499" i="2" s="1"/>
  <c r="G360" i="2"/>
  <c r="V360" i="2" s="1"/>
  <c r="G691" i="2"/>
  <c r="G633" i="2"/>
  <c r="V633" i="2" s="1"/>
  <c r="G557" i="2"/>
  <c r="G512" i="2"/>
  <c r="V512" i="2" s="1"/>
  <c r="G362" i="2"/>
  <c r="G351" i="2"/>
  <c r="V351" i="2" s="1"/>
  <c r="G2005" i="2"/>
  <c r="V2005" i="2" s="1"/>
  <c r="V1660" i="2"/>
  <c r="T1660" i="2"/>
  <c r="U1660" i="2" s="1"/>
  <c r="W1660" i="2" s="1"/>
  <c r="N695" i="2"/>
  <c r="O695" i="2"/>
  <c r="N683" i="2"/>
  <c r="O683" i="2"/>
  <c r="V670" i="2"/>
  <c r="T670" i="2"/>
  <c r="U670" i="2" s="1"/>
  <c r="W670" i="2" s="1"/>
  <c r="Y670" i="2" s="1"/>
  <c r="O670" i="4" s="1"/>
  <c r="V508" i="2"/>
  <c r="T508" i="2"/>
  <c r="U508" i="2" s="1"/>
  <c r="W508" i="2" s="1"/>
  <c r="V506" i="2"/>
  <c r="T506" i="2"/>
  <c r="U506" i="2" s="1"/>
  <c r="W506" i="2" s="1"/>
  <c r="N494" i="2"/>
  <c r="O494" i="2"/>
  <c r="N492" i="2"/>
  <c r="O492" i="2"/>
  <c r="N491" i="2"/>
  <c r="O491" i="2"/>
  <c r="V489" i="2"/>
  <c r="T489" i="2"/>
  <c r="U489" i="2" s="1"/>
  <c r="W489" i="2" s="1"/>
  <c r="V488" i="2"/>
  <c r="T488" i="2"/>
  <c r="U488" i="2" s="1"/>
  <c r="W488" i="2" s="1"/>
  <c r="V487" i="2"/>
  <c r="T487" i="2"/>
  <c r="U487" i="2" s="1"/>
  <c r="W487" i="2" s="1"/>
  <c r="V486" i="2"/>
  <c r="T486" i="2"/>
  <c r="U486" i="2" s="1"/>
  <c r="W486" i="2" s="1"/>
  <c r="V476" i="2"/>
  <c r="T476" i="2"/>
  <c r="U476" i="2" s="1"/>
  <c r="W476" i="2" s="1"/>
  <c r="V475" i="2"/>
  <c r="T475" i="2"/>
  <c r="U475" i="2" s="1"/>
  <c r="W475" i="2" s="1"/>
  <c r="V473" i="2"/>
  <c r="T473" i="2"/>
  <c r="U473" i="2" s="1"/>
  <c r="W473" i="2" s="1"/>
  <c r="Y473" i="2" s="1"/>
  <c r="V465" i="2"/>
  <c r="T465" i="2"/>
  <c r="U465" i="2" s="1"/>
  <c r="W465" i="2" s="1"/>
  <c r="Y465" i="2" s="1"/>
  <c r="O465" i="4" s="1"/>
  <c r="V456" i="2"/>
  <c r="T456" i="2"/>
  <c r="U456" i="2" s="1"/>
  <c r="W456" i="2" s="1"/>
  <c r="Y456" i="2" s="1"/>
  <c r="V448" i="2"/>
  <c r="T448" i="2"/>
  <c r="U448" i="2" s="1"/>
  <c r="W448" i="2" s="1"/>
  <c r="V443" i="2"/>
  <c r="T443" i="2"/>
  <c r="U443" i="2" s="1"/>
  <c r="W443" i="2" s="1"/>
  <c r="V437" i="2"/>
  <c r="T437" i="2"/>
  <c r="U437" i="2" s="1"/>
  <c r="W437" i="2" s="1"/>
  <c r="N374" i="2"/>
  <c r="O374" i="2"/>
  <c r="N370" i="2"/>
  <c r="O370" i="2"/>
  <c r="N359" i="2"/>
  <c r="O359" i="2"/>
  <c r="C37" i="1"/>
  <c r="G2004" i="2"/>
  <c r="V2004" i="2" s="1"/>
  <c r="G2002" i="2"/>
  <c r="V2002" i="2" s="1"/>
  <c r="G1586" i="2"/>
  <c r="V1586" i="2" s="1"/>
  <c r="G1410" i="2"/>
  <c r="V1410" i="2" s="1"/>
  <c r="G1189" i="2"/>
  <c r="V1189" i="2" s="1"/>
  <c r="G1186" i="2"/>
  <c r="V1186" i="2" s="1"/>
  <c r="G1078" i="2"/>
  <c r="V1078" i="2" s="1"/>
  <c r="G1016" i="2"/>
  <c r="V1016" i="2" s="1"/>
  <c r="G1570" i="2"/>
  <c r="G1555" i="2"/>
  <c r="G1551" i="2"/>
  <c r="V1551" i="2" s="1"/>
  <c r="G1550" i="2"/>
  <c r="V1550" i="2" s="1"/>
  <c r="G1449" i="2"/>
  <c r="V1449" i="2" s="1"/>
  <c r="G1411" i="2"/>
  <c r="V1411" i="2" s="1"/>
  <c r="G1404" i="2"/>
  <c r="V1404" i="2" s="1"/>
  <c r="G1384" i="2"/>
  <c r="V1384" i="2" s="1"/>
  <c r="G1372" i="2"/>
  <c r="G1365" i="2"/>
  <c r="V1365" i="2" s="1"/>
  <c r="G1161" i="2"/>
  <c r="V1161" i="2" s="1"/>
  <c r="G1122" i="2"/>
  <c r="V1122" i="2" s="1"/>
  <c r="G1110" i="2"/>
  <c r="G1465" i="2"/>
  <c r="V1465" i="2" s="1"/>
  <c r="G1425" i="2"/>
  <c r="V1425" i="2" s="1"/>
  <c r="G1382" i="2"/>
  <c r="V1382" i="2" s="1"/>
  <c r="G1054" i="2"/>
  <c r="V1054" i="2" s="1"/>
  <c r="G370" i="2"/>
  <c r="V370" i="2" s="1"/>
  <c r="G1181" i="2"/>
  <c r="V1181" i="2" s="1"/>
  <c r="G1261" i="2"/>
  <c r="V1261" i="2" s="1"/>
  <c r="G1245" i="2"/>
  <c r="V1245" i="2" s="1"/>
  <c r="G1232" i="2"/>
  <c r="V1232" i="2" s="1"/>
  <c r="G1040" i="2"/>
  <c r="V1040" i="2" s="1"/>
  <c r="G1274" i="2"/>
  <c r="G1175" i="2"/>
  <c r="G1118" i="2"/>
  <c r="V1118" i="2" s="1"/>
  <c r="G1171" i="2"/>
  <c r="G1167" i="2"/>
  <c r="G1601" i="2"/>
  <c r="G1596" i="2"/>
  <c r="G1536" i="2"/>
  <c r="G1530" i="2"/>
  <c r="V1530" i="2" s="1"/>
  <c r="G1213" i="2"/>
  <c r="G1121" i="2"/>
  <c r="V1121" i="2" s="1"/>
  <c r="G1106" i="2"/>
  <c r="V1106" i="2" s="1"/>
  <c r="G1487" i="2"/>
  <c r="V1487" i="2" s="1"/>
  <c r="G1479" i="2"/>
  <c r="G1385" i="2"/>
  <c r="G1360" i="2"/>
  <c r="G1265" i="2"/>
  <c r="V1265" i="2" s="1"/>
  <c r="G1240" i="2"/>
  <c r="V1240" i="2" s="1"/>
  <c r="G1120" i="2"/>
  <c r="G1074" i="2"/>
  <c r="G1035" i="2"/>
  <c r="V1035" i="2" s="1"/>
  <c r="G1564" i="2"/>
  <c r="V1564" i="2" s="1"/>
  <c r="G1422" i="2"/>
  <c r="G1368" i="2"/>
  <c r="G1311" i="2"/>
  <c r="V1311" i="2" s="1"/>
  <c r="G1239" i="2"/>
  <c r="V1239" i="2" s="1"/>
  <c r="G1083" i="2"/>
  <c r="G1053" i="2"/>
  <c r="V1053" i="2" s="1"/>
  <c r="G1048" i="2"/>
  <c r="V1048" i="2" s="1"/>
  <c r="V1603" i="2"/>
  <c r="V1598" i="2"/>
  <c r="T1598" i="2"/>
  <c r="U1598" i="2" s="1"/>
  <c r="W1598" i="2" s="1"/>
  <c r="N1594" i="2"/>
  <c r="O1594" i="2"/>
  <c r="N1517" i="2"/>
  <c r="O1517" i="2"/>
  <c r="V1511" i="2"/>
  <c r="T1511" i="2"/>
  <c r="U1511" i="2" s="1"/>
  <c r="W1511" i="2" s="1"/>
  <c r="V1500" i="2"/>
  <c r="V1499" i="2"/>
  <c r="T1499" i="2"/>
  <c r="U1499" i="2" s="1"/>
  <c r="W1499" i="2" s="1"/>
  <c r="N1494" i="2"/>
  <c r="O1494" i="2"/>
  <c r="V1494" i="2"/>
  <c r="V1491" i="2"/>
  <c r="T1491" i="2"/>
  <c r="U1491" i="2" s="1"/>
  <c r="W1491" i="2" s="1"/>
  <c r="V1486" i="2"/>
  <c r="T1486" i="2"/>
  <c r="U1486" i="2" s="1"/>
  <c r="W1486" i="2" s="1"/>
  <c r="N1484" i="2"/>
  <c r="O1484" i="2"/>
  <c r="V1480" i="2"/>
  <c r="T1480" i="2"/>
  <c r="U1480" i="2" s="1"/>
  <c r="W1480" i="2" s="1"/>
  <c r="N1478" i="2"/>
  <c r="O1478" i="2"/>
  <c r="T1478" i="2" s="1"/>
  <c r="U1478" i="2" s="1"/>
  <c r="W1478" i="2" s="1"/>
  <c r="V1478" i="2"/>
  <c r="V1468" i="2"/>
  <c r="T1468" i="2"/>
  <c r="U1468" i="2" s="1"/>
  <c r="W1468" i="2" s="1"/>
  <c r="V1459" i="2"/>
  <c r="T1459" i="2"/>
  <c r="U1459" i="2" s="1"/>
  <c r="W1459" i="2" s="1"/>
  <c r="V1446" i="2"/>
  <c r="T1446" i="2"/>
  <c r="U1446" i="2" s="1"/>
  <c r="W1446" i="2" s="1"/>
  <c r="Y1446" i="2" s="1"/>
  <c r="O1446" i="4" s="1"/>
  <c r="N1433" i="2"/>
  <c r="O1433" i="2"/>
  <c r="V1429" i="2"/>
  <c r="V1419" i="2"/>
  <c r="T1419" i="2"/>
  <c r="U1419" i="2" s="1"/>
  <c r="W1419" i="2" s="1"/>
  <c r="V1402" i="2"/>
  <c r="T1402" i="2"/>
  <c r="U1402" i="2" s="1"/>
  <c r="W1402" i="2" s="1"/>
  <c r="Y1402" i="2" s="1"/>
  <c r="N1399" i="2"/>
  <c r="O1399" i="2"/>
  <c r="N1398" i="2"/>
  <c r="O1398" i="2"/>
  <c r="V1391" i="2"/>
  <c r="T1391" i="2"/>
  <c r="U1391" i="2" s="1"/>
  <c r="W1391" i="2" s="1"/>
  <c r="V1390" i="2"/>
  <c r="T1390" i="2"/>
  <c r="U1390" i="2" s="1"/>
  <c r="W1390" i="2" s="1"/>
  <c r="N1374" i="2"/>
  <c r="O1374" i="2"/>
  <c r="N1364" i="2"/>
  <c r="O1364" i="2"/>
  <c r="V1332" i="2"/>
  <c r="T1332" i="2"/>
  <c r="U1332" i="2" s="1"/>
  <c r="W1332" i="2" s="1"/>
  <c r="Y1332" i="2" s="1"/>
  <c r="V1321" i="2"/>
  <c r="T1321" i="2"/>
  <c r="U1321" i="2" s="1"/>
  <c r="W1321" i="2" s="1"/>
  <c r="Y1321" i="2" s="1"/>
  <c r="O1321" i="4" s="1"/>
  <c r="V1313" i="2"/>
  <c r="T1313" i="2"/>
  <c r="U1313" i="2" s="1"/>
  <c r="W1313" i="2" s="1"/>
  <c r="V1310" i="2"/>
  <c r="T1310" i="2"/>
  <c r="U1310" i="2" s="1"/>
  <c r="W1310" i="2" s="1"/>
  <c r="Y1310" i="2" s="1"/>
  <c r="N1305" i="2"/>
  <c r="O1305" i="2"/>
  <c r="T1305" i="2" s="1"/>
  <c r="U1305" i="2" s="1"/>
  <c r="W1305" i="2" s="1"/>
  <c r="V1305" i="2"/>
  <c r="N1304" i="2"/>
  <c r="O1304" i="2"/>
  <c r="N1290" i="2"/>
  <c r="O1290" i="2"/>
  <c r="T1290" i="2" s="1"/>
  <c r="U1290" i="2" s="1"/>
  <c r="W1290" i="2" s="1"/>
  <c r="Y1290" i="2" s="1"/>
  <c r="V1290" i="2"/>
  <c r="V1289" i="2"/>
  <c r="T1289" i="2"/>
  <c r="U1289" i="2" s="1"/>
  <c r="W1289" i="2" s="1"/>
  <c r="Y1289" i="2" s="1"/>
  <c r="N1284" i="2"/>
  <c r="O1284" i="2"/>
  <c r="N1277" i="2"/>
  <c r="O1277" i="2"/>
  <c r="N1265" i="2"/>
  <c r="O1265" i="2"/>
  <c r="N1253" i="2"/>
  <c r="O1253" i="2"/>
  <c r="N1242" i="2"/>
  <c r="O1242" i="2"/>
  <c r="N1236" i="2"/>
  <c r="O1236" i="2"/>
  <c r="N1229" i="2"/>
  <c r="O1229" i="2"/>
  <c r="N1221" i="2"/>
  <c r="O1221" i="2"/>
  <c r="N1217" i="2"/>
  <c r="O1217" i="2"/>
  <c r="N1170" i="2"/>
  <c r="O1170" i="2"/>
  <c r="N1155" i="2"/>
  <c r="O1155" i="2"/>
  <c r="N1106" i="2"/>
  <c r="O1106" i="2"/>
  <c r="N1091" i="2"/>
  <c r="O1091" i="2"/>
  <c r="N1077" i="2"/>
  <c r="O1077" i="2"/>
  <c r="N1061" i="2"/>
  <c r="O1061" i="2"/>
  <c r="N1026" i="2"/>
  <c r="O1026" i="2"/>
  <c r="N1022" i="2"/>
  <c r="O1022" i="2"/>
  <c r="N1014" i="2"/>
  <c r="O1014" i="2"/>
  <c r="N1013" i="2"/>
  <c r="O1013" i="2"/>
  <c r="N358" i="2"/>
  <c r="O358" i="2"/>
  <c r="G430" i="2"/>
  <c r="V430" i="2" s="1"/>
  <c r="G409" i="2"/>
  <c r="G367" i="2"/>
  <c r="V367" i="2" s="1"/>
  <c r="G425" i="2"/>
  <c r="V425" i="2" s="1"/>
  <c r="G422" i="2"/>
  <c r="V422" i="2" s="1"/>
  <c r="G398" i="2"/>
  <c r="V398" i="2" s="1"/>
  <c r="V1366" i="2"/>
  <c r="V1353" i="2"/>
  <c r="V1351" i="2"/>
  <c r="V1348" i="2"/>
  <c r="V1019" i="2"/>
  <c r="T1019" i="2"/>
  <c r="U1019" i="2" s="1"/>
  <c r="W1019" i="2" s="1"/>
  <c r="N1012" i="2"/>
  <c r="O1012" i="2"/>
  <c r="V434" i="2"/>
  <c r="T434" i="2"/>
  <c r="U434" i="2" s="1"/>
  <c r="W434" i="2" s="1"/>
  <c r="V415" i="2"/>
  <c r="T415" i="2"/>
  <c r="U415" i="2" s="1"/>
  <c r="W415" i="2" s="1"/>
  <c r="N343" i="2"/>
  <c r="O343" i="2"/>
  <c r="G1823" i="2"/>
  <c r="G1735" i="2"/>
  <c r="G335" i="2"/>
  <c r="V335" i="2" s="1"/>
  <c r="G1017" i="2"/>
  <c r="V1017" i="2" s="1"/>
  <c r="G344" i="2"/>
  <c r="G682" i="2"/>
  <c r="G1907" i="2"/>
  <c r="V1907" i="2" s="1"/>
  <c r="G1889" i="2"/>
  <c r="V1889" i="2" s="1"/>
  <c r="G1846" i="2"/>
  <c r="V1846" i="2" s="1"/>
  <c r="G1736" i="2"/>
  <c r="G1840" i="2"/>
  <c r="V1840" i="2" s="1"/>
  <c r="G1956" i="2"/>
  <c r="V1956" i="2" s="1"/>
  <c r="G1696" i="2"/>
  <c r="V1696" i="2" s="1"/>
  <c r="G1936" i="2"/>
  <c r="G1929" i="2"/>
  <c r="V1929" i="2" s="1"/>
  <c r="G1764" i="2"/>
  <c r="V1764" i="2" s="1"/>
  <c r="G1994" i="2"/>
  <c r="V1994" i="2" s="1"/>
  <c r="G1984" i="2"/>
  <c r="G1970" i="2"/>
  <c r="G1969" i="2"/>
  <c r="V1992" i="2"/>
  <c r="V1980" i="2"/>
  <c r="T1980" i="2"/>
  <c r="U1980" i="2" s="1"/>
  <c r="V1972" i="2"/>
  <c r="T1972" i="2"/>
  <c r="U1972" i="2" s="1"/>
  <c r="N1962" i="2"/>
  <c r="O1962" i="2"/>
  <c r="N1961" i="2"/>
  <c r="O1961" i="2"/>
  <c r="N1957" i="2"/>
  <c r="O1957" i="2"/>
  <c r="N1918" i="2"/>
  <c r="O1918" i="2"/>
  <c r="N1913" i="2"/>
  <c r="O1913" i="2"/>
  <c r="N1861" i="2"/>
  <c r="O1861" i="2"/>
  <c r="N1844" i="2"/>
  <c r="O1844" i="2"/>
  <c r="N1748" i="2"/>
  <c r="O1748" i="2"/>
  <c r="N1701" i="2"/>
  <c r="O1701" i="2"/>
  <c r="V1680" i="2"/>
  <c r="N1670" i="2"/>
  <c r="O1670" i="2"/>
  <c r="T1670" i="2" s="1"/>
  <c r="U1670" i="2" s="1"/>
  <c r="W1670" i="2" s="1"/>
  <c r="V1670" i="2"/>
  <c r="V689" i="2"/>
  <c r="T689" i="2"/>
  <c r="U689" i="2" s="1"/>
  <c r="W689" i="2" s="1"/>
  <c r="V686" i="2"/>
  <c r="T686" i="2"/>
  <c r="U686" i="2" s="1"/>
  <c r="W686" i="2" s="1"/>
  <c r="V333" i="2"/>
  <c r="T333" i="2"/>
  <c r="U333" i="2" s="1"/>
  <c r="G1899" i="2"/>
  <c r="G776" i="2"/>
  <c r="V776" i="2" s="1"/>
  <c r="G1935" i="2"/>
  <c r="V1935" i="2" s="1"/>
  <c r="G1912" i="2"/>
  <c r="V1912" i="2" s="1"/>
  <c r="G1805" i="2"/>
  <c r="V1805" i="2" s="1"/>
  <c r="G1693" i="2"/>
  <c r="V1693" i="2" s="1"/>
  <c r="G1890" i="2"/>
  <c r="G873" i="2"/>
  <c r="G784" i="2"/>
  <c r="V784" i="2" s="1"/>
  <c r="G750" i="2"/>
  <c r="V750" i="2" s="1"/>
  <c r="G1695" i="2"/>
  <c r="V1695" i="2" s="1"/>
  <c r="G1893" i="2"/>
  <c r="V1893" i="2" s="1"/>
  <c r="G1769" i="2"/>
  <c r="V1769" i="2" s="1"/>
  <c r="G1755" i="2"/>
  <c r="G1737" i="2"/>
  <c r="V1737" i="2" s="1"/>
  <c r="G18" i="2"/>
  <c r="G1771" i="2"/>
  <c r="V1771" i="2" s="1"/>
  <c r="G1892" i="2"/>
  <c r="V1892" i="2" s="1"/>
  <c r="G1865" i="2"/>
  <c r="V1865" i="2" s="1"/>
  <c r="G1838" i="2"/>
  <c r="V1838" i="2" s="1"/>
  <c r="G1802" i="2"/>
  <c r="G1745" i="2"/>
  <c r="V1745" i="2" s="1"/>
  <c r="G2003" i="2"/>
  <c r="V2003" i="2" s="1"/>
  <c r="G1763" i="2"/>
  <c r="V1763" i="2" s="1"/>
  <c r="G1938" i="2"/>
  <c r="V1938" i="2" s="1"/>
  <c r="G1761" i="2"/>
  <c r="G1729" i="2"/>
  <c r="V1729" i="2" s="1"/>
  <c r="G1717" i="2"/>
  <c r="G1690" i="2"/>
  <c r="V1690" i="2" s="1"/>
  <c r="G1878" i="2"/>
  <c r="G1875" i="2"/>
  <c r="G1947" i="2"/>
  <c r="V1947" i="2" s="1"/>
  <c r="G1837" i="2"/>
  <c r="V1837" i="2" s="1"/>
  <c r="G1746" i="2"/>
  <c r="V1746" i="2" s="1"/>
  <c r="G1706" i="2"/>
  <c r="G1720" i="2"/>
  <c r="V2001" i="2"/>
  <c r="V1943" i="2"/>
  <c r="T1943" i="2"/>
  <c r="U1943" i="2" s="1"/>
  <c r="W1943" i="2" s="1"/>
  <c r="Y1943" i="2" s="1"/>
  <c r="V1927" i="2"/>
  <c r="T1927" i="2"/>
  <c r="U1927" i="2" s="1"/>
  <c r="W1927" i="2" s="1"/>
  <c r="Y1927" i="2" s="1"/>
  <c r="V1925" i="2"/>
  <c r="T1925" i="2"/>
  <c r="U1925" i="2" s="1"/>
  <c r="W1925" i="2" s="1"/>
  <c r="N1924" i="2"/>
  <c r="O1924" i="2"/>
  <c r="T1924" i="2" s="1"/>
  <c r="U1924" i="2" s="1"/>
  <c r="W1924" i="2" s="1"/>
  <c r="V1924" i="2"/>
  <c r="N1919" i="2"/>
  <c r="O1919" i="2"/>
  <c r="V1910" i="2"/>
  <c r="T1910" i="2"/>
  <c r="U1910" i="2" s="1"/>
  <c r="W1910" i="2" s="1"/>
  <c r="Y1910" i="2" s="1"/>
  <c r="N1909" i="2"/>
  <c r="O1909" i="2"/>
  <c r="V1908" i="2"/>
  <c r="T1908" i="2"/>
  <c r="U1908" i="2" s="1"/>
  <c r="W1908" i="2" s="1"/>
  <c r="N1905" i="2"/>
  <c r="O1905" i="2"/>
  <c r="N1904" i="2"/>
  <c r="O1904" i="2"/>
  <c r="V1902" i="2"/>
  <c r="T1902" i="2"/>
  <c r="U1902" i="2" s="1"/>
  <c r="W1902" i="2" s="1"/>
  <c r="N1901" i="2"/>
  <c r="O1901" i="2"/>
  <c r="N1900" i="2"/>
  <c r="O1900" i="2"/>
  <c r="N1895" i="2"/>
  <c r="O1895" i="2"/>
  <c r="N1890" i="2"/>
  <c r="O1890" i="2"/>
  <c r="N1888" i="2"/>
  <c r="O1888" i="2"/>
  <c r="T1888" i="2" s="1"/>
  <c r="U1888" i="2" s="1"/>
  <c r="W1888" i="2" s="1"/>
  <c r="V1888" i="2"/>
  <c r="N1887" i="2"/>
  <c r="O1887" i="2"/>
  <c r="V1885" i="2"/>
  <c r="T1885" i="2"/>
  <c r="U1885" i="2" s="1"/>
  <c r="W1885" i="2" s="1"/>
  <c r="N1882" i="2"/>
  <c r="O1882" i="2"/>
  <c r="N1881" i="2"/>
  <c r="O1881" i="2"/>
  <c r="N1878" i="2"/>
  <c r="O1878" i="2"/>
  <c r="N1873" i="2"/>
  <c r="O1873" i="2"/>
  <c r="N1870" i="2"/>
  <c r="O1870" i="2"/>
  <c r="N1864" i="2"/>
  <c r="O1864" i="2"/>
  <c r="V1863" i="2"/>
  <c r="T1863" i="2"/>
  <c r="U1863" i="2" s="1"/>
  <c r="W1863" i="2" s="1"/>
  <c r="N1862" i="2"/>
  <c r="O1862" i="2"/>
  <c r="V1861" i="2"/>
  <c r="V1858" i="2"/>
  <c r="T1858" i="2"/>
  <c r="U1858" i="2" s="1"/>
  <c r="W1858" i="2" s="1"/>
  <c r="N1854" i="2"/>
  <c r="O1854" i="2"/>
  <c r="V1848" i="2"/>
  <c r="T1848" i="2"/>
  <c r="U1848" i="2" s="1"/>
  <c r="W1848" i="2" s="1"/>
  <c r="N1846" i="2"/>
  <c r="O1846" i="2"/>
  <c r="V1844" i="2"/>
  <c r="V1812" i="2"/>
  <c r="V1794" i="2"/>
  <c r="N1788" i="2"/>
  <c r="O1788" i="2"/>
  <c r="N1785" i="2"/>
  <c r="O1785" i="2"/>
  <c r="V1756" i="2"/>
  <c r="T1756" i="2"/>
  <c r="U1756" i="2" s="1"/>
  <c r="W1756" i="2" s="1"/>
  <c r="V1747" i="2"/>
  <c r="N1721" i="2"/>
  <c r="O1721" i="2"/>
  <c r="N1706" i="2"/>
  <c r="O1706" i="2"/>
  <c r="V895" i="2"/>
  <c r="T895" i="2"/>
  <c r="U895" i="2" s="1"/>
  <c r="W895" i="2" s="1"/>
  <c r="V894" i="2"/>
  <c r="T894" i="2"/>
  <c r="U894" i="2" s="1"/>
  <c r="W894" i="2" s="1"/>
  <c r="V893" i="2"/>
  <c r="V884" i="2"/>
  <c r="T884" i="2"/>
  <c r="U884" i="2" s="1"/>
  <c r="W884" i="2" s="1"/>
  <c r="Y884" i="2" s="1"/>
  <c r="V877" i="2"/>
  <c r="T877" i="2"/>
  <c r="U877" i="2" s="1"/>
  <c r="W877" i="2" s="1"/>
  <c r="V871" i="2"/>
  <c r="T871" i="2"/>
  <c r="U871" i="2" s="1"/>
  <c r="W871" i="2" s="1"/>
  <c r="V852" i="2"/>
  <c r="T852" i="2"/>
  <c r="U852" i="2" s="1"/>
  <c r="W852" i="2" s="1"/>
  <c r="N848" i="2"/>
  <c r="O848" i="2"/>
  <c r="N847" i="2"/>
  <c r="O847" i="2"/>
  <c r="V808" i="2"/>
  <c r="T808" i="2"/>
  <c r="U808" i="2" s="1"/>
  <c r="W808" i="2" s="1"/>
  <c r="N807" i="2"/>
  <c r="O807" i="2"/>
  <c r="T807" i="2" s="1"/>
  <c r="U807" i="2" s="1"/>
  <c r="W807" i="2" s="1"/>
  <c r="V807" i="2"/>
  <c r="V806" i="2"/>
  <c r="T806" i="2"/>
  <c r="U806" i="2" s="1"/>
  <c r="W806" i="2" s="1"/>
  <c r="V804" i="2"/>
  <c r="T804" i="2"/>
  <c r="U804" i="2" s="1"/>
  <c r="W804" i="2" s="1"/>
  <c r="V791" i="2"/>
  <c r="V783" i="2"/>
  <c r="T783" i="2"/>
  <c r="U783" i="2" s="1"/>
  <c r="W783" i="2" s="1"/>
  <c r="V777" i="2"/>
  <c r="T777" i="2"/>
  <c r="U777" i="2" s="1"/>
  <c r="N757" i="2"/>
  <c r="O757" i="2"/>
  <c r="V746" i="2"/>
  <c r="V739" i="2"/>
  <c r="T739" i="2"/>
  <c r="U739" i="2" s="1"/>
  <c r="W739" i="2" s="1"/>
  <c r="V719" i="2"/>
  <c r="T719" i="2"/>
  <c r="U719" i="2" s="1"/>
  <c r="W719" i="2" s="1"/>
  <c r="V713" i="2"/>
  <c r="N712" i="2"/>
  <c r="O712" i="2"/>
  <c r="N701" i="2"/>
  <c r="O701" i="2"/>
  <c r="N345" i="2"/>
  <c r="O345" i="2"/>
  <c r="V34" i="2"/>
  <c r="T34" i="2"/>
  <c r="U34" i="2" s="1"/>
  <c r="V33" i="2"/>
  <c r="G1085" i="2"/>
  <c r="V1085" i="2" s="1"/>
  <c r="G1045" i="2"/>
  <c r="V1045" i="2" s="1"/>
  <c r="G1584" i="2"/>
  <c r="G1583" i="2"/>
  <c r="G1562" i="2"/>
  <c r="G1557" i="2"/>
  <c r="G1539" i="2"/>
  <c r="G1533" i="2"/>
  <c r="G1532" i="2"/>
  <c r="G1527" i="2"/>
  <c r="G1526" i="2"/>
  <c r="G1517" i="2"/>
  <c r="G1516" i="2"/>
  <c r="G1514" i="2"/>
  <c r="G1350" i="2"/>
  <c r="G1272" i="2"/>
  <c r="V1272" i="2" s="1"/>
  <c r="G1197" i="2"/>
  <c r="V1197" i="2" s="1"/>
  <c r="G1187" i="2"/>
  <c r="V1187" i="2" s="1"/>
  <c r="G1098" i="2"/>
  <c r="G1026" i="2"/>
  <c r="G1198" i="2"/>
  <c r="V1198" i="2" s="1"/>
  <c r="G1185" i="2"/>
  <c r="V1185" i="2" s="1"/>
  <c r="G1169" i="2"/>
  <c r="V1169" i="2" s="1"/>
  <c r="G1149" i="2"/>
  <c r="G1141" i="2"/>
  <c r="V1141" i="2" s="1"/>
  <c r="G1094" i="2"/>
  <c r="V1094" i="2" s="1"/>
  <c r="G1028" i="2"/>
  <c r="G661" i="2"/>
  <c r="V661" i="2" s="1"/>
  <c r="G645" i="2"/>
  <c r="V645" i="2" s="1"/>
  <c r="G640" i="2"/>
  <c r="V640" i="2" s="1"/>
  <c r="G616" i="2"/>
  <c r="V616" i="2" s="1"/>
  <c r="G600" i="2"/>
  <c r="G591" i="2"/>
  <c r="G559" i="2"/>
  <c r="G556" i="2"/>
  <c r="G552" i="2"/>
  <c r="G522" i="2"/>
  <c r="G1205" i="2"/>
  <c r="V1205" i="2" s="1"/>
  <c r="G1203" i="2"/>
  <c r="G1154" i="2"/>
  <c r="G1081" i="2"/>
  <c r="V1081" i="2" s="1"/>
  <c r="G1199" i="2"/>
  <c r="V1199" i="2" s="1"/>
  <c r="G1043" i="2"/>
  <c r="V1043" i="2" s="1"/>
  <c r="G1164" i="2"/>
  <c r="V1164" i="2" s="1"/>
  <c r="G1119" i="2"/>
  <c r="G1100" i="2"/>
  <c r="V1100" i="2" s="1"/>
  <c r="G1055" i="2"/>
  <c r="V1055" i="2" s="1"/>
  <c r="G1115" i="2"/>
  <c r="G1113" i="2"/>
  <c r="V1113" i="2" s="1"/>
  <c r="G1111" i="2"/>
  <c r="V1111" i="2" s="1"/>
  <c r="G1056" i="2"/>
  <c r="V1056" i="2" s="1"/>
  <c r="G1086" i="2"/>
  <c r="G1052" i="2"/>
  <c r="V1052" i="2" s="1"/>
  <c r="N1527" i="2"/>
  <c r="O1527" i="2"/>
  <c r="V1282" i="2"/>
  <c r="T1282" i="2"/>
  <c r="U1282" i="2" s="1"/>
  <c r="V1269" i="2"/>
  <c r="T1269" i="2"/>
  <c r="U1269" i="2" s="1"/>
  <c r="V1268" i="2"/>
  <c r="T1268" i="2"/>
  <c r="U1268" i="2" s="1"/>
  <c r="V1257" i="2"/>
  <c r="T1257" i="2"/>
  <c r="U1257" i="2" s="1"/>
  <c r="V1251" i="2"/>
  <c r="V1248" i="2"/>
  <c r="T1248" i="2"/>
  <c r="U1248" i="2" s="1"/>
  <c r="V1242" i="2"/>
  <c r="V1236" i="2"/>
  <c r="V1227" i="2"/>
  <c r="T1227" i="2"/>
  <c r="U1227" i="2" s="1"/>
  <c r="V1222" i="2"/>
  <c r="T1222" i="2"/>
  <c r="U1222" i="2" s="1"/>
  <c r="V1221" i="2"/>
  <c r="V1210" i="2"/>
  <c r="T1210" i="2"/>
  <c r="U1210" i="2" s="1"/>
  <c r="V1207" i="2"/>
  <c r="T1207" i="2"/>
  <c r="U1207" i="2" s="1"/>
  <c r="N1192" i="2"/>
  <c r="O1192" i="2"/>
  <c r="V1172" i="2"/>
  <c r="T1172" i="2"/>
  <c r="U1172" i="2" s="1"/>
  <c r="N1157" i="2"/>
  <c r="O1157" i="2"/>
  <c r="N1154" i="2"/>
  <c r="O1154" i="2"/>
  <c r="N1151" i="2"/>
  <c r="O1151" i="2"/>
  <c r="N1135" i="2"/>
  <c r="O1135" i="2"/>
  <c r="N1090" i="2"/>
  <c r="O1090" i="2"/>
  <c r="N1089" i="2"/>
  <c r="O1089" i="2"/>
  <c r="T1089" i="2" s="1"/>
  <c r="U1089" i="2" s="1"/>
  <c r="V1089" i="2"/>
  <c r="V1084" i="2"/>
  <c r="T1084" i="2"/>
  <c r="U1084" i="2" s="1"/>
  <c r="V1072" i="2"/>
  <c r="T1072" i="2"/>
  <c r="U1072" i="2" s="1"/>
  <c r="V1069" i="2"/>
  <c r="N1038" i="2"/>
  <c r="O1038" i="2"/>
  <c r="T1038" i="2" s="1"/>
  <c r="U1038" i="2" s="1"/>
  <c r="V1038" i="2"/>
  <c r="N610" i="2"/>
  <c r="O610" i="2"/>
  <c r="N586" i="2"/>
  <c r="O586" i="2"/>
  <c r="N548" i="2"/>
  <c r="O548" i="2"/>
  <c r="N527" i="2"/>
  <c r="O527" i="2"/>
  <c r="N520" i="2"/>
  <c r="O520" i="2"/>
  <c r="V401" i="2"/>
  <c r="T401" i="2"/>
  <c r="U401" i="2" s="1"/>
  <c r="V397" i="2"/>
  <c r="T397" i="2"/>
  <c r="U397" i="2" s="1"/>
  <c r="V392" i="2"/>
  <c r="T392" i="2"/>
  <c r="U392" i="2" s="1"/>
  <c r="V391" i="2"/>
  <c r="T391" i="2"/>
  <c r="U391" i="2" s="1"/>
  <c r="N386" i="2"/>
  <c r="O386" i="2"/>
  <c r="V374" i="2"/>
  <c r="F28" i="1"/>
  <c r="C28" i="1"/>
  <c r="F27" i="1"/>
  <c r="C27" i="1"/>
  <c r="F29" i="1"/>
  <c r="C29" i="1"/>
  <c r="W1650" i="2"/>
  <c r="W1646" i="2"/>
  <c r="W1642" i="2"/>
  <c r="W1639" i="2"/>
  <c r="W1633" i="2"/>
  <c r="W1629" i="2"/>
  <c r="W1618" i="2"/>
  <c r="W1614" i="2"/>
  <c r="W1613" i="2"/>
  <c r="W995" i="2"/>
  <c r="Y995" i="2" s="1"/>
  <c r="O995" i="4" s="1"/>
  <c r="W993" i="2"/>
  <c r="Y993" i="2" s="1"/>
  <c r="O993" i="4" s="1"/>
  <c r="W981" i="2"/>
  <c r="Y981" i="2" s="1"/>
  <c r="W980" i="2"/>
  <c r="Y980" i="2" s="1"/>
  <c r="W967" i="2"/>
  <c r="Y967" i="2" s="1"/>
  <c r="W964" i="2"/>
  <c r="Y964" i="2" s="1"/>
  <c r="W963" i="2"/>
  <c r="W959" i="2"/>
  <c r="Y959" i="2" s="1"/>
  <c r="W957" i="2"/>
  <c r="Y957" i="2" s="1"/>
  <c r="O957" i="4" s="1"/>
  <c r="W955" i="2"/>
  <c r="W952" i="2"/>
  <c r="W951" i="2"/>
  <c r="W946" i="2"/>
  <c r="W940" i="2"/>
  <c r="W939" i="2"/>
  <c r="W937" i="2"/>
  <c r="W925" i="2"/>
  <c r="W911" i="2"/>
  <c r="V328" i="2"/>
  <c r="W325" i="2"/>
  <c r="Y325" i="2" s="1"/>
  <c r="W312" i="2"/>
  <c r="Y312" i="2" s="1"/>
  <c r="W307" i="2"/>
  <c r="Y307" i="2" s="1"/>
  <c r="G518" i="2"/>
  <c r="G515" i="2"/>
  <c r="G514" i="2"/>
  <c r="G1524" i="2"/>
  <c r="G1522" i="2"/>
  <c r="B17" i="1"/>
  <c r="G2000" i="2"/>
  <c r="G1998" i="2"/>
  <c r="G1997" i="2"/>
  <c r="G1996" i="2"/>
  <c r="G1995" i="2"/>
  <c r="G1991" i="2"/>
  <c r="G1990" i="2"/>
  <c r="G1987" i="2"/>
  <c r="G1986" i="2"/>
  <c r="G1985" i="2"/>
  <c r="G1981" i="2"/>
  <c r="G1979" i="2"/>
  <c r="G1978" i="2"/>
  <c r="G1976" i="2"/>
  <c r="G1975" i="2"/>
  <c r="G1973" i="2"/>
  <c r="G1971" i="2"/>
  <c r="G1968" i="2"/>
  <c r="G1967" i="2"/>
  <c r="G1966" i="2"/>
  <c r="G1965" i="2"/>
  <c r="G1964" i="2"/>
  <c r="G1962" i="2"/>
  <c r="G1961" i="2"/>
  <c r="G1960" i="2"/>
  <c r="G1958" i="2"/>
  <c r="G1957" i="2"/>
  <c r="G1955" i="2"/>
  <c r="G1954" i="2"/>
  <c r="G1952" i="2"/>
  <c r="G1951" i="2"/>
  <c r="G1950" i="2"/>
  <c r="G1949" i="2"/>
  <c r="G1948" i="2"/>
  <c r="G1946" i="2"/>
  <c r="G1945" i="2"/>
  <c r="G1944" i="2"/>
  <c r="G1942" i="2"/>
  <c r="G1939" i="2"/>
  <c r="G1937" i="2"/>
  <c r="G1933" i="2"/>
  <c r="G1932" i="2"/>
  <c r="G1931" i="2"/>
  <c r="G1930" i="2"/>
  <c r="G1928" i="2"/>
  <c r="G1926" i="2"/>
  <c r="G1923" i="2"/>
  <c r="G1919" i="2"/>
  <c r="G1918" i="2"/>
  <c r="G1916" i="2"/>
  <c r="G1914" i="2"/>
  <c r="G1911" i="2"/>
  <c r="G1909" i="2"/>
  <c r="G1906" i="2"/>
  <c r="G1905" i="2"/>
  <c r="G1904" i="2"/>
  <c r="G1903" i="2"/>
  <c r="G1901" i="2"/>
  <c r="G1900" i="2"/>
  <c r="G1898" i="2"/>
  <c r="G1895" i="2"/>
  <c r="G1894" i="2"/>
  <c r="G1891" i="2"/>
  <c r="G1887" i="2"/>
  <c r="G1886" i="2"/>
  <c r="G1883" i="2"/>
  <c r="G1882" i="2"/>
  <c r="G1881" i="2"/>
  <c r="G1880" i="2"/>
  <c r="G1876" i="2"/>
  <c r="G1874" i="2"/>
  <c r="G1873" i="2"/>
  <c r="G1871" i="2"/>
  <c r="G1870" i="2"/>
  <c r="G1869" i="2"/>
  <c r="G1867" i="2"/>
  <c r="G1864" i="2"/>
  <c r="G1862" i="2"/>
  <c r="G1859" i="2"/>
  <c r="G1857" i="2"/>
  <c r="G1856" i="2"/>
  <c r="G1855" i="2"/>
  <c r="G1576" i="2"/>
  <c r="G1566" i="2"/>
  <c r="G1565" i="2"/>
  <c r="G1558" i="2"/>
  <c r="G1547" i="2"/>
  <c r="G1537" i="2"/>
  <c r="G1528" i="2"/>
  <c r="G1852" i="2"/>
  <c r="G1851" i="2"/>
  <c r="G1849" i="2"/>
  <c r="G1847" i="2"/>
  <c r="G1845" i="2"/>
  <c r="G1843" i="2"/>
  <c r="G1842" i="2"/>
  <c r="G1841" i="2"/>
  <c r="G1836" i="2"/>
  <c r="G1831" i="2"/>
  <c r="G1830" i="2"/>
  <c r="G1828" i="2"/>
  <c r="G1827" i="2"/>
  <c r="G1826" i="2"/>
  <c r="G1824" i="2"/>
  <c r="G1822" i="2"/>
  <c r="G1821" i="2"/>
  <c r="G1820" i="2"/>
  <c r="G1819" i="2"/>
  <c r="G1818" i="2"/>
  <c r="G1817" i="2"/>
  <c r="G1811" i="2"/>
  <c r="G1810" i="2"/>
  <c r="G1809" i="2"/>
  <c r="G1808" i="2"/>
  <c r="G1807" i="2"/>
  <c r="G1806" i="2"/>
  <c r="G1804" i="2"/>
  <c r="G1803" i="2"/>
  <c r="G1801" i="2"/>
  <c r="G1800" i="2"/>
  <c r="G1799" i="2"/>
  <c r="G1798" i="2"/>
  <c r="G1797" i="2"/>
  <c r="G1796" i="2"/>
  <c r="G1795" i="2"/>
  <c r="G1793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8" i="2"/>
  <c r="G1776" i="2"/>
  <c r="G1775" i="2"/>
  <c r="G1770" i="2"/>
  <c r="G1768" i="2"/>
  <c r="G1767" i="2"/>
  <c r="G1760" i="2"/>
  <c r="G1759" i="2"/>
  <c r="G1758" i="2"/>
  <c r="G1757" i="2"/>
  <c r="G1754" i="2"/>
  <c r="G1753" i="2"/>
  <c r="G1752" i="2"/>
  <c r="G1751" i="2"/>
  <c r="G1749" i="2"/>
  <c r="G1748" i="2"/>
  <c r="G1744" i="2"/>
  <c r="G1743" i="2"/>
  <c r="G1742" i="2"/>
  <c r="G1741" i="2"/>
  <c r="G1740" i="2"/>
  <c r="G1739" i="2"/>
  <c r="G1732" i="2"/>
  <c r="G1731" i="2"/>
  <c r="G1730" i="2"/>
  <c r="G1727" i="2"/>
  <c r="G1726" i="2"/>
  <c r="G1725" i="2"/>
  <c r="G1723" i="2"/>
  <c r="G1721" i="2"/>
  <c r="G1719" i="2"/>
  <c r="G1718" i="2"/>
  <c r="G1715" i="2"/>
  <c r="G1713" i="2"/>
  <c r="G1712" i="2"/>
  <c r="G1711" i="2"/>
  <c r="G1710" i="2"/>
  <c r="G1709" i="2"/>
  <c r="G1708" i="2"/>
  <c r="G1707" i="2"/>
  <c r="G1703" i="2"/>
  <c r="G1701" i="2"/>
  <c r="G1700" i="2"/>
  <c r="G1699" i="2"/>
  <c r="G1698" i="2"/>
  <c r="G1697" i="2"/>
  <c r="G1694" i="2"/>
  <c r="G1692" i="2"/>
  <c r="G1691" i="2"/>
  <c r="G1688" i="2"/>
  <c r="G1686" i="2"/>
  <c r="G1685" i="2"/>
  <c r="G1580" i="2"/>
  <c r="G1579" i="2"/>
  <c r="G1575" i="2"/>
  <c r="G1572" i="2"/>
  <c r="G1568" i="2"/>
  <c r="G1549" i="2"/>
  <c r="G1541" i="2"/>
  <c r="G1534" i="2"/>
  <c r="G1523" i="2"/>
  <c r="G1684" i="2"/>
  <c r="G1683" i="2"/>
  <c r="G1679" i="2"/>
  <c r="G1678" i="2"/>
  <c r="G1675" i="2"/>
  <c r="G1674" i="2"/>
  <c r="G1673" i="2"/>
  <c r="G1672" i="2"/>
  <c r="G1671" i="2"/>
  <c r="G1669" i="2"/>
  <c r="G1668" i="2"/>
  <c r="G1667" i="2"/>
  <c r="G1666" i="2"/>
  <c r="G1665" i="2"/>
  <c r="G1664" i="2"/>
  <c r="G1663" i="2"/>
  <c r="G1661" i="2"/>
  <c r="G1659" i="2"/>
  <c r="G1658" i="2"/>
  <c r="G1655" i="2"/>
  <c r="G1654" i="2"/>
  <c r="G1653" i="2"/>
  <c r="G1651" i="2"/>
  <c r="G1648" i="2"/>
  <c r="G1645" i="2"/>
  <c r="G1644" i="2"/>
  <c r="G1643" i="2"/>
  <c r="G1641" i="2"/>
  <c r="G1640" i="2"/>
  <c r="G1637" i="2"/>
  <c r="G1636" i="2"/>
  <c r="G1635" i="2"/>
  <c r="G1631" i="2"/>
  <c r="G1630" i="2"/>
  <c r="G1626" i="2"/>
  <c r="G1625" i="2"/>
  <c r="G1624" i="2"/>
  <c r="G1623" i="2"/>
  <c r="G1621" i="2"/>
  <c r="G1620" i="2"/>
  <c r="G1619" i="2"/>
  <c r="G1611" i="2"/>
  <c r="G1610" i="2"/>
  <c r="G1607" i="2"/>
  <c r="G1606" i="2"/>
  <c r="G1602" i="2"/>
  <c r="G1600" i="2"/>
  <c r="G1599" i="2"/>
  <c r="G1597" i="2"/>
  <c r="G1595" i="2"/>
  <c r="G1594" i="2"/>
  <c r="G1589" i="2"/>
  <c r="G1587" i="2"/>
  <c r="G1585" i="2"/>
  <c r="G1582" i="2"/>
  <c r="G1571" i="2"/>
  <c r="G1569" i="2"/>
  <c r="G1563" i="2"/>
  <c r="G1561" i="2"/>
  <c r="G1554" i="2"/>
  <c r="G1553" i="2"/>
  <c r="G1552" i="2"/>
  <c r="G1545" i="2"/>
  <c r="G1542" i="2"/>
  <c r="G1518" i="2"/>
  <c r="G1513" i="2"/>
  <c r="G1512" i="2"/>
  <c r="G1510" i="2"/>
  <c r="G1509" i="2"/>
  <c r="G1508" i="2"/>
  <c r="G1507" i="2"/>
  <c r="G1506" i="2"/>
  <c r="G1505" i="2"/>
  <c r="G1504" i="2"/>
  <c r="G1503" i="2"/>
  <c r="G1502" i="2"/>
  <c r="G1501" i="2"/>
  <c r="G1496" i="2"/>
  <c r="G1495" i="2"/>
  <c r="G1492" i="2"/>
  <c r="G1490" i="2"/>
  <c r="G1489" i="2"/>
  <c r="G1488" i="2"/>
  <c r="G1485" i="2"/>
  <c r="G1484" i="2"/>
  <c r="G1483" i="2"/>
  <c r="G1482" i="2"/>
  <c r="G1481" i="2"/>
  <c r="G1477" i="2"/>
  <c r="G1476" i="2"/>
  <c r="G1475" i="2"/>
  <c r="G1474" i="2"/>
  <c r="G1473" i="2"/>
  <c r="G1472" i="2"/>
  <c r="G1471" i="2"/>
  <c r="G1470" i="2"/>
  <c r="G1469" i="2"/>
  <c r="G1467" i="2"/>
  <c r="G1466" i="2"/>
  <c r="G1462" i="2"/>
  <c r="G1460" i="2"/>
  <c r="G1457" i="2"/>
  <c r="G1456" i="2"/>
  <c r="G1455" i="2"/>
  <c r="G1454" i="2"/>
  <c r="G1450" i="2"/>
  <c r="G1445" i="2"/>
  <c r="G1444" i="2"/>
  <c r="G1443" i="2"/>
  <c r="G1442" i="2"/>
  <c r="G1441" i="2"/>
  <c r="G1437" i="2"/>
  <c r="G1436" i="2"/>
  <c r="G1435" i="2"/>
  <c r="G1434" i="2"/>
  <c r="G1433" i="2"/>
  <c r="G1431" i="2"/>
  <c r="G1430" i="2"/>
  <c r="G1427" i="2"/>
  <c r="G1426" i="2"/>
  <c r="G1423" i="2"/>
  <c r="G1421" i="2"/>
  <c r="G1420" i="2"/>
  <c r="G1416" i="2"/>
  <c r="G1414" i="2"/>
  <c r="G1413" i="2"/>
  <c r="G1407" i="2"/>
  <c r="G1401" i="2"/>
  <c r="G1400" i="2"/>
  <c r="G1399" i="2"/>
  <c r="G1398" i="2"/>
  <c r="G1395" i="2"/>
  <c r="G1393" i="2"/>
  <c r="G1389" i="2"/>
  <c r="G1388" i="2"/>
  <c r="G1387" i="2"/>
  <c r="G1386" i="2"/>
  <c r="G1381" i="2"/>
  <c r="G1380" i="2"/>
  <c r="G1379" i="2"/>
  <c r="G1378" i="2"/>
  <c r="G1377" i="2"/>
  <c r="G1376" i="2"/>
  <c r="G1374" i="2"/>
  <c r="G1373" i="2"/>
  <c r="G1371" i="2"/>
  <c r="G1370" i="2"/>
  <c r="G1369" i="2"/>
  <c r="G1367" i="2"/>
  <c r="G1364" i="2"/>
  <c r="G1363" i="2"/>
  <c r="G1361" i="2"/>
  <c r="G1359" i="2"/>
  <c r="G1358" i="2"/>
  <c r="G1357" i="2"/>
  <c r="G1356" i="2"/>
  <c r="G1355" i="2"/>
  <c r="G1354" i="2"/>
  <c r="G1188" i="2"/>
  <c r="G663" i="2"/>
  <c r="G659" i="2"/>
  <c r="G650" i="2"/>
  <c r="G648" i="2"/>
  <c r="G619" i="2"/>
  <c r="G611" i="2"/>
  <c r="G606" i="2"/>
  <c r="G602" i="2"/>
  <c r="G597" i="2"/>
  <c r="G593" i="2"/>
  <c r="G589" i="2"/>
  <c r="G586" i="2"/>
  <c r="G581" i="2"/>
  <c r="G558" i="2"/>
  <c r="G543" i="2"/>
  <c r="G539" i="2"/>
  <c r="G530" i="2"/>
  <c r="G527" i="2"/>
  <c r="G524" i="2"/>
  <c r="G520" i="2"/>
  <c r="G1349" i="2"/>
  <c r="G1346" i="2"/>
  <c r="G1344" i="2"/>
  <c r="G1343" i="2"/>
  <c r="G1342" i="2"/>
  <c r="G1341" i="2"/>
  <c r="G1340" i="2"/>
  <c r="G1339" i="2"/>
  <c r="G1338" i="2"/>
  <c r="G1336" i="2"/>
  <c r="G1334" i="2"/>
  <c r="G1333" i="2"/>
  <c r="G1331" i="2"/>
  <c r="G1328" i="2"/>
  <c r="G1327" i="2"/>
  <c r="G1326" i="2"/>
  <c r="G1325" i="2"/>
  <c r="G1324" i="2"/>
  <c r="G1323" i="2"/>
  <c r="G1320" i="2"/>
  <c r="G1319" i="2"/>
  <c r="G1318" i="2"/>
  <c r="G1317" i="2"/>
  <c r="G1316" i="2"/>
  <c r="G1314" i="2"/>
  <c r="G1312" i="2"/>
  <c r="G1309" i="2"/>
  <c r="G1308" i="2"/>
  <c r="G1307" i="2"/>
  <c r="G1306" i="2"/>
  <c r="G1304" i="2"/>
  <c r="G1303" i="2"/>
  <c r="G1302" i="2"/>
  <c r="G1301" i="2"/>
  <c r="G1300" i="2"/>
  <c r="G1296" i="2"/>
  <c r="G1294" i="2"/>
  <c r="G1293" i="2"/>
  <c r="G1291" i="2"/>
  <c r="G1288" i="2"/>
  <c r="G1287" i="2"/>
  <c r="G1286" i="2"/>
  <c r="G1284" i="2"/>
  <c r="G1280" i="2"/>
  <c r="G1279" i="2"/>
  <c r="G1277" i="2"/>
  <c r="G1276" i="2"/>
  <c r="G1275" i="2"/>
  <c r="G1273" i="2"/>
  <c r="G1271" i="2"/>
  <c r="G1270" i="2"/>
  <c r="G1267" i="2"/>
  <c r="G1262" i="2"/>
  <c r="G1259" i="2"/>
  <c r="G1256" i="2"/>
  <c r="G1255" i="2"/>
  <c r="G1254" i="2"/>
  <c r="G1253" i="2"/>
  <c r="G1252" i="2"/>
  <c r="G1249" i="2"/>
  <c r="G1247" i="2"/>
  <c r="G1244" i="2"/>
  <c r="G1243" i="2"/>
  <c r="G1237" i="2"/>
  <c r="G1235" i="2"/>
  <c r="G1234" i="2"/>
  <c r="G1233" i="2"/>
  <c r="G1231" i="2"/>
  <c r="G1230" i="2"/>
  <c r="G1228" i="2"/>
  <c r="G1225" i="2"/>
  <c r="G1224" i="2"/>
  <c r="G1223" i="2"/>
  <c r="G1220" i="2"/>
  <c r="G1219" i="2"/>
  <c r="G1218" i="2"/>
  <c r="G1217" i="2"/>
  <c r="G1215" i="2"/>
  <c r="G1214" i="2"/>
  <c r="G1212" i="2"/>
  <c r="G1211" i="2"/>
  <c r="G1208" i="2"/>
  <c r="G1204" i="2"/>
  <c r="G1202" i="2"/>
  <c r="G1201" i="2"/>
  <c r="G1196" i="2"/>
  <c r="G1195" i="2"/>
  <c r="G1194" i="2"/>
  <c r="G1193" i="2"/>
  <c r="G1192" i="2"/>
  <c r="G1191" i="2"/>
  <c r="G1190" i="2"/>
  <c r="G1014" i="2"/>
  <c r="G652" i="2"/>
  <c r="G641" i="2"/>
  <c r="G638" i="2"/>
  <c r="G637" i="2"/>
  <c r="G636" i="2"/>
  <c r="G635" i="2"/>
  <c r="G629" i="2"/>
  <c r="G615" i="2"/>
  <c r="G588" i="2"/>
  <c r="G585" i="2"/>
  <c r="G550" i="2"/>
  <c r="G544" i="2"/>
  <c r="G529" i="2"/>
  <c r="G528" i="2"/>
  <c r="G1183" i="2"/>
  <c r="G1182" i="2"/>
  <c r="G1178" i="2"/>
  <c r="G1177" i="2"/>
  <c r="G1176" i="2"/>
  <c r="G1174" i="2"/>
  <c r="G1170" i="2"/>
  <c r="G1168" i="2"/>
  <c r="G1165" i="2"/>
  <c r="G1163" i="2"/>
  <c r="G1162" i="2"/>
  <c r="G1158" i="2"/>
  <c r="G1156" i="2"/>
  <c r="G1155" i="2"/>
  <c r="G1153" i="2"/>
  <c r="G1152" i="2"/>
  <c r="G1151" i="2"/>
  <c r="G1150" i="2"/>
  <c r="G1148" i="2"/>
  <c r="G1147" i="2"/>
  <c r="G1146" i="2"/>
  <c r="G1145" i="2"/>
  <c r="G1144" i="2"/>
  <c r="G1143" i="2"/>
  <c r="G1142" i="2"/>
  <c r="G1140" i="2"/>
  <c r="G1139" i="2"/>
  <c r="G1138" i="2"/>
  <c r="G1136" i="2"/>
  <c r="G1135" i="2"/>
  <c r="G1134" i="2"/>
  <c r="G1130" i="2"/>
  <c r="G1129" i="2"/>
  <c r="G1128" i="2"/>
  <c r="G1127" i="2"/>
  <c r="G1126" i="2"/>
  <c r="G1125" i="2"/>
  <c r="G1124" i="2"/>
  <c r="G1123" i="2"/>
  <c r="G1117" i="2"/>
  <c r="G1116" i="2"/>
  <c r="G1114" i="2"/>
  <c r="G1112" i="2"/>
  <c r="G1108" i="2"/>
  <c r="G1107" i="2"/>
  <c r="G1105" i="2"/>
  <c r="G1104" i="2"/>
  <c r="G1103" i="2"/>
  <c r="G1102" i="2"/>
  <c r="G1101" i="2"/>
  <c r="G1099" i="2"/>
  <c r="G1097" i="2"/>
  <c r="G1096" i="2"/>
  <c r="G1092" i="2"/>
  <c r="G1091" i="2"/>
  <c r="G1090" i="2"/>
  <c r="G1082" i="2"/>
  <c r="G1077" i="2"/>
  <c r="G1076" i="2"/>
  <c r="G1075" i="2"/>
  <c r="G1073" i="2"/>
  <c r="G1070" i="2"/>
  <c r="G1068" i="2"/>
  <c r="G1066" i="2"/>
  <c r="G1065" i="2"/>
  <c r="G1064" i="2"/>
  <c r="G1063" i="2"/>
  <c r="G1062" i="2"/>
  <c r="G1060" i="2"/>
  <c r="G1059" i="2"/>
  <c r="G1050" i="2"/>
  <c r="G1049" i="2"/>
  <c r="G1047" i="2"/>
  <c r="G1044" i="2"/>
  <c r="G1042" i="2"/>
  <c r="G1037" i="2"/>
  <c r="G1034" i="2"/>
  <c r="G1033" i="2"/>
  <c r="G1032" i="2"/>
  <c r="G1031" i="2"/>
  <c r="G1030" i="2"/>
  <c r="G1029" i="2"/>
  <c r="G1027" i="2"/>
  <c r="G1025" i="2"/>
  <c r="G1022" i="2"/>
  <c r="G1021" i="2"/>
  <c r="G1020" i="2"/>
  <c r="G658" i="2"/>
  <c r="G655" i="2"/>
  <c r="G649" i="2"/>
  <c r="G639" i="2"/>
  <c r="G626" i="2"/>
  <c r="G624" i="2"/>
  <c r="G620" i="2"/>
  <c r="G596" i="2"/>
  <c r="G595" i="2"/>
  <c r="G569" i="2"/>
  <c r="G562" i="2"/>
  <c r="G560" i="2"/>
  <c r="G540" i="2"/>
  <c r="G516" i="2"/>
  <c r="G1013" i="2"/>
  <c r="G1011" i="2"/>
  <c r="G1010" i="2"/>
  <c r="G1009" i="2"/>
  <c r="G1008" i="2"/>
  <c r="G1007" i="2"/>
  <c r="G1006" i="2"/>
  <c r="G1005" i="2"/>
  <c r="G1004" i="2"/>
  <c r="G1003" i="2"/>
  <c r="G1002" i="2"/>
  <c r="G999" i="2"/>
  <c r="G998" i="2"/>
  <c r="G997" i="2"/>
  <c r="G996" i="2"/>
  <c r="G994" i="2"/>
  <c r="G992" i="2"/>
  <c r="G991" i="2"/>
  <c r="G990" i="2"/>
  <c r="G989" i="2"/>
  <c r="G988" i="2"/>
  <c r="G987" i="2"/>
  <c r="G986" i="2"/>
  <c r="G984" i="2"/>
  <c r="G983" i="2"/>
  <c r="G982" i="2"/>
  <c r="G979" i="2"/>
  <c r="G978" i="2"/>
  <c r="G977" i="2"/>
  <c r="G976" i="2"/>
  <c r="G975" i="2"/>
  <c r="G974" i="2"/>
  <c r="G973" i="2"/>
  <c r="G972" i="2"/>
  <c r="G971" i="2"/>
  <c r="G969" i="2"/>
  <c r="G968" i="2"/>
  <c r="G961" i="2"/>
  <c r="G960" i="2"/>
  <c r="G958" i="2"/>
  <c r="G954" i="2"/>
  <c r="G950" i="2"/>
  <c r="G949" i="2"/>
  <c r="G948" i="2"/>
  <c r="G947" i="2"/>
  <c r="G944" i="2"/>
  <c r="G943" i="2"/>
  <c r="G942" i="2"/>
  <c r="G941" i="2"/>
  <c r="G938" i="2"/>
  <c r="G934" i="2"/>
  <c r="G933" i="2"/>
  <c r="G929" i="2"/>
  <c r="G928" i="2"/>
  <c r="G924" i="2"/>
  <c r="G921" i="2"/>
  <c r="G920" i="2"/>
  <c r="G919" i="2"/>
  <c r="G918" i="2"/>
  <c r="G916" i="2"/>
  <c r="G914" i="2"/>
  <c r="G913" i="2"/>
  <c r="G912" i="2"/>
  <c r="G910" i="2"/>
  <c r="G909" i="2"/>
  <c r="G906" i="2"/>
  <c r="G903" i="2"/>
  <c r="G902" i="2"/>
  <c r="G900" i="2"/>
  <c r="G899" i="2"/>
  <c r="G897" i="2"/>
  <c r="G892" i="2"/>
  <c r="G891" i="2"/>
  <c r="G888" i="2"/>
  <c r="G886" i="2"/>
  <c r="G885" i="2"/>
  <c r="G883" i="2"/>
  <c r="G880" i="2"/>
  <c r="G879" i="2"/>
  <c r="G878" i="2"/>
  <c r="G872" i="2"/>
  <c r="G870" i="2"/>
  <c r="G869" i="2"/>
  <c r="G867" i="2"/>
  <c r="G866" i="2"/>
  <c r="G865" i="2"/>
  <c r="G864" i="2"/>
  <c r="G863" i="2"/>
  <c r="G862" i="2"/>
  <c r="G861" i="2"/>
  <c r="G856" i="2"/>
  <c r="G855" i="2"/>
  <c r="G854" i="2"/>
  <c r="G851" i="2"/>
  <c r="G850" i="2"/>
  <c r="G849" i="2"/>
  <c r="G848" i="2"/>
  <c r="G847" i="2"/>
  <c r="G846" i="2"/>
  <c r="G660" i="2"/>
  <c r="G657" i="2"/>
  <c r="G646" i="2"/>
  <c r="G631" i="2"/>
  <c r="G618" i="2"/>
  <c r="G617" i="2"/>
  <c r="G605" i="2"/>
  <c r="G599" i="2"/>
  <c r="G598" i="2"/>
  <c r="G572" i="2"/>
  <c r="G548" i="2"/>
  <c r="G547" i="2"/>
  <c r="G545" i="2"/>
  <c r="G538" i="2"/>
  <c r="G536" i="2"/>
  <c r="G521" i="2"/>
  <c r="G844" i="2"/>
  <c r="G843" i="2"/>
  <c r="G842" i="2"/>
  <c r="G841" i="2"/>
  <c r="G840" i="2"/>
  <c r="G839" i="2"/>
  <c r="G838" i="2"/>
  <c r="G836" i="2"/>
  <c r="G835" i="2"/>
  <c r="G834" i="2"/>
  <c r="G833" i="2"/>
  <c r="G832" i="2"/>
  <c r="G831" i="2"/>
  <c r="G830" i="2"/>
  <c r="G828" i="2"/>
  <c r="G827" i="2"/>
  <c r="G824" i="2"/>
  <c r="G822" i="2"/>
  <c r="G820" i="2"/>
  <c r="G819" i="2"/>
  <c r="G817" i="2"/>
  <c r="G816" i="2"/>
  <c r="G815" i="2"/>
  <c r="G814" i="2"/>
  <c r="G813" i="2"/>
  <c r="G811" i="2"/>
  <c r="G810" i="2"/>
  <c r="G809" i="2"/>
  <c r="G805" i="2"/>
  <c r="G803" i="2"/>
  <c r="G802" i="2"/>
  <c r="G801" i="2"/>
  <c r="G799" i="2"/>
  <c r="G798" i="2"/>
  <c r="G797" i="2"/>
  <c r="G794" i="2"/>
  <c r="G793" i="2"/>
  <c r="G792" i="2"/>
  <c r="G787" i="2"/>
  <c r="G786" i="2"/>
  <c r="G785" i="2"/>
  <c r="G781" i="2"/>
  <c r="G780" i="2"/>
  <c r="G779" i="2"/>
  <c r="G778" i="2"/>
  <c r="G775" i="2"/>
  <c r="G774" i="2"/>
  <c r="G772" i="2"/>
  <c r="G771" i="2"/>
  <c r="G770" i="2"/>
  <c r="G769" i="2"/>
  <c r="G768" i="2"/>
  <c r="G767" i="2"/>
  <c r="G766" i="2"/>
  <c r="G765" i="2"/>
  <c r="G764" i="2"/>
  <c r="G759" i="2"/>
  <c r="G758" i="2"/>
  <c r="G757" i="2"/>
  <c r="G755" i="2"/>
  <c r="G754" i="2"/>
  <c r="G753" i="2"/>
  <c r="G752" i="2"/>
  <c r="G751" i="2"/>
  <c r="G749" i="2"/>
  <c r="G748" i="2"/>
  <c r="G745" i="2"/>
  <c r="G740" i="2"/>
  <c r="G738" i="2"/>
  <c r="G737" i="2"/>
  <c r="G734" i="2"/>
  <c r="G732" i="2"/>
  <c r="G731" i="2"/>
  <c r="G730" i="2"/>
  <c r="G729" i="2"/>
  <c r="G727" i="2"/>
  <c r="G725" i="2"/>
  <c r="G723" i="2"/>
  <c r="G722" i="2"/>
  <c r="G721" i="2"/>
  <c r="G718" i="2"/>
  <c r="G717" i="2"/>
  <c r="G716" i="2"/>
  <c r="G714" i="2"/>
  <c r="G712" i="2"/>
  <c r="G709" i="2"/>
  <c r="G708" i="2"/>
  <c r="G703" i="2"/>
  <c r="G702" i="2"/>
  <c r="G701" i="2"/>
  <c r="G700" i="2"/>
  <c r="G699" i="2"/>
  <c r="G698" i="2"/>
  <c r="G697" i="2"/>
  <c r="G696" i="2"/>
  <c r="G694" i="2"/>
  <c r="G693" i="2"/>
  <c r="G690" i="2"/>
  <c r="G687" i="2"/>
  <c r="G685" i="2"/>
  <c r="G683" i="2"/>
  <c r="G681" i="2"/>
  <c r="G680" i="2"/>
  <c r="G679" i="2"/>
  <c r="G678" i="2"/>
  <c r="G676" i="2"/>
  <c r="G675" i="2"/>
  <c r="G674" i="2"/>
  <c r="G673" i="2"/>
  <c r="G672" i="2"/>
  <c r="G671" i="2"/>
  <c r="G654" i="2"/>
  <c r="G625" i="2"/>
  <c r="G590" i="2"/>
  <c r="G579" i="2"/>
  <c r="G570" i="2"/>
  <c r="G563" i="2"/>
  <c r="G555" i="2"/>
  <c r="G553" i="2"/>
  <c r="G542" i="2"/>
  <c r="G541" i="2"/>
  <c r="G532" i="2"/>
  <c r="G523" i="2"/>
  <c r="G513" i="2"/>
  <c r="G505" i="2"/>
  <c r="G504" i="2"/>
  <c r="G503" i="2"/>
  <c r="G501" i="2"/>
  <c r="G500" i="2"/>
  <c r="G498" i="2"/>
  <c r="G496" i="2"/>
  <c r="G495" i="2"/>
  <c r="G494" i="2"/>
  <c r="G493" i="2"/>
  <c r="G492" i="2"/>
  <c r="G491" i="2"/>
  <c r="G490" i="2"/>
  <c r="G485" i="2"/>
  <c r="G484" i="2"/>
  <c r="G483" i="2"/>
  <c r="G472" i="2"/>
  <c r="G471" i="2"/>
  <c r="G470" i="2"/>
  <c r="G469" i="2"/>
  <c r="G468" i="2"/>
  <c r="G467" i="2"/>
  <c r="G463" i="2"/>
  <c r="G462" i="2"/>
  <c r="G461" i="2"/>
  <c r="G460" i="2"/>
  <c r="G459" i="2"/>
  <c r="G458" i="2"/>
  <c r="G457" i="2"/>
  <c r="G455" i="2"/>
  <c r="G454" i="2"/>
  <c r="G453" i="2"/>
  <c r="G451" i="2"/>
  <c r="G450" i="2"/>
  <c r="G449" i="2"/>
  <c r="G447" i="2"/>
  <c r="G446" i="2"/>
  <c r="G444" i="2"/>
  <c r="G441" i="2"/>
  <c r="G440" i="2"/>
  <c r="G439" i="2"/>
  <c r="G438" i="2"/>
  <c r="G436" i="2"/>
  <c r="G433" i="2"/>
  <c r="G432" i="2"/>
  <c r="G429" i="2"/>
  <c r="G428" i="2"/>
  <c r="G427" i="2"/>
  <c r="G426" i="2"/>
  <c r="G424" i="2"/>
  <c r="G420" i="2"/>
  <c r="G419" i="2"/>
  <c r="G418" i="2"/>
  <c r="G416" i="2"/>
  <c r="G414" i="2"/>
  <c r="G412" i="2"/>
  <c r="G411" i="2"/>
  <c r="G410" i="2"/>
  <c r="G408" i="2"/>
  <c r="G407" i="2"/>
  <c r="G406" i="2"/>
  <c r="G404" i="2"/>
  <c r="G403" i="2"/>
  <c r="G400" i="2"/>
  <c r="G399" i="2"/>
  <c r="G395" i="2"/>
  <c r="G393" i="2"/>
  <c r="G387" i="2"/>
  <c r="G386" i="2"/>
  <c r="G385" i="2"/>
  <c r="G381" i="2"/>
  <c r="G380" i="2"/>
  <c r="G379" i="2"/>
  <c r="G375" i="2"/>
  <c r="G371" i="2"/>
  <c r="G369" i="2"/>
  <c r="G368" i="2"/>
  <c r="G366" i="2"/>
  <c r="G364" i="2"/>
  <c r="G359" i="2"/>
  <c r="G358" i="2"/>
  <c r="G357" i="2"/>
  <c r="G356" i="2"/>
  <c r="G355" i="2"/>
  <c r="G349" i="2"/>
  <c r="G345" i="2"/>
  <c r="G343" i="2"/>
  <c r="G342" i="2"/>
  <c r="G341" i="2"/>
  <c r="G340" i="2"/>
  <c r="G339" i="2"/>
  <c r="G338" i="2"/>
  <c r="G182" i="2"/>
  <c r="G1529" i="2"/>
  <c r="G1525" i="2"/>
  <c r="G1520" i="2"/>
  <c r="G336" i="2"/>
  <c r="G334" i="2"/>
  <c r="G332" i="2"/>
  <c r="G331" i="2"/>
  <c r="G330" i="2"/>
  <c r="G327" i="2"/>
  <c r="G326" i="2"/>
  <c r="G324" i="2"/>
  <c r="G322" i="2"/>
  <c r="G321" i="2"/>
  <c r="G320" i="2"/>
  <c r="G317" i="2"/>
  <c r="G315" i="2"/>
  <c r="G314" i="2"/>
  <c r="G311" i="2"/>
  <c r="G310" i="2"/>
  <c r="G309" i="2"/>
  <c r="G305" i="2"/>
  <c r="G304" i="2"/>
  <c r="G303" i="2"/>
  <c r="G299" i="2"/>
  <c r="G296" i="2"/>
  <c r="G295" i="2"/>
  <c r="G294" i="2"/>
  <c r="G292" i="2"/>
  <c r="G291" i="2"/>
  <c r="G290" i="2"/>
  <c r="G288" i="2"/>
  <c r="G287" i="2"/>
  <c r="G286" i="2"/>
  <c r="G284" i="2"/>
  <c r="G283" i="2"/>
  <c r="G281" i="2"/>
  <c r="G280" i="2"/>
  <c r="G279" i="2"/>
  <c r="G278" i="2"/>
  <c r="G277" i="2"/>
  <c r="G276" i="2"/>
  <c r="G275" i="2"/>
  <c r="G274" i="2"/>
  <c r="G273" i="2"/>
  <c r="G272" i="2"/>
  <c r="G271" i="2"/>
  <c r="G269" i="2"/>
  <c r="G268" i="2"/>
  <c r="G263" i="2"/>
  <c r="G260" i="2"/>
  <c r="G257" i="2"/>
  <c r="G253" i="2"/>
  <c r="G252" i="2"/>
  <c r="G251" i="2"/>
  <c r="G248" i="2"/>
  <c r="G247" i="2"/>
  <c r="G246" i="2"/>
  <c r="G243" i="2"/>
  <c r="G242" i="2"/>
  <c r="G241" i="2"/>
  <c r="G240" i="2"/>
  <c r="G238" i="2"/>
  <c r="G231" i="2"/>
  <c r="G222" i="2"/>
  <c r="G217" i="2"/>
  <c r="G213" i="2"/>
  <c r="G212" i="2"/>
  <c r="G210" i="2"/>
  <c r="G209" i="2"/>
  <c r="G208" i="2"/>
  <c r="G206" i="2"/>
  <c r="G202" i="2"/>
  <c r="G201" i="2"/>
  <c r="G200" i="2"/>
  <c r="G199" i="2"/>
  <c r="G197" i="2"/>
  <c r="G196" i="2"/>
  <c r="G195" i="2"/>
  <c r="G194" i="2"/>
  <c r="G193" i="2"/>
  <c r="G188" i="2"/>
  <c r="G186" i="2"/>
  <c r="G185" i="2"/>
  <c r="G184" i="2"/>
  <c r="G183" i="2"/>
  <c r="G181" i="2"/>
  <c r="G176" i="2"/>
  <c r="G1515" i="2"/>
  <c r="G173" i="2"/>
  <c r="G172" i="2"/>
  <c r="G171" i="2"/>
  <c r="G169" i="2"/>
  <c r="G168" i="2"/>
  <c r="G167" i="2"/>
  <c r="G166" i="2"/>
  <c r="G165" i="2"/>
  <c r="G164" i="2"/>
  <c r="G163" i="2"/>
  <c r="G162" i="2"/>
  <c r="G161" i="2"/>
  <c r="G160" i="2"/>
  <c r="G157" i="2"/>
  <c r="G156" i="2"/>
  <c r="G155" i="2"/>
  <c r="G143" i="2"/>
  <c r="G142" i="2"/>
  <c r="G140" i="2"/>
  <c r="G138" i="2"/>
  <c r="G137" i="2"/>
  <c r="G136" i="2"/>
  <c r="G135" i="2"/>
  <c r="G133" i="2"/>
  <c r="G129" i="2"/>
  <c r="G126" i="2"/>
  <c r="G125" i="2"/>
  <c r="G124" i="2"/>
  <c r="G122" i="2"/>
  <c r="G116" i="2"/>
  <c r="G114" i="2"/>
  <c r="G112" i="2"/>
  <c r="G108" i="2"/>
  <c r="G107" i="2"/>
  <c r="G105" i="2"/>
  <c r="G103" i="2"/>
  <c r="G102" i="2"/>
  <c r="G101" i="2"/>
  <c r="G99" i="2"/>
  <c r="G98" i="2"/>
  <c r="G97" i="2"/>
  <c r="G96" i="2"/>
  <c r="G95" i="2"/>
  <c r="G94" i="2"/>
  <c r="G92" i="2"/>
  <c r="G91" i="2"/>
  <c r="G90" i="2"/>
  <c r="G89" i="2"/>
  <c r="G88" i="2"/>
  <c r="G87" i="2"/>
  <c r="G85" i="2"/>
  <c r="G84" i="2"/>
  <c r="G81" i="2"/>
  <c r="G75" i="2"/>
  <c r="G73" i="2"/>
  <c r="G72" i="2"/>
  <c r="G71" i="2"/>
  <c r="G70" i="2"/>
  <c r="G69" i="2"/>
  <c r="G68" i="2"/>
  <c r="G67" i="2"/>
  <c r="G64" i="2"/>
  <c r="G61" i="2"/>
  <c r="G59" i="2"/>
  <c r="G58" i="2"/>
  <c r="G57" i="2"/>
  <c r="G56" i="2"/>
  <c r="G53" i="2"/>
  <c r="G52" i="2"/>
  <c r="G51" i="2"/>
  <c r="G50" i="2"/>
  <c r="G47" i="2"/>
  <c r="G45" i="2"/>
  <c r="G42" i="2"/>
  <c r="G41" i="2"/>
  <c r="G40" i="2"/>
  <c r="G38" i="2"/>
  <c r="G36" i="2"/>
  <c r="G35" i="2"/>
  <c r="G29" i="2"/>
  <c r="G28" i="2"/>
  <c r="G27" i="2"/>
  <c r="G25" i="2"/>
  <c r="G24" i="2"/>
  <c r="G23" i="2"/>
  <c r="G22" i="2"/>
  <c r="G21" i="2"/>
  <c r="G20" i="2"/>
  <c r="G19" i="2"/>
  <c r="G17" i="2"/>
  <c r="G16" i="2"/>
  <c r="G15" i="2"/>
  <c r="G14" i="2"/>
  <c r="G10" i="2"/>
  <c r="G9" i="2"/>
  <c r="B18" i="1"/>
  <c r="N2006" i="2"/>
  <c r="O2006" i="2"/>
  <c r="N2005" i="2"/>
  <c r="O2005" i="2"/>
  <c r="N2004" i="2"/>
  <c r="O2004" i="2"/>
  <c r="N2003" i="2"/>
  <c r="O2003" i="2"/>
  <c r="N2002" i="2"/>
  <c r="O2002" i="2"/>
  <c r="N1999" i="2"/>
  <c r="O1999" i="2"/>
  <c r="N1998" i="2"/>
  <c r="O1998" i="2"/>
  <c r="N1997" i="2"/>
  <c r="O1997" i="2"/>
  <c r="N1996" i="2"/>
  <c r="O1996" i="2"/>
  <c r="N1994" i="2"/>
  <c r="O1994" i="2"/>
  <c r="N1991" i="2"/>
  <c r="O1991" i="2"/>
  <c r="N1990" i="2"/>
  <c r="O1990" i="2"/>
  <c r="N1989" i="2"/>
  <c r="O1989" i="2"/>
  <c r="T1989" i="2" s="1"/>
  <c r="U1989" i="2" s="1"/>
  <c r="N1988" i="2"/>
  <c r="O1988" i="2"/>
  <c r="T1988" i="2" s="1"/>
  <c r="U1988" i="2" s="1"/>
  <c r="N1987" i="2"/>
  <c r="O1987" i="2"/>
  <c r="N1986" i="2"/>
  <c r="O1986" i="2"/>
  <c r="N1985" i="2"/>
  <c r="O1985" i="2"/>
  <c r="N1984" i="2"/>
  <c r="O1984" i="2"/>
  <c r="N1983" i="2"/>
  <c r="O1983" i="2"/>
  <c r="N1982" i="2"/>
  <c r="O1982" i="2"/>
  <c r="T1982" i="2" s="1"/>
  <c r="U1982" i="2" s="1"/>
  <c r="N1981" i="2"/>
  <c r="O1981" i="2"/>
  <c r="N1978" i="2"/>
  <c r="O1978" i="2"/>
  <c r="N1977" i="2"/>
  <c r="O1977" i="2"/>
  <c r="T1977" i="2" s="1"/>
  <c r="U1977" i="2" s="1"/>
  <c r="N1974" i="2"/>
  <c r="O1974" i="2"/>
  <c r="T1974" i="2" s="1"/>
  <c r="U1974" i="2" s="1"/>
  <c r="N1971" i="2"/>
  <c r="O1971" i="2"/>
  <c r="N1967" i="2"/>
  <c r="O1967" i="2"/>
  <c r="N1965" i="2"/>
  <c r="O1965" i="2"/>
  <c r="N1963" i="2"/>
  <c r="O1963" i="2"/>
  <c r="T1963" i="2" s="1"/>
  <c r="U1963" i="2" s="1"/>
  <c r="N1960" i="2"/>
  <c r="O1960" i="2"/>
  <c r="N1959" i="2"/>
  <c r="O1959" i="2"/>
  <c r="T1959" i="2" s="1"/>
  <c r="U1959" i="2" s="1"/>
  <c r="N1958" i="2"/>
  <c r="O1958" i="2"/>
  <c r="N1956" i="2"/>
  <c r="O1956" i="2"/>
  <c r="N1954" i="2"/>
  <c r="O1954" i="2"/>
  <c r="N1953" i="2"/>
  <c r="O1953" i="2"/>
  <c r="N1952" i="2"/>
  <c r="O1952" i="2"/>
  <c r="N1949" i="2"/>
  <c r="O1949" i="2"/>
  <c r="N1947" i="2"/>
  <c r="O1947" i="2"/>
  <c r="N1945" i="2"/>
  <c r="O1945" i="2"/>
  <c r="N1944" i="2"/>
  <c r="O1944" i="2"/>
  <c r="N1941" i="2"/>
  <c r="O1941" i="2"/>
  <c r="T1941" i="2" s="1"/>
  <c r="U1941" i="2" s="1"/>
  <c r="N1940" i="2"/>
  <c r="O1940" i="2"/>
  <c r="T1940" i="2" s="1"/>
  <c r="U1940" i="2" s="1"/>
  <c r="N1939" i="2"/>
  <c r="O1939" i="2"/>
  <c r="N1938" i="2"/>
  <c r="O1938" i="2"/>
  <c r="N1937" i="2"/>
  <c r="O1937" i="2"/>
  <c r="N1935" i="2"/>
  <c r="O1935" i="2"/>
  <c r="N1934" i="2"/>
  <c r="O1934" i="2"/>
  <c r="T1934" i="2" s="1"/>
  <c r="U1934" i="2" s="1"/>
  <c r="N1932" i="2"/>
  <c r="O1932" i="2"/>
  <c r="N1929" i="2"/>
  <c r="O1929" i="2"/>
  <c r="N1923" i="2"/>
  <c r="O1923" i="2"/>
  <c r="N1922" i="2"/>
  <c r="O1922" i="2"/>
  <c r="T1922" i="2" s="1"/>
  <c r="U1922" i="2" s="1"/>
  <c r="N1920" i="2"/>
  <c r="O1920" i="2"/>
  <c r="T1920" i="2" s="1"/>
  <c r="U1920" i="2" s="1"/>
  <c r="N1917" i="2"/>
  <c r="O1917" i="2"/>
  <c r="T1917" i="2" s="1"/>
  <c r="U1917" i="2" s="1"/>
  <c r="N1916" i="2"/>
  <c r="O1916" i="2"/>
  <c r="N1915" i="2"/>
  <c r="O1915" i="2"/>
  <c r="T1915" i="2" s="1"/>
  <c r="U1915" i="2" s="1"/>
  <c r="N1914" i="2"/>
  <c r="O1914" i="2"/>
  <c r="N1912" i="2"/>
  <c r="O1912" i="2"/>
  <c r="N1911" i="2"/>
  <c r="O1911" i="2"/>
  <c r="N1907" i="2"/>
  <c r="O1907" i="2"/>
  <c r="N1906" i="2"/>
  <c r="O1906" i="2"/>
  <c r="N1897" i="2"/>
  <c r="O1897" i="2"/>
  <c r="N1896" i="2"/>
  <c r="O1896" i="2"/>
  <c r="T1896" i="2" s="1"/>
  <c r="U1896" i="2" s="1"/>
  <c r="N1893" i="2"/>
  <c r="O1893" i="2"/>
  <c r="N1892" i="2"/>
  <c r="O1892" i="2"/>
  <c r="N1891" i="2"/>
  <c r="O1891" i="2"/>
  <c r="N1889" i="2"/>
  <c r="O1889" i="2"/>
  <c r="N1884" i="2"/>
  <c r="O1884" i="2"/>
  <c r="N1883" i="2"/>
  <c r="O1883" i="2"/>
  <c r="N1880" i="2"/>
  <c r="O1880" i="2"/>
  <c r="N1879" i="2"/>
  <c r="O1879" i="2"/>
  <c r="T1879" i="2" s="1"/>
  <c r="U1879" i="2" s="1"/>
  <c r="N1877" i="2"/>
  <c r="O1877" i="2"/>
  <c r="T1877" i="2" s="1"/>
  <c r="U1877" i="2" s="1"/>
  <c r="N1876" i="2"/>
  <c r="O1876" i="2"/>
  <c r="N1874" i="2"/>
  <c r="O1874" i="2"/>
  <c r="N1872" i="2"/>
  <c r="O1872" i="2"/>
  <c r="N1871" i="2"/>
  <c r="O1871" i="2"/>
  <c r="N1869" i="2"/>
  <c r="O1869" i="2"/>
  <c r="N1868" i="2"/>
  <c r="O1868" i="2"/>
  <c r="T1868" i="2" s="1"/>
  <c r="U1868" i="2" s="1"/>
  <c r="N1866" i="2"/>
  <c r="O1866" i="2"/>
  <c r="T1866" i="2" s="1"/>
  <c r="U1866" i="2" s="1"/>
  <c r="N1865" i="2"/>
  <c r="O1865" i="2"/>
  <c r="N1860" i="2"/>
  <c r="O1860" i="2"/>
  <c r="T1860" i="2" s="1"/>
  <c r="U1860" i="2" s="1"/>
  <c r="N1859" i="2"/>
  <c r="O1859" i="2"/>
  <c r="N1857" i="2"/>
  <c r="O1857" i="2"/>
  <c r="N1856" i="2"/>
  <c r="O1856" i="2"/>
  <c r="N1853" i="2"/>
  <c r="O1853" i="2"/>
  <c r="T1853" i="2" s="1"/>
  <c r="U1853" i="2" s="1"/>
  <c r="V1853" i="2"/>
  <c r="N1852" i="2"/>
  <c r="O1852" i="2"/>
  <c r="N1850" i="2"/>
  <c r="O1850" i="2"/>
  <c r="T1850" i="2" s="1"/>
  <c r="U1850" i="2" s="1"/>
  <c r="N1849" i="2"/>
  <c r="O1849" i="2"/>
  <c r="N1847" i="2"/>
  <c r="O1847" i="2"/>
  <c r="N1843" i="2"/>
  <c r="O1843" i="2"/>
  <c r="N1841" i="2"/>
  <c r="O1841" i="2"/>
  <c r="N1840" i="2"/>
  <c r="O1840" i="2"/>
  <c r="N1839" i="2"/>
  <c r="O1839" i="2"/>
  <c r="N1838" i="2"/>
  <c r="O1838" i="2"/>
  <c r="N1837" i="2"/>
  <c r="O1837" i="2"/>
  <c r="N1836" i="2"/>
  <c r="O1836" i="2"/>
  <c r="N1835" i="2"/>
  <c r="O1835" i="2"/>
  <c r="T1835" i="2" s="1"/>
  <c r="U1835" i="2" s="1"/>
  <c r="N1834" i="2"/>
  <c r="O1834" i="2"/>
  <c r="N1833" i="2"/>
  <c r="O1833" i="2"/>
  <c r="T1833" i="2" s="1"/>
  <c r="U1833" i="2" s="1"/>
  <c r="N1832" i="2"/>
  <c r="O1832" i="2"/>
  <c r="T1832" i="2" s="1"/>
  <c r="U1832" i="2" s="1"/>
  <c r="N1829" i="2"/>
  <c r="O1829" i="2"/>
  <c r="N1826" i="2"/>
  <c r="O1826" i="2"/>
  <c r="N1824" i="2"/>
  <c r="O1824" i="2"/>
  <c r="N1822" i="2"/>
  <c r="O1822" i="2"/>
  <c r="N1817" i="2"/>
  <c r="O1817" i="2"/>
  <c r="N1816" i="2"/>
  <c r="O1816" i="2"/>
  <c r="N1813" i="2"/>
  <c r="O1813" i="2"/>
  <c r="T1813" i="2" s="1"/>
  <c r="U1813" i="2" s="1"/>
  <c r="N1811" i="2"/>
  <c r="O1811" i="2"/>
  <c r="N1810" i="2"/>
  <c r="O1810" i="2"/>
  <c r="N1808" i="2"/>
  <c r="O1808" i="2"/>
  <c r="N1807" i="2"/>
  <c r="O1807" i="2"/>
  <c r="N1805" i="2"/>
  <c r="O1805" i="2"/>
  <c r="N1804" i="2"/>
  <c r="O1804" i="2"/>
  <c r="N1801" i="2"/>
  <c r="O1801" i="2"/>
  <c r="N1799" i="2"/>
  <c r="O1799" i="2"/>
  <c r="N1798" i="2"/>
  <c r="O1798" i="2"/>
  <c r="N1797" i="2"/>
  <c r="O1797" i="2"/>
  <c r="N1793" i="2"/>
  <c r="O1793" i="2"/>
  <c r="N1791" i="2"/>
  <c r="O1791" i="2"/>
  <c r="N1790" i="2"/>
  <c r="O1790" i="2"/>
  <c r="N1789" i="2"/>
  <c r="O1789" i="2"/>
  <c r="N1787" i="2"/>
  <c r="O1787" i="2"/>
  <c r="N1783" i="2"/>
  <c r="O1783" i="2"/>
  <c r="N1782" i="2"/>
  <c r="O1782" i="2"/>
  <c r="N1777" i="2"/>
  <c r="O1777" i="2"/>
  <c r="N1776" i="2"/>
  <c r="O1776" i="2"/>
  <c r="N1775" i="2"/>
  <c r="O1775" i="2"/>
  <c r="N1774" i="2"/>
  <c r="O1774" i="2"/>
  <c r="N1773" i="2"/>
  <c r="O1773" i="2"/>
  <c r="N1771" i="2"/>
  <c r="O1771" i="2"/>
  <c r="N1769" i="2"/>
  <c r="O1769" i="2"/>
  <c r="N1768" i="2"/>
  <c r="O1768" i="2"/>
  <c r="N1767" i="2"/>
  <c r="O1767" i="2"/>
  <c r="N1766" i="2"/>
  <c r="O1766" i="2"/>
  <c r="N1765" i="2"/>
  <c r="O1765" i="2"/>
  <c r="N1764" i="2"/>
  <c r="O1764" i="2"/>
  <c r="N1763" i="2"/>
  <c r="O1763" i="2"/>
  <c r="N1762" i="2"/>
  <c r="O1762" i="2"/>
  <c r="N1760" i="2"/>
  <c r="O1760" i="2"/>
  <c r="N1759" i="2"/>
  <c r="O1759" i="2"/>
  <c r="N1754" i="2"/>
  <c r="O1754" i="2"/>
  <c r="N1750" i="2"/>
  <c r="O1750" i="2"/>
  <c r="T1750" i="2" s="1"/>
  <c r="U1750" i="2" s="1"/>
  <c r="N1746" i="2"/>
  <c r="O1746" i="2"/>
  <c r="N1745" i="2"/>
  <c r="O1745" i="2"/>
  <c r="N1741" i="2"/>
  <c r="O1741" i="2"/>
  <c r="N1740" i="2"/>
  <c r="O1740" i="2"/>
  <c r="N1737" i="2"/>
  <c r="O1737" i="2"/>
  <c r="N1733" i="2"/>
  <c r="O1733" i="2"/>
  <c r="N1732" i="2"/>
  <c r="O1732" i="2"/>
  <c r="N1730" i="2"/>
  <c r="O1730" i="2"/>
  <c r="N1729" i="2"/>
  <c r="O1729" i="2"/>
  <c r="N1728" i="2"/>
  <c r="O1728" i="2"/>
  <c r="T1728" i="2" s="1"/>
  <c r="U1728" i="2" s="1"/>
  <c r="N1727" i="2"/>
  <c r="O1727" i="2"/>
  <c r="N1726" i="2"/>
  <c r="O1726" i="2"/>
  <c r="N1724" i="2"/>
  <c r="O1724" i="2"/>
  <c r="T1724" i="2" s="1"/>
  <c r="U1724" i="2" s="1"/>
  <c r="N1723" i="2"/>
  <c r="O1723" i="2"/>
  <c r="N1722" i="2"/>
  <c r="O1722" i="2"/>
  <c r="N1719" i="2"/>
  <c r="O1719" i="2"/>
  <c r="N1718" i="2"/>
  <c r="O1718" i="2"/>
  <c r="N1716" i="2"/>
  <c r="O1716" i="2"/>
  <c r="N1715" i="2"/>
  <c r="O1715" i="2"/>
  <c r="N1714" i="2"/>
  <c r="O1714" i="2"/>
  <c r="N1712" i="2"/>
  <c r="O1712" i="2"/>
  <c r="N1710" i="2"/>
  <c r="O1710" i="2"/>
  <c r="N1707" i="2"/>
  <c r="O1707" i="2"/>
  <c r="N1705" i="2"/>
  <c r="O1705" i="2"/>
  <c r="N1704" i="2"/>
  <c r="O1704" i="2"/>
  <c r="N1702" i="2"/>
  <c r="O1702" i="2"/>
  <c r="N1700" i="2"/>
  <c r="O1700" i="2"/>
  <c r="N1697" i="2"/>
  <c r="O1697" i="2"/>
  <c r="N1696" i="2"/>
  <c r="O1696" i="2"/>
  <c r="N1695" i="2"/>
  <c r="O1695" i="2"/>
  <c r="N1693" i="2"/>
  <c r="O1693" i="2"/>
  <c r="N1692" i="2"/>
  <c r="O1692" i="2"/>
  <c r="N1691" i="2"/>
  <c r="O1691" i="2"/>
  <c r="N1690" i="2"/>
  <c r="O1690" i="2"/>
  <c r="N1689" i="2"/>
  <c r="O1689" i="2"/>
  <c r="N1687" i="2"/>
  <c r="O1687" i="2"/>
  <c r="N1685" i="2"/>
  <c r="O1685" i="2"/>
  <c r="N1682" i="2"/>
  <c r="O1682" i="2"/>
  <c r="T1682" i="2" s="1"/>
  <c r="U1682" i="2" s="1"/>
  <c r="N1681" i="2"/>
  <c r="O1681" i="2"/>
  <c r="N1679" i="2"/>
  <c r="O1679" i="2"/>
  <c r="N1678" i="2"/>
  <c r="O1678" i="2"/>
  <c r="N1677" i="2"/>
  <c r="O1677" i="2"/>
  <c r="N1676" i="2"/>
  <c r="O1676" i="2"/>
  <c r="N1675" i="2"/>
  <c r="O1675" i="2"/>
  <c r="N1674" i="2"/>
  <c r="O1674" i="2"/>
  <c r="N1673" i="2"/>
  <c r="O1673" i="2"/>
  <c r="N1672" i="2"/>
  <c r="O1672" i="2"/>
  <c r="N1668" i="2"/>
  <c r="O1668" i="2"/>
  <c r="N1667" i="2"/>
  <c r="O1667" i="2"/>
  <c r="N1664" i="2"/>
  <c r="O1664" i="2"/>
  <c r="N1661" i="2"/>
  <c r="O1661" i="2"/>
  <c r="N1659" i="2"/>
  <c r="O1659" i="2"/>
  <c r="N1658" i="2"/>
  <c r="O1658" i="2"/>
  <c r="N1657" i="2"/>
  <c r="O1657" i="2"/>
  <c r="T1657" i="2" s="1"/>
  <c r="U1657" i="2" s="1"/>
  <c r="N1656" i="2"/>
  <c r="O1656" i="2"/>
  <c r="T1656" i="2" s="1"/>
  <c r="U1656" i="2" s="1"/>
  <c r="N1653" i="2"/>
  <c r="O1653" i="2"/>
  <c r="N1652" i="2"/>
  <c r="O1652" i="2"/>
  <c r="T1652" i="2" s="1"/>
  <c r="U1652" i="2" s="1"/>
  <c r="N1649" i="2"/>
  <c r="O1649" i="2"/>
  <c r="T1649" i="2" s="1"/>
  <c r="U1649" i="2" s="1"/>
  <c r="N1647" i="2"/>
  <c r="O1647" i="2"/>
  <c r="T1647" i="2" s="1"/>
  <c r="U1647" i="2" s="1"/>
  <c r="N1645" i="2"/>
  <c r="O1645" i="2"/>
  <c r="N1640" i="2"/>
  <c r="O1640" i="2"/>
  <c r="N1638" i="2"/>
  <c r="O1638" i="2"/>
  <c r="T1638" i="2" s="1"/>
  <c r="U1638" i="2" s="1"/>
  <c r="N1637" i="2"/>
  <c r="O1637" i="2"/>
  <c r="N1636" i="2"/>
  <c r="O1636" i="2"/>
  <c r="N1635" i="2"/>
  <c r="O1635" i="2"/>
  <c r="N1634" i="2"/>
  <c r="O1634" i="2"/>
  <c r="T1634" i="2" s="1"/>
  <c r="U1634" i="2" s="1"/>
  <c r="N1632" i="2"/>
  <c r="O1632" i="2"/>
  <c r="T1632" i="2" s="1"/>
  <c r="U1632" i="2" s="1"/>
  <c r="N1631" i="2"/>
  <c r="O1631" i="2"/>
  <c r="N1628" i="2"/>
  <c r="O1628" i="2"/>
  <c r="T1628" i="2" s="1"/>
  <c r="U1628" i="2" s="1"/>
  <c r="N1626" i="2"/>
  <c r="O1626" i="2"/>
  <c r="N1625" i="2"/>
  <c r="O1625" i="2"/>
  <c r="N1623" i="2"/>
  <c r="O1623" i="2"/>
  <c r="N1622" i="2"/>
  <c r="O1622" i="2"/>
  <c r="T1622" i="2" s="1"/>
  <c r="U1622" i="2" s="1"/>
  <c r="N1621" i="2"/>
  <c r="O1621" i="2"/>
  <c r="N1619" i="2"/>
  <c r="O1619" i="2"/>
  <c r="N1617" i="2"/>
  <c r="O1617" i="2"/>
  <c r="T1617" i="2" s="1"/>
  <c r="U1617" i="2" s="1"/>
  <c r="N1616" i="2"/>
  <c r="O1616" i="2"/>
  <c r="T1616" i="2" s="1"/>
  <c r="U1616" i="2" s="1"/>
  <c r="N1612" i="2"/>
  <c r="O1612" i="2"/>
  <c r="T1612" i="2" s="1"/>
  <c r="U1612" i="2" s="1"/>
  <c r="N1611" i="2"/>
  <c r="O1611" i="2"/>
  <c r="N1609" i="2"/>
  <c r="O1609" i="2"/>
  <c r="T1609" i="2" s="1"/>
  <c r="U1609" i="2" s="1"/>
  <c r="N1608" i="2"/>
  <c r="O1608" i="2"/>
  <c r="T1608" i="2" s="1"/>
  <c r="U1608" i="2" s="1"/>
  <c r="N1607" i="2"/>
  <c r="O1607" i="2"/>
  <c r="N1605" i="2"/>
  <c r="O1605" i="2"/>
  <c r="T1605" i="2" s="1"/>
  <c r="U1605" i="2" s="1"/>
  <c r="N1604" i="2"/>
  <c r="O1604" i="2"/>
  <c r="T1604" i="2" s="1"/>
  <c r="U1604" i="2" s="1"/>
  <c r="N1600" i="2"/>
  <c r="O1600" i="2"/>
  <c r="N1599" i="2"/>
  <c r="O1599" i="2"/>
  <c r="N1593" i="2"/>
  <c r="O1593" i="2"/>
  <c r="T1593" i="2" s="1"/>
  <c r="U1593" i="2" s="1"/>
  <c r="V1592" i="2"/>
  <c r="T1592" i="2"/>
  <c r="U1592" i="2" s="1"/>
  <c r="V1591" i="2"/>
  <c r="T1591" i="2"/>
  <c r="U1591" i="2" s="1"/>
  <c r="N1590" i="2"/>
  <c r="O1590" i="2"/>
  <c r="T1590" i="2" s="1"/>
  <c r="U1590" i="2" s="1"/>
  <c r="V1590" i="2"/>
  <c r="N1589" i="2"/>
  <c r="O1589" i="2"/>
  <c r="V1588" i="2"/>
  <c r="T1588" i="2"/>
  <c r="U1588" i="2" s="1"/>
  <c r="N1587" i="2"/>
  <c r="O1587" i="2"/>
  <c r="N1586" i="2"/>
  <c r="O1586" i="2"/>
  <c r="N1585" i="2"/>
  <c r="O1585" i="2"/>
  <c r="N1584" i="2"/>
  <c r="O1584" i="2"/>
  <c r="N1583" i="2"/>
  <c r="O1583" i="2"/>
  <c r="N1581" i="2"/>
  <c r="O1581" i="2"/>
  <c r="T1581" i="2" s="1"/>
  <c r="U1581" i="2" s="1"/>
  <c r="V1581" i="2"/>
  <c r="N1579" i="2"/>
  <c r="O1579" i="2"/>
  <c r="V1578" i="2"/>
  <c r="T1578" i="2"/>
  <c r="U1578" i="2" s="1"/>
  <c r="V1577" i="2"/>
  <c r="T1577" i="2"/>
  <c r="U1577" i="2" s="1"/>
  <c r="N1575" i="2"/>
  <c r="O1575" i="2"/>
  <c r="V1574" i="2"/>
  <c r="T1574" i="2"/>
  <c r="U1574" i="2" s="1"/>
  <c r="N1573" i="2"/>
  <c r="O1573" i="2"/>
  <c r="T1573" i="2" s="1"/>
  <c r="U1573" i="2" s="1"/>
  <c r="V1573" i="2"/>
  <c r="N1572" i="2"/>
  <c r="O1572" i="2"/>
  <c r="N1571" i="2"/>
  <c r="O1571" i="2"/>
  <c r="N1569" i="2"/>
  <c r="O1569" i="2"/>
  <c r="N1568" i="2"/>
  <c r="O1568" i="2"/>
  <c r="N1567" i="2"/>
  <c r="O1567" i="2"/>
  <c r="V1567" i="2"/>
  <c r="N1566" i="2"/>
  <c r="O1566" i="2"/>
  <c r="N1565" i="2"/>
  <c r="O1565" i="2"/>
  <c r="N1564" i="2"/>
  <c r="O1564" i="2"/>
  <c r="N1563" i="2"/>
  <c r="O1563" i="2"/>
  <c r="V1560" i="2"/>
  <c r="T1560" i="2"/>
  <c r="U1560" i="2" s="1"/>
  <c r="V1559" i="2"/>
  <c r="T1559" i="2"/>
  <c r="U1559" i="2" s="1"/>
  <c r="N1558" i="2"/>
  <c r="O1558" i="2"/>
  <c r="V1556" i="2"/>
  <c r="T1556" i="2"/>
  <c r="U1556" i="2" s="1"/>
  <c r="N1553" i="2"/>
  <c r="O1553" i="2"/>
  <c r="N1551" i="2"/>
  <c r="O1551" i="2"/>
  <c r="N1550" i="2"/>
  <c r="O1550" i="2"/>
  <c r="N1549" i="2"/>
  <c r="O1549" i="2"/>
  <c r="N1548" i="2"/>
  <c r="O1548" i="2"/>
  <c r="V1548" i="2"/>
  <c r="N1547" i="2"/>
  <c r="O1547" i="2"/>
  <c r="N1546" i="2"/>
  <c r="O1546" i="2"/>
  <c r="T1546" i="2" s="1"/>
  <c r="U1546" i="2" s="1"/>
  <c r="V1546" i="2"/>
  <c r="N1544" i="2"/>
  <c r="O1544" i="2"/>
  <c r="T1544" i="2" s="1"/>
  <c r="U1544" i="2" s="1"/>
  <c r="V1544" i="2"/>
  <c r="N1543" i="2"/>
  <c r="O1543" i="2"/>
  <c r="V1543" i="2"/>
  <c r="N1542" i="2"/>
  <c r="O1542" i="2"/>
  <c r="N1541" i="2"/>
  <c r="O1541" i="2"/>
  <c r="V1540" i="2"/>
  <c r="T1540" i="2"/>
  <c r="U1540" i="2" s="1"/>
  <c r="N1539" i="2"/>
  <c r="O1539" i="2"/>
  <c r="N1538" i="2"/>
  <c r="O1538" i="2"/>
  <c r="N1537" i="2"/>
  <c r="O1537" i="2"/>
  <c r="V1535" i="2"/>
  <c r="T1535" i="2"/>
  <c r="U1535" i="2" s="1"/>
  <c r="N1534" i="2"/>
  <c r="O1534" i="2"/>
  <c r="V1531" i="2"/>
  <c r="T1531" i="2"/>
  <c r="U1531" i="2" s="1"/>
  <c r="N1530" i="2"/>
  <c r="O1530" i="2"/>
  <c r="N1529" i="2"/>
  <c r="O1529" i="2"/>
  <c r="N1525" i="2"/>
  <c r="O1525" i="2"/>
  <c r="N1524" i="2"/>
  <c r="O1524" i="2"/>
  <c r="N1523" i="2"/>
  <c r="O1523" i="2"/>
  <c r="N1522" i="2"/>
  <c r="O1522" i="2"/>
  <c r="N1521" i="2"/>
  <c r="O1521" i="2"/>
  <c r="T1521" i="2" s="1"/>
  <c r="U1521" i="2" s="1"/>
  <c r="V1521" i="2"/>
  <c r="N1520" i="2"/>
  <c r="O1520" i="2"/>
  <c r="N1519" i="2"/>
  <c r="O1519" i="2"/>
  <c r="T1519" i="2" s="1"/>
  <c r="U1519" i="2" s="1"/>
  <c r="V1519" i="2"/>
  <c r="N1518" i="2"/>
  <c r="O1518" i="2"/>
  <c r="N1516" i="2"/>
  <c r="O1516" i="2"/>
  <c r="N1515" i="2"/>
  <c r="O1515" i="2"/>
  <c r="N1514" i="2"/>
  <c r="O1514" i="2"/>
  <c r="N1513" i="2"/>
  <c r="O1513" i="2"/>
  <c r="N1509" i="2"/>
  <c r="O1509" i="2"/>
  <c r="N1508" i="2"/>
  <c r="O1508" i="2"/>
  <c r="N1505" i="2"/>
  <c r="O1505" i="2"/>
  <c r="N1504" i="2"/>
  <c r="O1504" i="2"/>
  <c r="N1503" i="2"/>
  <c r="O1503" i="2"/>
  <c r="N1502" i="2"/>
  <c r="O1502" i="2"/>
  <c r="N1501" i="2"/>
  <c r="O1501" i="2"/>
  <c r="N1498" i="2"/>
  <c r="O1498" i="2"/>
  <c r="T1498" i="2" s="1"/>
  <c r="U1498" i="2" s="1"/>
  <c r="N1497" i="2"/>
  <c r="O1497" i="2"/>
  <c r="T1497" i="2" s="1"/>
  <c r="U1497" i="2" s="1"/>
  <c r="N1496" i="2"/>
  <c r="O1496" i="2"/>
  <c r="N1495" i="2"/>
  <c r="O1495" i="2"/>
  <c r="N1493" i="2"/>
  <c r="O1493" i="2"/>
  <c r="T1493" i="2" s="1"/>
  <c r="U1493" i="2" s="1"/>
  <c r="N1492" i="2"/>
  <c r="O1492" i="2"/>
  <c r="N1487" i="2"/>
  <c r="O1487" i="2"/>
  <c r="N1485" i="2"/>
  <c r="O1485" i="2"/>
  <c r="N1482" i="2"/>
  <c r="O1482" i="2"/>
  <c r="N1477" i="2"/>
  <c r="O1477" i="2"/>
  <c r="N1475" i="2"/>
  <c r="O1475" i="2"/>
  <c r="N1474" i="2"/>
  <c r="O1474" i="2"/>
  <c r="N1473" i="2"/>
  <c r="O1473" i="2"/>
  <c r="N1471" i="2"/>
  <c r="O1471" i="2"/>
  <c r="N1469" i="2"/>
  <c r="O1469" i="2"/>
  <c r="N1467" i="2"/>
  <c r="O1467" i="2"/>
  <c r="N1465" i="2"/>
  <c r="O1465" i="2"/>
  <c r="N1463" i="2"/>
  <c r="O1463" i="2"/>
  <c r="T1463" i="2" s="1"/>
  <c r="U1463" i="2" s="1"/>
  <c r="N1461" i="2"/>
  <c r="O1461" i="2"/>
  <c r="N1460" i="2"/>
  <c r="O1460" i="2"/>
  <c r="N1458" i="2"/>
  <c r="O1458" i="2"/>
  <c r="T1458" i="2" s="1"/>
  <c r="U1458" i="2" s="1"/>
  <c r="N1457" i="2"/>
  <c r="O1457" i="2"/>
  <c r="N1456" i="2"/>
  <c r="O1456" i="2"/>
  <c r="N1455" i="2"/>
  <c r="O1455" i="2"/>
  <c r="N1453" i="2"/>
  <c r="O1453" i="2"/>
  <c r="T1453" i="2" s="1"/>
  <c r="U1453" i="2" s="1"/>
  <c r="N1452" i="2"/>
  <c r="O1452" i="2"/>
  <c r="N1451" i="2"/>
  <c r="O1451" i="2"/>
  <c r="N1450" i="2"/>
  <c r="O1450" i="2"/>
  <c r="N1449" i="2"/>
  <c r="O1449" i="2"/>
  <c r="N1448" i="2"/>
  <c r="O1448" i="2"/>
  <c r="T1448" i="2" s="1"/>
  <c r="U1448" i="2" s="1"/>
  <c r="N1441" i="2"/>
  <c r="O1441" i="2"/>
  <c r="N1440" i="2"/>
  <c r="O1440" i="2"/>
  <c r="T1440" i="2" s="1"/>
  <c r="U1440" i="2" s="1"/>
  <c r="N1439" i="2"/>
  <c r="O1439" i="2"/>
  <c r="N1438" i="2"/>
  <c r="O1438" i="2"/>
  <c r="T1438" i="2" s="1"/>
  <c r="U1438" i="2" s="1"/>
  <c r="N1434" i="2"/>
  <c r="O1434" i="2"/>
  <c r="N1432" i="2"/>
  <c r="O1432" i="2"/>
  <c r="N1428" i="2"/>
  <c r="O1428" i="2"/>
  <c r="T1428" i="2" s="1"/>
  <c r="U1428" i="2" s="1"/>
  <c r="N1426" i="2"/>
  <c r="O1426" i="2"/>
  <c r="N1425" i="2"/>
  <c r="O1425" i="2"/>
  <c r="N1424" i="2"/>
  <c r="O1424" i="2"/>
  <c r="T1424" i="2" s="1"/>
  <c r="U1424" i="2" s="1"/>
  <c r="N1420" i="2"/>
  <c r="O1420" i="2"/>
  <c r="N1418" i="2"/>
  <c r="O1418" i="2"/>
  <c r="N1417" i="2"/>
  <c r="O1417" i="2"/>
  <c r="N1416" i="2"/>
  <c r="O1416" i="2"/>
  <c r="N1414" i="2"/>
  <c r="O1414" i="2"/>
  <c r="N1413" i="2"/>
  <c r="O1413" i="2"/>
  <c r="N1412" i="2"/>
  <c r="O1412" i="2"/>
  <c r="T1412" i="2" s="1"/>
  <c r="U1412" i="2" s="1"/>
  <c r="N1411" i="2"/>
  <c r="O1411" i="2"/>
  <c r="N1410" i="2"/>
  <c r="O1410" i="2"/>
  <c r="N1409" i="2"/>
  <c r="O1409" i="2"/>
  <c r="N1408" i="2"/>
  <c r="O1408" i="2"/>
  <c r="T1408" i="2" s="1"/>
  <c r="U1408" i="2" s="1"/>
  <c r="N1407" i="2"/>
  <c r="O1407" i="2"/>
  <c r="N1406" i="2"/>
  <c r="O1406" i="2"/>
  <c r="N1405" i="2"/>
  <c r="O1405" i="2"/>
  <c r="T1405" i="2" s="1"/>
  <c r="U1405" i="2" s="1"/>
  <c r="N1404" i="2"/>
  <c r="O1404" i="2"/>
  <c r="N1401" i="2"/>
  <c r="O1401" i="2"/>
  <c r="N1397" i="2"/>
  <c r="O1397" i="2"/>
  <c r="N1396" i="2"/>
  <c r="O1396" i="2"/>
  <c r="T1396" i="2" s="1"/>
  <c r="U1396" i="2" s="1"/>
  <c r="N1395" i="2"/>
  <c r="O1395" i="2"/>
  <c r="N1394" i="2"/>
  <c r="O1394" i="2"/>
  <c r="N1388" i="2"/>
  <c r="O1388" i="2"/>
  <c r="N1384" i="2"/>
  <c r="O1384" i="2"/>
  <c r="N1382" i="2"/>
  <c r="O1382" i="2"/>
  <c r="N1380" i="2"/>
  <c r="O1380" i="2"/>
  <c r="N1379" i="2"/>
  <c r="O1379" i="2"/>
  <c r="N1378" i="2"/>
  <c r="O1378" i="2"/>
  <c r="N1375" i="2"/>
  <c r="O1375" i="2"/>
  <c r="N1373" i="2"/>
  <c r="O1373" i="2"/>
  <c r="N1371" i="2"/>
  <c r="O1371" i="2"/>
  <c r="N1369" i="2"/>
  <c r="O1369" i="2"/>
  <c r="N1365" i="2"/>
  <c r="O1365" i="2"/>
  <c r="N1363" i="2"/>
  <c r="O1363" i="2"/>
  <c r="N1362" i="2"/>
  <c r="O1362" i="2"/>
  <c r="N1357" i="2"/>
  <c r="O1357" i="2"/>
  <c r="N1355" i="2"/>
  <c r="O1355" i="2"/>
  <c r="N1354" i="2"/>
  <c r="O1354" i="2"/>
  <c r="N1352" i="2"/>
  <c r="O1352" i="2"/>
  <c r="T1352" i="2" s="1"/>
  <c r="U1352" i="2" s="1"/>
  <c r="N1350" i="2"/>
  <c r="O1350" i="2"/>
  <c r="N1349" i="2"/>
  <c r="O1349" i="2"/>
  <c r="N1347" i="2"/>
  <c r="O1347" i="2"/>
  <c r="T1347" i="2" s="1"/>
  <c r="U1347" i="2" s="1"/>
  <c r="N1346" i="2"/>
  <c r="O1346" i="2"/>
  <c r="N1345" i="2"/>
  <c r="O1345" i="2"/>
  <c r="T1345" i="2" s="1"/>
  <c r="U1345" i="2" s="1"/>
  <c r="N1344" i="2"/>
  <c r="O1344" i="2"/>
  <c r="N1342" i="2"/>
  <c r="O1342" i="2"/>
  <c r="N1338" i="2"/>
  <c r="O1338" i="2"/>
  <c r="N1337" i="2"/>
  <c r="O1337" i="2"/>
  <c r="T1337" i="2" s="1"/>
  <c r="U1337" i="2" s="1"/>
  <c r="N1335" i="2"/>
  <c r="O1335" i="2"/>
  <c r="T1335" i="2" s="1"/>
  <c r="U1335" i="2" s="1"/>
  <c r="N1334" i="2"/>
  <c r="O1334" i="2"/>
  <c r="N1330" i="2"/>
  <c r="O1330" i="2"/>
  <c r="T1330" i="2" s="1"/>
  <c r="U1330" i="2" s="1"/>
  <c r="N1329" i="2"/>
  <c r="O1329" i="2"/>
  <c r="T1329" i="2" s="1"/>
  <c r="U1329" i="2" s="1"/>
  <c r="N1326" i="2"/>
  <c r="O1326" i="2"/>
  <c r="N1325" i="2"/>
  <c r="O1325" i="2"/>
  <c r="N1322" i="2"/>
  <c r="O1322" i="2"/>
  <c r="T1322" i="2" s="1"/>
  <c r="U1322" i="2" s="1"/>
  <c r="N1320" i="2"/>
  <c r="O1320" i="2"/>
  <c r="N1319" i="2"/>
  <c r="O1319" i="2"/>
  <c r="N1318" i="2"/>
  <c r="O1318" i="2"/>
  <c r="N1315" i="2"/>
  <c r="O1315" i="2"/>
  <c r="T1315" i="2" s="1"/>
  <c r="U1315" i="2" s="1"/>
  <c r="N1312" i="2"/>
  <c r="O1312" i="2"/>
  <c r="N1311" i="2"/>
  <c r="O1311" i="2"/>
  <c r="N1309" i="2"/>
  <c r="O1309" i="2"/>
  <c r="N1307" i="2"/>
  <c r="O1307" i="2"/>
  <c r="N1303" i="2"/>
  <c r="O1303" i="2"/>
  <c r="N1301" i="2"/>
  <c r="O1301" i="2"/>
  <c r="N1299" i="2"/>
  <c r="O1299" i="2"/>
  <c r="T1299" i="2" s="1"/>
  <c r="U1299" i="2" s="1"/>
  <c r="N1298" i="2"/>
  <c r="O1298" i="2"/>
  <c r="T1298" i="2" s="1"/>
  <c r="U1298" i="2" s="1"/>
  <c r="N1297" i="2"/>
  <c r="O1297" i="2"/>
  <c r="T1297" i="2" s="1"/>
  <c r="U1297" i="2" s="1"/>
  <c r="N1296" i="2"/>
  <c r="O1296" i="2"/>
  <c r="N1295" i="2"/>
  <c r="O1295" i="2"/>
  <c r="T1295" i="2" s="1"/>
  <c r="U1295" i="2" s="1"/>
  <c r="N1294" i="2"/>
  <c r="O1294" i="2"/>
  <c r="N1293" i="2"/>
  <c r="O1293" i="2"/>
  <c r="N1292" i="2"/>
  <c r="O1292" i="2"/>
  <c r="T1292" i="2" s="1"/>
  <c r="U1292" i="2" s="1"/>
  <c r="N1291" i="2"/>
  <c r="O1291" i="2"/>
  <c r="N1288" i="2"/>
  <c r="O1288" i="2"/>
  <c r="N1286" i="2"/>
  <c r="O1286" i="2"/>
  <c r="N1285" i="2"/>
  <c r="O1285" i="2"/>
  <c r="T1285" i="2" s="1"/>
  <c r="U1285" i="2" s="1"/>
  <c r="N1283" i="2"/>
  <c r="O1283" i="2"/>
  <c r="T1283" i="2" s="1"/>
  <c r="U1283" i="2" s="1"/>
  <c r="N1281" i="2"/>
  <c r="O1281" i="2"/>
  <c r="T1281" i="2" s="1"/>
  <c r="U1281" i="2" s="1"/>
  <c r="N1280" i="2"/>
  <c r="O1280" i="2"/>
  <c r="N1279" i="2"/>
  <c r="O1279" i="2"/>
  <c r="N1278" i="2"/>
  <c r="O1278" i="2"/>
  <c r="T1278" i="2" s="1"/>
  <c r="U1278" i="2" s="1"/>
  <c r="N1275" i="2"/>
  <c r="O1275" i="2"/>
  <c r="N1273" i="2"/>
  <c r="O1273" i="2"/>
  <c r="N1272" i="2"/>
  <c r="O1272" i="2"/>
  <c r="N1271" i="2"/>
  <c r="O1271" i="2"/>
  <c r="N1270" i="2"/>
  <c r="O1270" i="2"/>
  <c r="N1266" i="2"/>
  <c r="O1266" i="2"/>
  <c r="T1266" i="2" s="1"/>
  <c r="U1266" i="2" s="1"/>
  <c r="N1264" i="2"/>
  <c r="O1264" i="2"/>
  <c r="T1264" i="2" s="1"/>
  <c r="U1264" i="2" s="1"/>
  <c r="N1263" i="2"/>
  <c r="O1263" i="2"/>
  <c r="T1263" i="2" s="1"/>
  <c r="U1263" i="2" s="1"/>
  <c r="N1262" i="2"/>
  <c r="O1262" i="2"/>
  <c r="N1261" i="2"/>
  <c r="O1261" i="2"/>
  <c r="N1260" i="2"/>
  <c r="O1260" i="2"/>
  <c r="T1260" i="2" s="1"/>
  <c r="U1260" i="2" s="1"/>
  <c r="N1259" i="2"/>
  <c r="O1259" i="2"/>
  <c r="N1258" i="2"/>
  <c r="O1258" i="2"/>
  <c r="T1258" i="2" s="1"/>
  <c r="U1258" i="2" s="1"/>
  <c r="N1255" i="2"/>
  <c r="O1255" i="2"/>
  <c r="N1252" i="2"/>
  <c r="O1252" i="2"/>
  <c r="N1250" i="2"/>
  <c r="O1250" i="2"/>
  <c r="T1250" i="2" s="1"/>
  <c r="U1250" i="2" s="1"/>
  <c r="N1249" i="2"/>
  <c r="O1249" i="2"/>
  <c r="N1247" i="2"/>
  <c r="O1247" i="2"/>
  <c r="N1246" i="2"/>
  <c r="O1246" i="2"/>
  <c r="T1246" i="2" s="1"/>
  <c r="U1246" i="2" s="1"/>
  <c r="N1245" i="2"/>
  <c r="O1245" i="2"/>
  <c r="N1244" i="2"/>
  <c r="O1244" i="2"/>
  <c r="N1243" i="2"/>
  <c r="O1243" i="2"/>
  <c r="N1241" i="2"/>
  <c r="O1241" i="2"/>
  <c r="T1241" i="2" s="1"/>
  <c r="U1241" i="2" s="1"/>
  <c r="N1240" i="2"/>
  <c r="O1240" i="2"/>
  <c r="N1239" i="2"/>
  <c r="O1239" i="2"/>
  <c r="N1238" i="2"/>
  <c r="O1238" i="2"/>
  <c r="T1238" i="2" s="1"/>
  <c r="U1238" i="2" s="1"/>
  <c r="N1233" i="2"/>
  <c r="O1233" i="2"/>
  <c r="N1232" i="2"/>
  <c r="O1232" i="2"/>
  <c r="N1231" i="2"/>
  <c r="O1231" i="2"/>
  <c r="N1228" i="2"/>
  <c r="O1228" i="2"/>
  <c r="N1226" i="2"/>
  <c r="O1226" i="2"/>
  <c r="T1226" i="2" s="1"/>
  <c r="U1226" i="2" s="1"/>
  <c r="N1220" i="2"/>
  <c r="O1220" i="2"/>
  <c r="N1216" i="2"/>
  <c r="O1216" i="2"/>
  <c r="N1209" i="2"/>
  <c r="O1209" i="2"/>
  <c r="T1209" i="2" s="1"/>
  <c r="U1209" i="2" s="1"/>
  <c r="N1208" i="2"/>
  <c r="O1208" i="2"/>
  <c r="N1206" i="2"/>
  <c r="O1206" i="2"/>
  <c r="T1206" i="2" s="1"/>
  <c r="U1206" i="2" s="1"/>
  <c r="N1205" i="2"/>
  <c r="O1205" i="2"/>
  <c r="N1202" i="2"/>
  <c r="O1202" i="2"/>
  <c r="N1200" i="2"/>
  <c r="O1200" i="2"/>
  <c r="T1200" i="2" s="1"/>
  <c r="U1200" i="2" s="1"/>
  <c r="N1199" i="2"/>
  <c r="O1199" i="2"/>
  <c r="N1198" i="2"/>
  <c r="O1198" i="2"/>
  <c r="N1197" i="2"/>
  <c r="O1197" i="2"/>
  <c r="N1196" i="2"/>
  <c r="O1196" i="2"/>
  <c r="N1193" i="2"/>
  <c r="O1193" i="2"/>
  <c r="N1191" i="2"/>
  <c r="O1191" i="2"/>
  <c r="N1190" i="2"/>
  <c r="O1190" i="2"/>
  <c r="N1189" i="2"/>
  <c r="O1189" i="2"/>
  <c r="N1188" i="2"/>
  <c r="O1188" i="2"/>
  <c r="N1187" i="2"/>
  <c r="O1187" i="2"/>
  <c r="N1186" i="2"/>
  <c r="O1186" i="2"/>
  <c r="N1185" i="2"/>
  <c r="O1185" i="2"/>
  <c r="N1184" i="2"/>
  <c r="O1184" i="2"/>
  <c r="T1184" i="2" s="1"/>
  <c r="U1184" i="2" s="1"/>
  <c r="V1184" i="2"/>
  <c r="N1183" i="2"/>
  <c r="O1183" i="2"/>
  <c r="N1181" i="2"/>
  <c r="O1181" i="2"/>
  <c r="N1179" i="2"/>
  <c r="O1179" i="2"/>
  <c r="T1179" i="2" s="1"/>
  <c r="U1179" i="2" s="1"/>
  <c r="N1176" i="2"/>
  <c r="O1176" i="2"/>
  <c r="N1174" i="2"/>
  <c r="O1174" i="2"/>
  <c r="N1173" i="2"/>
  <c r="O1173" i="2"/>
  <c r="T1173" i="2" s="1"/>
  <c r="U1173" i="2" s="1"/>
  <c r="N1169" i="2"/>
  <c r="O1169" i="2"/>
  <c r="N1166" i="2"/>
  <c r="O1166" i="2"/>
  <c r="T1166" i="2" s="1"/>
  <c r="U1166" i="2" s="1"/>
  <c r="N1165" i="2"/>
  <c r="O1165" i="2"/>
  <c r="N1164" i="2"/>
  <c r="O1164" i="2"/>
  <c r="N1163" i="2"/>
  <c r="O1163" i="2"/>
  <c r="N1162" i="2"/>
  <c r="O1162" i="2"/>
  <c r="N1161" i="2"/>
  <c r="O1161" i="2"/>
  <c r="N1160" i="2"/>
  <c r="O1160" i="2"/>
  <c r="N1159" i="2"/>
  <c r="O1159" i="2"/>
  <c r="N1156" i="2"/>
  <c r="O1156" i="2"/>
  <c r="N1153" i="2"/>
  <c r="O1153" i="2"/>
  <c r="N1150" i="2"/>
  <c r="O1150" i="2"/>
  <c r="N1148" i="2"/>
  <c r="O1148" i="2"/>
  <c r="N1146" i="2"/>
  <c r="O1146" i="2"/>
  <c r="N1145" i="2"/>
  <c r="O1145" i="2"/>
  <c r="N1144" i="2"/>
  <c r="O1144" i="2"/>
  <c r="N1143" i="2"/>
  <c r="O1143" i="2"/>
  <c r="N1141" i="2"/>
  <c r="O1141" i="2"/>
  <c r="N1140" i="2"/>
  <c r="O1140" i="2"/>
  <c r="N1139" i="2"/>
  <c r="O1139" i="2"/>
  <c r="N1137" i="2"/>
  <c r="O1137" i="2"/>
  <c r="T1137" i="2" s="1"/>
  <c r="U1137" i="2" s="1"/>
  <c r="N1136" i="2"/>
  <c r="O1136" i="2"/>
  <c r="N1133" i="2"/>
  <c r="O1133" i="2"/>
  <c r="N1132" i="2"/>
  <c r="O1132" i="2"/>
  <c r="T1132" i="2" s="1"/>
  <c r="U1132" i="2" s="1"/>
  <c r="N1131" i="2"/>
  <c r="O1131" i="2"/>
  <c r="T1131" i="2" s="1"/>
  <c r="U1131" i="2" s="1"/>
  <c r="N1128" i="2"/>
  <c r="O1128" i="2"/>
  <c r="N1123" i="2"/>
  <c r="O1123" i="2"/>
  <c r="N1122" i="2"/>
  <c r="O1122" i="2"/>
  <c r="N1121" i="2"/>
  <c r="O1121" i="2"/>
  <c r="N1118" i="2"/>
  <c r="O1118" i="2"/>
  <c r="N1117" i="2"/>
  <c r="O1117" i="2"/>
  <c r="N1114" i="2"/>
  <c r="O1114" i="2"/>
  <c r="N1113" i="2"/>
  <c r="O1113" i="2"/>
  <c r="N1112" i="2"/>
  <c r="O1112" i="2"/>
  <c r="N1111" i="2"/>
  <c r="O1111" i="2"/>
  <c r="N1109" i="2"/>
  <c r="O1109" i="2"/>
  <c r="T1109" i="2" s="1"/>
  <c r="U1109" i="2" s="1"/>
  <c r="N1108" i="2"/>
  <c r="O1108" i="2"/>
  <c r="N1107" i="2"/>
  <c r="O1107" i="2"/>
  <c r="N1105" i="2"/>
  <c r="O1105" i="2"/>
  <c r="N1102" i="2"/>
  <c r="O1102" i="2"/>
  <c r="N1100" i="2"/>
  <c r="O1100" i="2"/>
  <c r="N1099" i="2"/>
  <c r="O1099" i="2"/>
  <c r="N1097" i="2"/>
  <c r="O1097" i="2"/>
  <c r="N1096" i="2"/>
  <c r="O1096" i="2"/>
  <c r="N1095" i="2"/>
  <c r="O1095" i="2"/>
  <c r="N1094" i="2"/>
  <c r="O1094" i="2"/>
  <c r="N1093" i="2"/>
  <c r="O1093" i="2"/>
  <c r="T1093" i="2" s="1"/>
  <c r="U1093" i="2" s="1"/>
  <c r="N1088" i="2"/>
  <c r="O1088" i="2"/>
  <c r="T1088" i="2" s="1"/>
  <c r="U1088" i="2" s="1"/>
  <c r="N1087" i="2"/>
  <c r="O1087" i="2"/>
  <c r="T1087" i="2" s="1"/>
  <c r="U1087" i="2" s="1"/>
  <c r="N1085" i="2"/>
  <c r="O1085" i="2"/>
  <c r="N1082" i="2"/>
  <c r="O1082" i="2"/>
  <c r="N1081" i="2"/>
  <c r="O1081" i="2"/>
  <c r="N1080" i="2"/>
  <c r="O1080" i="2"/>
  <c r="T1080" i="2" s="1"/>
  <c r="U1080" i="2" s="1"/>
  <c r="N1079" i="2"/>
  <c r="O1079" i="2"/>
  <c r="N1078" i="2"/>
  <c r="O1078" i="2"/>
  <c r="N1076" i="2"/>
  <c r="O1076" i="2"/>
  <c r="N1073" i="2"/>
  <c r="O1073" i="2"/>
  <c r="N1071" i="2"/>
  <c r="O1071" i="2"/>
  <c r="T1071" i="2" s="1"/>
  <c r="U1071" i="2" s="1"/>
  <c r="N1070" i="2"/>
  <c r="O1070" i="2"/>
  <c r="N1067" i="2"/>
  <c r="O1067" i="2"/>
  <c r="N1062" i="2"/>
  <c r="O1062" i="2"/>
  <c r="N1060" i="2"/>
  <c r="O1060" i="2"/>
  <c r="N1059" i="2"/>
  <c r="O1059" i="2"/>
  <c r="N1058" i="2"/>
  <c r="O1058" i="2"/>
  <c r="T1058" i="2" s="1"/>
  <c r="U1058" i="2" s="1"/>
  <c r="N1057" i="2"/>
  <c r="O1057" i="2"/>
  <c r="N1056" i="2"/>
  <c r="O1056" i="2"/>
  <c r="N1055" i="2"/>
  <c r="O1055" i="2"/>
  <c r="N1054" i="2"/>
  <c r="O1054" i="2"/>
  <c r="N1053" i="2"/>
  <c r="O1053" i="2"/>
  <c r="N1052" i="2"/>
  <c r="O1052" i="2"/>
  <c r="N1051" i="2"/>
  <c r="O1051" i="2"/>
  <c r="N1050" i="2"/>
  <c r="O1050" i="2"/>
  <c r="N1048" i="2"/>
  <c r="O1048" i="2"/>
  <c r="N1046" i="2"/>
  <c r="O1046" i="2"/>
  <c r="T1046" i="2" s="1"/>
  <c r="U1046" i="2" s="1"/>
  <c r="N1045" i="2"/>
  <c r="O1045" i="2"/>
  <c r="N1044" i="2"/>
  <c r="O1044" i="2"/>
  <c r="N1043" i="2"/>
  <c r="O1043" i="2"/>
  <c r="N1042" i="2"/>
  <c r="O1042" i="2"/>
  <c r="N1041" i="2"/>
  <c r="O1041" i="2"/>
  <c r="N1040" i="2"/>
  <c r="O1040" i="2"/>
  <c r="N1039" i="2"/>
  <c r="O1039" i="2"/>
  <c r="T1039" i="2" s="1"/>
  <c r="U1039" i="2" s="1"/>
  <c r="N1035" i="2"/>
  <c r="O1035" i="2"/>
  <c r="N1030" i="2"/>
  <c r="O1030" i="2"/>
  <c r="N1027" i="2"/>
  <c r="O1027" i="2"/>
  <c r="N1025" i="2"/>
  <c r="O1025" i="2"/>
  <c r="N1024" i="2"/>
  <c r="O1024" i="2"/>
  <c r="T1024" i="2" s="1"/>
  <c r="U1024" i="2" s="1"/>
  <c r="N1023" i="2"/>
  <c r="O1023" i="2"/>
  <c r="T1023" i="2" s="1"/>
  <c r="U1023" i="2" s="1"/>
  <c r="N1020" i="2"/>
  <c r="O1020" i="2"/>
  <c r="N1018" i="2"/>
  <c r="O1018" i="2"/>
  <c r="N1017" i="2"/>
  <c r="O1017" i="2"/>
  <c r="N1016" i="2"/>
  <c r="O1016" i="2"/>
  <c r="N1015" i="2"/>
  <c r="O1015" i="2"/>
  <c r="N1009" i="2"/>
  <c r="O1009" i="2"/>
  <c r="N1008" i="2"/>
  <c r="O1008" i="2"/>
  <c r="N1007" i="2"/>
  <c r="O1007" i="2"/>
  <c r="N1006" i="2"/>
  <c r="O1006" i="2"/>
  <c r="N1004" i="2"/>
  <c r="O1004" i="2"/>
  <c r="N1002" i="2"/>
  <c r="O1002" i="2"/>
  <c r="N999" i="2"/>
  <c r="O999" i="2"/>
  <c r="N997" i="2"/>
  <c r="O997" i="2"/>
  <c r="N996" i="2"/>
  <c r="O996" i="2"/>
  <c r="N990" i="2"/>
  <c r="O990" i="2"/>
  <c r="N989" i="2"/>
  <c r="O989" i="2"/>
  <c r="N986" i="2"/>
  <c r="O986" i="2"/>
  <c r="N985" i="2"/>
  <c r="O985" i="2"/>
  <c r="T985" i="2" s="1"/>
  <c r="U985" i="2" s="1"/>
  <c r="N982" i="2"/>
  <c r="O982" i="2"/>
  <c r="N976" i="2"/>
  <c r="O976" i="2"/>
  <c r="N973" i="2"/>
  <c r="O973" i="2"/>
  <c r="N970" i="2"/>
  <c r="O970" i="2"/>
  <c r="T970" i="2" s="1"/>
  <c r="U970" i="2" s="1"/>
  <c r="N966" i="2"/>
  <c r="O966" i="2"/>
  <c r="T966" i="2" s="1"/>
  <c r="U966" i="2" s="1"/>
  <c r="N965" i="2"/>
  <c r="O965" i="2"/>
  <c r="T965" i="2" s="1"/>
  <c r="U965" i="2" s="1"/>
  <c r="N962" i="2"/>
  <c r="O962" i="2"/>
  <c r="T962" i="2" s="1"/>
  <c r="U962" i="2" s="1"/>
  <c r="N958" i="2"/>
  <c r="O958" i="2"/>
  <c r="N956" i="2"/>
  <c r="O956" i="2"/>
  <c r="T956" i="2" s="1"/>
  <c r="U956" i="2" s="1"/>
  <c r="N954" i="2"/>
  <c r="O954" i="2"/>
  <c r="N953" i="2"/>
  <c r="O953" i="2"/>
  <c r="T953" i="2" s="1"/>
  <c r="U953" i="2" s="1"/>
  <c r="N949" i="2"/>
  <c r="O949" i="2"/>
  <c r="N945" i="2"/>
  <c r="O945" i="2"/>
  <c r="T945" i="2" s="1"/>
  <c r="U945" i="2" s="1"/>
  <c r="N944" i="2"/>
  <c r="O944" i="2"/>
  <c r="N938" i="2"/>
  <c r="O938" i="2"/>
  <c r="N936" i="2"/>
  <c r="O936" i="2"/>
  <c r="T936" i="2" s="1"/>
  <c r="U936" i="2" s="1"/>
  <c r="N935" i="2"/>
  <c r="O935" i="2"/>
  <c r="T935" i="2" s="1"/>
  <c r="U935" i="2" s="1"/>
  <c r="N934" i="2"/>
  <c r="O934" i="2"/>
  <c r="N932" i="2"/>
  <c r="O932" i="2"/>
  <c r="T932" i="2" s="1"/>
  <c r="U932" i="2" s="1"/>
  <c r="N931" i="2"/>
  <c r="O931" i="2"/>
  <c r="T931" i="2" s="1"/>
  <c r="U931" i="2" s="1"/>
  <c r="N930" i="2"/>
  <c r="O930" i="2"/>
  <c r="T930" i="2" s="1"/>
  <c r="U930" i="2" s="1"/>
  <c r="N927" i="2"/>
  <c r="O927" i="2"/>
  <c r="T927" i="2" s="1"/>
  <c r="U927" i="2" s="1"/>
  <c r="N926" i="2"/>
  <c r="O926" i="2"/>
  <c r="T926" i="2" s="1"/>
  <c r="U926" i="2" s="1"/>
  <c r="N923" i="2"/>
  <c r="O923" i="2"/>
  <c r="T923" i="2" s="1"/>
  <c r="U923" i="2" s="1"/>
  <c r="N922" i="2"/>
  <c r="O922" i="2"/>
  <c r="T922" i="2" s="1"/>
  <c r="U922" i="2" s="1"/>
  <c r="N921" i="2"/>
  <c r="O921" i="2"/>
  <c r="N917" i="2"/>
  <c r="O917" i="2"/>
  <c r="T917" i="2" s="1"/>
  <c r="U917" i="2" s="1"/>
  <c r="N914" i="2"/>
  <c r="O914" i="2"/>
  <c r="N913" i="2"/>
  <c r="O913" i="2"/>
  <c r="N912" i="2"/>
  <c r="O912" i="2"/>
  <c r="N910" i="2"/>
  <c r="O910" i="2"/>
  <c r="N908" i="2"/>
  <c r="O908" i="2"/>
  <c r="N907" i="2"/>
  <c r="O907" i="2"/>
  <c r="T907" i="2" s="1"/>
  <c r="U907" i="2" s="1"/>
  <c r="N905" i="2"/>
  <c r="O905" i="2"/>
  <c r="T905" i="2" s="1"/>
  <c r="U905" i="2" s="1"/>
  <c r="N904" i="2"/>
  <c r="O904" i="2"/>
  <c r="N899" i="2"/>
  <c r="O899" i="2"/>
  <c r="N898" i="2"/>
  <c r="O898" i="2"/>
  <c r="N897" i="2"/>
  <c r="O897" i="2"/>
  <c r="N896" i="2"/>
  <c r="O896" i="2"/>
  <c r="N892" i="2"/>
  <c r="O892" i="2"/>
  <c r="N891" i="2"/>
  <c r="O891" i="2"/>
  <c r="N890" i="2"/>
  <c r="O890" i="2"/>
  <c r="T890" i="2" s="1"/>
  <c r="U890" i="2" s="1"/>
  <c r="N889" i="2"/>
  <c r="O889" i="2"/>
  <c r="T889" i="2" s="1"/>
  <c r="U889" i="2" s="1"/>
  <c r="N887" i="2"/>
  <c r="O887" i="2"/>
  <c r="N886" i="2"/>
  <c r="O886" i="2"/>
  <c r="N885" i="2"/>
  <c r="O885" i="2"/>
  <c r="N883" i="2"/>
  <c r="O883" i="2"/>
  <c r="N882" i="2"/>
  <c r="O882" i="2"/>
  <c r="T882" i="2" s="1"/>
  <c r="U882" i="2" s="1"/>
  <c r="N881" i="2"/>
  <c r="O881" i="2"/>
  <c r="T881" i="2" s="1"/>
  <c r="U881" i="2" s="1"/>
  <c r="N880" i="2"/>
  <c r="O880" i="2"/>
  <c r="N879" i="2"/>
  <c r="O879" i="2"/>
  <c r="N878" i="2"/>
  <c r="O878" i="2"/>
  <c r="N876" i="2"/>
  <c r="O876" i="2"/>
  <c r="T876" i="2" s="1"/>
  <c r="U876" i="2" s="1"/>
  <c r="N875" i="2"/>
  <c r="O875" i="2"/>
  <c r="N874" i="2"/>
  <c r="O874" i="2"/>
  <c r="T874" i="2" s="1"/>
  <c r="U874" i="2" s="1"/>
  <c r="N868" i="2"/>
  <c r="O868" i="2"/>
  <c r="T868" i="2" s="1"/>
  <c r="U868" i="2" s="1"/>
  <c r="N867" i="2"/>
  <c r="O867" i="2"/>
  <c r="N865" i="2"/>
  <c r="O865" i="2"/>
  <c r="N864" i="2"/>
  <c r="O864" i="2"/>
  <c r="N860" i="2"/>
  <c r="O860" i="2"/>
  <c r="N859" i="2"/>
  <c r="O859" i="2"/>
  <c r="T859" i="2" s="1"/>
  <c r="U859" i="2" s="1"/>
  <c r="N858" i="2"/>
  <c r="O858" i="2"/>
  <c r="T858" i="2" s="1"/>
  <c r="U858" i="2" s="1"/>
  <c r="N857" i="2"/>
  <c r="O857" i="2"/>
  <c r="T857" i="2" s="1"/>
  <c r="U857" i="2" s="1"/>
  <c r="N856" i="2"/>
  <c r="O856" i="2"/>
  <c r="N855" i="2"/>
  <c r="O855" i="2"/>
  <c r="N853" i="2"/>
  <c r="O853" i="2"/>
  <c r="T853" i="2" s="1"/>
  <c r="U853" i="2" s="1"/>
  <c r="N850" i="2"/>
  <c r="O850" i="2"/>
  <c r="N849" i="2"/>
  <c r="O849" i="2"/>
  <c r="N845" i="2"/>
  <c r="O845" i="2"/>
  <c r="N844" i="2"/>
  <c r="O844" i="2"/>
  <c r="N842" i="2"/>
  <c r="O842" i="2"/>
  <c r="N841" i="2"/>
  <c r="O841" i="2"/>
  <c r="N840" i="2"/>
  <c r="O840" i="2"/>
  <c r="N839" i="2"/>
  <c r="O839" i="2"/>
  <c r="N837" i="2"/>
  <c r="O837" i="2"/>
  <c r="T837" i="2" s="1"/>
  <c r="U837" i="2" s="1"/>
  <c r="N836" i="2"/>
  <c r="O836" i="2"/>
  <c r="N834" i="2"/>
  <c r="O834" i="2"/>
  <c r="N833" i="2"/>
  <c r="O833" i="2"/>
  <c r="N832" i="2"/>
  <c r="O832" i="2"/>
  <c r="N831" i="2"/>
  <c r="O831" i="2"/>
  <c r="N830" i="2"/>
  <c r="O830" i="2"/>
  <c r="N829" i="2"/>
  <c r="O829" i="2"/>
  <c r="T829" i="2" s="1"/>
  <c r="U829" i="2" s="1"/>
  <c r="N828" i="2"/>
  <c r="O828" i="2"/>
  <c r="N827" i="2"/>
  <c r="O827" i="2"/>
  <c r="N826" i="2"/>
  <c r="O826" i="2"/>
  <c r="N825" i="2"/>
  <c r="O825" i="2"/>
  <c r="T825" i="2" s="1"/>
  <c r="U825" i="2" s="1"/>
  <c r="N824" i="2"/>
  <c r="O824" i="2"/>
  <c r="N823" i="2"/>
  <c r="O823" i="2"/>
  <c r="T823" i="2" s="1"/>
  <c r="U823" i="2" s="1"/>
  <c r="N822" i="2"/>
  <c r="O822" i="2"/>
  <c r="N821" i="2"/>
  <c r="O821" i="2"/>
  <c r="T821" i="2" s="1"/>
  <c r="U821" i="2" s="1"/>
  <c r="N820" i="2"/>
  <c r="O820" i="2"/>
  <c r="N818" i="2"/>
  <c r="O818" i="2"/>
  <c r="N816" i="2"/>
  <c r="O816" i="2"/>
  <c r="N815" i="2"/>
  <c r="O815" i="2"/>
  <c r="N812" i="2"/>
  <c r="O812" i="2"/>
  <c r="T812" i="2" s="1"/>
  <c r="U812" i="2" s="1"/>
  <c r="N811" i="2"/>
  <c r="O811" i="2"/>
  <c r="N809" i="2"/>
  <c r="O809" i="2"/>
  <c r="N803" i="2"/>
  <c r="O803" i="2"/>
  <c r="N802" i="2"/>
  <c r="O802" i="2"/>
  <c r="N800" i="2"/>
  <c r="O800" i="2"/>
  <c r="N799" i="2"/>
  <c r="O799" i="2"/>
  <c r="N796" i="2"/>
  <c r="O796" i="2"/>
  <c r="T796" i="2" s="1"/>
  <c r="U796" i="2" s="1"/>
  <c r="N795" i="2"/>
  <c r="O795" i="2"/>
  <c r="T795" i="2" s="1"/>
  <c r="U795" i="2" s="1"/>
  <c r="N794" i="2"/>
  <c r="O794" i="2"/>
  <c r="N792" i="2"/>
  <c r="O792" i="2"/>
  <c r="N790" i="2"/>
  <c r="O790" i="2"/>
  <c r="T790" i="2" s="1"/>
  <c r="U790" i="2" s="1"/>
  <c r="N789" i="2"/>
  <c r="O789" i="2"/>
  <c r="T789" i="2" s="1"/>
  <c r="U789" i="2" s="1"/>
  <c r="N788" i="2"/>
  <c r="O788" i="2"/>
  <c r="N784" i="2"/>
  <c r="O784" i="2"/>
  <c r="N782" i="2"/>
  <c r="O782" i="2"/>
  <c r="T782" i="2" s="1"/>
  <c r="U782" i="2" s="1"/>
  <c r="N781" i="2"/>
  <c r="O781" i="2"/>
  <c r="N780" i="2"/>
  <c r="O780" i="2"/>
  <c r="N779" i="2"/>
  <c r="O779" i="2"/>
  <c r="N778" i="2"/>
  <c r="O778" i="2"/>
  <c r="N776" i="2"/>
  <c r="O776" i="2"/>
  <c r="N774" i="2"/>
  <c r="O774" i="2"/>
  <c r="N773" i="2"/>
  <c r="O773" i="2"/>
  <c r="T773" i="2" s="1"/>
  <c r="U773" i="2" s="1"/>
  <c r="N772" i="2"/>
  <c r="O772" i="2"/>
  <c r="N769" i="2"/>
  <c r="O769" i="2"/>
  <c r="N766" i="2"/>
  <c r="O766" i="2"/>
  <c r="N765" i="2"/>
  <c r="O765" i="2"/>
  <c r="N762" i="2"/>
  <c r="O762" i="2"/>
  <c r="T762" i="2" s="1"/>
  <c r="U762" i="2" s="1"/>
  <c r="N761" i="2"/>
  <c r="O761" i="2"/>
  <c r="T761" i="2" s="1"/>
  <c r="U761" i="2" s="1"/>
  <c r="N760" i="2"/>
  <c r="O760" i="2"/>
  <c r="T760" i="2" s="1"/>
  <c r="U760" i="2" s="1"/>
  <c r="N759" i="2"/>
  <c r="O759" i="2"/>
  <c r="N756" i="2"/>
  <c r="O756" i="2"/>
  <c r="T756" i="2" s="1"/>
  <c r="U756" i="2" s="1"/>
  <c r="N751" i="2"/>
  <c r="O751" i="2"/>
  <c r="N750" i="2"/>
  <c r="O750" i="2"/>
  <c r="N749" i="2"/>
  <c r="O749" i="2"/>
  <c r="N748" i="2"/>
  <c r="O748" i="2"/>
  <c r="N747" i="2"/>
  <c r="O747" i="2"/>
  <c r="N744" i="2"/>
  <c r="O744" i="2"/>
  <c r="T744" i="2" s="1"/>
  <c r="U744" i="2" s="1"/>
  <c r="N742" i="2"/>
  <c r="O742" i="2"/>
  <c r="N741" i="2"/>
  <c r="O741" i="2"/>
  <c r="T741" i="2" s="1"/>
  <c r="U741" i="2" s="1"/>
  <c r="N740" i="2"/>
  <c r="O740" i="2"/>
  <c r="N738" i="2"/>
  <c r="O738" i="2"/>
  <c r="N737" i="2"/>
  <c r="O737" i="2"/>
  <c r="N736" i="2"/>
  <c r="O736" i="2"/>
  <c r="N735" i="2"/>
  <c r="O735" i="2"/>
  <c r="N734" i="2"/>
  <c r="O734" i="2"/>
  <c r="N733" i="2"/>
  <c r="O733" i="2"/>
  <c r="N730" i="2"/>
  <c r="O730" i="2"/>
  <c r="N728" i="2"/>
  <c r="O728" i="2"/>
  <c r="N726" i="2"/>
  <c r="O726" i="2"/>
  <c r="T726" i="2" s="1"/>
  <c r="U726" i="2" s="1"/>
  <c r="N725" i="2"/>
  <c r="O725" i="2"/>
  <c r="N724" i="2"/>
  <c r="O724" i="2"/>
  <c r="T724" i="2" s="1"/>
  <c r="U724" i="2" s="1"/>
  <c r="N721" i="2"/>
  <c r="O721" i="2"/>
  <c r="N718" i="2"/>
  <c r="O718" i="2"/>
  <c r="N711" i="2"/>
  <c r="O711" i="2"/>
  <c r="N710" i="2"/>
  <c r="O710" i="2"/>
  <c r="T710" i="2" s="1"/>
  <c r="U710" i="2" s="1"/>
  <c r="N707" i="2"/>
  <c r="O707" i="2"/>
  <c r="N705" i="2"/>
  <c r="O705" i="2"/>
  <c r="T705" i="2" s="1"/>
  <c r="U705" i="2" s="1"/>
  <c r="N704" i="2"/>
  <c r="O704" i="2"/>
  <c r="N699" i="2"/>
  <c r="O699" i="2"/>
  <c r="N694" i="2"/>
  <c r="O694" i="2"/>
  <c r="N692" i="2"/>
  <c r="O692" i="2"/>
  <c r="N688" i="2"/>
  <c r="O688" i="2"/>
  <c r="T688" i="2" s="1"/>
  <c r="U688" i="2" s="1"/>
  <c r="N687" i="2"/>
  <c r="O687" i="2"/>
  <c r="N685" i="2"/>
  <c r="O685" i="2"/>
  <c r="N684" i="2"/>
  <c r="O684" i="2"/>
  <c r="T684" i="2" s="1"/>
  <c r="U684" i="2" s="1"/>
  <c r="N681" i="2"/>
  <c r="O681" i="2"/>
  <c r="N680" i="2"/>
  <c r="O680" i="2"/>
  <c r="N678" i="2"/>
  <c r="O678" i="2"/>
  <c r="N677" i="2"/>
  <c r="O677" i="2"/>
  <c r="T677" i="2" s="1"/>
  <c r="U677" i="2" s="1"/>
  <c r="N676" i="2"/>
  <c r="O676" i="2"/>
  <c r="N674" i="2"/>
  <c r="O674" i="2"/>
  <c r="N671" i="2"/>
  <c r="O671" i="2"/>
  <c r="N669" i="2"/>
  <c r="O669" i="2"/>
  <c r="T669" i="2" s="1"/>
  <c r="U669" i="2" s="1"/>
  <c r="V669" i="2"/>
  <c r="V668" i="2"/>
  <c r="T668" i="2"/>
  <c r="U668" i="2" s="1"/>
  <c r="V667" i="2"/>
  <c r="T667" i="2"/>
  <c r="U667" i="2" s="1"/>
  <c r="N666" i="2"/>
  <c r="O666" i="2"/>
  <c r="V666" i="2"/>
  <c r="N665" i="2"/>
  <c r="O665" i="2"/>
  <c r="V665" i="2"/>
  <c r="V664" i="2"/>
  <c r="T664" i="2"/>
  <c r="U664" i="2" s="1"/>
  <c r="N663" i="2"/>
  <c r="O663" i="2"/>
  <c r="V662" i="2"/>
  <c r="T662" i="2"/>
  <c r="U662" i="2" s="1"/>
  <c r="N661" i="2"/>
  <c r="O661" i="2"/>
  <c r="N660" i="2"/>
  <c r="O660" i="2"/>
  <c r="N658" i="2"/>
  <c r="O658" i="2"/>
  <c r="N657" i="2"/>
  <c r="O657" i="2"/>
  <c r="V656" i="2"/>
  <c r="T656" i="2"/>
  <c r="U656" i="2" s="1"/>
  <c r="N654" i="2"/>
  <c r="O654" i="2"/>
  <c r="N653" i="2"/>
  <c r="O653" i="2"/>
  <c r="N651" i="2"/>
  <c r="O651" i="2"/>
  <c r="T651" i="2" s="1"/>
  <c r="U651" i="2" s="1"/>
  <c r="V651" i="2"/>
  <c r="N650" i="2"/>
  <c r="O650" i="2"/>
  <c r="N649" i="2"/>
  <c r="O649" i="2"/>
  <c r="N647" i="2"/>
  <c r="O647" i="2"/>
  <c r="N646" i="2"/>
  <c r="O646" i="2"/>
  <c r="N645" i="2"/>
  <c r="O645" i="2"/>
  <c r="N644" i="2"/>
  <c r="O644" i="2"/>
  <c r="T644" i="2" s="1"/>
  <c r="U644" i="2" s="1"/>
  <c r="V644" i="2"/>
  <c r="N643" i="2"/>
  <c r="O643" i="2"/>
  <c r="N642" i="2"/>
  <c r="O642" i="2"/>
  <c r="T642" i="2" s="1"/>
  <c r="U642" i="2" s="1"/>
  <c r="V642" i="2"/>
  <c r="N641" i="2"/>
  <c r="O641" i="2"/>
  <c r="N640" i="2"/>
  <c r="O640" i="2"/>
  <c r="N639" i="2"/>
  <c r="O639" i="2"/>
  <c r="N636" i="2"/>
  <c r="O636" i="2"/>
  <c r="N634" i="2"/>
  <c r="O634" i="2"/>
  <c r="T634" i="2" s="1"/>
  <c r="U634" i="2" s="1"/>
  <c r="V634" i="2"/>
  <c r="N633" i="2"/>
  <c r="O633" i="2"/>
  <c r="N632" i="2"/>
  <c r="O632" i="2"/>
  <c r="T632" i="2" s="1"/>
  <c r="U632" i="2" s="1"/>
  <c r="V632" i="2"/>
  <c r="N630" i="2"/>
  <c r="O630" i="2"/>
  <c r="T630" i="2" s="1"/>
  <c r="U630" i="2" s="1"/>
  <c r="V630" i="2"/>
  <c r="V628" i="2"/>
  <c r="T628" i="2"/>
  <c r="U628" i="2" s="1"/>
  <c r="V627" i="2"/>
  <c r="T627" i="2"/>
  <c r="U627" i="2" s="1"/>
  <c r="N623" i="2"/>
  <c r="O623" i="2"/>
  <c r="T623" i="2" s="1"/>
  <c r="U623" i="2" s="1"/>
  <c r="V623" i="2"/>
  <c r="V622" i="2"/>
  <c r="T622" i="2"/>
  <c r="U622" i="2" s="1"/>
  <c r="N621" i="2"/>
  <c r="O621" i="2"/>
  <c r="T621" i="2" s="1"/>
  <c r="U621" i="2" s="1"/>
  <c r="V621" i="2"/>
  <c r="N620" i="2"/>
  <c r="O620" i="2"/>
  <c r="N619" i="2"/>
  <c r="O619" i="2"/>
  <c r="N616" i="2"/>
  <c r="O616" i="2"/>
  <c r="N615" i="2"/>
  <c r="O615" i="2"/>
  <c r="N614" i="2"/>
  <c r="O614" i="2"/>
  <c r="V613" i="2"/>
  <c r="T613" i="2"/>
  <c r="U613" i="2" s="1"/>
  <c r="N612" i="2"/>
  <c r="O612" i="2"/>
  <c r="T612" i="2" s="1"/>
  <c r="U612" i="2" s="1"/>
  <c r="V612" i="2"/>
  <c r="N611" i="2"/>
  <c r="O611" i="2"/>
  <c r="V610" i="2"/>
  <c r="N609" i="2"/>
  <c r="O609" i="2"/>
  <c r="T609" i="2" s="1"/>
  <c r="U609" i="2" s="1"/>
  <c r="V609" i="2"/>
  <c r="N608" i="2"/>
  <c r="O608" i="2"/>
  <c r="T608" i="2" s="1"/>
  <c r="U608" i="2" s="1"/>
  <c r="V608" i="2"/>
  <c r="N607" i="2"/>
  <c r="O607" i="2"/>
  <c r="T607" i="2" s="1"/>
  <c r="U607" i="2" s="1"/>
  <c r="V607" i="2"/>
  <c r="N606" i="2"/>
  <c r="O606" i="2"/>
  <c r="N604" i="2"/>
  <c r="O604" i="2"/>
  <c r="N603" i="2"/>
  <c r="O603" i="2"/>
  <c r="T603" i="2" s="1"/>
  <c r="U603" i="2" s="1"/>
  <c r="V603" i="2"/>
  <c r="N601" i="2"/>
  <c r="O601" i="2"/>
  <c r="T601" i="2" s="1"/>
  <c r="U601" i="2" s="1"/>
  <c r="V601" i="2"/>
  <c r="N596" i="2"/>
  <c r="O596" i="2"/>
  <c r="N595" i="2"/>
  <c r="O595" i="2"/>
  <c r="N594" i="2"/>
  <c r="O594" i="2"/>
  <c r="T594" i="2" s="1"/>
  <c r="U594" i="2" s="1"/>
  <c r="V594" i="2"/>
  <c r="N593" i="2"/>
  <c r="O593" i="2"/>
  <c r="V592" i="2"/>
  <c r="T592" i="2"/>
  <c r="U592" i="2" s="1"/>
  <c r="N590" i="2"/>
  <c r="O590" i="2"/>
  <c r="N589" i="2"/>
  <c r="O589" i="2"/>
  <c r="N588" i="2"/>
  <c r="O588" i="2"/>
  <c r="N587" i="2"/>
  <c r="O587" i="2"/>
  <c r="T587" i="2" s="1"/>
  <c r="U587" i="2" s="1"/>
  <c r="V587" i="2"/>
  <c r="N585" i="2"/>
  <c r="O585" i="2"/>
  <c r="N584" i="2"/>
  <c r="O584" i="2"/>
  <c r="N583" i="2"/>
  <c r="O583" i="2"/>
  <c r="V582" i="2"/>
  <c r="T582" i="2"/>
  <c r="U582" i="2" s="1"/>
  <c r="N581" i="2"/>
  <c r="O581" i="2"/>
  <c r="N580" i="2"/>
  <c r="O580" i="2"/>
  <c r="T580" i="2" s="1"/>
  <c r="U580" i="2" s="1"/>
  <c r="V580" i="2"/>
  <c r="N579" i="2"/>
  <c r="O579" i="2"/>
  <c r="N578" i="2"/>
  <c r="O578" i="2"/>
  <c r="V577" i="2"/>
  <c r="T577" i="2"/>
  <c r="U577" i="2" s="1"/>
  <c r="V575" i="2"/>
  <c r="T575" i="2"/>
  <c r="U575" i="2" s="1"/>
  <c r="N574" i="2"/>
  <c r="O574" i="2"/>
  <c r="T574" i="2" s="1"/>
  <c r="U574" i="2" s="1"/>
  <c r="V574" i="2"/>
  <c r="N573" i="2"/>
  <c r="O573" i="2"/>
  <c r="V571" i="2"/>
  <c r="T571" i="2"/>
  <c r="U571" i="2" s="1"/>
  <c r="N570" i="2"/>
  <c r="O570" i="2"/>
  <c r="N569" i="2"/>
  <c r="O569" i="2"/>
  <c r="N568" i="2"/>
  <c r="O568" i="2"/>
  <c r="N567" i="2"/>
  <c r="O567" i="2"/>
  <c r="N566" i="2"/>
  <c r="O566" i="2"/>
  <c r="T566" i="2" s="1"/>
  <c r="U566" i="2" s="1"/>
  <c r="V566" i="2"/>
  <c r="V565" i="2"/>
  <c r="T565" i="2"/>
  <c r="U565" i="2" s="1"/>
  <c r="V564" i="2"/>
  <c r="T564" i="2"/>
  <c r="U564" i="2" s="1"/>
  <c r="N563" i="2"/>
  <c r="O563" i="2"/>
  <c r="N562" i="2"/>
  <c r="O562" i="2"/>
  <c r="N559" i="2"/>
  <c r="O559" i="2"/>
  <c r="N558" i="2"/>
  <c r="O558" i="2"/>
  <c r="N557" i="2"/>
  <c r="O557" i="2"/>
  <c r="N555" i="2"/>
  <c r="O555" i="2"/>
  <c r="N554" i="2"/>
  <c r="O554" i="2"/>
  <c r="N553" i="2"/>
  <c r="O553" i="2"/>
  <c r="N552" i="2"/>
  <c r="O552" i="2"/>
  <c r="N551" i="2"/>
  <c r="O551" i="2"/>
  <c r="V551" i="2"/>
  <c r="N550" i="2"/>
  <c r="O550" i="2"/>
  <c r="V549" i="2"/>
  <c r="T549" i="2"/>
  <c r="U549" i="2" s="1"/>
  <c r="N546" i="2"/>
  <c r="O546" i="2"/>
  <c r="N545" i="2"/>
  <c r="O545" i="2"/>
  <c r="N537" i="2"/>
  <c r="O537" i="2"/>
  <c r="N536" i="2"/>
  <c r="O536" i="2"/>
  <c r="N535" i="2"/>
  <c r="O535" i="2"/>
  <c r="N534" i="2"/>
  <c r="O534" i="2"/>
  <c r="V534" i="2"/>
  <c r="T534" i="2"/>
  <c r="U534" i="2" s="1"/>
  <c r="V533" i="2"/>
  <c r="T533" i="2"/>
  <c r="U533" i="2" s="1"/>
  <c r="N532" i="2"/>
  <c r="O532" i="2"/>
  <c r="N530" i="2"/>
  <c r="O530" i="2"/>
  <c r="N529" i="2"/>
  <c r="O529" i="2"/>
  <c r="N528" i="2"/>
  <c r="O528" i="2"/>
  <c r="N526" i="2"/>
  <c r="O526" i="2"/>
  <c r="N525" i="2"/>
  <c r="O525" i="2"/>
  <c r="N524" i="2"/>
  <c r="O524" i="2"/>
  <c r="N522" i="2"/>
  <c r="O522" i="2"/>
  <c r="N521" i="2"/>
  <c r="O521" i="2"/>
  <c r="N519" i="2"/>
  <c r="O519" i="2"/>
  <c r="V519" i="2"/>
  <c r="T519" i="2"/>
  <c r="U519" i="2" s="1"/>
  <c r="N518" i="2"/>
  <c r="O518" i="2"/>
  <c r="N517" i="2"/>
  <c r="O517" i="2"/>
  <c r="V517" i="2"/>
  <c r="T517" i="2"/>
  <c r="U517" i="2" s="1"/>
  <c r="N516" i="2"/>
  <c r="O516" i="2"/>
  <c r="N515" i="2"/>
  <c r="O515" i="2"/>
  <c r="N512" i="2"/>
  <c r="O512" i="2"/>
  <c r="V511" i="2"/>
  <c r="N510" i="2"/>
  <c r="O510" i="2"/>
  <c r="N509" i="2"/>
  <c r="O509" i="2"/>
  <c r="T509" i="2" s="1"/>
  <c r="U509" i="2" s="1"/>
  <c r="N507" i="2"/>
  <c r="O507" i="2"/>
  <c r="N505" i="2"/>
  <c r="O505" i="2"/>
  <c r="N504" i="2"/>
  <c r="O504" i="2"/>
  <c r="N502" i="2"/>
  <c r="O502" i="2"/>
  <c r="T502" i="2" s="1"/>
  <c r="U502" i="2" s="1"/>
  <c r="N500" i="2"/>
  <c r="O500" i="2"/>
  <c r="N499" i="2"/>
  <c r="O499" i="2"/>
  <c r="N498" i="2"/>
  <c r="O498" i="2"/>
  <c r="N497" i="2"/>
  <c r="O497" i="2"/>
  <c r="T497" i="2" s="1"/>
  <c r="U497" i="2" s="1"/>
  <c r="N496" i="2"/>
  <c r="O496" i="2"/>
  <c r="N495" i="2"/>
  <c r="O495" i="2"/>
  <c r="N493" i="2"/>
  <c r="O493" i="2"/>
  <c r="N490" i="2"/>
  <c r="O490" i="2"/>
  <c r="N482" i="2"/>
  <c r="O482" i="2"/>
  <c r="T482" i="2" s="1"/>
  <c r="U482" i="2" s="1"/>
  <c r="N481" i="2"/>
  <c r="O481" i="2"/>
  <c r="N480" i="2"/>
  <c r="O480" i="2"/>
  <c r="T480" i="2" s="1"/>
  <c r="U480" i="2" s="1"/>
  <c r="N479" i="2"/>
  <c r="O479" i="2"/>
  <c r="N478" i="2"/>
  <c r="O478" i="2"/>
  <c r="N477" i="2"/>
  <c r="O477" i="2"/>
  <c r="T477" i="2" s="1"/>
  <c r="U477" i="2" s="1"/>
  <c r="N474" i="2"/>
  <c r="O474" i="2"/>
  <c r="T474" i="2" s="1"/>
  <c r="U474" i="2" s="1"/>
  <c r="N472" i="2"/>
  <c r="O472" i="2"/>
  <c r="N466" i="2"/>
  <c r="O466" i="2"/>
  <c r="T466" i="2" s="1"/>
  <c r="U466" i="2" s="1"/>
  <c r="N464" i="2"/>
  <c r="O464" i="2"/>
  <c r="T464" i="2" s="1"/>
  <c r="U464" i="2" s="1"/>
  <c r="N462" i="2"/>
  <c r="O462" i="2"/>
  <c r="N458" i="2"/>
  <c r="O458" i="2"/>
  <c r="N455" i="2"/>
  <c r="O455" i="2"/>
  <c r="N454" i="2"/>
  <c r="O454" i="2"/>
  <c r="N445" i="2"/>
  <c r="O445" i="2"/>
  <c r="N444" i="2"/>
  <c r="O444" i="2"/>
  <c r="N442" i="2"/>
  <c r="O442" i="2"/>
  <c r="T442" i="2" s="1"/>
  <c r="U442" i="2" s="1"/>
  <c r="N438" i="2"/>
  <c r="O438" i="2"/>
  <c r="N431" i="2"/>
  <c r="O431" i="2"/>
  <c r="N430" i="2"/>
  <c r="O430" i="2"/>
  <c r="N429" i="2"/>
  <c r="O429" i="2"/>
  <c r="N425" i="2"/>
  <c r="O425" i="2"/>
  <c r="N423" i="2"/>
  <c r="O423" i="2"/>
  <c r="T423" i="2" s="1"/>
  <c r="U423" i="2" s="1"/>
  <c r="N422" i="2"/>
  <c r="O422" i="2"/>
  <c r="N421" i="2"/>
  <c r="O421" i="2"/>
  <c r="N420" i="2"/>
  <c r="O420" i="2"/>
  <c r="N417" i="2"/>
  <c r="O417" i="2"/>
  <c r="N414" i="2"/>
  <c r="O414" i="2"/>
  <c r="N412" i="2"/>
  <c r="O412" i="2"/>
  <c r="N410" i="2"/>
  <c r="O410" i="2"/>
  <c r="N406" i="2"/>
  <c r="O406" i="2"/>
  <c r="N405" i="2"/>
  <c r="O405" i="2"/>
  <c r="T405" i="2" s="1"/>
  <c r="U405" i="2" s="1"/>
  <c r="N404" i="2"/>
  <c r="O404" i="2"/>
  <c r="N400" i="2"/>
  <c r="O400" i="2"/>
  <c r="N399" i="2"/>
  <c r="O399" i="2"/>
  <c r="N398" i="2"/>
  <c r="O398" i="2"/>
  <c r="N394" i="2"/>
  <c r="O394" i="2"/>
  <c r="T394" i="2" s="1"/>
  <c r="U394" i="2" s="1"/>
  <c r="N393" i="2"/>
  <c r="O393" i="2"/>
  <c r="N389" i="2"/>
  <c r="O389" i="2"/>
  <c r="T389" i="2" s="1"/>
  <c r="U389" i="2" s="1"/>
  <c r="N388" i="2"/>
  <c r="O388" i="2"/>
  <c r="T388" i="2" s="1"/>
  <c r="U388" i="2" s="1"/>
  <c r="N384" i="2"/>
  <c r="O384" i="2"/>
  <c r="T384" i="2" s="1"/>
  <c r="U384" i="2" s="1"/>
  <c r="N383" i="2"/>
  <c r="O383" i="2"/>
  <c r="N382" i="2"/>
  <c r="O382" i="2"/>
  <c r="T382" i="2" s="1"/>
  <c r="U382" i="2" s="1"/>
  <c r="N381" i="2"/>
  <c r="O381" i="2"/>
  <c r="N380" i="2"/>
  <c r="O380" i="2"/>
  <c r="N379" i="2"/>
  <c r="O379" i="2"/>
  <c r="N378" i="2"/>
  <c r="O378" i="2"/>
  <c r="N377" i="2"/>
  <c r="O377" i="2"/>
  <c r="T377" i="2" s="1"/>
  <c r="U377" i="2" s="1"/>
  <c r="N376" i="2"/>
  <c r="O376" i="2"/>
  <c r="N373" i="2"/>
  <c r="O373" i="2"/>
  <c r="T373" i="2" s="1"/>
  <c r="U373" i="2" s="1"/>
  <c r="N372" i="2"/>
  <c r="O372" i="2"/>
  <c r="N369" i="2"/>
  <c r="O369" i="2"/>
  <c r="N368" i="2"/>
  <c r="O368" i="2"/>
  <c r="N367" i="2"/>
  <c r="O367" i="2"/>
  <c r="N366" i="2"/>
  <c r="O366" i="2"/>
  <c r="N365" i="2"/>
  <c r="O365" i="2"/>
  <c r="N364" i="2"/>
  <c r="O364" i="2"/>
  <c r="N363" i="2"/>
  <c r="O363" i="2"/>
  <c r="N361" i="2"/>
  <c r="O361" i="2"/>
  <c r="N360" i="2"/>
  <c r="O360" i="2"/>
  <c r="N357" i="2"/>
  <c r="O357" i="2"/>
  <c r="N355" i="2"/>
  <c r="O355" i="2"/>
  <c r="N354" i="2"/>
  <c r="O354" i="2"/>
  <c r="N352" i="2"/>
  <c r="O352" i="2"/>
  <c r="N351" i="2"/>
  <c r="O351" i="2"/>
  <c r="N350" i="2"/>
  <c r="O350" i="2"/>
  <c r="N349" i="2"/>
  <c r="O349" i="2"/>
  <c r="N348" i="2"/>
  <c r="O348" i="2"/>
  <c r="T348" i="2" s="1"/>
  <c r="U348" i="2" s="1"/>
  <c r="N346" i="2"/>
  <c r="O346" i="2"/>
  <c r="N342" i="2"/>
  <c r="O342" i="2"/>
  <c r="N341" i="2"/>
  <c r="O341" i="2"/>
  <c r="N340" i="2"/>
  <c r="O340" i="2"/>
  <c r="N339" i="2"/>
  <c r="O339" i="2"/>
  <c r="N338" i="2"/>
  <c r="O338" i="2"/>
  <c r="N336" i="2"/>
  <c r="O336" i="2"/>
  <c r="N335" i="2"/>
  <c r="O335" i="2"/>
  <c r="N334" i="2"/>
  <c r="O334" i="2"/>
  <c r="N330" i="2"/>
  <c r="O330" i="2"/>
  <c r="N328" i="2"/>
  <c r="O328" i="2"/>
  <c r="N327" i="2"/>
  <c r="O327" i="2"/>
  <c r="N323" i="2"/>
  <c r="O323" i="2"/>
  <c r="T323" i="2" s="1"/>
  <c r="U323" i="2" s="1"/>
  <c r="N320" i="2"/>
  <c r="O320" i="2"/>
  <c r="N319" i="2"/>
  <c r="O319" i="2"/>
  <c r="T319" i="2" s="1"/>
  <c r="U319" i="2" s="1"/>
  <c r="N318" i="2"/>
  <c r="O318" i="2"/>
  <c r="T318" i="2" s="1"/>
  <c r="U318" i="2" s="1"/>
  <c r="N316" i="2"/>
  <c r="O316" i="2"/>
  <c r="N315" i="2"/>
  <c r="O315" i="2"/>
  <c r="N313" i="2"/>
  <c r="O313" i="2"/>
  <c r="T313" i="2" s="1"/>
  <c r="U313" i="2" s="1"/>
  <c r="N311" i="2"/>
  <c r="O311" i="2"/>
  <c r="N309" i="2"/>
  <c r="O309" i="2"/>
  <c r="N308" i="2"/>
  <c r="O308" i="2"/>
  <c r="T308" i="2" s="1"/>
  <c r="U308" i="2" s="1"/>
  <c r="N306" i="2"/>
  <c r="O306" i="2"/>
  <c r="N305" i="2"/>
  <c r="O305" i="2"/>
  <c r="N304" i="2"/>
  <c r="O304" i="2"/>
  <c r="N302" i="2"/>
  <c r="O302" i="2"/>
  <c r="T302" i="2" s="1"/>
  <c r="U302" i="2" s="1"/>
  <c r="N301" i="2"/>
  <c r="O301" i="2"/>
  <c r="T301" i="2" s="1"/>
  <c r="U301" i="2" s="1"/>
  <c r="N300" i="2"/>
  <c r="O300" i="2"/>
  <c r="N299" i="2"/>
  <c r="O299" i="2"/>
  <c r="N298" i="2"/>
  <c r="O298" i="2"/>
  <c r="T298" i="2" s="1"/>
  <c r="U298" i="2" s="1"/>
  <c r="N297" i="2"/>
  <c r="O297" i="2"/>
  <c r="T297" i="2" s="1"/>
  <c r="U297" i="2" s="1"/>
  <c r="N296" i="2"/>
  <c r="O296" i="2"/>
  <c r="N295" i="2"/>
  <c r="O295" i="2"/>
  <c r="N293" i="2"/>
  <c r="O293" i="2"/>
  <c r="N292" i="2"/>
  <c r="O292" i="2"/>
  <c r="N289" i="2"/>
  <c r="O289" i="2"/>
  <c r="T289" i="2" s="1"/>
  <c r="U289" i="2" s="1"/>
  <c r="N288" i="2"/>
  <c r="O288" i="2"/>
  <c r="N287" i="2"/>
  <c r="O287" i="2"/>
  <c r="N285" i="2"/>
  <c r="O285" i="2"/>
  <c r="T285" i="2" s="1"/>
  <c r="U285" i="2" s="1"/>
  <c r="N283" i="2"/>
  <c r="O283" i="2"/>
  <c r="N282" i="2"/>
  <c r="O282" i="2"/>
  <c r="T282" i="2" s="1"/>
  <c r="U282" i="2" s="1"/>
  <c r="N280" i="2"/>
  <c r="O280" i="2"/>
  <c r="N279" i="2"/>
  <c r="O279" i="2"/>
  <c r="N278" i="2"/>
  <c r="O278" i="2"/>
  <c r="N276" i="2"/>
  <c r="O276" i="2"/>
  <c r="N272" i="2"/>
  <c r="O272" i="2"/>
  <c r="N271" i="2"/>
  <c r="O271" i="2"/>
  <c r="N270" i="2"/>
  <c r="O270" i="2"/>
  <c r="T270" i="2" s="1"/>
  <c r="U270" i="2" s="1"/>
  <c r="N266" i="2"/>
  <c r="O266" i="2"/>
  <c r="T266" i="2" s="1"/>
  <c r="U266" i="2" s="1"/>
  <c r="N265" i="2"/>
  <c r="O265" i="2"/>
  <c r="T265" i="2" s="1"/>
  <c r="U265" i="2" s="1"/>
  <c r="N264" i="2"/>
  <c r="O264" i="2"/>
  <c r="T264" i="2" s="1"/>
  <c r="U264" i="2" s="1"/>
  <c r="N259" i="2"/>
  <c r="O259" i="2"/>
  <c r="T259" i="2" s="1"/>
  <c r="U259" i="2" s="1"/>
  <c r="N258" i="2"/>
  <c r="O258" i="2"/>
  <c r="T258" i="2" s="1"/>
  <c r="U258" i="2" s="1"/>
  <c r="N253" i="2"/>
  <c r="O253" i="2"/>
  <c r="N252" i="2"/>
  <c r="O252" i="2"/>
  <c r="N251" i="2"/>
  <c r="O251" i="2"/>
  <c r="N250" i="2"/>
  <c r="O250" i="2"/>
  <c r="N248" i="2"/>
  <c r="O248" i="2"/>
  <c r="N245" i="2"/>
  <c r="O245" i="2"/>
  <c r="T245" i="2" s="1"/>
  <c r="U245" i="2" s="1"/>
  <c r="N244" i="2"/>
  <c r="O244" i="2"/>
  <c r="N243" i="2"/>
  <c r="O243" i="2"/>
  <c r="N242" i="2"/>
  <c r="O242" i="2"/>
  <c r="N241" i="2"/>
  <c r="O241" i="2"/>
  <c r="N240" i="2"/>
  <c r="O240" i="2"/>
  <c r="N239" i="2"/>
  <c r="O239" i="2"/>
  <c r="T239" i="2" s="1"/>
  <c r="U239" i="2" s="1"/>
  <c r="N238" i="2"/>
  <c r="O238" i="2"/>
  <c r="N237" i="2"/>
  <c r="O237" i="2"/>
  <c r="T237" i="2" s="1"/>
  <c r="U237" i="2" s="1"/>
  <c r="N235" i="2"/>
  <c r="O235" i="2"/>
  <c r="N234" i="2"/>
  <c r="O234" i="2"/>
  <c r="N232" i="2"/>
  <c r="O232" i="2"/>
  <c r="T232" i="2" s="1"/>
  <c r="U232" i="2" s="1"/>
  <c r="N229" i="2"/>
  <c r="O229" i="2"/>
  <c r="N228" i="2"/>
  <c r="O228" i="2"/>
  <c r="N227" i="2"/>
  <c r="O227" i="2"/>
  <c r="T227" i="2" s="1"/>
  <c r="U227" i="2" s="1"/>
  <c r="N226" i="2"/>
  <c r="O226" i="2"/>
  <c r="T226" i="2" s="1"/>
  <c r="U226" i="2" s="1"/>
  <c r="N225" i="2"/>
  <c r="O225" i="2"/>
  <c r="T225" i="2" s="1"/>
  <c r="U225" i="2" s="1"/>
  <c r="N224" i="2"/>
  <c r="O224" i="2"/>
  <c r="T224" i="2" s="1"/>
  <c r="U224" i="2" s="1"/>
  <c r="N223" i="2"/>
  <c r="O223" i="2"/>
  <c r="T223" i="2" s="1"/>
  <c r="U223" i="2" s="1"/>
  <c r="N222" i="2"/>
  <c r="O222" i="2"/>
  <c r="N221" i="2"/>
  <c r="O221" i="2"/>
  <c r="T221" i="2" s="1"/>
  <c r="U221" i="2" s="1"/>
  <c r="N220" i="2"/>
  <c r="O220" i="2"/>
  <c r="T220" i="2" s="1"/>
  <c r="U220" i="2" s="1"/>
  <c r="N219" i="2"/>
  <c r="O219" i="2"/>
  <c r="N218" i="2"/>
  <c r="O218" i="2"/>
  <c r="T218" i="2" s="1"/>
  <c r="U218" i="2" s="1"/>
  <c r="N217" i="2"/>
  <c r="O217" i="2"/>
  <c r="N216" i="2"/>
  <c r="O216" i="2"/>
  <c r="N215" i="2"/>
  <c r="O215" i="2"/>
  <c r="T215" i="2" s="1"/>
  <c r="U215" i="2" s="1"/>
  <c r="N214" i="2"/>
  <c r="O214" i="2"/>
  <c r="N212" i="2"/>
  <c r="O212" i="2"/>
  <c r="N211" i="2"/>
  <c r="O211" i="2"/>
  <c r="T211" i="2" s="1"/>
  <c r="U211" i="2" s="1"/>
  <c r="N208" i="2"/>
  <c r="O208" i="2"/>
  <c r="N207" i="2"/>
  <c r="O207" i="2"/>
  <c r="T207" i="2" s="1"/>
  <c r="U207" i="2" s="1"/>
  <c r="N206" i="2"/>
  <c r="O206" i="2"/>
  <c r="N205" i="2"/>
  <c r="O205" i="2"/>
  <c r="T205" i="2" s="1"/>
  <c r="U205" i="2" s="1"/>
  <c r="N204" i="2"/>
  <c r="O204" i="2"/>
  <c r="T204" i="2" s="1"/>
  <c r="U204" i="2" s="1"/>
  <c r="N203" i="2"/>
  <c r="O203" i="2"/>
  <c r="N192" i="2"/>
  <c r="O192" i="2"/>
  <c r="T192" i="2" s="1"/>
  <c r="U192" i="2" s="1"/>
  <c r="N191" i="2"/>
  <c r="O191" i="2"/>
  <c r="T191" i="2" s="1"/>
  <c r="U191" i="2" s="1"/>
  <c r="N190" i="2"/>
  <c r="O190" i="2"/>
  <c r="N189" i="2"/>
  <c r="O189" i="2"/>
  <c r="T189" i="2" s="1"/>
  <c r="U189" i="2" s="1"/>
  <c r="N187" i="2"/>
  <c r="O187" i="2"/>
  <c r="T187" i="2" s="1"/>
  <c r="U187" i="2" s="1"/>
  <c r="N186" i="2"/>
  <c r="O186" i="2"/>
  <c r="N185" i="2"/>
  <c r="O185" i="2"/>
  <c r="N184" i="2"/>
  <c r="O184" i="2"/>
  <c r="N182" i="2"/>
  <c r="O182" i="2"/>
  <c r="V180" i="2"/>
  <c r="T180" i="2"/>
  <c r="U180" i="2" s="1"/>
  <c r="N179" i="2"/>
  <c r="O179" i="2"/>
  <c r="N178" i="2"/>
  <c r="O178" i="2"/>
  <c r="T178" i="2" s="1"/>
  <c r="U178" i="2" s="1"/>
  <c r="V178" i="2"/>
  <c r="N175" i="2"/>
  <c r="O175" i="2"/>
  <c r="T175" i="2" s="1"/>
  <c r="U175" i="2" s="1"/>
  <c r="V175" i="2"/>
  <c r="V174" i="2"/>
  <c r="T174" i="2"/>
  <c r="U174" i="2" s="1"/>
  <c r="N173" i="2"/>
  <c r="O173" i="2"/>
  <c r="N171" i="2"/>
  <c r="O171" i="2"/>
  <c r="N169" i="2"/>
  <c r="O169" i="2"/>
  <c r="N168" i="2"/>
  <c r="O168" i="2"/>
  <c r="N164" i="2"/>
  <c r="O164" i="2"/>
  <c r="N163" i="2"/>
  <c r="O163" i="2"/>
  <c r="N158" i="2"/>
  <c r="O158" i="2"/>
  <c r="N157" i="2"/>
  <c r="O157" i="2"/>
  <c r="N155" i="2"/>
  <c r="O155" i="2"/>
  <c r="N153" i="2"/>
  <c r="O153" i="2"/>
  <c r="T153" i="2" s="1"/>
  <c r="U153" i="2" s="1"/>
  <c r="N152" i="2"/>
  <c r="O152" i="2"/>
  <c r="T152" i="2" s="1"/>
  <c r="U152" i="2" s="1"/>
  <c r="N151" i="2"/>
  <c r="O151" i="2"/>
  <c r="T151" i="2" s="1"/>
  <c r="U151" i="2" s="1"/>
  <c r="N150" i="2"/>
  <c r="O150" i="2"/>
  <c r="T150" i="2" s="1"/>
  <c r="U150" i="2" s="1"/>
  <c r="N149" i="2"/>
  <c r="O149" i="2"/>
  <c r="T149" i="2" s="1"/>
  <c r="U149" i="2" s="1"/>
  <c r="N148" i="2"/>
  <c r="O148" i="2"/>
  <c r="T148" i="2" s="1"/>
  <c r="U148" i="2" s="1"/>
  <c r="N146" i="2"/>
  <c r="O146" i="2"/>
  <c r="T146" i="2" s="1"/>
  <c r="U146" i="2" s="1"/>
  <c r="N145" i="2"/>
  <c r="O145" i="2"/>
  <c r="T145" i="2" s="1"/>
  <c r="U145" i="2" s="1"/>
  <c r="N144" i="2"/>
  <c r="O144" i="2"/>
  <c r="T144" i="2" s="1"/>
  <c r="U144" i="2" s="1"/>
  <c r="N143" i="2"/>
  <c r="O143" i="2"/>
  <c r="N140" i="2"/>
  <c r="O140" i="2"/>
  <c r="N139" i="2"/>
  <c r="O139" i="2"/>
  <c r="T139" i="2" s="1"/>
  <c r="U139" i="2" s="1"/>
  <c r="N135" i="2"/>
  <c r="O135" i="2"/>
  <c r="N134" i="2"/>
  <c r="O134" i="2"/>
  <c r="T134" i="2" s="1"/>
  <c r="U134" i="2" s="1"/>
  <c r="N133" i="2"/>
  <c r="O133" i="2"/>
  <c r="N132" i="2"/>
  <c r="O132" i="2"/>
  <c r="T132" i="2" s="1"/>
  <c r="U132" i="2" s="1"/>
  <c r="N131" i="2"/>
  <c r="O131" i="2"/>
  <c r="T131" i="2" s="1"/>
  <c r="U131" i="2" s="1"/>
  <c r="N130" i="2"/>
  <c r="O130" i="2"/>
  <c r="T130" i="2" s="1"/>
  <c r="U130" i="2" s="1"/>
  <c r="N128" i="2"/>
  <c r="O128" i="2"/>
  <c r="T128" i="2" s="1"/>
  <c r="U128" i="2" s="1"/>
  <c r="N127" i="2"/>
  <c r="O127" i="2"/>
  <c r="N125" i="2"/>
  <c r="O125" i="2"/>
  <c r="N123" i="2"/>
  <c r="O123" i="2"/>
  <c r="N122" i="2"/>
  <c r="O122" i="2"/>
  <c r="N120" i="2"/>
  <c r="O120" i="2"/>
  <c r="N119" i="2"/>
  <c r="O119" i="2"/>
  <c r="N118" i="2"/>
  <c r="O118" i="2"/>
  <c r="T118" i="2" s="1"/>
  <c r="U118" i="2" s="1"/>
  <c r="N117" i="2"/>
  <c r="O117" i="2"/>
  <c r="T117" i="2" s="1"/>
  <c r="U117" i="2" s="1"/>
  <c r="N115" i="2"/>
  <c r="O115" i="2"/>
  <c r="N114" i="2"/>
  <c r="O114" i="2"/>
  <c r="N110" i="2"/>
  <c r="O110" i="2"/>
  <c r="N106" i="2"/>
  <c r="O106" i="2"/>
  <c r="N105" i="2"/>
  <c r="O105" i="2"/>
  <c r="N104" i="2"/>
  <c r="O104" i="2"/>
  <c r="N103" i="2"/>
  <c r="O103" i="2"/>
  <c r="N101" i="2"/>
  <c r="O101" i="2"/>
  <c r="N95" i="2"/>
  <c r="O95" i="2"/>
  <c r="N92" i="2"/>
  <c r="O92" i="2"/>
  <c r="N90" i="2"/>
  <c r="O90" i="2"/>
  <c r="N86" i="2"/>
  <c r="O86" i="2"/>
  <c r="T86" i="2" s="1"/>
  <c r="U86" i="2" s="1"/>
  <c r="N84" i="2"/>
  <c r="O84" i="2"/>
  <c r="N82" i="2"/>
  <c r="O82" i="2"/>
  <c r="T82" i="2" s="1"/>
  <c r="U82" i="2" s="1"/>
  <c r="N81" i="2"/>
  <c r="O81" i="2"/>
  <c r="N79" i="2"/>
  <c r="O79" i="2"/>
  <c r="N78" i="2"/>
  <c r="O78" i="2"/>
  <c r="T78" i="2" s="1"/>
  <c r="U78" i="2" s="1"/>
  <c r="N77" i="2"/>
  <c r="O77" i="2"/>
  <c r="N76" i="2"/>
  <c r="O76" i="2"/>
  <c r="N75" i="2"/>
  <c r="O75" i="2"/>
  <c r="N72" i="2"/>
  <c r="O72" i="2"/>
  <c r="N71" i="2"/>
  <c r="O71" i="2"/>
  <c r="N70" i="2"/>
  <c r="O70" i="2"/>
  <c r="N68" i="2"/>
  <c r="O68" i="2"/>
  <c r="N65" i="2"/>
  <c r="O65" i="2"/>
  <c r="N63" i="2"/>
  <c r="O63" i="2"/>
  <c r="N57" i="2"/>
  <c r="O57" i="2"/>
  <c r="N56" i="2"/>
  <c r="O56" i="2"/>
  <c r="N51" i="2"/>
  <c r="O51" i="2"/>
  <c r="N50" i="2"/>
  <c r="O50" i="2"/>
  <c r="N49" i="2"/>
  <c r="O49" i="2"/>
  <c r="N48" i="2"/>
  <c r="O48" i="2"/>
  <c r="N47" i="2"/>
  <c r="O47" i="2"/>
  <c r="N46" i="2"/>
  <c r="O46" i="2"/>
  <c r="N45" i="2"/>
  <c r="O45" i="2"/>
  <c r="N44" i="2"/>
  <c r="O44" i="2"/>
  <c r="T44" i="2" s="1"/>
  <c r="U44" i="2" s="1"/>
  <c r="N43" i="2"/>
  <c r="O43" i="2"/>
  <c r="N41" i="2"/>
  <c r="O41" i="2"/>
  <c r="N40" i="2"/>
  <c r="O40" i="2"/>
  <c r="N39" i="2"/>
  <c r="O39" i="2"/>
  <c r="T39" i="2" s="1"/>
  <c r="U39" i="2" s="1"/>
  <c r="N38" i="2"/>
  <c r="O38" i="2"/>
  <c r="N35" i="2"/>
  <c r="O35" i="2"/>
  <c r="N32" i="2"/>
  <c r="O32" i="2"/>
  <c r="N30" i="2"/>
  <c r="O30" i="2"/>
  <c r="T30" i="2" s="1"/>
  <c r="U30" i="2" s="1"/>
  <c r="N22" i="2"/>
  <c r="O22" i="2"/>
  <c r="N17" i="2"/>
  <c r="O17" i="2"/>
  <c r="N12" i="2"/>
  <c r="O12" i="2"/>
  <c r="N11" i="2"/>
  <c r="O11" i="2"/>
  <c r="T11" i="2" s="1"/>
  <c r="U11" i="2" s="1"/>
  <c r="N9" i="2"/>
  <c r="O9" i="2"/>
  <c r="N8" i="2"/>
  <c r="O8" i="2"/>
  <c r="T8" i="2" s="1"/>
  <c r="U8" i="2" s="1"/>
  <c r="N7" i="2"/>
  <c r="O7" i="2"/>
  <c r="T1494" i="2" l="1"/>
  <c r="U1494" i="2" s="1"/>
  <c r="W1494" i="2" s="1"/>
  <c r="T1012" i="2"/>
  <c r="U1012" i="2" s="1"/>
  <c r="W1012" i="2" s="1"/>
  <c r="T578" i="2"/>
  <c r="U578" i="2" s="1"/>
  <c r="T127" i="2"/>
  <c r="U127" i="2" s="1"/>
  <c r="T123" i="2"/>
  <c r="U123" i="2" s="1"/>
  <c r="T1051" i="2"/>
  <c r="U1051" i="2" s="1"/>
  <c r="T573" i="2"/>
  <c r="U573" i="2" s="1"/>
  <c r="T120" i="2"/>
  <c r="U120" i="2" s="1"/>
  <c r="V576" i="2"/>
  <c r="T576" i="2"/>
  <c r="U576" i="2" s="1"/>
  <c r="T746" i="2"/>
  <c r="U746" i="2" s="1"/>
  <c r="W746" i="2" s="1"/>
  <c r="T1747" i="2"/>
  <c r="U1747" i="2" s="1"/>
  <c r="W1747" i="2" s="1"/>
  <c r="T893" i="2"/>
  <c r="U893" i="2" s="1"/>
  <c r="T106" i="2"/>
  <c r="U106" i="2" s="1"/>
  <c r="T706" i="2"/>
  <c r="U706" i="2" s="1"/>
  <c r="T1854" i="2"/>
  <c r="U1854" i="2" s="1"/>
  <c r="W1854" i="2" s="1"/>
  <c r="T1983" i="2"/>
  <c r="U1983" i="2" s="1"/>
  <c r="T1839" i="2"/>
  <c r="U1839" i="2" s="1"/>
  <c r="T1548" i="2"/>
  <c r="U1548" i="2" s="1"/>
  <c r="T747" i="2"/>
  <c r="U747" i="2" s="1"/>
  <c r="T736" i="2"/>
  <c r="U736" i="2" s="1"/>
  <c r="T733" i="2"/>
  <c r="U733" i="2" s="1"/>
  <c r="T653" i="2"/>
  <c r="U653" i="2" s="1"/>
  <c r="T525" i="2"/>
  <c r="U525" i="2" s="1"/>
  <c r="T507" i="2"/>
  <c r="U507" i="2" s="1"/>
  <c r="T479" i="2"/>
  <c r="U479" i="2" s="1"/>
  <c r="T478" i="2"/>
  <c r="U478" i="2" s="1"/>
  <c r="T421" i="2"/>
  <c r="U421" i="2" s="1"/>
  <c r="T372" i="2"/>
  <c r="U372" i="2" s="1"/>
  <c r="T365" i="2"/>
  <c r="U365" i="2" s="1"/>
  <c r="T354" i="2"/>
  <c r="U354" i="2" s="1"/>
  <c r="T7" i="2"/>
  <c r="U7" i="2" s="1"/>
  <c r="T1500" i="2"/>
  <c r="U1500" i="2" s="1"/>
  <c r="T1069" i="2"/>
  <c r="U1069" i="2" s="1"/>
  <c r="W1069" i="2" s="1"/>
  <c r="T511" i="2"/>
  <c r="U511" i="2" s="1"/>
  <c r="T198" i="2"/>
  <c r="U198" i="2" s="1"/>
  <c r="T1351" i="2"/>
  <c r="U1351" i="2" s="1"/>
  <c r="T1603" i="2"/>
  <c r="U1603" i="2" s="1"/>
  <c r="T1993" i="2"/>
  <c r="U1993" i="2" s="1"/>
  <c r="V1993" i="2"/>
  <c r="V531" i="2"/>
  <c r="T531" i="2"/>
  <c r="U531" i="2" s="1"/>
  <c r="V763" i="2"/>
  <c r="T763" i="2"/>
  <c r="U763" i="2" s="1"/>
  <c r="W763" i="2" s="1"/>
  <c r="V510" i="2"/>
  <c r="T510" i="2"/>
  <c r="U510" i="2" s="1"/>
  <c r="T396" i="2"/>
  <c r="U396" i="2" s="1"/>
  <c r="V396" i="2"/>
  <c r="T170" i="2"/>
  <c r="U170" i="2" s="1"/>
  <c r="V170" i="2"/>
  <c r="V390" i="2"/>
  <c r="T390" i="2"/>
  <c r="U390" i="2" s="1"/>
  <c r="V901" i="2"/>
  <c r="T901" i="2"/>
  <c r="U901" i="2" s="1"/>
  <c r="W901" i="2" s="1"/>
  <c r="Y901" i="2" s="1"/>
  <c r="O901" i="4" s="1"/>
  <c r="T535" i="2"/>
  <c r="U535" i="2" s="1"/>
  <c r="V535" i="2"/>
  <c r="T1921" i="2"/>
  <c r="U1921" i="2" s="1"/>
  <c r="W1921" i="2" s="1"/>
  <c r="Y1921" i="2" s="1"/>
  <c r="V1921" i="2"/>
  <c r="T413" i="2"/>
  <c r="U413" i="2" s="1"/>
  <c r="V413" i="2"/>
  <c r="T1779" i="2"/>
  <c r="U1779" i="2" s="1"/>
  <c r="W1779" i="2" s="1"/>
  <c r="T1897" i="2"/>
  <c r="U1897" i="2" s="1"/>
  <c r="W1897" i="2" s="1"/>
  <c r="T1872" i="2"/>
  <c r="U1872" i="2" s="1"/>
  <c r="W1872" i="2" s="1"/>
  <c r="T1834" i="2"/>
  <c r="U1834" i="2" s="1"/>
  <c r="W1834" i="2" s="1"/>
  <c r="T1829" i="2"/>
  <c r="U1829" i="2" s="1"/>
  <c r="W1829" i="2" s="1"/>
  <c r="Y1829" i="2" s="1"/>
  <c r="T1766" i="2"/>
  <c r="U1766" i="2" s="1"/>
  <c r="W1766" i="2" s="1"/>
  <c r="T1676" i="2"/>
  <c r="U1676" i="2" s="1"/>
  <c r="W1676" i="2" s="1"/>
  <c r="T1538" i="2"/>
  <c r="U1538" i="2" s="1"/>
  <c r="W1538" i="2" s="1"/>
  <c r="T1452" i="2"/>
  <c r="U1452" i="2" s="1"/>
  <c r="W1452" i="2" s="1"/>
  <c r="T1432" i="2"/>
  <c r="U1432" i="2" s="1"/>
  <c r="W1432" i="2" s="1"/>
  <c r="T1394" i="2"/>
  <c r="U1394" i="2" s="1"/>
  <c r="W1394" i="2" s="1"/>
  <c r="T1160" i="2"/>
  <c r="U1160" i="2" s="1"/>
  <c r="W1160" i="2" s="1"/>
  <c r="T1159" i="2"/>
  <c r="U1159" i="2" s="1"/>
  <c r="W1159" i="2" s="1"/>
  <c r="T1133" i="2"/>
  <c r="U1133" i="2" s="1"/>
  <c r="W1133" i="2" s="1"/>
  <c r="T1095" i="2"/>
  <c r="U1095" i="2" s="1"/>
  <c r="W1095" i="2" s="1"/>
  <c r="T1067" i="2"/>
  <c r="U1067" i="2" s="1"/>
  <c r="W1067" i="2" s="1"/>
  <c r="T1018" i="2"/>
  <c r="U1018" i="2" s="1"/>
  <c r="W1018" i="2" s="1"/>
  <c r="Y1018" i="2" s="1"/>
  <c r="O1018" i="4" s="1"/>
  <c r="T908" i="2"/>
  <c r="U908" i="2" s="1"/>
  <c r="W908" i="2" s="1"/>
  <c r="T898" i="2"/>
  <c r="U898" i="2" s="1"/>
  <c r="W898" i="2" s="1"/>
  <c r="T860" i="2"/>
  <c r="U860" i="2" s="1"/>
  <c r="W860" i="2" s="1"/>
  <c r="T845" i="2"/>
  <c r="U845" i="2" s="1"/>
  <c r="W845" i="2" s="1"/>
  <c r="T800" i="2"/>
  <c r="U800" i="2" s="1"/>
  <c r="W800" i="2" s="1"/>
  <c r="T119" i="2"/>
  <c r="U119" i="2" s="1"/>
  <c r="V1180" i="2"/>
  <c r="T1180" i="2"/>
  <c r="U1180" i="2" s="1"/>
  <c r="W1180" i="2" s="1"/>
  <c r="Y1180" i="2" s="1"/>
  <c r="V1825" i="2"/>
  <c r="T1825" i="2"/>
  <c r="U1825" i="2" s="1"/>
  <c r="W1825" i="2" s="1"/>
  <c r="T1627" i="2"/>
  <c r="U1627" i="2" s="1"/>
  <c r="V1627" i="2"/>
  <c r="T1615" i="2"/>
  <c r="U1615" i="2" s="1"/>
  <c r="V1615" i="2"/>
  <c r="T915" i="2"/>
  <c r="U915" i="2" s="1"/>
  <c r="V915" i="2"/>
  <c r="T1015" i="2"/>
  <c r="U1015" i="2" s="1"/>
  <c r="W1015" i="2" s="1"/>
  <c r="Y1015" i="2" s="1"/>
  <c r="O1015" i="4" s="1"/>
  <c r="T115" i="2"/>
  <c r="U115" i="2" s="1"/>
  <c r="W115" i="2" s="1"/>
  <c r="T110" i="2"/>
  <c r="U110" i="2" s="1"/>
  <c r="W110" i="2" s="1"/>
  <c r="T76" i="2"/>
  <c r="U76" i="2" s="1"/>
  <c r="W76" i="2" s="1"/>
  <c r="V554" i="2"/>
  <c r="T554" i="2"/>
  <c r="U554" i="2" s="1"/>
  <c r="W554" i="2" s="1"/>
  <c r="V561" i="2"/>
  <c r="T561" i="2"/>
  <c r="U561" i="2" s="1"/>
  <c r="W561" i="2" s="1"/>
  <c r="V452" i="2"/>
  <c r="T452" i="2"/>
  <c r="U452" i="2" s="1"/>
  <c r="V537" i="2"/>
  <c r="T537" i="2"/>
  <c r="U537" i="2" s="1"/>
  <c r="W537" i="2" s="1"/>
  <c r="T445" i="2"/>
  <c r="U445" i="2" s="1"/>
  <c r="W445" i="2" s="1"/>
  <c r="T1418" i="2"/>
  <c r="U1418" i="2" s="1"/>
  <c r="W1418" i="2" s="1"/>
  <c r="T904" i="2"/>
  <c r="U904" i="2" s="1"/>
  <c r="W904" i="2" s="1"/>
  <c r="T896" i="2"/>
  <c r="U896" i="2" s="1"/>
  <c r="W896" i="2" s="1"/>
  <c r="T887" i="2"/>
  <c r="U887" i="2" s="1"/>
  <c r="W887" i="2" s="1"/>
  <c r="T1884" i="2"/>
  <c r="U1884" i="2" s="1"/>
  <c r="W1884" i="2" s="1"/>
  <c r="V13" i="2"/>
  <c r="T13" i="2"/>
  <c r="U13" i="2" s="1"/>
  <c r="W13" i="2" s="1"/>
  <c r="Y13" i="2" s="1"/>
  <c r="O13" i="4" s="1"/>
  <c r="T735" i="2"/>
  <c r="U735" i="2" s="1"/>
  <c r="W735" i="2" s="1"/>
  <c r="T707" i="2"/>
  <c r="U707" i="2" s="1"/>
  <c r="W707" i="2" s="1"/>
  <c r="T93" i="2"/>
  <c r="U93" i="2" s="1"/>
  <c r="T80" i="2"/>
  <c r="U80" i="2" s="1"/>
  <c r="W80" i="2" s="1"/>
  <c r="Y80" i="2" s="1"/>
  <c r="T33" i="2"/>
  <c r="U33" i="2" s="1"/>
  <c r="W33" i="2" s="1"/>
  <c r="T1406" i="2"/>
  <c r="U1406" i="2" s="1"/>
  <c r="W1406" i="2" s="1"/>
  <c r="T100" i="2"/>
  <c r="U100" i="2" s="1"/>
  <c r="T1762" i="2"/>
  <c r="U1762" i="2" s="1"/>
  <c r="W1762" i="2" s="1"/>
  <c r="T1716" i="2"/>
  <c r="U1716" i="2" s="1"/>
  <c r="W1716" i="2" s="1"/>
  <c r="T1714" i="2"/>
  <c r="U1714" i="2" s="1"/>
  <c r="W1714" i="2" s="1"/>
  <c r="T704" i="2"/>
  <c r="U704" i="2" s="1"/>
  <c r="W704" i="2" s="1"/>
  <c r="T417" i="2"/>
  <c r="U417" i="2" s="1"/>
  <c r="W417" i="2" s="1"/>
  <c r="T363" i="2"/>
  <c r="U363" i="2" s="1"/>
  <c r="W363" i="2" s="1"/>
  <c r="T79" i="2"/>
  <c r="U79" i="2" s="1"/>
  <c r="W79" i="2" s="1"/>
  <c r="T49" i="2"/>
  <c r="U49" i="2" s="1"/>
  <c r="W49" i="2" s="1"/>
  <c r="T46" i="2"/>
  <c r="U46" i="2" s="1"/>
  <c r="W46" i="2" s="1"/>
  <c r="T12" i="2"/>
  <c r="U12" i="2" s="1"/>
  <c r="W12" i="2" s="1"/>
  <c r="T1348" i="2"/>
  <c r="U1348" i="2" s="1"/>
  <c r="T60" i="2"/>
  <c r="U60" i="2" s="1"/>
  <c r="T66" i="2"/>
  <c r="U66" i="2" s="1"/>
  <c r="T1794" i="2"/>
  <c r="U1794" i="2" s="1"/>
  <c r="T1036" i="2"/>
  <c r="U1036" i="2" s="1"/>
  <c r="W1036" i="2" s="1"/>
  <c r="V55" i="2"/>
  <c r="T55" i="2"/>
  <c r="U55" i="2" s="1"/>
  <c r="V54" i="2"/>
  <c r="T54" i="2"/>
  <c r="U54" i="2" s="1"/>
  <c r="V715" i="2"/>
  <c r="T715" i="2"/>
  <c r="U715" i="2" s="1"/>
  <c r="V154" i="2"/>
  <c r="T154" i="2"/>
  <c r="U154" i="2" s="1"/>
  <c r="T1999" i="2"/>
  <c r="U1999" i="2" s="1"/>
  <c r="T1816" i="2"/>
  <c r="U1816" i="2" s="1"/>
  <c r="W1816" i="2" s="1"/>
  <c r="Y1816" i="2" s="1"/>
  <c r="O1816" i="4" s="1"/>
  <c r="T1777" i="2"/>
  <c r="U1777" i="2" s="1"/>
  <c r="W1777" i="2" s="1"/>
  <c r="T1702" i="2"/>
  <c r="U1702" i="2" s="1"/>
  <c r="W1702" i="2" s="1"/>
  <c r="T1689" i="2"/>
  <c r="U1689" i="2" s="1"/>
  <c r="W1689" i="2" s="1"/>
  <c r="T1543" i="2"/>
  <c r="U1543" i="2" s="1"/>
  <c r="W1543" i="2" s="1"/>
  <c r="T1461" i="2"/>
  <c r="U1461" i="2" s="1"/>
  <c r="W1461" i="2" s="1"/>
  <c r="T1451" i="2"/>
  <c r="U1451" i="2" s="1"/>
  <c r="W1451" i="2" s="1"/>
  <c r="T1439" i="2"/>
  <c r="U1439" i="2" s="1"/>
  <c r="W1439" i="2" s="1"/>
  <c r="T1417" i="2"/>
  <c r="U1417" i="2" s="1"/>
  <c r="W1417" i="2" s="1"/>
  <c r="T875" i="2"/>
  <c r="U875" i="2" s="1"/>
  <c r="W875" i="2" s="1"/>
  <c r="T728" i="2"/>
  <c r="U728" i="2" s="1"/>
  <c r="W728" i="2" s="1"/>
  <c r="T711" i="2"/>
  <c r="U711" i="2" s="1"/>
  <c r="W711" i="2" s="1"/>
  <c r="T481" i="2"/>
  <c r="U481" i="2" s="1"/>
  <c r="W481" i="2" s="1"/>
  <c r="T219" i="2"/>
  <c r="U219" i="2" s="1"/>
  <c r="W219" i="2" s="1"/>
  <c r="T203" i="2"/>
  <c r="U203" i="2" s="1"/>
  <c r="W203" i="2" s="1"/>
  <c r="T77" i="2"/>
  <c r="U77" i="2" s="1"/>
  <c r="W77" i="2" s="1"/>
  <c r="Y77" i="2" s="1"/>
  <c r="T65" i="2"/>
  <c r="U65" i="2" s="1"/>
  <c r="W65" i="2" s="1"/>
  <c r="T63" i="2"/>
  <c r="U63" i="2" s="1"/>
  <c r="W63" i="2" s="1"/>
  <c r="T48" i="2"/>
  <c r="U48" i="2" s="1"/>
  <c r="W48" i="2" s="1"/>
  <c r="T43" i="2"/>
  <c r="U43" i="2" s="1"/>
  <c r="W43" i="2" s="1"/>
  <c r="T32" i="2"/>
  <c r="U32" i="2" s="1"/>
  <c r="W32" i="2" s="1"/>
  <c r="V1738" i="2"/>
  <c r="T1738" i="2"/>
  <c r="U1738" i="2" s="1"/>
  <c r="T74" i="2"/>
  <c r="U74" i="2" s="1"/>
  <c r="V74" i="2"/>
  <c r="T720" i="2"/>
  <c r="U720" i="2" s="1"/>
  <c r="T1792" i="2"/>
  <c r="U1792" i="2" s="1"/>
  <c r="T1734" i="2"/>
  <c r="U1734" i="2" s="1"/>
  <c r="T431" i="2"/>
  <c r="U431" i="2" s="1"/>
  <c r="W431" i="2" s="1"/>
  <c r="T352" i="2"/>
  <c r="U352" i="2" s="1"/>
  <c r="W352" i="2" s="1"/>
  <c r="V1447" i="2"/>
  <c r="T1447" i="2"/>
  <c r="U1447" i="2" s="1"/>
  <c r="V1403" i="2"/>
  <c r="T1403" i="2"/>
  <c r="U1403" i="2" s="1"/>
  <c r="T1774" i="2"/>
  <c r="U1774" i="2" s="1"/>
  <c r="W1774" i="2" s="1"/>
  <c r="T1765" i="2"/>
  <c r="U1765" i="2" s="1"/>
  <c r="W1765" i="2" s="1"/>
  <c r="T1705" i="2"/>
  <c r="U1705" i="2" s="1"/>
  <c r="W1705" i="2" s="1"/>
  <c r="T1681" i="2"/>
  <c r="U1681" i="2" s="1"/>
  <c r="W1681" i="2" s="1"/>
  <c r="T826" i="2"/>
  <c r="U826" i="2" s="1"/>
  <c r="W826" i="2" s="1"/>
  <c r="Y826" i="2" s="1"/>
  <c r="V31" i="2"/>
  <c r="T31" i="2"/>
  <c r="U31" i="2" s="1"/>
  <c r="W31" i="2" s="1"/>
  <c r="Y31" i="2" s="1"/>
  <c r="V743" i="2"/>
  <c r="T743" i="2"/>
  <c r="U743" i="2" s="1"/>
  <c r="V353" i="2"/>
  <c r="T353" i="2"/>
  <c r="U353" i="2" s="1"/>
  <c r="W353" i="2" s="1"/>
  <c r="V1815" i="2"/>
  <c r="T1815" i="2"/>
  <c r="U1815" i="2" s="1"/>
  <c r="V1814" i="2"/>
  <c r="T1814" i="2"/>
  <c r="U1814" i="2" s="1"/>
  <c r="V1772" i="2"/>
  <c r="T1772" i="2"/>
  <c r="U1772" i="2" s="1"/>
  <c r="W261" i="2"/>
  <c r="Y261" i="2" s="1"/>
  <c r="O261" i="4" s="1"/>
  <c r="T1366" i="2"/>
  <c r="U1366" i="2" s="1"/>
  <c r="T1353" i="2"/>
  <c r="U1353" i="2" s="1"/>
  <c r="T26" i="2"/>
  <c r="U26" i="2" s="1"/>
  <c r="W26" i="2" s="1"/>
  <c r="Y26" i="2" s="1"/>
  <c r="T1733" i="2"/>
  <c r="U1733" i="2" s="1"/>
  <c r="W1733" i="2" s="1"/>
  <c r="T1079" i="2"/>
  <c r="U1079" i="2" s="1"/>
  <c r="W1079" i="2" s="1"/>
  <c r="T818" i="2"/>
  <c r="U818" i="2" s="1"/>
  <c r="W818" i="2" s="1"/>
  <c r="Y818" i="2" s="1"/>
  <c r="O818" i="4" s="1"/>
  <c r="T383" i="2"/>
  <c r="U383" i="2" s="1"/>
  <c r="W383" i="2" s="1"/>
  <c r="T378" i="2"/>
  <c r="U378" i="2" s="1"/>
  <c r="W378" i="2" s="1"/>
  <c r="T376" i="2"/>
  <c r="U376" i="2" s="1"/>
  <c r="W376" i="2" s="1"/>
  <c r="T370" i="2"/>
  <c r="U370" i="2" s="1"/>
  <c r="W370" i="2" s="1"/>
  <c r="Y370" i="2" s="1"/>
  <c r="T374" i="2"/>
  <c r="U374" i="2" s="1"/>
  <c r="W374" i="2" s="1"/>
  <c r="T1722" i="2"/>
  <c r="U1722" i="2" s="1"/>
  <c r="W1722" i="2" s="1"/>
  <c r="T1704" i="2"/>
  <c r="U1704" i="2" s="1"/>
  <c r="W1704" i="2" s="1"/>
  <c r="T1687" i="2"/>
  <c r="U1687" i="2" s="1"/>
  <c r="W1687" i="2" s="1"/>
  <c r="T1409" i="2"/>
  <c r="U1409" i="2" s="1"/>
  <c r="W1409" i="2" s="1"/>
  <c r="T1397" i="2"/>
  <c r="U1397" i="2" s="1"/>
  <c r="W1397" i="2" s="1"/>
  <c r="T1375" i="2"/>
  <c r="U1375" i="2" s="1"/>
  <c r="W1375" i="2" s="1"/>
  <c r="T1057" i="2"/>
  <c r="U1057" i="2" s="1"/>
  <c r="W1057" i="2" s="1"/>
  <c r="T1041" i="2"/>
  <c r="U1041" i="2" s="1"/>
  <c r="W1041" i="2" s="1"/>
  <c r="T788" i="2"/>
  <c r="U788" i="2" s="1"/>
  <c r="W788" i="2" s="1"/>
  <c r="T742" i="2"/>
  <c r="U742" i="2" s="1"/>
  <c r="W742" i="2" s="1"/>
  <c r="T361" i="2"/>
  <c r="U361" i="2" s="1"/>
  <c r="W361" i="2" s="1"/>
  <c r="T350" i="2"/>
  <c r="U350" i="2" s="1"/>
  <c r="W350" i="2" s="1"/>
  <c r="T346" i="2"/>
  <c r="U346" i="2" s="1"/>
  <c r="W346" i="2" s="1"/>
  <c r="T234" i="2"/>
  <c r="U234" i="2" s="1"/>
  <c r="W234" i="2" s="1"/>
  <c r="T216" i="2"/>
  <c r="U216" i="2" s="1"/>
  <c r="W216" i="2" s="1"/>
  <c r="T214" i="2"/>
  <c r="U214" i="2" s="1"/>
  <c r="W214" i="2" s="1"/>
  <c r="T190" i="2"/>
  <c r="U190" i="2" s="1"/>
  <c r="W190" i="2" s="1"/>
  <c r="T104" i="2"/>
  <c r="U104" i="2" s="1"/>
  <c r="W104" i="2" s="1"/>
  <c r="V435" i="2"/>
  <c r="T435" i="2"/>
  <c r="U435" i="2" s="1"/>
  <c r="V1383" i="2"/>
  <c r="T1383" i="2"/>
  <c r="U1383" i="2" s="1"/>
  <c r="V347" i="2"/>
  <c r="T347" i="2"/>
  <c r="U347" i="2" s="1"/>
  <c r="W347" i="2" s="1"/>
  <c r="V402" i="2"/>
  <c r="T402" i="2"/>
  <c r="U402" i="2" s="1"/>
  <c r="W402" i="2" s="1"/>
  <c r="V179" i="2"/>
  <c r="T179" i="2"/>
  <c r="U179" i="2" s="1"/>
  <c r="W179" i="2" s="1"/>
  <c r="V177" i="2"/>
  <c r="T177" i="2"/>
  <c r="U177" i="2" s="1"/>
  <c r="W177" i="2" s="1"/>
  <c r="T1415" i="2"/>
  <c r="U1415" i="2" s="1"/>
  <c r="V1415" i="2"/>
  <c r="V1392" i="2"/>
  <c r="T1392" i="2"/>
  <c r="U1392" i="2" s="1"/>
  <c r="V362" i="2"/>
  <c r="T362" i="2"/>
  <c r="U362" i="2" s="1"/>
  <c r="W362" i="2" s="1"/>
  <c r="Y362" i="2" s="1"/>
  <c r="T1662" i="2"/>
  <c r="U1662" i="2" s="1"/>
  <c r="T1677" i="2"/>
  <c r="U1677" i="2" s="1"/>
  <c r="W1677" i="2" s="1"/>
  <c r="T1216" i="2"/>
  <c r="U1216" i="2" s="1"/>
  <c r="W1216" i="2" s="1"/>
  <c r="T316" i="2"/>
  <c r="U316" i="2" s="1"/>
  <c r="W316" i="2" s="1"/>
  <c r="T306" i="2"/>
  <c r="U306" i="2" s="1"/>
  <c r="W306" i="2" s="1"/>
  <c r="T293" i="2"/>
  <c r="U293" i="2" s="1"/>
  <c r="W293" i="2" s="1"/>
  <c r="T250" i="2"/>
  <c r="U250" i="2" s="1"/>
  <c r="W250" i="2" s="1"/>
  <c r="T244" i="2"/>
  <c r="U244" i="2" s="1"/>
  <c r="W244" i="2" s="1"/>
  <c r="T229" i="2"/>
  <c r="U229" i="2" s="1"/>
  <c r="W229" i="2" s="1"/>
  <c r="T256" i="2"/>
  <c r="U256" i="2" s="1"/>
  <c r="V256" i="2"/>
  <c r="T249" i="2"/>
  <c r="U249" i="2" s="1"/>
  <c r="V249" i="2"/>
  <c r="T1189" i="2"/>
  <c r="U1189" i="2" s="1"/>
  <c r="W1189" i="2" s="1"/>
  <c r="T1186" i="2"/>
  <c r="U1186" i="2" s="1"/>
  <c r="W1186" i="2" s="1"/>
  <c r="T1181" i="2"/>
  <c r="U1181" i="2" s="1"/>
  <c r="W1181" i="2" s="1"/>
  <c r="T1161" i="2"/>
  <c r="U1161" i="2" s="1"/>
  <c r="W1161" i="2" s="1"/>
  <c r="T692" i="2"/>
  <c r="U692" i="2" s="1"/>
  <c r="W692" i="2" s="1"/>
  <c r="T300" i="2"/>
  <c r="U300" i="2" s="1"/>
  <c r="W300" i="2" s="1"/>
  <c r="T1586" i="2"/>
  <c r="U1586" i="2" s="1"/>
  <c r="W1586" i="2" s="1"/>
  <c r="T1261" i="2"/>
  <c r="U1261" i="2" s="1"/>
  <c r="W1261" i="2" s="1"/>
  <c r="T1245" i="2"/>
  <c r="U1245" i="2" s="1"/>
  <c r="W1245" i="2" s="1"/>
  <c r="T1232" i="2"/>
  <c r="U1232" i="2" s="1"/>
  <c r="W1232" i="2" s="1"/>
  <c r="T666" i="2"/>
  <c r="U666" i="2" s="1"/>
  <c r="W666" i="2" s="1"/>
  <c r="Y666" i="2" s="1"/>
  <c r="T695" i="2"/>
  <c r="U695" i="2" s="1"/>
  <c r="W695" i="2" s="1"/>
  <c r="Y695" i="2" s="1"/>
  <c r="T526" i="2"/>
  <c r="U526" i="2" s="1"/>
  <c r="W526" i="2" s="1"/>
  <c r="T512" i="2"/>
  <c r="U512" i="2" s="1"/>
  <c r="W512" i="2" s="1"/>
  <c r="T499" i="2"/>
  <c r="U499" i="2" s="1"/>
  <c r="W499" i="2" s="1"/>
  <c r="T360" i="2"/>
  <c r="U360" i="2" s="1"/>
  <c r="W360" i="2" s="1"/>
  <c r="T351" i="2"/>
  <c r="U351" i="2" s="1"/>
  <c r="W351" i="2" s="1"/>
  <c r="V546" i="2"/>
  <c r="T546" i="2"/>
  <c r="U546" i="2" s="1"/>
  <c r="W546" i="2" s="1"/>
  <c r="V568" i="2"/>
  <c r="T568" i="2"/>
  <c r="U568" i="2" s="1"/>
  <c r="W568" i="2" s="1"/>
  <c r="V567" i="2"/>
  <c r="T567" i="2"/>
  <c r="U567" i="2" s="1"/>
  <c r="W567" i="2" s="1"/>
  <c r="T1157" i="2"/>
  <c r="U1157" i="2" s="1"/>
  <c r="W1157" i="2" s="1"/>
  <c r="Y1157" i="2" s="1"/>
  <c r="T2006" i="2"/>
  <c r="U2006" i="2" s="1"/>
  <c r="T2005" i="2"/>
  <c r="U2005" i="2" s="1"/>
  <c r="T2004" i="2"/>
  <c r="U2004" i="2" s="1"/>
  <c r="T2002" i="2"/>
  <c r="U2002" i="2" s="1"/>
  <c r="T1567" i="2"/>
  <c r="U1567" i="2" s="1"/>
  <c r="W1567" i="2" s="1"/>
  <c r="T1564" i="2"/>
  <c r="U1564" i="2" s="1"/>
  <c r="W1564" i="2" s="1"/>
  <c r="T1551" i="2"/>
  <c r="U1551" i="2" s="1"/>
  <c r="W1551" i="2" s="1"/>
  <c r="T1550" i="2"/>
  <c r="U1550" i="2" s="1"/>
  <c r="W1550" i="2" s="1"/>
  <c r="T1240" i="2"/>
  <c r="U1240" i="2" s="1"/>
  <c r="W1240" i="2" s="1"/>
  <c r="T1239" i="2"/>
  <c r="U1239" i="2" s="1"/>
  <c r="W1239" i="2" s="1"/>
  <c r="T1122" i="2"/>
  <c r="U1122" i="2" s="1"/>
  <c r="W1122" i="2" s="1"/>
  <c r="T1121" i="2"/>
  <c r="U1121" i="2" s="1"/>
  <c r="W1121" i="2" s="1"/>
  <c r="T1118" i="2"/>
  <c r="U1118" i="2" s="1"/>
  <c r="W1118" i="2" s="1"/>
  <c r="T665" i="2"/>
  <c r="U665" i="2" s="1"/>
  <c r="W665" i="2" s="1"/>
  <c r="T647" i="2"/>
  <c r="U647" i="2" s="1"/>
  <c r="W647" i="2" s="1"/>
  <c r="T1061" i="2"/>
  <c r="U1061" i="2" s="1"/>
  <c r="W1061" i="2" s="1"/>
  <c r="Y1061" i="2" s="1"/>
  <c r="V37" i="2"/>
  <c r="T37" i="2"/>
  <c r="U37" i="2" s="1"/>
  <c r="W37" i="2" s="1"/>
  <c r="V337" i="2"/>
  <c r="T337" i="2"/>
  <c r="U337" i="2" s="1"/>
  <c r="W337" i="2" s="1"/>
  <c r="Y337" i="2" s="1"/>
  <c r="V691" i="2"/>
  <c r="T691" i="2"/>
  <c r="U691" i="2" s="1"/>
  <c r="V1570" i="2"/>
  <c r="T1570" i="2"/>
  <c r="U1570" i="2" s="1"/>
  <c r="W1570" i="2" s="1"/>
  <c r="V1555" i="2"/>
  <c r="T1555" i="2"/>
  <c r="U1555" i="2" s="1"/>
  <c r="W1555" i="2" s="1"/>
  <c r="V1110" i="2"/>
  <c r="T1110" i="2"/>
  <c r="U1110" i="2" s="1"/>
  <c r="W1110" i="2" s="1"/>
  <c r="T1274" i="2"/>
  <c r="U1274" i="2" s="1"/>
  <c r="W1274" i="2" s="1"/>
  <c r="Y1274" i="2" s="1"/>
  <c r="V1274" i="2"/>
  <c r="T1175" i="2"/>
  <c r="U1175" i="2" s="1"/>
  <c r="W1175" i="2" s="1"/>
  <c r="Y1175" i="2" s="1"/>
  <c r="V1175" i="2"/>
  <c r="V1171" i="2"/>
  <c r="T1171" i="2"/>
  <c r="U1171" i="2" s="1"/>
  <c r="T1213" i="2"/>
  <c r="U1213" i="2" s="1"/>
  <c r="W1213" i="2" s="1"/>
  <c r="V1213" i="2"/>
  <c r="T1120" i="2"/>
  <c r="U1120" i="2" s="1"/>
  <c r="W1120" i="2" s="1"/>
  <c r="V1120" i="2"/>
  <c r="T1074" i="2"/>
  <c r="U1074" i="2" s="1"/>
  <c r="W1074" i="2" s="1"/>
  <c r="V1074" i="2"/>
  <c r="T1083" i="2"/>
  <c r="U1083" i="2" s="1"/>
  <c r="W1083" i="2" s="1"/>
  <c r="V1083" i="2"/>
  <c r="T329" i="2"/>
  <c r="U329" i="2" s="1"/>
  <c r="T1265" i="2"/>
  <c r="U1265" i="2" s="1"/>
  <c r="W1265" i="2" s="1"/>
  <c r="Y1265" i="2" s="1"/>
  <c r="T1242" i="2"/>
  <c r="U1242" i="2" s="1"/>
  <c r="W1242" i="2" s="1"/>
  <c r="Y1242" i="2" s="1"/>
  <c r="T1236" i="2"/>
  <c r="U1236" i="2" s="1"/>
  <c r="T1229" i="2"/>
  <c r="U1229" i="2" s="1"/>
  <c r="W1229" i="2" s="1"/>
  <c r="Y1229" i="2" s="1"/>
  <c r="T1221" i="2"/>
  <c r="U1221" i="2" s="1"/>
  <c r="W1221" i="2" s="1"/>
  <c r="Y1221" i="2" s="1"/>
  <c r="T1106" i="2"/>
  <c r="U1106" i="2" s="1"/>
  <c r="W1106" i="2" s="1"/>
  <c r="T1953" i="2"/>
  <c r="U1953" i="2" s="1"/>
  <c r="W1953" i="2" s="1"/>
  <c r="T1530" i="2"/>
  <c r="U1530" i="2" s="1"/>
  <c r="W1530" i="2" s="1"/>
  <c r="T1411" i="2"/>
  <c r="U1411" i="2" s="1"/>
  <c r="W1411" i="2" s="1"/>
  <c r="T1410" i="2"/>
  <c r="U1410" i="2" s="1"/>
  <c r="W1410" i="2" s="1"/>
  <c r="T1404" i="2"/>
  <c r="U1404" i="2" s="1"/>
  <c r="W1404" i="2" s="1"/>
  <c r="T1384" i="2"/>
  <c r="U1384" i="2" s="1"/>
  <c r="W1384" i="2" s="1"/>
  <c r="T1382" i="2"/>
  <c r="U1382" i="2" s="1"/>
  <c r="W1382" i="2" s="1"/>
  <c r="T1365" i="2"/>
  <c r="U1365" i="2" s="1"/>
  <c r="W1365" i="2" s="1"/>
  <c r="T1311" i="2"/>
  <c r="U1311" i="2" s="1"/>
  <c r="W1311" i="2" s="1"/>
  <c r="Y1311" i="2" s="1"/>
  <c r="O1311" i="4" s="1"/>
  <c r="T1078" i="2"/>
  <c r="U1078" i="2" s="1"/>
  <c r="W1078" i="2" s="1"/>
  <c r="T1054" i="2"/>
  <c r="U1054" i="2" s="1"/>
  <c r="W1054" i="2" s="1"/>
  <c r="T1053" i="2"/>
  <c r="U1053" i="2" s="1"/>
  <c r="W1053" i="2" s="1"/>
  <c r="T643" i="2"/>
  <c r="U643" i="2" s="1"/>
  <c r="W643" i="2" s="1"/>
  <c r="T633" i="2"/>
  <c r="U633" i="2" s="1"/>
  <c r="W633" i="2" s="1"/>
  <c r="T614" i="2"/>
  <c r="U614" i="2" s="1"/>
  <c r="W614" i="2" s="1"/>
  <c r="T604" i="2"/>
  <c r="U604" i="2" s="1"/>
  <c r="W604" i="2" s="1"/>
  <c r="T584" i="2"/>
  <c r="U584" i="2" s="1"/>
  <c r="W584" i="2" s="1"/>
  <c r="T583" i="2"/>
  <c r="U583" i="2" s="1"/>
  <c r="W583" i="2" s="1"/>
  <c r="V557" i="2"/>
  <c r="T557" i="2"/>
  <c r="U557" i="2" s="1"/>
  <c r="W557" i="2" s="1"/>
  <c r="V1536" i="2"/>
  <c r="T1536" i="2"/>
  <c r="U1536" i="2" s="1"/>
  <c r="W1536" i="2" s="1"/>
  <c r="V1360" i="2"/>
  <c r="T1360" i="2"/>
  <c r="U1360" i="2" s="1"/>
  <c r="V1823" i="2"/>
  <c r="T1823" i="2"/>
  <c r="U1823" i="2" s="1"/>
  <c r="V1735" i="2"/>
  <c r="T1735" i="2"/>
  <c r="U1735" i="2" s="1"/>
  <c r="V1736" i="2"/>
  <c r="T1736" i="2"/>
  <c r="U1736" i="2" s="1"/>
  <c r="T1913" i="2"/>
  <c r="U1913" i="2" s="1"/>
  <c r="T1449" i="2"/>
  <c r="U1449" i="2" s="1"/>
  <c r="W1449" i="2" s="1"/>
  <c r="T1425" i="2"/>
  <c r="U1425" i="2" s="1"/>
  <c r="W1425" i="2" s="1"/>
  <c r="T1048" i="2"/>
  <c r="U1048" i="2" s="1"/>
  <c r="W1048" i="2" s="1"/>
  <c r="T1016" i="2"/>
  <c r="U1016" i="2" s="1"/>
  <c r="W1016" i="2" s="1"/>
  <c r="Y1016" i="2" s="1"/>
  <c r="T430" i="2"/>
  <c r="U430" i="2" s="1"/>
  <c r="W430" i="2" s="1"/>
  <c r="T425" i="2"/>
  <c r="U425" i="2" s="1"/>
  <c r="W425" i="2" s="1"/>
  <c r="T422" i="2"/>
  <c r="U422" i="2" s="1"/>
  <c r="W422" i="2" s="1"/>
  <c r="T398" i="2"/>
  <c r="U398" i="2" s="1"/>
  <c r="W398" i="2" s="1"/>
  <c r="T367" i="2"/>
  <c r="U367" i="2" s="1"/>
  <c r="W367" i="2" s="1"/>
  <c r="T235" i="2"/>
  <c r="U235" i="2" s="1"/>
  <c r="W235" i="2" s="1"/>
  <c r="V18" i="2"/>
  <c r="T18" i="2"/>
  <c r="U18" i="2" s="1"/>
  <c r="W18" i="2" s="1"/>
  <c r="T1372" i="2"/>
  <c r="U1372" i="2" s="1"/>
  <c r="V1372" i="2"/>
  <c r="T1167" i="2"/>
  <c r="U1167" i="2" s="1"/>
  <c r="V1167" i="2"/>
  <c r="T1601" i="2"/>
  <c r="U1601" i="2" s="1"/>
  <c r="V1601" i="2"/>
  <c r="T1596" i="2"/>
  <c r="U1596" i="2" s="1"/>
  <c r="V1596" i="2"/>
  <c r="T1479" i="2"/>
  <c r="U1479" i="2" s="1"/>
  <c r="V1479" i="2"/>
  <c r="T1385" i="2"/>
  <c r="U1385" i="2" s="1"/>
  <c r="V1385" i="2"/>
  <c r="T1422" i="2"/>
  <c r="U1422" i="2" s="1"/>
  <c r="V1422" i="2"/>
  <c r="T1368" i="2"/>
  <c r="U1368" i="2" s="1"/>
  <c r="V1368" i="2"/>
  <c r="T1861" i="2"/>
  <c r="U1861" i="2" s="1"/>
  <c r="T1844" i="2"/>
  <c r="U1844" i="2" s="1"/>
  <c r="Z465" i="2"/>
  <c r="T1840" i="2"/>
  <c r="U1840" i="2" s="1"/>
  <c r="W1840" i="2" s="1"/>
  <c r="T1838" i="2"/>
  <c r="U1838" i="2" s="1"/>
  <c r="W1838" i="2" s="1"/>
  <c r="T1837" i="2"/>
  <c r="U1837" i="2" s="1"/>
  <c r="W1837" i="2" s="1"/>
  <c r="T1805" i="2"/>
  <c r="U1805" i="2" s="1"/>
  <c r="W1805" i="2" s="1"/>
  <c r="T1771" i="2"/>
  <c r="U1771" i="2" s="1"/>
  <c r="W1771" i="2" s="1"/>
  <c r="T1769" i="2"/>
  <c r="U1769" i="2" s="1"/>
  <c r="W1769" i="2" s="1"/>
  <c r="T1764" i="2"/>
  <c r="U1764" i="2" s="1"/>
  <c r="W1764" i="2" s="1"/>
  <c r="T1763" i="2"/>
  <c r="U1763" i="2" s="1"/>
  <c r="W1763" i="2" s="1"/>
  <c r="T1487" i="2"/>
  <c r="U1487" i="2" s="1"/>
  <c r="W1487" i="2" s="1"/>
  <c r="Y1487" i="2" s="1"/>
  <c r="T1465" i="2"/>
  <c r="U1465" i="2" s="1"/>
  <c r="W1465" i="2" s="1"/>
  <c r="Y1465" i="2" s="1"/>
  <c r="T1040" i="2"/>
  <c r="U1040" i="2" s="1"/>
  <c r="W1040" i="2" s="1"/>
  <c r="T1035" i="2"/>
  <c r="U1035" i="2" s="1"/>
  <c r="W1035" i="2" s="1"/>
  <c r="T551" i="2"/>
  <c r="U551" i="2" s="1"/>
  <c r="W551" i="2" s="1"/>
  <c r="T228" i="2"/>
  <c r="U228" i="2" s="1"/>
  <c r="W228" i="2" s="1"/>
  <c r="T344" i="2"/>
  <c r="U344" i="2" s="1"/>
  <c r="V344" i="2"/>
  <c r="T1936" i="2"/>
  <c r="U1936" i="2" s="1"/>
  <c r="V1936" i="2"/>
  <c r="T409" i="2"/>
  <c r="U409" i="2" s="1"/>
  <c r="V409" i="2"/>
  <c r="T1846" i="2"/>
  <c r="U1846" i="2" s="1"/>
  <c r="T1746" i="2"/>
  <c r="U1746" i="2" s="1"/>
  <c r="W1746" i="2" s="1"/>
  <c r="T1745" i="2"/>
  <c r="U1745" i="2" s="1"/>
  <c r="W1745" i="2" s="1"/>
  <c r="T1737" i="2"/>
  <c r="U1737" i="2" s="1"/>
  <c r="W1737" i="2" s="1"/>
  <c r="T1729" i="2"/>
  <c r="U1729" i="2" s="1"/>
  <c r="W1729" i="2" s="1"/>
  <c r="T1696" i="2"/>
  <c r="U1696" i="2" s="1"/>
  <c r="W1696" i="2" s="1"/>
  <c r="T1695" i="2"/>
  <c r="U1695" i="2" s="1"/>
  <c r="W1695" i="2" s="1"/>
  <c r="T1693" i="2"/>
  <c r="U1693" i="2" s="1"/>
  <c r="W1693" i="2" s="1"/>
  <c r="T1690" i="2"/>
  <c r="U1690" i="2" s="1"/>
  <c r="W1690" i="2" s="1"/>
  <c r="T1362" i="2"/>
  <c r="U1362" i="2" s="1"/>
  <c r="W1362" i="2" s="1"/>
  <c r="T158" i="2"/>
  <c r="U158" i="2" s="1"/>
  <c r="W158" i="2" s="1"/>
  <c r="Z473" i="2"/>
  <c r="O473" i="4"/>
  <c r="Z456" i="2"/>
  <c r="O456" i="4"/>
  <c r="Y448" i="2"/>
  <c r="Y443" i="2"/>
  <c r="Y437" i="2"/>
  <c r="Y434" i="2"/>
  <c r="Y415" i="2"/>
  <c r="O325" i="4"/>
  <c r="Z325" i="2"/>
  <c r="O312" i="4"/>
  <c r="Z312" i="2"/>
  <c r="O307" i="4"/>
  <c r="Z307" i="2"/>
  <c r="O267" i="4"/>
  <c r="Z267" i="2"/>
  <c r="O262" i="4"/>
  <c r="Z262" i="2"/>
  <c r="O255" i="4"/>
  <c r="Z255" i="2"/>
  <c r="O254" i="4"/>
  <c r="Z254" i="2"/>
  <c r="O236" i="4"/>
  <c r="Z236" i="2"/>
  <c r="O233" i="4"/>
  <c r="Z233" i="2"/>
  <c r="Z230" i="2"/>
  <c r="O230" i="4"/>
  <c r="Z62" i="2"/>
  <c r="O62" i="4"/>
  <c r="T682" i="2"/>
  <c r="U682" i="2" s="1"/>
  <c r="V682" i="2"/>
  <c r="T1984" i="2"/>
  <c r="U1984" i="2" s="1"/>
  <c r="V1984" i="2"/>
  <c r="T1970" i="2"/>
  <c r="U1970" i="2" s="1"/>
  <c r="V1970" i="2"/>
  <c r="T1969" i="2"/>
  <c r="U1969" i="2" s="1"/>
  <c r="V1969" i="2"/>
  <c r="Z957" i="2"/>
  <c r="T2003" i="2"/>
  <c r="U2003" i="2" s="1"/>
  <c r="T1994" i="2"/>
  <c r="U1994" i="2" s="1"/>
  <c r="T1956" i="2"/>
  <c r="U1956" i="2" s="1"/>
  <c r="W1956" i="2" s="1"/>
  <c r="T1947" i="2"/>
  <c r="U1947" i="2" s="1"/>
  <c r="W1947" i="2" s="1"/>
  <c r="T1929" i="2"/>
  <c r="U1929" i="2" s="1"/>
  <c r="W1929" i="2" s="1"/>
  <c r="T1912" i="2"/>
  <c r="U1912" i="2" s="1"/>
  <c r="W1912" i="2" s="1"/>
  <c r="T1907" i="2"/>
  <c r="U1907" i="2" s="1"/>
  <c r="W1907" i="2" s="1"/>
  <c r="T1893" i="2"/>
  <c r="U1893" i="2" s="1"/>
  <c r="W1893" i="2" s="1"/>
  <c r="T1892" i="2"/>
  <c r="U1892" i="2" s="1"/>
  <c r="W1892" i="2" s="1"/>
  <c r="T1889" i="2"/>
  <c r="U1889" i="2" s="1"/>
  <c r="W1889" i="2" s="1"/>
  <c r="T1865" i="2"/>
  <c r="U1865" i="2" s="1"/>
  <c r="W1865" i="2" s="1"/>
  <c r="T1773" i="2"/>
  <c r="U1773" i="2" s="1"/>
  <c r="W1773" i="2" s="1"/>
  <c r="T1272" i="2"/>
  <c r="U1272" i="2" s="1"/>
  <c r="W1272" i="2" s="1"/>
  <c r="T1205" i="2"/>
  <c r="U1205" i="2" s="1"/>
  <c r="W1205" i="2" s="1"/>
  <c r="T1199" i="2"/>
  <c r="U1199" i="2" s="1"/>
  <c r="W1199" i="2" s="1"/>
  <c r="T1198" i="2"/>
  <c r="U1198" i="2" s="1"/>
  <c r="W1198" i="2" s="1"/>
  <c r="T1197" i="2"/>
  <c r="U1197" i="2" s="1"/>
  <c r="W1197" i="2" s="1"/>
  <c r="T1187" i="2"/>
  <c r="U1187" i="2" s="1"/>
  <c r="W1187" i="2" s="1"/>
  <c r="T1185" i="2"/>
  <c r="U1185" i="2" s="1"/>
  <c r="W1185" i="2" s="1"/>
  <c r="T1169" i="2"/>
  <c r="U1169" i="2" s="1"/>
  <c r="W1169" i="2" s="1"/>
  <c r="T1164" i="2"/>
  <c r="U1164" i="2" s="1"/>
  <c r="W1164" i="2" s="1"/>
  <c r="T1141" i="2"/>
  <c r="U1141" i="2" s="1"/>
  <c r="T1113" i="2"/>
  <c r="U1113" i="2" s="1"/>
  <c r="W1113" i="2" s="1"/>
  <c r="T1111" i="2"/>
  <c r="U1111" i="2" s="1"/>
  <c r="W1111" i="2" s="1"/>
  <c r="T1100" i="2"/>
  <c r="U1100" i="2" s="1"/>
  <c r="W1100" i="2" s="1"/>
  <c r="T1094" i="2"/>
  <c r="U1094" i="2" s="1"/>
  <c r="W1094" i="2" s="1"/>
  <c r="T1085" i="2"/>
  <c r="U1085" i="2" s="1"/>
  <c r="W1085" i="2" s="1"/>
  <c r="T1081" i="2"/>
  <c r="U1081" i="2" s="1"/>
  <c r="W1081" i="2" s="1"/>
  <c r="T1056" i="2"/>
  <c r="U1056" i="2" s="1"/>
  <c r="W1056" i="2" s="1"/>
  <c r="T1055" i="2"/>
  <c r="U1055" i="2" s="1"/>
  <c r="W1055" i="2" s="1"/>
  <c r="T1052" i="2"/>
  <c r="U1052" i="2" s="1"/>
  <c r="W1052" i="2" s="1"/>
  <c r="T1045" i="2"/>
  <c r="U1045" i="2" s="1"/>
  <c r="W1045" i="2" s="1"/>
  <c r="T1043" i="2"/>
  <c r="U1043" i="2" s="1"/>
  <c r="W1043" i="2" s="1"/>
  <c r="T1017" i="2"/>
  <c r="U1017" i="2" s="1"/>
  <c r="W1017" i="2" s="1"/>
  <c r="Y1017" i="2" s="1"/>
  <c r="T335" i="2"/>
  <c r="U335" i="2" s="1"/>
  <c r="T784" i="2"/>
  <c r="U784" i="2" s="1"/>
  <c r="W784" i="2" s="1"/>
  <c r="T776" i="2"/>
  <c r="U776" i="2" s="1"/>
  <c r="W776" i="2" s="1"/>
  <c r="T750" i="2"/>
  <c r="U750" i="2" s="1"/>
  <c r="W750" i="2" s="1"/>
  <c r="T661" i="2"/>
  <c r="U661" i="2" s="1"/>
  <c r="W661" i="2" s="1"/>
  <c r="T610" i="2"/>
  <c r="U610" i="2" s="1"/>
  <c r="W610" i="2" s="1"/>
  <c r="W1980" i="2"/>
  <c r="Y1980" i="2" s="1"/>
  <c r="O1980" i="4" s="1"/>
  <c r="W1972" i="2"/>
  <c r="Y1972" i="2"/>
  <c r="O1972" i="4" s="1"/>
  <c r="W333" i="2"/>
  <c r="Y333" i="2" s="1"/>
  <c r="O333" i="4" s="1"/>
  <c r="W1992" i="2"/>
  <c r="Y1992" i="2" s="1"/>
  <c r="Z1992" i="2"/>
  <c r="Z2001" i="2"/>
  <c r="W2001" i="2"/>
  <c r="Y2001" i="2" s="1"/>
  <c r="W777" i="2"/>
  <c r="Y777" i="2" s="1"/>
  <c r="O777" i="4" s="1"/>
  <c r="T1584" i="2"/>
  <c r="U1584" i="2" s="1"/>
  <c r="W1584" i="2" s="1"/>
  <c r="V1584" i="2"/>
  <c r="T1583" i="2"/>
  <c r="U1583" i="2" s="1"/>
  <c r="W1583" i="2" s="1"/>
  <c r="V1583" i="2"/>
  <c r="T1562" i="2"/>
  <c r="U1562" i="2" s="1"/>
  <c r="W1562" i="2" s="1"/>
  <c r="V1562" i="2"/>
  <c r="T1557" i="2"/>
  <c r="U1557" i="2" s="1"/>
  <c r="W1557" i="2" s="1"/>
  <c r="V1557" i="2"/>
  <c r="V1539" i="2"/>
  <c r="T1539" i="2"/>
  <c r="U1539" i="2" s="1"/>
  <c r="W1539" i="2" s="1"/>
  <c r="V1533" i="2"/>
  <c r="T1533" i="2"/>
  <c r="U1533" i="2" s="1"/>
  <c r="W1533" i="2" s="1"/>
  <c r="T1532" i="2"/>
  <c r="U1532" i="2" s="1"/>
  <c r="W1532" i="2" s="1"/>
  <c r="V1532" i="2"/>
  <c r="T1899" i="2"/>
  <c r="U1899" i="2" s="1"/>
  <c r="V1899" i="2"/>
  <c r="T1890" i="2"/>
  <c r="U1890" i="2" s="1"/>
  <c r="V1890" i="2"/>
  <c r="T873" i="2"/>
  <c r="U873" i="2" s="1"/>
  <c r="V873" i="2"/>
  <c r="T1755" i="2"/>
  <c r="U1755" i="2" s="1"/>
  <c r="V1755" i="2"/>
  <c r="T1802" i="2"/>
  <c r="U1802" i="2" s="1"/>
  <c r="V1802" i="2"/>
  <c r="T1761" i="2"/>
  <c r="U1761" i="2" s="1"/>
  <c r="V1761" i="2"/>
  <c r="T1717" i="2"/>
  <c r="U1717" i="2" s="1"/>
  <c r="V1717" i="2"/>
  <c r="T1878" i="2"/>
  <c r="U1878" i="2" s="1"/>
  <c r="V1878" i="2"/>
  <c r="T1875" i="2"/>
  <c r="U1875" i="2" s="1"/>
  <c r="V1875" i="2"/>
  <c r="T1706" i="2"/>
  <c r="U1706" i="2" s="1"/>
  <c r="V1706" i="2"/>
  <c r="T1720" i="2"/>
  <c r="U1720" i="2" s="1"/>
  <c r="V1720" i="2"/>
  <c r="T1938" i="2"/>
  <c r="U1938" i="2" s="1"/>
  <c r="W1938" i="2" s="1"/>
  <c r="T1935" i="2"/>
  <c r="U1935" i="2" s="1"/>
  <c r="W1935" i="2" s="1"/>
  <c r="T645" i="2"/>
  <c r="U645" i="2" s="1"/>
  <c r="W645" i="2" s="1"/>
  <c r="T640" i="2"/>
  <c r="U640" i="2" s="1"/>
  <c r="W640" i="2" s="1"/>
  <c r="T616" i="2"/>
  <c r="U616" i="2" s="1"/>
  <c r="W616" i="2" s="1"/>
  <c r="T328" i="2"/>
  <c r="U328" i="2" s="1"/>
  <c r="W34" i="2"/>
  <c r="Y34" i="2" s="1"/>
  <c r="T1527" i="2"/>
  <c r="U1527" i="2" s="1"/>
  <c r="W1527" i="2" s="1"/>
  <c r="V1527" i="2"/>
  <c r="V1526" i="2"/>
  <c r="T1526" i="2"/>
  <c r="U1526" i="2" s="1"/>
  <c r="W1526" i="2" s="1"/>
  <c r="V1517" i="2"/>
  <c r="T1517" i="2"/>
  <c r="U1517" i="2" s="1"/>
  <c r="W1517" i="2" s="1"/>
  <c r="Y1517" i="2" s="1"/>
  <c r="V1516" i="2"/>
  <c r="T1516" i="2"/>
  <c r="U1516" i="2" s="1"/>
  <c r="W1516" i="2" s="1"/>
  <c r="T1514" i="2"/>
  <c r="U1514" i="2" s="1"/>
  <c r="W1514" i="2" s="1"/>
  <c r="V1514" i="2"/>
  <c r="V1350" i="2"/>
  <c r="T1350" i="2"/>
  <c r="U1350" i="2" s="1"/>
  <c r="W1350" i="2" s="1"/>
  <c r="V600" i="2"/>
  <c r="T600" i="2"/>
  <c r="U600" i="2" s="1"/>
  <c r="W600" i="2" s="1"/>
  <c r="V591" i="2"/>
  <c r="T591" i="2"/>
  <c r="U591" i="2" s="1"/>
  <c r="W591" i="2" s="1"/>
  <c r="V552" i="2"/>
  <c r="T552" i="2"/>
  <c r="U552" i="2" s="1"/>
  <c r="W552" i="2" s="1"/>
  <c r="T522" i="2"/>
  <c r="U522" i="2" s="1"/>
  <c r="W522" i="2" s="1"/>
  <c r="V522" i="2"/>
  <c r="W401" i="2"/>
  <c r="Y401" i="2" s="1"/>
  <c r="W397" i="2"/>
  <c r="Y397" i="2" s="1"/>
  <c r="W396" i="2"/>
  <c r="W392" i="2"/>
  <c r="W391" i="2"/>
  <c r="Y391" i="2" s="1"/>
  <c r="W390" i="2"/>
  <c r="Z1943" i="2"/>
  <c r="O1943" i="4"/>
  <c r="Z1402" i="2"/>
  <c r="O1402" i="4"/>
  <c r="Y1391" i="2"/>
  <c r="Y1390" i="2"/>
  <c r="O1290" i="4"/>
  <c r="Z1290" i="2"/>
  <c r="O1289" i="4"/>
  <c r="Z1289" i="2"/>
  <c r="Y1000" i="2"/>
  <c r="Z967" i="2"/>
  <c r="O967" i="4"/>
  <c r="Z964" i="2"/>
  <c r="O964" i="4"/>
  <c r="Y963" i="2"/>
  <c r="Z959" i="2"/>
  <c r="O959" i="4"/>
  <c r="Y955" i="2"/>
  <c r="Y952" i="2"/>
  <c r="Y951" i="2"/>
  <c r="Y946" i="2"/>
  <c r="Y940" i="2"/>
  <c r="Y939" i="2"/>
  <c r="Y937" i="2"/>
  <c r="Y925" i="2"/>
  <c r="Y911" i="2"/>
  <c r="Y895" i="2"/>
  <c r="Y894" i="2"/>
  <c r="Z884" i="2"/>
  <c r="O884" i="4"/>
  <c r="Y877" i="2"/>
  <c r="Y871" i="2"/>
  <c r="Y852" i="2"/>
  <c r="Y808" i="2"/>
  <c r="Y807" i="2"/>
  <c r="Y806" i="2"/>
  <c r="Y804" i="2"/>
  <c r="Y791" i="2"/>
  <c r="Y783" i="2"/>
  <c r="Y763" i="2"/>
  <c r="Y746" i="2"/>
  <c r="Y739" i="2"/>
  <c r="Y719" i="2"/>
  <c r="Y713" i="2"/>
  <c r="Y689" i="2"/>
  <c r="Y686" i="2"/>
  <c r="Y508" i="2"/>
  <c r="Y506" i="2"/>
  <c r="Y489" i="2"/>
  <c r="Y488" i="2"/>
  <c r="Y487" i="2"/>
  <c r="Y486" i="2"/>
  <c r="Y476" i="2"/>
  <c r="Y475" i="2"/>
  <c r="T1098" i="2"/>
  <c r="U1098" i="2" s="1"/>
  <c r="V1098" i="2"/>
  <c r="T1026" i="2"/>
  <c r="U1026" i="2" s="1"/>
  <c r="V1026" i="2"/>
  <c r="T1149" i="2"/>
  <c r="U1149" i="2" s="1"/>
  <c r="V1149" i="2"/>
  <c r="T1028" i="2"/>
  <c r="U1028" i="2" s="1"/>
  <c r="V1028" i="2"/>
  <c r="T1203" i="2"/>
  <c r="U1203" i="2" s="1"/>
  <c r="V1203" i="2"/>
  <c r="T1154" i="2"/>
  <c r="U1154" i="2" s="1"/>
  <c r="V1154" i="2"/>
  <c r="T1119" i="2"/>
  <c r="U1119" i="2" s="1"/>
  <c r="V1119" i="2"/>
  <c r="T1115" i="2"/>
  <c r="U1115" i="2" s="1"/>
  <c r="V1115" i="2"/>
  <c r="T1086" i="2"/>
  <c r="U1086" i="2" s="1"/>
  <c r="V1086" i="2"/>
  <c r="F30" i="1"/>
  <c r="Z1446" i="2"/>
  <c r="Z1321" i="2"/>
  <c r="Z995" i="2"/>
  <c r="Z993" i="2"/>
  <c r="Z670" i="2"/>
  <c r="T559" i="2"/>
  <c r="U559" i="2" s="1"/>
  <c r="W559" i="2" s="1"/>
  <c r="V559" i="2"/>
  <c r="V556" i="2"/>
  <c r="T556" i="2"/>
  <c r="U556" i="2" s="1"/>
  <c r="W556" i="2" s="1"/>
  <c r="W1282" i="2"/>
  <c r="Y1282" i="2" s="1"/>
  <c r="O1282" i="4" s="1"/>
  <c r="W1269" i="2"/>
  <c r="Y1269" i="2" s="1"/>
  <c r="W1268" i="2"/>
  <c r="Y1268" i="2" s="1"/>
  <c r="W1257" i="2"/>
  <c r="W1251" i="2"/>
  <c r="Y1251" i="2" s="1"/>
  <c r="W1248" i="2"/>
  <c r="Y1248" i="2" s="1"/>
  <c r="W1227" i="2"/>
  <c r="Y1227" i="2" s="1"/>
  <c r="W1222" i="2"/>
  <c r="Y1222" i="2" s="1"/>
  <c r="W1210" i="2"/>
  <c r="W1207" i="2"/>
  <c r="W1172" i="2"/>
  <c r="Y1172" i="2" s="1"/>
  <c r="W1089" i="2"/>
  <c r="Y1089" i="2" s="1"/>
  <c r="W1084" i="2"/>
  <c r="Y1084" i="2" s="1"/>
  <c r="W1072" i="2"/>
  <c r="W1038" i="2"/>
  <c r="C30" i="1"/>
  <c r="T518" i="2"/>
  <c r="U518" i="2" s="1"/>
  <c r="V518" i="2"/>
  <c r="T515" i="2"/>
  <c r="U515" i="2" s="1"/>
  <c r="V515" i="2"/>
  <c r="T514" i="2"/>
  <c r="U514" i="2" s="1"/>
  <c r="V514" i="2"/>
  <c r="T1524" i="2"/>
  <c r="U1524" i="2" s="1"/>
  <c r="V1524" i="2"/>
  <c r="T1522" i="2"/>
  <c r="U1522" i="2" s="1"/>
  <c r="V1522" i="2"/>
  <c r="T2000" i="2"/>
  <c r="U2000" i="2" s="1"/>
  <c r="V2000" i="2"/>
  <c r="T1998" i="2"/>
  <c r="U1998" i="2" s="1"/>
  <c r="V1998" i="2"/>
  <c r="T1997" i="2"/>
  <c r="U1997" i="2" s="1"/>
  <c r="V1997" i="2"/>
  <c r="T1996" i="2"/>
  <c r="U1996" i="2" s="1"/>
  <c r="V1996" i="2"/>
  <c r="T1995" i="2"/>
  <c r="U1995" i="2" s="1"/>
  <c r="V1995" i="2"/>
  <c r="T1991" i="2"/>
  <c r="U1991" i="2" s="1"/>
  <c r="V1991" i="2"/>
  <c r="T1990" i="2"/>
  <c r="U1990" i="2" s="1"/>
  <c r="V1990" i="2"/>
  <c r="T1987" i="2"/>
  <c r="U1987" i="2" s="1"/>
  <c r="V1987" i="2"/>
  <c r="T1986" i="2"/>
  <c r="U1986" i="2" s="1"/>
  <c r="V1986" i="2"/>
  <c r="T1985" i="2"/>
  <c r="U1985" i="2" s="1"/>
  <c r="V1985" i="2"/>
  <c r="T1981" i="2"/>
  <c r="U1981" i="2" s="1"/>
  <c r="V1981" i="2"/>
  <c r="T1979" i="2"/>
  <c r="U1979" i="2" s="1"/>
  <c r="V1979" i="2"/>
  <c r="T1978" i="2"/>
  <c r="U1978" i="2" s="1"/>
  <c r="V1978" i="2"/>
  <c r="T1976" i="2"/>
  <c r="U1976" i="2" s="1"/>
  <c r="V1976" i="2"/>
  <c r="T1975" i="2"/>
  <c r="U1975" i="2" s="1"/>
  <c r="V1975" i="2"/>
  <c r="T1973" i="2"/>
  <c r="U1973" i="2" s="1"/>
  <c r="V1973" i="2"/>
  <c r="T1971" i="2"/>
  <c r="U1971" i="2" s="1"/>
  <c r="V1971" i="2"/>
  <c r="T1968" i="2"/>
  <c r="U1968" i="2" s="1"/>
  <c r="V1968" i="2"/>
  <c r="T1967" i="2"/>
  <c r="U1967" i="2" s="1"/>
  <c r="V1967" i="2"/>
  <c r="T1966" i="2"/>
  <c r="U1966" i="2" s="1"/>
  <c r="V1966" i="2"/>
  <c r="T1965" i="2"/>
  <c r="U1965" i="2" s="1"/>
  <c r="V1965" i="2"/>
  <c r="T1964" i="2"/>
  <c r="U1964" i="2" s="1"/>
  <c r="V1964" i="2"/>
  <c r="T1962" i="2"/>
  <c r="U1962" i="2" s="1"/>
  <c r="V1962" i="2"/>
  <c r="T1961" i="2"/>
  <c r="U1961" i="2" s="1"/>
  <c r="V1961" i="2"/>
  <c r="T1960" i="2"/>
  <c r="U1960" i="2" s="1"/>
  <c r="V1960" i="2"/>
  <c r="T1958" i="2"/>
  <c r="U1958" i="2" s="1"/>
  <c r="V1958" i="2"/>
  <c r="T1957" i="2"/>
  <c r="U1957" i="2" s="1"/>
  <c r="V1957" i="2"/>
  <c r="T1955" i="2"/>
  <c r="U1955" i="2" s="1"/>
  <c r="V1955" i="2"/>
  <c r="T1954" i="2"/>
  <c r="U1954" i="2" s="1"/>
  <c r="V1954" i="2"/>
  <c r="T1952" i="2"/>
  <c r="U1952" i="2" s="1"/>
  <c r="V1952" i="2"/>
  <c r="T1951" i="2"/>
  <c r="U1951" i="2" s="1"/>
  <c r="V1951" i="2"/>
  <c r="V1950" i="2"/>
  <c r="T1950" i="2"/>
  <c r="U1950" i="2" s="1"/>
  <c r="T1949" i="2"/>
  <c r="U1949" i="2" s="1"/>
  <c r="V1949" i="2"/>
  <c r="T1948" i="2"/>
  <c r="U1948" i="2" s="1"/>
  <c r="V1948" i="2"/>
  <c r="T1946" i="2"/>
  <c r="U1946" i="2" s="1"/>
  <c r="V1946" i="2"/>
  <c r="T1945" i="2"/>
  <c r="U1945" i="2" s="1"/>
  <c r="V1945" i="2"/>
  <c r="T1944" i="2"/>
  <c r="U1944" i="2" s="1"/>
  <c r="V1944" i="2"/>
  <c r="T1942" i="2"/>
  <c r="U1942" i="2" s="1"/>
  <c r="V1942" i="2"/>
  <c r="T1939" i="2"/>
  <c r="U1939" i="2" s="1"/>
  <c r="V1939" i="2"/>
  <c r="T1937" i="2"/>
  <c r="U1937" i="2" s="1"/>
  <c r="V1937" i="2"/>
  <c r="T1933" i="2"/>
  <c r="U1933" i="2" s="1"/>
  <c r="V1933" i="2"/>
  <c r="T1932" i="2"/>
  <c r="U1932" i="2" s="1"/>
  <c r="V1932" i="2"/>
  <c r="T1931" i="2"/>
  <c r="U1931" i="2" s="1"/>
  <c r="V1931" i="2"/>
  <c r="T1930" i="2"/>
  <c r="U1930" i="2" s="1"/>
  <c r="V1930" i="2"/>
  <c r="T1928" i="2"/>
  <c r="U1928" i="2" s="1"/>
  <c r="V1928" i="2"/>
  <c r="T1926" i="2"/>
  <c r="U1926" i="2" s="1"/>
  <c r="V1926" i="2"/>
  <c r="T1923" i="2"/>
  <c r="U1923" i="2" s="1"/>
  <c r="V1923" i="2"/>
  <c r="T1919" i="2"/>
  <c r="U1919" i="2" s="1"/>
  <c r="V1919" i="2"/>
  <c r="T1918" i="2"/>
  <c r="U1918" i="2" s="1"/>
  <c r="V1918" i="2"/>
  <c r="T1916" i="2"/>
  <c r="U1916" i="2" s="1"/>
  <c r="V1916" i="2"/>
  <c r="T1914" i="2"/>
  <c r="U1914" i="2" s="1"/>
  <c r="V1914" i="2"/>
  <c r="T1911" i="2"/>
  <c r="U1911" i="2" s="1"/>
  <c r="V1911" i="2"/>
  <c r="T1909" i="2"/>
  <c r="U1909" i="2" s="1"/>
  <c r="V1909" i="2"/>
  <c r="T1906" i="2"/>
  <c r="U1906" i="2" s="1"/>
  <c r="V1906" i="2"/>
  <c r="T1905" i="2"/>
  <c r="U1905" i="2" s="1"/>
  <c r="V1905" i="2"/>
  <c r="T1904" i="2"/>
  <c r="U1904" i="2" s="1"/>
  <c r="V1904" i="2"/>
  <c r="T1903" i="2"/>
  <c r="U1903" i="2" s="1"/>
  <c r="V1903" i="2"/>
  <c r="T1901" i="2"/>
  <c r="U1901" i="2" s="1"/>
  <c r="V1901" i="2"/>
  <c r="T1900" i="2"/>
  <c r="U1900" i="2" s="1"/>
  <c r="V1900" i="2"/>
  <c r="T1898" i="2"/>
  <c r="U1898" i="2" s="1"/>
  <c r="V1898" i="2"/>
  <c r="T1895" i="2"/>
  <c r="U1895" i="2" s="1"/>
  <c r="V1895" i="2"/>
  <c r="T1894" i="2"/>
  <c r="U1894" i="2" s="1"/>
  <c r="V1894" i="2"/>
  <c r="T1891" i="2"/>
  <c r="U1891" i="2" s="1"/>
  <c r="V1891" i="2"/>
  <c r="T1887" i="2"/>
  <c r="U1887" i="2" s="1"/>
  <c r="V1887" i="2"/>
  <c r="T1886" i="2"/>
  <c r="U1886" i="2" s="1"/>
  <c r="V1886" i="2"/>
  <c r="T1883" i="2"/>
  <c r="U1883" i="2" s="1"/>
  <c r="V1883" i="2"/>
  <c r="T1882" i="2"/>
  <c r="U1882" i="2" s="1"/>
  <c r="V1882" i="2"/>
  <c r="T1881" i="2"/>
  <c r="U1881" i="2" s="1"/>
  <c r="V1881" i="2"/>
  <c r="T1880" i="2"/>
  <c r="U1880" i="2" s="1"/>
  <c r="V1880" i="2"/>
  <c r="T1876" i="2"/>
  <c r="U1876" i="2" s="1"/>
  <c r="V1876" i="2"/>
  <c r="T1874" i="2"/>
  <c r="U1874" i="2" s="1"/>
  <c r="V1874" i="2"/>
  <c r="T1873" i="2"/>
  <c r="U1873" i="2" s="1"/>
  <c r="V1873" i="2"/>
  <c r="T1871" i="2"/>
  <c r="U1871" i="2" s="1"/>
  <c r="V1871" i="2"/>
  <c r="T1870" i="2"/>
  <c r="U1870" i="2" s="1"/>
  <c r="V1870" i="2"/>
  <c r="T1869" i="2"/>
  <c r="U1869" i="2" s="1"/>
  <c r="V1869" i="2"/>
  <c r="T1867" i="2"/>
  <c r="U1867" i="2" s="1"/>
  <c r="V1867" i="2"/>
  <c r="T1864" i="2"/>
  <c r="U1864" i="2" s="1"/>
  <c r="V1864" i="2"/>
  <c r="T1862" i="2"/>
  <c r="U1862" i="2" s="1"/>
  <c r="V1862" i="2"/>
  <c r="T1859" i="2"/>
  <c r="U1859" i="2" s="1"/>
  <c r="V1859" i="2"/>
  <c r="T1857" i="2"/>
  <c r="U1857" i="2" s="1"/>
  <c r="V1857" i="2"/>
  <c r="T1856" i="2"/>
  <c r="U1856" i="2" s="1"/>
  <c r="V1856" i="2"/>
  <c r="T1855" i="2"/>
  <c r="U1855" i="2" s="1"/>
  <c r="V1855" i="2"/>
  <c r="T1576" i="2"/>
  <c r="U1576" i="2" s="1"/>
  <c r="V1576" i="2"/>
  <c r="T1566" i="2"/>
  <c r="U1566" i="2" s="1"/>
  <c r="V1566" i="2"/>
  <c r="T1565" i="2"/>
  <c r="U1565" i="2" s="1"/>
  <c r="V1565" i="2"/>
  <c r="T1558" i="2"/>
  <c r="U1558" i="2" s="1"/>
  <c r="V1558" i="2"/>
  <c r="T1547" i="2"/>
  <c r="U1547" i="2" s="1"/>
  <c r="V1547" i="2"/>
  <c r="T1537" i="2"/>
  <c r="U1537" i="2" s="1"/>
  <c r="V1537" i="2"/>
  <c r="T1528" i="2"/>
  <c r="U1528" i="2" s="1"/>
  <c r="V1528" i="2"/>
  <c r="T1852" i="2"/>
  <c r="U1852" i="2" s="1"/>
  <c r="V1852" i="2"/>
  <c r="T1851" i="2"/>
  <c r="U1851" i="2" s="1"/>
  <c r="V1851" i="2"/>
  <c r="T1849" i="2"/>
  <c r="U1849" i="2" s="1"/>
  <c r="V1849" i="2"/>
  <c r="T1847" i="2"/>
  <c r="U1847" i="2" s="1"/>
  <c r="V1847" i="2"/>
  <c r="T1845" i="2"/>
  <c r="U1845" i="2" s="1"/>
  <c r="V1845" i="2"/>
  <c r="T1843" i="2"/>
  <c r="U1843" i="2" s="1"/>
  <c r="V1843" i="2"/>
  <c r="T1842" i="2"/>
  <c r="U1842" i="2" s="1"/>
  <c r="V1842" i="2"/>
  <c r="T1841" i="2"/>
  <c r="U1841" i="2" s="1"/>
  <c r="V1841" i="2"/>
  <c r="T1836" i="2"/>
  <c r="U1836" i="2" s="1"/>
  <c r="V1836" i="2"/>
  <c r="T1831" i="2"/>
  <c r="U1831" i="2" s="1"/>
  <c r="V1831" i="2"/>
  <c r="T1830" i="2"/>
  <c r="U1830" i="2" s="1"/>
  <c r="V1830" i="2"/>
  <c r="T1828" i="2"/>
  <c r="U1828" i="2" s="1"/>
  <c r="V1828" i="2"/>
  <c r="T1827" i="2"/>
  <c r="U1827" i="2" s="1"/>
  <c r="V1827" i="2"/>
  <c r="T1826" i="2"/>
  <c r="U1826" i="2" s="1"/>
  <c r="V1826" i="2"/>
  <c r="T1824" i="2"/>
  <c r="U1824" i="2" s="1"/>
  <c r="V1824" i="2"/>
  <c r="T1822" i="2"/>
  <c r="U1822" i="2" s="1"/>
  <c r="V1822" i="2"/>
  <c r="T1821" i="2"/>
  <c r="U1821" i="2" s="1"/>
  <c r="V1821" i="2"/>
  <c r="T1820" i="2"/>
  <c r="U1820" i="2" s="1"/>
  <c r="V1820" i="2"/>
  <c r="T1819" i="2"/>
  <c r="U1819" i="2" s="1"/>
  <c r="V1819" i="2"/>
  <c r="T1818" i="2"/>
  <c r="U1818" i="2" s="1"/>
  <c r="V1818" i="2"/>
  <c r="T1817" i="2"/>
  <c r="U1817" i="2" s="1"/>
  <c r="V1817" i="2"/>
  <c r="T1811" i="2"/>
  <c r="U1811" i="2" s="1"/>
  <c r="V1811" i="2"/>
  <c r="T1810" i="2"/>
  <c r="U1810" i="2" s="1"/>
  <c r="V1810" i="2"/>
  <c r="T1809" i="2"/>
  <c r="U1809" i="2" s="1"/>
  <c r="V1809" i="2"/>
  <c r="T1808" i="2"/>
  <c r="U1808" i="2" s="1"/>
  <c r="V1808" i="2"/>
  <c r="T1807" i="2"/>
  <c r="U1807" i="2" s="1"/>
  <c r="V1807" i="2"/>
  <c r="T1806" i="2"/>
  <c r="U1806" i="2" s="1"/>
  <c r="V1806" i="2"/>
  <c r="T1804" i="2"/>
  <c r="U1804" i="2" s="1"/>
  <c r="V1804" i="2"/>
  <c r="T1803" i="2"/>
  <c r="U1803" i="2" s="1"/>
  <c r="V1803" i="2"/>
  <c r="T1801" i="2"/>
  <c r="U1801" i="2" s="1"/>
  <c r="V1801" i="2"/>
  <c r="T1800" i="2"/>
  <c r="U1800" i="2" s="1"/>
  <c r="V1800" i="2"/>
  <c r="T1799" i="2"/>
  <c r="U1799" i="2" s="1"/>
  <c r="V1799" i="2"/>
  <c r="T1798" i="2"/>
  <c r="U1798" i="2" s="1"/>
  <c r="V1798" i="2"/>
  <c r="T1797" i="2"/>
  <c r="U1797" i="2" s="1"/>
  <c r="V1797" i="2"/>
  <c r="T1796" i="2"/>
  <c r="U1796" i="2" s="1"/>
  <c r="V1796" i="2"/>
  <c r="T1795" i="2"/>
  <c r="U1795" i="2" s="1"/>
  <c r="V1795" i="2"/>
  <c r="T1793" i="2"/>
  <c r="U1793" i="2" s="1"/>
  <c r="V1793" i="2"/>
  <c r="T1791" i="2"/>
  <c r="U1791" i="2" s="1"/>
  <c r="V1791" i="2"/>
  <c r="T1790" i="2"/>
  <c r="U1790" i="2" s="1"/>
  <c r="V1790" i="2"/>
  <c r="T1789" i="2"/>
  <c r="U1789" i="2" s="1"/>
  <c r="V1789" i="2"/>
  <c r="V1788" i="2"/>
  <c r="T1788" i="2"/>
  <c r="U1788" i="2" s="1"/>
  <c r="T1787" i="2"/>
  <c r="U1787" i="2" s="1"/>
  <c r="V1787" i="2"/>
  <c r="T1786" i="2"/>
  <c r="U1786" i="2" s="1"/>
  <c r="V1786" i="2"/>
  <c r="T1785" i="2"/>
  <c r="U1785" i="2" s="1"/>
  <c r="V1785" i="2"/>
  <c r="T1784" i="2"/>
  <c r="U1784" i="2" s="1"/>
  <c r="V1784" i="2"/>
  <c r="T1783" i="2"/>
  <c r="U1783" i="2" s="1"/>
  <c r="V1783" i="2"/>
  <c r="T1782" i="2"/>
  <c r="U1782" i="2" s="1"/>
  <c r="V1782" i="2"/>
  <c r="T1781" i="2"/>
  <c r="U1781" i="2" s="1"/>
  <c r="V1781" i="2"/>
  <c r="T1780" i="2"/>
  <c r="U1780" i="2" s="1"/>
  <c r="V1780" i="2"/>
  <c r="T1778" i="2"/>
  <c r="U1778" i="2" s="1"/>
  <c r="V1778" i="2"/>
  <c r="T1776" i="2"/>
  <c r="U1776" i="2" s="1"/>
  <c r="V1776" i="2"/>
  <c r="T1775" i="2"/>
  <c r="U1775" i="2" s="1"/>
  <c r="V1775" i="2"/>
  <c r="T1770" i="2"/>
  <c r="U1770" i="2" s="1"/>
  <c r="V1770" i="2"/>
  <c r="T1768" i="2"/>
  <c r="U1768" i="2" s="1"/>
  <c r="V1768" i="2"/>
  <c r="T1767" i="2"/>
  <c r="U1767" i="2" s="1"/>
  <c r="V1767" i="2"/>
  <c r="T1760" i="2"/>
  <c r="U1760" i="2" s="1"/>
  <c r="V1760" i="2"/>
  <c r="T1759" i="2"/>
  <c r="U1759" i="2" s="1"/>
  <c r="V1759" i="2"/>
  <c r="T1758" i="2"/>
  <c r="U1758" i="2" s="1"/>
  <c r="V1758" i="2"/>
  <c r="T1757" i="2"/>
  <c r="U1757" i="2" s="1"/>
  <c r="V1757" i="2"/>
  <c r="T1754" i="2"/>
  <c r="U1754" i="2" s="1"/>
  <c r="V1754" i="2"/>
  <c r="T1753" i="2"/>
  <c r="U1753" i="2" s="1"/>
  <c r="V1753" i="2"/>
  <c r="T1752" i="2"/>
  <c r="U1752" i="2" s="1"/>
  <c r="V1752" i="2"/>
  <c r="T1751" i="2"/>
  <c r="U1751" i="2" s="1"/>
  <c r="V1751" i="2"/>
  <c r="T1749" i="2"/>
  <c r="U1749" i="2" s="1"/>
  <c r="V1749" i="2"/>
  <c r="T1748" i="2"/>
  <c r="U1748" i="2" s="1"/>
  <c r="V1748" i="2"/>
  <c r="T1744" i="2"/>
  <c r="U1744" i="2" s="1"/>
  <c r="V1744" i="2"/>
  <c r="T1743" i="2"/>
  <c r="U1743" i="2" s="1"/>
  <c r="V1743" i="2"/>
  <c r="T1742" i="2"/>
  <c r="U1742" i="2" s="1"/>
  <c r="V1742" i="2"/>
  <c r="T1741" i="2"/>
  <c r="U1741" i="2" s="1"/>
  <c r="V1741" i="2"/>
  <c r="T1740" i="2"/>
  <c r="U1740" i="2" s="1"/>
  <c r="V1740" i="2"/>
  <c r="T1739" i="2"/>
  <c r="U1739" i="2" s="1"/>
  <c r="V1739" i="2"/>
  <c r="T1732" i="2"/>
  <c r="U1732" i="2" s="1"/>
  <c r="V1732" i="2"/>
  <c r="T1731" i="2"/>
  <c r="U1731" i="2" s="1"/>
  <c r="V1731" i="2"/>
  <c r="T1730" i="2"/>
  <c r="U1730" i="2" s="1"/>
  <c r="V1730" i="2"/>
  <c r="T1727" i="2"/>
  <c r="U1727" i="2" s="1"/>
  <c r="V1727" i="2"/>
  <c r="T1726" i="2"/>
  <c r="U1726" i="2" s="1"/>
  <c r="V1726" i="2"/>
  <c r="T1725" i="2"/>
  <c r="U1725" i="2" s="1"/>
  <c r="V1725" i="2"/>
  <c r="T1723" i="2"/>
  <c r="U1723" i="2" s="1"/>
  <c r="V1723" i="2"/>
  <c r="T1721" i="2"/>
  <c r="U1721" i="2" s="1"/>
  <c r="V1721" i="2"/>
  <c r="T1719" i="2"/>
  <c r="U1719" i="2" s="1"/>
  <c r="V1719" i="2"/>
  <c r="T1718" i="2"/>
  <c r="U1718" i="2" s="1"/>
  <c r="V1718" i="2"/>
  <c r="T1715" i="2"/>
  <c r="U1715" i="2" s="1"/>
  <c r="V1715" i="2"/>
  <c r="T1713" i="2"/>
  <c r="U1713" i="2" s="1"/>
  <c r="V1713" i="2"/>
  <c r="T1712" i="2"/>
  <c r="U1712" i="2" s="1"/>
  <c r="V1712" i="2"/>
  <c r="T1711" i="2"/>
  <c r="U1711" i="2" s="1"/>
  <c r="V1711" i="2"/>
  <c r="T1710" i="2"/>
  <c r="U1710" i="2" s="1"/>
  <c r="V1710" i="2"/>
  <c r="T1709" i="2"/>
  <c r="U1709" i="2" s="1"/>
  <c r="V1709" i="2"/>
  <c r="T1708" i="2"/>
  <c r="U1708" i="2" s="1"/>
  <c r="V1708" i="2"/>
  <c r="T1707" i="2"/>
  <c r="U1707" i="2" s="1"/>
  <c r="V1707" i="2"/>
  <c r="T1703" i="2"/>
  <c r="U1703" i="2" s="1"/>
  <c r="V1703" i="2"/>
  <c r="T1701" i="2"/>
  <c r="U1701" i="2" s="1"/>
  <c r="V1701" i="2"/>
  <c r="T1700" i="2"/>
  <c r="U1700" i="2" s="1"/>
  <c r="V1700" i="2"/>
  <c r="T1699" i="2"/>
  <c r="U1699" i="2" s="1"/>
  <c r="V1699" i="2"/>
  <c r="T1698" i="2"/>
  <c r="U1698" i="2" s="1"/>
  <c r="V1698" i="2"/>
  <c r="T1697" i="2"/>
  <c r="U1697" i="2" s="1"/>
  <c r="V1697" i="2"/>
  <c r="T1694" i="2"/>
  <c r="U1694" i="2" s="1"/>
  <c r="V1694" i="2"/>
  <c r="T1692" i="2"/>
  <c r="U1692" i="2" s="1"/>
  <c r="V1692" i="2"/>
  <c r="T1691" i="2"/>
  <c r="U1691" i="2" s="1"/>
  <c r="V1691" i="2"/>
  <c r="T1688" i="2"/>
  <c r="U1688" i="2" s="1"/>
  <c r="V1688" i="2"/>
  <c r="T1686" i="2"/>
  <c r="U1686" i="2" s="1"/>
  <c r="V1686" i="2"/>
  <c r="T1685" i="2"/>
  <c r="U1685" i="2" s="1"/>
  <c r="V1685" i="2"/>
  <c r="T1580" i="2"/>
  <c r="U1580" i="2" s="1"/>
  <c r="V1580" i="2"/>
  <c r="T1579" i="2"/>
  <c r="U1579" i="2" s="1"/>
  <c r="V1579" i="2"/>
  <c r="T1575" i="2"/>
  <c r="U1575" i="2" s="1"/>
  <c r="V1575" i="2"/>
  <c r="T1572" i="2"/>
  <c r="U1572" i="2" s="1"/>
  <c r="V1572" i="2"/>
  <c r="T1568" i="2"/>
  <c r="U1568" i="2" s="1"/>
  <c r="V1568" i="2"/>
  <c r="T1549" i="2"/>
  <c r="U1549" i="2" s="1"/>
  <c r="V1549" i="2"/>
  <c r="T1541" i="2"/>
  <c r="U1541" i="2" s="1"/>
  <c r="V1541" i="2"/>
  <c r="T1534" i="2"/>
  <c r="U1534" i="2" s="1"/>
  <c r="V1534" i="2"/>
  <c r="T1523" i="2"/>
  <c r="U1523" i="2" s="1"/>
  <c r="V1523" i="2"/>
  <c r="T1684" i="2"/>
  <c r="U1684" i="2" s="1"/>
  <c r="V1684" i="2"/>
  <c r="T1683" i="2"/>
  <c r="U1683" i="2" s="1"/>
  <c r="V1683" i="2"/>
  <c r="T1679" i="2"/>
  <c r="U1679" i="2" s="1"/>
  <c r="V1679" i="2"/>
  <c r="T1678" i="2"/>
  <c r="U1678" i="2" s="1"/>
  <c r="V1678" i="2"/>
  <c r="T1675" i="2"/>
  <c r="U1675" i="2" s="1"/>
  <c r="V1675" i="2"/>
  <c r="T1674" i="2"/>
  <c r="U1674" i="2" s="1"/>
  <c r="V1674" i="2"/>
  <c r="T1673" i="2"/>
  <c r="U1673" i="2" s="1"/>
  <c r="V1673" i="2"/>
  <c r="T1672" i="2"/>
  <c r="U1672" i="2" s="1"/>
  <c r="V1672" i="2"/>
  <c r="T1671" i="2"/>
  <c r="U1671" i="2" s="1"/>
  <c r="V1671" i="2"/>
  <c r="T1669" i="2"/>
  <c r="U1669" i="2" s="1"/>
  <c r="V1669" i="2"/>
  <c r="T1668" i="2"/>
  <c r="U1668" i="2" s="1"/>
  <c r="V1668" i="2"/>
  <c r="T1667" i="2"/>
  <c r="U1667" i="2" s="1"/>
  <c r="V1667" i="2"/>
  <c r="T1666" i="2"/>
  <c r="U1666" i="2" s="1"/>
  <c r="V1666" i="2"/>
  <c r="T1665" i="2"/>
  <c r="U1665" i="2" s="1"/>
  <c r="V1665" i="2"/>
  <c r="T1664" i="2"/>
  <c r="U1664" i="2" s="1"/>
  <c r="V1664" i="2"/>
  <c r="T1663" i="2"/>
  <c r="U1663" i="2" s="1"/>
  <c r="V1663" i="2"/>
  <c r="T1661" i="2"/>
  <c r="U1661" i="2" s="1"/>
  <c r="V1661" i="2"/>
  <c r="T1659" i="2"/>
  <c r="U1659" i="2" s="1"/>
  <c r="V1659" i="2"/>
  <c r="T1658" i="2"/>
  <c r="U1658" i="2" s="1"/>
  <c r="V1658" i="2"/>
  <c r="T1655" i="2"/>
  <c r="U1655" i="2" s="1"/>
  <c r="V1655" i="2"/>
  <c r="T1654" i="2"/>
  <c r="U1654" i="2" s="1"/>
  <c r="V1654" i="2"/>
  <c r="T1653" i="2"/>
  <c r="U1653" i="2" s="1"/>
  <c r="V1653" i="2"/>
  <c r="T1651" i="2"/>
  <c r="U1651" i="2" s="1"/>
  <c r="V1651" i="2"/>
  <c r="T1648" i="2"/>
  <c r="U1648" i="2" s="1"/>
  <c r="V1648" i="2"/>
  <c r="T1645" i="2"/>
  <c r="U1645" i="2" s="1"/>
  <c r="V1645" i="2"/>
  <c r="T1644" i="2"/>
  <c r="U1644" i="2" s="1"/>
  <c r="V1644" i="2"/>
  <c r="T1643" i="2"/>
  <c r="U1643" i="2" s="1"/>
  <c r="V1643" i="2"/>
  <c r="T1641" i="2"/>
  <c r="U1641" i="2" s="1"/>
  <c r="V1641" i="2"/>
  <c r="T1640" i="2"/>
  <c r="U1640" i="2" s="1"/>
  <c r="V1640" i="2"/>
  <c r="T1637" i="2"/>
  <c r="U1637" i="2" s="1"/>
  <c r="V1637" i="2"/>
  <c r="T1636" i="2"/>
  <c r="U1636" i="2" s="1"/>
  <c r="V1636" i="2"/>
  <c r="T1635" i="2"/>
  <c r="U1635" i="2" s="1"/>
  <c r="V1635" i="2"/>
  <c r="T1631" i="2"/>
  <c r="U1631" i="2" s="1"/>
  <c r="V1631" i="2"/>
  <c r="T1630" i="2"/>
  <c r="U1630" i="2" s="1"/>
  <c r="V1630" i="2"/>
  <c r="V1626" i="2"/>
  <c r="T1626" i="2"/>
  <c r="U1626" i="2" s="1"/>
  <c r="T1625" i="2"/>
  <c r="U1625" i="2" s="1"/>
  <c r="V1625" i="2"/>
  <c r="T1624" i="2"/>
  <c r="U1624" i="2" s="1"/>
  <c r="V1624" i="2"/>
  <c r="T1623" i="2"/>
  <c r="U1623" i="2" s="1"/>
  <c r="V1623" i="2"/>
  <c r="T1621" i="2"/>
  <c r="U1621" i="2" s="1"/>
  <c r="V1621" i="2"/>
  <c r="T1620" i="2"/>
  <c r="U1620" i="2" s="1"/>
  <c r="V1620" i="2"/>
  <c r="T1619" i="2"/>
  <c r="U1619" i="2" s="1"/>
  <c r="V1619" i="2"/>
  <c r="T1611" i="2"/>
  <c r="U1611" i="2" s="1"/>
  <c r="V1611" i="2"/>
  <c r="T1610" i="2"/>
  <c r="U1610" i="2" s="1"/>
  <c r="V1610" i="2"/>
  <c r="T1607" i="2"/>
  <c r="U1607" i="2" s="1"/>
  <c r="V1607" i="2"/>
  <c r="T1606" i="2"/>
  <c r="U1606" i="2" s="1"/>
  <c r="V1606" i="2"/>
  <c r="T1602" i="2"/>
  <c r="U1602" i="2" s="1"/>
  <c r="V1602" i="2"/>
  <c r="T1600" i="2"/>
  <c r="U1600" i="2" s="1"/>
  <c r="V1600" i="2"/>
  <c r="T1599" i="2"/>
  <c r="U1599" i="2" s="1"/>
  <c r="V1599" i="2"/>
  <c r="T1597" i="2"/>
  <c r="U1597" i="2" s="1"/>
  <c r="V1597" i="2"/>
  <c r="T1595" i="2"/>
  <c r="U1595" i="2" s="1"/>
  <c r="V1595" i="2"/>
  <c r="T1594" i="2"/>
  <c r="U1594" i="2" s="1"/>
  <c r="V1594" i="2"/>
  <c r="T1589" i="2"/>
  <c r="U1589" i="2" s="1"/>
  <c r="V1589" i="2"/>
  <c r="T1587" i="2"/>
  <c r="U1587" i="2" s="1"/>
  <c r="V1587" i="2"/>
  <c r="T1585" i="2"/>
  <c r="U1585" i="2" s="1"/>
  <c r="V1585" i="2"/>
  <c r="T1582" i="2"/>
  <c r="U1582" i="2" s="1"/>
  <c r="V1582" i="2"/>
  <c r="T1571" i="2"/>
  <c r="U1571" i="2" s="1"/>
  <c r="V1571" i="2"/>
  <c r="T1569" i="2"/>
  <c r="U1569" i="2" s="1"/>
  <c r="V1569" i="2"/>
  <c r="T1563" i="2"/>
  <c r="U1563" i="2" s="1"/>
  <c r="V1563" i="2"/>
  <c r="T1561" i="2"/>
  <c r="U1561" i="2" s="1"/>
  <c r="V1561" i="2"/>
  <c r="T1554" i="2"/>
  <c r="U1554" i="2" s="1"/>
  <c r="V1554" i="2"/>
  <c r="T1553" i="2"/>
  <c r="U1553" i="2" s="1"/>
  <c r="V1553" i="2"/>
  <c r="T1552" i="2"/>
  <c r="U1552" i="2" s="1"/>
  <c r="V1552" i="2"/>
  <c r="T1545" i="2"/>
  <c r="U1545" i="2" s="1"/>
  <c r="V1545" i="2"/>
  <c r="T1542" i="2"/>
  <c r="U1542" i="2" s="1"/>
  <c r="V1542" i="2"/>
  <c r="T1518" i="2"/>
  <c r="U1518" i="2" s="1"/>
  <c r="V1518" i="2"/>
  <c r="T1513" i="2"/>
  <c r="U1513" i="2" s="1"/>
  <c r="V1513" i="2"/>
  <c r="T1512" i="2"/>
  <c r="U1512" i="2" s="1"/>
  <c r="V1512" i="2"/>
  <c r="T1510" i="2"/>
  <c r="U1510" i="2" s="1"/>
  <c r="V1510" i="2"/>
  <c r="T1509" i="2"/>
  <c r="U1509" i="2" s="1"/>
  <c r="V1509" i="2"/>
  <c r="T1508" i="2"/>
  <c r="U1508" i="2" s="1"/>
  <c r="V1508" i="2"/>
  <c r="T1507" i="2"/>
  <c r="U1507" i="2" s="1"/>
  <c r="V1507" i="2"/>
  <c r="T1506" i="2"/>
  <c r="U1506" i="2" s="1"/>
  <c r="V1506" i="2"/>
  <c r="T1505" i="2"/>
  <c r="U1505" i="2" s="1"/>
  <c r="V1505" i="2"/>
  <c r="T1504" i="2"/>
  <c r="U1504" i="2" s="1"/>
  <c r="V1504" i="2"/>
  <c r="T1503" i="2"/>
  <c r="U1503" i="2" s="1"/>
  <c r="V1503" i="2"/>
  <c r="T1502" i="2"/>
  <c r="U1502" i="2" s="1"/>
  <c r="V1502" i="2"/>
  <c r="T1501" i="2"/>
  <c r="U1501" i="2" s="1"/>
  <c r="V1501" i="2"/>
  <c r="T1496" i="2"/>
  <c r="U1496" i="2" s="1"/>
  <c r="V1496" i="2"/>
  <c r="T1495" i="2"/>
  <c r="U1495" i="2" s="1"/>
  <c r="V1495" i="2"/>
  <c r="T1492" i="2"/>
  <c r="U1492" i="2" s="1"/>
  <c r="V1492" i="2"/>
  <c r="T1490" i="2"/>
  <c r="U1490" i="2" s="1"/>
  <c r="V1490" i="2"/>
  <c r="T1489" i="2"/>
  <c r="U1489" i="2" s="1"/>
  <c r="V1489" i="2"/>
  <c r="T1488" i="2"/>
  <c r="U1488" i="2" s="1"/>
  <c r="V1488" i="2"/>
  <c r="T1485" i="2"/>
  <c r="U1485" i="2" s="1"/>
  <c r="V1485" i="2"/>
  <c r="T1484" i="2"/>
  <c r="U1484" i="2" s="1"/>
  <c r="V1484" i="2"/>
  <c r="T1483" i="2"/>
  <c r="U1483" i="2" s="1"/>
  <c r="V1483" i="2"/>
  <c r="T1482" i="2"/>
  <c r="U1482" i="2" s="1"/>
  <c r="V1482" i="2"/>
  <c r="T1481" i="2"/>
  <c r="U1481" i="2" s="1"/>
  <c r="V1481" i="2"/>
  <c r="T1477" i="2"/>
  <c r="U1477" i="2" s="1"/>
  <c r="V1477" i="2"/>
  <c r="T1476" i="2"/>
  <c r="U1476" i="2" s="1"/>
  <c r="V1476" i="2"/>
  <c r="T1475" i="2"/>
  <c r="U1475" i="2" s="1"/>
  <c r="V1475" i="2"/>
  <c r="T1474" i="2"/>
  <c r="U1474" i="2" s="1"/>
  <c r="V1474" i="2"/>
  <c r="T1473" i="2"/>
  <c r="U1473" i="2" s="1"/>
  <c r="V1473" i="2"/>
  <c r="T1472" i="2"/>
  <c r="U1472" i="2" s="1"/>
  <c r="V1472" i="2"/>
  <c r="T1471" i="2"/>
  <c r="U1471" i="2" s="1"/>
  <c r="V1471" i="2"/>
  <c r="T1470" i="2"/>
  <c r="U1470" i="2" s="1"/>
  <c r="V1470" i="2"/>
  <c r="T1469" i="2"/>
  <c r="U1469" i="2" s="1"/>
  <c r="V1469" i="2"/>
  <c r="T1467" i="2"/>
  <c r="U1467" i="2" s="1"/>
  <c r="V1467" i="2"/>
  <c r="T1466" i="2"/>
  <c r="U1466" i="2" s="1"/>
  <c r="V1466" i="2"/>
  <c r="T1462" i="2"/>
  <c r="U1462" i="2" s="1"/>
  <c r="V1462" i="2"/>
  <c r="T1460" i="2"/>
  <c r="U1460" i="2" s="1"/>
  <c r="V1460" i="2"/>
  <c r="T1457" i="2"/>
  <c r="U1457" i="2" s="1"/>
  <c r="V1457" i="2"/>
  <c r="T1456" i="2"/>
  <c r="U1456" i="2" s="1"/>
  <c r="V1456" i="2"/>
  <c r="T1455" i="2"/>
  <c r="U1455" i="2" s="1"/>
  <c r="V1455" i="2"/>
  <c r="T1454" i="2"/>
  <c r="U1454" i="2" s="1"/>
  <c r="V1454" i="2"/>
  <c r="T1450" i="2"/>
  <c r="U1450" i="2" s="1"/>
  <c r="V1450" i="2"/>
  <c r="T1445" i="2"/>
  <c r="U1445" i="2" s="1"/>
  <c r="V1445" i="2"/>
  <c r="T1444" i="2"/>
  <c r="U1444" i="2" s="1"/>
  <c r="V1444" i="2"/>
  <c r="T1443" i="2"/>
  <c r="U1443" i="2" s="1"/>
  <c r="V1443" i="2"/>
  <c r="T1442" i="2"/>
  <c r="U1442" i="2" s="1"/>
  <c r="V1442" i="2"/>
  <c r="T1441" i="2"/>
  <c r="U1441" i="2" s="1"/>
  <c r="V1441" i="2"/>
  <c r="T1437" i="2"/>
  <c r="U1437" i="2" s="1"/>
  <c r="V1437" i="2"/>
  <c r="T1436" i="2"/>
  <c r="U1436" i="2" s="1"/>
  <c r="V1436" i="2"/>
  <c r="T1435" i="2"/>
  <c r="U1435" i="2" s="1"/>
  <c r="V1435" i="2"/>
  <c r="T1434" i="2"/>
  <c r="U1434" i="2" s="1"/>
  <c r="V1434" i="2"/>
  <c r="T1433" i="2"/>
  <c r="U1433" i="2" s="1"/>
  <c r="V1433" i="2"/>
  <c r="T1431" i="2"/>
  <c r="U1431" i="2" s="1"/>
  <c r="V1431" i="2"/>
  <c r="T1430" i="2"/>
  <c r="U1430" i="2" s="1"/>
  <c r="V1430" i="2"/>
  <c r="T1427" i="2"/>
  <c r="U1427" i="2" s="1"/>
  <c r="V1427" i="2"/>
  <c r="T1426" i="2"/>
  <c r="U1426" i="2" s="1"/>
  <c r="V1426" i="2"/>
  <c r="T1423" i="2"/>
  <c r="U1423" i="2" s="1"/>
  <c r="V1423" i="2"/>
  <c r="T1421" i="2"/>
  <c r="U1421" i="2" s="1"/>
  <c r="V1421" i="2"/>
  <c r="T1420" i="2"/>
  <c r="U1420" i="2" s="1"/>
  <c r="V1420" i="2"/>
  <c r="T1416" i="2"/>
  <c r="U1416" i="2" s="1"/>
  <c r="V1416" i="2"/>
  <c r="T1414" i="2"/>
  <c r="U1414" i="2" s="1"/>
  <c r="V1414" i="2"/>
  <c r="T1413" i="2"/>
  <c r="U1413" i="2" s="1"/>
  <c r="V1413" i="2"/>
  <c r="T1407" i="2"/>
  <c r="U1407" i="2" s="1"/>
  <c r="V1407" i="2"/>
  <c r="T1401" i="2"/>
  <c r="U1401" i="2" s="1"/>
  <c r="V1401" i="2"/>
  <c r="T1400" i="2"/>
  <c r="U1400" i="2" s="1"/>
  <c r="V1400" i="2"/>
  <c r="T1399" i="2"/>
  <c r="U1399" i="2" s="1"/>
  <c r="V1399" i="2"/>
  <c r="T1398" i="2"/>
  <c r="U1398" i="2" s="1"/>
  <c r="V1398" i="2"/>
  <c r="T1395" i="2"/>
  <c r="U1395" i="2" s="1"/>
  <c r="V1395" i="2"/>
  <c r="T1393" i="2"/>
  <c r="U1393" i="2" s="1"/>
  <c r="V1393" i="2"/>
  <c r="T1389" i="2"/>
  <c r="U1389" i="2" s="1"/>
  <c r="V1389" i="2"/>
  <c r="T1388" i="2"/>
  <c r="U1388" i="2" s="1"/>
  <c r="V1388" i="2"/>
  <c r="T1387" i="2"/>
  <c r="U1387" i="2" s="1"/>
  <c r="V1387" i="2"/>
  <c r="T1386" i="2"/>
  <c r="U1386" i="2" s="1"/>
  <c r="V1386" i="2"/>
  <c r="T1381" i="2"/>
  <c r="U1381" i="2" s="1"/>
  <c r="V1381" i="2"/>
  <c r="T1380" i="2"/>
  <c r="U1380" i="2" s="1"/>
  <c r="V1380" i="2"/>
  <c r="T1379" i="2"/>
  <c r="U1379" i="2" s="1"/>
  <c r="V1379" i="2"/>
  <c r="T1378" i="2"/>
  <c r="U1378" i="2" s="1"/>
  <c r="V1378" i="2"/>
  <c r="T1377" i="2"/>
  <c r="U1377" i="2" s="1"/>
  <c r="V1377" i="2"/>
  <c r="T1376" i="2"/>
  <c r="U1376" i="2" s="1"/>
  <c r="V1376" i="2"/>
  <c r="T1374" i="2"/>
  <c r="U1374" i="2" s="1"/>
  <c r="V1374" i="2"/>
  <c r="T1373" i="2"/>
  <c r="U1373" i="2" s="1"/>
  <c r="V1373" i="2"/>
  <c r="T1371" i="2"/>
  <c r="U1371" i="2" s="1"/>
  <c r="V1371" i="2"/>
  <c r="T1370" i="2"/>
  <c r="U1370" i="2" s="1"/>
  <c r="V1370" i="2"/>
  <c r="T1369" i="2"/>
  <c r="U1369" i="2" s="1"/>
  <c r="V1369" i="2"/>
  <c r="T1367" i="2"/>
  <c r="U1367" i="2" s="1"/>
  <c r="V1367" i="2"/>
  <c r="T1364" i="2"/>
  <c r="U1364" i="2" s="1"/>
  <c r="V1364" i="2"/>
  <c r="T1363" i="2"/>
  <c r="U1363" i="2" s="1"/>
  <c r="V1363" i="2"/>
  <c r="T1361" i="2"/>
  <c r="U1361" i="2" s="1"/>
  <c r="V1361" i="2"/>
  <c r="T1359" i="2"/>
  <c r="U1359" i="2" s="1"/>
  <c r="V1359" i="2"/>
  <c r="T1358" i="2"/>
  <c r="U1358" i="2" s="1"/>
  <c r="V1358" i="2"/>
  <c r="T1357" i="2"/>
  <c r="U1357" i="2" s="1"/>
  <c r="V1357" i="2"/>
  <c r="T1356" i="2"/>
  <c r="U1356" i="2" s="1"/>
  <c r="V1356" i="2"/>
  <c r="T1355" i="2"/>
  <c r="U1355" i="2" s="1"/>
  <c r="V1355" i="2"/>
  <c r="T1354" i="2"/>
  <c r="U1354" i="2" s="1"/>
  <c r="V1354" i="2"/>
  <c r="T1188" i="2"/>
  <c r="U1188" i="2" s="1"/>
  <c r="V1188" i="2"/>
  <c r="T663" i="2"/>
  <c r="U663" i="2" s="1"/>
  <c r="V663" i="2"/>
  <c r="T659" i="2"/>
  <c r="U659" i="2" s="1"/>
  <c r="V659" i="2"/>
  <c r="T650" i="2"/>
  <c r="U650" i="2" s="1"/>
  <c r="V650" i="2"/>
  <c r="T648" i="2"/>
  <c r="U648" i="2" s="1"/>
  <c r="V648" i="2"/>
  <c r="T619" i="2"/>
  <c r="U619" i="2" s="1"/>
  <c r="V619" i="2"/>
  <c r="T611" i="2"/>
  <c r="U611" i="2" s="1"/>
  <c r="V611" i="2"/>
  <c r="T606" i="2"/>
  <c r="U606" i="2" s="1"/>
  <c r="V606" i="2"/>
  <c r="T602" i="2"/>
  <c r="U602" i="2" s="1"/>
  <c r="V602" i="2"/>
  <c r="T597" i="2"/>
  <c r="U597" i="2" s="1"/>
  <c r="V597" i="2"/>
  <c r="T593" i="2"/>
  <c r="U593" i="2" s="1"/>
  <c r="V593" i="2"/>
  <c r="T589" i="2"/>
  <c r="U589" i="2" s="1"/>
  <c r="V589" i="2"/>
  <c r="T586" i="2"/>
  <c r="U586" i="2" s="1"/>
  <c r="V586" i="2"/>
  <c r="T581" i="2"/>
  <c r="U581" i="2" s="1"/>
  <c r="V581" i="2"/>
  <c r="T558" i="2"/>
  <c r="U558" i="2" s="1"/>
  <c r="V558" i="2"/>
  <c r="T543" i="2"/>
  <c r="U543" i="2" s="1"/>
  <c r="V543" i="2"/>
  <c r="T539" i="2"/>
  <c r="U539" i="2" s="1"/>
  <c r="V539" i="2"/>
  <c r="T530" i="2"/>
  <c r="U530" i="2" s="1"/>
  <c r="V530" i="2"/>
  <c r="T527" i="2"/>
  <c r="U527" i="2" s="1"/>
  <c r="V527" i="2"/>
  <c r="T524" i="2"/>
  <c r="U524" i="2" s="1"/>
  <c r="V524" i="2"/>
  <c r="T520" i="2"/>
  <c r="U520" i="2" s="1"/>
  <c r="V520" i="2"/>
  <c r="T1349" i="2"/>
  <c r="U1349" i="2" s="1"/>
  <c r="V1349" i="2"/>
  <c r="T1346" i="2"/>
  <c r="U1346" i="2" s="1"/>
  <c r="V1346" i="2"/>
  <c r="T1344" i="2"/>
  <c r="U1344" i="2" s="1"/>
  <c r="V1344" i="2"/>
  <c r="T1343" i="2"/>
  <c r="U1343" i="2" s="1"/>
  <c r="V1343" i="2"/>
  <c r="T1342" i="2"/>
  <c r="U1342" i="2" s="1"/>
  <c r="V1342" i="2"/>
  <c r="T1341" i="2"/>
  <c r="U1341" i="2" s="1"/>
  <c r="V1341" i="2"/>
  <c r="T1340" i="2"/>
  <c r="U1340" i="2" s="1"/>
  <c r="V1340" i="2"/>
  <c r="T1339" i="2"/>
  <c r="U1339" i="2" s="1"/>
  <c r="V1339" i="2"/>
  <c r="T1338" i="2"/>
  <c r="U1338" i="2" s="1"/>
  <c r="V1338" i="2"/>
  <c r="T1336" i="2"/>
  <c r="U1336" i="2" s="1"/>
  <c r="V1336" i="2"/>
  <c r="T1334" i="2"/>
  <c r="U1334" i="2" s="1"/>
  <c r="V1334" i="2"/>
  <c r="T1333" i="2"/>
  <c r="U1333" i="2" s="1"/>
  <c r="V1333" i="2"/>
  <c r="T1331" i="2"/>
  <c r="U1331" i="2" s="1"/>
  <c r="V1331" i="2"/>
  <c r="T1328" i="2"/>
  <c r="U1328" i="2" s="1"/>
  <c r="V1328" i="2"/>
  <c r="T1327" i="2"/>
  <c r="U1327" i="2" s="1"/>
  <c r="V1327" i="2"/>
  <c r="T1326" i="2"/>
  <c r="U1326" i="2" s="1"/>
  <c r="V1326" i="2"/>
  <c r="T1325" i="2"/>
  <c r="U1325" i="2" s="1"/>
  <c r="V1325" i="2"/>
  <c r="T1324" i="2"/>
  <c r="U1324" i="2" s="1"/>
  <c r="V1324" i="2"/>
  <c r="T1323" i="2"/>
  <c r="U1323" i="2" s="1"/>
  <c r="V1323" i="2"/>
  <c r="T1320" i="2"/>
  <c r="U1320" i="2" s="1"/>
  <c r="V1320" i="2"/>
  <c r="T1319" i="2"/>
  <c r="U1319" i="2" s="1"/>
  <c r="V1319" i="2"/>
  <c r="T1318" i="2"/>
  <c r="U1318" i="2" s="1"/>
  <c r="V1318" i="2"/>
  <c r="T1317" i="2"/>
  <c r="U1317" i="2" s="1"/>
  <c r="V1317" i="2"/>
  <c r="T1316" i="2"/>
  <c r="U1316" i="2" s="1"/>
  <c r="V1316" i="2"/>
  <c r="T1314" i="2"/>
  <c r="U1314" i="2" s="1"/>
  <c r="V1314" i="2"/>
  <c r="T1312" i="2"/>
  <c r="U1312" i="2" s="1"/>
  <c r="V1312" i="2"/>
  <c r="T1309" i="2"/>
  <c r="U1309" i="2" s="1"/>
  <c r="V1309" i="2"/>
  <c r="T1308" i="2"/>
  <c r="U1308" i="2" s="1"/>
  <c r="V1308" i="2"/>
  <c r="T1307" i="2"/>
  <c r="U1307" i="2" s="1"/>
  <c r="V1307" i="2"/>
  <c r="T1306" i="2"/>
  <c r="U1306" i="2" s="1"/>
  <c r="V1306" i="2"/>
  <c r="T1304" i="2"/>
  <c r="U1304" i="2" s="1"/>
  <c r="V1304" i="2"/>
  <c r="T1303" i="2"/>
  <c r="U1303" i="2" s="1"/>
  <c r="V1303" i="2"/>
  <c r="T1302" i="2"/>
  <c r="U1302" i="2" s="1"/>
  <c r="V1302" i="2"/>
  <c r="V1301" i="2"/>
  <c r="T1301" i="2"/>
  <c r="U1301" i="2" s="1"/>
  <c r="T1300" i="2"/>
  <c r="U1300" i="2" s="1"/>
  <c r="V1300" i="2"/>
  <c r="T1296" i="2"/>
  <c r="U1296" i="2" s="1"/>
  <c r="V1296" i="2"/>
  <c r="T1294" i="2"/>
  <c r="U1294" i="2" s="1"/>
  <c r="V1294" i="2"/>
  <c r="T1293" i="2"/>
  <c r="U1293" i="2" s="1"/>
  <c r="V1293" i="2"/>
  <c r="T1291" i="2"/>
  <c r="U1291" i="2" s="1"/>
  <c r="V1291" i="2"/>
  <c r="T1288" i="2"/>
  <c r="U1288" i="2" s="1"/>
  <c r="V1288" i="2"/>
  <c r="T1287" i="2"/>
  <c r="U1287" i="2" s="1"/>
  <c r="V1287" i="2"/>
  <c r="T1286" i="2"/>
  <c r="U1286" i="2" s="1"/>
  <c r="V1286" i="2"/>
  <c r="T1284" i="2"/>
  <c r="U1284" i="2" s="1"/>
  <c r="V1284" i="2"/>
  <c r="T1280" i="2"/>
  <c r="U1280" i="2" s="1"/>
  <c r="V1280" i="2"/>
  <c r="T1279" i="2"/>
  <c r="U1279" i="2" s="1"/>
  <c r="V1279" i="2"/>
  <c r="T1277" i="2"/>
  <c r="U1277" i="2" s="1"/>
  <c r="V1277" i="2"/>
  <c r="T1276" i="2"/>
  <c r="U1276" i="2" s="1"/>
  <c r="V1276" i="2"/>
  <c r="T1275" i="2"/>
  <c r="U1275" i="2" s="1"/>
  <c r="V1275" i="2"/>
  <c r="T1273" i="2"/>
  <c r="U1273" i="2" s="1"/>
  <c r="V1273" i="2"/>
  <c r="T1271" i="2"/>
  <c r="U1271" i="2" s="1"/>
  <c r="V1271" i="2"/>
  <c r="T1270" i="2"/>
  <c r="U1270" i="2" s="1"/>
  <c r="V1270" i="2"/>
  <c r="T1267" i="2"/>
  <c r="U1267" i="2" s="1"/>
  <c r="V1267" i="2"/>
  <c r="T1262" i="2"/>
  <c r="U1262" i="2" s="1"/>
  <c r="V1262" i="2"/>
  <c r="T1259" i="2"/>
  <c r="U1259" i="2" s="1"/>
  <c r="V1259" i="2"/>
  <c r="T1256" i="2"/>
  <c r="U1256" i="2" s="1"/>
  <c r="V1256" i="2"/>
  <c r="T1255" i="2"/>
  <c r="U1255" i="2" s="1"/>
  <c r="V1255" i="2"/>
  <c r="T1254" i="2"/>
  <c r="U1254" i="2" s="1"/>
  <c r="V1254" i="2"/>
  <c r="T1253" i="2"/>
  <c r="U1253" i="2" s="1"/>
  <c r="V1253" i="2"/>
  <c r="T1252" i="2"/>
  <c r="U1252" i="2" s="1"/>
  <c r="V1252" i="2"/>
  <c r="T1249" i="2"/>
  <c r="U1249" i="2" s="1"/>
  <c r="V1249" i="2"/>
  <c r="T1247" i="2"/>
  <c r="U1247" i="2" s="1"/>
  <c r="V1247" i="2"/>
  <c r="T1244" i="2"/>
  <c r="U1244" i="2" s="1"/>
  <c r="V1244" i="2"/>
  <c r="T1243" i="2"/>
  <c r="U1243" i="2" s="1"/>
  <c r="V1243" i="2"/>
  <c r="T1237" i="2"/>
  <c r="U1237" i="2" s="1"/>
  <c r="V1237" i="2"/>
  <c r="T1235" i="2"/>
  <c r="U1235" i="2" s="1"/>
  <c r="V1235" i="2"/>
  <c r="T1234" i="2"/>
  <c r="U1234" i="2" s="1"/>
  <c r="V1234" i="2"/>
  <c r="T1233" i="2"/>
  <c r="U1233" i="2" s="1"/>
  <c r="V1233" i="2"/>
  <c r="T1231" i="2"/>
  <c r="U1231" i="2" s="1"/>
  <c r="V1231" i="2"/>
  <c r="T1230" i="2"/>
  <c r="U1230" i="2" s="1"/>
  <c r="V1230" i="2"/>
  <c r="T1228" i="2"/>
  <c r="U1228" i="2" s="1"/>
  <c r="V1228" i="2"/>
  <c r="T1225" i="2"/>
  <c r="U1225" i="2" s="1"/>
  <c r="V1225" i="2"/>
  <c r="T1224" i="2"/>
  <c r="U1224" i="2" s="1"/>
  <c r="V1224" i="2"/>
  <c r="T1223" i="2"/>
  <c r="U1223" i="2" s="1"/>
  <c r="V1223" i="2"/>
  <c r="T1220" i="2"/>
  <c r="U1220" i="2" s="1"/>
  <c r="V1220" i="2"/>
  <c r="T1219" i="2"/>
  <c r="U1219" i="2" s="1"/>
  <c r="V1219" i="2"/>
  <c r="T1218" i="2"/>
  <c r="U1218" i="2" s="1"/>
  <c r="V1218" i="2"/>
  <c r="T1217" i="2"/>
  <c r="U1217" i="2" s="1"/>
  <c r="V1217" i="2"/>
  <c r="T1215" i="2"/>
  <c r="U1215" i="2" s="1"/>
  <c r="V1215" i="2"/>
  <c r="T1214" i="2"/>
  <c r="U1214" i="2" s="1"/>
  <c r="V1214" i="2"/>
  <c r="T1212" i="2"/>
  <c r="U1212" i="2" s="1"/>
  <c r="V1212" i="2"/>
  <c r="T1211" i="2"/>
  <c r="U1211" i="2" s="1"/>
  <c r="V1211" i="2"/>
  <c r="T1208" i="2"/>
  <c r="U1208" i="2" s="1"/>
  <c r="V1208" i="2"/>
  <c r="T1204" i="2"/>
  <c r="U1204" i="2" s="1"/>
  <c r="V1204" i="2"/>
  <c r="T1202" i="2"/>
  <c r="U1202" i="2" s="1"/>
  <c r="V1202" i="2"/>
  <c r="T1201" i="2"/>
  <c r="U1201" i="2" s="1"/>
  <c r="V1201" i="2"/>
  <c r="T1196" i="2"/>
  <c r="U1196" i="2" s="1"/>
  <c r="V1196" i="2"/>
  <c r="T1195" i="2"/>
  <c r="U1195" i="2" s="1"/>
  <c r="V1195" i="2"/>
  <c r="T1194" i="2"/>
  <c r="U1194" i="2" s="1"/>
  <c r="V1194" i="2"/>
  <c r="T1193" i="2"/>
  <c r="U1193" i="2" s="1"/>
  <c r="V1193" i="2"/>
  <c r="T1192" i="2"/>
  <c r="U1192" i="2" s="1"/>
  <c r="V1192" i="2"/>
  <c r="T1191" i="2"/>
  <c r="U1191" i="2" s="1"/>
  <c r="V1191" i="2"/>
  <c r="T1190" i="2"/>
  <c r="U1190" i="2" s="1"/>
  <c r="V1190" i="2"/>
  <c r="T1014" i="2"/>
  <c r="U1014" i="2" s="1"/>
  <c r="V1014" i="2"/>
  <c r="T652" i="2"/>
  <c r="U652" i="2" s="1"/>
  <c r="V652" i="2"/>
  <c r="T641" i="2"/>
  <c r="U641" i="2" s="1"/>
  <c r="V641" i="2"/>
  <c r="T638" i="2"/>
  <c r="U638" i="2" s="1"/>
  <c r="V638" i="2"/>
  <c r="T637" i="2"/>
  <c r="U637" i="2" s="1"/>
  <c r="V637" i="2"/>
  <c r="T636" i="2"/>
  <c r="U636" i="2" s="1"/>
  <c r="V636" i="2"/>
  <c r="T635" i="2"/>
  <c r="U635" i="2" s="1"/>
  <c r="V635" i="2"/>
  <c r="T629" i="2"/>
  <c r="U629" i="2" s="1"/>
  <c r="V629" i="2"/>
  <c r="T615" i="2"/>
  <c r="U615" i="2" s="1"/>
  <c r="V615" i="2"/>
  <c r="T588" i="2"/>
  <c r="U588" i="2" s="1"/>
  <c r="V588" i="2"/>
  <c r="T585" i="2"/>
  <c r="U585" i="2" s="1"/>
  <c r="V585" i="2"/>
  <c r="T550" i="2"/>
  <c r="U550" i="2" s="1"/>
  <c r="V550" i="2"/>
  <c r="T544" i="2"/>
  <c r="U544" i="2" s="1"/>
  <c r="V544" i="2"/>
  <c r="T529" i="2"/>
  <c r="U529" i="2" s="1"/>
  <c r="V529" i="2"/>
  <c r="T528" i="2"/>
  <c r="U528" i="2" s="1"/>
  <c r="V528" i="2"/>
  <c r="T1183" i="2"/>
  <c r="U1183" i="2" s="1"/>
  <c r="V1183" i="2"/>
  <c r="T1182" i="2"/>
  <c r="U1182" i="2" s="1"/>
  <c r="V1182" i="2"/>
  <c r="T1178" i="2"/>
  <c r="U1178" i="2" s="1"/>
  <c r="V1178" i="2"/>
  <c r="T1177" i="2"/>
  <c r="U1177" i="2" s="1"/>
  <c r="V1177" i="2"/>
  <c r="T1176" i="2"/>
  <c r="U1176" i="2" s="1"/>
  <c r="V1176" i="2"/>
  <c r="T1174" i="2"/>
  <c r="U1174" i="2" s="1"/>
  <c r="V1174" i="2"/>
  <c r="T1170" i="2"/>
  <c r="U1170" i="2" s="1"/>
  <c r="V1170" i="2"/>
  <c r="T1168" i="2"/>
  <c r="U1168" i="2" s="1"/>
  <c r="V1168" i="2"/>
  <c r="T1165" i="2"/>
  <c r="U1165" i="2" s="1"/>
  <c r="V1165" i="2"/>
  <c r="T1163" i="2"/>
  <c r="U1163" i="2" s="1"/>
  <c r="V1163" i="2"/>
  <c r="T1162" i="2"/>
  <c r="U1162" i="2" s="1"/>
  <c r="V1162" i="2"/>
  <c r="T1158" i="2"/>
  <c r="U1158" i="2" s="1"/>
  <c r="V1158" i="2"/>
  <c r="T1156" i="2"/>
  <c r="U1156" i="2" s="1"/>
  <c r="V1156" i="2"/>
  <c r="T1155" i="2"/>
  <c r="U1155" i="2" s="1"/>
  <c r="V1155" i="2"/>
  <c r="T1153" i="2"/>
  <c r="U1153" i="2" s="1"/>
  <c r="V1153" i="2"/>
  <c r="T1152" i="2"/>
  <c r="U1152" i="2" s="1"/>
  <c r="V1152" i="2"/>
  <c r="T1151" i="2"/>
  <c r="U1151" i="2" s="1"/>
  <c r="V1151" i="2"/>
  <c r="T1150" i="2"/>
  <c r="U1150" i="2" s="1"/>
  <c r="V1150" i="2"/>
  <c r="T1148" i="2"/>
  <c r="U1148" i="2" s="1"/>
  <c r="V1148" i="2"/>
  <c r="T1147" i="2"/>
  <c r="U1147" i="2" s="1"/>
  <c r="V1147" i="2"/>
  <c r="T1146" i="2"/>
  <c r="U1146" i="2" s="1"/>
  <c r="V1146" i="2"/>
  <c r="T1145" i="2"/>
  <c r="U1145" i="2" s="1"/>
  <c r="V1145" i="2"/>
  <c r="T1144" i="2"/>
  <c r="U1144" i="2" s="1"/>
  <c r="V1144" i="2"/>
  <c r="T1143" i="2"/>
  <c r="U1143" i="2" s="1"/>
  <c r="V1143" i="2"/>
  <c r="T1142" i="2"/>
  <c r="U1142" i="2" s="1"/>
  <c r="V1142" i="2"/>
  <c r="T1140" i="2"/>
  <c r="U1140" i="2" s="1"/>
  <c r="V1140" i="2"/>
  <c r="V1139" i="2"/>
  <c r="T1139" i="2"/>
  <c r="U1139" i="2" s="1"/>
  <c r="T1138" i="2"/>
  <c r="U1138" i="2" s="1"/>
  <c r="V1138" i="2"/>
  <c r="T1136" i="2"/>
  <c r="U1136" i="2" s="1"/>
  <c r="V1136" i="2"/>
  <c r="T1135" i="2"/>
  <c r="U1135" i="2" s="1"/>
  <c r="V1135" i="2"/>
  <c r="T1134" i="2"/>
  <c r="U1134" i="2" s="1"/>
  <c r="V1134" i="2"/>
  <c r="T1130" i="2"/>
  <c r="U1130" i="2" s="1"/>
  <c r="V1130" i="2"/>
  <c r="T1129" i="2"/>
  <c r="U1129" i="2" s="1"/>
  <c r="V1129" i="2"/>
  <c r="T1128" i="2"/>
  <c r="U1128" i="2" s="1"/>
  <c r="V1128" i="2"/>
  <c r="T1127" i="2"/>
  <c r="U1127" i="2" s="1"/>
  <c r="V1127" i="2"/>
  <c r="T1126" i="2"/>
  <c r="U1126" i="2" s="1"/>
  <c r="V1126" i="2"/>
  <c r="T1125" i="2"/>
  <c r="U1125" i="2" s="1"/>
  <c r="V1125" i="2"/>
  <c r="T1124" i="2"/>
  <c r="U1124" i="2" s="1"/>
  <c r="V1124" i="2"/>
  <c r="T1123" i="2"/>
  <c r="U1123" i="2" s="1"/>
  <c r="V1123" i="2"/>
  <c r="T1117" i="2"/>
  <c r="U1117" i="2" s="1"/>
  <c r="V1117" i="2"/>
  <c r="T1116" i="2"/>
  <c r="U1116" i="2" s="1"/>
  <c r="V1116" i="2"/>
  <c r="T1114" i="2"/>
  <c r="U1114" i="2" s="1"/>
  <c r="V1114" i="2"/>
  <c r="T1112" i="2"/>
  <c r="U1112" i="2" s="1"/>
  <c r="V1112" i="2"/>
  <c r="T1108" i="2"/>
  <c r="U1108" i="2" s="1"/>
  <c r="V1108" i="2"/>
  <c r="T1107" i="2"/>
  <c r="U1107" i="2" s="1"/>
  <c r="V1107" i="2"/>
  <c r="T1105" i="2"/>
  <c r="U1105" i="2" s="1"/>
  <c r="V1105" i="2"/>
  <c r="T1104" i="2"/>
  <c r="U1104" i="2" s="1"/>
  <c r="V1104" i="2"/>
  <c r="T1103" i="2"/>
  <c r="U1103" i="2" s="1"/>
  <c r="V1103" i="2"/>
  <c r="T1102" i="2"/>
  <c r="U1102" i="2" s="1"/>
  <c r="V1102" i="2"/>
  <c r="T1101" i="2"/>
  <c r="U1101" i="2" s="1"/>
  <c r="V1101" i="2"/>
  <c r="T1099" i="2"/>
  <c r="U1099" i="2" s="1"/>
  <c r="V1099" i="2"/>
  <c r="T1097" i="2"/>
  <c r="U1097" i="2" s="1"/>
  <c r="V1097" i="2"/>
  <c r="T1096" i="2"/>
  <c r="U1096" i="2" s="1"/>
  <c r="V1096" i="2"/>
  <c r="T1092" i="2"/>
  <c r="U1092" i="2" s="1"/>
  <c r="V1092" i="2"/>
  <c r="T1091" i="2"/>
  <c r="U1091" i="2" s="1"/>
  <c r="V1091" i="2"/>
  <c r="T1090" i="2"/>
  <c r="U1090" i="2" s="1"/>
  <c r="V1090" i="2"/>
  <c r="T1082" i="2"/>
  <c r="U1082" i="2" s="1"/>
  <c r="V1082" i="2"/>
  <c r="T1077" i="2"/>
  <c r="U1077" i="2" s="1"/>
  <c r="V1077" i="2"/>
  <c r="T1076" i="2"/>
  <c r="U1076" i="2" s="1"/>
  <c r="V1076" i="2"/>
  <c r="T1075" i="2"/>
  <c r="U1075" i="2" s="1"/>
  <c r="V1075" i="2"/>
  <c r="T1073" i="2"/>
  <c r="U1073" i="2" s="1"/>
  <c r="V1073" i="2"/>
  <c r="T1070" i="2"/>
  <c r="U1070" i="2" s="1"/>
  <c r="V1070" i="2"/>
  <c r="T1068" i="2"/>
  <c r="U1068" i="2" s="1"/>
  <c r="V1068" i="2"/>
  <c r="T1066" i="2"/>
  <c r="U1066" i="2" s="1"/>
  <c r="V1066" i="2"/>
  <c r="T1065" i="2"/>
  <c r="U1065" i="2" s="1"/>
  <c r="V1065" i="2"/>
  <c r="T1064" i="2"/>
  <c r="U1064" i="2" s="1"/>
  <c r="V1064" i="2"/>
  <c r="T1063" i="2"/>
  <c r="U1063" i="2" s="1"/>
  <c r="V1063" i="2"/>
  <c r="T1062" i="2"/>
  <c r="U1062" i="2" s="1"/>
  <c r="V1062" i="2"/>
  <c r="T1060" i="2"/>
  <c r="U1060" i="2" s="1"/>
  <c r="V1060" i="2"/>
  <c r="T1059" i="2"/>
  <c r="U1059" i="2" s="1"/>
  <c r="V1059" i="2"/>
  <c r="T1050" i="2"/>
  <c r="U1050" i="2" s="1"/>
  <c r="V1050" i="2"/>
  <c r="T1049" i="2"/>
  <c r="U1049" i="2" s="1"/>
  <c r="V1049" i="2"/>
  <c r="T1047" i="2"/>
  <c r="U1047" i="2" s="1"/>
  <c r="V1047" i="2"/>
  <c r="T1044" i="2"/>
  <c r="U1044" i="2" s="1"/>
  <c r="V1044" i="2"/>
  <c r="T1042" i="2"/>
  <c r="U1042" i="2" s="1"/>
  <c r="V1042" i="2"/>
  <c r="T1037" i="2"/>
  <c r="U1037" i="2" s="1"/>
  <c r="V1037" i="2"/>
  <c r="T1034" i="2"/>
  <c r="U1034" i="2" s="1"/>
  <c r="V1034" i="2"/>
  <c r="T1033" i="2"/>
  <c r="U1033" i="2" s="1"/>
  <c r="V1033" i="2"/>
  <c r="T1032" i="2"/>
  <c r="U1032" i="2" s="1"/>
  <c r="V1032" i="2"/>
  <c r="T1031" i="2"/>
  <c r="U1031" i="2" s="1"/>
  <c r="V1031" i="2"/>
  <c r="T1030" i="2"/>
  <c r="U1030" i="2" s="1"/>
  <c r="V1030" i="2"/>
  <c r="T1029" i="2"/>
  <c r="U1029" i="2" s="1"/>
  <c r="V1029" i="2"/>
  <c r="T1027" i="2"/>
  <c r="U1027" i="2" s="1"/>
  <c r="V1027" i="2"/>
  <c r="T1025" i="2"/>
  <c r="U1025" i="2" s="1"/>
  <c r="V1025" i="2"/>
  <c r="T1022" i="2"/>
  <c r="U1022" i="2" s="1"/>
  <c r="V1022" i="2"/>
  <c r="T1021" i="2"/>
  <c r="U1021" i="2" s="1"/>
  <c r="V1021" i="2"/>
  <c r="T1020" i="2"/>
  <c r="U1020" i="2" s="1"/>
  <c r="V1020" i="2"/>
  <c r="T658" i="2"/>
  <c r="U658" i="2" s="1"/>
  <c r="V658" i="2"/>
  <c r="T655" i="2"/>
  <c r="U655" i="2" s="1"/>
  <c r="V655" i="2"/>
  <c r="T649" i="2"/>
  <c r="U649" i="2" s="1"/>
  <c r="V649" i="2"/>
  <c r="T639" i="2"/>
  <c r="U639" i="2" s="1"/>
  <c r="V639" i="2"/>
  <c r="T626" i="2"/>
  <c r="U626" i="2" s="1"/>
  <c r="V626" i="2"/>
  <c r="T624" i="2"/>
  <c r="U624" i="2" s="1"/>
  <c r="V624" i="2"/>
  <c r="T620" i="2"/>
  <c r="U620" i="2" s="1"/>
  <c r="V620" i="2"/>
  <c r="T596" i="2"/>
  <c r="U596" i="2" s="1"/>
  <c r="V596" i="2"/>
  <c r="T595" i="2"/>
  <c r="U595" i="2" s="1"/>
  <c r="V595" i="2"/>
  <c r="T569" i="2"/>
  <c r="U569" i="2" s="1"/>
  <c r="V569" i="2"/>
  <c r="T562" i="2"/>
  <c r="U562" i="2" s="1"/>
  <c r="V562" i="2"/>
  <c r="T560" i="2"/>
  <c r="U560" i="2" s="1"/>
  <c r="V560" i="2"/>
  <c r="T540" i="2"/>
  <c r="U540" i="2" s="1"/>
  <c r="V540" i="2"/>
  <c r="T516" i="2"/>
  <c r="U516" i="2" s="1"/>
  <c r="V516" i="2"/>
  <c r="T1013" i="2"/>
  <c r="U1013" i="2" s="1"/>
  <c r="V1013" i="2"/>
  <c r="T1011" i="2"/>
  <c r="U1011" i="2" s="1"/>
  <c r="V1011" i="2"/>
  <c r="T1010" i="2"/>
  <c r="U1010" i="2" s="1"/>
  <c r="V1010" i="2"/>
  <c r="T1009" i="2"/>
  <c r="U1009" i="2" s="1"/>
  <c r="V1009" i="2"/>
  <c r="T1008" i="2"/>
  <c r="U1008" i="2" s="1"/>
  <c r="V1008" i="2"/>
  <c r="T1007" i="2"/>
  <c r="U1007" i="2" s="1"/>
  <c r="V1007" i="2"/>
  <c r="T1006" i="2"/>
  <c r="U1006" i="2" s="1"/>
  <c r="V1006" i="2"/>
  <c r="T1005" i="2"/>
  <c r="U1005" i="2" s="1"/>
  <c r="V1005" i="2"/>
  <c r="T1004" i="2"/>
  <c r="U1004" i="2" s="1"/>
  <c r="V1004" i="2"/>
  <c r="T1003" i="2"/>
  <c r="U1003" i="2" s="1"/>
  <c r="V1003" i="2"/>
  <c r="T1002" i="2"/>
  <c r="U1002" i="2" s="1"/>
  <c r="V1002" i="2"/>
  <c r="T999" i="2"/>
  <c r="U999" i="2" s="1"/>
  <c r="V999" i="2"/>
  <c r="T998" i="2"/>
  <c r="U998" i="2" s="1"/>
  <c r="V998" i="2"/>
  <c r="T997" i="2"/>
  <c r="U997" i="2" s="1"/>
  <c r="V997" i="2"/>
  <c r="T996" i="2"/>
  <c r="U996" i="2" s="1"/>
  <c r="V996" i="2"/>
  <c r="T994" i="2"/>
  <c r="U994" i="2" s="1"/>
  <c r="V994" i="2"/>
  <c r="T992" i="2"/>
  <c r="U992" i="2" s="1"/>
  <c r="V992" i="2"/>
  <c r="T991" i="2"/>
  <c r="U991" i="2" s="1"/>
  <c r="V991" i="2"/>
  <c r="T990" i="2"/>
  <c r="U990" i="2" s="1"/>
  <c r="V990" i="2"/>
  <c r="T989" i="2"/>
  <c r="U989" i="2" s="1"/>
  <c r="V989" i="2"/>
  <c r="T988" i="2"/>
  <c r="U988" i="2" s="1"/>
  <c r="V988" i="2"/>
  <c r="T987" i="2"/>
  <c r="U987" i="2" s="1"/>
  <c r="V987" i="2"/>
  <c r="T986" i="2"/>
  <c r="U986" i="2" s="1"/>
  <c r="V986" i="2"/>
  <c r="T984" i="2"/>
  <c r="U984" i="2" s="1"/>
  <c r="V984" i="2"/>
  <c r="T983" i="2"/>
  <c r="U983" i="2" s="1"/>
  <c r="V983" i="2"/>
  <c r="T982" i="2"/>
  <c r="U982" i="2" s="1"/>
  <c r="V982" i="2"/>
  <c r="T979" i="2"/>
  <c r="U979" i="2" s="1"/>
  <c r="V979" i="2"/>
  <c r="T978" i="2"/>
  <c r="U978" i="2" s="1"/>
  <c r="V978" i="2"/>
  <c r="V977" i="2"/>
  <c r="T977" i="2"/>
  <c r="U977" i="2" s="1"/>
  <c r="T976" i="2"/>
  <c r="U976" i="2" s="1"/>
  <c r="V976" i="2"/>
  <c r="T975" i="2"/>
  <c r="U975" i="2" s="1"/>
  <c r="V975" i="2"/>
  <c r="T974" i="2"/>
  <c r="U974" i="2" s="1"/>
  <c r="V974" i="2"/>
  <c r="T973" i="2"/>
  <c r="U973" i="2" s="1"/>
  <c r="V973" i="2"/>
  <c r="T972" i="2"/>
  <c r="U972" i="2" s="1"/>
  <c r="V972" i="2"/>
  <c r="T971" i="2"/>
  <c r="U971" i="2" s="1"/>
  <c r="V971" i="2"/>
  <c r="T969" i="2"/>
  <c r="U969" i="2" s="1"/>
  <c r="V969" i="2"/>
  <c r="T968" i="2"/>
  <c r="U968" i="2" s="1"/>
  <c r="V968" i="2"/>
  <c r="T961" i="2"/>
  <c r="U961" i="2" s="1"/>
  <c r="V961" i="2"/>
  <c r="T960" i="2"/>
  <c r="U960" i="2" s="1"/>
  <c r="V960" i="2"/>
  <c r="T958" i="2"/>
  <c r="U958" i="2" s="1"/>
  <c r="V958" i="2"/>
  <c r="T954" i="2"/>
  <c r="U954" i="2" s="1"/>
  <c r="V954" i="2"/>
  <c r="T950" i="2"/>
  <c r="U950" i="2" s="1"/>
  <c r="V950" i="2"/>
  <c r="T949" i="2"/>
  <c r="U949" i="2" s="1"/>
  <c r="V949" i="2"/>
  <c r="T948" i="2"/>
  <c r="U948" i="2" s="1"/>
  <c r="V948" i="2"/>
  <c r="T947" i="2"/>
  <c r="U947" i="2" s="1"/>
  <c r="V947" i="2"/>
  <c r="T944" i="2"/>
  <c r="U944" i="2" s="1"/>
  <c r="V944" i="2"/>
  <c r="T943" i="2"/>
  <c r="U943" i="2" s="1"/>
  <c r="V943" i="2"/>
  <c r="T942" i="2"/>
  <c r="U942" i="2" s="1"/>
  <c r="V942" i="2"/>
  <c r="T941" i="2"/>
  <c r="U941" i="2" s="1"/>
  <c r="V941" i="2"/>
  <c r="T938" i="2"/>
  <c r="U938" i="2" s="1"/>
  <c r="V938" i="2"/>
  <c r="T934" i="2"/>
  <c r="U934" i="2" s="1"/>
  <c r="V934" i="2"/>
  <c r="T933" i="2"/>
  <c r="U933" i="2" s="1"/>
  <c r="V933" i="2"/>
  <c r="T929" i="2"/>
  <c r="U929" i="2" s="1"/>
  <c r="V929" i="2"/>
  <c r="T928" i="2"/>
  <c r="U928" i="2" s="1"/>
  <c r="V928" i="2"/>
  <c r="T924" i="2"/>
  <c r="U924" i="2" s="1"/>
  <c r="V924" i="2"/>
  <c r="T921" i="2"/>
  <c r="U921" i="2" s="1"/>
  <c r="V921" i="2"/>
  <c r="T920" i="2"/>
  <c r="U920" i="2" s="1"/>
  <c r="V920" i="2"/>
  <c r="T919" i="2"/>
  <c r="U919" i="2" s="1"/>
  <c r="V919" i="2"/>
  <c r="T918" i="2"/>
  <c r="U918" i="2" s="1"/>
  <c r="V918" i="2"/>
  <c r="T916" i="2"/>
  <c r="U916" i="2" s="1"/>
  <c r="V916" i="2"/>
  <c r="T914" i="2"/>
  <c r="U914" i="2" s="1"/>
  <c r="V914" i="2"/>
  <c r="T913" i="2"/>
  <c r="U913" i="2" s="1"/>
  <c r="V913" i="2"/>
  <c r="T912" i="2"/>
  <c r="U912" i="2" s="1"/>
  <c r="V912" i="2"/>
  <c r="T910" i="2"/>
  <c r="U910" i="2" s="1"/>
  <c r="V910" i="2"/>
  <c r="T909" i="2"/>
  <c r="U909" i="2" s="1"/>
  <c r="V909" i="2"/>
  <c r="T906" i="2"/>
  <c r="U906" i="2" s="1"/>
  <c r="V906" i="2"/>
  <c r="T903" i="2"/>
  <c r="U903" i="2" s="1"/>
  <c r="V903" i="2"/>
  <c r="T902" i="2"/>
  <c r="U902" i="2" s="1"/>
  <c r="V902" i="2"/>
  <c r="T900" i="2"/>
  <c r="U900" i="2" s="1"/>
  <c r="V900" i="2"/>
  <c r="T899" i="2"/>
  <c r="U899" i="2" s="1"/>
  <c r="V899" i="2"/>
  <c r="T897" i="2"/>
  <c r="U897" i="2" s="1"/>
  <c r="V897" i="2"/>
  <c r="T892" i="2"/>
  <c r="U892" i="2" s="1"/>
  <c r="V892" i="2"/>
  <c r="T891" i="2"/>
  <c r="U891" i="2" s="1"/>
  <c r="V891" i="2"/>
  <c r="T888" i="2"/>
  <c r="U888" i="2" s="1"/>
  <c r="V888" i="2"/>
  <c r="T886" i="2"/>
  <c r="U886" i="2" s="1"/>
  <c r="V886" i="2"/>
  <c r="T885" i="2"/>
  <c r="U885" i="2" s="1"/>
  <c r="V885" i="2"/>
  <c r="T883" i="2"/>
  <c r="U883" i="2" s="1"/>
  <c r="V883" i="2"/>
  <c r="T880" i="2"/>
  <c r="U880" i="2" s="1"/>
  <c r="V880" i="2"/>
  <c r="T879" i="2"/>
  <c r="U879" i="2" s="1"/>
  <c r="V879" i="2"/>
  <c r="T878" i="2"/>
  <c r="U878" i="2" s="1"/>
  <c r="V878" i="2"/>
  <c r="T872" i="2"/>
  <c r="U872" i="2" s="1"/>
  <c r="V872" i="2"/>
  <c r="T870" i="2"/>
  <c r="U870" i="2" s="1"/>
  <c r="V870" i="2"/>
  <c r="T869" i="2"/>
  <c r="U869" i="2" s="1"/>
  <c r="V869" i="2"/>
  <c r="T867" i="2"/>
  <c r="U867" i="2" s="1"/>
  <c r="V867" i="2"/>
  <c r="T866" i="2"/>
  <c r="U866" i="2" s="1"/>
  <c r="V866" i="2"/>
  <c r="T865" i="2"/>
  <c r="U865" i="2" s="1"/>
  <c r="V865" i="2"/>
  <c r="T864" i="2"/>
  <c r="U864" i="2" s="1"/>
  <c r="V864" i="2"/>
  <c r="T863" i="2"/>
  <c r="U863" i="2" s="1"/>
  <c r="V863" i="2"/>
  <c r="T862" i="2"/>
  <c r="U862" i="2" s="1"/>
  <c r="V862" i="2"/>
  <c r="T861" i="2"/>
  <c r="U861" i="2" s="1"/>
  <c r="V861" i="2"/>
  <c r="T856" i="2"/>
  <c r="U856" i="2" s="1"/>
  <c r="V856" i="2"/>
  <c r="T855" i="2"/>
  <c r="U855" i="2" s="1"/>
  <c r="V855" i="2"/>
  <c r="T854" i="2"/>
  <c r="U854" i="2" s="1"/>
  <c r="V854" i="2"/>
  <c r="T851" i="2"/>
  <c r="U851" i="2" s="1"/>
  <c r="V851" i="2"/>
  <c r="T850" i="2"/>
  <c r="U850" i="2" s="1"/>
  <c r="V850" i="2"/>
  <c r="T849" i="2"/>
  <c r="U849" i="2" s="1"/>
  <c r="V849" i="2"/>
  <c r="T848" i="2"/>
  <c r="U848" i="2" s="1"/>
  <c r="V848" i="2"/>
  <c r="T847" i="2"/>
  <c r="U847" i="2" s="1"/>
  <c r="V847" i="2"/>
  <c r="T846" i="2"/>
  <c r="U846" i="2" s="1"/>
  <c r="V846" i="2"/>
  <c r="T660" i="2"/>
  <c r="U660" i="2" s="1"/>
  <c r="V660" i="2"/>
  <c r="T657" i="2"/>
  <c r="U657" i="2" s="1"/>
  <c r="V657" i="2"/>
  <c r="T646" i="2"/>
  <c r="U646" i="2" s="1"/>
  <c r="V646" i="2"/>
  <c r="T631" i="2"/>
  <c r="U631" i="2" s="1"/>
  <c r="V631" i="2"/>
  <c r="T618" i="2"/>
  <c r="U618" i="2" s="1"/>
  <c r="V618" i="2"/>
  <c r="T617" i="2"/>
  <c r="U617" i="2" s="1"/>
  <c r="V617" i="2"/>
  <c r="T605" i="2"/>
  <c r="U605" i="2" s="1"/>
  <c r="V605" i="2"/>
  <c r="T599" i="2"/>
  <c r="U599" i="2" s="1"/>
  <c r="V599" i="2"/>
  <c r="T598" i="2"/>
  <c r="U598" i="2" s="1"/>
  <c r="V598" i="2"/>
  <c r="T572" i="2"/>
  <c r="U572" i="2" s="1"/>
  <c r="V572" i="2"/>
  <c r="T548" i="2"/>
  <c r="U548" i="2" s="1"/>
  <c r="V548" i="2"/>
  <c r="T547" i="2"/>
  <c r="U547" i="2" s="1"/>
  <c r="V547" i="2"/>
  <c r="T545" i="2"/>
  <c r="U545" i="2" s="1"/>
  <c r="V545" i="2"/>
  <c r="T538" i="2"/>
  <c r="U538" i="2" s="1"/>
  <c r="V538" i="2"/>
  <c r="T536" i="2"/>
  <c r="U536" i="2" s="1"/>
  <c r="V536" i="2"/>
  <c r="T521" i="2"/>
  <c r="U521" i="2" s="1"/>
  <c r="V521" i="2"/>
  <c r="T844" i="2"/>
  <c r="U844" i="2" s="1"/>
  <c r="V844" i="2"/>
  <c r="T843" i="2"/>
  <c r="U843" i="2" s="1"/>
  <c r="V843" i="2"/>
  <c r="T842" i="2"/>
  <c r="U842" i="2" s="1"/>
  <c r="V842" i="2"/>
  <c r="T841" i="2"/>
  <c r="U841" i="2" s="1"/>
  <c r="V841" i="2"/>
  <c r="T840" i="2"/>
  <c r="U840" i="2" s="1"/>
  <c r="V840" i="2"/>
  <c r="T839" i="2"/>
  <c r="U839" i="2" s="1"/>
  <c r="V839" i="2"/>
  <c r="T838" i="2"/>
  <c r="U838" i="2" s="1"/>
  <c r="V838" i="2"/>
  <c r="T836" i="2"/>
  <c r="U836" i="2" s="1"/>
  <c r="V836" i="2"/>
  <c r="T835" i="2"/>
  <c r="U835" i="2" s="1"/>
  <c r="V835" i="2"/>
  <c r="T834" i="2"/>
  <c r="U834" i="2" s="1"/>
  <c r="V834" i="2"/>
  <c r="T833" i="2"/>
  <c r="U833" i="2" s="1"/>
  <c r="V833" i="2"/>
  <c r="T832" i="2"/>
  <c r="U832" i="2" s="1"/>
  <c r="V832" i="2"/>
  <c r="T831" i="2"/>
  <c r="U831" i="2" s="1"/>
  <c r="V831" i="2"/>
  <c r="T830" i="2"/>
  <c r="U830" i="2" s="1"/>
  <c r="V830" i="2"/>
  <c r="T828" i="2"/>
  <c r="U828" i="2" s="1"/>
  <c r="V828" i="2"/>
  <c r="T827" i="2"/>
  <c r="U827" i="2" s="1"/>
  <c r="V827" i="2"/>
  <c r="T824" i="2"/>
  <c r="U824" i="2" s="1"/>
  <c r="V824" i="2"/>
  <c r="T822" i="2"/>
  <c r="U822" i="2" s="1"/>
  <c r="V822" i="2"/>
  <c r="T820" i="2"/>
  <c r="U820" i="2" s="1"/>
  <c r="V820" i="2"/>
  <c r="T819" i="2"/>
  <c r="U819" i="2" s="1"/>
  <c r="V819" i="2"/>
  <c r="T817" i="2"/>
  <c r="U817" i="2" s="1"/>
  <c r="V817" i="2"/>
  <c r="T816" i="2"/>
  <c r="U816" i="2" s="1"/>
  <c r="V816" i="2"/>
  <c r="V815" i="2"/>
  <c r="T815" i="2"/>
  <c r="U815" i="2" s="1"/>
  <c r="T814" i="2"/>
  <c r="U814" i="2" s="1"/>
  <c r="V814" i="2"/>
  <c r="T813" i="2"/>
  <c r="U813" i="2" s="1"/>
  <c r="V813" i="2"/>
  <c r="T811" i="2"/>
  <c r="U811" i="2" s="1"/>
  <c r="V811" i="2"/>
  <c r="T810" i="2"/>
  <c r="U810" i="2" s="1"/>
  <c r="V810" i="2"/>
  <c r="T809" i="2"/>
  <c r="U809" i="2" s="1"/>
  <c r="V809" i="2"/>
  <c r="T805" i="2"/>
  <c r="U805" i="2" s="1"/>
  <c r="V805" i="2"/>
  <c r="T803" i="2"/>
  <c r="U803" i="2" s="1"/>
  <c r="V803" i="2"/>
  <c r="T802" i="2"/>
  <c r="U802" i="2" s="1"/>
  <c r="V802" i="2"/>
  <c r="T801" i="2"/>
  <c r="U801" i="2" s="1"/>
  <c r="V801" i="2"/>
  <c r="T799" i="2"/>
  <c r="U799" i="2" s="1"/>
  <c r="V799" i="2"/>
  <c r="T798" i="2"/>
  <c r="U798" i="2" s="1"/>
  <c r="V798" i="2"/>
  <c r="T797" i="2"/>
  <c r="U797" i="2" s="1"/>
  <c r="V797" i="2"/>
  <c r="T794" i="2"/>
  <c r="U794" i="2" s="1"/>
  <c r="V794" i="2"/>
  <c r="T793" i="2"/>
  <c r="U793" i="2" s="1"/>
  <c r="V793" i="2"/>
  <c r="T792" i="2"/>
  <c r="U792" i="2" s="1"/>
  <c r="V792" i="2"/>
  <c r="T787" i="2"/>
  <c r="U787" i="2" s="1"/>
  <c r="V787" i="2"/>
  <c r="T786" i="2"/>
  <c r="U786" i="2" s="1"/>
  <c r="V786" i="2"/>
  <c r="T785" i="2"/>
  <c r="U785" i="2" s="1"/>
  <c r="V785" i="2"/>
  <c r="T781" i="2"/>
  <c r="U781" i="2" s="1"/>
  <c r="V781" i="2"/>
  <c r="T780" i="2"/>
  <c r="U780" i="2" s="1"/>
  <c r="V780" i="2"/>
  <c r="T779" i="2"/>
  <c r="U779" i="2" s="1"/>
  <c r="V779" i="2"/>
  <c r="T778" i="2"/>
  <c r="U778" i="2" s="1"/>
  <c r="V778" i="2"/>
  <c r="T775" i="2"/>
  <c r="U775" i="2" s="1"/>
  <c r="V775" i="2"/>
  <c r="T774" i="2"/>
  <c r="U774" i="2" s="1"/>
  <c r="V774" i="2"/>
  <c r="T772" i="2"/>
  <c r="U772" i="2" s="1"/>
  <c r="V772" i="2"/>
  <c r="T771" i="2"/>
  <c r="U771" i="2" s="1"/>
  <c r="V771" i="2"/>
  <c r="T770" i="2"/>
  <c r="U770" i="2" s="1"/>
  <c r="V770" i="2"/>
  <c r="T769" i="2"/>
  <c r="U769" i="2" s="1"/>
  <c r="V769" i="2"/>
  <c r="T768" i="2"/>
  <c r="U768" i="2" s="1"/>
  <c r="V768" i="2"/>
  <c r="T767" i="2"/>
  <c r="U767" i="2" s="1"/>
  <c r="V767" i="2"/>
  <c r="T766" i="2"/>
  <c r="U766" i="2" s="1"/>
  <c r="V766" i="2"/>
  <c r="T765" i="2"/>
  <c r="U765" i="2" s="1"/>
  <c r="V765" i="2"/>
  <c r="T764" i="2"/>
  <c r="U764" i="2" s="1"/>
  <c r="V764" i="2"/>
  <c r="T759" i="2"/>
  <c r="U759" i="2" s="1"/>
  <c r="V759" i="2"/>
  <c r="T758" i="2"/>
  <c r="U758" i="2" s="1"/>
  <c r="V758" i="2"/>
  <c r="T757" i="2"/>
  <c r="U757" i="2" s="1"/>
  <c r="V757" i="2"/>
  <c r="T755" i="2"/>
  <c r="U755" i="2" s="1"/>
  <c r="V755" i="2"/>
  <c r="T754" i="2"/>
  <c r="U754" i="2" s="1"/>
  <c r="V754" i="2"/>
  <c r="T753" i="2"/>
  <c r="U753" i="2" s="1"/>
  <c r="V753" i="2"/>
  <c r="T752" i="2"/>
  <c r="U752" i="2" s="1"/>
  <c r="V752" i="2"/>
  <c r="T751" i="2"/>
  <c r="U751" i="2" s="1"/>
  <c r="V751" i="2"/>
  <c r="T749" i="2"/>
  <c r="U749" i="2" s="1"/>
  <c r="V749" i="2"/>
  <c r="T748" i="2"/>
  <c r="U748" i="2" s="1"/>
  <c r="V748" i="2"/>
  <c r="T745" i="2"/>
  <c r="U745" i="2" s="1"/>
  <c r="V745" i="2"/>
  <c r="T740" i="2"/>
  <c r="U740" i="2" s="1"/>
  <c r="V740" i="2"/>
  <c r="T738" i="2"/>
  <c r="U738" i="2" s="1"/>
  <c r="V738" i="2"/>
  <c r="T737" i="2"/>
  <c r="U737" i="2" s="1"/>
  <c r="V737" i="2"/>
  <c r="T734" i="2"/>
  <c r="U734" i="2" s="1"/>
  <c r="V734" i="2"/>
  <c r="T732" i="2"/>
  <c r="U732" i="2" s="1"/>
  <c r="V732" i="2"/>
  <c r="T731" i="2"/>
  <c r="U731" i="2" s="1"/>
  <c r="V731" i="2"/>
  <c r="T730" i="2"/>
  <c r="U730" i="2" s="1"/>
  <c r="V730" i="2"/>
  <c r="T729" i="2"/>
  <c r="U729" i="2" s="1"/>
  <c r="V729" i="2"/>
  <c r="T727" i="2"/>
  <c r="U727" i="2" s="1"/>
  <c r="V727" i="2"/>
  <c r="T725" i="2"/>
  <c r="U725" i="2" s="1"/>
  <c r="V725" i="2"/>
  <c r="T723" i="2"/>
  <c r="U723" i="2" s="1"/>
  <c r="V723" i="2"/>
  <c r="T722" i="2"/>
  <c r="U722" i="2" s="1"/>
  <c r="V722" i="2"/>
  <c r="T721" i="2"/>
  <c r="U721" i="2" s="1"/>
  <c r="V721" i="2"/>
  <c r="T718" i="2"/>
  <c r="U718" i="2" s="1"/>
  <c r="V718" i="2"/>
  <c r="T717" i="2"/>
  <c r="U717" i="2" s="1"/>
  <c r="V717" i="2"/>
  <c r="T716" i="2"/>
  <c r="U716" i="2" s="1"/>
  <c r="V716" i="2"/>
  <c r="T714" i="2"/>
  <c r="U714" i="2" s="1"/>
  <c r="V714" i="2"/>
  <c r="T712" i="2"/>
  <c r="U712" i="2" s="1"/>
  <c r="V712" i="2"/>
  <c r="T709" i="2"/>
  <c r="U709" i="2" s="1"/>
  <c r="V709" i="2"/>
  <c r="T708" i="2"/>
  <c r="U708" i="2" s="1"/>
  <c r="V708" i="2"/>
  <c r="T703" i="2"/>
  <c r="U703" i="2" s="1"/>
  <c r="V703" i="2"/>
  <c r="T702" i="2"/>
  <c r="U702" i="2" s="1"/>
  <c r="V702" i="2"/>
  <c r="T701" i="2"/>
  <c r="U701" i="2" s="1"/>
  <c r="V701" i="2"/>
  <c r="T700" i="2"/>
  <c r="U700" i="2" s="1"/>
  <c r="V700" i="2"/>
  <c r="T699" i="2"/>
  <c r="U699" i="2" s="1"/>
  <c r="V699" i="2"/>
  <c r="T698" i="2"/>
  <c r="U698" i="2" s="1"/>
  <c r="V698" i="2"/>
  <c r="T697" i="2"/>
  <c r="U697" i="2" s="1"/>
  <c r="V697" i="2"/>
  <c r="T696" i="2"/>
  <c r="U696" i="2" s="1"/>
  <c r="V696" i="2"/>
  <c r="T694" i="2"/>
  <c r="U694" i="2" s="1"/>
  <c r="V694" i="2"/>
  <c r="T693" i="2"/>
  <c r="U693" i="2" s="1"/>
  <c r="V693" i="2"/>
  <c r="T690" i="2"/>
  <c r="U690" i="2" s="1"/>
  <c r="V690" i="2"/>
  <c r="T687" i="2"/>
  <c r="U687" i="2" s="1"/>
  <c r="V687" i="2"/>
  <c r="T685" i="2"/>
  <c r="U685" i="2" s="1"/>
  <c r="V685" i="2"/>
  <c r="T683" i="2"/>
  <c r="U683" i="2" s="1"/>
  <c r="V683" i="2"/>
  <c r="T681" i="2"/>
  <c r="U681" i="2" s="1"/>
  <c r="V681" i="2"/>
  <c r="T680" i="2"/>
  <c r="U680" i="2" s="1"/>
  <c r="V680" i="2"/>
  <c r="T679" i="2"/>
  <c r="U679" i="2" s="1"/>
  <c r="V679" i="2"/>
  <c r="T678" i="2"/>
  <c r="U678" i="2" s="1"/>
  <c r="V678" i="2"/>
  <c r="T676" i="2"/>
  <c r="U676" i="2" s="1"/>
  <c r="V676" i="2"/>
  <c r="T675" i="2"/>
  <c r="U675" i="2" s="1"/>
  <c r="V675" i="2"/>
  <c r="T674" i="2"/>
  <c r="U674" i="2" s="1"/>
  <c r="V674" i="2"/>
  <c r="T673" i="2"/>
  <c r="U673" i="2" s="1"/>
  <c r="V673" i="2"/>
  <c r="T672" i="2"/>
  <c r="U672" i="2" s="1"/>
  <c r="V672" i="2"/>
  <c r="T671" i="2"/>
  <c r="U671" i="2" s="1"/>
  <c r="V671" i="2"/>
  <c r="T654" i="2"/>
  <c r="U654" i="2" s="1"/>
  <c r="V654" i="2"/>
  <c r="T625" i="2"/>
  <c r="U625" i="2" s="1"/>
  <c r="V625" i="2"/>
  <c r="T590" i="2"/>
  <c r="U590" i="2" s="1"/>
  <c r="V590" i="2"/>
  <c r="T579" i="2"/>
  <c r="U579" i="2" s="1"/>
  <c r="V579" i="2"/>
  <c r="T570" i="2"/>
  <c r="U570" i="2" s="1"/>
  <c r="V570" i="2"/>
  <c r="T563" i="2"/>
  <c r="U563" i="2" s="1"/>
  <c r="V563" i="2"/>
  <c r="T555" i="2"/>
  <c r="U555" i="2" s="1"/>
  <c r="V555" i="2"/>
  <c r="T553" i="2"/>
  <c r="U553" i="2" s="1"/>
  <c r="V553" i="2"/>
  <c r="T542" i="2"/>
  <c r="U542" i="2" s="1"/>
  <c r="V542" i="2"/>
  <c r="T541" i="2"/>
  <c r="U541" i="2" s="1"/>
  <c r="V541" i="2"/>
  <c r="T532" i="2"/>
  <c r="U532" i="2" s="1"/>
  <c r="V532" i="2"/>
  <c r="T523" i="2"/>
  <c r="U523" i="2" s="1"/>
  <c r="V523" i="2"/>
  <c r="T513" i="2"/>
  <c r="U513" i="2" s="1"/>
  <c r="V513" i="2"/>
  <c r="T505" i="2"/>
  <c r="U505" i="2" s="1"/>
  <c r="V505" i="2"/>
  <c r="T504" i="2"/>
  <c r="U504" i="2" s="1"/>
  <c r="V504" i="2"/>
  <c r="T503" i="2"/>
  <c r="U503" i="2" s="1"/>
  <c r="V503" i="2"/>
  <c r="T501" i="2"/>
  <c r="U501" i="2" s="1"/>
  <c r="V501" i="2"/>
  <c r="T500" i="2"/>
  <c r="U500" i="2" s="1"/>
  <c r="V500" i="2"/>
  <c r="T498" i="2"/>
  <c r="U498" i="2" s="1"/>
  <c r="V498" i="2"/>
  <c r="T496" i="2"/>
  <c r="U496" i="2" s="1"/>
  <c r="V496" i="2"/>
  <c r="T495" i="2"/>
  <c r="U495" i="2" s="1"/>
  <c r="V495" i="2"/>
  <c r="T494" i="2"/>
  <c r="U494" i="2" s="1"/>
  <c r="V494" i="2"/>
  <c r="T493" i="2"/>
  <c r="U493" i="2" s="1"/>
  <c r="V493" i="2"/>
  <c r="T492" i="2"/>
  <c r="U492" i="2" s="1"/>
  <c r="V492" i="2"/>
  <c r="T491" i="2"/>
  <c r="U491" i="2" s="1"/>
  <c r="V491" i="2"/>
  <c r="V490" i="2"/>
  <c r="T490" i="2"/>
  <c r="U490" i="2" s="1"/>
  <c r="T485" i="2"/>
  <c r="U485" i="2" s="1"/>
  <c r="V485" i="2"/>
  <c r="T484" i="2"/>
  <c r="U484" i="2" s="1"/>
  <c r="V484" i="2"/>
  <c r="T483" i="2"/>
  <c r="U483" i="2" s="1"/>
  <c r="V483" i="2"/>
  <c r="T472" i="2"/>
  <c r="U472" i="2" s="1"/>
  <c r="V472" i="2"/>
  <c r="T471" i="2"/>
  <c r="U471" i="2" s="1"/>
  <c r="V471" i="2"/>
  <c r="T470" i="2"/>
  <c r="U470" i="2" s="1"/>
  <c r="V470" i="2"/>
  <c r="T469" i="2"/>
  <c r="U469" i="2" s="1"/>
  <c r="V469" i="2"/>
  <c r="T468" i="2"/>
  <c r="U468" i="2" s="1"/>
  <c r="V468" i="2"/>
  <c r="T467" i="2"/>
  <c r="U467" i="2" s="1"/>
  <c r="V467" i="2"/>
  <c r="T463" i="2"/>
  <c r="U463" i="2" s="1"/>
  <c r="V463" i="2"/>
  <c r="T462" i="2"/>
  <c r="U462" i="2" s="1"/>
  <c r="V462" i="2"/>
  <c r="T461" i="2"/>
  <c r="U461" i="2" s="1"/>
  <c r="V461" i="2"/>
  <c r="T460" i="2"/>
  <c r="U460" i="2" s="1"/>
  <c r="V460" i="2"/>
  <c r="T459" i="2"/>
  <c r="U459" i="2" s="1"/>
  <c r="V459" i="2"/>
  <c r="T458" i="2"/>
  <c r="U458" i="2" s="1"/>
  <c r="V458" i="2"/>
  <c r="T457" i="2"/>
  <c r="U457" i="2" s="1"/>
  <c r="V457" i="2"/>
  <c r="T455" i="2"/>
  <c r="U455" i="2" s="1"/>
  <c r="V455" i="2"/>
  <c r="T454" i="2"/>
  <c r="U454" i="2" s="1"/>
  <c r="V454" i="2"/>
  <c r="T453" i="2"/>
  <c r="U453" i="2" s="1"/>
  <c r="V453" i="2"/>
  <c r="T451" i="2"/>
  <c r="U451" i="2" s="1"/>
  <c r="V451" i="2"/>
  <c r="T450" i="2"/>
  <c r="U450" i="2" s="1"/>
  <c r="V450" i="2"/>
  <c r="T449" i="2"/>
  <c r="U449" i="2" s="1"/>
  <c r="V449" i="2"/>
  <c r="T447" i="2"/>
  <c r="U447" i="2" s="1"/>
  <c r="V447" i="2"/>
  <c r="T446" i="2"/>
  <c r="U446" i="2" s="1"/>
  <c r="V446" i="2"/>
  <c r="T444" i="2"/>
  <c r="U444" i="2" s="1"/>
  <c r="V444" i="2"/>
  <c r="T441" i="2"/>
  <c r="U441" i="2" s="1"/>
  <c r="V441" i="2"/>
  <c r="T440" i="2"/>
  <c r="U440" i="2" s="1"/>
  <c r="V440" i="2"/>
  <c r="T439" i="2"/>
  <c r="U439" i="2" s="1"/>
  <c r="V439" i="2"/>
  <c r="T438" i="2"/>
  <c r="U438" i="2" s="1"/>
  <c r="V438" i="2"/>
  <c r="T436" i="2"/>
  <c r="U436" i="2" s="1"/>
  <c r="V436" i="2"/>
  <c r="T433" i="2"/>
  <c r="U433" i="2" s="1"/>
  <c r="V433" i="2"/>
  <c r="T432" i="2"/>
  <c r="U432" i="2" s="1"/>
  <c r="V432" i="2"/>
  <c r="T429" i="2"/>
  <c r="U429" i="2" s="1"/>
  <c r="V429" i="2"/>
  <c r="T428" i="2"/>
  <c r="U428" i="2" s="1"/>
  <c r="V428" i="2"/>
  <c r="T427" i="2"/>
  <c r="U427" i="2" s="1"/>
  <c r="V427" i="2"/>
  <c r="T426" i="2"/>
  <c r="U426" i="2" s="1"/>
  <c r="V426" i="2"/>
  <c r="T424" i="2"/>
  <c r="U424" i="2" s="1"/>
  <c r="V424" i="2"/>
  <c r="T420" i="2"/>
  <c r="U420" i="2" s="1"/>
  <c r="V420" i="2"/>
  <c r="T419" i="2"/>
  <c r="U419" i="2" s="1"/>
  <c r="V419" i="2"/>
  <c r="T418" i="2"/>
  <c r="U418" i="2" s="1"/>
  <c r="V418" i="2"/>
  <c r="T416" i="2"/>
  <c r="U416" i="2" s="1"/>
  <c r="V416" i="2"/>
  <c r="T414" i="2"/>
  <c r="U414" i="2" s="1"/>
  <c r="V414" i="2"/>
  <c r="T412" i="2"/>
  <c r="U412" i="2" s="1"/>
  <c r="V412" i="2"/>
  <c r="T411" i="2"/>
  <c r="U411" i="2" s="1"/>
  <c r="V411" i="2"/>
  <c r="T410" i="2"/>
  <c r="U410" i="2" s="1"/>
  <c r="V410" i="2"/>
  <c r="T408" i="2"/>
  <c r="U408" i="2" s="1"/>
  <c r="V408" i="2"/>
  <c r="T407" i="2"/>
  <c r="U407" i="2" s="1"/>
  <c r="V407" i="2"/>
  <c r="T406" i="2"/>
  <c r="U406" i="2" s="1"/>
  <c r="V406" i="2"/>
  <c r="T404" i="2"/>
  <c r="U404" i="2" s="1"/>
  <c r="V404" i="2"/>
  <c r="T403" i="2"/>
  <c r="U403" i="2" s="1"/>
  <c r="V403" i="2"/>
  <c r="T400" i="2"/>
  <c r="U400" i="2" s="1"/>
  <c r="V400" i="2"/>
  <c r="T399" i="2"/>
  <c r="U399" i="2" s="1"/>
  <c r="V399" i="2"/>
  <c r="T395" i="2"/>
  <c r="U395" i="2" s="1"/>
  <c r="V395" i="2"/>
  <c r="T393" i="2"/>
  <c r="U393" i="2" s="1"/>
  <c r="V393" i="2"/>
  <c r="T387" i="2"/>
  <c r="U387" i="2" s="1"/>
  <c r="V387" i="2"/>
  <c r="T386" i="2"/>
  <c r="U386" i="2" s="1"/>
  <c r="V386" i="2"/>
  <c r="T385" i="2"/>
  <c r="U385" i="2" s="1"/>
  <c r="V385" i="2"/>
  <c r="T381" i="2"/>
  <c r="U381" i="2" s="1"/>
  <c r="V381" i="2"/>
  <c r="T380" i="2"/>
  <c r="U380" i="2" s="1"/>
  <c r="V380" i="2"/>
  <c r="T379" i="2"/>
  <c r="U379" i="2" s="1"/>
  <c r="V379" i="2"/>
  <c r="T375" i="2"/>
  <c r="U375" i="2" s="1"/>
  <c r="V375" i="2"/>
  <c r="T371" i="2"/>
  <c r="U371" i="2" s="1"/>
  <c r="V371" i="2"/>
  <c r="T369" i="2"/>
  <c r="U369" i="2" s="1"/>
  <c r="V369" i="2"/>
  <c r="T368" i="2"/>
  <c r="U368" i="2" s="1"/>
  <c r="V368" i="2"/>
  <c r="T366" i="2"/>
  <c r="U366" i="2" s="1"/>
  <c r="V366" i="2"/>
  <c r="T364" i="2"/>
  <c r="U364" i="2" s="1"/>
  <c r="V364" i="2"/>
  <c r="T359" i="2"/>
  <c r="U359" i="2" s="1"/>
  <c r="V359" i="2"/>
  <c r="T358" i="2"/>
  <c r="U358" i="2" s="1"/>
  <c r="V358" i="2"/>
  <c r="T357" i="2"/>
  <c r="U357" i="2" s="1"/>
  <c r="V357" i="2"/>
  <c r="T356" i="2"/>
  <c r="U356" i="2" s="1"/>
  <c r="V356" i="2"/>
  <c r="T355" i="2"/>
  <c r="U355" i="2" s="1"/>
  <c r="V355" i="2"/>
  <c r="T349" i="2"/>
  <c r="U349" i="2" s="1"/>
  <c r="V349" i="2"/>
  <c r="T345" i="2"/>
  <c r="U345" i="2" s="1"/>
  <c r="V345" i="2"/>
  <c r="T343" i="2"/>
  <c r="U343" i="2" s="1"/>
  <c r="V343" i="2"/>
  <c r="T342" i="2"/>
  <c r="U342" i="2" s="1"/>
  <c r="V342" i="2"/>
  <c r="T341" i="2"/>
  <c r="U341" i="2" s="1"/>
  <c r="V341" i="2"/>
  <c r="T340" i="2"/>
  <c r="U340" i="2" s="1"/>
  <c r="V340" i="2"/>
  <c r="T339" i="2"/>
  <c r="U339" i="2" s="1"/>
  <c r="V339" i="2"/>
  <c r="T338" i="2"/>
  <c r="U338" i="2" s="1"/>
  <c r="V338" i="2"/>
  <c r="T182" i="2"/>
  <c r="U182" i="2" s="1"/>
  <c r="V182" i="2"/>
  <c r="T1529" i="2"/>
  <c r="U1529" i="2" s="1"/>
  <c r="V1529" i="2"/>
  <c r="T1525" i="2"/>
  <c r="U1525" i="2" s="1"/>
  <c r="V1525" i="2"/>
  <c r="T1520" i="2"/>
  <c r="U1520" i="2" s="1"/>
  <c r="V1520" i="2"/>
  <c r="T336" i="2"/>
  <c r="U336" i="2" s="1"/>
  <c r="V336" i="2"/>
  <c r="T334" i="2"/>
  <c r="U334" i="2" s="1"/>
  <c r="V334" i="2"/>
  <c r="T332" i="2"/>
  <c r="U332" i="2" s="1"/>
  <c r="V332" i="2"/>
  <c r="T331" i="2"/>
  <c r="U331" i="2" s="1"/>
  <c r="V331" i="2"/>
  <c r="T330" i="2"/>
  <c r="U330" i="2" s="1"/>
  <c r="V330" i="2"/>
  <c r="T327" i="2"/>
  <c r="U327" i="2" s="1"/>
  <c r="V327" i="2"/>
  <c r="T326" i="2"/>
  <c r="U326" i="2" s="1"/>
  <c r="V326" i="2"/>
  <c r="T324" i="2"/>
  <c r="U324" i="2" s="1"/>
  <c r="V324" i="2"/>
  <c r="T322" i="2"/>
  <c r="U322" i="2" s="1"/>
  <c r="V322" i="2"/>
  <c r="T321" i="2"/>
  <c r="U321" i="2" s="1"/>
  <c r="V321" i="2"/>
  <c r="T320" i="2"/>
  <c r="U320" i="2" s="1"/>
  <c r="V320" i="2"/>
  <c r="T317" i="2"/>
  <c r="U317" i="2" s="1"/>
  <c r="V317" i="2"/>
  <c r="T315" i="2"/>
  <c r="U315" i="2" s="1"/>
  <c r="V315" i="2"/>
  <c r="T314" i="2"/>
  <c r="U314" i="2" s="1"/>
  <c r="V314" i="2"/>
  <c r="T311" i="2"/>
  <c r="U311" i="2" s="1"/>
  <c r="V311" i="2"/>
  <c r="T310" i="2"/>
  <c r="U310" i="2" s="1"/>
  <c r="V310" i="2"/>
  <c r="T309" i="2"/>
  <c r="U309" i="2" s="1"/>
  <c r="V309" i="2"/>
  <c r="T305" i="2"/>
  <c r="U305" i="2" s="1"/>
  <c r="V305" i="2"/>
  <c r="T304" i="2"/>
  <c r="U304" i="2" s="1"/>
  <c r="V304" i="2"/>
  <c r="T303" i="2"/>
  <c r="U303" i="2" s="1"/>
  <c r="V303" i="2"/>
  <c r="T299" i="2"/>
  <c r="U299" i="2" s="1"/>
  <c r="V299" i="2"/>
  <c r="T296" i="2"/>
  <c r="U296" i="2" s="1"/>
  <c r="V296" i="2"/>
  <c r="T295" i="2"/>
  <c r="U295" i="2" s="1"/>
  <c r="V295" i="2"/>
  <c r="T294" i="2"/>
  <c r="U294" i="2" s="1"/>
  <c r="V294" i="2"/>
  <c r="T292" i="2"/>
  <c r="U292" i="2" s="1"/>
  <c r="V292" i="2"/>
  <c r="T291" i="2"/>
  <c r="U291" i="2" s="1"/>
  <c r="V291" i="2"/>
  <c r="T290" i="2"/>
  <c r="U290" i="2" s="1"/>
  <c r="V290" i="2"/>
  <c r="T288" i="2"/>
  <c r="U288" i="2" s="1"/>
  <c r="V288" i="2"/>
  <c r="T287" i="2"/>
  <c r="U287" i="2" s="1"/>
  <c r="V287" i="2"/>
  <c r="T286" i="2"/>
  <c r="U286" i="2" s="1"/>
  <c r="V286" i="2"/>
  <c r="T284" i="2"/>
  <c r="U284" i="2" s="1"/>
  <c r="V284" i="2"/>
  <c r="T283" i="2"/>
  <c r="U283" i="2" s="1"/>
  <c r="V283" i="2"/>
  <c r="T281" i="2"/>
  <c r="U281" i="2" s="1"/>
  <c r="V281" i="2"/>
  <c r="T280" i="2"/>
  <c r="U280" i="2" s="1"/>
  <c r="V280" i="2"/>
  <c r="T279" i="2"/>
  <c r="U279" i="2" s="1"/>
  <c r="V279" i="2"/>
  <c r="T278" i="2"/>
  <c r="U278" i="2" s="1"/>
  <c r="V278" i="2"/>
  <c r="T277" i="2"/>
  <c r="U277" i="2" s="1"/>
  <c r="V277" i="2"/>
  <c r="T276" i="2"/>
  <c r="U276" i="2" s="1"/>
  <c r="V276" i="2"/>
  <c r="T275" i="2"/>
  <c r="U275" i="2" s="1"/>
  <c r="V275" i="2"/>
  <c r="T274" i="2"/>
  <c r="U274" i="2" s="1"/>
  <c r="V274" i="2"/>
  <c r="T273" i="2"/>
  <c r="U273" i="2" s="1"/>
  <c r="V273" i="2"/>
  <c r="T272" i="2"/>
  <c r="U272" i="2" s="1"/>
  <c r="V272" i="2"/>
  <c r="T271" i="2"/>
  <c r="U271" i="2" s="1"/>
  <c r="V271" i="2"/>
  <c r="T269" i="2"/>
  <c r="U269" i="2" s="1"/>
  <c r="V269" i="2"/>
  <c r="T268" i="2"/>
  <c r="U268" i="2" s="1"/>
  <c r="V268" i="2"/>
  <c r="T263" i="2"/>
  <c r="U263" i="2" s="1"/>
  <c r="V263" i="2"/>
  <c r="T260" i="2"/>
  <c r="U260" i="2" s="1"/>
  <c r="V260" i="2"/>
  <c r="T257" i="2"/>
  <c r="U257" i="2" s="1"/>
  <c r="V257" i="2"/>
  <c r="T253" i="2"/>
  <c r="U253" i="2" s="1"/>
  <c r="V253" i="2"/>
  <c r="T252" i="2"/>
  <c r="U252" i="2" s="1"/>
  <c r="V252" i="2"/>
  <c r="T251" i="2"/>
  <c r="U251" i="2" s="1"/>
  <c r="V251" i="2"/>
  <c r="T248" i="2"/>
  <c r="U248" i="2" s="1"/>
  <c r="V248" i="2"/>
  <c r="T247" i="2"/>
  <c r="U247" i="2" s="1"/>
  <c r="V247" i="2"/>
  <c r="T246" i="2"/>
  <c r="U246" i="2" s="1"/>
  <c r="V246" i="2"/>
  <c r="T243" i="2"/>
  <c r="U243" i="2" s="1"/>
  <c r="V243" i="2"/>
  <c r="T242" i="2"/>
  <c r="U242" i="2" s="1"/>
  <c r="V242" i="2"/>
  <c r="T241" i="2"/>
  <c r="U241" i="2" s="1"/>
  <c r="V241" i="2"/>
  <c r="T240" i="2"/>
  <c r="U240" i="2" s="1"/>
  <c r="V240" i="2"/>
  <c r="T238" i="2"/>
  <c r="U238" i="2" s="1"/>
  <c r="V238" i="2"/>
  <c r="T231" i="2"/>
  <c r="U231" i="2" s="1"/>
  <c r="V231" i="2"/>
  <c r="T222" i="2"/>
  <c r="U222" i="2" s="1"/>
  <c r="V222" i="2"/>
  <c r="T217" i="2"/>
  <c r="U217" i="2" s="1"/>
  <c r="V217" i="2"/>
  <c r="T213" i="2"/>
  <c r="U213" i="2" s="1"/>
  <c r="V213" i="2"/>
  <c r="T212" i="2"/>
  <c r="U212" i="2" s="1"/>
  <c r="V212" i="2"/>
  <c r="T210" i="2"/>
  <c r="U210" i="2" s="1"/>
  <c r="V210" i="2"/>
  <c r="T209" i="2"/>
  <c r="U209" i="2" s="1"/>
  <c r="V209" i="2"/>
  <c r="T208" i="2"/>
  <c r="U208" i="2" s="1"/>
  <c r="V208" i="2"/>
  <c r="T206" i="2"/>
  <c r="U206" i="2" s="1"/>
  <c r="V206" i="2"/>
  <c r="T202" i="2"/>
  <c r="U202" i="2" s="1"/>
  <c r="V202" i="2"/>
  <c r="T201" i="2"/>
  <c r="U201" i="2" s="1"/>
  <c r="V201" i="2"/>
  <c r="T200" i="2"/>
  <c r="U200" i="2" s="1"/>
  <c r="V200" i="2"/>
  <c r="T199" i="2"/>
  <c r="U199" i="2" s="1"/>
  <c r="V199" i="2"/>
  <c r="T197" i="2"/>
  <c r="U197" i="2" s="1"/>
  <c r="V197" i="2"/>
  <c r="T196" i="2"/>
  <c r="U196" i="2" s="1"/>
  <c r="V196" i="2"/>
  <c r="T195" i="2"/>
  <c r="U195" i="2" s="1"/>
  <c r="V195" i="2"/>
  <c r="T194" i="2"/>
  <c r="U194" i="2" s="1"/>
  <c r="V194" i="2"/>
  <c r="T193" i="2"/>
  <c r="U193" i="2" s="1"/>
  <c r="V193" i="2"/>
  <c r="T188" i="2"/>
  <c r="U188" i="2" s="1"/>
  <c r="V188" i="2"/>
  <c r="T186" i="2"/>
  <c r="U186" i="2" s="1"/>
  <c r="V186" i="2"/>
  <c r="T185" i="2"/>
  <c r="U185" i="2" s="1"/>
  <c r="V185" i="2"/>
  <c r="T184" i="2"/>
  <c r="U184" i="2" s="1"/>
  <c r="V184" i="2"/>
  <c r="T183" i="2"/>
  <c r="U183" i="2" s="1"/>
  <c r="V183" i="2"/>
  <c r="T181" i="2"/>
  <c r="U181" i="2" s="1"/>
  <c r="V181" i="2"/>
  <c r="T176" i="2"/>
  <c r="U176" i="2" s="1"/>
  <c r="V176" i="2"/>
  <c r="T1515" i="2"/>
  <c r="U1515" i="2" s="1"/>
  <c r="V1515" i="2"/>
  <c r="T173" i="2"/>
  <c r="U173" i="2" s="1"/>
  <c r="V173" i="2"/>
  <c r="T172" i="2"/>
  <c r="U172" i="2" s="1"/>
  <c r="V172" i="2"/>
  <c r="T171" i="2"/>
  <c r="U171" i="2" s="1"/>
  <c r="V171" i="2"/>
  <c r="T169" i="2"/>
  <c r="U169" i="2" s="1"/>
  <c r="V169" i="2"/>
  <c r="T168" i="2"/>
  <c r="U168" i="2" s="1"/>
  <c r="V168" i="2"/>
  <c r="T167" i="2"/>
  <c r="U167" i="2" s="1"/>
  <c r="V167" i="2"/>
  <c r="V166" i="2"/>
  <c r="T166" i="2"/>
  <c r="U166" i="2" s="1"/>
  <c r="T165" i="2"/>
  <c r="U165" i="2" s="1"/>
  <c r="V165" i="2"/>
  <c r="T164" i="2"/>
  <c r="U164" i="2" s="1"/>
  <c r="V164" i="2"/>
  <c r="T163" i="2"/>
  <c r="U163" i="2" s="1"/>
  <c r="V163" i="2"/>
  <c r="T162" i="2"/>
  <c r="U162" i="2" s="1"/>
  <c r="V162" i="2"/>
  <c r="T161" i="2"/>
  <c r="U161" i="2" s="1"/>
  <c r="V161" i="2"/>
  <c r="T160" i="2"/>
  <c r="U160" i="2" s="1"/>
  <c r="V160" i="2"/>
  <c r="T157" i="2"/>
  <c r="U157" i="2" s="1"/>
  <c r="V157" i="2"/>
  <c r="T156" i="2"/>
  <c r="U156" i="2" s="1"/>
  <c r="V156" i="2"/>
  <c r="T155" i="2"/>
  <c r="U155" i="2" s="1"/>
  <c r="V155" i="2"/>
  <c r="T143" i="2"/>
  <c r="U143" i="2" s="1"/>
  <c r="V143" i="2"/>
  <c r="T142" i="2"/>
  <c r="U142" i="2" s="1"/>
  <c r="V142" i="2"/>
  <c r="T140" i="2"/>
  <c r="U140" i="2" s="1"/>
  <c r="V140" i="2"/>
  <c r="T138" i="2"/>
  <c r="U138" i="2" s="1"/>
  <c r="V138" i="2"/>
  <c r="T137" i="2"/>
  <c r="U137" i="2" s="1"/>
  <c r="V137" i="2"/>
  <c r="T136" i="2"/>
  <c r="U136" i="2" s="1"/>
  <c r="V136" i="2"/>
  <c r="T135" i="2"/>
  <c r="U135" i="2" s="1"/>
  <c r="V135" i="2"/>
  <c r="T133" i="2"/>
  <c r="U133" i="2" s="1"/>
  <c r="V133" i="2"/>
  <c r="T129" i="2"/>
  <c r="U129" i="2" s="1"/>
  <c r="V129" i="2"/>
  <c r="T126" i="2"/>
  <c r="U126" i="2" s="1"/>
  <c r="V126" i="2"/>
  <c r="T125" i="2"/>
  <c r="U125" i="2" s="1"/>
  <c r="V125" i="2"/>
  <c r="T124" i="2"/>
  <c r="U124" i="2" s="1"/>
  <c r="V124" i="2"/>
  <c r="T122" i="2"/>
  <c r="U122" i="2" s="1"/>
  <c r="V122" i="2"/>
  <c r="T116" i="2"/>
  <c r="U116" i="2" s="1"/>
  <c r="V116" i="2"/>
  <c r="T114" i="2"/>
  <c r="U114" i="2" s="1"/>
  <c r="V114" i="2"/>
  <c r="T112" i="2"/>
  <c r="U112" i="2" s="1"/>
  <c r="V112" i="2"/>
  <c r="T108" i="2"/>
  <c r="U108" i="2" s="1"/>
  <c r="V108" i="2"/>
  <c r="T107" i="2"/>
  <c r="U107" i="2" s="1"/>
  <c r="V107" i="2"/>
  <c r="T105" i="2"/>
  <c r="U105" i="2" s="1"/>
  <c r="V105" i="2"/>
  <c r="T103" i="2"/>
  <c r="U103" i="2" s="1"/>
  <c r="V103" i="2"/>
  <c r="T102" i="2"/>
  <c r="U102" i="2" s="1"/>
  <c r="V102" i="2"/>
  <c r="T101" i="2"/>
  <c r="U101" i="2" s="1"/>
  <c r="V101" i="2"/>
  <c r="T99" i="2"/>
  <c r="U99" i="2" s="1"/>
  <c r="V99" i="2"/>
  <c r="T98" i="2"/>
  <c r="U98" i="2" s="1"/>
  <c r="V98" i="2"/>
  <c r="T97" i="2"/>
  <c r="U97" i="2" s="1"/>
  <c r="V97" i="2"/>
  <c r="T96" i="2"/>
  <c r="U96" i="2" s="1"/>
  <c r="V96" i="2"/>
  <c r="T95" i="2"/>
  <c r="U95" i="2" s="1"/>
  <c r="V95" i="2"/>
  <c r="T94" i="2"/>
  <c r="U94" i="2" s="1"/>
  <c r="V94" i="2"/>
  <c r="T92" i="2"/>
  <c r="U92" i="2" s="1"/>
  <c r="V92" i="2"/>
  <c r="T91" i="2"/>
  <c r="U91" i="2" s="1"/>
  <c r="V91" i="2"/>
  <c r="T90" i="2"/>
  <c r="U90" i="2" s="1"/>
  <c r="V90" i="2"/>
  <c r="T89" i="2"/>
  <c r="U89" i="2" s="1"/>
  <c r="V89" i="2"/>
  <c r="T88" i="2"/>
  <c r="U88" i="2" s="1"/>
  <c r="V88" i="2"/>
  <c r="T87" i="2"/>
  <c r="U87" i="2" s="1"/>
  <c r="V87" i="2"/>
  <c r="T85" i="2"/>
  <c r="U85" i="2" s="1"/>
  <c r="V85" i="2"/>
  <c r="T84" i="2"/>
  <c r="U84" i="2" s="1"/>
  <c r="V84" i="2"/>
  <c r="T81" i="2"/>
  <c r="U81" i="2" s="1"/>
  <c r="V81" i="2"/>
  <c r="T75" i="2"/>
  <c r="U75" i="2" s="1"/>
  <c r="V75" i="2"/>
  <c r="T73" i="2"/>
  <c r="U73" i="2" s="1"/>
  <c r="V73" i="2"/>
  <c r="T72" i="2"/>
  <c r="U72" i="2" s="1"/>
  <c r="V72" i="2"/>
  <c r="T71" i="2"/>
  <c r="U71" i="2" s="1"/>
  <c r="V71" i="2"/>
  <c r="T70" i="2"/>
  <c r="U70" i="2" s="1"/>
  <c r="V70" i="2"/>
  <c r="T69" i="2"/>
  <c r="U69" i="2" s="1"/>
  <c r="V69" i="2"/>
  <c r="T68" i="2"/>
  <c r="U68" i="2" s="1"/>
  <c r="V68" i="2"/>
  <c r="T67" i="2"/>
  <c r="U67" i="2" s="1"/>
  <c r="V67" i="2"/>
  <c r="T64" i="2"/>
  <c r="U64" i="2" s="1"/>
  <c r="V64" i="2"/>
  <c r="T61" i="2"/>
  <c r="U61" i="2" s="1"/>
  <c r="V61" i="2"/>
  <c r="T59" i="2"/>
  <c r="U59" i="2" s="1"/>
  <c r="V59" i="2"/>
  <c r="T58" i="2"/>
  <c r="U58" i="2" s="1"/>
  <c r="V58" i="2"/>
  <c r="T57" i="2"/>
  <c r="U57" i="2" s="1"/>
  <c r="V57" i="2"/>
  <c r="T56" i="2"/>
  <c r="U56" i="2" s="1"/>
  <c r="V56" i="2"/>
  <c r="T53" i="2"/>
  <c r="U53" i="2" s="1"/>
  <c r="V53" i="2"/>
  <c r="T52" i="2"/>
  <c r="U52" i="2" s="1"/>
  <c r="V52" i="2"/>
  <c r="T51" i="2"/>
  <c r="U51" i="2" s="1"/>
  <c r="V51" i="2"/>
  <c r="T50" i="2"/>
  <c r="U50" i="2" s="1"/>
  <c r="V50" i="2"/>
  <c r="T47" i="2"/>
  <c r="U47" i="2" s="1"/>
  <c r="V47" i="2"/>
  <c r="T45" i="2"/>
  <c r="U45" i="2" s="1"/>
  <c r="V45" i="2"/>
  <c r="T42" i="2"/>
  <c r="U42" i="2" s="1"/>
  <c r="V42" i="2"/>
  <c r="T41" i="2"/>
  <c r="U41" i="2" s="1"/>
  <c r="V41" i="2"/>
  <c r="T40" i="2"/>
  <c r="U40" i="2" s="1"/>
  <c r="V40" i="2"/>
  <c r="T38" i="2"/>
  <c r="U38" i="2" s="1"/>
  <c r="V38" i="2"/>
  <c r="T36" i="2"/>
  <c r="U36" i="2" s="1"/>
  <c r="V36" i="2"/>
  <c r="T35" i="2"/>
  <c r="U35" i="2" s="1"/>
  <c r="V35" i="2"/>
  <c r="T29" i="2"/>
  <c r="U29" i="2" s="1"/>
  <c r="V29" i="2"/>
  <c r="T28" i="2"/>
  <c r="U28" i="2" s="1"/>
  <c r="V28" i="2"/>
  <c r="T27" i="2"/>
  <c r="U27" i="2" s="1"/>
  <c r="V27" i="2"/>
  <c r="T25" i="2"/>
  <c r="U25" i="2" s="1"/>
  <c r="V25" i="2"/>
  <c r="T24" i="2"/>
  <c r="U24" i="2" s="1"/>
  <c r="V24" i="2"/>
  <c r="T23" i="2"/>
  <c r="U23" i="2" s="1"/>
  <c r="V23" i="2"/>
  <c r="T22" i="2"/>
  <c r="U22" i="2" s="1"/>
  <c r="V22" i="2"/>
  <c r="T21" i="2"/>
  <c r="U21" i="2" s="1"/>
  <c r="V21" i="2"/>
  <c r="T20" i="2"/>
  <c r="U20" i="2" s="1"/>
  <c r="V20" i="2"/>
  <c r="T19" i="2"/>
  <c r="U19" i="2" s="1"/>
  <c r="V19" i="2"/>
  <c r="T17" i="2"/>
  <c r="U17" i="2" s="1"/>
  <c r="V17" i="2"/>
  <c r="T16" i="2"/>
  <c r="U16" i="2" s="1"/>
  <c r="V16" i="2"/>
  <c r="T15" i="2"/>
  <c r="U15" i="2" s="1"/>
  <c r="V15" i="2"/>
  <c r="T14" i="2"/>
  <c r="U14" i="2" s="1"/>
  <c r="V14" i="2"/>
  <c r="T10" i="2"/>
  <c r="U10" i="2" s="1"/>
  <c r="V10" i="2"/>
  <c r="T9" i="2"/>
  <c r="U9" i="2" s="1"/>
  <c r="V9" i="2"/>
  <c r="Z1989" i="2"/>
  <c r="W1989" i="2"/>
  <c r="Y1989" i="2" s="1"/>
  <c r="Z1988" i="2"/>
  <c r="W1988" i="2"/>
  <c r="Y1988" i="2" s="1"/>
  <c r="W1983" i="2"/>
  <c r="W1982" i="2"/>
  <c r="W1977" i="2"/>
  <c r="W1974" i="2"/>
  <c r="W1963" i="2"/>
  <c r="W1959" i="2"/>
  <c r="Y1959" i="2" s="1"/>
  <c r="O1959" i="4" s="1"/>
  <c r="W1941" i="2"/>
  <c r="W1940" i="2"/>
  <c r="W1934" i="2"/>
  <c r="W1922" i="2"/>
  <c r="Y1922" i="2" s="1"/>
  <c r="W1920" i="2"/>
  <c r="W1917" i="2"/>
  <c r="W1915" i="2"/>
  <c r="W1896" i="2"/>
  <c r="W1879" i="2"/>
  <c r="W1877" i="2"/>
  <c r="W1868" i="2"/>
  <c r="W1866" i="2"/>
  <c r="W1860" i="2"/>
  <c r="W1853" i="2"/>
  <c r="W1850" i="2"/>
  <c r="W1839" i="2"/>
  <c r="W1835" i="2"/>
  <c r="W1833" i="2"/>
  <c r="W1832" i="2"/>
  <c r="W1813" i="2"/>
  <c r="Y1813" i="2" s="1"/>
  <c r="O1813" i="4" s="1"/>
  <c r="W1750" i="2"/>
  <c r="W1728" i="2"/>
  <c r="W1724" i="2"/>
  <c r="W1682" i="2"/>
  <c r="W1657" i="2"/>
  <c r="W1656" i="2"/>
  <c r="Y1656" i="2" s="1"/>
  <c r="W1652" i="2"/>
  <c r="W1649" i="2"/>
  <c r="Y1649" i="2" s="1"/>
  <c r="W1647" i="2"/>
  <c r="Y1647" i="2" s="1"/>
  <c r="O1647" i="4" s="1"/>
  <c r="W1638" i="2"/>
  <c r="Y1638" i="2" s="1"/>
  <c r="O1638" i="4" s="1"/>
  <c r="W1634" i="2"/>
  <c r="Y1634" i="2" s="1"/>
  <c r="W1632" i="2"/>
  <c r="Y1632" i="2" s="1"/>
  <c r="O1632" i="4" s="1"/>
  <c r="W1628" i="2"/>
  <c r="Y1628" i="2" s="1"/>
  <c r="O1628" i="4" s="1"/>
  <c r="W1622" i="2"/>
  <c r="W1617" i="2"/>
  <c r="W1616" i="2"/>
  <c r="W1612" i="2"/>
  <c r="W1609" i="2"/>
  <c r="W1608" i="2"/>
  <c r="W1605" i="2"/>
  <c r="W1604" i="2"/>
  <c r="W1593" i="2"/>
  <c r="W1592" i="2"/>
  <c r="W1591" i="2"/>
  <c r="W1590" i="2"/>
  <c r="W1588" i="2"/>
  <c r="W1581" i="2"/>
  <c r="W1578" i="2"/>
  <c r="W1577" i="2"/>
  <c r="W1574" i="2"/>
  <c r="Y1574" i="2" s="1"/>
  <c r="W1573" i="2"/>
  <c r="W1560" i="2"/>
  <c r="W1559" i="2"/>
  <c r="W1556" i="2"/>
  <c r="W1548" i="2"/>
  <c r="W1546" i="2"/>
  <c r="W1544" i="2"/>
  <c r="W1540" i="2"/>
  <c r="W1535" i="2"/>
  <c r="W1531" i="2"/>
  <c r="W1521" i="2"/>
  <c r="W1519" i="2"/>
  <c r="W1498" i="2"/>
  <c r="Y1498" i="2" s="1"/>
  <c r="W1497" i="2"/>
  <c r="Y1497" i="2" s="1"/>
  <c r="W1493" i="2"/>
  <c r="Y1493" i="2" s="1"/>
  <c r="W1463" i="2"/>
  <c r="W1458" i="2"/>
  <c r="W1453" i="2"/>
  <c r="W1448" i="2"/>
  <c r="W1440" i="2"/>
  <c r="W1438" i="2"/>
  <c r="W1428" i="2"/>
  <c r="W1424" i="2"/>
  <c r="W1412" i="2"/>
  <c r="W1408" i="2"/>
  <c r="W1405" i="2"/>
  <c r="W1396" i="2"/>
  <c r="W1352" i="2"/>
  <c r="W1347" i="2"/>
  <c r="Y1347" i="2" s="1"/>
  <c r="W1345" i="2"/>
  <c r="Y1345" i="2" s="1"/>
  <c r="W1337" i="2"/>
  <c r="Y1337" i="2" s="1"/>
  <c r="O1337" i="4" s="1"/>
  <c r="W1335" i="2"/>
  <c r="W1330" i="2"/>
  <c r="Y1330" i="2" s="1"/>
  <c r="O1330" i="4" s="1"/>
  <c r="W1329" i="2"/>
  <c r="Y1329" i="2" s="1"/>
  <c r="W1322" i="2"/>
  <c r="Y1322" i="2" s="1"/>
  <c r="W1315" i="2"/>
  <c r="W1299" i="2"/>
  <c r="W1298" i="2"/>
  <c r="W1297" i="2"/>
  <c r="W1295" i="2"/>
  <c r="W1292" i="2"/>
  <c r="W1285" i="2"/>
  <c r="W1283" i="2"/>
  <c r="W1281" i="2"/>
  <c r="W1278" i="2"/>
  <c r="W1266" i="2"/>
  <c r="W1264" i="2"/>
  <c r="W1263" i="2"/>
  <c r="W1260" i="2"/>
  <c r="W1258" i="2"/>
  <c r="W1250" i="2"/>
  <c r="W1246" i="2"/>
  <c r="W1241" i="2"/>
  <c r="W1238" i="2"/>
  <c r="W1226" i="2"/>
  <c r="W1209" i="2"/>
  <c r="W1206" i="2"/>
  <c r="W1200" i="2"/>
  <c r="W1184" i="2"/>
  <c r="W1179" i="2"/>
  <c r="W1173" i="2"/>
  <c r="W1166" i="2"/>
  <c r="W1137" i="2"/>
  <c r="W1132" i="2"/>
  <c r="W1131" i="2"/>
  <c r="W1109" i="2"/>
  <c r="W1093" i="2"/>
  <c r="W1088" i="2"/>
  <c r="W1087" i="2"/>
  <c r="W1080" i="2"/>
  <c r="W1071" i="2"/>
  <c r="W1058" i="2"/>
  <c r="W1051" i="2"/>
  <c r="W1046" i="2"/>
  <c r="W1039" i="2"/>
  <c r="W1024" i="2"/>
  <c r="Y1024" i="2" s="1"/>
  <c r="O1024" i="4" s="1"/>
  <c r="W1023" i="2"/>
  <c r="Y1023" i="2" s="1"/>
  <c r="W985" i="2"/>
  <c r="Y985" i="2" s="1"/>
  <c r="O985" i="4" s="1"/>
  <c r="W970" i="2"/>
  <c r="W966" i="2"/>
  <c r="W965" i="2"/>
  <c r="W962" i="2"/>
  <c r="W956" i="2"/>
  <c r="W953" i="2"/>
  <c r="W945" i="2"/>
  <c r="W936" i="2"/>
  <c r="W935" i="2"/>
  <c r="W932" i="2"/>
  <c r="W931" i="2"/>
  <c r="W930" i="2"/>
  <c r="W927" i="2"/>
  <c r="W926" i="2"/>
  <c r="W923" i="2"/>
  <c r="W922" i="2"/>
  <c r="W917" i="2"/>
  <c r="W907" i="2"/>
  <c r="W905" i="2"/>
  <c r="W890" i="2"/>
  <c r="W889" i="2"/>
  <c r="W882" i="2"/>
  <c r="W881" i="2"/>
  <c r="W876" i="2"/>
  <c r="W874" i="2"/>
  <c r="W868" i="2"/>
  <c r="W859" i="2"/>
  <c r="W858" i="2"/>
  <c r="W857" i="2"/>
  <c r="W853" i="2"/>
  <c r="W837" i="2"/>
  <c r="W829" i="2"/>
  <c r="W825" i="2"/>
  <c r="W823" i="2"/>
  <c r="Y823" i="2" s="1"/>
  <c r="W821" i="2"/>
  <c r="Y821" i="2" s="1"/>
  <c r="W812" i="2"/>
  <c r="W796" i="2"/>
  <c r="W795" i="2"/>
  <c r="W790" i="2"/>
  <c r="W789" i="2"/>
  <c r="W782" i="2"/>
  <c r="W773" i="2"/>
  <c r="W762" i="2"/>
  <c r="W761" i="2"/>
  <c r="W760" i="2"/>
  <c r="W756" i="2"/>
  <c r="W747" i="2"/>
  <c r="W744" i="2"/>
  <c r="W741" i="2"/>
  <c r="W736" i="2"/>
  <c r="W733" i="2"/>
  <c r="W726" i="2"/>
  <c r="W724" i="2"/>
  <c r="W710" i="2"/>
  <c r="W705" i="2"/>
  <c r="W688" i="2"/>
  <c r="W684" i="2"/>
  <c r="W677" i="2"/>
  <c r="W669" i="2"/>
  <c r="Y669" i="2" s="1"/>
  <c r="W668" i="2"/>
  <c r="W667" i="2"/>
  <c r="W664" i="2"/>
  <c r="W662" i="2"/>
  <c r="W656" i="2"/>
  <c r="Y656" i="2" s="1"/>
  <c r="W653" i="2"/>
  <c r="W651" i="2"/>
  <c r="W644" i="2"/>
  <c r="W642" i="2"/>
  <c r="W634" i="2"/>
  <c r="W632" i="2"/>
  <c r="W630" i="2"/>
  <c r="W628" i="2"/>
  <c r="W627" i="2"/>
  <c r="W623" i="2"/>
  <c r="W622" i="2"/>
  <c r="W621" i="2"/>
  <c r="W613" i="2"/>
  <c r="W612" i="2"/>
  <c r="W609" i="2"/>
  <c r="W608" i="2"/>
  <c r="W607" i="2"/>
  <c r="W603" i="2"/>
  <c r="W601" i="2"/>
  <c r="W594" i="2"/>
  <c r="W592" i="2"/>
  <c r="W587" i="2"/>
  <c r="W582" i="2"/>
  <c r="W580" i="2"/>
  <c r="W578" i="2"/>
  <c r="W577" i="2"/>
  <c r="W576" i="2"/>
  <c r="W575" i="2"/>
  <c r="W574" i="2"/>
  <c r="W573" i="2"/>
  <c r="W571" i="2"/>
  <c r="W566" i="2"/>
  <c r="W565" i="2"/>
  <c r="W564" i="2"/>
  <c r="W549" i="2"/>
  <c r="W535" i="2"/>
  <c r="W534" i="2"/>
  <c r="W533" i="2"/>
  <c r="W531" i="2"/>
  <c r="W525" i="2"/>
  <c r="W519" i="2"/>
  <c r="W517" i="2"/>
  <c r="W511" i="2"/>
  <c r="W510" i="2"/>
  <c r="W509" i="2"/>
  <c r="W507" i="2"/>
  <c r="W502" i="2"/>
  <c r="W497" i="2"/>
  <c r="W482" i="2"/>
  <c r="W480" i="2"/>
  <c r="W479" i="2"/>
  <c r="W478" i="2"/>
  <c r="W477" i="2"/>
  <c r="W474" i="2"/>
  <c r="W466" i="2"/>
  <c r="W464" i="2"/>
  <c r="W442" i="2"/>
  <c r="W423" i="2"/>
  <c r="W421" i="2"/>
  <c r="W405" i="2"/>
  <c r="W394" i="2"/>
  <c r="W389" i="2"/>
  <c r="W388" i="2"/>
  <c r="W384" i="2"/>
  <c r="W382" i="2"/>
  <c r="W377" i="2"/>
  <c r="W373" i="2"/>
  <c r="W372" i="2"/>
  <c r="W365" i="2"/>
  <c r="W354" i="2"/>
  <c r="W348" i="2"/>
  <c r="W323" i="2"/>
  <c r="W319" i="2"/>
  <c r="W318" i="2"/>
  <c r="W313" i="2"/>
  <c r="W308" i="2"/>
  <c r="W302" i="2"/>
  <c r="W301" i="2"/>
  <c r="W298" i="2"/>
  <c r="W297" i="2"/>
  <c r="W289" i="2"/>
  <c r="W285" i="2"/>
  <c r="W282" i="2"/>
  <c r="W270" i="2"/>
  <c r="W266" i="2"/>
  <c r="W265" i="2"/>
  <c r="W264" i="2"/>
  <c r="W259" i="2"/>
  <c r="W258" i="2"/>
  <c r="W245" i="2"/>
  <c r="W239" i="2"/>
  <c r="W237" i="2"/>
  <c r="W232" i="2"/>
  <c r="W227" i="2"/>
  <c r="W226" i="2"/>
  <c r="W225" i="2"/>
  <c r="W224" i="2"/>
  <c r="W223" i="2"/>
  <c r="W221" i="2"/>
  <c r="W220" i="2"/>
  <c r="W218" i="2"/>
  <c r="W215" i="2"/>
  <c r="W211" i="2"/>
  <c r="W207" i="2"/>
  <c r="W205" i="2"/>
  <c r="W204" i="2"/>
  <c r="W192" i="2"/>
  <c r="W191" i="2"/>
  <c r="W189" i="2"/>
  <c r="W187" i="2"/>
  <c r="W180" i="2"/>
  <c r="W178" i="2"/>
  <c r="W175" i="2"/>
  <c r="W174" i="2"/>
  <c r="W153" i="2"/>
  <c r="W152" i="2"/>
  <c r="W151" i="2"/>
  <c r="W150" i="2"/>
  <c r="W149" i="2"/>
  <c r="W148" i="2"/>
  <c r="W146" i="2"/>
  <c r="W145" i="2"/>
  <c r="W144" i="2"/>
  <c r="W139" i="2"/>
  <c r="W134" i="2"/>
  <c r="W132" i="2"/>
  <c r="W131" i="2"/>
  <c r="W130" i="2"/>
  <c r="W128" i="2"/>
  <c r="W127" i="2"/>
  <c r="W123" i="2"/>
  <c r="W120" i="2"/>
  <c r="W119" i="2"/>
  <c r="W118" i="2"/>
  <c r="W117" i="2"/>
  <c r="W106" i="2"/>
  <c r="W86" i="2"/>
  <c r="W82" i="2"/>
  <c r="W78" i="2"/>
  <c r="W44" i="2"/>
  <c r="W39" i="2"/>
  <c r="W30" i="2"/>
  <c r="W11" i="2"/>
  <c r="W8" i="2"/>
  <c r="W7" i="2"/>
  <c r="Z1927" i="2"/>
  <c r="O1927" i="4"/>
  <c r="Y1925" i="2"/>
  <c r="Y1924" i="2"/>
  <c r="O1921" i="4"/>
  <c r="Z1921" i="2"/>
  <c r="Z1910" i="2"/>
  <c r="O1910" i="4"/>
  <c r="Y1908" i="2"/>
  <c r="Y1902" i="2"/>
  <c r="Y1888" i="2"/>
  <c r="Y1885" i="2"/>
  <c r="Y1863" i="2"/>
  <c r="Y1858" i="2"/>
  <c r="Y1854" i="2"/>
  <c r="Y1848" i="2"/>
  <c r="Y1825" i="2"/>
  <c r="Y1812" i="2"/>
  <c r="Y1779" i="2"/>
  <c r="Y1756" i="2"/>
  <c r="Y1747" i="2"/>
  <c r="Y1680" i="2"/>
  <c r="Y1670" i="2"/>
  <c r="Y1660" i="2"/>
  <c r="Y1650" i="2"/>
  <c r="Y1646" i="2"/>
  <c r="Y1642" i="2"/>
  <c r="Y1639" i="2"/>
  <c r="Y1633" i="2"/>
  <c r="Y1629" i="2"/>
  <c r="Y1618" i="2"/>
  <c r="Y1614" i="2"/>
  <c r="Y1613" i="2"/>
  <c r="Y1598" i="2"/>
  <c r="Y1511" i="2"/>
  <c r="Y1499" i="2"/>
  <c r="Y1494" i="2"/>
  <c r="Y1491" i="2"/>
  <c r="Y1486" i="2"/>
  <c r="Y1480" i="2"/>
  <c r="Y1478" i="2"/>
  <c r="Y1468" i="2"/>
  <c r="Y1464" i="2"/>
  <c r="Y1459" i="2"/>
  <c r="Y1429" i="2"/>
  <c r="Y1419" i="2"/>
  <c r="Z1332" i="2"/>
  <c r="O1332" i="4"/>
  <c r="Y1313" i="2"/>
  <c r="Z1310" i="2"/>
  <c r="O1310" i="4"/>
  <c r="Y1305" i="2"/>
  <c r="Y1019" i="2"/>
  <c r="Y1012" i="2"/>
  <c r="Z1001" i="2"/>
  <c r="O1001" i="4"/>
  <c r="Z981" i="2"/>
  <c r="O981" i="4"/>
  <c r="O980" i="4"/>
  <c r="Z980" i="2"/>
  <c r="O159" i="4"/>
  <c r="Z159" i="2"/>
  <c r="O147" i="4"/>
  <c r="Z147" i="2"/>
  <c r="O141" i="4"/>
  <c r="Z141" i="2"/>
  <c r="O121" i="4"/>
  <c r="Z121" i="2"/>
  <c r="O113" i="4"/>
  <c r="Z113" i="2"/>
  <c r="O111" i="4"/>
  <c r="Z111" i="2"/>
  <c r="O109" i="4"/>
  <c r="Z109" i="2"/>
  <c r="O83" i="4"/>
  <c r="Z83" i="2"/>
  <c r="W893" i="2" l="1"/>
  <c r="Y893" i="2" s="1"/>
  <c r="O893" i="4" s="1"/>
  <c r="Z893" i="2"/>
  <c r="W706" i="2"/>
  <c r="Y706" i="2"/>
  <c r="W1500" i="2"/>
  <c r="Y1500" i="2"/>
  <c r="W198" i="2"/>
  <c r="Y198" i="2" s="1"/>
  <c r="Z198" i="2"/>
  <c r="O198" i="4"/>
  <c r="W1351" i="2"/>
  <c r="Y1351" i="2"/>
  <c r="W1603" i="2"/>
  <c r="Y1603" i="2"/>
  <c r="W1627" i="2"/>
  <c r="Y1627" i="2"/>
  <c r="W1615" i="2"/>
  <c r="Y1615" i="2"/>
  <c r="W170" i="2"/>
  <c r="Y170" i="2" s="1"/>
  <c r="O170" i="4"/>
  <c r="Z170" i="2"/>
  <c r="W93" i="2"/>
  <c r="Y93" i="2" s="1"/>
  <c r="O93" i="4"/>
  <c r="Z93" i="2"/>
  <c r="W100" i="2"/>
  <c r="Y100" i="2" s="1"/>
  <c r="O100" i="4"/>
  <c r="Z100" i="2"/>
  <c r="W1993" i="2"/>
  <c r="Y1993" i="2" s="1"/>
  <c r="Z1993" i="2"/>
  <c r="W413" i="2"/>
  <c r="Z413" i="2" s="1"/>
  <c r="Y413" i="2"/>
  <c r="O413" i="4" s="1"/>
  <c r="W915" i="2"/>
  <c r="Y915" i="2"/>
  <c r="W452" i="2"/>
  <c r="Y452" i="2" s="1"/>
  <c r="Z452" i="2"/>
  <c r="O452" i="4"/>
  <c r="O80" i="4"/>
  <c r="Z80" i="2"/>
  <c r="W1348" i="2"/>
  <c r="W1794" i="2"/>
  <c r="Z1794" i="2" s="1"/>
  <c r="Y1794" i="2"/>
  <c r="O1794" i="4" s="1"/>
  <c r="W715" i="2"/>
  <c r="Y715" i="2" s="1"/>
  <c r="W154" i="2"/>
  <c r="Y154" i="2" s="1"/>
  <c r="W1999" i="2"/>
  <c r="Y1999" i="2" s="1"/>
  <c r="Z1999" i="2"/>
  <c r="W60" i="2"/>
  <c r="Y60" i="2"/>
  <c r="W66" i="2"/>
  <c r="W55" i="2"/>
  <c r="W54" i="2"/>
  <c r="Y54" i="2" s="1"/>
  <c r="Z261" i="2"/>
  <c r="W1738" i="2"/>
  <c r="Y1738" i="2" s="1"/>
  <c r="O1738" i="4" s="1"/>
  <c r="W74" i="2"/>
  <c r="Y74" i="2" s="1"/>
  <c r="W720" i="2"/>
  <c r="W1792" i="2"/>
  <c r="W1734" i="2"/>
  <c r="W1447" i="2"/>
  <c r="W1403" i="2"/>
  <c r="W743" i="2"/>
  <c r="W1815" i="2"/>
  <c r="W1814" i="2"/>
  <c r="W1772" i="2"/>
  <c r="W1366" i="2"/>
  <c r="W1353" i="2"/>
  <c r="Y1353" i="2" s="1"/>
  <c r="W1383" i="2"/>
  <c r="W1415" i="2"/>
  <c r="Y1415" i="2" s="1"/>
  <c r="W1392" i="2"/>
  <c r="W1171" i="2"/>
  <c r="W1236" i="2"/>
  <c r="O1924" i="4"/>
  <c r="Z1924" i="2"/>
  <c r="O1650" i="4"/>
  <c r="Z1650" i="2"/>
  <c r="O415" i="4"/>
  <c r="Z415" i="2"/>
  <c r="W435" i="2"/>
  <c r="Y435" i="2" s="1"/>
  <c r="W1662" i="2"/>
  <c r="W256" i="2"/>
  <c r="Y256" i="2" s="1"/>
  <c r="W249" i="2"/>
  <c r="Y249" i="2" s="1"/>
  <c r="Z2006" i="2"/>
  <c r="W2006" i="2"/>
  <c r="Y2006" i="2" s="1"/>
  <c r="W2005" i="2"/>
  <c r="Y2005" i="2" s="1"/>
  <c r="Z2005" i="2"/>
  <c r="W2004" i="2"/>
  <c r="Y2004" i="2" s="1"/>
  <c r="Z2004" i="2"/>
  <c r="Z2002" i="2"/>
  <c r="W2002" i="2"/>
  <c r="Y2002" i="2" s="1"/>
  <c r="W691" i="2"/>
  <c r="Y691" i="2" s="1"/>
  <c r="W329" i="2"/>
  <c r="W1601" i="2"/>
  <c r="O939" i="4"/>
  <c r="Z939" i="2"/>
  <c r="O911" i="4"/>
  <c r="Z911" i="2"/>
  <c r="O437" i="4"/>
  <c r="Z437" i="2"/>
  <c r="O434" i="4"/>
  <c r="Z434" i="2"/>
  <c r="O60" i="4"/>
  <c r="Z60" i="2"/>
  <c r="W1970" i="2"/>
  <c r="Y1970" i="2" s="1"/>
  <c r="O1970" i="4" s="1"/>
  <c r="W1969" i="2"/>
  <c r="W344" i="2"/>
  <c r="Y344" i="2" s="1"/>
  <c r="Z1016" i="2"/>
  <c r="O1016" i="4"/>
  <c r="O669" i="4"/>
  <c r="Z669" i="2"/>
  <c r="Y668" i="2"/>
  <c r="Y667" i="2"/>
  <c r="W1360" i="2"/>
  <c r="W1823" i="2"/>
  <c r="Y1823" i="2" s="1"/>
  <c r="O1823" i="4" s="1"/>
  <c r="W1735" i="2"/>
  <c r="W1736" i="2"/>
  <c r="W1913" i="2"/>
  <c r="W1372" i="2"/>
  <c r="Y1372" i="2" s="1"/>
  <c r="W1596" i="2"/>
  <c r="Y1596" i="2" s="1"/>
  <c r="O1596" i="4" s="1"/>
  <c r="W1479" i="2"/>
  <c r="Y1479" i="2" s="1"/>
  <c r="O1479" i="4" s="1"/>
  <c r="W1385" i="2"/>
  <c r="Y1385" i="2" s="1"/>
  <c r="W1422" i="2"/>
  <c r="Y1422" i="2" s="1"/>
  <c r="O1422" i="4" s="1"/>
  <c r="W1368" i="2"/>
  <c r="W1861" i="2"/>
  <c r="W1844" i="2"/>
  <c r="O1084" i="4"/>
  <c r="Z1084" i="2"/>
  <c r="Z1980" i="2"/>
  <c r="Z1972" i="2"/>
  <c r="W1167" i="2"/>
  <c r="W2003" i="2"/>
  <c r="Y2003" i="2" s="1"/>
  <c r="Z2003" i="2"/>
  <c r="Z1994" i="2"/>
  <c r="W1994" i="2"/>
  <c r="Y1994" i="2" s="1"/>
  <c r="O337" i="4"/>
  <c r="Z337" i="2"/>
  <c r="O31" i="4"/>
  <c r="Z31" i="2"/>
  <c r="O401" i="4"/>
  <c r="Z401" i="2"/>
  <c r="O391" i="4"/>
  <c r="Z391" i="2"/>
  <c r="O370" i="4"/>
  <c r="Z370" i="2"/>
  <c r="Z362" i="2"/>
  <c r="O362" i="4"/>
  <c r="Y353" i="2"/>
  <c r="Y347" i="2"/>
  <c r="O26" i="4"/>
  <c r="Z26" i="2"/>
  <c r="O1391" i="4"/>
  <c r="Z1391" i="2"/>
  <c r="W1936" i="2"/>
  <c r="W1846" i="2"/>
  <c r="Y1846" i="2" s="1"/>
  <c r="W335" i="2"/>
  <c r="Y335" i="2" s="1"/>
  <c r="O335" i="4" s="1"/>
  <c r="O783" i="4"/>
  <c r="Z783" i="2"/>
  <c r="O763" i="4"/>
  <c r="Z763" i="2"/>
  <c r="O713" i="4"/>
  <c r="Z713" i="2"/>
  <c r="O706" i="4"/>
  <c r="Z706" i="2"/>
  <c r="O689" i="4"/>
  <c r="Z689" i="2"/>
  <c r="O508" i="4"/>
  <c r="Z508" i="2"/>
  <c r="O506" i="4"/>
  <c r="Z506" i="2"/>
  <c r="Y1083" i="2"/>
  <c r="Y1074" i="2"/>
  <c r="Y1072" i="2"/>
  <c r="Y1069" i="2"/>
  <c r="Z1061" i="2"/>
  <c r="O1061" i="4"/>
  <c r="Y1038" i="2"/>
  <c r="W409" i="2"/>
  <c r="Y409" i="2"/>
  <c r="Z333" i="2"/>
  <c r="O448" i="4"/>
  <c r="Z448" i="2"/>
  <c r="O443" i="4"/>
  <c r="Z443" i="2"/>
  <c r="W682" i="2"/>
  <c r="Y682" i="2" s="1"/>
  <c r="Z682" i="2"/>
  <c r="O682" i="4"/>
  <c r="W1141" i="2"/>
  <c r="Y1141" i="2"/>
  <c r="O1141" i="4" s="1"/>
  <c r="O488" i="4"/>
  <c r="Z488" i="2"/>
  <c r="O1175" i="4"/>
  <c r="Z1175" i="2"/>
  <c r="O1089" i="4"/>
  <c r="Z1089" i="2"/>
  <c r="Z1984" i="2"/>
  <c r="W1984" i="2"/>
  <c r="Y1984" i="2" s="1"/>
  <c r="Z901" i="2"/>
  <c r="Z777" i="2"/>
  <c r="Z695" i="2"/>
  <c r="O695" i="4"/>
  <c r="W1899" i="2"/>
  <c r="Y1899" i="2" s="1"/>
  <c r="W1890" i="2"/>
  <c r="Y1890" i="2" s="1"/>
  <c r="W1755" i="2"/>
  <c r="Y1755" i="2" s="1"/>
  <c r="W1802" i="2"/>
  <c r="Y1802" i="2" s="1"/>
  <c r="W1761" i="2"/>
  <c r="Y1761" i="2" s="1"/>
  <c r="W1717" i="2"/>
  <c r="Y1717" i="2" s="1"/>
  <c r="W1878" i="2"/>
  <c r="Y1878" i="2" s="1"/>
  <c r="W1875" i="2"/>
  <c r="Y1875" i="2" s="1"/>
  <c r="W1706" i="2"/>
  <c r="Y1706" i="2" s="1"/>
  <c r="W1720" i="2"/>
  <c r="Y1720" i="2" s="1"/>
  <c r="W328" i="2"/>
  <c r="Y328" i="2" s="1"/>
  <c r="O328" i="4" s="1"/>
  <c r="O487" i="4"/>
  <c r="Z487" i="2"/>
  <c r="O486" i="4"/>
  <c r="Z486" i="2"/>
  <c r="O476" i="4"/>
  <c r="Z476" i="2"/>
  <c r="W1149" i="2"/>
  <c r="Y1149" i="2" s="1"/>
  <c r="O1274" i="4"/>
  <c r="Z1274" i="2"/>
  <c r="O1269" i="4"/>
  <c r="Z1269" i="2"/>
  <c r="O1268" i="4"/>
  <c r="Z1268" i="2"/>
  <c r="O1265" i="4"/>
  <c r="Z1265" i="2"/>
  <c r="O1251" i="4"/>
  <c r="Z1251" i="2"/>
  <c r="O1248" i="4"/>
  <c r="Z1248" i="2"/>
  <c r="O1242" i="4"/>
  <c r="Z1242" i="2"/>
  <c r="O1229" i="4"/>
  <c r="Z1229" i="2"/>
  <c r="O1227" i="4"/>
  <c r="Z1227" i="2"/>
  <c r="O1222" i="4"/>
  <c r="Z1222" i="2"/>
  <c r="O1221" i="4"/>
  <c r="Z1221" i="2"/>
  <c r="Y1207" i="2"/>
  <c r="Z1157" i="2"/>
  <c r="O1157" i="4"/>
  <c r="Y1120" i="2"/>
  <c r="W873" i="2"/>
  <c r="Z1282" i="2"/>
  <c r="Z13" i="2"/>
  <c r="Y37" i="2"/>
  <c r="Z34" i="2"/>
  <c r="O34" i="4"/>
  <c r="Y33" i="2"/>
  <c r="Y402" i="2"/>
  <c r="Z397" i="2"/>
  <c r="O397" i="4"/>
  <c r="Y396" i="2"/>
  <c r="Y392" i="2"/>
  <c r="Y390" i="2"/>
  <c r="Y374" i="2"/>
  <c r="Y18" i="2"/>
  <c r="O1390" i="4"/>
  <c r="Z1390" i="2"/>
  <c r="O1000" i="4"/>
  <c r="Z1000" i="2"/>
  <c r="O963" i="4"/>
  <c r="Z963" i="2"/>
  <c r="O955" i="4"/>
  <c r="Z955" i="2"/>
  <c r="O952" i="4"/>
  <c r="Z952" i="2"/>
  <c r="O951" i="4"/>
  <c r="Z951" i="2"/>
  <c r="O946" i="4"/>
  <c r="Z946" i="2"/>
  <c r="O940" i="4"/>
  <c r="Z940" i="2"/>
  <c r="O937" i="4"/>
  <c r="Z937" i="2"/>
  <c r="O925" i="4"/>
  <c r="Z925" i="2"/>
  <c r="O915" i="4"/>
  <c r="Z915" i="2"/>
  <c r="O895" i="4"/>
  <c r="Z895" i="2"/>
  <c r="O894" i="4"/>
  <c r="Z894" i="2"/>
  <c r="O877" i="4"/>
  <c r="Z877" i="2"/>
  <c r="O871" i="4"/>
  <c r="Z871" i="2"/>
  <c r="O852" i="4"/>
  <c r="Z852" i="2"/>
  <c r="O808" i="4"/>
  <c r="Z808" i="2"/>
  <c r="O807" i="4"/>
  <c r="Z807" i="2"/>
  <c r="O806" i="4"/>
  <c r="Z806" i="2"/>
  <c r="O804" i="4"/>
  <c r="Z804" i="2"/>
  <c r="O791" i="4"/>
  <c r="Z791" i="2"/>
  <c r="O746" i="4"/>
  <c r="Z746" i="2"/>
  <c r="O739" i="4"/>
  <c r="Z739" i="2"/>
  <c r="O719" i="4"/>
  <c r="Z719" i="2"/>
  <c r="O686" i="4"/>
  <c r="Z686" i="2"/>
  <c r="O489" i="4"/>
  <c r="Z489" i="2"/>
  <c r="O475" i="4"/>
  <c r="Z475" i="2"/>
  <c r="Z1829" i="2"/>
  <c r="O1829" i="4"/>
  <c r="O1656" i="4"/>
  <c r="Z1656" i="2"/>
  <c r="Y1652" i="2"/>
  <c r="O1649" i="4"/>
  <c r="Z1649" i="2"/>
  <c r="O1634" i="4"/>
  <c r="Z1634" i="2"/>
  <c r="W1098" i="2"/>
  <c r="W1026" i="2"/>
  <c r="W1028" i="2"/>
  <c r="W1203" i="2"/>
  <c r="W1154" i="2"/>
  <c r="W1119" i="2"/>
  <c r="W1115" i="2"/>
  <c r="W1086" i="2"/>
  <c r="Z1959" i="2"/>
  <c r="Z1816" i="2"/>
  <c r="Z1813" i="2"/>
  <c r="Z1647" i="2"/>
  <c r="Z1638" i="2"/>
  <c r="Z1632" i="2"/>
  <c r="Z1628" i="2"/>
  <c r="Z1337" i="2"/>
  <c r="Z1330" i="2"/>
  <c r="Z1311" i="2"/>
  <c r="Z1024" i="2"/>
  <c r="Z1018" i="2"/>
  <c r="Z1015" i="2"/>
  <c r="Z985" i="2"/>
  <c r="Z818" i="2"/>
  <c r="Y1257" i="2"/>
  <c r="Y1213" i="2"/>
  <c r="Y1210" i="2"/>
  <c r="Z1180" i="2"/>
  <c r="O1180" i="4"/>
  <c r="Z1172" i="2"/>
  <c r="O1172" i="4"/>
  <c r="Y1110" i="2"/>
  <c r="Y1106" i="2"/>
  <c r="Y1036" i="2"/>
  <c r="B10" i="1"/>
  <c r="E36" i="1"/>
  <c r="G36" i="1" s="1"/>
  <c r="W518" i="2"/>
  <c r="W515" i="2"/>
  <c r="W514" i="2"/>
  <c r="W1524" i="2"/>
  <c r="W1522" i="2"/>
  <c r="Z2000" i="2"/>
  <c r="W2000" i="2"/>
  <c r="Y2000" i="2" s="1"/>
  <c r="Z1998" i="2"/>
  <c r="W1998" i="2"/>
  <c r="Y1998" i="2" s="1"/>
  <c r="Z1997" i="2"/>
  <c r="W1997" i="2"/>
  <c r="Y1997" i="2" s="1"/>
  <c r="Z1996" i="2"/>
  <c r="W1996" i="2"/>
  <c r="Y1996" i="2" s="1"/>
  <c r="Z1995" i="2"/>
  <c r="W1995" i="2"/>
  <c r="Y1995" i="2" s="1"/>
  <c r="Z1991" i="2"/>
  <c r="W1991" i="2"/>
  <c r="Y1991" i="2" s="1"/>
  <c r="Z1990" i="2"/>
  <c r="W1990" i="2"/>
  <c r="Y1990" i="2" s="1"/>
  <c r="Z1987" i="2"/>
  <c r="W1987" i="2"/>
  <c r="Y1987" i="2" s="1"/>
  <c r="W1986" i="2"/>
  <c r="Z1985" i="2"/>
  <c r="W1985" i="2"/>
  <c r="Y1985" i="2" s="1"/>
  <c r="W1981" i="2"/>
  <c r="W1979" i="2"/>
  <c r="W1978" i="2"/>
  <c r="W1976" i="2"/>
  <c r="W1975" i="2"/>
  <c r="W1973" i="2"/>
  <c r="W1971" i="2"/>
  <c r="W1968" i="2"/>
  <c r="W1967" i="2"/>
  <c r="W1966" i="2"/>
  <c r="Y1966" i="2" s="1"/>
  <c r="W1965" i="2"/>
  <c r="Y1965" i="2" s="1"/>
  <c r="W1964" i="2"/>
  <c r="W1962" i="2"/>
  <c r="W1961" i="2"/>
  <c r="W1960" i="2"/>
  <c r="W1958" i="2"/>
  <c r="W1957" i="2"/>
  <c r="Y1957" i="2" s="1"/>
  <c r="O1957" i="4" s="1"/>
  <c r="W1955" i="2"/>
  <c r="W1954" i="2"/>
  <c r="W1952" i="2"/>
  <c r="W1951" i="2"/>
  <c r="W1950" i="2"/>
  <c r="W1949" i="2"/>
  <c r="W1948" i="2"/>
  <c r="W1946" i="2"/>
  <c r="W1945" i="2"/>
  <c r="W1944" i="2"/>
  <c r="W1942" i="2"/>
  <c r="W1939" i="2"/>
  <c r="W1937" i="2"/>
  <c r="W1933" i="2"/>
  <c r="W1932" i="2"/>
  <c r="W1931" i="2"/>
  <c r="W1930" i="2"/>
  <c r="W1928" i="2"/>
  <c r="W1926" i="2"/>
  <c r="W1923" i="2"/>
  <c r="W1919" i="2"/>
  <c r="W1918" i="2"/>
  <c r="W1916" i="2"/>
  <c r="W1914" i="2"/>
  <c r="W1911" i="2"/>
  <c r="W1909" i="2"/>
  <c r="W1906" i="2"/>
  <c r="W1905" i="2"/>
  <c r="W1904" i="2"/>
  <c r="W1903" i="2"/>
  <c r="W1901" i="2"/>
  <c r="W1900" i="2"/>
  <c r="W1898" i="2"/>
  <c r="W1895" i="2"/>
  <c r="W1894" i="2"/>
  <c r="W1891" i="2"/>
  <c r="W1887" i="2"/>
  <c r="W1886" i="2"/>
  <c r="W1883" i="2"/>
  <c r="W1882" i="2"/>
  <c r="W1881" i="2"/>
  <c r="W1880" i="2"/>
  <c r="W1876" i="2"/>
  <c r="W1874" i="2"/>
  <c r="W1873" i="2"/>
  <c r="W1871" i="2"/>
  <c r="W1870" i="2"/>
  <c r="W1869" i="2"/>
  <c r="W1867" i="2"/>
  <c r="W1864" i="2"/>
  <c r="W1862" i="2"/>
  <c r="W1859" i="2"/>
  <c r="W1857" i="2"/>
  <c r="W1856" i="2"/>
  <c r="W1855" i="2"/>
  <c r="W1576" i="2"/>
  <c r="W1566" i="2"/>
  <c r="W1565" i="2"/>
  <c r="W1558" i="2"/>
  <c r="W1547" i="2"/>
  <c r="W1537" i="2"/>
  <c r="W1528" i="2"/>
  <c r="W1852" i="2"/>
  <c r="W1851" i="2"/>
  <c r="W1849" i="2"/>
  <c r="W1847" i="2"/>
  <c r="W1845" i="2"/>
  <c r="W1843" i="2"/>
  <c r="W1842" i="2"/>
  <c r="Y1842" i="2" s="1"/>
  <c r="W1841" i="2"/>
  <c r="W1836" i="2"/>
  <c r="W1831" i="2"/>
  <c r="W1830" i="2"/>
  <c r="W1828" i="2"/>
  <c r="Y1828" i="2" s="1"/>
  <c r="W1827" i="2"/>
  <c r="Y1827" i="2" s="1"/>
  <c r="O1827" i="4" s="1"/>
  <c r="W1826" i="2"/>
  <c r="Y1826" i="2" s="1"/>
  <c r="W1824" i="2"/>
  <c r="Y1824" i="2" s="1"/>
  <c r="W1822" i="2"/>
  <c r="W1821" i="2"/>
  <c r="W1820" i="2"/>
  <c r="W1819" i="2"/>
  <c r="W1818" i="2"/>
  <c r="W1817" i="2"/>
  <c r="W1811" i="2"/>
  <c r="W1810" i="2"/>
  <c r="Y1810" i="2" s="1"/>
  <c r="W1809" i="2"/>
  <c r="W1808" i="2"/>
  <c r="W1807" i="2"/>
  <c r="Y1807" i="2" s="1"/>
  <c r="W1806" i="2"/>
  <c r="W1804" i="2"/>
  <c r="W1803" i="2"/>
  <c r="Y1803" i="2" s="1"/>
  <c r="W1801" i="2"/>
  <c r="Y1801" i="2" s="1"/>
  <c r="O1801" i="4" s="1"/>
  <c r="W1800" i="2"/>
  <c r="W1799" i="2"/>
  <c r="W1798" i="2"/>
  <c r="W1797" i="2"/>
  <c r="W1796" i="2"/>
  <c r="W1795" i="2"/>
  <c r="Y1795" i="2" s="1"/>
  <c r="W1793" i="2"/>
  <c r="W1791" i="2"/>
  <c r="Y1791" i="2" s="1"/>
  <c r="O1791" i="4" s="1"/>
  <c r="W1790" i="2"/>
  <c r="W1789" i="2"/>
  <c r="W1788" i="2"/>
  <c r="Y1788" i="2" s="1"/>
  <c r="W1787" i="2"/>
  <c r="W1786" i="2"/>
  <c r="W1785" i="2"/>
  <c r="W1784" i="2"/>
  <c r="W1783" i="2"/>
  <c r="W1782" i="2"/>
  <c r="W1781" i="2"/>
  <c r="W1780" i="2"/>
  <c r="W1778" i="2"/>
  <c r="W1776" i="2"/>
  <c r="W1775" i="2"/>
  <c r="W1770" i="2"/>
  <c r="W1768" i="2"/>
  <c r="W1767" i="2"/>
  <c r="W1760" i="2"/>
  <c r="W1759" i="2"/>
  <c r="W1758" i="2"/>
  <c r="W1757" i="2"/>
  <c r="W1754" i="2"/>
  <c r="W1753" i="2"/>
  <c r="W1752" i="2"/>
  <c r="W1751" i="2"/>
  <c r="W1749" i="2"/>
  <c r="W1748" i="2"/>
  <c r="W1744" i="2"/>
  <c r="W1743" i="2"/>
  <c r="W1742" i="2"/>
  <c r="W1741" i="2"/>
  <c r="W1740" i="2"/>
  <c r="W1739" i="2"/>
  <c r="W1732" i="2"/>
  <c r="W1731" i="2"/>
  <c r="W1730" i="2"/>
  <c r="W1727" i="2"/>
  <c r="W1726" i="2"/>
  <c r="W1725" i="2"/>
  <c r="W1723" i="2"/>
  <c r="W1721" i="2"/>
  <c r="W1719" i="2"/>
  <c r="W1718" i="2"/>
  <c r="W1715" i="2"/>
  <c r="W1713" i="2"/>
  <c r="W1712" i="2"/>
  <c r="W1711" i="2"/>
  <c r="W1710" i="2"/>
  <c r="W1709" i="2"/>
  <c r="W1708" i="2"/>
  <c r="W1707" i="2"/>
  <c r="W1703" i="2"/>
  <c r="W1701" i="2"/>
  <c r="W1700" i="2"/>
  <c r="W1699" i="2"/>
  <c r="W1698" i="2"/>
  <c r="W1697" i="2"/>
  <c r="W1694" i="2"/>
  <c r="W1692" i="2"/>
  <c r="W1691" i="2"/>
  <c r="W1688" i="2"/>
  <c r="W1686" i="2"/>
  <c r="W1685" i="2"/>
  <c r="W1580" i="2"/>
  <c r="W1579" i="2"/>
  <c r="W1575" i="2"/>
  <c r="W1572" i="2"/>
  <c r="W1568" i="2"/>
  <c r="W1549" i="2"/>
  <c r="W1541" i="2"/>
  <c r="W1534" i="2"/>
  <c r="W1523" i="2"/>
  <c r="W1684" i="2"/>
  <c r="W1683" i="2"/>
  <c r="W1679" i="2"/>
  <c r="W1678" i="2"/>
  <c r="W1675" i="2"/>
  <c r="W1674" i="2"/>
  <c r="W1673" i="2"/>
  <c r="W1672" i="2"/>
  <c r="W1671" i="2"/>
  <c r="W1669" i="2"/>
  <c r="W1668" i="2"/>
  <c r="W1667" i="2"/>
  <c r="W1666" i="2"/>
  <c r="W1665" i="2"/>
  <c r="W1664" i="2"/>
  <c r="W1663" i="2"/>
  <c r="W1661" i="2"/>
  <c r="W1659" i="2"/>
  <c r="W1658" i="2"/>
  <c r="W1655" i="2"/>
  <c r="W1654" i="2"/>
  <c r="Y1654" i="2" s="1"/>
  <c r="W1653" i="2"/>
  <c r="Y1653" i="2" s="1"/>
  <c r="W1651" i="2"/>
  <c r="Y1651" i="2" s="1"/>
  <c r="O1651" i="4" s="1"/>
  <c r="W1648" i="2"/>
  <c r="W1645" i="2"/>
  <c r="Y1645" i="2" s="1"/>
  <c r="O1645" i="4" s="1"/>
  <c r="W1644" i="2"/>
  <c r="Y1644" i="2" s="1"/>
  <c r="O1644" i="4" s="1"/>
  <c r="W1643" i="2"/>
  <c r="W1641" i="2"/>
  <c r="Y1641" i="2" s="1"/>
  <c r="W1640" i="2"/>
  <c r="W1637" i="2"/>
  <c r="W1636" i="2"/>
  <c r="Y1636" i="2" s="1"/>
  <c r="W1635" i="2"/>
  <c r="W1631" i="2"/>
  <c r="Y1631" i="2" s="1"/>
  <c r="W1630" i="2"/>
  <c r="Y1630" i="2" s="1"/>
  <c r="O1630" i="4" s="1"/>
  <c r="W1626" i="2"/>
  <c r="Y1626" i="2" s="1"/>
  <c r="W1625" i="2"/>
  <c r="W1624" i="2"/>
  <c r="W1623" i="2"/>
  <c r="W1621" i="2"/>
  <c r="W1620" i="2"/>
  <c r="W1619" i="2"/>
  <c r="W1611" i="2"/>
  <c r="W1610" i="2"/>
  <c r="W1607" i="2"/>
  <c r="W1606" i="2"/>
  <c r="W1602" i="2"/>
  <c r="W1600" i="2"/>
  <c r="W1599" i="2"/>
  <c r="W1597" i="2"/>
  <c r="W1595" i="2"/>
  <c r="W1594" i="2"/>
  <c r="W1589" i="2"/>
  <c r="W1587" i="2"/>
  <c r="W1585" i="2"/>
  <c r="W1582" i="2"/>
  <c r="W1571" i="2"/>
  <c r="W1569" i="2"/>
  <c r="W1563" i="2"/>
  <c r="W1561" i="2"/>
  <c r="W1554" i="2"/>
  <c r="W1553" i="2"/>
  <c r="W1552" i="2"/>
  <c r="W1545" i="2"/>
  <c r="W1542" i="2"/>
  <c r="W1518" i="2"/>
  <c r="W1513" i="2"/>
  <c r="Y1513" i="2" s="1"/>
  <c r="O1513" i="4" s="1"/>
  <c r="W1512" i="2"/>
  <c r="W1510" i="2"/>
  <c r="Y1510" i="2" s="1"/>
  <c r="O1510" i="4" s="1"/>
  <c r="W1509" i="2"/>
  <c r="W1508" i="2"/>
  <c r="W1507" i="2"/>
  <c r="Y1507" i="2" s="1"/>
  <c r="W1506" i="2"/>
  <c r="Y1506" i="2" s="1"/>
  <c r="W1505" i="2"/>
  <c r="Y1505" i="2" s="1"/>
  <c r="W1504" i="2"/>
  <c r="W1503" i="2"/>
  <c r="Y1503" i="2" s="1"/>
  <c r="W1502" i="2"/>
  <c r="W1501" i="2"/>
  <c r="Y1501" i="2" s="1"/>
  <c r="W1496" i="2"/>
  <c r="W1495" i="2"/>
  <c r="W1492" i="2"/>
  <c r="W1490" i="2"/>
  <c r="W1489" i="2"/>
  <c r="W1488" i="2"/>
  <c r="W1485" i="2"/>
  <c r="W1484" i="2"/>
  <c r="W1483" i="2"/>
  <c r="W1482" i="2"/>
  <c r="W1481" i="2"/>
  <c r="Y1481" i="2" s="1"/>
  <c r="O1481" i="4" s="1"/>
  <c r="W1477" i="2"/>
  <c r="W1476" i="2"/>
  <c r="W1475" i="2"/>
  <c r="W1474" i="2"/>
  <c r="W1473" i="2"/>
  <c r="W1472" i="2"/>
  <c r="W1471" i="2"/>
  <c r="W1470" i="2"/>
  <c r="Y1470" i="2" s="1"/>
  <c r="W1469" i="2"/>
  <c r="Y1469" i="2" s="1"/>
  <c r="O1469" i="4" s="1"/>
  <c r="W1467" i="2"/>
  <c r="Y1467" i="2" s="1"/>
  <c r="W1466" i="2"/>
  <c r="W1462" i="2"/>
  <c r="W1460" i="2"/>
  <c r="W1457" i="2"/>
  <c r="W1456" i="2"/>
  <c r="W1455" i="2"/>
  <c r="W1454" i="2"/>
  <c r="W1450" i="2"/>
  <c r="W1445" i="2"/>
  <c r="W1444" i="2"/>
  <c r="W1443" i="2"/>
  <c r="W1442" i="2"/>
  <c r="W1441" i="2"/>
  <c r="W1437" i="2"/>
  <c r="W1436" i="2"/>
  <c r="W1435" i="2"/>
  <c r="W1434" i="2"/>
  <c r="W1433" i="2"/>
  <c r="W1431" i="2"/>
  <c r="W1430" i="2"/>
  <c r="W1427" i="2"/>
  <c r="W1426" i="2"/>
  <c r="W1423" i="2"/>
  <c r="W1421" i="2"/>
  <c r="W1420" i="2"/>
  <c r="W1416" i="2"/>
  <c r="W1414" i="2"/>
  <c r="W1413" i="2"/>
  <c r="W1407" i="2"/>
  <c r="W1401" i="2"/>
  <c r="W1400" i="2"/>
  <c r="W1399" i="2"/>
  <c r="W1398" i="2"/>
  <c r="W1395" i="2"/>
  <c r="W1393" i="2"/>
  <c r="W1389" i="2"/>
  <c r="W1388" i="2"/>
  <c r="W1387" i="2"/>
  <c r="W1386" i="2"/>
  <c r="W1381" i="2"/>
  <c r="W1380" i="2"/>
  <c r="W1379" i="2"/>
  <c r="W1378" i="2"/>
  <c r="W1377" i="2"/>
  <c r="W1376" i="2"/>
  <c r="W1374" i="2"/>
  <c r="W1373" i="2"/>
  <c r="W1371" i="2"/>
  <c r="W1370" i="2"/>
  <c r="W1369" i="2"/>
  <c r="W1367" i="2"/>
  <c r="W1364" i="2"/>
  <c r="W1363" i="2"/>
  <c r="W1361" i="2"/>
  <c r="W1359" i="2"/>
  <c r="W1358" i="2"/>
  <c r="W1357" i="2"/>
  <c r="W1356" i="2"/>
  <c r="W1355" i="2"/>
  <c r="W1354" i="2"/>
  <c r="W1188" i="2"/>
  <c r="W663" i="2"/>
  <c r="W659" i="2"/>
  <c r="Y659" i="2" s="1"/>
  <c r="O659" i="4" s="1"/>
  <c r="W650" i="2"/>
  <c r="W648" i="2"/>
  <c r="W619" i="2"/>
  <c r="W611" i="2"/>
  <c r="W606" i="2"/>
  <c r="W602" i="2"/>
  <c r="W597" i="2"/>
  <c r="W593" i="2"/>
  <c r="W589" i="2"/>
  <c r="W586" i="2"/>
  <c r="W581" i="2"/>
  <c r="W558" i="2"/>
  <c r="W543" i="2"/>
  <c r="W539" i="2"/>
  <c r="W530" i="2"/>
  <c r="W527" i="2"/>
  <c r="W524" i="2"/>
  <c r="W520" i="2"/>
  <c r="W1349" i="2"/>
  <c r="Y1349" i="2" s="1"/>
  <c r="W1346" i="2"/>
  <c r="Y1346" i="2" s="1"/>
  <c r="W1344" i="2"/>
  <c r="Y1344" i="2" s="1"/>
  <c r="W1343" i="2"/>
  <c r="Y1343" i="2" s="1"/>
  <c r="O1343" i="4" s="1"/>
  <c r="W1342" i="2"/>
  <c r="Y1342" i="2" s="1"/>
  <c r="W1341" i="2"/>
  <c r="W1340" i="2"/>
  <c r="W1339" i="2"/>
  <c r="Y1339" i="2" s="1"/>
  <c r="W1338" i="2"/>
  <c r="Y1338" i="2" s="1"/>
  <c r="W1336" i="2"/>
  <c r="Y1336" i="2" s="1"/>
  <c r="O1336" i="4" s="1"/>
  <c r="W1334" i="2"/>
  <c r="W1333" i="2"/>
  <c r="Y1333" i="2" s="1"/>
  <c r="O1333" i="4" s="1"/>
  <c r="W1331" i="2"/>
  <c r="W1328" i="2"/>
  <c r="W1327" i="2"/>
  <c r="W1326" i="2"/>
  <c r="W1325" i="2"/>
  <c r="W1324" i="2"/>
  <c r="W1323" i="2"/>
  <c r="Y1323" i="2" s="1"/>
  <c r="O1323" i="4" s="1"/>
  <c r="W1320" i="2"/>
  <c r="Y1320" i="2" s="1"/>
  <c r="O1320" i="4" s="1"/>
  <c r="W1319" i="2"/>
  <c r="Y1319" i="2" s="1"/>
  <c r="W1318" i="2"/>
  <c r="W1317" i="2"/>
  <c r="Y1317" i="2" s="1"/>
  <c r="W1316" i="2"/>
  <c r="W1314" i="2"/>
  <c r="W1312" i="2"/>
  <c r="Y1312" i="2" s="1"/>
  <c r="W1309" i="2"/>
  <c r="W1308" i="2"/>
  <c r="Y1308" i="2" s="1"/>
  <c r="O1308" i="4" s="1"/>
  <c r="W1307" i="2"/>
  <c r="Y1307" i="2" s="1"/>
  <c r="O1307" i="4" s="1"/>
  <c r="W1306" i="2"/>
  <c r="Y1306" i="2" s="1"/>
  <c r="W1304" i="2"/>
  <c r="Y1304" i="2" s="1"/>
  <c r="W1303" i="2"/>
  <c r="Y1303" i="2" s="1"/>
  <c r="W1302" i="2"/>
  <c r="W1301" i="2"/>
  <c r="W1300" i="2"/>
  <c r="W1296" i="2"/>
  <c r="W1294" i="2"/>
  <c r="W1293" i="2"/>
  <c r="W1291" i="2"/>
  <c r="W1288" i="2"/>
  <c r="W1287" i="2"/>
  <c r="W1286" i="2"/>
  <c r="W1284" i="2"/>
  <c r="W1280" i="2"/>
  <c r="W1279" i="2"/>
  <c r="W1277" i="2"/>
  <c r="W1276" i="2"/>
  <c r="W1275" i="2"/>
  <c r="W1273" i="2"/>
  <c r="W1271" i="2"/>
  <c r="W1270" i="2"/>
  <c r="W1267" i="2"/>
  <c r="W1262" i="2"/>
  <c r="W1259" i="2"/>
  <c r="W1256" i="2"/>
  <c r="W1255" i="2"/>
  <c r="W1254" i="2"/>
  <c r="W1253" i="2"/>
  <c r="W1252" i="2"/>
  <c r="W1249" i="2"/>
  <c r="W1247" i="2"/>
  <c r="W1244" i="2"/>
  <c r="W1243" i="2"/>
  <c r="W1237" i="2"/>
  <c r="W1235" i="2"/>
  <c r="W1234" i="2"/>
  <c r="W1233" i="2"/>
  <c r="W1231" i="2"/>
  <c r="W1230" i="2"/>
  <c r="W1228" i="2"/>
  <c r="W1225" i="2"/>
  <c r="W1224" i="2"/>
  <c r="W1223" i="2"/>
  <c r="W1220" i="2"/>
  <c r="W1219" i="2"/>
  <c r="W1218" i="2"/>
  <c r="W1217" i="2"/>
  <c r="W1215" i="2"/>
  <c r="W1214" i="2"/>
  <c r="W1212" i="2"/>
  <c r="W1211" i="2"/>
  <c r="W1208" i="2"/>
  <c r="W1204" i="2"/>
  <c r="W1202" i="2"/>
  <c r="W1201" i="2"/>
  <c r="W1196" i="2"/>
  <c r="W1195" i="2"/>
  <c r="W1194" i="2"/>
  <c r="W1193" i="2"/>
  <c r="W1192" i="2"/>
  <c r="W1191" i="2"/>
  <c r="W1190" i="2"/>
  <c r="W1014" i="2"/>
  <c r="W652" i="2"/>
  <c r="W641" i="2"/>
  <c r="W638" i="2"/>
  <c r="W637" i="2"/>
  <c r="W636" i="2"/>
  <c r="W635" i="2"/>
  <c r="W629" i="2"/>
  <c r="W615" i="2"/>
  <c r="W588" i="2"/>
  <c r="W585" i="2"/>
  <c r="W550" i="2"/>
  <c r="W544" i="2"/>
  <c r="W529" i="2"/>
  <c r="W528" i="2"/>
  <c r="W1183" i="2"/>
  <c r="W1182" i="2"/>
  <c r="W1178" i="2"/>
  <c r="W1177" i="2"/>
  <c r="W1176" i="2"/>
  <c r="Y1176" i="2" s="1"/>
  <c r="W1174" i="2"/>
  <c r="W1170" i="2"/>
  <c r="W1168" i="2"/>
  <c r="W1165" i="2"/>
  <c r="W1163" i="2"/>
  <c r="W1162" i="2"/>
  <c r="W1158" i="2"/>
  <c r="W1156" i="2"/>
  <c r="W1155" i="2"/>
  <c r="W1153" i="2"/>
  <c r="W1152" i="2"/>
  <c r="W1151" i="2"/>
  <c r="W1150" i="2"/>
  <c r="W1148" i="2"/>
  <c r="Y1148" i="2" s="1"/>
  <c r="O1148" i="4" s="1"/>
  <c r="W1147" i="2"/>
  <c r="Y1147" i="2"/>
  <c r="O1147" i="4" s="1"/>
  <c r="W1146" i="2"/>
  <c r="W1145" i="2"/>
  <c r="Y1145" i="2"/>
  <c r="O1145" i="4" s="1"/>
  <c r="W1144" i="2"/>
  <c r="W1143" i="2"/>
  <c r="Y1143" i="2" s="1"/>
  <c r="W1142" i="2"/>
  <c r="Y1142" i="2" s="1"/>
  <c r="O1142" i="4" s="1"/>
  <c r="W1140" i="2"/>
  <c r="Y1140" i="2" s="1"/>
  <c r="O1140" i="4" s="1"/>
  <c r="W1139" i="2"/>
  <c r="W1138" i="2"/>
  <c r="W1136" i="2"/>
  <c r="W1135" i="2"/>
  <c r="W1134" i="2"/>
  <c r="W1130" i="2"/>
  <c r="W1129" i="2"/>
  <c r="W1128" i="2"/>
  <c r="W1127" i="2"/>
  <c r="W1126" i="2"/>
  <c r="W1125" i="2"/>
  <c r="W1124" i="2"/>
  <c r="W1123" i="2"/>
  <c r="W1117" i="2"/>
  <c r="W1116" i="2"/>
  <c r="W1114" i="2"/>
  <c r="W1112" i="2"/>
  <c r="W1108" i="2"/>
  <c r="W1107" i="2"/>
  <c r="W1105" i="2"/>
  <c r="W1104" i="2"/>
  <c r="W1103" i="2"/>
  <c r="W1102" i="2"/>
  <c r="W1101" i="2"/>
  <c r="W1099" i="2"/>
  <c r="W1097" i="2"/>
  <c r="W1096" i="2"/>
  <c r="W1092" i="2"/>
  <c r="W1091" i="2"/>
  <c r="W1090" i="2"/>
  <c r="W1082" i="2"/>
  <c r="W1077" i="2"/>
  <c r="W1076" i="2"/>
  <c r="W1075" i="2"/>
  <c r="W1073" i="2"/>
  <c r="W1070" i="2"/>
  <c r="W1068" i="2"/>
  <c r="W1066" i="2"/>
  <c r="W1065" i="2"/>
  <c r="W1064" i="2"/>
  <c r="W1063" i="2"/>
  <c r="W1062" i="2"/>
  <c r="W1060" i="2"/>
  <c r="W1059" i="2"/>
  <c r="W1050" i="2"/>
  <c r="W1049" i="2"/>
  <c r="W1047" i="2"/>
  <c r="W1044" i="2"/>
  <c r="W1042" i="2"/>
  <c r="W1037" i="2"/>
  <c r="W1034" i="2"/>
  <c r="W1033" i="2"/>
  <c r="W1032" i="2"/>
  <c r="W1031" i="2"/>
  <c r="W1030" i="2"/>
  <c r="W1029" i="2"/>
  <c r="W1027" i="2"/>
  <c r="W1025" i="2"/>
  <c r="Y1025" i="2" s="1"/>
  <c r="W1022" i="2"/>
  <c r="W1021" i="2"/>
  <c r="Y1021" i="2"/>
  <c r="W1020" i="2"/>
  <c r="W658" i="2"/>
  <c r="Y658" i="2" s="1"/>
  <c r="W655" i="2"/>
  <c r="Y655" i="2"/>
  <c r="W649" i="2"/>
  <c r="W639" i="2"/>
  <c r="W626" i="2"/>
  <c r="W624" i="2"/>
  <c r="W620" i="2"/>
  <c r="W596" i="2"/>
  <c r="W595" i="2"/>
  <c r="W569" i="2"/>
  <c r="W562" i="2"/>
  <c r="W560" i="2"/>
  <c r="W540" i="2"/>
  <c r="W516" i="2"/>
  <c r="W1013" i="2"/>
  <c r="Y1013" i="2" s="1"/>
  <c r="O1013" i="4" s="1"/>
  <c r="W1011" i="2"/>
  <c r="Y1011" i="2" s="1"/>
  <c r="W1010" i="2"/>
  <c r="Y1010" i="2" s="1"/>
  <c r="W1009" i="2"/>
  <c r="Y1009" i="2"/>
  <c r="O1009" i="4" s="1"/>
  <c r="W1008" i="2"/>
  <c r="Y1008" i="2" s="1"/>
  <c r="W1007" i="2"/>
  <c r="Y1007" i="2"/>
  <c r="W1006" i="2"/>
  <c r="W1005" i="2"/>
  <c r="Y1005" i="2" s="1"/>
  <c r="W1004" i="2"/>
  <c r="Y1004" i="2" s="1"/>
  <c r="W1003" i="2"/>
  <c r="W1002" i="2"/>
  <c r="W999" i="2"/>
  <c r="W998" i="2"/>
  <c r="Y998" i="2" s="1"/>
  <c r="O998" i="4" s="1"/>
  <c r="W997" i="2"/>
  <c r="Y997" i="2" s="1"/>
  <c r="O997" i="4" s="1"/>
  <c r="W996" i="2"/>
  <c r="Y996" i="2" s="1"/>
  <c r="O996" i="4" s="1"/>
  <c r="W994" i="2"/>
  <c r="W992" i="2"/>
  <c r="W991" i="2"/>
  <c r="W990" i="2"/>
  <c r="Y990" i="2" s="1"/>
  <c r="O990" i="4" s="1"/>
  <c r="W989" i="2"/>
  <c r="Y989" i="2" s="1"/>
  <c r="W988" i="2"/>
  <c r="Y988" i="2"/>
  <c r="W987" i="2"/>
  <c r="W986" i="2"/>
  <c r="Y986" i="2" s="1"/>
  <c r="O986" i="4" s="1"/>
  <c r="W984" i="2"/>
  <c r="Y984" i="2" s="1"/>
  <c r="O984" i="4" s="1"/>
  <c r="W983" i="2"/>
  <c r="Y983" i="2" s="1"/>
  <c r="O983" i="4" s="1"/>
  <c r="W982" i="2"/>
  <c r="Y982" i="2" s="1"/>
  <c r="W979" i="2"/>
  <c r="Y979" i="2" s="1"/>
  <c r="W978" i="2"/>
  <c r="Y978" i="2" s="1"/>
  <c r="O978" i="4" s="1"/>
  <c r="W977" i="2"/>
  <c r="Y977" i="2" s="1"/>
  <c r="W976" i="2"/>
  <c r="W975" i="2"/>
  <c r="W974" i="2"/>
  <c r="W973" i="2"/>
  <c r="W972" i="2"/>
  <c r="W971" i="2"/>
  <c r="W969" i="2"/>
  <c r="W968" i="2"/>
  <c r="W961" i="2"/>
  <c r="W960" i="2"/>
  <c r="W958" i="2"/>
  <c r="W954" i="2"/>
  <c r="W950" i="2"/>
  <c r="W949" i="2"/>
  <c r="W948" i="2"/>
  <c r="W947" i="2"/>
  <c r="W944" i="2"/>
  <c r="W943" i="2"/>
  <c r="W942" i="2"/>
  <c r="W941" i="2"/>
  <c r="W938" i="2"/>
  <c r="W934" i="2"/>
  <c r="W933" i="2"/>
  <c r="W929" i="2"/>
  <c r="W928" i="2"/>
  <c r="W924" i="2"/>
  <c r="W921" i="2"/>
  <c r="W920" i="2"/>
  <c r="W919" i="2"/>
  <c r="W918" i="2"/>
  <c r="W916" i="2"/>
  <c r="W914" i="2"/>
  <c r="W913" i="2"/>
  <c r="W912" i="2"/>
  <c r="W910" i="2"/>
  <c r="W909" i="2"/>
  <c r="W906" i="2"/>
  <c r="W903" i="2"/>
  <c r="W902" i="2"/>
  <c r="W900" i="2"/>
  <c r="W899" i="2"/>
  <c r="W897" i="2"/>
  <c r="W892" i="2"/>
  <c r="W891" i="2"/>
  <c r="W888" i="2"/>
  <c r="W886" i="2"/>
  <c r="W885" i="2"/>
  <c r="W883" i="2"/>
  <c r="W880" i="2"/>
  <c r="W879" i="2"/>
  <c r="W878" i="2"/>
  <c r="W872" i="2"/>
  <c r="W870" i="2"/>
  <c r="W869" i="2"/>
  <c r="W867" i="2"/>
  <c r="W866" i="2"/>
  <c r="W865" i="2"/>
  <c r="W864" i="2"/>
  <c r="W863" i="2"/>
  <c r="W862" i="2"/>
  <c r="W861" i="2"/>
  <c r="W856" i="2"/>
  <c r="W855" i="2"/>
  <c r="W854" i="2"/>
  <c r="W851" i="2"/>
  <c r="W850" i="2"/>
  <c r="W849" i="2"/>
  <c r="W848" i="2"/>
  <c r="W847" i="2"/>
  <c r="W846" i="2"/>
  <c r="W660" i="2"/>
  <c r="W657" i="2"/>
  <c r="Y657" i="2" s="1"/>
  <c r="W646" i="2"/>
  <c r="W631" i="2"/>
  <c r="W618" i="2"/>
  <c r="W617" i="2"/>
  <c r="W605" i="2"/>
  <c r="W599" i="2"/>
  <c r="W598" i="2"/>
  <c r="W572" i="2"/>
  <c r="W548" i="2"/>
  <c r="W547" i="2"/>
  <c r="W545" i="2"/>
  <c r="W538" i="2"/>
  <c r="W536" i="2"/>
  <c r="W521" i="2"/>
  <c r="W844" i="2"/>
  <c r="W843" i="2"/>
  <c r="W842" i="2"/>
  <c r="W841" i="2"/>
  <c r="W840" i="2"/>
  <c r="Y840" i="2" s="1"/>
  <c r="W839" i="2"/>
  <c r="Y839" i="2" s="1"/>
  <c r="W838" i="2"/>
  <c r="Y838" i="2" s="1"/>
  <c r="W836" i="2"/>
  <c r="Y836" i="2" s="1"/>
  <c r="O836" i="4" s="1"/>
  <c r="W835" i="2"/>
  <c r="Y835" i="2"/>
  <c r="W834" i="2"/>
  <c r="Y834" i="2"/>
  <c r="O834" i="4" s="1"/>
  <c r="W833" i="2"/>
  <c r="W832" i="2"/>
  <c r="Y832" i="2" s="1"/>
  <c r="W831" i="2"/>
  <c r="W830" i="2"/>
  <c r="W828" i="2"/>
  <c r="Y828" i="2" s="1"/>
  <c r="W827" i="2"/>
  <c r="Y827" i="2" s="1"/>
  <c r="W824" i="2"/>
  <c r="Y824" i="2" s="1"/>
  <c r="W822" i="2"/>
  <c r="Y822" i="2"/>
  <c r="O822" i="4" s="1"/>
  <c r="W820" i="2"/>
  <c r="Y820" i="2" s="1"/>
  <c r="W819" i="2"/>
  <c r="W817" i="2"/>
  <c r="W816" i="2"/>
  <c r="W815" i="2"/>
  <c r="Y815" i="2" s="1"/>
  <c r="W814" i="2"/>
  <c r="W813" i="2"/>
  <c r="W811" i="2"/>
  <c r="W810" i="2"/>
  <c r="W809" i="2"/>
  <c r="W805" i="2"/>
  <c r="W803" i="2"/>
  <c r="W802" i="2"/>
  <c r="W801" i="2"/>
  <c r="W799" i="2"/>
  <c r="W798" i="2"/>
  <c r="W797" i="2"/>
  <c r="W794" i="2"/>
  <c r="W793" i="2"/>
  <c r="W792" i="2"/>
  <c r="W787" i="2"/>
  <c r="W786" i="2"/>
  <c r="W785" i="2"/>
  <c r="W781" i="2"/>
  <c r="W780" i="2"/>
  <c r="W779" i="2"/>
  <c r="W778" i="2"/>
  <c r="W775" i="2"/>
  <c r="W774" i="2"/>
  <c r="W772" i="2"/>
  <c r="W771" i="2"/>
  <c r="W770" i="2"/>
  <c r="W769" i="2"/>
  <c r="W768" i="2"/>
  <c r="W767" i="2"/>
  <c r="W766" i="2"/>
  <c r="W765" i="2"/>
  <c r="W764" i="2"/>
  <c r="W759" i="2"/>
  <c r="W758" i="2"/>
  <c r="W757" i="2"/>
  <c r="W755" i="2"/>
  <c r="W754" i="2"/>
  <c r="W753" i="2"/>
  <c r="W752" i="2"/>
  <c r="W751" i="2"/>
  <c r="W749" i="2"/>
  <c r="W748" i="2"/>
  <c r="W745" i="2"/>
  <c r="W740" i="2"/>
  <c r="W738" i="2"/>
  <c r="W737" i="2"/>
  <c r="W734" i="2"/>
  <c r="W732" i="2"/>
  <c r="W731" i="2"/>
  <c r="W730" i="2"/>
  <c r="W729" i="2"/>
  <c r="W727" i="2"/>
  <c r="W725" i="2"/>
  <c r="W723" i="2"/>
  <c r="W722" i="2"/>
  <c r="W721" i="2"/>
  <c r="W718" i="2"/>
  <c r="W717" i="2"/>
  <c r="W716" i="2"/>
  <c r="W714" i="2"/>
  <c r="W712" i="2"/>
  <c r="W709" i="2"/>
  <c r="W708" i="2"/>
  <c r="W703" i="2"/>
  <c r="W702" i="2"/>
  <c r="W701" i="2"/>
  <c r="W700" i="2"/>
  <c r="W699" i="2"/>
  <c r="W698" i="2"/>
  <c r="W697" i="2"/>
  <c r="W696" i="2"/>
  <c r="W694" i="2"/>
  <c r="W693" i="2"/>
  <c r="W690" i="2"/>
  <c r="W687" i="2"/>
  <c r="W685" i="2"/>
  <c r="W683" i="2"/>
  <c r="W681" i="2"/>
  <c r="W680" i="2"/>
  <c r="W679" i="2"/>
  <c r="W678" i="2"/>
  <c r="W676" i="2"/>
  <c r="Y676" i="2" s="1"/>
  <c r="W675" i="2"/>
  <c r="Y675" i="2" s="1"/>
  <c r="W674" i="2"/>
  <c r="Y674" i="2"/>
  <c r="O674" i="4" s="1"/>
  <c r="W673" i="2"/>
  <c r="Y673" i="2" s="1"/>
  <c r="W672" i="2"/>
  <c r="Y672" i="2"/>
  <c r="O672" i="4" s="1"/>
  <c r="W671" i="2"/>
  <c r="Y671" i="2" s="1"/>
  <c r="O671" i="4" s="1"/>
  <c r="W654" i="2"/>
  <c r="Y654" i="2" s="1"/>
  <c r="W625" i="2"/>
  <c r="W590" i="2"/>
  <c r="W579" i="2"/>
  <c r="W570" i="2"/>
  <c r="W563" i="2"/>
  <c r="W555" i="2"/>
  <c r="W553" i="2"/>
  <c r="W542" i="2"/>
  <c r="W541" i="2"/>
  <c r="W532" i="2"/>
  <c r="W523" i="2"/>
  <c r="W513" i="2"/>
  <c r="W505" i="2"/>
  <c r="W504" i="2"/>
  <c r="W503" i="2"/>
  <c r="W501" i="2"/>
  <c r="W500" i="2"/>
  <c r="W498" i="2"/>
  <c r="W496" i="2"/>
  <c r="W495" i="2"/>
  <c r="W494" i="2"/>
  <c r="W493" i="2"/>
  <c r="W492" i="2"/>
  <c r="W491" i="2"/>
  <c r="W490" i="2"/>
  <c r="W485" i="2"/>
  <c r="W484" i="2"/>
  <c r="W483" i="2"/>
  <c r="W472" i="2"/>
  <c r="W471" i="2"/>
  <c r="W470" i="2"/>
  <c r="W469" i="2"/>
  <c r="W468" i="2"/>
  <c r="W467" i="2"/>
  <c r="W463" i="2"/>
  <c r="W462" i="2"/>
  <c r="W461" i="2"/>
  <c r="W460" i="2"/>
  <c r="W459" i="2"/>
  <c r="W458" i="2"/>
  <c r="W457" i="2"/>
  <c r="W455" i="2"/>
  <c r="W454" i="2"/>
  <c r="W453" i="2"/>
  <c r="W451" i="2"/>
  <c r="W450" i="2"/>
  <c r="W449" i="2"/>
  <c r="W447" i="2"/>
  <c r="W446" i="2"/>
  <c r="W444" i="2"/>
  <c r="W441" i="2"/>
  <c r="W440" i="2"/>
  <c r="W439" i="2"/>
  <c r="W438" i="2"/>
  <c r="W436" i="2"/>
  <c r="W433" i="2"/>
  <c r="W432" i="2"/>
  <c r="W429" i="2"/>
  <c r="W428" i="2"/>
  <c r="W427" i="2"/>
  <c r="Y427" i="2" s="1"/>
  <c r="W426" i="2"/>
  <c r="W424" i="2"/>
  <c r="W420" i="2"/>
  <c r="W419" i="2"/>
  <c r="W418" i="2"/>
  <c r="W416" i="2"/>
  <c r="W414" i="2"/>
  <c r="W412" i="2"/>
  <c r="W411" i="2"/>
  <c r="W410" i="2"/>
  <c r="W408" i="2"/>
  <c r="Y408" i="2" s="1"/>
  <c r="W407" i="2"/>
  <c r="W406" i="2"/>
  <c r="W404" i="2"/>
  <c r="W403" i="2"/>
  <c r="W400" i="2"/>
  <c r="W399" i="2"/>
  <c r="W395" i="2"/>
  <c r="W393" i="2"/>
  <c r="W387" i="2"/>
  <c r="W386" i="2"/>
  <c r="W385" i="2"/>
  <c r="W381" i="2"/>
  <c r="W380" i="2"/>
  <c r="W379" i="2"/>
  <c r="W375" i="2"/>
  <c r="W371" i="2"/>
  <c r="W369" i="2"/>
  <c r="W368" i="2"/>
  <c r="W366" i="2"/>
  <c r="W364" i="2"/>
  <c r="W359" i="2"/>
  <c r="W358" i="2"/>
  <c r="W357" i="2"/>
  <c r="W356" i="2"/>
  <c r="W355" i="2"/>
  <c r="W349" i="2"/>
  <c r="W345" i="2"/>
  <c r="W343" i="2"/>
  <c r="W342" i="2"/>
  <c r="W341" i="2"/>
  <c r="W340" i="2"/>
  <c r="W339" i="2"/>
  <c r="W338" i="2"/>
  <c r="W182" i="2"/>
  <c r="W1529" i="2"/>
  <c r="W1525" i="2"/>
  <c r="W1520" i="2"/>
  <c r="W336" i="2"/>
  <c r="Y336" i="2" s="1"/>
  <c r="O336" i="4" s="1"/>
  <c r="W334" i="2"/>
  <c r="W332" i="2"/>
  <c r="Y332" i="2" s="1"/>
  <c r="O332" i="4" s="1"/>
  <c r="W331" i="2"/>
  <c r="Y331" i="2" s="1"/>
  <c r="W330" i="2"/>
  <c r="Y330" i="2" s="1"/>
  <c r="O330" i="4" s="1"/>
  <c r="W327" i="2"/>
  <c r="W326" i="2"/>
  <c r="W324" i="2"/>
  <c r="W322" i="2"/>
  <c r="W321" i="2"/>
  <c r="W320" i="2"/>
  <c r="W317" i="2"/>
  <c r="W315" i="2"/>
  <c r="W314" i="2"/>
  <c r="W311" i="2"/>
  <c r="W310" i="2"/>
  <c r="W309" i="2"/>
  <c r="W305" i="2"/>
  <c r="W304" i="2"/>
  <c r="W303" i="2"/>
  <c r="W299" i="2"/>
  <c r="W296" i="2"/>
  <c r="W295" i="2"/>
  <c r="W294" i="2"/>
  <c r="W292" i="2"/>
  <c r="W291" i="2"/>
  <c r="W290" i="2"/>
  <c r="W288" i="2"/>
  <c r="W287" i="2"/>
  <c r="W286" i="2"/>
  <c r="W284" i="2"/>
  <c r="W283" i="2"/>
  <c r="W281" i="2"/>
  <c r="W280" i="2"/>
  <c r="W279" i="2"/>
  <c r="W278" i="2"/>
  <c r="W277" i="2"/>
  <c r="W276" i="2"/>
  <c r="W275" i="2"/>
  <c r="W274" i="2"/>
  <c r="W273" i="2"/>
  <c r="W272" i="2"/>
  <c r="W271" i="2"/>
  <c r="W269" i="2"/>
  <c r="W268" i="2"/>
  <c r="W263" i="2"/>
  <c r="W260" i="2"/>
  <c r="W257" i="2"/>
  <c r="W253" i="2"/>
  <c r="W252" i="2"/>
  <c r="W251" i="2"/>
  <c r="W248" i="2"/>
  <c r="W247" i="2"/>
  <c r="W246" i="2"/>
  <c r="W243" i="2"/>
  <c r="W242" i="2"/>
  <c r="W241" i="2"/>
  <c r="W240" i="2"/>
  <c r="W238" i="2"/>
  <c r="W231" i="2"/>
  <c r="W222" i="2"/>
  <c r="W217" i="2"/>
  <c r="W213" i="2"/>
  <c r="W212" i="2"/>
  <c r="W210" i="2"/>
  <c r="W209" i="2"/>
  <c r="W208" i="2"/>
  <c r="W206" i="2"/>
  <c r="W202" i="2"/>
  <c r="W201" i="2"/>
  <c r="W200" i="2"/>
  <c r="W199" i="2"/>
  <c r="W197" i="2"/>
  <c r="W196" i="2"/>
  <c r="W195" i="2"/>
  <c r="W194" i="2"/>
  <c r="W193" i="2"/>
  <c r="W188" i="2"/>
  <c r="W186" i="2"/>
  <c r="W185" i="2"/>
  <c r="W184" i="2"/>
  <c r="W183" i="2"/>
  <c r="W181" i="2"/>
  <c r="W176" i="2"/>
  <c r="W1515" i="2"/>
  <c r="Y1515" i="2" s="1"/>
  <c r="O1515" i="4" s="1"/>
  <c r="W173" i="2"/>
  <c r="W172" i="2"/>
  <c r="W171" i="2"/>
  <c r="W169" i="2"/>
  <c r="W168" i="2"/>
  <c r="W167" i="2"/>
  <c r="W166" i="2"/>
  <c r="W165" i="2"/>
  <c r="W164" i="2"/>
  <c r="W163" i="2"/>
  <c r="W162" i="2"/>
  <c r="W161" i="2"/>
  <c r="W160" i="2"/>
  <c r="W157" i="2"/>
  <c r="W156" i="2"/>
  <c r="W155" i="2"/>
  <c r="W143" i="2"/>
  <c r="W142" i="2"/>
  <c r="W140" i="2"/>
  <c r="W138" i="2"/>
  <c r="W137" i="2"/>
  <c r="W136" i="2"/>
  <c r="W135" i="2"/>
  <c r="W133" i="2"/>
  <c r="W129" i="2"/>
  <c r="W126" i="2"/>
  <c r="W125" i="2"/>
  <c r="W124" i="2"/>
  <c r="W122" i="2"/>
  <c r="W116" i="2"/>
  <c r="W114" i="2"/>
  <c r="W112" i="2"/>
  <c r="W108" i="2"/>
  <c r="W107" i="2"/>
  <c r="W105" i="2"/>
  <c r="W103" i="2"/>
  <c r="W102" i="2"/>
  <c r="W101" i="2"/>
  <c r="W99" i="2"/>
  <c r="W98" i="2"/>
  <c r="W97" i="2"/>
  <c r="W96" i="2"/>
  <c r="W95" i="2"/>
  <c r="W94" i="2"/>
  <c r="W92" i="2"/>
  <c r="W91" i="2"/>
  <c r="W90" i="2"/>
  <c r="W89" i="2"/>
  <c r="W88" i="2"/>
  <c r="W87" i="2"/>
  <c r="W85" i="2"/>
  <c r="W84" i="2"/>
  <c r="W81" i="2"/>
  <c r="W75" i="2"/>
  <c r="W73" i="2"/>
  <c r="W72" i="2"/>
  <c r="W71" i="2"/>
  <c r="W70" i="2"/>
  <c r="W69" i="2"/>
  <c r="W68" i="2"/>
  <c r="W67" i="2"/>
  <c r="W64" i="2"/>
  <c r="W61" i="2"/>
  <c r="W59" i="2"/>
  <c r="W58" i="2"/>
  <c r="W57" i="2"/>
  <c r="W56" i="2"/>
  <c r="W53" i="2"/>
  <c r="W52" i="2"/>
  <c r="W51" i="2"/>
  <c r="W50" i="2"/>
  <c r="W47" i="2"/>
  <c r="W45" i="2"/>
  <c r="W42" i="2"/>
  <c r="W41" i="2"/>
  <c r="Y41" i="2" s="1"/>
  <c r="W40" i="2"/>
  <c r="W38" i="2"/>
  <c r="W36" i="2"/>
  <c r="W35" i="2"/>
  <c r="W29" i="2"/>
  <c r="W28" i="2"/>
  <c r="W27" i="2"/>
  <c r="W25" i="2"/>
  <c r="W24" i="2"/>
  <c r="W23" i="2"/>
  <c r="W22" i="2"/>
  <c r="W21" i="2"/>
  <c r="W20" i="2"/>
  <c r="W19" i="2"/>
  <c r="W17" i="2"/>
  <c r="W16" i="2"/>
  <c r="W15" i="2"/>
  <c r="W14" i="2"/>
  <c r="W10" i="2"/>
  <c r="W9" i="2"/>
  <c r="E28" i="1"/>
  <c r="G28" i="1" s="1"/>
  <c r="B21" i="1"/>
  <c r="B28" i="1"/>
  <c r="D28" i="1" s="1"/>
  <c r="B7" i="1"/>
  <c r="B36" i="1"/>
  <c r="D36" i="1" s="1"/>
  <c r="B34" i="1"/>
  <c r="B27" i="1"/>
  <c r="B35" i="1"/>
  <c r="D35" i="1" s="1"/>
  <c r="E27" i="1"/>
  <c r="G27" i="1" s="1"/>
  <c r="B22" i="1"/>
  <c r="D22" i="1" s="1"/>
  <c r="B9" i="1"/>
  <c r="G12" i="1" s="1"/>
  <c r="B29" i="1"/>
  <c r="D29" i="1" s="1"/>
  <c r="E34" i="1"/>
  <c r="G34" i="1" s="1"/>
  <c r="E35" i="1"/>
  <c r="G35" i="1" s="1"/>
  <c r="E29" i="1"/>
  <c r="G29" i="1" s="1"/>
  <c r="B8" i="1"/>
  <c r="Y1983" i="2"/>
  <c r="Y1982" i="2"/>
  <c r="Y1977" i="2"/>
  <c r="Y1974" i="2"/>
  <c r="Y1963" i="2"/>
  <c r="Y1956" i="2"/>
  <c r="Y1953" i="2"/>
  <c r="Y1947" i="2"/>
  <c r="Y1941" i="2"/>
  <c r="Y1940" i="2"/>
  <c r="Y1938" i="2"/>
  <c r="Y1935" i="2"/>
  <c r="Y1934" i="2"/>
  <c r="Y1929" i="2"/>
  <c r="Z1922" i="2"/>
  <c r="O1922" i="4"/>
  <c r="Y1920" i="2"/>
  <c r="Y1917" i="2"/>
  <c r="Y1915" i="2"/>
  <c r="Y1912" i="2"/>
  <c r="Y1907" i="2"/>
  <c r="Y1897" i="2"/>
  <c r="Y1896" i="2"/>
  <c r="Y1893" i="2"/>
  <c r="Y1892" i="2"/>
  <c r="Y1889" i="2"/>
  <c r="Y1884" i="2"/>
  <c r="Y1879" i="2"/>
  <c r="Y1877" i="2"/>
  <c r="Y1872" i="2"/>
  <c r="Y1868" i="2"/>
  <c r="Y1866" i="2"/>
  <c r="Y1865" i="2"/>
  <c r="Y1860" i="2"/>
  <c r="Y1853" i="2"/>
  <c r="Y1850" i="2"/>
  <c r="Y1840" i="2"/>
  <c r="Y1839" i="2"/>
  <c r="Y1838" i="2"/>
  <c r="Y1837" i="2"/>
  <c r="Y1835" i="2"/>
  <c r="Y1834" i="2"/>
  <c r="Y1833" i="2"/>
  <c r="Y1832" i="2"/>
  <c r="Y1805" i="2"/>
  <c r="Y1777" i="2"/>
  <c r="Y1774" i="2"/>
  <c r="Y1773" i="2"/>
  <c r="Y1771" i="2"/>
  <c r="Y1769" i="2"/>
  <c r="Y1766" i="2"/>
  <c r="Y1765" i="2"/>
  <c r="Y1764" i="2"/>
  <c r="Y1763" i="2"/>
  <c r="Y1762" i="2"/>
  <c r="Y1750" i="2"/>
  <c r="Y1746" i="2"/>
  <c r="Y1745" i="2"/>
  <c r="Y1737" i="2"/>
  <c r="Y1733" i="2"/>
  <c r="Y1729" i="2"/>
  <c r="Y1728" i="2"/>
  <c r="Y1724" i="2"/>
  <c r="Y1722" i="2"/>
  <c r="Y1716" i="2"/>
  <c r="Y1714" i="2"/>
  <c r="Y1705" i="2"/>
  <c r="Y1704" i="2"/>
  <c r="Y1702" i="2"/>
  <c r="Y1696" i="2"/>
  <c r="Y1695" i="2"/>
  <c r="Y1693" i="2"/>
  <c r="Y1690" i="2"/>
  <c r="Y1689" i="2"/>
  <c r="Y1687" i="2"/>
  <c r="Y1682" i="2"/>
  <c r="Y1681" i="2"/>
  <c r="Y1677" i="2"/>
  <c r="Y1676" i="2"/>
  <c r="Y1657" i="2"/>
  <c r="Y1622" i="2"/>
  <c r="Y1617" i="2"/>
  <c r="Y1616" i="2"/>
  <c r="Y1612" i="2"/>
  <c r="Y1609" i="2"/>
  <c r="Y1608" i="2"/>
  <c r="Y1605" i="2"/>
  <c r="Y1604" i="2"/>
  <c r="Y1593" i="2"/>
  <c r="Y1592" i="2"/>
  <c r="Y1591" i="2"/>
  <c r="Y1590" i="2"/>
  <c r="Y1588" i="2"/>
  <c r="Y1586" i="2"/>
  <c r="Y1584" i="2"/>
  <c r="Y1583" i="2"/>
  <c r="Y1581" i="2"/>
  <c r="Y1578" i="2"/>
  <c r="Y1577" i="2"/>
  <c r="Z1574" i="2"/>
  <c r="O1574" i="4"/>
  <c r="Y1573" i="2"/>
  <c r="Y1570" i="2"/>
  <c r="Y1567" i="2"/>
  <c r="Y1564" i="2"/>
  <c r="Y1562" i="2"/>
  <c r="Y1560" i="2"/>
  <c r="Y1559" i="2"/>
  <c r="Y1557" i="2"/>
  <c r="Y1556" i="2"/>
  <c r="Y1555" i="2"/>
  <c r="Y1551" i="2"/>
  <c r="Y1550" i="2"/>
  <c r="Y1548" i="2"/>
  <c r="Y1546" i="2"/>
  <c r="Y1544" i="2"/>
  <c r="Y1543" i="2"/>
  <c r="Y1540" i="2"/>
  <c r="Y1539" i="2"/>
  <c r="Y1538" i="2"/>
  <c r="Y1536" i="2"/>
  <c r="Y1535" i="2"/>
  <c r="Y1533" i="2"/>
  <c r="Y1532" i="2"/>
  <c r="Y1531" i="2"/>
  <c r="Y1530" i="2"/>
  <c r="Y1527" i="2"/>
  <c r="Y1526" i="2"/>
  <c r="Y1521" i="2"/>
  <c r="Y1519" i="2"/>
  <c r="O1517" i="4"/>
  <c r="Z1517" i="2"/>
  <c r="Y1516" i="2"/>
  <c r="Y1514" i="2"/>
  <c r="Z1498" i="2"/>
  <c r="O1498" i="4"/>
  <c r="Z1497" i="2"/>
  <c r="O1497" i="4"/>
  <c r="O1493" i="4"/>
  <c r="Z1493" i="2"/>
  <c r="O1487" i="4"/>
  <c r="Z1487" i="2"/>
  <c r="Z1465" i="2"/>
  <c r="O1465" i="4"/>
  <c r="Y1463" i="2"/>
  <c r="Y1461" i="2"/>
  <c r="Y1458" i="2"/>
  <c r="Y1453" i="2"/>
  <c r="Y1452" i="2"/>
  <c r="Y1451" i="2"/>
  <c r="Y1449" i="2"/>
  <c r="Y1448" i="2"/>
  <c r="Y1440" i="2"/>
  <c r="Y1439" i="2"/>
  <c r="Y1438" i="2"/>
  <c r="Y1432" i="2"/>
  <c r="Y1428" i="2"/>
  <c r="Y1425" i="2"/>
  <c r="Y1424" i="2"/>
  <c r="Y1418" i="2"/>
  <c r="Y1417" i="2"/>
  <c r="Y1412" i="2"/>
  <c r="Y1411" i="2"/>
  <c r="Y1410" i="2"/>
  <c r="Y1409" i="2"/>
  <c r="Y1408" i="2"/>
  <c r="Y1406" i="2"/>
  <c r="Y1405" i="2"/>
  <c r="Y1404" i="2"/>
  <c r="Y1397" i="2"/>
  <c r="Y1396" i="2"/>
  <c r="Y1394" i="2"/>
  <c r="Y1384" i="2"/>
  <c r="Y1382" i="2"/>
  <c r="Y1375" i="2"/>
  <c r="Y1365" i="2"/>
  <c r="Y1362" i="2"/>
  <c r="Y1352" i="2"/>
  <c r="Y1350" i="2"/>
  <c r="O1347" i="4"/>
  <c r="Z1347" i="2"/>
  <c r="O1345" i="4"/>
  <c r="Z1345" i="2"/>
  <c r="Y1335" i="2"/>
  <c r="O1329" i="4"/>
  <c r="Z1329" i="2"/>
  <c r="Z1322" i="2"/>
  <c r="O1322" i="4"/>
  <c r="Y1315" i="2"/>
  <c r="Y1299" i="2"/>
  <c r="Y1298" i="2"/>
  <c r="Y1297" i="2"/>
  <c r="Y1295" i="2"/>
  <c r="Y1292" i="2"/>
  <c r="Y1285" i="2"/>
  <c r="Y1283" i="2"/>
  <c r="Y1281" i="2"/>
  <c r="Y1278" i="2"/>
  <c r="Y1272" i="2"/>
  <c r="Y1266" i="2"/>
  <c r="Y1264" i="2"/>
  <c r="Y1263" i="2"/>
  <c r="Y1261" i="2"/>
  <c r="Y1260" i="2"/>
  <c r="Y1258" i="2"/>
  <c r="Y1250" i="2"/>
  <c r="Y1246" i="2"/>
  <c r="Y1245" i="2"/>
  <c r="Y1241" i="2"/>
  <c r="Y1240" i="2"/>
  <c r="Y1239" i="2"/>
  <c r="Y1238" i="2"/>
  <c r="Y1232" i="2"/>
  <c r="Y1226" i="2"/>
  <c r="Y1216" i="2"/>
  <c r="Y1209" i="2"/>
  <c r="Y1206" i="2"/>
  <c r="Y1205" i="2"/>
  <c r="Y1200" i="2"/>
  <c r="Y1199" i="2"/>
  <c r="Y1198" i="2"/>
  <c r="Y1197" i="2"/>
  <c r="Y1189" i="2"/>
  <c r="Y1187" i="2"/>
  <c r="Y1186" i="2"/>
  <c r="Y1185" i="2"/>
  <c r="Y1184" i="2"/>
  <c r="Y1181" i="2"/>
  <c r="Y1179" i="2"/>
  <c r="Y1173" i="2"/>
  <c r="Y1169" i="2"/>
  <c r="Y1166" i="2"/>
  <c r="Y1164" i="2"/>
  <c r="Y1161" i="2"/>
  <c r="Y1160" i="2"/>
  <c r="Y1159" i="2"/>
  <c r="Y1137" i="2"/>
  <c r="Y1133" i="2"/>
  <c r="Y1132" i="2"/>
  <c r="Y1131" i="2"/>
  <c r="Y1122" i="2"/>
  <c r="Y1121" i="2"/>
  <c r="Y1118" i="2"/>
  <c r="Y1113" i="2"/>
  <c r="Y1111" i="2"/>
  <c r="Y1109" i="2"/>
  <c r="Y1100" i="2"/>
  <c r="Y1095" i="2"/>
  <c r="Y1094" i="2"/>
  <c r="Y1093" i="2"/>
  <c r="Y1088" i="2"/>
  <c r="Y1087" i="2"/>
  <c r="Y1085" i="2"/>
  <c r="Y1081" i="2"/>
  <c r="Y1080" i="2"/>
  <c r="Y1079" i="2"/>
  <c r="Y1078" i="2"/>
  <c r="Y1071" i="2"/>
  <c r="Y1067" i="2"/>
  <c r="Y1058" i="2"/>
  <c r="Y1057" i="2"/>
  <c r="Y1056" i="2"/>
  <c r="Y1055" i="2"/>
  <c r="Y1054" i="2"/>
  <c r="Y1053" i="2"/>
  <c r="Y1052" i="2"/>
  <c r="Y1051" i="2"/>
  <c r="Y1048" i="2"/>
  <c r="Y1046" i="2"/>
  <c r="Y1045" i="2"/>
  <c r="Y1043" i="2"/>
  <c r="Y1041" i="2"/>
  <c r="Y1040" i="2"/>
  <c r="Y1039" i="2"/>
  <c r="Y1035" i="2"/>
  <c r="O1023" i="4"/>
  <c r="Z1023" i="2"/>
  <c r="O1017" i="4"/>
  <c r="Z1017" i="2"/>
  <c r="Y970" i="2"/>
  <c r="Y966" i="2"/>
  <c r="Y965" i="2"/>
  <c r="Y962" i="2"/>
  <c r="Y956" i="2"/>
  <c r="Y953" i="2"/>
  <c r="Y945" i="2"/>
  <c r="Y936" i="2"/>
  <c r="Y935" i="2"/>
  <c r="Y932" i="2"/>
  <c r="Y931" i="2"/>
  <c r="Y930" i="2"/>
  <c r="Y927" i="2"/>
  <c r="Y926" i="2"/>
  <c r="Y923" i="2"/>
  <c r="Y922" i="2"/>
  <c r="Y917" i="2"/>
  <c r="Y908" i="2"/>
  <c r="Y907" i="2"/>
  <c r="Y905" i="2"/>
  <c r="Y904" i="2"/>
  <c r="Y898" i="2"/>
  <c r="Y896" i="2"/>
  <c r="Y890" i="2"/>
  <c r="Y889" i="2"/>
  <c r="Y887" i="2"/>
  <c r="Y882" i="2"/>
  <c r="Y881" i="2"/>
  <c r="Y876" i="2"/>
  <c r="Y875" i="2"/>
  <c r="Y874" i="2"/>
  <c r="Y868" i="2"/>
  <c r="Y860" i="2"/>
  <c r="Y859" i="2"/>
  <c r="Y858" i="2"/>
  <c r="Y857" i="2"/>
  <c r="Y853" i="2"/>
  <c r="Y845" i="2"/>
  <c r="Y837" i="2"/>
  <c r="Y829" i="2"/>
  <c r="O826" i="4"/>
  <c r="Z826" i="2"/>
  <c r="Y825" i="2"/>
  <c r="O823" i="4"/>
  <c r="Z823" i="2"/>
  <c r="O821" i="4"/>
  <c r="Z821" i="2"/>
  <c r="Y812" i="2"/>
  <c r="Y800" i="2"/>
  <c r="Y796" i="2"/>
  <c r="Y795" i="2"/>
  <c r="Y790" i="2"/>
  <c r="Y789" i="2"/>
  <c r="Y788" i="2"/>
  <c r="Y784" i="2"/>
  <c r="Y782" i="2"/>
  <c r="Y776" i="2"/>
  <c r="Y773" i="2"/>
  <c r="Y762" i="2"/>
  <c r="Y761" i="2"/>
  <c r="Y760" i="2"/>
  <c r="Y756" i="2"/>
  <c r="Y750" i="2"/>
  <c r="Y747" i="2"/>
  <c r="Y744" i="2"/>
  <c r="Y742" i="2"/>
  <c r="Y741" i="2"/>
  <c r="Y736" i="2"/>
  <c r="Y735" i="2"/>
  <c r="Y733" i="2"/>
  <c r="Y728" i="2"/>
  <c r="Y726" i="2"/>
  <c r="Y724" i="2"/>
  <c r="Y711" i="2"/>
  <c r="Y710" i="2"/>
  <c r="Y707" i="2"/>
  <c r="Y705" i="2"/>
  <c r="Y704" i="2"/>
  <c r="Y692" i="2"/>
  <c r="Y688" i="2"/>
  <c r="Y684" i="2"/>
  <c r="Y677" i="2"/>
  <c r="Z666" i="2"/>
  <c r="O666" i="4"/>
  <c r="Y665" i="2"/>
  <c r="Y664" i="2"/>
  <c r="Y662" i="2"/>
  <c r="Y661" i="2"/>
  <c r="Z656" i="2"/>
  <c r="O656" i="4"/>
  <c r="Y653" i="2"/>
  <c r="Y651" i="2"/>
  <c r="Y647" i="2"/>
  <c r="Y645" i="2"/>
  <c r="Y644" i="2"/>
  <c r="Y643" i="2"/>
  <c r="Y642" i="2"/>
  <c r="Y640" i="2"/>
  <c r="Y634" i="2"/>
  <c r="Y633" i="2"/>
  <c r="Y632" i="2"/>
  <c r="Y630" i="2"/>
  <c r="Y628" i="2"/>
  <c r="Y627" i="2"/>
  <c r="Y623" i="2"/>
  <c r="Y622" i="2"/>
  <c r="Y621" i="2"/>
  <c r="Y616" i="2"/>
  <c r="Y614" i="2"/>
  <c r="Y613" i="2"/>
  <c r="Y612" i="2"/>
  <c r="Y610" i="2"/>
  <c r="Y609" i="2"/>
  <c r="Y608" i="2"/>
  <c r="Y607" i="2"/>
  <c r="Y604" i="2"/>
  <c r="Y603" i="2"/>
  <c r="Y601" i="2"/>
  <c r="Y600" i="2"/>
  <c r="Y594" i="2"/>
  <c r="Y592" i="2"/>
  <c r="Y591" i="2"/>
  <c r="Y587" i="2"/>
  <c r="Y584" i="2"/>
  <c r="Y583" i="2"/>
  <c r="Y582" i="2"/>
  <c r="Y580" i="2"/>
  <c r="Y578" i="2"/>
  <c r="Y577" i="2"/>
  <c r="Y576" i="2"/>
  <c r="Y575" i="2"/>
  <c r="Y574" i="2"/>
  <c r="Y573" i="2"/>
  <c r="Y571" i="2"/>
  <c r="Y568" i="2"/>
  <c r="Y567" i="2"/>
  <c r="Y566" i="2"/>
  <c r="Y565" i="2"/>
  <c r="Y564" i="2"/>
  <c r="Y561" i="2"/>
  <c r="Y559" i="2"/>
  <c r="Y557" i="2"/>
  <c r="Y556" i="2"/>
  <c r="Y554" i="2"/>
  <c r="Y552" i="2"/>
  <c r="Y551" i="2"/>
  <c r="Y549" i="2"/>
  <c r="Y546" i="2"/>
  <c r="Y537" i="2"/>
  <c r="Y535" i="2"/>
  <c r="Y534" i="2"/>
  <c r="Y533" i="2"/>
  <c r="Y531" i="2"/>
  <c r="Y526" i="2"/>
  <c r="Y525" i="2"/>
  <c r="Y522" i="2"/>
  <c r="Y519" i="2"/>
  <c r="Y517" i="2"/>
  <c r="Y512" i="2"/>
  <c r="Y511" i="2"/>
  <c r="Y510" i="2"/>
  <c r="Y509" i="2"/>
  <c r="Y507" i="2"/>
  <c r="Y502" i="2"/>
  <c r="Y499" i="2"/>
  <c r="Y497" i="2"/>
  <c r="Y482" i="2"/>
  <c r="Y481" i="2"/>
  <c r="Y480" i="2"/>
  <c r="Y479" i="2"/>
  <c r="Y478" i="2"/>
  <c r="Y477" i="2"/>
  <c r="Y474" i="2"/>
  <c r="Y466" i="2"/>
  <c r="Y464" i="2"/>
  <c r="Y445" i="2"/>
  <c r="Y442" i="2"/>
  <c r="Y431" i="2"/>
  <c r="Y430" i="2"/>
  <c r="Y425" i="2"/>
  <c r="Y423" i="2"/>
  <c r="Y422" i="2"/>
  <c r="Y421" i="2"/>
  <c r="Y417" i="2"/>
  <c r="Y405" i="2"/>
  <c r="Y398" i="2"/>
  <c r="Y394" i="2"/>
  <c r="Y389" i="2"/>
  <c r="Y388" i="2"/>
  <c r="Y384" i="2"/>
  <c r="Y383" i="2"/>
  <c r="Y382" i="2"/>
  <c r="Y378" i="2"/>
  <c r="Y377" i="2"/>
  <c r="Y376" i="2"/>
  <c r="Y373" i="2"/>
  <c r="Y372" i="2"/>
  <c r="Y367" i="2"/>
  <c r="Y365" i="2"/>
  <c r="Y363" i="2"/>
  <c r="Y361" i="2"/>
  <c r="Y360" i="2"/>
  <c r="Y354" i="2"/>
  <c r="Y352" i="2"/>
  <c r="Y351" i="2"/>
  <c r="Y350" i="2"/>
  <c r="Y348" i="2"/>
  <c r="Y346" i="2"/>
  <c r="Y323" i="2"/>
  <c r="Y319" i="2"/>
  <c r="Y318" i="2"/>
  <c r="Y316" i="2"/>
  <c r="Y313" i="2"/>
  <c r="Y308" i="2"/>
  <c r="Y306" i="2"/>
  <c r="Y302" i="2"/>
  <c r="Y301" i="2"/>
  <c r="Y300" i="2"/>
  <c r="Y298" i="2"/>
  <c r="Y297" i="2"/>
  <c r="Y293" i="2"/>
  <c r="Y289" i="2"/>
  <c r="Y285" i="2"/>
  <c r="Y282" i="2"/>
  <c r="Y270" i="2"/>
  <c r="Y266" i="2"/>
  <c r="Y265" i="2"/>
  <c r="Y264" i="2"/>
  <c r="Y259" i="2"/>
  <c r="Y258" i="2"/>
  <c r="Y250" i="2"/>
  <c r="Y245" i="2"/>
  <c r="Y244" i="2"/>
  <c r="Y239" i="2"/>
  <c r="Y237" i="2"/>
  <c r="Y235" i="2"/>
  <c r="Y234" i="2"/>
  <c r="Y232" i="2"/>
  <c r="Y229" i="2"/>
  <c r="Y228" i="2"/>
  <c r="Y227" i="2"/>
  <c r="Y226" i="2"/>
  <c r="Y225" i="2"/>
  <c r="Y224" i="2"/>
  <c r="Y223" i="2"/>
  <c r="Y221" i="2"/>
  <c r="Y220" i="2"/>
  <c r="Y219" i="2"/>
  <c r="Y218" i="2"/>
  <c r="Y216" i="2"/>
  <c r="Y215" i="2"/>
  <c r="Y214" i="2"/>
  <c r="Y211" i="2"/>
  <c r="Y207" i="2"/>
  <c r="Y205" i="2"/>
  <c r="Y204" i="2"/>
  <c r="Y203" i="2"/>
  <c r="Y192" i="2"/>
  <c r="Y191" i="2"/>
  <c r="Y190" i="2"/>
  <c r="Y189" i="2"/>
  <c r="Y187" i="2"/>
  <c r="Y180" i="2"/>
  <c r="Y179" i="2"/>
  <c r="Y178" i="2"/>
  <c r="Y177" i="2"/>
  <c r="Y175" i="2"/>
  <c r="Y174" i="2"/>
  <c r="Y158" i="2"/>
  <c r="Y153" i="2"/>
  <c r="Y152" i="2"/>
  <c r="Y151" i="2"/>
  <c r="Y150" i="2"/>
  <c r="Y149" i="2"/>
  <c r="Y148" i="2"/>
  <c r="Y146" i="2"/>
  <c r="Y145" i="2"/>
  <c r="Y144" i="2"/>
  <c r="Y139" i="2"/>
  <c r="Y134" i="2"/>
  <c r="Y132" i="2"/>
  <c r="Y131" i="2"/>
  <c r="Y130" i="2"/>
  <c r="Y128" i="2"/>
  <c r="Y127" i="2"/>
  <c r="Y123" i="2"/>
  <c r="Y120" i="2"/>
  <c r="Y119" i="2"/>
  <c r="Y118" i="2"/>
  <c r="Y117" i="2"/>
  <c r="Y115" i="2"/>
  <c r="Y110" i="2"/>
  <c r="Y106" i="2"/>
  <c r="Y104" i="2"/>
  <c r="Y86" i="2"/>
  <c r="Y82" i="2"/>
  <c r="Y79" i="2"/>
  <c r="Y78" i="2"/>
  <c r="Z77" i="2"/>
  <c r="O77" i="4"/>
  <c r="Y76" i="2"/>
  <c r="Y65" i="2"/>
  <c r="Y63" i="2"/>
  <c r="Y49" i="2"/>
  <c r="Y48" i="2"/>
  <c r="Y46" i="2"/>
  <c r="Y44" i="2"/>
  <c r="Y43" i="2"/>
  <c r="Y39" i="2"/>
  <c r="Y32" i="2"/>
  <c r="Y30" i="2"/>
  <c r="Y12" i="2"/>
  <c r="Y11" i="2"/>
  <c r="Y8" i="2"/>
  <c r="Y7" i="2"/>
  <c r="Z7" i="2" s="1"/>
  <c r="O1925" i="4"/>
  <c r="Z1925" i="2"/>
  <c r="O1908" i="4"/>
  <c r="Z1908" i="2"/>
  <c r="O1902" i="4"/>
  <c r="Z1902" i="2"/>
  <c r="O1888" i="4"/>
  <c r="Z1888" i="2"/>
  <c r="O1885" i="4"/>
  <c r="Z1885" i="2"/>
  <c r="O1863" i="4"/>
  <c r="Z1863" i="2"/>
  <c r="O1858" i="4"/>
  <c r="Z1858" i="2"/>
  <c r="O1854" i="4"/>
  <c r="Z1854" i="2"/>
  <c r="O1848" i="4"/>
  <c r="Z1848" i="2"/>
  <c r="O1825" i="4"/>
  <c r="Z1825" i="2"/>
  <c r="O1812" i="4"/>
  <c r="Z1812" i="2"/>
  <c r="O1779" i="4"/>
  <c r="Z1779" i="2"/>
  <c r="O1756" i="4"/>
  <c r="Z1756" i="2"/>
  <c r="O1747" i="4"/>
  <c r="Z1747" i="2"/>
  <c r="O1680" i="4"/>
  <c r="Z1680" i="2"/>
  <c r="O1670" i="4"/>
  <c r="Z1670" i="2"/>
  <c r="O1660" i="4"/>
  <c r="Z1660" i="2"/>
  <c r="O1646" i="4"/>
  <c r="Z1646" i="2"/>
  <c r="O1642" i="4"/>
  <c r="Z1642" i="2"/>
  <c r="O1639" i="4"/>
  <c r="Z1639" i="2"/>
  <c r="O1633" i="4"/>
  <c r="Z1633" i="2"/>
  <c r="O1629" i="4"/>
  <c r="Z1629" i="2"/>
  <c r="O1627" i="4"/>
  <c r="Z1627" i="2"/>
  <c r="O1618" i="4"/>
  <c r="Z1618" i="2"/>
  <c r="O1615" i="4"/>
  <c r="Z1615" i="2"/>
  <c r="O1614" i="4"/>
  <c r="Z1614" i="2"/>
  <c r="O1613" i="4"/>
  <c r="Z1613" i="2"/>
  <c r="O1603" i="4"/>
  <c r="Z1603" i="2"/>
  <c r="O1598" i="4"/>
  <c r="Z1598" i="2"/>
  <c r="O1511" i="4"/>
  <c r="Z1511" i="2"/>
  <c r="O1500" i="4"/>
  <c r="Z1500" i="2"/>
  <c r="O1499" i="4"/>
  <c r="Z1499" i="2"/>
  <c r="O1494" i="4"/>
  <c r="Z1494" i="2"/>
  <c r="O1491" i="4"/>
  <c r="Z1491" i="2"/>
  <c r="O1486" i="4"/>
  <c r="Z1486" i="2"/>
  <c r="O1480" i="4"/>
  <c r="Z1480" i="2"/>
  <c r="O1478" i="4"/>
  <c r="Z1478" i="2"/>
  <c r="O1468" i="4"/>
  <c r="Z1468" i="2"/>
  <c r="O1464" i="4"/>
  <c r="Z1464" i="2"/>
  <c r="O1459" i="4"/>
  <c r="Z1459" i="2"/>
  <c r="O1429" i="4"/>
  <c r="Z1429" i="2"/>
  <c r="O1419" i="4"/>
  <c r="Z1419" i="2"/>
  <c r="O1351" i="4"/>
  <c r="Z1351" i="2"/>
  <c r="O1313" i="4"/>
  <c r="Z1313" i="2"/>
  <c r="O1305" i="4"/>
  <c r="Z1305" i="2"/>
  <c r="O1019" i="4"/>
  <c r="Z1019" i="2"/>
  <c r="O1012" i="4"/>
  <c r="Z1012" i="2"/>
  <c r="Y1348" i="2" l="1"/>
  <c r="O1348" i="4" s="1"/>
  <c r="Z1348" i="2"/>
  <c r="O154" i="4"/>
  <c r="Z154" i="2"/>
  <c r="O715" i="4"/>
  <c r="Z715" i="2"/>
  <c r="Y66" i="2"/>
  <c r="Y55" i="2"/>
  <c r="O54" i="4"/>
  <c r="Z54" i="2"/>
  <c r="Z1385" i="2"/>
  <c r="O1385" i="4"/>
  <c r="Z1738" i="2"/>
  <c r="O74" i="4"/>
  <c r="Z74" i="2"/>
  <c r="Y720" i="2"/>
  <c r="Y1792" i="2"/>
  <c r="Y1734" i="2"/>
  <c r="Y1447" i="2"/>
  <c r="Y1403" i="2"/>
  <c r="Y743" i="2"/>
  <c r="Y1815" i="2"/>
  <c r="Y1814" i="2"/>
  <c r="Y1772" i="2"/>
  <c r="Y1366" i="2"/>
  <c r="O1353" i="4"/>
  <c r="Z1353" i="2"/>
  <c r="Y1383" i="2"/>
  <c r="Y1392" i="2"/>
  <c r="Y1936" i="2"/>
  <c r="Z1823" i="2"/>
  <c r="Z1596" i="2"/>
  <c r="Z1479" i="2"/>
  <c r="O1415" i="4"/>
  <c r="Z1415" i="2"/>
  <c r="Y1171" i="2"/>
  <c r="Y1236" i="2"/>
  <c r="Y1662" i="2"/>
  <c r="Z256" i="2"/>
  <c r="O256" i="4"/>
  <c r="O249" i="4"/>
  <c r="Z249" i="2"/>
  <c r="O691" i="4"/>
  <c r="Z691" i="2"/>
  <c r="Y329" i="2"/>
  <c r="Y1601" i="2"/>
  <c r="Y1969" i="2"/>
  <c r="O344" i="4"/>
  <c r="Z344" i="2"/>
  <c r="Y1360" i="2"/>
  <c r="Y1735" i="2"/>
  <c r="Y1736" i="2"/>
  <c r="Y1913" i="2"/>
  <c r="O1372" i="4"/>
  <c r="Z1372" i="2"/>
  <c r="Y1368" i="2"/>
  <c r="Y1861" i="2"/>
  <c r="Y1844" i="2"/>
  <c r="Y1167" i="2"/>
  <c r="O1846" i="4"/>
  <c r="Z1846" i="2"/>
  <c r="O1074" i="4"/>
  <c r="Z1074" i="2"/>
  <c r="O1072" i="4"/>
  <c r="Z1072" i="2"/>
  <c r="Z655" i="2"/>
  <c r="O655" i="4"/>
  <c r="Z1007" i="2"/>
  <c r="O1007" i="4"/>
  <c r="Z1965" i="2"/>
  <c r="O1965" i="4"/>
  <c r="Z1422" i="2"/>
  <c r="O435" i="4"/>
  <c r="Z435" i="2"/>
  <c r="Z1970" i="2"/>
  <c r="O668" i="4"/>
  <c r="Z668" i="2"/>
  <c r="O667" i="4"/>
  <c r="Z667" i="2"/>
  <c r="O37" i="4"/>
  <c r="Z37" i="2"/>
  <c r="O33" i="4"/>
  <c r="Z33" i="2"/>
  <c r="Z1810" i="2"/>
  <c r="O1810" i="4"/>
  <c r="Z1004" i="2"/>
  <c r="O1004" i="4"/>
  <c r="Z335" i="2"/>
  <c r="O353" i="4"/>
  <c r="Z353" i="2"/>
  <c r="O347" i="4"/>
  <c r="Z347" i="2"/>
  <c r="O1652" i="4"/>
  <c r="Z1652" i="2"/>
  <c r="O1213" i="4"/>
  <c r="Z1213" i="2"/>
  <c r="O1106" i="4"/>
  <c r="Z1106" i="2"/>
  <c r="Z1807" i="2"/>
  <c r="O1807" i="4"/>
  <c r="O1653" i="4"/>
  <c r="Z1653" i="2"/>
  <c r="O1641" i="4"/>
  <c r="Z1641" i="2"/>
  <c r="Y1637" i="2"/>
  <c r="O1631" i="4"/>
  <c r="Z1631" i="2"/>
  <c r="Y1512" i="2"/>
  <c r="Y1508" i="2"/>
  <c r="O1507" i="4"/>
  <c r="Z1507" i="2"/>
  <c r="O1506" i="4"/>
  <c r="Z1506" i="2"/>
  <c r="O1470" i="4"/>
  <c r="Z1470" i="2"/>
  <c r="Y1466" i="2"/>
  <c r="O1349" i="4"/>
  <c r="Z1349" i="2"/>
  <c r="Y1341" i="2"/>
  <c r="Y1340" i="2"/>
  <c r="O1338" i="4"/>
  <c r="Z1338" i="2"/>
  <c r="Y1328" i="2"/>
  <c r="O1317" i="4"/>
  <c r="Z1317" i="2"/>
  <c r="Y1316" i="2"/>
  <c r="O1312" i="4"/>
  <c r="Z1312" i="2"/>
  <c r="Z1141" i="2"/>
  <c r="O1083" i="4"/>
  <c r="Z1083" i="2"/>
  <c r="O1069" i="4"/>
  <c r="Z1069" i="2"/>
  <c r="O1038" i="4"/>
  <c r="Z1038" i="2"/>
  <c r="O1899" i="4"/>
  <c r="Z1899" i="2"/>
  <c r="O1207" i="4"/>
  <c r="Z1207" i="2"/>
  <c r="O1120" i="4"/>
  <c r="Z1120" i="2"/>
  <c r="Z1505" i="2"/>
  <c r="O1505" i="4"/>
  <c r="Z1304" i="2"/>
  <c r="O1304" i="4"/>
  <c r="Z1143" i="2"/>
  <c r="O1143" i="4"/>
  <c r="Z1025" i="2"/>
  <c r="O1025" i="4"/>
  <c r="Z1021" i="2"/>
  <c r="O1021" i="4"/>
  <c r="Z1011" i="2"/>
  <c r="O1011" i="4"/>
  <c r="Y991" i="2"/>
  <c r="Z988" i="2"/>
  <c r="O988" i="4"/>
  <c r="Z982" i="2"/>
  <c r="O982" i="4"/>
  <c r="O979" i="4"/>
  <c r="Z979" i="2"/>
  <c r="Z840" i="2"/>
  <c r="O840" i="4"/>
  <c r="O839" i="4"/>
  <c r="Z839" i="2"/>
  <c r="Z835" i="2"/>
  <c r="O835" i="4"/>
  <c r="Z328" i="2"/>
  <c r="O409" i="4"/>
  <c r="Z409" i="2"/>
  <c r="Y680" i="2"/>
  <c r="O675" i="4"/>
  <c r="Z675" i="2"/>
  <c r="Z654" i="2"/>
  <c r="O654" i="4"/>
  <c r="Y166" i="2"/>
  <c r="B13" i="1"/>
  <c r="O1890" i="4"/>
  <c r="Z1890" i="2"/>
  <c r="O1755" i="4"/>
  <c r="Z1755" i="2"/>
  <c r="O1802" i="4"/>
  <c r="Z1802" i="2"/>
  <c r="O1761" i="4"/>
  <c r="Z1761" i="2"/>
  <c r="O1717" i="4"/>
  <c r="Z1717" i="2"/>
  <c r="O1878" i="4"/>
  <c r="Z1878" i="2"/>
  <c r="O1875" i="4"/>
  <c r="Z1875" i="2"/>
  <c r="O1706" i="4"/>
  <c r="Z1706" i="2"/>
  <c r="Z1720" i="2"/>
  <c r="O1720" i="4"/>
  <c r="O1149" i="4"/>
  <c r="Z1149" i="2"/>
  <c r="Z676" i="2"/>
  <c r="O676" i="4"/>
  <c r="Y873" i="2"/>
  <c r="O402" i="4"/>
  <c r="Z402" i="2"/>
  <c r="O396" i="4"/>
  <c r="Z396" i="2"/>
  <c r="O392" i="4"/>
  <c r="Z392" i="2"/>
  <c r="O390" i="4"/>
  <c r="Z390" i="2"/>
  <c r="O374" i="4"/>
  <c r="Z374" i="2"/>
  <c r="O18" i="4"/>
  <c r="Z18" i="2"/>
  <c r="O1110" i="4"/>
  <c r="Z1110" i="2"/>
  <c r="Y1648" i="2"/>
  <c r="O1452" i="4"/>
  <c r="Z1452" i="2"/>
  <c r="O1111" i="4"/>
  <c r="Z1111" i="2"/>
  <c r="O1056" i="4"/>
  <c r="Z1056" i="2"/>
  <c r="O1054" i="4"/>
  <c r="Z1054" i="2"/>
  <c r="O932" i="4"/>
  <c r="Z932" i="2"/>
  <c r="O922" i="4"/>
  <c r="Z922" i="2"/>
  <c r="O907" i="4"/>
  <c r="Z907" i="2"/>
  <c r="O905" i="4"/>
  <c r="Z905" i="2"/>
  <c r="O904" i="4"/>
  <c r="Z904" i="2"/>
  <c r="O890" i="4"/>
  <c r="Z890" i="2"/>
  <c r="O887" i="4"/>
  <c r="Z887" i="2"/>
  <c r="O882" i="4"/>
  <c r="Z882" i="2"/>
  <c r="O881" i="4"/>
  <c r="Z881" i="2"/>
  <c r="O876" i="4"/>
  <c r="Z876" i="2"/>
  <c r="O853" i="4"/>
  <c r="Z853" i="2"/>
  <c r="O829" i="4"/>
  <c r="Z829" i="2"/>
  <c r="Z1651" i="2"/>
  <c r="Z1645" i="2"/>
  <c r="Z1644" i="2"/>
  <c r="Z1630" i="2"/>
  <c r="Z1513" i="2"/>
  <c r="Z1510" i="2"/>
  <c r="Z1481" i="2"/>
  <c r="Z1469" i="2"/>
  <c r="Z659" i="2"/>
  <c r="Z1343" i="2"/>
  <c r="Z1336" i="2"/>
  <c r="Z1333" i="2"/>
  <c r="Z1323" i="2"/>
  <c r="Z1320" i="2"/>
  <c r="Z1308" i="2"/>
  <c r="Z1307" i="2"/>
  <c r="Z1148" i="2"/>
  <c r="Z1147" i="2"/>
  <c r="Z1145" i="2"/>
  <c r="Z1142" i="2"/>
  <c r="Z1140" i="2"/>
  <c r="Z1013" i="2"/>
  <c r="Z1009" i="2"/>
  <c r="Z998" i="2"/>
  <c r="Z997" i="2"/>
  <c r="Z996" i="2"/>
  <c r="Z990" i="2"/>
  <c r="Z986" i="2"/>
  <c r="Z984" i="2"/>
  <c r="Z983" i="2"/>
  <c r="Z978" i="2"/>
  <c r="Z836" i="2"/>
  <c r="Z834" i="2"/>
  <c r="Z822" i="2"/>
  <c r="Z674" i="2"/>
  <c r="Z672" i="2"/>
  <c r="Z671" i="2"/>
  <c r="Z336" i="2"/>
  <c r="Z332" i="2"/>
  <c r="Z330" i="2"/>
  <c r="Z1515" i="2"/>
  <c r="Z1957" i="2"/>
  <c r="Z1827" i="2"/>
  <c r="Z1801" i="2"/>
  <c r="Z1791" i="2"/>
  <c r="Y1098" i="2"/>
  <c r="Y1026" i="2"/>
  <c r="Y1028" i="2"/>
  <c r="Y1203" i="2"/>
  <c r="Y1154" i="2"/>
  <c r="Y1119" i="2"/>
  <c r="Y1115" i="2"/>
  <c r="Y1086" i="2"/>
  <c r="O1257" i="4"/>
  <c r="Z1257" i="2"/>
  <c r="O1210" i="4"/>
  <c r="Z1210" i="2"/>
  <c r="O1036" i="4"/>
  <c r="Z1036" i="2"/>
  <c r="Z427" i="2"/>
  <c r="O427" i="4"/>
  <c r="O1586" i="4"/>
  <c r="Z1586" i="2"/>
  <c r="O1584" i="4"/>
  <c r="Z1584" i="2"/>
  <c r="O1583" i="4"/>
  <c r="Z1583" i="2"/>
  <c r="O1581" i="4"/>
  <c r="Z1581" i="2"/>
  <c r="O1578" i="4"/>
  <c r="Z1578" i="2"/>
  <c r="O1562" i="4"/>
  <c r="Z1562" i="2"/>
  <c r="O1560" i="4"/>
  <c r="Z1560" i="2"/>
  <c r="O1559" i="4"/>
  <c r="Z1559" i="2"/>
  <c r="O1557" i="4"/>
  <c r="Z1557" i="2"/>
  <c r="O1556" i="4"/>
  <c r="Z1556" i="2"/>
  <c r="O1551" i="4"/>
  <c r="Z1551" i="2"/>
  <c r="O1550" i="4"/>
  <c r="Z1550" i="2"/>
  <c r="O1548" i="4"/>
  <c r="Z1548" i="2"/>
  <c r="O1539" i="4"/>
  <c r="Z1539" i="2"/>
  <c r="O1538" i="4"/>
  <c r="Z1538" i="2"/>
  <c r="O1536" i="4"/>
  <c r="Z1536" i="2"/>
  <c r="O1535" i="4"/>
  <c r="Z1535" i="2"/>
  <c r="O1533" i="4"/>
  <c r="Z1533" i="2"/>
  <c r="O1532" i="4"/>
  <c r="Z1532" i="2"/>
  <c r="O1531" i="4"/>
  <c r="Z1531" i="2"/>
  <c r="O1519" i="4"/>
  <c r="Z1519" i="2"/>
  <c r="O1463" i="4"/>
  <c r="Z1463" i="2"/>
  <c r="O1461" i="4"/>
  <c r="Z1461" i="2"/>
  <c r="O1458" i="4"/>
  <c r="Z1458" i="2"/>
  <c r="O1453" i="4"/>
  <c r="Z1453" i="2"/>
  <c r="O1449" i="4"/>
  <c r="Z1449" i="2"/>
  <c r="O1439" i="4"/>
  <c r="Z1439" i="2"/>
  <c r="O1438" i="4"/>
  <c r="Z1438" i="2"/>
  <c r="O1432" i="4"/>
  <c r="Z1432" i="2"/>
  <c r="O1428" i="4"/>
  <c r="Z1428" i="2"/>
  <c r="O1425" i="4"/>
  <c r="Z1425" i="2"/>
  <c r="O1409" i="4"/>
  <c r="Z1409" i="2"/>
  <c r="O1408" i="4"/>
  <c r="Z1408" i="2"/>
  <c r="O1405" i="4"/>
  <c r="Z1405" i="2"/>
  <c r="O1394" i="4"/>
  <c r="Z1394" i="2"/>
  <c r="O1382" i="4"/>
  <c r="Z1382" i="2"/>
  <c r="O1375" i="4"/>
  <c r="Z1375" i="2"/>
  <c r="O1315" i="4"/>
  <c r="Z1315" i="2"/>
  <c r="O1297" i="4"/>
  <c r="Z1297" i="2"/>
  <c r="O1295" i="4"/>
  <c r="Z1295" i="2"/>
  <c r="O628" i="4"/>
  <c r="Z628" i="2"/>
  <c r="O627" i="4"/>
  <c r="Z627" i="2"/>
  <c r="O622" i="4"/>
  <c r="Z622" i="2"/>
  <c r="O621" i="4"/>
  <c r="Z621" i="2"/>
  <c r="O616" i="4"/>
  <c r="Z616" i="2"/>
  <c r="O613" i="4"/>
  <c r="Z613" i="2"/>
  <c r="O612" i="4"/>
  <c r="Z612" i="2"/>
  <c r="O607" i="4"/>
  <c r="Z607" i="2"/>
  <c r="O594" i="4"/>
  <c r="Z594" i="2"/>
  <c r="O592" i="4"/>
  <c r="Z592" i="2"/>
  <c r="O591" i="4"/>
  <c r="Z591" i="2"/>
  <c r="O565" i="4"/>
  <c r="Z565" i="2"/>
  <c r="O564" i="4"/>
  <c r="Z564" i="2"/>
  <c r="O561" i="4"/>
  <c r="Z561" i="2"/>
  <c r="O559" i="4"/>
  <c r="Z559" i="2"/>
  <c r="O557" i="4"/>
  <c r="Z557" i="2"/>
  <c r="O556" i="4"/>
  <c r="Z556" i="2"/>
  <c r="O554" i="4"/>
  <c r="Z554" i="2"/>
  <c r="O552" i="4"/>
  <c r="Z552" i="2"/>
  <c r="O551" i="4"/>
  <c r="Z551" i="2"/>
  <c r="O546" i="4"/>
  <c r="Z546" i="2"/>
  <c r="O537" i="4"/>
  <c r="Z537" i="2"/>
  <c r="O525" i="4"/>
  <c r="Z525" i="2"/>
  <c r="O519" i="4"/>
  <c r="Z519" i="2"/>
  <c r="O517" i="4"/>
  <c r="Z517" i="2"/>
  <c r="O512" i="4"/>
  <c r="Z512" i="2"/>
  <c r="O511" i="4"/>
  <c r="Z511" i="2"/>
  <c r="O510" i="4"/>
  <c r="Z510" i="2"/>
  <c r="O509" i="4"/>
  <c r="Z509" i="2"/>
  <c r="O497" i="4"/>
  <c r="Z497" i="2"/>
  <c r="O235" i="4"/>
  <c r="Z235" i="2"/>
  <c r="O229" i="4"/>
  <c r="Z229" i="2"/>
  <c r="O226" i="4"/>
  <c r="Z226" i="2"/>
  <c r="O225" i="4"/>
  <c r="Z225" i="2"/>
  <c r="O224" i="4"/>
  <c r="Z224" i="2"/>
  <c r="O221" i="4"/>
  <c r="Z221" i="2"/>
  <c r="O214" i="4"/>
  <c r="Z214" i="2"/>
  <c r="O211" i="4"/>
  <c r="Z211" i="2"/>
  <c r="O204" i="4"/>
  <c r="Z204" i="2"/>
  <c r="O203" i="4"/>
  <c r="Z203" i="2"/>
  <c r="O192" i="4"/>
  <c r="Z192" i="2"/>
  <c r="O191" i="4"/>
  <c r="Z191" i="2"/>
  <c r="O190" i="4"/>
  <c r="Z190" i="2"/>
  <c r="O189" i="4"/>
  <c r="Z189" i="2"/>
  <c r="O187" i="4"/>
  <c r="Z187" i="2"/>
  <c r="O179" i="4"/>
  <c r="Z179" i="2"/>
  <c r="O178" i="4"/>
  <c r="Z178" i="2"/>
  <c r="O177" i="4"/>
  <c r="Z177" i="2"/>
  <c r="O175" i="4"/>
  <c r="Z175" i="2"/>
  <c r="O152" i="4"/>
  <c r="Z152" i="2"/>
  <c r="O151" i="4"/>
  <c r="Z151" i="2"/>
  <c r="O145" i="4"/>
  <c r="Z145" i="2"/>
  <c r="O131" i="4"/>
  <c r="Z131" i="2"/>
  <c r="O130" i="4"/>
  <c r="Z130" i="2"/>
  <c r="O127" i="4"/>
  <c r="Z127" i="2"/>
  <c r="O119" i="4"/>
  <c r="Z119" i="2"/>
  <c r="O115" i="4"/>
  <c r="Z115" i="2"/>
  <c r="O104" i="4"/>
  <c r="Z104" i="2"/>
  <c r="O86" i="4"/>
  <c r="Z86" i="2"/>
  <c r="O82" i="4"/>
  <c r="Z82" i="2"/>
  <c r="O78" i="4"/>
  <c r="Z78" i="2"/>
  <c r="O12" i="4"/>
  <c r="Z12" i="2"/>
  <c r="O11" i="4"/>
  <c r="Z11" i="2"/>
  <c r="B23" i="1"/>
  <c r="D21" i="1"/>
  <c r="O7" i="4"/>
  <c r="B11" i="1"/>
  <c r="Y518" i="2"/>
  <c r="Y515" i="2"/>
  <c r="Y514" i="2"/>
  <c r="Y1524" i="2"/>
  <c r="Y1522" i="2"/>
  <c r="Y1986" i="2"/>
  <c r="Y1981" i="2"/>
  <c r="Y1979" i="2"/>
  <c r="Y1978" i="2"/>
  <c r="Y1976" i="2"/>
  <c r="Y1975" i="2"/>
  <c r="Y1973" i="2"/>
  <c r="Y1971" i="2"/>
  <c r="Y1968" i="2"/>
  <c r="Y1967" i="2"/>
  <c r="O1966" i="4"/>
  <c r="Z1966" i="2"/>
  <c r="Y1964" i="2"/>
  <c r="Y1962" i="2"/>
  <c r="Y1961" i="2"/>
  <c r="Y1960" i="2"/>
  <c r="Y1958" i="2"/>
  <c r="Y1955" i="2"/>
  <c r="Y1954" i="2"/>
  <c r="Y1952" i="2"/>
  <c r="Y1951" i="2"/>
  <c r="Y1950" i="2"/>
  <c r="Y1949" i="2"/>
  <c r="Y1948" i="2"/>
  <c r="Y1946" i="2"/>
  <c r="Y1945" i="2"/>
  <c r="Y1944" i="2"/>
  <c r="Y1942" i="2"/>
  <c r="Y1939" i="2"/>
  <c r="Y1937" i="2"/>
  <c r="Y1933" i="2"/>
  <c r="Y1932" i="2"/>
  <c r="Y1931" i="2"/>
  <c r="Y1930" i="2"/>
  <c r="Y1928" i="2"/>
  <c r="Y1926" i="2"/>
  <c r="Y1923" i="2"/>
  <c r="Y1919" i="2"/>
  <c r="Y1918" i="2"/>
  <c r="Y1916" i="2"/>
  <c r="Y1914" i="2"/>
  <c r="Y1911" i="2"/>
  <c r="Y1909" i="2"/>
  <c r="Y1906" i="2"/>
  <c r="Y1905" i="2"/>
  <c r="Y1904" i="2"/>
  <c r="Y1903" i="2"/>
  <c r="Y1901" i="2"/>
  <c r="Y1900" i="2"/>
  <c r="Y1898" i="2"/>
  <c r="Y1895" i="2"/>
  <c r="Y1894" i="2"/>
  <c r="Y1891" i="2"/>
  <c r="Y1887" i="2"/>
  <c r="Y1886" i="2"/>
  <c r="Y1883" i="2"/>
  <c r="Y1882" i="2"/>
  <c r="Y1881" i="2"/>
  <c r="Y1880" i="2"/>
  <c r="Y1876" i="2"/>
  <c r="Y1874" i="2"/>
  <c r="Y1873" i="2"/>
  <c r="Y1871" i="2"/>
  <c r="Y1870" i="2"/>
  <c r="Y1869" i="2"/>
  <c r="Y1867" i="2"/>
  <c r="Y1864" i="2"/>
  <c r="Y1862" i="2"/>
  <c r="Y1859" i="2"/>
  <c r="Y1857" i="2"/>
  <c r="Y1856" i="2"/>
  <c r="Y1855" i="2"/>
  <c r="Y1576" i="2"/>
  <c r="Y1566" i="2"/>
  <c r="Y1565" i="2"/>
  <c r="Y1558" i="2"/>
  <c r="Y1547" i="2"/>
  <c r="Y1537" i="2"/>
  <c r="Y1528" i="2"/>
  <c r="Y1852" i="2"/>
  <c r="Y1851" i="2"/>
  <c r="Y1849" i="2"/>
  <c r="Y1847" i="2"/>
  <c r="Y1845" i="2"/>
  <c r="Y1843" i="2"/>
  <c r="Z1842" i="2"/>
  <c r="O1842" i="4"/>
  <c r="Y1841" i="2"/>
  <c r="Y1836" i="2"/>
  <c r="Y1831" i="2"/>
  <c r="Y1830" i="2"/>
  <c r="O1828" i="4"/>
  <c r="Z1828" i="2"/>
  <c r="O1826" i="4"/>
  <c r="Z1826" i="2"/>
  <c r="O1824" i="4"/>
  <c r="Z1824" i="2"/>
  <c r="Y1822" i="2"/>
  <c r="Y1821" i="2"/>
  <c r="Y1820" i="2"/>
  <c r="Y1819" i="2"/>
  <c r="Y1818" i="2"/>
  <c r="Y1817" i="2"/>
  <c r="Y1811" i="2"/>
  <c r="Y1809" i="2"/>
  <c r="Y1808" i="2"/>
  <c r="Y1806" i="2"/>
  <c r="Y1804" i="2"/>
  <c r="O1803" i="4"/>
  <c r="Z1803" i="2"/>
  <c r="Y1800" i="2"/>
  <c r="Y1799" i="2"/>
  <c r="Y1798" i="2"/>
  <c r="Y1797" i="2"/>
  <c r="Y1796" i="2"/>
  <c r="O1795" i="4"/>
  <c r="Z1795" i="2"/>
  <c r="Y1793" i="2"/>
  <c r="Y1790" i="2"/>
  <c r="Y1789" i="2"/>
  <c r="O1788" i="4"/>
  <c r="Z1788" i="2"/>
  <c r="Y1787" i="2"/>
  <c r="Y1786" i="2"/>
  <c r="Y1785" i="2"/>
  <c r="Y1784" i="2"/>
  <c r="Y1783" i="2"/>
  <c r="Y1782" i="2"/>
  <c r="Y1781" i="2"/>
  <c r="Y1780" i="2"/>
  <c r="Y1778" i="2"/>
  <c r="Y1776" i="2"/>
  <c r="Y1775" i="2"/>
  <c r="Y1770" i="2"/>
  <c r="Y1768" i="2"/>
  <c r="Y1767" i="2"/>
  <c r="Y1760" i="2"/>
  <c r="Y1759" i="2"/>
  <c r="Y1758" i="2"/>
  <c r="Y1757" i="2"/>
  <c r="Y1754" i="2"/>
  <c r="Y1753" i="2"/>
  <c r="Y1752" i="2"/>
  <c r="Y1751" i="2"/>
  <c r="Y1749" i="2"/>
  <c r="Y1748" i="2"/>
  <c r="Y1744" i="2"/>
  <c r="Y1743" i="2"/>
  <c r="Y1742" i="2"/>
  <c r="Y1741" i="2"/>
  <c r="Y1740" i="2"/>
  <c r="Y1739" i="2"/>
  <c r="Y1732" i="2"/>
  <c r="Y1731" i="2"/>
  <c r="Y1730" i="2"/>
  <c r="Y1727" i="2"/>
  <c r="Y1726" i="2"/>
  <c r="Y1725" i="2"/>
  <c r="Y1723" i="2"/>
  <c r="Y1721" i="2"/>
  <c r="Y1719" i="2"/>
  <c r="Y1718" i="2"/>
  <c r="Y1715" i="2"/>
  <c r="Y1713" i="2"/>
  <c r="Y1712" i="2"/>
  <c r="Y1711" i="2"/>
  <c r="Y1710" i="2"/>
  <c r="Y1709" i="2"/>
  <c r="Y1708" i="2"/>
  <c r="Y1707" i="2"/>
  <c r="Y1703" i="2"/>
  <c r="Y1701" i="2"/>
  <c r="Y1700" i="2"/>
  <c r="Y1699" i="2"/>
  <c r="Y1698" i="2"/>
  <c r="Y1697" i="2"/>
  <c r="Y1694" i="2"/>
  <c r="Y1692" i="2"/>
  <c r="Y1691" i="2"/>
  <c r="Y1688" i="2"/>
  <c r="Y1686" i="2"/>
  <c r="Y1685" i="2"/>
  <c r="Y1580" i="2"/>
  <c r="Y1579" i="2"/>
  <c r="Y1575" i="2"/>
  <c r="Y1572" i="2"/>
  <c r="Y1568" i="2"/>
  <c r="Y1549" i="2"/>
  <c r="Y1541" i="2"/>
  <c r="Y1534" i="2"/>
  <c r="Y1523" i="2"/>
  <c r="Y1684" i="2"/>
  <c r="Y1683" i="2"/>
  <c r="Y1679" i="2"/>
  <c r="Y1678" i="2"/>
  <c r="Y1675" i="2"/>
  <c r="Y1674" i="2"/>
  <c r="Y1673" i="2"/>
  <c r="Y1672" i="2"/>
  <c r="Y1671" i="2"/>
  <c r="Y1669" i="2"/>
  <c r="Y1668" i="2"/>
  <c r="Y1667" i="2"/>
  <c r="Y1666" i="2"/>
  <c r="Y1665" i="2"/>
  <c r="Y1664" i="2"/>
  <c r="Y1663" i="2"/>
  <c r="Y1661" i="2"/>
  <c r="Y1659" i="2"/>
  <c r="Y1658" i="2"/>
  <c r="Y1655" i="2"/>
  <c r="O1654" i="4"/>
  <c r="Z1654" i="2"/>
  <c r="Y1643" i="2"/>
  <c r="Y1640" i="2"/>
  <c r="O1636" i="4"/>
  <c r="Z1636" i="2"/>
  <c r="Y1635" i="2"/>
  <c r="O1626" i="4"/>
  <c r="Z1626" i="2"/>
  <c r="Y1625" i="2"/>
  <c r="Y1624" i="2"/>
  <c r="Y1623" i="2"/>
  <c r="Y1621" i="2"/>
  <c r="Y1620" i="2"/>
  <c r="Y1619" i="2"/>
  <c r="Y1611" i="2"/>
  <c r="Y1610" i="2"/>
  <c r="Y1607" i="2"/>
  <c r="Y1606" i="2"/>
  <c r="Y1602" i="2"/>
  <c r="Y1600" i="2"/>
  <c r="Y1599" i="2"/>
  <c r="Y1597" i="2"/>
  <c r="Y1595" i="2"/>
  <c r="Y1594" i="2"/>
  <c r="Y1589" i="2"/>
  <c r="Y1587" i="2"/>
  <c r="Y1585" i="2"/>
  <c r="Y1582" i="2"/>
  <c r="Y1571" i="2"/>
  <c r="Y1569" i="2"/>
  <c r="Y1563" i="2"/>
  <c r="Y1561" i="2"/>
  <c r="Y1554" i="2"/>
  <c r="Y1553" i="2"/>
  <c r="Y1552" i="2"/>
  <c r="Y1545" i="2"/>
  <c r="Y1542" i="2"/>
  <c r="Y1518" i="2"/>
  <c r="Y1509" i="2"/>
  <c r="Y1504" i="2"/>
  <c r="O1503" i="4"/>
  <c r="Z1503" i="2"/>
  <c r="Y1502" i="2"/>
  <c r="Z1501" i="2"/>
  <c r="O1501" i="4"/>
  <c r="Y1496" i="2"/>
  <c r="Y1495" i="2"/>
  <c r="Y1492" i="2"/>
  <c r="Y1490" i="2"/>
  <c r="Y1489" i="2"/>
  <c r="Y1488" i="2"/>
  <c r="Y1485" i="2"/>
  <c r="Y1484" i="2"/>
  <c r="Y1483" i="2"/>
  <c r="Y1482" i="2"/>
  <c r="Y1477" i="2"/>
  <c r="Y1476" i="2"/>
  <c r="Y1475" i="2"/>
  <c r="Y1474" i="2"/>
  <c r="Y1473" i="2"/>
  <c r="Y1472" i="2"/>
  <c r="Y1471" i="2"/>
  <c r="O1467" i="4"/>
  <c r="Z1467" i="2"/>
  <c r="Y1462" i="2"/>
  <c r="Y1460" i="2"/>
  <c r="Y1457" i="2"/>
  <c r="Y1456" i="2"/>
  <c r="Y1455" i="2"/>
  <c r="Y1454" i="2"/>
  <c r="Y1450" i="2"/>
  <c r="Y1445" i="2"/>
  <c r="Y1444" i="2"/>
  <c r="Y1443" i="2"/>
  <c r="Y1442" i="2"/>
  <c r="Y1441" i="2"/>
  <c r="Y1437" i="2"/>
  <c r="Y1436" i="2"/>
  <c r="Y1435" i="2"/>
  <c r="Y1434" i="2"/>
  <c r="Y1433" i="2"/>
  <c r="Y1431" i="2"/>
  <c r="Y1430" i="2"/>
  <c r="Y1427" i="2"/>
  <c r="Y1426" i="2"/>
  <c r="Y1423" i="2"/>
  <c r="Y1421" i="2"/>
  <c r="Y1420" i="2"/>
  <c r="Y1416" i="2"/>
  <c r="Y1414" i="2"/>
  <c r="Y1413" i="2"/>
  <c r="Y1407" i="2"/>
  <c r="Y1401" i="2"/>
  <c r="Y1400" i="2"/>
  <c r="Y1399" i="2"/>
  <c r="Y1398" i="2"/>
  <c r="Y1395" i="2"/>
  <c r="Y1393" i="2"/>
  <c r="Y1389" i="2"/>
  <c r="Y1388" i="2"/>
  <c r="Y1387" i="2"/>
  <c r="Y1386" i="2"/>
  <c r="Y1381" i="2"/>
  <c r="Y1380" i="2"/>
  <c r="Y1379" i="2"/>
  <c r="Y1378" i="2"/>
  <c r="Y1377" i="2"/>
  <c r="Y1376" i="2"/>
  <c r="Y1374" i="2"/>
  <c r="Y1373" i="2"/>
  <c r="Y1371" i="2"/>
  <c r="Y1370" i="2"/>
  <c r="Y1369" i="2"/>
  <c r="Y1367" i="2"/>
  <c r="Y1364" i="2"/>
  <c r="Y1363" i="2"/>
  <c r="Y1361" i="2"/>
  <c r="Y1359" i="2"/>
  <c r="Y1358" i="2"/>
  <c r="Y1357" i="2"/>
  <c r="Y1356" i="2"/>
  <c r="Y1355" i="2"/>
  <c r="Y1354" i="2"/>
  <c r="Y1188" i="2"/>
  <c r="Y663" i="2"/>
  <c r="Y650" i="2"/>
  <c r="Y648" i="2"/>
  <c r="Y619" i="2"/>
  <c r="Y611" i="2"/>
  <c r="Y606" i="2"/>
  <c r="Y602" i="2"/>
  <c r="Y597" i="2"/>
  <c r="Y593" i="2"/>
  <c r="Y589" i="2"/>
  <c r="Y586" i="2"/>
  <c r="Y581" i="2"/>
  <c r="Y558" i="2"/>
  <c r="Y543" i="2"/>
  <c r="Y539" i="2"/>
  <c r="Y530" i="2"/>
  <c r="Y527" i="2"/>
  <c r="Y524" i="2"/>
  <c r="Y520" i="2"/>
  <c r="O1346" i="4"/>
  <c r="Z1346" i="2"/>
  <c r="O1344" i="4"/>
  <c r="Z1344" i="2"/>
  <c r="O1342" i="4"/>
  <c r="Z1342" i="2"/>
  <c r="O1339" i="4"/>
  <c r="Z1339" i="2"/>
  <c r="Y1334" i="2"/>
  <c r="Y1331" i="2"/>
  <c r="Y1327" i="2"/>
  <c r="Y1326" i="2"/>
  <c r="Y1325" i="2"/>
  <c r="Y1324" i="2"/>
  <c r="O1319" i="4"/>
  <c r="Z1319" i="2"/>
  <c r="Y1318" i="2"/>
  <c r="Y1314" i="2"/>
  <c r="Y1309" i="2"/>
  <c r="O1306" i="4"/>
  <c r="Z1306" i="2"/>
  <c r="O1303" i="4"/>
  <c r="Z1303" i="2"/>
  <c r="Y1302" i="2"/>
  <c r="Y1301" i="2"/>
  <c r="Y1300" i="2"/>
  <c r="Y1296" i="2"/>
  <c r="Y1294" i="2"/>
  <c r="Y1293" i="2"/>
  <c r="Y1291" i="2"/>
  <c r="Y1288" i="2"/>
  <c r="Y1287" i="2"/>
  <c r="Y1286" i="2"/>
  <c r="Y1284" i="2"/>
  <c r="Y1280" i="2"/>
  <c r="Y1279" i="2"/>
  <c r="Y1277" i="2"/>
  <c r="Y1276" i="2"/>
  <c r="Y1275" i="2"/>
  <c r="Y1273" i="2"/>
  <c r="Y1271" i="2"/>
  <c r="Y1270" i="2"/>
  <c r="Y1267" i="2"/>
  <c r="Y1262" i="2"/>
  <c r="Y1259" i="2"/>
  <c r="Y1256" i="2"/>
  <c r="Y1255" i="2"/>
  <c r="Y1254" i="2"/>
  <c r="Y1253" i="2"/>
  <c r="Y1252" i="2"/>
  <c r="Y1249" i="2"/>
  <c r="Y1247" i="2"/>
  <c r="Y1244" i="2"/>
  <c r="Y1243" i="2"/>
  <c r="Y1237" i="2"/>
  <c r="Y1235" i="2"/>
  <c r="Y1234" i="2"/>
  <c r="Y1233" i="2"/>
  <c r="Y1231" i="2"/>
  <c r="Y1230" i="2"/>
  <c r="Y1228" i="2"/>
  <c r="Y1225" i="2"/>
  <c r="Y1224" i="2"/>
  <c r="Y1223" i="2"/>
  <c r="Y1220" i="2"/>
  <c r="Y1219" i="2"/>
  <c r="Y1218" i="2"/>
  <c r="Y1217" i="2"/>
  <c r="Y1215" i="2"/>
  <c r="Y1214" i="2"/>
  <c r="Y1212" i="2"/>
  <c r="Y1211" i="2"/>
  <c r="Y1208" i="2"/>
  <c r="Y1204" i="2"/>
  <c r="Y1202" i="2"/>
  <c r="Y1201" i="2"/>
  <c r="Y1196" i="2"/>
  <c r="Y1195" i="2"/>
  <c r="Y1194" i="2"/>
  <c r="Y1193" i="2"/>
  <c r="Y1192" i="2"/>
  <c r="Y1191" i="2"/>
  <c r="Y1190" i="2"/>
  <c r="Y1014" i="2"/>
  <c r="Y652" i="2"/>
  <c r="Y641" i="2"/>
  <c r="Y638" i="2"/>
  <c r="Y637" i="2"/>
  <c r="Y636" i="2"/>
  <c r="Y635" i="2"/>
  <c r="Y629" i="2"/>
  <c r="Y615" i="2"/>
  <c r="Y588" i="2"/>
  <c r="Y585" i="2"/>
  <c r="Y550" i="2"/>
  <c r="Y544" i="2"/>
  <c r="Y529" i="2"/>
  <c r="Y528" i="2"/>
  <c r="Y1183" i="2"/>
  <c r="Y1182" i="2"/>
  <c r="Y1178" i="2"/>
  <c r="Y1177" i="2"/>
  <c r="Z1176" i="2"/>
  <c r="O1176" i="4"/>
  <c r="Y1174" i="2"/>
  <c r="Y1170" i="2"/>
  <c r="Y1168" i="2"/>
  <c r="Y1165" i="2"/>
  <c r="Y1163" i="2"/>
  <c r="Y1162" i="2"/>
  <c r="Y1158" i="2"/>
  <c r="Y1156" i="2"/>
  <c r="Y1155" i="2"/>
  <c r="Y1153" i="2"/>
  <c r="Y1152" i="2"/>
  <c r="Y1151" i="2"/>
  <c r="Y1150" i="2"/>
  <c r="Y1146" i="2"/>
  <c r="Y1144" i="2"/>
  <c r="Y1139" i="2"/>
  <c r="Y1138" i="2"/>
  <c r="Y1136" i="2"/>
  <c r="Y1135" i="2"/>
  <c r="Y1134" i="2"/>
  <c r="Y1130" i="2"/>
  <c r="Y1129" i="2"/>
  <c r="Y1128" i="2"/>
  <c r="Y1127" i="2"/>
  <c r="Y1126" i="2"/>
  <c r="Y1125" i="2"/>
  <c r="Y1124" i="2"/>
  <c r="Y1123" i="2"/>
  <c r="Y1117" i="2"/>
  <c r="Y1116" i="2"/>
  <c r="Y1114" i="2"/>
  <c r="Y1112" i="2"/>
  <c r="Y1108" i="2"/>
  <c r="Y1107" i="2"/>
  <c r="Y1105" i="2"/>
  <c r="Y1104" i="2"/>
  <c r="Y1103" i="2"/>
  <c r="Y1102" i="2"/>
  <c r="Y1101" i="2"/>
  <c r="Y1099" i="2"/>
  <c r="Y1097" i="2"/>
  <c r="Y1096" i="2"/>
  <c r="Y1092" i="2"/>
  <c r="Y1091" i="2"/>
  <c r="Y1090" i="2"/>
  <c r="Y1082" i="2"/>
  <c r="Y1077" i="2"/>
  <c r="Y1076" i="2"/>
  <c r="Y1075" i="2"/>
  <c r="Y1073" i="2"/>
  <c r="Y1070" i="2"/>
  <c r="Y1068" i="2"/>
  <c r="Y1066" i="2"/>
  <c r="Y1065" i="2"/>
  <c r="Y1064" i="2"/>
  <c r="Y1063" i="2"/>
  <c r="Y1062" i="2"/>
  <c r="Y1060" i="2"/>
  <c r="Y1059" i="2"/>
  <c r="Y1050" i="2"/>
  <c r="Y1049" i="2"/>
  <c r="Y1047" i="2"/>
  <c r="Y1044" i="2"/>
  <c r="Y1042" i="2"/>
  <c r="Y1037" i="2"/>
  <c r="Y1034" i="2"/>
  <c r="Y1033" i="2"/>
  <c r="Y1032" i="2"/>
  <c r="Y1031" i="2"/>
  <c r="Y1030" i="2"/>
  <c r="Y1029" i="2"/>
  <c r="Y1027" i="2"/>
  <c r="Y1022" i="2"/>
  <c r="Y1020" i="2"/>
  <c r="O658" i="4"/>
  <c r="Z658" i="2"/>
  <c r="Y649" i="2"/>
  <c r="Y639" i="2"/>
  <c r="Y626" i="2"/>
  <c r="Y624" i="2"/>
  <c r="Y620" i="2"/>
  <c r="Y596" i="2"/>
  <c r="Y595" i="2"/>
  <c r="Y569" i="2"/>
  <c r="Y562" i="2"/>
  <c r="Y560" i="2"/>
  <c r="Y540" i="2"/>
  <c r="Y516" i="2"/>
  <c r="O1010" i="4"/>
  <c r="Z1010" i="2"/>
  <c r="O1008" i="4"/>
  <c r="Z1008" i="2"/>
  <c r="Y1006" i="2"/>
  <c r="O1005" i="4"/>
  <c r="Z1005" i="2"/>
  <c r="Y1003" i="2"/>
  <c r="Y1002" i="2"/>
  <c r="Y999" i="2"/>
  <c r="Y994" i="2"/>
  <c r="Y992" i="2"/>
  <c r="O989" i="4"/>
  <c r="Z989" i="2"/>
  <c r="Y987" i="2"/>
  <c r="O977" i="4"/>
  <c r="Z977" i="2"/>
  <c r="Y976" i="2"/>
  <c r="Y975" i="2"/>
  <c r="Y974" i="2"/>
  <c r="Y973" i="2"/>
  <c r="Y972" i="2"/>
  <c r="Y971" i="2"/>
  <c r="Y969" i="2"/>
  <c r="Y968" i="2"/>
  <c r="Y961" i="2"/>
  <c r="Y960" i="2"/>
  <c r="Y958" i="2"/>
  <c r="Y954" i="2"/>
  <c r="Y950" i="2"/>
  <c r="Y949" i="2"/>
  <c r="Y948" i="2"/>
  <c r="Y947" i="2"/>
  <c r="Y944" i="2"/>
  <c r="Y943" i="2"/>
  <c r="Y942" i="2"/>
  <c r="Y941" i="2"/>
  <c r="Y938" i="2"/>
  <c r="Y934" i="2"/>
  <c r="Y933" i="2"/>
  <c r="Y929" i="2"/>
  <c r="Y928" i="2"/>
  <c r="Y924" i="2"/>
  <c r="Y921" i="2"/>
  <c r="Y920" i="2"/>
  <c r="Y919" i="2"/>
  <c r="Y918" i="2"/>
  <c r="Y916" i="2"/>
  <c r="Y914" i="2"/>
  <c r="Y913" i="2"/>
  <c r="Y912" i="2"/>
  <c r="Y910" i="2"/>
  <c r="Y909" i="2"/>
  <c r="Y906" i="2"/>
  <c r="Y903" i="2"/>
  <c r="Y902" i="2"/>
  <c r="Y900" i="2"/>
  <c r="Y899" i="2"/>
  <c r="Y897" i="2"/>
  <c r="Y892" i="2"/>
  <c r="Y891" i="2"/>
  <c r="Y888" i="2"/>
  <c r="Y886" i="2"/>
  <c r="Y885" i="2"/>
  <c r="Y883" i="2"/>
  <c r="Y880" i="2"/>
  <c r="Y879" i="2"/>
  <c r="Y878" i="2"/>
  <c r="Y872" i="2"/>
  <c r="Y870" i="2"/>
  <c r="Y869" i="2"/>
  <c r="Y867" i="2"/>
  <c r="Y866" i="2"/>
  <c r="Y865" i="2"/>
  <c r="Y864" i="2"/>
  <c r="Y863" i="2"/>
  <c r="Y862" i="2"/>
  <c r="Y861" i="2"/>
  <c r="Y856" i="2"/>
  <c r="Y855" i="2"/>
  <c r="Y854" i="2"/>
  <c r="Y851" i="2"/>
  <c r="Y850" i="2"/>
  <c r="Y849" i="2"/>
  <c r="Y848" i="2"/>
  <c r="Y847" i="2"/>
  <c r="Y846" i="2"/>
  <c r="Y660" i="2"/>
  <c r="Z657" i="2"/>
  <c r="O657" i="4"/>
  <c r="Y646" i="2"/>
  <c r="Y631" i="2"/>
  <c r="Y618" i="2"/>
  <c r="Y617" i="2"/>
  <c r="Y605" i="2"/>
  <c r="Y599" i="2"/>
  <c r="Y598" i="2"/>
  <c r="Y572" i="2"/>
  <c r="Y548" i="2"/>
  <c r="Y547" i="2"/>
  <c r="Y545" i="2"/>
  <c r="Y538" i="2"/>
  <c r="Y536" i="2"/>
  <c r="Y521" i="2"/>
  <c r="Y844" i="2"/>
  <c r="Y843" i="2"/>
  <c r="Y842" i="2"/>
  <c r="Y841" i="2"/>
  <c r="O838" i="4"/>
  <c r="Z838" i="2"/>
  <c r="Y833" i="2"/>
  <c r="O832" i="4"/>
  <c r="Z832" i="2"/>
  <c r="Y831" i="2"/>
  <c r="Y830" i="2"/>
  <c r="O828" i="4"/>
  <c r="Z828" i="2"/>
  <c r="O827" i="4"/>
  <c r="Z827" i="2"/>
  <c r="O824" i="4"/>
  <c r="Z824" i="2"/>
  <c r="O820" i="4"/>
  <c r="Z820" i="2"/>
  <c r="Y819" i="2"/>
  <c r="Y817" i="2"/>
  <c r="Y816" i="2"/>
  <c r="O815" i="4"/>
  <c r="Z815" i="2"/>
  <c r="Y814" i="2"/>
  <c r="Y813" i="2"/>
  <c r="Y811" i="2"/>
  <c r="Y810" i="2"/>
  <c r="Y809" i="2"/>
  <c r="Y805" i="2"/>
  <c r="Y803" i="2"/>
  <c r="Y802" i="2"/>
  <c r="Y801" i="2"/>
  <c r="Y799" i="2"/>
  <c r="Y798" i="2"/>
  <c r="Y797" i="2"/>
  <c r="Y794" i="2"/>
  <c r="Y793" i="2"/>
  <c r="Y792" i="2"/>
  <c r="Y787" i="2"/>
  <c r="Y786" i="2"/>
  <c r="Y785" i="2"/>
  <c r="Y781" i="2"/>
  <c r="Y780" i="2"/>
  <c r="Y779" i="2"/>
  <c r="Y778" i="2"/>
  <c r="Y775" i="2"/>
  <c r="Y774" i="2"/>
  <c r="Y772" i="2"/>
  <c r="Y771" i="2"/>
  <c r="Y770" i="2"/>
  <c r="Y769" i="2"/>
  <c r="Y768" i="2"/>
  <c r="Y767" i="2"/>
  <c r="Y766" i="2"/>
  <c r="Y765" i="2"/>
  <c r="Y764" i="2"/>
  <c r="Y759" i="2"/>
  <c r="Y758" i="2"/>
  <c r="Y757" i="2"/>
  <c r="Y755" i="2"/>
  <c r="Y754" i="2"/>
  <c r="Y753" i="2"/>
  <c r="Y752" i="2"/>
  <c r="Y751" i="2"/>
  <c r="Y749" i="2"/>
  <c r="Y748" i="2"/>
  <c r="Y745" i="2"/>
  <c r="Y740" i="2"/>
  <c r="Y738" i="2"/>
  <c r="Y737" i="2"/>
  <c r="Y734" i="2"/>
  <c r="Y732" i="2"/>
  <c r="Y731" i="2"/>
  <c r="Y730" i="2"/>
  <c r="Y729" i="2"/>
  <c r="Y727" i="2"/>
  <c r="Y725" i="2"/>
  <c r="Y723" i="2"/>
  <c r="Y722" i="2"/>
  <c r="Y721" i="2"/>
  <c r="Y718" i="2"/>
  <c r="Y717" i="2"/>
  <c r="Y716" i="2"/>
  <c r="Y714" i="2"/>
  <c r="Y712" i="2"/>
  <c r="Y709" i="2"/>
  <c r="Y708" i="2"/>
  <c r="Y703" i="2"/>
  <c r="Y702" i="2"/>
  <c r="Y701" i="2"/>
  <c r="Y700" i="2"/>
  <c r="Y699" i="2"/>
  <c r="Y698" i="2"/>
  <c r="Y697" i="2"/>
  <c r="Y696" i="2"/>
  <c r="Y694" i="2"/>
  <c r="Y693" i="2"/>
  <c r="Y690" i="2"/>
  <c r="Y687" i="2"/>
  <c r="Y685" i="2"/>
  <c r="Y683" i="2"/>
  <c r="Y681" i="2"/>
  <c r="Y679" i="2"/>
  <c r="Y678" i="2"/>
  <c r="O673" i="4"/>
  <c r="Z673" i="2"/>
  <c r="Y625" i="2"/>
  <c r="Y590" i="2"/>
  <c r="Y579" i="2"/>
  <c r="Y570" i="2"/>
  <c r="Y563" i="2"/>
  <c r="Y555" i="2"/>
  <c r="Y553" i="2"/>
  <c r="Y542" i="2"/>
  <c r="Y541" i="2"/>
  <c r="Y532" i="2"/>
  <c r="Y523" i="2"/>
  <c r="Y513" i="2"/>
  <c r="Y505" i="2"/>
  <c r="Y504" i="2"/>
  <c r="Y503" i="2"/>
  <c r="Y501" i="2"/>
  <c r="Y500" i="2"/>
  <c r="Y498" i="2"/>
  <c r="Y496" i="2"/>
  <c r="Y495" i="2"/>
  <c r="Y494" i="2"/>
  <c r="Y493" i="2"/>
  <c r="Y492" i="2"/>
  <c r="Y491" i="2"/>
  <c r="Y490" i="2"/>
  <c r="Y485" i="2"/>
  <c r="Y484" i="2"/>
  <c r="Y483" i="2"/>
  <c r="Y472" i="2"/>
  <c r="Y471" i="2"/>
  <c r="Y470" i="2"/>
  <c r="Y469" i="2"/>
  <c r="Y468" i="2"/>
  <c r="Y467" i="2"/>
  <c r="Y463" i="2"/>
  <c r="Y462" i="2"/>
  <c r="Y461" i="2"/>
  <c r="Y460" i="2"/>
  <c r="Y459" i="2"/>
  <c r="Y458" i="2"/>
  <c r="Y457" i="2"/>
  <c r="Y455" i="2"/>
  <c r="Y454" i="2"/>
  <c r="Y453" i="2"/>
  <c r="Y451" i="2"/>
  <c r="Y450" i="2"/>
  <c r="Y449" i="2"/>
  <c r="Y447" i="2"/>
  <c r="Y446" i="2"/>
  <c r="Y444" i="2"/>
  <c r="Y441" i="2"/>
  <c r="Y440" i="2"/>
  <c r="Y439" i="2"/>
  <c r="Y438" i="2"/>
  <c r="Y436" i="2"/>
  <c r="Y433" i="2"/>
  <c r="Y432" i="2"/>
  <c r="Y429" i="2"/>
  <c r="Y428" i="2"/>
  <c r="Y426" i="2"/>
  <c r="Y424" i="2"/>
  <c r="Y420" i="2"/>
  <c r="Y419" i="2"/>
  <c r="Y418" i="2"/>
  <c r="Y416" i="2"/>
  <c r="Y414" i="2"/>
  <c r="Y412" i="2"/>
  <c r="Y411" i="2"/>
  <c r="Y410" i="2"/>
  <c r="Z408" i="2"/>
  <c r="O408" i="4"/>
  <c r="Y407" i="2"/>
  <c r="Y406" i="2"/>
  <c r="Y404" i="2"/>
  <c r="Y403" i="2"/>
  <c r="Y400" i="2"/>
  <c r="Y399" i="2"/>
  <c r="Y395" i="2"/>
  <c r="Y393" i="2"/>
  <c r="Y387" i="2"/>
  <c r="Y386" i="2"/>
  <c r="Y385" i="2"/>
  <c r="Y381" i="2"/>
  <c r="Y380" i="2"/>
  <c r="Y379" i="2"/>
  <c r="Y375" i="2"/>
  <c r="Y371" i="2"/>
  <c r="Y369" i="2"/>
  <c r="Y368" i="2"/>
  <c r="Y366" i="2"/>
  <c r="Y364" i="2"/>
  <c r="Y359" i="2"/>
  <c r="Y358" i="2"/>
  <c r="Y357" i="2"/>
  <c r="Y356" i="2"/>
  <c r="Y355" i="2"/>
  <c r="Y349" i="2"/>
  <c r="Y345" i="2"/>
  <c r="Y343" i="2"/>
  <c r="Y342" i="2"/>
  <c r="Y341" i="2"/>
  <c r="Y340" i="2"/>
  <c r="Y339" i="2"/>
  <c r="Y338" i="2"/>
  <c r="Y182" i="2"/>
  <c r="Y1529" i="2"/>
  <c r="Y1525" i="2"/>
  <c r="Y1520" i="2"/>
  <c r="Y334" i="2"/>
  <c r="O331" i="4"/>
  <c r="Z331" i="2"/>
  <c r="Y327" i="2"/>
  <c r="Y326" i="2"/>
  <c r="Y324" i="2"/>
  <c r="Y322" i="2"/>
  <c r="Y321" i="2"/>
  <c r="Y320" i="2"/>
  <c r="Y317" i="2"/>
  <c r="Y315" i="2"/>
  <c r="Y314" i="2"/>
  <c r="Y311" i="2"/>
  <c r="Y310" i="2"/>
  <c r="Y309" i="2"/>
  <c r="Y305" i="2"/>
  <c r="Y304" i="2"/>
  <c r="Y303" i="2"/>
  <c r="Y299" i="2"/>
  <c r="Y296" i="2"/>
  <c r="Y295" i="2"/>
  <c r="Y294" i="2"/>
  <c r="Y292" i="2"/>
  <c r="Y291" i="2"/>
  <c r="Y290" i="2"/>
  <c r="Y288" i="2"/>
  <c r="Y287" i="2"/>
  <c r="Y286" i="2"/>
  <c r="Y284" i="2"/>
  <c r="Y283" i="2"/>
  <c r="Y281" i="2"/>
  <c r="Y280" i="2"/>
  <c r="Y279" i="2"/>
  <c r="Y278" i="2"/>
  <c r="Y277" i="2"/>
  <c r="Y276" i="2"/>
  <c r="Y275" i="2"/>
  <c r="Y274" i="2"/>
  <c r="Y273" i="2"/>
  <c r="Y272" i="2"/>
  <c r="Y271" i="2"/>
  <c r="Y269" i="2"/>
  <c r="Y268" i="2"/>
  <c r="Y263" i="2"/>
  <c r="Y260" i="2"/>
  <c r="Y257" i="2"/>
  <c r="Y253" i="2"/>
  <c r="Y252" i="2"/>
  <c r="Y251" i="2"/>
  <c r="Y248" i="2"/>
  <c r="Y247" i="2"/>
  <c r="Y246" i="2"/>
  <c r="Y243" i="2"/>
  <c r="Y242" i="2"/>
  <c r="Y241" i="2"/>
  <c r="Y240" i="2"/>
  <c r="Y238" i="2"/>
  <c r="Y231" i="2"/>
  <c r="Y222" i="2"/>
  <c r="Y217" i="2"/>
  <c r="Y213" i="2"/>
  <c r="Y212" i="2"/>
  <c r="Y210" i="2"/>
  <c r="Y209" i="2"/>
  <c r="Y208" i="2"/>
  <c r="Y206" i="2"/>
  <c r="Y202" i="2"/>
  <c r="Y201" i="2"/>
  <c r="Y200" i="2"/>
  <c r="Y199" i="2"/>
  <c r="Y197" i="2"/>
  <c r="Y196" i="2"/>
  <c r="Y195" i="2"/>
  <c r="Y194" i="2"/>
  <c r="Y193" i="2"/>
  <c r="Y188" i="2"/>
  <c r="Y186" i="2"/>
  <c r="Y185" i="2"/>
  <c r="Y184" i="2"/>
  <c r="Y183" i="2"/>
  <c r="Y181" i="2"/>
  <c r="Y176" i="2"/>
  <c r="Y173" i="2"/>
  <c r="Y172" i="2"/>
  <c r="Y171" i="2"/>
  <c r="Y169" i="2"/>
  <c r="Y168" i="2"/>
  <c r="Y167" i="2"/>
  <c r="Y165" i="2"/>
  <c r="Y164" i="2"/>
  <c r="Y163" i="2"/>
  <c r="Y162" i="2"/>
  <c r="Y161" i="2"/>
  <c r="Y160" i="2"/>
  <c r="Y157" i="2"/>
  <c r="Y156" i="2"/>
  <c r="Y155" i="2"/>
  <c r="Y143" i="2"/>
  <c r="Y142" i="2"/>
  <c r="Y140" i="2"/>
  <c r="Y138" i="2"/>
  <c r="Y137" i="2"/>
  <c r="Y136" i="2"/>
  <c r="Y135" i="2"/>
  <c r="Y133" i="2"/>
  <c r="Y129" i="2"/>
  <c r="Y126" i="2"/>
  <c r="Y125" i="2"/>
  <c r="Y124" i="2"/>
  <c r="Y122" i="2"/>
  <c r="Y116" i="2"/>
  <c r="Y114" i="2"/>
  <c r="Y112" i="2"/>
  <c r="Y108" i="2"/>
  <c r="Y107" i="2"/>
  <c r="Y105" i="2"/>
  <c r="Y103" i="2"/>
  <c r="Y102" i="2"/>
  <c r="Y101" i="2"/>
  <c r="Y99" i="2"/>
  <c r="Y98" i="2"/>
  <c r="Y97" i="2"/>
  <c r="Y96" i="2"/>
  <c r="Y95" i="2"/>
  <c r="Y94" i="2"/>
  <c r="Y92" i="2"/>
  <c r="Y91" i="2"/>
  <c r="Y90" i="2"/>
  <c r="Y89" i="2"/>
  <c r="Y88" i="2"/>
  <c r="Y87" i="2"/>
  <c r="Y85" i="2"/>
  <c r="Y84" i="2"/>
  <c r="Y81" i="2"/>
  <c r="Y75" i="2"/>
  <c r="Y73" i="2"/>
  <c r="Y72" i="2"/>
  <c r="Y71" i="2"/>
  <c r="Y70" i="2"/>
  <c r="Y69" i="2"/>
  <c r="Y68" i="2"/>
  <c r="Y67" i="2"/>
  <c r="Y64" i="2"/>
  <c r="Y61" i="2"/>
  <c r="Y59" i="2"/>
  <c r="Y58" i="2"/>
  <c r="Y57" i="2"/>
  <c r="Y56" i="2"/>
  <c r="Y53" i="2"/>
  <c r="Y52" i="2"/>
  <c r="Y51" i="2"/>
  <c r="Y50" i="2"/>
  <c r="Y47" i="2"/>
  <c r="Y45" i="2"/>
  <c r="Y42" i="2"/>
  <c r="Z41" i="2"/>
  <c r="O41" i="4"/>
  <c r="Y40" i="2"/>
  <c r="Y38" i="2"/>
  <c r="Y36" i="2"/>
  <c r="Y35" i="2"/>
  <c r="Y29" i="2"/>
  <c r="Y28" i="2"/>
  <c r="Y27" i="2"/>
  <c r="Y25" i="2"/>
  <c r="Y24" i="2"/>
  <c r="Y23" i="2"/>
  <c r="Y22" i="2"/>
  <c r="Y21" i="2"/>
  <c r="Y20" i="2"/>
  <c r="Y19" i="2"/>
  <c r="Y17" i="2"/>
  <c r="Y16" i="2"/>
  <c r="Y15" i="2"/>
  <c r="Y14" i="2"/>
  <c r="Y10" i="2"/>
  <c r="Y9" i="2"/>
  <c r="Z9" i="2" s="1"/>
  <c r="D34" i="1"/>
  <c r="B37" i="1"/>
  <c r="D37" i="1" s="1"/>
  <c r="D27" i="1"/>
  <c r="B30" i="1"/>
  <c r="D30" i="1" s="1"/>
  <c r="O1983" i="4"/>
  <c r="Z1983" i="2"/>
  <c r="O1982" i="4"/>
  <c r="Z1982" i="2"/>
  <c r="O1977" i="4"/>
  <c r="Z1977" i="2"/>
  <c r="O1974" i="4"/>
  <c r="Z1974" i="2"/>
  <c r="O1963" i="4"/>
  <c r="Z1963" i="2"/>
  <c r="O1956" i="4"/>
  <c r="Z1956" i="2"/>
  <c r="O1953" i="4"/>
  <c r="Z1953" i="2"/>
  <c r="O1947" i="4"/>
  <c r="Z1947" i="2"/>
  <c r="O1941" i="4"/>
  <c r="Z1941" i="2"/>
  <c r="O1940" i="4"/>
  <c r="Z1940" i="2"/>
  <c r="O1938" i="4"/>
  <c r="Z1938" i="2"/>
  <c r="O1935" i="4"/>
  <c r="Z1935" i="2"/>
  <c r="O1934" i="4"/>
  <c r="Z1934" i="2"/>
  <c r="O1929" i="4"/>
  <c r="Z1929" i="2"/>
  <c r="O1920" i="4"/>
  <c r="Z1920" i="2"/>
  <c r="O1917" i="4"/>
  <c r="Z1917" i="2"/>
  <c r="O1915" i="4"/>
  <c r="Z1915" i="2"/>
  <c r="O1912" i="4"/>
  <c r="Z1912" i="2"/>
  <c r="O1907" i="4"/>
  <c r="Z1907" i="2"/>
  <c r="O1897" i="4"/>
  <c r="Z1897" i="2"/>
  <c r="O1896" i="4"/>
  <c r="Z1896" i="2"/>
  <c r="O1893" i="4"/>
  <c r="Z1893" i="2"/>
  <c r="O1892" i="4"/>
  <c r="Z1892" i="2"/>
  <c r="O1889" i="4"/>
  <c r="Z1889" i="2"/>
  <c r="O1884" i="4"/>
  <c r="Z1884" i="2"/>
  <c r="O1879" i="4"/>
  <c r="Z1879" i="2"/>
  <c r="O1877" i="4"/>
  <c r="Z1877" i="2"/>
  <c r="O1872" i="4"/>
  <c r="Z1872" i="2"/>
  <c r="O1868" i="4"/>
  <c r="Z1868" i="2"/>
  <c r="O1866" i="4"/>
  <c r="Z1866" i="2"/>
  <c r="O1865" i="4"/>
  <c r="Z1865" i="2"/>
  <c r="O1860" i="4"/>
  <c r="Z1860" i="2"/>
  <c r="O1853" i="4"/>
  <c r="Z1853" i="2"/>
  <c r="O1850" i="4"/>
  <c r="Z1850" i="2"/>
  <c r="O1840" i="4"/>
  <c r="Z1840" i="2"/>
  <c r="O1839" i="4"/>
  <c r="Z1839" i="2"/>
  <c r="O1838" i="4"/>
  <c r="Z1838" i="2"/>
  <c r="O1837" i="4"/>
  <c r="Z1837" i="2"/>
  <c r="O1835" i="4"/>
  <c r="Z1835" i="2"/>
  <c r="O1834" i="4"/>
  <c r="Z1834" i="2"/>
  <c r="O1833" i="4"/>
  <c r="Z1833" i="2"/>
  <c r="O1832" i="4"/>
  <c r="Z1832" i="2"/>
  <c r="O1805" i="4"/>
  <c r="Z1805" i="2"/>
  <c r="O1777" i="4"/>
  <c r="Z1777" i="2"/>
  <c r="O1774" i="4"/>
  <c r="Z1774" i="2"/>
  <c r="O1773" i="4"/>
  <c r="Z1773" i="2"/>
  <c r="O1771" i="4"/>
  <c r="Z1771" i="2"/>
  <c r="O1769" i="4"/>
  <c r="Z1769" i="2"/>
  <c r="O1766" i="4"/>
  <c r="Z1766" i="2"/>
  <c r="O1765" i="4"/>
  <c r="Z1765" i="2"/>
  <c r="O1764" i="4"/>
  <c r="Z1764" i="2"/>
  <c r="O1763" i="4"/>
  <c r="Z1763" i="2"/>
  <c r="O1762" i="4"/>
  <c r="Z1762" i="2"/>
  <c r="O1750" i="4"/>
  <c r="Z1750" i="2"/>
  <c r="O1746" i="4"/>
  <c r="Z1746" i="2"/>
  <c r="O1745" i="4"/>
  <c r="Z1745" i="2"/>
  <c r="O1737" i="4"/>
  <c r="Z1737" i="2"/>
  <c r="O1733" i="4"/>
  <c r="Z1733" i="2"/>
  <c r="O1729" i="4"/>
  <c r="Z1729" i="2"/>
  <c r="O1728" i="4"/>
  <c r="Z1728" i="2"/>
  <c r="O1724" i="4"/>
  <c r="Z1724" i="2"/>
  <c r="O1722" i="4"/>
  <c r="Z1722" i="2"/>
  <c r="O1716" i="4"/>
  <c r="Z1716" i="2"/>
  <c r="O1714" i="4"/>
  <c r="Z1714" i="2"/>
  <c r="O1705" i="4"/>
  <c r="Z1705" i="2"/>
  <c r="O1704" i="4"/>
  <c r="Z1704" i="2"/>
  <c r="O1702" i="4"/>
  <c r="Z1702" i="2"/>
  <c r="O1696" i="4"/>
  <c r="Z1696" i="2"/>
  <c r="O1695" i="4"/>
  <c r="Z1695" i="2"/>
  <c r="O1693" i="4"/>
  <c r="Z1693" i="2"/>
  <c r="O1690" i="4"/>
  <c r="Z1690" i="2"/>
  <c r="O1689" i="4"/>
  <c r="Z1689" i="2"/>
  <c r="O1687" i="4"/>
  <c r="Z1687" i="2"/>
  <c r="O1682" i="4"/>
  <c r="Z1682" i="2"/>
  <c r="O1681" i="4"/>
  <c r="Z1681" i="2"/>
  <c r="O1677" i="4"/>
  <c r="Z1677" i="2"/>
  <c r="O1676" i="4"/>
  <c r="Z1676" i="2"/>
  <c r="O1657" i="4"/>
  <c r="Z1657" i="2"/>
  <c r="O1622" i="4"/>
  <c r="Z1622" i="2"/>
  <c r="O1617" i="4"/>
  <c r="Z1617" i="2"/>
  <c r="O1616" i="4"/>
  <c r="Z1616" i="2"/>
  <c r="O1612" i="4"/>
  <c r="Z1612" i="2"/>
  <c r="O1609" i="4"/>
  <c r="Z1609" i="2"/>
  <c r="O1608" i="4"/>
  <c r="Z1608" i="2"/>
  <c r="O1605" i="4"/>
  <c r="Z1605" i="2"/>
  <c r="O1604" i="4"/>
  <c r="Z1604" i="2"/>
  <c r="O1593" i="4"/>
  <c r="Z1593" i="2"/>
  <c r="O1592" i="4"/>
  <c r="Z1592" i="2"/>
  <c r="O1591" i="4"/>
  <c r="Z1591" i="2"/>
  <c r="O1590" i="4"/>
  <c r="Z1590" i="2"/>
  <c r="O1588" i="4"/>
  <c r="Z1588" i="2"/>
  <c r="O1577" i="4"/>
  <c r="Z1577" i="2"/>
  <c r="O1573" i="4"/>
  <c r="Z1573" i="2"/>
  <c r="O1570" i="4"/>
  <c r="Z1570" i="2"/>
  <c r="O1567" i="4"/>
  <c r="Z1567" i="2"/>
  <c r="O1564" i="4"/>
  <c r="Z1564" i="2"/>
  <c r="O1555" i="4"/>
  <c r="Z1555" i="2"/>
  <c r="O1546" i="4"/>
  <c r="Z1546" i="2"/>
  <c r="O1544" i="4"/>
  <c r="Z1544" i="2"/>
  <c r="O1543" i="4"/>
  <c r="Z1543" i="2"/>
  <c r="O1540" i="4"/>
  <c r="Z1540" i="2"/>
  <c r="O1530" i="4"/>
  <c r="Z1530" i="2"/>
  <c r="O1527" i="4"/>
  <c r="Z1527" i="2"/>
  <c r="O1526" i="4"/>
  <c r="Z1526" i="2"/>
  <c r="O1521" i="4"/>
  <c r="Z1521" i="2"/>
  <c r="O1516" i="4"/>
  <c r="Z1516" i="2"/>
  <c r="O1514" i="4"/>
  <c r="Z1514" i="2"/>
  <c r="O1451" i="4"/>
  <c r="Z1451" i="2"/>
  <c r="O1448" i="4"/>
  <c r="Z1448" i="2"/>
  <c r="O1440" i="4"/>
  <c r="Z1440" i="2"/>
  <c r="O1424" i="4"/>
  <c r="Z1424" i="2"/>
  <c r="O1418" i="4"/>
  <c r="Z1418" i="2"/>
  <c r="O1417" i="4"/>
  <c r="Z1417" i="2"/>
  <c r="O1412" i="4"/>
  <c r="Z1412" i="2"/>
  <c r="O1411" i="4"/>
  <c r="Z1411" i="2"/>
  <c r="O1410" i="4"/>
  <c r="Z1410" i="2"/>
  <c r="O1406" i="4"/>
  <c r="Z1406" i="2"/>
  <c r="O1404" i="4"/>
  <c r="Z1404" i="2"/>
  <c r="O1397" i="4"/>
  <c r="Z1397" i="2"/>
  <c r="O1396" i="4"/>
  <c r="Z1396" i="2"/>
  <c r="O1384" i="4"/>
  <c r="Z1384" i="2"/>
  <c r="O1365" i="4"/>
  <c r="Z1365" i="2"/>
  <c r="O1362" i="4"/>
  <c r="Z1362" i="2"/>
  <c r="O1352" i="4"/>
  <c r="Z1352" i="2"/>
  <c r="O1350" i="4"/>
  <c r="Z1350" i="2"/>
  <c r="O1335" i="4"/>
  <c r="Z1335" i="2"/>
  <c r="O1299" i="4"/>
  <c r="Z1299" i="2"/>
  <c r="O1298" i="4"/>
  <c r="Z1298" i="2"/>
  <c r="O1292" i="4"/>
  <c r="Z1292" i="2"/>
  <c r="O1285" i="4"/>
  <c r="Z1285" i="2"/>
  <c r="O1283" i="4"/>
  <c r="Z1283" i="2"/>
  <c r="O1281" i="4"/>
  <c r="Z1281" i="2"/>
  <c r="O1278" i="4"/>
  <c r="Z1278" i="2"/>
  <c r="O1272" i="4"/>
  <c r="Z1272" i="2"/>
  <c r="O1266" i="4"/>
  <c r="Z1266" i="2"/>
  <c r="O1264" i="4"/>
  <c r="Z1264" i="2"/>
  <c r="O1263" i="4"/>
  <c r="Z1263" i="2"/>
  <c r="O1261" i="4"/>
  <c r="Z1261" i="2"/>
  <c r="O1260" i="4"/>
  <c r="Z1260" i="2"/>
  <c r="O1258" i="4"/>
  <c r="Z1258" i="2"/>
  <c r="O1250" i="4"/>
  <c r="Z1250" i="2"/>
  <c r="O1246" i="4"/>
  <c r="Z1246" i="2"/>
  <c r="O1245" i="4"/>
  <c r="Z1245" i="2"/>
  <c r="O1241" i="4"/>
  <c r="Z1241" i="2"/>
  <c r="O1240" i="4"/>
  <c r="Z1240" i="2"/>
  <c r="O1239" i="4"/>
  <c r="Z1239" i="2"/>
  <c r="O1238" i="4"/>
  <c r="Z1238" i="2"/>
  <c r="O1232" i="4"/>
  <c r="Z1232" i="2"/>
  <c r="O1226" i="4"/>
  <c r="Z1226" i="2"/>
  <c r="O1216" i="4"/>
  <c r="Z1216" i="2"/>
  <c r="O1209" i="4"/>
  <c r="Z1209" i="2"/>
  <c r="O1206" i="4"/>
  <c r="Z1206" i="2"/>
  <c r="O1205" i="4"/>
  <c r="Z1205" i="2"/>
  <c r="O1200" i="4"/>
  <c r="Z1200" i="2"/>
  <c r="O1199" i="4"/>
  <c r="Z1199" i="2"/>
  <c r="O1198" i="4"/>
  <c r="Z1198" i="2"/>
  <c r="O1197" i="4"/>
  <c r="Z1197" i="2"/>
  <c r="O1189" i="4"/>
  <c r="Z1189" i="2"/>
  <c r="O1187" i="4"/>
  <c r="Z1187" i="2"/>
  <c r="O1186" i="4"/>
  <c r="Z1186" i="2"/>
  <c r="O1185" i="4"/>
  <c r="Z1185" i="2"/>
  <c r="O1184" i="4"/>
  <c r="Z1184" i="2"/>
  <c r="O1181" i="4"/>
  <c r="Z1181" i="2"/>
  <c r="O1179" i="4"/>
  <c r="Z1179" i="2"/>
  <c r="O1173" i="4"/>
  <c r="Z1173" i="2"/>
  <c r="O1169" i="4"/>
  <c r="Z1169" i="2"/>
  <c r="O1166" i="4"/>
  <c r="Z1166" i="2"/>
  <c r="O1164" i="4"/>
  <c r="Z1164" i="2"/>
  <c r="O1161" i="4"/>
  <c r="Z1161" i="2"/>
  <c r="O1160" i="4"/>
  <c r="Z1160" i="2"/>
  <c r="O1159" i="4"/>
  <c r="Z1159" i="2"/>
  <c r="O1137" i="4"/>
  <c r="Z1137" i="2"/>
  <c r="O1133" i="4"/>
  <c r="Z1133" i="2"/>
  <c r="O1132" i="4"/>
  <c r="Z1132" i="2"/>
  <c r="O1131" i="4"/>
  <c r="Z1131" i="2"/>
  <c r="O1122" i="4"/>
  <c r="Z1122" i="2"/>
  <c r="O1121" i="4"/>
  <c r="Z1121" i="2"/>
  <c r="O1118" i="4"/>
  <c r="Z1118" i="2"/>
  <c r="O1113" i="4"/>
  <c r="Z1113" i="2"/>
  <c r="O1109" i="4"/>
  <c r="Z1109" i="2"/>
  <c r="O1100" i="4"/>
  <c r="Z1100" i="2"/>
  <c r="O1095" i="4"/>
  <c r="Z1095" i="2"/>
  <c r="O1094" i="4"/>
  <c r="Z1094" i="2"/>
  <c r="O1093" i="4"/>
  <c r="Z1093" i="2"/>
  <c r="O1088" i="4"/>
  <c r="Z1088" i="2"/>
  <c r="O1087" i="4"/>
  <c r="Z1087" i="2"/>
  <c r="O1085" i="4"/>
  <c r="Z1085" i="2"/>
  <c r="O1081" i="4"/>
  <c r="Z1081" i="2"/>
  <c r="O1080" i="4"/>
  <c r="Z1080" i="2"/>
  <c r="O1079" i="4"/>
  <c r="Z1079" i="2"/>
  <c r="O1078" i="4"/>
  <c r="Z1078" i="2"/>
  <c r="O1071" i="4"/>
  <c r="Z1071" i="2"/>
  <c r="O1067" i="4"/>
  <c r="Z1067" i="2"/>
  <c r="O1058" i="4"/>
  <c r="Z1058" i="2"/>
  <c r="O1057" i="4"/>
  <c r="Z1057" i="2"/>
  <c r="O1055" i="4"/>
  <c r="Z1055" i="2"/>
  <c r="O1053" i="4"/>
  <c r="Z1053" i="2"/>
  <c r="O1052" i="4"/>
  <c r="Z1052" i="2"/>
  <c r="O1051" i="4"/>
  <c r="Z1051" i="2"/>
  <c r="O1048" i="4"/>
  <c r="Z1048" i="2"/>
  <c r="O1046" i="4"/>
  <c r="Z1046" i="2"/>
  <c r="O1045" i="4"/>
  <c r="Z1045" i="2"/>
  <c r="O1043" i="4"/>
  <c r="Z1043" i="2"/>
  <c r="O1041" i="4"/>
  <c r="Z1041" i="2"/>
  <c r="O1040" i="4"/>
  <c r="Z1040" i="2"/>
  <c r="O1039" i="4"/>
  <c r="Z1039" i="2"/>
  <c r="O1035" i="4"/>
  <c r="Z1035" i="2"/>
  <c r="O970" i="4"/>
  <c r="Z970" i="2"/>
  <c r="O966" i="4"/>
  <c r="Z966" i="2"/>
  <c r="O965" i="4"/>
  <c r="Z965" i="2"/>
  <c r="O962" i="4"/>
  <c r="Z962" i="2"/>
  <c r="O956" i="4"/>
  <c r="Z956" i="2"/>
  <c r="O953" i="4"/>
  <c r="Z953" i="2"/>
  <c r="O945" i="4"/>
  <c r="Z945" i="2"/>
  <c r="O936" i="4"/>
  <c r="Z936" i="2"/>
  <c r="O935" i="4"/>
  <c r="Z935" i="2"/>
  <c r="O931" i="4"/>
  <c r="Z931" i="2"/>
  <c r="O930" i="4"/>
  <c r="Z930" i="2"/>
  <c r="O927" i="4"/>
  <c r="Z927" i="2"/>
  <c r="O926" i="4"/>
  <c r="Z926" i="2"/>
  <c r="O923" i="4"/>
  <c r="Z923" i="2"/>
  <c r="O917" i="4"/>
  <c r="Z917" i="2"/>
  <c r="O908" i="4"/>
  <c r="Z908" i="2"/>
  <c r="O898" i="4"/>
  <c r="Z898" i="2"/>
  <c r="O896" i="4"/>
  <c r="Z896" i="2"/>
  <c r="O889" i="4"/>
  <c r="Z889" i="2"/>
  <c r="O875" i="4"/>
  <c r="Z875" i="2"/>
  <c r="O874" i="4"/>
  <c r="Z874" i="2"/>
  <c r="O868" i="4"/>
  <c r="Z868" i="2"/>
  <c r="O860" i="4"/>
  <c r="Z860" i="2"/>
  <c r="O859" i="4"/>
  <c r="Z859" i="2"/>
  <c r="O858" i="4"/>
  <c r="Z858" i="2"/>
  <c r="O857" i="4"/>
  <c r="Z857" i="2"/>
  <c r="O845" i="4"/>
  <c r="Z845" i="2"/>
  <c r="O837" i="4"/>
  <c r="Z837" i="2"/>
  <c r="O825" i="4"/>
  <c r="Z825" i="2"/>
  <c r="O812" i="4"/>
  <c r="Z812" i="2"/>
  <c r="O800" i="4"/>
  <c r="Z800" i="2"/>
  <c r="O796" i="4"/>
  <c r="Z796" i="2"/>
  <c r="O795" i="4"/>
  <c r="Z795" i="2"/>
  <c r="O790" i="4"/>
  <c r="Z790" i="2"/>
  <c r="O789" i="4"/>
  <c r="Z789" i="2"/>
  <c r="O788" i="4"/>
  <c r="Z788" i="2"/>
  <c r="O784" i="4"/>
  <c r="Z784" i="2"/>
  <c r="O782" i="4"/>
  <c r="Z782" i="2"/>
  <c r="O776" i="4"/>
  <c r="Z776" i="2"/>
  <c r="O773" i="4"/>
  <c r="Z773" i="2"/>
  <c r="O762" i="4"/>
  <c r="Z762" i="2"/>
  <c r="O761" i="4"/>
  <c r="Z761" i="2"/>
  <c r="O760" i="4"/>
  <c r="Z760" i="2"/>
  <c r="O756" i="4"/>
  <c r="Z756" i="2"/>
  <c r="O750" i="4"/>
  <c r="Z750" i="2"/>
  <c r="O747" i="4"/>
  <c r="Z747" i="2"/>
  <c r="O744" i="4"/>
  <c r="Z744" i="2"/>
  <c r="O742" i="4"/>
  <c r="Z742" i="2"/>
  <c r="O741" i="4"/>
  <c r="Z741" i="2"/>
  <c r="O736" i="4"/>
  <c r="Z736" i="2"/>
  <c r="O735" i="4"/>
  <c r="Z735" i="2"/>
  <c r="O733" i="4"/>
  <c r="Z733" i="2"/>
  <c r="O728" i="4"/>
  <c r="Z728" i="2"/>
  <c r="O726" i="4"/>
  <c r="Z726" i="2"/>
  <c r="O724" i="4"/>
  <c r="Z724" i="2"/>
  <c r="O711" i="4"/>
  <c r="Z711" i="2"/>
  <c r="O710" i="4"/>
  <c r="Z710" i="2"/>
  <c r="O707" i="4"/>
  <c r="Z707" i="2"/>
  <c r="O705" i="4"/>
  <c r="Z705" i="2"/>
  <c r="O704" i="4"/>
  <c r="Z704" i="2"/>
  <c r="O692" i="4"/>
  <c r="Z692" i="2"/>
  <c r="O688" i="4"/>
  <c r="Z688" i="2"/>
  <c r="O684" i="4"/>
  <c r="Z684" i="2"/>
  <c r="O677" i="4"/>
  <c r="Z677" i="2"/>
  <c r="O665" i="4"/>
  <c r="Z665" i="2"/>
  <c r="O664" i="4"/>
  <c r="Z664" i="2"/>
  <c r="O662" i="4"/>
  <c r="Z662" i="2"/>
  <c r="O661" i="4"/>
  <c r="Z661" i="2"/>
  <c r="O653" i="4"/>
  <c r="Z653" i="2"/>
  <c r="O651" i="4"/>
  <c r="Z651" i="2"/>
  <c r="O647" i="4"/>
  <c r="Z647" i="2"/>
  <c r="O645" i="4"/>
  <c r="Z645" i="2"/>
  <c r="O644" i="4"/>
  <c r="Z644" i="2"/>
  <c r="O643" i="4"/>
  <c r="Z643" i="2"/>
  <c r="O642" i="4"/>
  <c r="Z642" i="2"/>
  <c r="O640" i="4"/>
  <c r="Z640" i="2"/>
  <c r="O634" i="4"/>
  <c r="Z634" i="2"/>
  <c r="O633" i="4"/>
  <c r="Z633" i="2"/>
  <c r="O632" i="4"/>
  <c r="Z632" i="2"/>
  <c r="O630" i="4"/>
  <c r="Z630" i="2"/>
  <c r="O623" i="4"/>
  <c r="Z623" i="2"/>
  <c r="O614" i="4"/>
  <c r="Z614" i="2"/>
  <c r="O610" i="4"/>
  <c r="Z610" i="2"/>
  <c r="O609" i="4"/>
  <c r="Z609" i="2"/>
  <c r="O608" i="4"/>
  <c r="Z608" i="2"/>
  <c r="O604" i="4"/>
  <c r="Z604" i="2"/>
  <c r="O603" i="4"/>
  <c r="Z603" i="2"/>
  <c r="O601" i="4"/>
  <c r="Z601" i="2"/>
  <c r="O600" i="4"/>
  <c r="Z600" i="2"/>
  <c r="O587" i="4"/>
  <c r="Z587" i="2"/>
  <c r="O584" i="4"/>
  <c r="Z584" i="2"/>
  <c r="O583" i="4"/>
  <c r="Z583" i="2"/>
  <c r="O582" i="4"/>
  <c r="Z582" i="2"/>
  <c r="O580" i="4"/>
  <c r="Z580" i="2"/>
  <c r="O578" i="4"/>
  <c r="Z578" i="2"/>
  <c r="O577" i="4"/>
  <c r="Z577" i="2"/>
  <c r="O576" i="4"/>
  <c r="Z576" i="2"/>
  <c r="O575" i="4"/>
  <c r="Z575" i="2"/>
  <c r="O574" i="4"/>
  <c r="Z574" i="2"/>
  <c r="O573" i="4"/>
  <c r="Z573" i="2"/>
  <c r="O571" i="4"/>
  <c r="Z571" i="2"/>
  <c r="O568" i="4"/>
  <c r="Z568" i="2"/>
  <c r="O567" i="4"/>
  <c r="Z567" i="2"/>
  <c r="O566" i="4"/>
  <c r="Z566" i="2"/>
  <c r="O549" i="4"/>
  <c r="Z549" i="2"/>
  <c r="O535" i="4"/>
  <c r="Z535" i="2"/>
  <c r="O534" i="4"/>
  <c r="Z534" i="2"/>
  <c r="O533" i="4"/>
  <c r="Z533" i="2"/>
  <c r="O531" i="4"/>
  <c r="Z531" i="2"/>
  <c r="O526" i="4"/>
  <c r="Z526" i="2"/>
  <c r="O522" i="4"/>
  <c r="Z522" i="2"/>
  <c r="O507" i="4"/>
  <c r="Z507" i="2"/>
  <c r="O502" i="4"/>
  <c r="Z502" i="2"/>
  <c r="O499" i="4"/>
  <c r="Z499" i="2"/>
  <c r="O482" i="4"/>
  <c r="Z482" i="2"/>
  <c r="O481" i="4"/>
  <c r="Z481" i="2"/>
  <c r="O480" i="4"/>
  <c r="Z480" i="2"/>
  <c r="O479" i="4"/>
  <c r="Z479" i="2"/>
  <c r="O478" i="4"/>
  <c r="Z478" i="2"/>
  <c r="O477" i="4"/>
  <c r="Z477" i="2"/>
  <c r="O474" i="4"/>
  <c r="Z474" i="2"/>
  <c r="O466" i="4"/>
  <c r="Z466" i="2"/>
  <c r="O464" i="4"/>
  <c r="Z464" i="2"/>
  <c r="O445" i="4"/>
  <c r="Z445" i="2"/>
  <c r="O442" i="4"/>
  <c r="Z442" i="2"/>
  <c r="O431" i="4"/>
  <c r="Z431" i="2"/>
  <c r="O430" i="4"/>
  <c r="Z430" i="2"/>
  <c r="O425" i="4"/>
  <c r="Z425" i="2"/>
  <c r="O423" i="4"/>
  <c r="Z423" i="2"/>
  <c r="O422" i="4"/>
  <c r="Z422" i="2"/>
  <c r="O421" i="4"/>
  <c r="Z421" i="2"/>
  <c r="O417" i="4"/>
  <c r="Z417" i="2"/>
  <c r="O405" i="4"/>
  <c r="Z405" i="2"/>
  <c r="O398" i="4"/>
  <c r="Z398" i="2"/>
  <c r="O394" i="4"/>
  <c r="Z394" i="2"/>
  <c r="O389" i="4"/>
  <c r="Z389" i="2"/>
  <c r="O388" i="4"/>
  <c r="Z388" i="2"/>
  <c r="O384" i="4"/>
  <c r="Z384" i="2"/>
  <c r="O383" i="4"/>
  <c r="Z383" i="2"/>
  <c r="O382" i="4"/>
  <c r="Z382" i="2"/>
  <c r="O378" i="4"/>
  <c r="Z378" i="2"/>
  <c r="O377" i="4"/>
  <c r="Z377" i="2"/>
  <c r="O376" i="4"/>
  <c r="Z376" i="2"/>
  <c r="O373" i="4"/>
  <c r="Z373" i="2"/>
  <c r="O372" i="4"/>
  <c r="Z372" i="2"/>
  <c r="O367" i="4"/>
  <c r="Z367" i="2"/>
  <c r="O365" i="4"/>
  <c r="Z365" i="2"/>
  <c r="O363" i="4"/>
  <c r="Z363" i="2"/>
  <c r="O361" i="4"/>
  <c r="Z361" i="2"/>
  <c r="O360" i="4"/>
  <c r="Z360" i="2"/>
  <c r="O354" i="4"/>
  <c r="Z354" i="2"/>
  <c r="O352" i="4"/>
  <c r="Z352" i="2"/>
  <c r="O351" i="4"/>
  <c r="Z351" i="2"/>
  <c r="O350" i="4"/>
  <c r="Z350" i="2"/>
  <c r="O348" i="4"/>
  <c r="Z348" i="2"/>
  <c r="O346" i="4"/>
  <c r="Z346" i="2"/>
  <c r="O323" i="4"/>
  <c r="Z323" i="2"/>
  <c r="O319" i="4"/>
  <c r="Z319" i="2"/>
  <c r="O318" i="4"/>
  <c r="Z318" i="2"/>
  <c r="O316" i="4"/>
  <c r="Z316" i="2"/>
  <c r="O313" i="4"/>
  <c r="Z313" i="2"/>
  <c r="O308" i="4"/>
  <c r="Z308" i="2"/>
  <c r="O306" i="4"/>
  <c r="Z306" i="2"/>
  <c r="O302" i="4"/>
  <c r="Z302" i="2"/>
  <c r="O301" i="4"/>
  <c r="Z301" i="2"/>
  <c r="O300" i="4"/>
  <c r="Z300" i="2"/>
  <c r="O298" i="4"/>
  <c r="Z298" i="2"/>
  <c r="O297" i="4"/>
  <c r="Z297" i="2"/>
  <c r="O293" i="4"/>
  <c r="Z293" i="2"/>
  <c r="O289" i="4"/>
  <c r="Z289" i="2"/>
  <c r="O285" i="4"/>
  <c r="Z285" i="2"/>
  <c r="O282" i="4"/>
  <c r="Z282" i="2"/>
  <c r="O270" i="4"/>
  <c r="Z270" i="2"/>
  <c r="O266" i="4"/>
  <c r="Z266" i="2"/>
  <c r="O265" i="4"/>
  <c r="Z265" i="2"/>
  <c r="O264" i="4"/>
  <c r="Z264" i="2"/>
  <c r="O259" i="4"/>
  <c r="Z259" i="2"/>
  <c r="O258" i="4"/>
  <c r="Z258" i="2"/>
  <c r="O250" i="4"/>
  <c r="Z250" i="2"/>
  <c r="O245" i="4"/>
  <c r="Z245" i="2"/>
  <c r="O244" i="4"/>
  <c r="Z244" i="2"/>
  <c r="O239" i="4"/>
  <c r="Z239" i="2"/>
  <c r="O237" i="4"/>
  <c r="Z237" i="2"/>
  <c r="O234" i="4"/>
  <c r="Z234" i="2"/>
  <c r="O232" i="4"/>
  <c r="Z232" i="2"/>
  <c r="O228" i="4"/>
  <c r="Z228" i="2"/>
  <c r="O227" i="4"/>
  <c r="Z227" i="2"/>
  <c r="O223" i="4"/>
  <c r="Z223" i="2"/>
  <c r="O220" i="4"/>
  <c r="Z220" i="2"/>
  <c r="O219" i="4"/>
  <c r="Z219" i="2"/>
  <c r="O218" i="4"/>
  <c r="Z218" i="2"/>
  <c r="O216" i="4"/>
  <c r="Z216" i="2"/>
  <c r="O215" i="4"/>
  <c r="Z215" i="2"/>
  <c r="O207" i="4"/>
  <c r="Z207" i="2"/>
  <c r="O205" i="4"/>
  <c r="Z205" i="2"/>
  <c r="O180" i="4"/>
  <c r="Z180" i="2"/>
  <c r="O174" i="4"/>
  <c r="Z174" i="2"/>
  <c r="O158" i="4"/>
  <c r="Z158" i="2"/>
  <c r="O153" i="4"/>
  <c r="Z153" i="2"/>
  <c r="O150" i="4"/>
  <c r="Z150" i="2"/>
  <c r="O149" i="4"/>
  <c r="Z149" i="2"/>
  <c r="O148" i="4"/>
  <c r="Z148" i="2"/>
  <c r="O146" i="4"/>
  <c r="Z146" i="2"/>
  <c r="O144" i="4"/>
  <c r="Z144" i="2"/>
  <c r="O139" i="4"/>
  <c r="Z139" i="2"/>
  <c r="O134" i="4"/>
  <c r="Z134" i="2"/>
  <c r="O132" i="4"/>
  <c r="Z132" i="2"/>
  <c r="O128" i="4"/>
  <c r="Z128" i="2"/>
  <c r="O123" i="4"/>
  <c r="Z123" i="2"/>
  <c r="O120" i="4"/>
  <c r="Z120" i="2"/>
  <c r="O118" i="4"/>
  <c r="Z118" i="2"/>
  <c r="O117" i="4"/>
  <c r="Z117" i="2"/>
  <c r="O110" i="4"/>
  <c r="Z110" i="2"/>
  <c r="O106" i="4"/>
  <c r="Z106" i="2"/>
  <c r="O79" i="4"/>
  <c r="Z79" i="2"/>
  <c r="O76" i="4"/>
  <c r="Z76" i="2"/>
  <c r="O65" i="4"/>
  <c r="Z65" i="2"/>
  <c r="O63" i="4"/>
  <c r="Z63" i="2"/>
  <c r="O49" i="4"/>
  <c r="Z49" i="2"/>
  <c r="O48" i="4"/>
  <c r="Z48" i="2"/>
  <c r="O46" i="4"/>
  <c r="Z46" i="2"/>
  <c r="O44" i="4"/>
  <c r="Z44" i="2"/>
  <c r="O43" i="4"/>
  <c r="Z43" i="2"/>
  <c r="O39" i="4"/>
  <c r="Z39" i="2"/>
  <c r="O32" i="4"/>
  <c r="Z32" i="2"/>
  <c r="O30" i="4"/>
  <c r="Z30" i="2"/>
  <c r="O8" i="4"/>
  <c r="Z8" i="2"/>
  <c r="O1601" i="4" l="1"/>
  <c r="Z1601" i="2"/>
  <c r="O66" i="4"/>
  <c r="Z66" i="2"/>
  <c r="O55" i="4"/>
  <c r="Z55" i="2"/>
  <c r="O1792" i="4"/>
  <c r="Z1792" i="2"/>
  <c r="O1734" i="4"/>
  <c r="Z1734" i="2"/>
  <c r="O1403" i="4"/>
  <c r="Z1403" i="2"/>
  <c r="O1815" i="4"/>
  <c r="Z1815" i="2"/>
  <c r="O1936" i="4"/>
  <c r="Z1936" i="2"/>
  <c r="O1167" i="4"/>
  <c r="Z1167" i="2"/>
  <c r="O720" i="4"/>
  <c r="Z720" i="2"/>
  <c r="O1447" i="4"/>
  <c r="Z1447" i="2"/>
  <c r="O743" i="4"/>
  <c r="Z743" i="2"/>
  <c r="O1814" i="4"/>
  <c r="Z1814" i="2"/>
  <c r="O1772" i="4"/>
  <c r="Z1772" i="2"/>
  <c r="O1366" i="4"/>
  <c r="Z1366" i="2"/>
  <c r="O1383" i="4"/>
  <c r="Z1383" i="2"/>
  <c r="O1392" i="4"/>
  <c r="Z1392" i="2"/>
  <c r="O1662" i="4"/>
  <c r="Z1662" i="2"/>
  <c r="O329" i="4"/>
  <c r="Z329" i="2"/>
  <c r="O1969" i="4"/>
  <c r="Z1969" i="2"/>
  <c r="O1913" i="4"/>
  <c r="Z1913" i="2"/>
  <c r="O1861" i="4"/>
  <c r="Z1861" i="2"/>
  <c r="O1637" i="4"/>
  <c r="Z1637" i="2"/>
  <c r="O1508" i="4"/>
  <c r="Z1508" i="2"/>
  <c r="O1171" i="4"/>
  <c r="Z1171" i="2"/>
  <c r="O1236" i="4"/>
  <c r="Z1236" i="2"/>
  <c r="O1360" i="4"/>
  <c r="Z1360" i="2"/>
  <c r="O1735" i="4"/>
  <c r="Z1735" i="2"/>
  <c r="O1736" i="4"/>
  <c r="Z1736" i="2"/>
  <c r="O1368" i="4"/>
  <c r="Z1368" i="2"/>
  <c r="O1844" i="4"/>
  <c r="Z1844" i="2"/>
  <c r="O1341" i="4"/>
  <c r="Z1341" i="2"/>
  <c r="O1316" i="4"/>
  <c r="Z1316" i="2"/>
  <c r="O1026" i="4"/>
  <c r="Z1026" i="2"/>
  <c r="O1028" i="4"/>
  <c r="Z1028" i="2"/>
  <c r="O1203" i="4"/>
  <c r="Z1203" i="2"/>
  <c r="O1154" i="4"/>
  <c r="Z1154" i="2"/>
  <c r="O1115" i="4"/>
  <c r="Z1115" i="2"/>
  <c r="O1086" i="4"/>
  <c r="Z1086" i="2"/>
  <c r="O680" i="4"/>
  <c r="Z680" i="2"/>
  <c r="O410" i="4"/>
  <c r="Z410" i="2"/>
  <c r="O406" i="4"/>
  <c r="Z406" i="2"/>
  <c r="O358" i="4"/>
  <c r="Z358" i="2"/>
  <c r="O357" i="4"/>
  <c r="Z357" i="2"/>
  <c r="O349" i="4"/>
  <c r="Z349" i="2"/>
  <c r="O343" i="4"/>
  <c r="Z343" i="2"/>
  <c r="O342" i="4"/>
  <c r="Z342" i="2"/>
  <c r="O341" i="4"/>
  <c r="Z341" i="2"/>
  <c r="O1512" i="4"/>
  <c r="Z1512" i="2"/>
  <c r="O1466" i="4"/>
  <c r="Z1466" i="2"/>
  <c r="O1340" i="4"/>
  <c r="Z1340" i="2"/>
  <c r="O1328" i="4"/>
  <c r="Z1328" i="2"/>
  <c r="O1098" i="4"/>
  <c r="Z1098" i="2"/>
  <c r="O334" i="4"/>
  <c r="Z334" i="2"/>
  <c r="O327" i="4"/>
  <c r="Z327" i="2"/>
  <c r="O322" i="4"/>
  <c r="Z322" i="2"/>
  <c r="O320" i="4"/>
  <c r="Z320" i="2"/>
  <c r="O315" i="4"/>
  <c r="Z315" i="2"/>
  <c r="O314" i="4"/>
  <c r="Z314" i="2"/>
  <c r="O311" i="4"/>
  <c r="Z311" i="2"/>
  <c r="O303" i="4"/>
  <c r="Z303" i="2"/>
  <c r="O290" i="4"/>
  <c r="Z290" i="2"/>
  <c r="O288" i="4"/>
  <c r="Z288" i="2"/>
  <c r="O280" i="4"/>
  <c r="Z280" i="2"/>
  <c r="O279" i="4"/>
  <c r="Z279" i="2"/>
  <c r="O278" i="4"/>
  <c r="Z278" i="2"/>
  <c r="O277" i="4"/>
  <c r="Z277" i="2"/>
  <c r="O276" i="4"/>
  <c r="Z276" i="2"/>
  <c r="O275" i="4"/>
  <c r="Z275" i="2"/>
  <c r="O274" i="4"/>
  <c r="Z274" i="2"/>
  <c r="O273" i="4"/>
  <c r="Z273" i="2"/>
  <c r="O269" i="4"/>
  <c r="Z269" i="2"/>
  <c r="O268" i="4"/>
  <c r="Z268" i="2"/>
  <c r="O263" i="4"/>
  <c r="Z263" i="2"/>
  <c r="O253" i="4"/>
  <c r="Z253" i="2"/>
  <c r="O991" i="4"/>
  <c r="Z991" i="2"/>
  <c r="O166" i="4"/>
  <c r="Z166" i="2"/>
  <c r="O469" i="4"/>
  <c r="Z469" i="2"/>
  <c r="O461" i="4"/>
  <c r="Z461" i="2"/>
  <c r="O459" i="4"/>
  <c r="Z459" i="2"/>
  <c r="O458" i="4"/>
  <c r="Z458" i="2"/>
  <c r="O457" i="4"/>
  <c r="Z457" i="2"/>
  <c r="O455" i="4"/>
  <c r="Z455" i="2"/>
  <c r="O453" i="4"/>
  <c r="Z453" i="2"/>
  <c r="O451" i="4"/>
  <c r="Z451" i="2"/>
  <c r="O449" i="4"/>
  <c r="Z449" i="2"/>
  <c r="O446" i="4"/>
  <c r="Z446" i="2"/>
  <c r="O444" i="4"/>
  <c r="Z444" i="2"/>
  <c r="O441" i="4"/>
  <c r="Z441" i="2"/>
  <c r="O440" i="4"/>
  <c r="Z440" i="2"/>
  <c r="O439" i="4"/>
  <c r="Z439" i="2"/>
  <c r="O429" i="4"/>
  <c r="Z429" i="2"/>
  <c r="O426" i="4"/>
  <c r="Z426" i="2"/>
  <c r="O424" i="4"/>
  <c r="Z424" i="2"/>
  <c r="O419" i="4"/>
  <c r="Z419" i="2"/>
  <c r="O58" i="4"/>
  <c r="Z58" i="2"/>
  <c r="O56" i="4"/>
  <c r="Z56" i="2"/>
  <c r="O52" i="4"/>
  <c r="Z52" i="2"/>
  <c r="O51" i="4"/>
  <c r="Z51" i="2"/>
  <c r="O50" i="4"/>
  <c r="Z50" i="2"/>
  <c r="O42" i="4"/>
  <c r="Z42" i="2"/>
  <c r="O29" i="4"/>
  <c r="Z29" i="2"/>
  <c r="O23" i="4"/>
  <c r="Z23" i="2"/>
  <c r="O16" i="4"/>
  <c r="Z16" i="2"/>
  <c r="O15" i="4"/>
  <c r="Z15" i="2"/>
  <c r="O1648" i="4"/>
  <c r="Z1648" i="2"/>
  <c r="O1077" i="4"/>
  <c r="Z1077" i="2"/>
  <c r="O1076" i="4"/>
  <c r="Z1076" i="2"/>
  <c r="O1075" i="4"/>
  <c r="Z1075" i="2"/>
  <c r="O1073" i="4"/>
  <c r="Z1073" i="2"/>
  <c r="O1070" i="4"/>
  <c r="Z1070" i="2"/>
  <c r="O1068" i="4"/>
  <c r="Z1068" i="2"/>
  <c r="O1066" i="4"/>
  <c r="Z1066" i="2"/>
  <c r="O1065" i="4"/>
  <c r="Z1065" i="2"/>
  <c r="O1064" i="4"/>
  <c r="Z1064" i="2"/>
  <c r="O1062" i="4"/>
  <c r="Z1062" i="2"/>
  <c r="O1060" i="4"/>
  <c r="Z1060" i="2"/>
  <c r="O1059" i="4"/>
  <c r="Z1059" i="2"/>
  <c r="O1042" i="4"/>
  <c r="Z1042" i="2"/>
  <c r="O1032" i="4"/>
  <c r="Z1032" i="2"/>
  <c r="O1031" i="4"/>
  <c r="Z1031" i="2"/>
  <c r="O1029" i="4"/>
  <c r="Z1029" i="2"/>
  <c r="O1027" i="4"/>
  <c r="Z1027" i="2"/>
  <c r="O1020" i="4"/>
  <c r="Z1020" i="2"/>
  <c r="O624" i="4"/>
  <c r="Z624" i="2"/>
  <c r="O620" i="4"/>
  <c r="Z620" i="2"/>
  <c r="O596" i="4"/>
  <c r="Z596" i="2"/>
  <c r="O1006" i="4"/>
  <c r="Z1006" i="2"/>
  <c r="O1002" i="4"/>
  <c r="Z1002" i="2"/>
  <c r="O999" i="4"/>
  <c r="Z999" i="2"/>
  <c r="O971" i="4"/>
  <c r="Z971" i="2"/>
  <c r="O961" i="4"/>
  <c r="Z961" i="2"/>
  <c r="O912" i="4"/>
  <c r="Z912" i="2"/>
  <c r="O910" i="4"/>
  <c r="Z910" i="2"/>
  <c r="O909" i="4"/>
  <c r="Z909" i="2"/>
  <c r="O906" i="4"/>
  <c r="Z906" i="2"/>
  <c r="O903" i="4"/>
  <c r="Z903" i="2"/>
  <c r="O900" i="4"/>
  <c r="Z900" i="2"/>
  <c r="O899" i="4"/>
  <c r="Z899" i="2"/>
  <c r="O885" i="4"/>
  <c r="Z885" i="2"/>
  <c r="O879" i="4"/>
  <c r="Z879" i="2"/>
  <c r="O878" i="4"/>
  <c r="Z878" i="2"/>
  <c r="O605" i="4"/>
  <c r="Z605" i="2"/>
  <c r="O598" i="4"/>
  <c r="Z598" i="2"/>
  <c r="O572" i="4"/>
  <c r="Z572" i="2"/>
  <c r="O548" i="4"/>
  <c r="Z548" i="2"/>
  <c r="O538" i="4"/>
  <c r="Z538" i="2"/>
  <c r="O842" i="4"/>
  <c r="Z842" i="2"/>
  <c r="O833" i="4"/>
  <c r="Z833" i="2"/>
  <c r="O819" i="4"/>
  <c r="Z819" i="2"/>
  <c r="O794" i="4"/>
  <c r="Z794" i="2"/>
  <c r="O786" i="4"/>
  <c r="Z786" i="2"/>
  <c r="O769" i="4"/>
  <c r="Z769" i="2"/>
  <c r="O768" i="4"/>
  <c r="Z768" i="2"/>
  <c r="O766" i="4"/>
  <c r="Z766" i="2"/>
  <c r="O765" i="4"/>
  <c r="Z765" i="2"/>
  <c r="O764" i="4"/>
  <c r="Z764" i="2"/>
  <c r="O759" i="4"/>
  <c r="Z759" i="2"/>
  <c r="O758" i="4"/>
  <c r="Z758" i="2"/>
  <c r="O755" i="4"/>
  <c r="Z755" i="2"/>
  <c r="O751" i="4"/>
  <c r="Z751" i="2"/>
  <c r="O745" i="4"/>
  <c r="Z745" i="2"/>
  <c r="O731" i="4"/>
  <c r="Z731" i="2"/>
  <c r="O730" i="4"/>
  <c r="Z730" i="2"/>
  <c r="O727" i="4"/>
  <c r="Z727" i="2"/>
  <c r="O725" i="4"/>
  <c r="Z725" i="2"/>
  <c r="O723" i="4"/>
  <c r="Z723" i="2"/>
  <c r="O721" i="4"/>
  <c r="Z721" i="2"/>
  <c r="O718" i="4"/>
  <c r="Z718" i="2"/>
  <c r="O717" i="4"/>
  <c r="Z717" i="2"/>
  <c r="O714" i="4"/>
  <c r="Z714" i="2"/>
  <c r="O703" i="4"/>
  <c r="Z703" i="2"/>
  <c r="O698" i="4"/>
  <c r="Z698" i="2"/>
  <c r="O696" i="4"/>
  <c r="Z696" i="2"/>
  <c r="O532" i="4"/>
  <c r="Z532" i="2"/>
  <c r="O523" i="4"/>
  <c r="Z523" i="2"/>
  <c r="O513" i="4"/>
  <c r="Z513" i="2"/>
  <c r="O505" i="4"/>
  <c r="Z505" i="2"/>
  <c r="O504" i="4"/>
  <c r="Z504" i="2"/>
  <c r="O503" i="4"/>
  <c r="Z503" i="2"/>
  <c r="O501" i="4"/>
  <c r="Z501" i="2"/>
  <c r="O500" i="4"/>
  <c r="Z500" i="2"/>
  <c r="O498" i="4"/>
  <c r="Z498" i="2"/>
  <c r="O495" i="4"/>
  <c r="Z495" i="2"/>
  <c r="O494" i="4"/>
  <c r="Z494" i="2"/>
  <c r="O493" i="4"/>
  <c r="Z493" i="2"/>
  <c r="O484" i="4"/>
  <c r="Z484" i="2"/>
  <c r="O483" i="4"/>
  <c r="Z483" i="2"/>
  <c r="O472" i="4"/>
  <c r="Z472" i="2"/>
  <c r="O471" i="4"/>
  <c r="Z471" i="2"/>
  <c r="O470" i="4"/>
  <c r="Z470" i="2"/>
  <c r="O873" i="4"/>
  <c r="Z873" i="2"/>
  <c r="O539" i="4"/>
  <c r="Z539" i="2"/>
  <c r="O864" i="4"/>
  <c r="Z864" i="2"/>
  <c r="O863" i="4"/>
  <c r="Z863" i="2"/>
  <c r="O861" i="4"/>
  <c r="Z861" i="2"/>
  <c r="O856" i="4"/>
  <c r="Z856" i="2"/>
  <c r="O851" i="4"/>
  <c r="Z851" i="2"/>
  <c r="O850" i="4"/>
  <c r="Z850" i="2"/>
  <c r="O848" i="4"/>
  <c r="Z848" i="2"/>
  <c r="O847" i="4"/>
  <c r="Z847" i="2"/>
  <c r="O846" i="4"/>
  <c r="Z846" i="2"/>
  <c r="O646" i="4"/>
  <c r="Z646" i="2"/>
  <c r="O416" i="4"/>
  <c r="Z416" i="2"/>
  <c r="O248" i="4"/>
  <c r="Z248" i="2"/>
  <c r="O246" i="4"/>
  <c r="Z246" i="2"/>
  <c r="O196" i="4"/>
  <c r="Z196" i="2"/>
  <c r="O195" i="4"/>
  <c r="Z195" i="2"/>
  <c r="O194" i="4"/>
  <c r="Z194" i="2"/>
  <c r="O186" i="4"/>
  <c r="Z186" i="2"/>
  <c r="O183" i="4"/>
  <c r="Z183" i="2"/>
  <c r="O176" i="4"/>
  <c r="Z176" i="2"/>
  <c r="O173" i="4"/>
  <c r="Z173" i="2"/>
  <c r="O171" i="4"/>
  <c r="Z171" i="2"/>
  <c r="O169" i="4"/>
  <c r="Z169" i="2"/>
  <c r="O168" i="4"/>
  <c r="Z168" i="2"/>
  <c r="O167" i="4"/>
  <c r="Z167" i="2"/>
  <c r="O165" i="4"/>
  <c r="Z165" i="2"/>
  <c r="O163" i="4"/>
  <c r="Z163" i="2"/>
  <c r="O162" i="4"/>
  <c r="Z162" i="2"/>
  <c r="O160" i="4"/>
  <c r="Z160" i="2"/>
  <c r="O157" i="4"/>
  <c r="Z157" i="2"/>
  <c r="O156" i="4"/>
  <c r="Z156" i="2"/>
  <c r="O142" i="4"/>
  <c r="Z142" i="2"/>
  <c r="O140" i="4"/>
  <c r="Z140" i="2"/>
  <c r="O138" i="4"/>
  <c r="Z138" i="2"/>
  <c r="O133" i="4"/>
  <c r="Z133" i="2"/>
  <c r="O129" i="4"/>
  <c r="Z129" i="2"/>
  <c r="O124" i="4"/>
  <c r="Z124" i="2"/>
  <c r="O116" i="4"/>
  <c r="Z116" i="2"/>
  <c r="O112" i="4"/>
  <c r="Z112" i="2"/>
  <c r="O103" i="4"/>
  <c r="Z103" i="2"/>
  <c r="O102" i="4"/>
  <c r="Z102" i="2"/>
  <c r="O99" i="4"/>
  <c r="Z99" i="2"/>
  <c r="O98" i="4"/>
  <c r="Z98" i="2"/>
  <c r="O97" i="4"/>
  <c r="Z97" i="2"/>
  <c r="O96" i="4"/>
  <c r="Z96" i="2"/>
  <c r="O94" i="4"/>
  <c r="Z94" i="2"/>
  <c r="O92" i="4"/>
  <c r="Z92" i="2"/>
  <c r="O90" i="4"/>
  <c r="Z90" i="2"/>
  <c r="O1119" i="4"/>
  <c r="Z1119" i="2"/>
  <c r="O1841" i="4"/>
  <c r="Z1841" i="2"/>
  <c r="O1836" i="4"/>
  <c r="Z1836" i="2"/>
  <c r="O1831" i="4"/>
  <c r="Z1831" i="2"/>
  <c r="O1822" i="4"/>
  <c r="Z1822" i="2"/>
  <c r="O1821" i="4"/>
  <c r="Z1821" i="2"/>
  <c r="O1820" i="4"/>
  <c r="Z1820" i="2"/>
  <c r="O1811" i="4"/>
  <c r="Z1811" i="2"/>
  <c r="O1808" i="4"/>
  <c r="Z1808" i="2"/>
  <c r="O1806" i="4"/>
  <c r="Z1806" i="2"/>
  <c r="O1804" i="4"/>
  <c r="Z1804" i="2"/>
  <c r="O1712" i="4"/>
  <c r="Z1712" i="2"/>
  <c r="O1711" i="4"/>
  <c r="Z1711" i="2"/>
  <c r="O1710" i="4"/>
  <c r="Z1710" i="2"/>
  <c r="O1707" i="4"/>
  <c r="Z1707" i="2"/>
  <c r="O1692" i="4"/>
  <c r="Z1692" i="2"/>
  <c r="O1691" i="4"/>
  <c r="Z1691" i="2"/>
  <c r="O1534" i="4"/>
  <c r="Z1534" i="2"/>
  <c r="O1523" i="4"/>
  <c r="Z1523" i="2"/>
  <c r="O1683" i="4"/>
  <c r="Z1683" i="2"/>
  <c r="O1679" i="4"/>
  <c r="Z1679" i="2"/>
  <c r="O1678" i="4"/>
  <c r="Z1678" i="2"/>
  <c r="O1675" i="4"/>
  <c r="Z1675" i="2"/>
  <c r="O1674" i="4"/>
  <c r="Z1674" i="2"/>
  <c r="O1672" i="4"/>
  <c r="Z1672" i="2"/>
  <c r="O1668" i="4"/>
  <c r="Z1668" i="2"/>
  <c r="O1509" i="4"/>
  <c r="Z1509" i="2"/>
  <c r="O1490" i="4"/>
  <c r="Z1490" i="2"/>
  <c r="O1482" i="4"/>
  <c r="Z1482" i="2"/>
  <c r="O1476" i="4"/>
  <c r="Z1476" i="2"/>
  <c r="O1474" i="4"/>
  <c r="Z1474" i="2"/>
  <c r="O1473" i="4"/>
  <c r="Z1473" i="2"/>
  <c r="O1472" i="4"/>
  <c r="Z1472" i="2"/>
  <c r="O1471" i="4"/>
  <c r="Z1471" i="2"/>
  <c r="O1462" i="4"/>
  <c r="Z1462" i="2"/>
  <c r="O1460" i="4"/>
  <c r="Z1460" i="2"/>
  <c r="O1455" i="4"/>
  <c r="Z1455" i="2"/>
  <c r="O1454" i="4"/>
  <c r="Z1454" i="2"/>
  <c r="O1450" i="4"/>
  <c r="Z1450" i="2"/>
  <c r="O1443" i="4"/>
  <c r="Z1443" i="2"/>
  <c r="O1442" i="4"/>
  <c r="Z1442" i="2"/>
  <c r="O1441" i="4"/>
  <c r="Z1441" i="2"/>
  <c r="O1437" i="4"/>
  <c r="Z1437" i="2"/>
  <c r="O1436" i="4"/>
  <c r="Z1436" i="2"/>
  <c r="O1435" i="4"/>
  <c r="Z1435" i="2"/>
  <c r="O1433" i="4"/>
  <c r="Z1433" i="2"/>
  <c r="O1431" i="4"/>
  <c r="Z1431" i="2"/>
  <c r="O589" i="4"/>
  <c r="Z589" i="2"/>
  <c r="O581" i="4"/>
  <c r="Z581" i="2"/>
  <c r="O558" i="4"/>
  <c r="Z558" i="2"/>
  <c r="O543" i="4"/>
  <c r="Z543" i="2"/>
  <c r="O530" i="4"/>
  <c r="Z530" i="2"/>
  <c r="O524" i="4"/>
  <c r="Z524" i="2"/>
  <c r="O1331" i="4"/>
  <c r="Z1331" i="2"/>
  <c r="O1325" i="4"/>
  <c r="Z1325" i="2"/>
  <c r="O1314" i="4"/>
  <c r="Z1314" i="2"/>
  <c r="O1301" i="4"/>
  <c r="Z1301" i="2"/>
  <c r="O1300" i="4"/>
  <c r="Z1300" i="2"/>
  <c r="O1296" i="4"/>
  <c r="Z1296" i="2"/>
  <c r="O1294" i="4"/>
  <c r="Z1294" i="2"/>
  <c r="O1288" i="4"/>
  <c r="Z1288" i="2"/>
  <c r="O1287" i="4"/>
  <c r="Z1287" i="2"/>
  <c r="O1286" i="4"/>
  <c r="Z1286" i="2"/>
  <c r="O1284" i="4"/>
  <c r="Z1284" i="2"/>
  <c r="O1279" i="4"/>
  <c r="Z1279" i="2"/>
  <c r="O1277" i="4"/>
  <c r="Z1277" i="2"/>
  <c r="O1276" i="4"/>
  <c r="Z1276" i="2"/>
  <c r="O1275" i="4"/>
  <c r="Z1275" i="2"/>
  <c r="O1273" i="4"/>
  <c r="Z1273" i="2"/>
  <c r="O767" i="4"/>
  <c r="Z767" i="2"/>
  <c r="O208" i="4"/>
  <c r="Z208" i="2"/>
  <c r="D23" i="1"/>
  <c r="G8" i="1" s="1"/>
  <c r="E30" i="1"/>
  <c r="G30" i="1" s="1"/>
  <c r="E37" i="1"/>
  <c r="G37" i="1" s="1"/>
  <c r="O518" i="4"/>
  <c r="Z518" i="2"/>
  <c r="O515" i="4"/>
  <c r="Z515" i="2"/>
  <c r="O514" i="4"/>
  <c r="Z514" i="2"/>
  <c r="O1524" i="4"/>
  <c r="Z1524" i="2"/>
  <c r="O1522" i="4"/>
  <c r="Z1522" i="2"/>
  <c r="O1984" i="4"/>
  <c r="Z1986" i="2"/>
  <c r="O1981" i="4"/>
  <c r="Z1981" i="2"/>
  <c r="O1979" i="4"/>
  <c r="Z1979" i="2"/>
  <c r="O1978" i="4"/>
  <c r="Z1978" i="2"/>
  <c r="O1976" i="4"/>
  <c r="Z1976" i="2"/>
  <c r="O1975" i="4"/>
  <c r="Z1975" i="2"/>
  <c r="O1973" i="4"/>
  <c r="Z1973" i="2"/>
  <c r="O1971" i="4"/>
  <c r="Z1971" i="2"/>
  <c r="O1968" i="4"/>
  <c r="Z1968" i="2"/>
  <c r="O1967" i="4"/>
  <c r="Z1967" i="2"/>
  <c r="O1964" i="4"/>
  <c r="Z1964" i="2"/>
  <c r="O1962" i="4"/>
  <c r="Z1962" i="2"/>
  <c r="O1961" i="4"/>
  <c r="Z1961" i="2"/>
  <c r="O1960" i="4"/>
  <c r="Z1960" i="2"/>
  <c r="O1958" i="4"/>
  <c r="Z1958" i="2"/>
  <c r="O1955" i="4"/>
  <c r="Z1955" i="2"/>
  <c r="O1954" i="4"/>
  <c r="Z1954" i="2"/>
  <c r="O1952" i="4"/>
  <c r="Z1952" i="2"/>
  <c r="O1951" i="4"/>
  <c r="Z1951" i="2"/>
  <c r="O1950" i="4"/>
  <c r="Z1950" i="2"/>
  <c r="O1949" i="4"/>
  <c r="Z1949" i="2"/>
  <c r="O1948" i="4"/>
  <c r="Z1948" i="2"/>
  <c r="O1946" i="4"/>
  <c r="Z1946" i="2"/>
  <c r="O1945" i="4"/>
  <c r="Z1945" i="2"/>
  <c r="O1944" i="4"/>
  <c r="Z1944" i="2"/>
  <c r="O1942" i="4"/>
  <c r="Z1942" i="2"/>
  <c r="O1939" i="4"/>
  <c r="Z1939" i="2"/>
  <c r="O1937" i="4"/>
  <c r="Z1937" i="2"/>
  <c r="O1933" i="4"/>
  <c r="Z1933" i="2"/>
  <c r="O1932" i="4"/>
  <c r="Z1932" i="2"/>
  <c r="O1931" i="4"/>
  <c r="Z1931" i="2"/>
  <c r="O1930" i="4"/>
  <c r="Z1930" i="2"/>
  <c r="O1928" i="4"/>
  <c r="Z1928" i="2"/>
  <c r="O1926" i="4"/>
  <c r="Z1926" i="2"/>
  <c r="O1923" i="4"/>
  <c r="Z1923" i="2"/>
  <c r="O1919" i="4"/>
  <c r="Z1919" i="2"/>
  <c r="O1918" i="4"/>
  <c r="Z1918" i="2"/>
  <c r="O1916" i="4"/>
  <c r="Z1916" i="2"/>
  <c r="O1914" i="4"/>
  <c r="Z1914" i="2"/>
  <c r="O1911" i="4"/>
  <c r="Z1911" i="2"/>
  <c r="O1909" i="4"/>
  <c r="Z1909" i="2"/>
  <c r="O1906" i="4"/>
  <c r="Z1906" i="2"/>
  <c r="O1905" i="4"/>
  <c r="Z1905" i="2"/>
  <c r="O1904" i="4"/>
  <c r="Z1904" i="2"/>
  <c r="O1903" i="4"/>
  <c r="Z1903" i="2"/>
  <c r="O1901" i="4"/>
  <c r="Z1901" i="2"/>
  <c r="O1900" i="4"/>
  <c r="Z1900" i="2"/>
  <c r="O1898" i="4"/>
  <c r="Z1898" i="2"/>
  <c r="O1895" i="4"/>
  <c r="Z1895" i="2"/>
  <c r="O1894" i="4"/>
  <c r="Z1894" i="2"/>
  <c r="O1891" i="4"/>
  <c r="Z1891" i="2"/>
  <c r="O1887" i="4"/>
  <c r="Z1887" i="2"/>
  <c r="O1886" i="4"/>
  <c r="Z1886" i="2"/>
  <c r="O1883" i="4"/>
  <c r="Z1883" i="2"/>
  <c r="O1882" i="4"/>
  <c r="Z1882" i="2"/>
  <c r="O1881" i="4"/>
  <c r="Z1881" i="2"/>
  <c r="O1880" i="4"/>
  <c r="Z1880" i="2"/>
  <c r="O1876" i="4"/>
  <c r="Z1876" i="2"/>
  <c r="O1874" i="4"/>
  <c r="Z1874" i="2"/>
  <c r="O1873" i="4"/>
  <c r="Z1873" i="2"/>
  <c r="O1871" i="4"/>
  <c r="Z1871" i="2"/>
  <c r="O1870" i="4"/>
  <c r="Z1870" i="2"/>
  <c r="O1869" i="4"/>
  <c r="Z1869" i="2"/>
  <c r="O1867" i="4"/>
  <c r="Z1867" i="2"/>
  <c r="O1864" i="4"/>
  <c r="Z1864" i="2"/>
  <c r="O1862" i="4"/>
  <c r="Z1862" i="2"/>
  <c r="O1859" i="4"/>
  <c r="Z1859" i="2"/>
  <c r="O1857" i="4"/>
  <c r="Z1857" i="2"/>
  <c r="O1856" i="4"/>
  <c r="Z1856" i="2"/>
  <c r="O1855" i="4"/>
  <c r="Z1855" i="2"/>
  <c r="O1576" i="4"/>
  <c r="Z1576" i="2"/>
  <c r="O1566" i="4"/>
  <c r="Z1566" i="2"/>
  <c r="O1565" i="4"/>
  <c r="Z1565" i="2"/>
  <c r="O1558" i="4"/>
  <c r="Z1558" i="2"/>
  <c r="O1547" i="4"/>
  <c r="Z1547" i="2"/>
  <c r="O1537" i="4"/>
  <c r="Z1537" i="2"/>
  <c r="O1528" i="4"/>
  <c r="Z1528" i="2"/>
  <c r="O1852" i="4"/>
  <c r="Z1852" i="2"/>
  <c r="O1851" i="4"/>
  <c r="Z1851" i="2"/>
  <c r="O1849" i="4"/>
  <c r="Z1849" i="2"/>
  <c r="O1847" i="4"/>
  <c r="Z1847" i="2"/>
  <c r="O1845" i="4"/>
  <c r="Z1845" i="2"/>
  <c r="O1843" i="4"/>
  <c r="Z1843" i="2"/>
  <c r="O1830" i="4"/>
  <c r="Z1830" i="2"/>
  <c r="O1819" i="4"/>
  <c r="Z1819" i="2"/>
  <c r="O1818" i="4"/>
  <c r="Z1818" i="2"/>
  <c r="O1817" i="4"/>
  <c r="Z1817" i="2"/>
  <c r="O1809" i="4"/>
  <c r="Z1809" i="2"/>
  <c r="O1800" i="4"/>
  <c r="Z1800" i="2"/>
  <c r="O1799" i="4"/>
  <c r="Z1799" i="2"/>
  <c r="O1798" i="4"/>
  <c r="Z1798" i="2"/>
  <c r="O1797" i="4"/>
  <c r="Z1797" i="2"/>
  <c r="O1796" i="4"/>
  <c r="Z1796" i="2"/>
  <c r="O1793" i="4"/>
  <c r="Z1793" i="2"/>
  <c r="O1790" i="4"/>
  <c r="Z1790" i="2"/>
  <c r="O1789" i="4"/>
  <c r="Z1789" i="2"/>
  <c r="O1787" i="4"/>
  <c r="Z1787" i="2"/>
  <c r="O1786" i="4"/>
  <c r="Z1786" i="2"/>
  <c r="O1785" i="4"/>
  <c r="Z1785" i="2"/>
  <c r="O1784" i="4"/>
  <c r="Z1784" i="2"/>
  <c r="O1783" i="4"/>
  <c r="Z1783" i="2"/>
  <c r="O1782" i="4"/>
  <c r="Z1782" i="2"/>
  <c r="O1781" i="4"/>
  <c r="Z1781" i="2"/>
  <c r="O1780" i="4"/>
  <c r="Z1780" i="2"/>
  <c r="O1778" i="4"/>
  <c r="Z1778" i="2"/>
  <c r="O1776" i="4"/>
  <c r="Z1776" i="2"/>
  <c r="O1775" i="4"/>
  <c r="Z1775" i="2"/>
  <c r="O1770" i="4"/>
  <c r="Z1770" i="2"/>
  <c r="O1768" i="4"/>
  <c r="Z1768" i="2"/>
  <c r="O1767" i="4"/>
  <c r="Z1767" i="2"/>
  <c r="O1760" i="4"/>
  <c r="Z1760" i="2"/>
  <c r="O1759" i="4"/>
  <c r="Z1759" i="2"/>
  <c r="O1758" i="4"/>
  <c r="Z1758" i="2"/>
  <c r="O1757" i="4"/>
  <c r="Z1757" i="2"/>
  <c r="O1754" i="4"/>
  <c r="Z1754" i="2"/>
  <c r="O1753" i="4"/>
  <c r="Z1753" i="2"/>
  <c r="O1752" i="4"/>
  <c r="Z1752" i="2"/>
  <c r="O1751" i="4"/>
  <c r="Z1751" i="2"/>
  <c r="O1749" i="4"/>
  <c r="Z1749" i="2"/>
  <c r="O1748" i="4"/>
  <c r="Z1748" i="2"/>
  <c r="O1744" i="4"/>
  <c r="Z1744" i="2"/>
  <c r="O1743" i="4"/>
  <c r="Z1743" i="2"/>
  <c r="O1742" i="4"/>
  <c r="Z1742" i="2"/>
  <c r="O1741" i="4"/>
  <c r="Z1741" i="2"/>
  <c r="O1740" i="4"/>
  <c r="Z1740" i="2"/>
  <c r="O1739" i="4"/>
  <c r="Z1739" i="2"/>
  <c r="O1732" i="4"/>
  <c r="Z1732" i="2"/>
  <c r="O1731" i="4"/>
  <c r="Z1731" i="2"/>
  <c r="O1730" i="4"/>
  <c r="Z1730" i="2"/>
  <c r="O1727" i="4"/>
  <c r="Z1727" i="2"/>
  <c r="O1726" i="4"/>
  <c r="Z1726" i="2"/>
  <c r="O1725" i="4"/>
  <c r="Z1725" i="2"/>
  <c r="O1723" i="4"/>
  <c r="Z1723" i="2"/>
  <c r="O1721" i="4"/>
  <c r="Z1721" i="2"/>
  <c r="O1719" i="4"/>
  <c r="Z1719" i="2"/>
  <c r="O1718" i="4"/>
  <c r="Z1718" i="2"/>
  <c r="O1715" i="4"/>
  <c r="Z1715" i="2"/>
  <c r="O1713" i="4"/>
  <c r="Z1713" i="2"/>
  <c r="O1709" i="4"/>
  <c r="Z1709" i="2"/>
  <c r="O1708" i="4"/>
  <c r="Z1708" i="2"/>
  <c r="O1703" i="4"/>
  <c r="Z1703" i="2"/>
  <c r="O1701" i="4"/>
  <c r="Z1701" i="2"/>
  <c r="O1700" i="4"/>
  <c r="Z1700" i="2"/>
  <c r="O1699" i="4"/>
  <c r="Z1699" i="2"/>
  <c r="O1698" i="4"/>
  <c r="Z1698" i="2"/>
  <c r="O1697" i="4"/>
  <c r="Z1697" i="2"/>
  <c r="O1694" i="4"/>
  <c r="Z1694" i="2"/>
  <c r="O1688" i="4"/>
  <c r="Z1688" i="2"/>
  <c r="O1686" i="4"/>
  <c r="Z1686" i="2"/>
  <c r="O1685" i="4"/>
  <c r="Z1685" i="2"/>
  <c r="O1580" i="4"/>
  <c r="Z1580" i="2"/>
  <c r="O1579" i="4"/>
  <c r="Z1579" i="2"/>
  <c r="O1575" i="4"/>
  <c r="Z1575" i="2"/>
  <c r="O1572" i="4"/>
  <c r="Z1572" i="2"/>
  <c r="O1568" i="4"/>
  <c r="Z1568" i="2"/>
  <c r="O1549" i="4"/>
  <c r="Z1549" i="2"/>
  <c r="O1541" i="4"/>
  <c r="Z1541" i="2"/>
  <c r="O1684" i="4"/>
  <c r="Z1684" i="2"/>
  <c r="O1673" i="4"/>
  <c r="Z1673" i="2"/>
  <c r="O1671" i="4"/>
  <c r="Z1671" i="2"/>
  <c r="O1669" i="4"/>
  <c r="Z1669" i="2"/>
  <c r="O1667" i="4"/>
  <c r="Z1667" i="2"/>
  <c r="O1666" i="4"/>
  <c r="Z1666" i="2"/>
  <c r="O1665" i="4"/>
  <c r="Z1665" i="2"/>
  <c r="O1664" i="4"/>
  <c r="Z1664" i="2"/>
  <c r="O1663" i="4"/>
  <c r="Z1663" i="2"/>
  <c r="O1661" i="4"/>
  <c r="Z1661" i="2"/>
  <c r="O1659" i="4"/>
  <c r="Z1659" i="2"/>
  <c r="O1658" i="4"/>
  <c r="Z1658" i="2"/>
  <c r="O1655" i="4"/>
  <c r="Z1655" i="2"/>
  <c r="O1643" i="4"/>
  <c r="Z1643" i="2"/>
  <c r="O1640" i="4"/>
  <c r="Z1640" i="2"/>
  <c r="O1635" i="4"/>
  <c r="Z1635" i="2"/>
  <c r="O1625" i="4"/>
  <c r="Z1625" i="2"/>
  <c r="O1624" i="4"/>
  <c r="Z1624" i="2"/>
  <c r="O1623" i="4"/>
  <c r="Z1623" i="2"/>
  <c r="O1621" i="4"/>
  <c r="Z1621" i="2"/>
  <c r="O1620" i="4"/>
  <c r="Z1620" i="2"/>
  <c r="O1619" i="4"/>
  <c r="Z1619" i="2"/>
  <c r="O1611" i="4"/>
  <c r="Z1611" i="2"/>
  <c r="O1610" i="4"/>
  <c r="Z1610" i="2"/>
  <c r="O1607" i="4"/>
  <c r="Z1607" i="2"/>
  <c r="O1606" i="4"/>
  <c r="Z1606" i="2"/>
  <c r="O1602" i="4"/>
  <c r="Z1602" i="2"/>
  <c r="O1600" i="4"/>
  <c r="Z1600" i="2"/>
  <c r="O1599" i="4"/>
  <c r="Z1599" i="2"/>
  <c r="O1597" i="4"/>
  <c r="Z1597" i="2"/>
  <c r="O1595" i="4"/>
  <c r="Z1595" i="2"/>
  <c r="O1594" i="4"/>
  <c r="Z1594" i="2"/>
  <c r="O1589" i="4"/>
  <c r="Z1589" i="2"/>
  <c r="O1587" i="4"/>
  <c r="Z1587" i="2"/>
  <c r="O1585" i="4"/>
  <c r="Z1585" i="2"/>
  <c r="O1582" i="4"/>
  <c r="Z1582" i="2"/>
  <c r="O1571" i="4"/>
  <c r="Z1571" i="2"/>
  <c r="O1569" i="4"/>
  <c r="Z1569" i="2"/>
  <c r="O1563" i="4"/>
  <c r="Z1563" i="2"/>
  <c r="O1561" i="4"/>
  <c r="Z1561" i="2"/>
  <c r="O1554" i="4"/>
  <c r="Z1554" i="2"/>
  <c r="O1553" i="4"/>
  <c r="Z1553" i="2"/>
  <c r="O1552" i="4"/>
  <c r="Z1552" i="2"/>
  <c r="O1545" i="4"/>
  <c r="Z1545" i="2"/>
  <c r="O1542" i="4"/>
  <c r="Z1542" i="2"/>
  <c r="O1518" i="4"/>
  <c r="Z1518" i="2"/>
  <c r="O1504" i="4"/>
  <c r="Z1504" i="2"/>
  <c r="O1502" i="4"/>
  <c r="Z1502" i="2"/>
  <c r="O1496" i="4"/>
  <c r="Z1496" i="2"/>
  <c r="O1495" i="4"/>
  <c r="Z1495" i="2"/>
  <c r="O1492" i="4"/>
  <c r="Z1492" i="2"/>
  <c r="O1489" i="4"/>
  <c r="Z1489" i="2"/>
  <c r="O1488" i="4"/>
  <c r="Z1488" i="2"/>
  <c r="O1485" i="4"/>
  <c r="Z1485" i="2"/>
  <c r="O1484" i="4"/>
  <c r="Z1484" i="2"/>
  <c r="O1483" i="4"/>
  <c r="Z1483" i="2"/>
  <c r="O1477" i="4"/>
  <c r="Z1477" i="2"/>
  <c r="O1475" i="4"/>
  <c r="Z1475" i="2"/>
  <c r="O1457" i="4"/>
  <c r="Z1457" i="2"/>
  <c r="O1456" i="4"/>
  <c r="Z1456" i="2"/>
  <c r="O1445" i="4"/>
  <c r="Z1445" i="2"/>
  <c r="O1444" i="4"/>
  <c r="Z1444" i="2"/>
  <c r="O1434" i="4"/>
  <c r="Z1434" i="2"/>
  <c r="O1430" i="4"/>
  <c r="Z1430" i="2"/>
  <c r="O1427" i="4"/>
  <c r="Z1427" i="2"/>
  <c r="O1426" i="4"/>
  <c r="Z1426" i="2"/>
  <c r="O1423" i="4"/>
  <c r="Z1423" i="2"/>
  <c r="O1421" i="4"/>
  <c r="Z1421" i="2"/>
  <c r="O1420" i="4"/>
  <c r="Z1420" i="2"/>
  <c r="O1416" i="4"/>
  <c r="Z1416" i="2"/>
  <c r="O1414" i="4"/>
  <c r="Z1414" i="2"/>
  <c r="O1413" i="4"/>
  <c r="Z1413" i="2"/>
  <c r="O1407" i="4"/>
  <c r="Z1407" i="2"/>
  <c r="O1401" i="4"/>
  <c r="Z1401" i="2"/>
  <c r="O1400" i="4"/>
  <c r="Z1400" i="2"/>
  <c r="O1399" i="4"/>
  <c r="Z1399" i="2"/>
  <c r="O1398" i="4"/>
  <c r="Z1398" i="2"/>
  <c r="O1395" i="4"/>
  <c r="Z1395" i="2"/>
  <c r="O1393" i="4"/>
  <c r="Z1393" i="2"/>
  <c r="O1389" i="4"/>
  <c r="Z1389" i="2"/>
  <c r="O1388" i="4"/>
  <c r="Z1388" i="2"/>
  <c r="O1387" i="4"/>
  <c r="Z1387" i="2"/>
  <c r="O1386" i="4"/>
  <c r="Z1386" i="2"/>
  <c r="O1381" i="4"/>
  <c r="Z1381" i="2"/>
  <c r="O1380" i="4"/>
  <c r="Z1380" i="2"/>
  <c r="O1379" i="4"/>
  <c r="Z1379" i="2"/>
  <c r="O1378" i="4"/>
  <c r="Z1378" i="2"/>
  <c r="O1377" i="4"/>
  <c r="Z1377" i="2"/>
  <c r="O1376" i="4"/>
  <c r="Z1376" i="2"/>
  <c r="O1374" i="4"/>
  <c r="Z1374" i="2"/>
  <c r="O1373" i="4"/>
  <c r="Z1373" i="2"/>
  <c r="O1371" i="4"/>
  <c r="Z1371" i="2"/>
  <c r="O1370" i="4"/>
  <c r="Z1370" i="2"/>
  <c r="O1369" i="4"/>
  <c r="Z1369" i="2"/>
  <c r="O1367" i="4"/>
  <c r="Z1367" i="2"/>
  <c r="O1364" i="4"/>
  <c r="Z1364" i="2"/>
  <c r="O1363" i="4"/>
  <c r="Z1363" i="2"/>
  <c r="O1361" i="4"/>
  <c r="Z1361" i="2"/>
  <c r="O1359" i="4"/>
  <c r="Z1359" i="2"/>
  <c r="O1358" i="4"/>
  <c r="Z1358" i="2"/>
  <c r="O1357" i="4"/>
  <c r="Z1357" i="2"/>
  <c r="O1356" i="4"/>
  <c r="Z1356" i="2"/>
  <c r="O1355" i="4"/>
  <c r="Z1355" i="2"/>
  <c r="O1354" i="4"/>
  <c r="Z1354" i="2"/>
  <c r="O1188" i="4"/>
  <c r="Z1188" i="2"/>
  <c r="O663" i="4"/>
  <c r="Z663" i="2"/>
  <c r="O650" i="4"/>
  <c r="Z650" i="2"/>
  <c r="O648" i="4"/>
  <c r="Z648" i="2"/>
  <c r="O619" i="4"/>
  <c r="Z619" i="2"/>
  <c r="O611" i="4"/>
  <c r="Z611" i="2"/>
  <c r="O606" i="4"/>
  <c r="Z606" i="2"/>
  <c r="O602" i="4"/>
  <c r="Z602" i="2"/>
  <c r="O597" i="4"/>
  <c r="Z597" i="2"/>
  <c r="O593" i="4"/>
  <c r="Z593" i="2"/>
  <c r="O586" i="4"/>
  <c r="Z586" i="2"/>
  <c r="O527" i="4"/>
  <c r="Z527" i="2"/>
  <c r="O520" i="4"/>
  <c r="Z520" i="2"/>
  <c r="O1334" i="4"/>
  <c r="Z1334" i="2"/>
  <c r="O1327" i="4"/>
  <c r="Z1327" i="2"/>
  <c r="O1326" i="4"/>
  <c r="Z1326" i="2"/>
  <c r="O1324" i="4"/>
  <c r="Z1324" i="2"/>
  <c r="O1318" i="4"/>
  <c r="Z1318" i="2"/>
  <c r="O1309" i="4"/>
  <c r="Z1309" i="2"/>
  <c r="O1302" i="4"/>
  <c r="Z1302" i="2"/>
  <c r="O1293" i="4"/>
  <c r="Z1293" i="2"/>
  <c r="O1291" i="4"/>
  <c r="Z1291" i="2"/>
  <c r="O1280" i="4"/>
  <c r="Z1280" i="2"/>
  <c r="O1271" i="4"/>
  <c r="Z1271" i="2"/>
  <c r="O1270" i="4"/>
  <c r="Z1270" i="2"/>
  <c r="O1267" i="4"/>
  <c r="Z1267" i="2"/>
  <c r="O1262" i="4"/>
  <c r="Z1262" i="2"/>
  <c r="O1259" i="4"/>
  <c r="Z1259" i="2"/>
  <c r="O1256" i="4"/>
  <c r="Z1256" i="2"/>
  <c r="O1255" i="4"/>
  <c r="Z1255" i="2"/>
  <c r="O1254" i="4"/>
  <c r="Z1254" i="2"/>
  <c r="O1253" i="4"/>
  <c r="Z1253" i="2"/>
  <c r="O1252" i="4"/>
  <c r="Z1252" i="2"/>
  <c r="O1249" i="4"/>
  <c r="Z1249" i="2"/>
  <c r="O1247" i="4"/>
  <c r="Z1247" i="2"/>
  <c r="O1244" i="4"/>
  <c r="Z1244" i="2"/>
  <c r="O1243" i="4"/>
  <c r="Z1243" i="2"/>
  <c r="O1237" i="4"/>
  <c r="Z1237" i="2"/>
  <c r="O1235" i="4"/>
  <c r="Z1235" i="2"/>
  <c r="O1234" i="4"/>
  <c r="Z1234" i="2"/>
  <c r="O1233" i="4"/>
  <c r="Z1233" i="2"/>
  <c r="O1231" i="4"/>
  <c r="Z1231" i="2"/>
  <c r="O1230" i="4"/>
  <c r="Z1230" i="2"/>
  <c r="O1228" i="4"/>
  <c r="Z1228" i="2"/>
  <c r="O1225" i="4"/>
  <c r="Z1225" i="2"/>
  <c r="O1224" i="4"/>
  <c r="Z1224" i="2"/>
  <c r="O1223" i="4"/>
  <c r="Z1223" i="2"/>
  <c r="O1220" i="4"/>
  <c r="Z1220" i="2"/>
  <c r="O1219" i="4"/>
  <c r="Z1219" i="2"/>
  <c r="O1218" i="4"/>
  <c r="Z1218" i="2"/>
  <c r="O1217" i="4"/>
  <c r="Z1217" i="2"/>
  <c r="O1215" i="4"/>
  <c r="Z1215" i="2"/>
  <c r="O1214" i="4"/>
  <c r="Z1214" i="2"/>
  <c r="O1212" i="4"/>
  <c r="Z1212" i="2"/>
  <c r="O1211" i="4"/>
  <c r="Z1211" i="2"/>
  <c r="O1208" i="4"/>
  <c r="Z1208" i="2"/>
  <c r="O1204" i="4"/>
  <c r="Z1204" i="2"/>
  <c r="O1202" i="4"/>
  <c r="Z1202" i="2"/>
  <c r="O1201" i="4"/>
  <c r="Z1201" i="2"/>
  <c r="O1196" i="4"/>
  <c r="Z1196" i="2"/>
  <c r="O1195" i="4"/>
  <c r="Z1195" i="2"/>
  <c r="O1194" i="4"/>
  <c r="Z1194" i="2"/>
  <c r="O1193" i="4"/>
  <c r="Z1193" i="2"/>
  <c r="O1192" i="4"/>
  <c r="Z1192" i="2"/>
  <c r="O1191" i="4"/>
  <c r="Z1191" i="2"/>
  <c r="O1190" i="4"/>
  <c r="Z1190" i="2"/>
  <c r="O1014" i="4"/>
  <c r="Z1014" i="2"/>
  <c r="O652" i="4"/>
  <c r="Z652" i="2"/>
  <c r="O641" i="4"/>
  <c r="Z641" i="2"/>
  <c r="O638" i="4"/>
  <c r="Z638" i="2"/>
  <c r="O637" i="4"/>
  <c r="Z637" i="2"/>
  <c r="O636" i="4"/>
  <c r="Z636" i="2"/>
  <c r="O635" i="4"/>
  <c r="Z635" i="2"/>
  <c r="O629" i="4"/>
  <c r="Z629" i="2"/>
  <c r="O615" i="4"/>
  <c r="Z615" i="2"/>
  <c r="O588" i="4"/>
  <c r="Z588" i="2"/>
  <c r="O585" i="4"/>
  <c r="Z585" i="2"/>
  <c r="O550" i="4"/>
  <c r="Z550" i="2"/>
  <c r="O544" i="4"/>
  <c r="Z544" i="2"/>
  <c r="O529" i="4"/>
  <c r="Z529" i="2"/>
  <c r="O528" i="4"/>
  <c r="Z528" i="2"/>
  <c r="O1183" i="4"/>
  <c r="Z1183" i="2"/>
  <c r="O1182" i="4"/>
  <c r="Z1182" i="2"/>
  <c r="O1178" i="4"/>
  <c r="Z1178" i="2"/>
  <c r="O1177" i="4"/>
  <c r="Z1177" i="2"/>
  <c r="O1174" i="4"/>
  <c r="Z1174" i="2"/>
  <c r="O1170" i="4"/>
  <c r="Z1170" i="2"/>
  <c r="O1168" i="4"/>
  <c r="Z1168" i="2"/>
  <c r="O1165" i="4"/>
  <c r="Z1165" i="2"/>
  <c r="O1163" i="4"/>
  <c r="Z1163" i="2"/>
  <c r="O1162" i="4"/>
  <c r="Z1162" i="2"/>
  <c r="O1158" i="4"/>
  <c r="Z1158" i="2"/>
  <c r="O1156" i="4"/>
  <c r="Z1156" i="2"/>
  <c r="O1155" i="4"/>
  <c r="Z1155" i="2"/>
  <c r="O1153" i="4"/>
  <c r="Z1153" i="2"/>
  <c r="O1152" i="4"/>
  <c r="Z1152" i="2"/>
  <c r="O1151" i="4"/>
  <c r="Z1151" i="2"/>
  <c r="O1150" i="4"/>
  <c r="Z1150" i="2"/>
  <c r="O1146" i="4"/>
  <c r="Z1146" i="2"/>
  <c r="O1144" i="4"/>
  <c r="Z1144" i="2"/>
  <c r="O1139" i="4"/>
  <c r="Z1139" i="2"/>
  <c r="O1138" i="4"/>
  <c r="Z1138" i="2"/>
  <c r="O1136" i="4"/>
  <c r="Z1136" i="2"/>
  <c r="O1135" i="4"/>
  <c r="Z1135" i="2"/>
  <c r="O1134" i="4"/>
  <c r="Z1134" i="2"/>
  <c r="O1130" i="4"/>
  <c r="Z1130" i="2"/>
  <c r="O1129" i="4"/>
  <c r="Z1129" i="2"/>
  <c r="O1128" i="4"/>
  <c r="Z1128" i="2"/>
  <c r="O1127" i="4"/>
  <c r="Z1127" i="2"/>
  <c r="O1126" i="4"/>
  <c r="Z1126" i="2"/>
  <c r="O1125" i="4"/>
  <c r="Z1125" i="2"/>
  <c r="O1124" i="4"/>
  <c r="Z1124" i="2"/>
  <c r="O1123" i="4"/>
  <c r="Z1123" i="2"/>
  <c r="O1117" i="4"/>
  <c r="Z1117" i="2"/>
  <c r="O1116" i="4"/>
  <c r="Z1116" i="2"/>
  <c r="O1114" i="4"/>
  <c r="Z1114" i="2"/>
  <c r="O1112" i="4"/>
  <c r="Z1112" i="2"/>
  <c r="O1108" i="4"/>
  <c r="Z1108" i="2"/>
  <c r="O1107" i="4"/>
  <c r="Z1107" i="2"/>
  <c r="O1105" i="4"/>
  <c r="Z1105" i="2"/>
  <c r="O1104" i="4"/>
  <c r="Z1104" i="2"/>
  <c r="O1103" i="4"/>
  <c r="Z1103" i="2"/>
  <c r="O1102" i="4"/>
  <c r="Z1102" i="2"/>
  <c r="O1101" i="4"/>
  <c r="Z1101" i="2"/>
  <c r="O1099" i="4"/>
  <c r="Z1099" i="2"/>
  <c r="O1097" i="4"/>
  <c r="Z1097" i="2"/>
  <c r="O1096" i="4"/>
  <c r="Z1096" i="2"/>
  <c r="O1092" i="4"/>
  <c r="Z1092" i="2"/>
  <c r="O1091" i="4"/>
  <c r="Z1091" i="2"/>
  <c r="O1090" i="4"/>
  <c r="Z1090" i="2"/>
  <c r="O1082" i="4"/>
  <c r="Z1082" i="2"/>
  <c r="O1063" i="4"/>
  <c r="Z1063" i="2"/>
  <c r="O1050" i="4"/>
  <c r="Z1050" i="2"/>
  <c r="O1049" i="4"/>
  <c r="Z1049" i="2"/>
  <c r="O1047" i="4"/>
  <c r="Z1047" i="2"/>
  <c r="O1044" i="4"/>
  <c r="Z1044" i="2"/>
  <c r="O1037" i="4"/>
  <c r="Z1037" i="2"/>
  <c r="O1034" i="4"/>
  <c r="Z1034" i="2"/>
  <c r="O1033" i="4"/>
  <c r="Z1033" i="2"/>
  <c r="O1030" i="4"/>
  <c r="Z1030" i="2"/>
  <c r="O1022" i="4"/>
  <c r="Z1022" i="2"/>
  <c r="O649" i="4"/>
  <c r="Z649" i="2"/>
  <c r="O639" i="4"/>
  <c r="Z639" i="2"/>
  <c r="O626" i="4"/>
  <c r="Z626" i="2"/>
  <c r="O595" i="4"/>
  <c r="Z595" i="2"/>
  <c r="O569" i="4"/>
  <c r="Z569" i="2"/>
  <c r="O562" i="4"/>
  <c r="Z562" i="2"/>
  <c r="O560" i="4"/>
  <c r="Z560" i="2"/>
  <c r="O540" i="4"/>
  <c r="Z540" i="2"/>
  <c r="O516" i="4"/>
  <c r="Z516" i="2"/>
  <c r="O1003" i="4"/>
  <c r="Z1003" i="2"/>
  <c r="O994" i="4"/>
  <c r="Z994" i="2"/>
  <c r="O992" i="4"/>
  <c r="Z992" i="2"/>
  <c r="O987" i="4"/>
  <c r="Z987" i="2"/>
  <c r="O976" i="4"/>
  <c r="Z976" i="2"/>
  <c r="O975" i="4"/>
  <c r="Z975" i="2"/>
  <c r="O974" i="4"/>
  <c r="Z974" i="2"/>
  <c r="O973" i="4"/>
  <c r="Z973" i="2"/>
  <c r="O972" i="4"/>
  <c r="Z972" i="2"/>
  <c r="O969" i="4"/>
  <c r="Z969" i="2"/>
  <c r="O968" i="4"/>
  <c r="Z968" i="2"/>
  <c r="O960" i="4"/>
  <c r="Z960" i="2"/>
  <c r="O958" i="4"/>
  <c r="Z958" i="2"/>
  <c r="O954" i="4"/>
  <c r="Z954" i="2"/>
  <c r="O950" i="4"/>
  <c r="Z950" i="2"/>
  <c r="O949" i="4"/>
  <c r="Z949" i="2"/>
  <c r="O948" i="4"/>
  <c r="Z948" i="2"/>
  <c r="O947" i="4"/>
  <c r="Z947" i="2"/>
  <c r="O944" i="4"/>
  <c r="Z944" i="2"/>
  <c r="O943" i="4"/>
  <c r="Z943" i="2"/>
  <c r="O942" i="4"/>
  <c r="Z942" i="2"/>
  <c r="O941" i="4"/>
  <c r="Z941" i="2"/>
  <c r="O938" i="4"/>
  <c r="Z938" i="2"/>
  <c r="O934" i="4"/>
  <c r="Z934" i="2"/>
  <c r="O933" i="4"/>
  <c r="Z933" i="2"/>
  <c r="O929" i="4"/>
  <c r="Z929" i="2"/>
  <c r="O928" i="4"/>
  <c r="Z928" i="2"/>
  <c r="O924" i="4"/>
  <c r="Z924" i="2"/>
  <c r="O921" i="4"/>
  <c r="Z921" i="2"/>
  <c r="O920" i="4"/>
  <c r="Z920" i="2"/>
  <c r="O919" i="4"/>
  <c r="Z919" i="2"/>
  <c r="O918" i="4"/>
  <c r="Z918" i="2"/>
  <c r="O916" i="4"/>
  <c r="Z916" i="2"/>
  <c r="O914" i="4"/>
  <c r="Z914" i="2"/>
  <c r="O913" i="4"/>
  <c r="Z913" i="2"/>
  <c r="O902" i="4"/>
  <c r="Z902" i="2"/>
  <c r="O897" i="4"/>
  <c r="Z897" i="2"/>
  <c r="O892" i="4"/>
  <c r="Z892" i="2"/>
  <c r="O891" i="4"/>
  <c r="Z891" i="2"/>
  <c r="O888" i="4"/>
  <c r="Z888" i="2"/>
  <c r="O886" i="4"/>
  <c r="Z886" i="2"/>
  <c r="O883" i="4"/>
  <c r="Z883" i="2"/>
  <c r="O880" i="4"/>
  <c r="Z880" i="2"/>
  <c r="O872" i="4"/>
  <c r="Z872" i="2"/>
  <c r="O870" i="4"/>
  <c r="Z870" i="2"/>
  <c r="O869" i="4"/>
  <c r="Z869" i="2"/>
  <c r="O867" i="4"/>
  <c r="Z867" i="2"/>
  <c r="O866" i="4"/>
  <c r="Z866" i="2"/>
  <c r="O865" i="4"/>
  <c r="Z865" i="2"/>
  <c r="O862" i="4"/>
  <c r="Z862" i="2"/>
  <c r="O855" i="4"/>
  <c r="Z855" i="2"/>
  <c r="O854" i="4"/>
  <c r="Z854" i="2"/>
  <c r="O849" i="4"/>
  <c r="Z849" i="2"/>
  <c r="O660" i="4"/>
  <c r="Z660" i="2"/>
  <c r="O631" i="4"/>
  <c r="Z631" i="2"/>
  <c r="O618" i="4"/>
  <c r="Z618" i="2"/>
  <c r="O617" i="4"/>
  <c r="Z617" i="2"/>
  <c r="O599" i="4"/>
  <c r="Z599" i="2"/>
  <c r="O547" i="4"/>
  <c r="Z547" i="2"/>
  <c r="O545" i="4"/>
  <c r="Z545" i="2"/>
  <c r="O536" i="4"/>
  <c r="Z536" i="2"/>
  <c r="O521" i="4"/>
  <c r="Z521" i="2"/>
  <c r="O844" i="4"/>
  <c r="Z844" i="2"/>
  <c r="O843" i="4"/>
  <c r="Z843" i="2"/>
  <c r="O841" i="4"/>
  <c r="Z841" i="2"/>
  <c r="O831" i="4"/>
  <c r="Z831" i="2"/>
  <c r="O830" i="4"/>
  <c r="Z830" i="2"/>
  <c r="O817" i="4"/>
  <c r="Z817" i="2"/>
  <c r="O816" i="4"/>
  <c r="Z816" i="2"/>
  <c r="O814" i="4"/>
  <c r="Z814" i="2"/>
  <c r="O813" i="4"/>
  <c r="Z813" i="2"/>
  <c r="O811" i="4"/>
  <c r="Z811" i="2"/>
  <c r="O810" i="4"/>
  <c r="Z810" i="2"/>
  <c r="O809" i="4"/>
  <c r="Z809" i="2"/>
  <c r="O805" i="4"/>
  <c r="Z805" i="2"/>
  <c r="O803" i="4"/>
  <c r="Z803" i="2"/>
  <c r="O802" i="4"/>
  <c r="Z802" i="2"/>
  <c r="O801" i="4"/>
  <c r="Z801" i="2"/>
  <c r="O799" i="4"/>
  <c r="Z799" i="2"/>
  <c r="O798" i="4"/>
  <c r="Z798" i="2"/>
  <c r="O797" i="4"/>
  <c r="Z797" i="2"/>
  <c r="O793" i="4"/>
  <c r="Z793" i="2"/>
  <c r="O792" i="4"/>
  <c r="Z792" i="2"/>
  <c r="O787" i="4"/>
  <c r="Z787" i="2"/>
  <c r="O785" i="4"/>
  <c r="Z785" i="2"/>
  <c r="O781" i="4"/>
  <c r="Z781" i="2"/>
  <c r="O780" i="4"/>
  <c r="Z780" i="2"/>
  <c r="O779" i="4"/>
  <c r="Z779" i="2"/>
  <c r="O778" i="4"/>
  <c r="Z778" i="2"/>
  <c r="O775" i="4"/>
  <c r="Z775" i="2"/>
  <c r="O774" i="4"/>
  <c r="Z774" i="2"/>
  <c r="O772" i="4"/>
  <c r="Z772" i="2"/>
  <c r="O771" i="4"/>
  <c r="Z771" i="2"/>
  <c r="O770" i="4"/>
  <c r="Z770" i="2"/>
  <c r="O757" i="4"/>
  <c r="Z757" i="2"/>
  <c r="O754" i="4"/>
  <c r="Z754" i="2"/>
  <c r="O753" i="4"/>
  <c r="Z753" i="2"/>
  <c r="O752" i="4"/>
  <c r="Z752" i="2"/>
  <c r="O749" i="4"/>
  <c r="Z749" i="2"/>
  <c r="O748" i="4"/>
  <c r="Z748" i="2"/>
  <c r="O740" i="4"/>
  <c r="Z740" i="2"/>
  <c r="O738" i="4"/>
  <c r="Z738" i="2"/>
  <c r="O737" i="4"/>
  <c r="Z737" i="2"/>
  <c r="O734" i="4"/>
  <c r="Z734" i="2"/>
  <c r="O732" i="4"/>
  <c r="Z732" i="2"/>
  <c r="O729" i="4"/>
  <c r="Z729" i="2"/>
  <c r="O722" i="4"/>
  <c r="Z722" i="2"/>
  <c r="O716" i="4"/>
  <c r="Z716" i="2"/>
  <c r="O712" i="4"/>
  <c r="Z712" i="2"/>
  <c r="O709" i="4"/>
  <c r="Z709" i="2"/>
  <c r="O708" i="4"/>
  <c r="Z708" i="2"/>
  <c r="O702" i="4"/>
  <c r="Z702" i="2"/>
  <c r="O701" i="4"/>
  <c r="Z701" i="2"/>
  <c r="O700" i="4"/>
  <c r="Z700" i="2"/>
  <c r="O699" i="4"/>
  <c r="Z699" i="2"/>
  <c r="O697" i="4"/>
  <c r="Z697" i="2"/>
  <c r="O694" i="4"/>
  <c r="Z694" i="2"/>
  <c r="O693" i="4"/>
  <c r="Z693" i="2"/>
  <c r="O690" i="4"/>
  <c r="Z690" i="2"/>
  <c r="O687" i="4"/>
  <c r="Z687" i="2"/>
  <c r="O685" i="4"/>
  <c r="Z685" i="2"/>
  <c r="O683" i="4"/>
  <c r="Z683" i="2"/>
  <c r="O681" i="4"/>
  <c r="Z681" i="2"/>
  <c r="O679" i="4"/>
  <c r="Z679" i="2"/>
  <c r="O678" i="4"/>
  <c r="Z678" i="2"/>
  <c r="O625" i="4"/>
  <c r="Z625" i="2"/>
  <c r="O590" i="4"/>
  <c r="Z590" i="2"/>
  <c r="O579" i="4"/>
  <c r="Z579" i="2"/>
  <c r="O570" i="4"/>
  <c r="Z570" i="2"/>
  <c r="O563" i="4"/>
  <c r="Z563" i="2"/>
  <c r="O555" i="4"/>
  <c r="Z555" i="2"/>
  <c r="O553" i="4"/>
  <c r="Z553" i="2"/>
  <c r="O542" i="4"/>
  <c r="Z542" i="2"/>
  <c r="O541" i="4"/>
  <c r="Z541" i="2"/>
  <c r="O496" i="4"/>
  <c r="Z496" i="2"/>
  <c r="O492" i="4"/>
  <c r="Z492" i="2"/>
  <c r="O491" i="4"/>
  <c r="Z491" i="2"/>
  <c r="O490" i="4"/>
  <c r="Z490" i="2"/>
  <c r="O485" i="4"/>
  <c r="Z485" i="2"/>
  <c r="O468" i="4"/>
  <c r="Z468" i="2"/>
  <c r="O467" i="4"/>
  <c r="Z467" i="2"/>
  <c r="O463" i="4"/>
  <c r="Z463" i="2"/>
  <c r="O462" i="4"/>
  <c r="Z462" i="2"/>
  <c r="O460" i="4"/>
  <c r="Z460" i="2"/>
  <c r="O454" i="4"/>
  <c r="Z454" i="2"/>
  <c r="O450" i="4"/>
  <c r="Z450" i="2"/>
  <c r="O447" i="4"/>
  <c r="Z447" i="2"/>
  <c r="O438" i="4"/>
  <c r="Z438" i="2"/>
  <c r="O436" i="4"/>
  <c r="Z436" i="2"/>
  <c r="O433" i="4"/>
  <c r="Z433" i="2"/>
  <c r="O432" i="4"/>
  <c r="Z432" i="2"/>
  <c r="O428" i="4"/>
  <c r="Z428" i="2"/>
  <c r="O420" i="4"/>
  <c r="Z420" i="2"/>
  <c r="O418" i="4"/>
  <c r="Z418" i="2"/>
  <c r="O414" i="4"/>
  <c r="Z414" i="2"/>
  <c r="O412" i="4"/>
  <c r="Z412" i="2"/>
  <c r="O411" i="4"/>
  <c r="Z411" i="2"/>
  <c r="O407" i="4"/>
  <c r="Z407" i="2"/>
  <c r="O404" i="4"/>
  <c r="Z404" i="2"/>
  <c r="O403" i="4"/>
  <c r="Z403" i="2"/>
  <c r="O400" i="4"/>
  <c r="Z400" i="2"/>
  <c r="O399" i="4"/>
  <c r="Z399" i="2"/>
  <c r="O395" i="4"/>
  <c r="Z395" i="2"/>
  <c r="O393" i="4"/>
  <c r="Z393" i="2"/>
  <c r="O387" i="4"/>
  <c r="Z387" i="2"/>
  <c r="O386" i="4"/>
  <c r="Z386" i="2"/>
  <c r="O385" i="4"/>
  <c r="Z385" i="2"/>
  <c r="O381" i="4"/>
  <c r="Z381" i="2"/>
  <c r="O380" i="4"/>
  <c r="Z380" i="2"/>
  <c r="O379" i="4"/>
  <c r="Z379" i="2"/>
  <c r="O375" i="4"/>
  <c r="Z375" i="2"/>
  <c r="O371" i="4"/>
  <c r="Z371" i="2"/>
  <c r="O369" i="4"/>
  <c r="Z369" i="2"/>
  <c r="O368" i="4"/>
  <c r="Z368" i="2"/>
  <c r="O366" i="4"/>
  <c r="Z366" i="2"/>
  <c r="O364" i="4"/>
  <c r="Z364" i="2"/>
  <c r="O359" i="4"/>
  <c r="Z359" i="2"/>
  <c r="O356" i="4"/>
  <c r="Z356" i="2"/>
  <c r="O355" i="4"/>
  <c r="Z355" i="2"/>
  <c r="O345" i="4"/>
  <c r="Z345" i="2"/>
  <c r="O340" i="4"/>
  <c r="Z340" i="2"/>
  <c r="O339" i="4"/>
  <c r="Z339" i="2"/>
  <c r="O338" i="4"/>
  <c r="Z338" i="2"/>
  <c r="O182" i="4"/>
  <c r="Z182" i="2"/>
  <c r="O1529" i="4"/>
  <c r="Z1529" i="2"/>
  <c r="O1525" i="4"/>
  <c r="Z1525" i="2"/>
  <c r="O1520" i="4"/>
  <c r="Z1520" i="2"/>
  <c r="O326" i="4"/>
  <c r="Z326" i="2"/>
  <c r="O324" i="4"/>
  <c r="Z324" i="2"/>
  <c r="O321" i="4"/>
  <c r="Z321" i="2"/>
  <c r="O317" i="4"/>
  <c r="Z317" i="2"/>
  <c r="O310" i="4"/>
  <c r="Z310" i="2"/>
  <c r="O309" i="4"/>
  <c r="Z309" i="2"/>
  <c r="O305" i="4"/>
  <c r="Z305" i="2"/>
  <c r="O304" i="4"/>
  <c r="Z304" i="2"/>
  <c r="O299" i="4"/>
  <c r="Z299" i="2"/>
  <c r="O296" i="4"/>
  <c r="Z296" i="2"/>
  <c r="O295" i="4"/>
  <c r="Z295" i="2"/>
  <c r="O294" i="4"/>
  <c r="Z294" i="2"/>
  <c r="O292" i="4"/>
  <c r="Z292" i="2"/>
  <c r="O291" i="4"/>
  <c r="Z291" i="2"/>
  <c r="O287" i="4"/>
  <c r="Z287" i="2"/>
  <c r="O286" i="4"/>
  <c r="Z286" i="2"/>
  <c r="O284" i="4"/>
  <c r="Z284" i="2"/>
  <c r="O283" i="4"/>
  <c r="Z283" i="2"/>
  <c r="O281" i="4"/>
  <c r="Z281" i="2"/>
  <c r="O272" i="4"/>
  <c r="Z272" i="2"/>
  <c r="O271" i="4"/>
  <c r="Z271" i="2"/>
  <c r="O260" i="4"/>
  <c r="Z260" i="2"/>
  <c r="O257" i="4"/>
  <c r="Z257" i="2"/>
  <c r="O252" i="4"/>
  <c r="Z252" i="2"/>
  <c r="O251" i="4"/>
  <c r="Z251" i="2"/>
  <c r="O247" i="4"/>
  <c r="Z247" i="2"/>
  <c r="O243" i="4"/>
  <c r="Z243" i="2"/>
  <c r="O242" i="4"/>
  <c r="Z242" i="2"/>
  <c r="O241" i="4"/>
  <c r="Z241" i="2"/>
  <c r="O240" i="4"/>
  <c r="Z240" i="2"/>
  <c r="O238" i="4"/>
  <c r="Z238" i="2"/>
  <c r="O231" i="4"/>
  <c r="Z231" i="2"/>
  <c r="O222" i="4"/>
  <c r="Z222" i="2"/>
  <c r="O217" i="4"/>
  <c r="Z217" i="2"/>
  <c r="O213" i="4"/>
  <c r="Z213" i="2"/>
  <c r="O212" i="4"/>
  <c r="Z212" i="2"/>
  <c r="O210" i="4"/>
  <c r="Z210" i="2"/>
  <c r="O209" i="4"/>
  <c r="Z209" i="2"/>
  <c r="O206" i="4"/>
  <c r="Z206" i="2"/>
  <c r="O202" i="4"/>
  <c r="Z202" i="2"/>
  <c r="O201" i="4"/>
  <c r="Z201" i="2"/>
  <c r="O200" i="4"/>
  <c r="Z200" i="2"/>
  <c r="O199" i="4"/>
  <c r="Z199" i="2"/>
  <c r="O197" i="4"/>
  <c r="Z197" i="2"/>
  <c r="O193" i="4"/>
  <c r="Z193" i="2"/>
  <c r="O188" i="4"/>
  <c r="Z188" i="2"/>
  <c r="O185" i="4"/>
  <c r="Z185" i="2"/>
  <c r="O184" i="4"/>
  <c r="Z184" i="2"/>
  <c r="O181" i="4"/>
  <c r="Z181" i="2"/>
  <c r="O172" i="4"/>
  <c r="Z172" i="2"/>
  <c r="O164" i="4"/>
  <c r="Z164" i="2"/>
  <c r="O161" i="4"/>
  <c r="Z161" i="2"/>
  <c r="O155" i="4"/>
  <c r="Z155" i="2"/>
  <c r="O143" i="4"/>
  <c r="Z143" i="2"/>
  <c r="O137" i="4"/>
  <c r="Z137" i="2"/>
  <c r="O136" i="4"/>
  <c r="Z136" i="2"/>
  <c r="O135" i="4"/>
  <c r="Z135" i="2"/>
  <c r="O126" i="4"/>
  <c r="Z126" i="2"/>
  <c r="O125" i="4"/>
  <c r="Z125" i="2"/>
  <c r="O122" i="4"/>
  <c r="Z122" i="2"/>
  <c r="O114" i="4"/>
  <c r="Z114" i="2"/>
  <c r="O108" i="4"/>
  <c r="Z108" i="2"/>
  <c r="O107" i="4"/>
  <c r="Z107" i="2"/>
  <c r="O105" i="4"/>
  <c r="Z105" i="2"/>
  <c r="O101" i="4"/>
  <c r="Z101" i="2"/>
  <c r="O95" i="4"/>
  <c r="Z95" i="2"/>
  <c r="O91" i="4"/>
  <c r="Z91" i="2"/>
  <c r="O89" i="4"/>
  <c r="Z89" i="2"/>
  <c r="O88" i="4"/>
  <c r="Z88" i="2"/>
  <c r="O87" i="4"/>
  <c r="Z87" i="2"/>
  <c r="O85" i="4"/>
  <c r="Z85" i="2"/>
  <c r="O84" i="4"/>
  <c r="Z84" i="2"/>
  <c r="O81" i="4"/>
  <c r="Z81" i="2"/>
  <c r="O75" i="4"/>
  <c r="Z75" i="2"/>
  <c r="O73" i="4"/>
  <c r="Z73" i="2"/>
  <c r="O72" i="4"/>
  <c r="Z72" i="2"/>
  <c r="O71" i="4"/>
  <c r="Z71" i="2"/>
  <c r="O70" i="4"/>
  <c r="Z70" i="2"/>
  <c r="O69" i="4"/>
  <c r="Z69" i="2"/>
  <c r="O68" i="4"/>
  <c r="Z68" i="2"/>
  <c r="O67" i="4"/>
  <c r="Z67" i="2"/>
  <c r="O64" i="4"/>
  <c r="Z64" i="2"/>
  <c r="O61" i="4"/>
  <c r="Z61" i="2"/>
  <c r="O59" i="4"/>
  <c r="Z59" i="2"/>
  <c r="O57" i="4"/>
  <c r="Z57" i="2"/>
  <c r="O53" i="4"/>
  <c r="Z53" i="2"/>
  <c r="O47" i="4"/>
  <c r="Z47" i="2"/>
  <c r="O45" i="4"/>
  <c r="Z45" i="2"/>
  <c r="O40" i="4"/>
  <c r="Z40" i="2"/>
  <c r="O38" i="4"/>
  <c r="Z38" i="2"/>
  <c r="O36" i="4"/>
  <c r="Z36" i="2"/>
  <c r="O35" i="4"/>
  <c r="Z35" i="2"/>
  <c r="O28" i="4"/>
  <c r="Z28" i="2"/>
  <c r="O27" i="4"/>
  <c r="Z27" i="2"/>
  <c r="O25" i="4"/>
  <c r="Z25" i="2"/>
  <c r="O24" i="4"/>
  <c r="Z24" i="2"/>
  <c r="O22" i="4"/>
  <c r="Z22" i="2"/>
  <c r="O21" i="4"/>
  <c r="Z21" i="2"/>
  <c r="O20" i="4"/>
  <c r="Z20" i="2"/>
  <c r="O19" i="4"/>
  <c r="Z19" i="2"/>
  <c r="O17" i="4"/>
  <c r="Z17" i="2"/>
  <c r="O14" i="4"/>
  <c r="Z14" i="2"/>
  <c r="O10" i="4"/>
  <c r="Z10" i="2"/>
  <c r="O9" i="4"/>
  <c r="B16" i="1"/>
  <c r="B14" i="1" l="1"/>
  <c r="B15" i="1"/>
  <c r="G9" i="1"/>
  <c r="G7" i="1" l="1"/>
  <c r="G10" i="1" s="1"/>
</calcChain>
</file>

<file path=xl/sharedStrings.xml><?xml version="1.0" encoding="utf-8"?>
<sst xmlns="http://schemas.openxmlformats.org/spreadsheetml/2006/main" count="28003" uniqueCount="5192">
  <si>
    <t>Three checks on an AI-cleaned report</t>
  </si>
  <si>
    <t>Synthetic practice data. Source calculations read Raw; the separate answer key is not an input.</t>
  </si>
  <si>
    <t>Record accounting</t>
  </si>
  <si>
    <t>Rows</t>
  </si>
  <si>
    <t>Check</t>
  </si>
  <si>
    <t>Result</t>
  </si>
  <si>
    <t>Raw records</t>
  </si>
  <si>
    <t>1 Records and fields</t>
  </si>
  <si>
    <t>Exact duplicate copies</t>
  </si>
  <si>
    <t>2 Signed money</t>
  </si>
  <si>
    <t>Quarantined raw records</t>
  </si>
  <si>
    <t>3 Months and categories</t>
  </si>
  <si>
    <t>Included source records</t>
  </si>
  <si>
    <t>Overall comparison</t>
  </si>
  <si>
    <t>Raw reconciliation difference</t>
  </si>
  <si>
    <t>AI output records</t>
  </si>
  <si>
    <t>Raw records still awaiting review</t>
  </si>
  <si>
    <t>Included IDs absent from their slots</t>
  </si>
  <si>
    <t>AI rows with ID / order differences</t>
  </si>
  <si>
    <t>A matching comparison leaves quarantine unresolved.</t>
  </si>
  <si>
    <t>Extra / excluded / missing-ID rows</t>
  </si>
  <si>
    <t>Filter Source build on Disposition = QUARANTINE.</t>
  </si>
  <si>
    <t>Included records with field changes</t>
  </si>
  <si>
    <t>AI rows with invalid amounts</t>
  </si>
  <si>
    <t>All monetary comparisons use integer cents.</t>
  </si>
  <si>
    <t>Raw key map mismatches</t>
  </si>
  <si>
    <t>Fixed practice row order; see Guide before editing.</t>
  </si>
  <si>
    <t>Signed money (cents)</t>
  </si>
  <si>
    <t>Raw-derived</t>
  </si>
  <si>
    <t>AI output</t>
  </si>
  <si>
    <t>Difference</t>
  </si>
  <si>
    <t>Sales</t>
  </si>
  <si>
    <t>Signed refunds</t>
  </si>
  <si>
    <t>Net</t>
  </si>
  <si>
    <t>Month</t>
  </si>
  <si>
    <t>Raw rows</t>
  </si>
  <si>
    <t>AI rows</t>
  </si>
  <si>
    <t>Row difference</t>
  </si>
  <si>
    <t>Raw net cents</t>
  </si>
  <si>
    <t>AI net cents</t>
  </si>
  <si>
    <t>Net difference</t>
  </si>
  <si>
    <t>2026-01</t>
  </si>
  <si>
    <t>2026-02</t>
  </si>
  <si>
    <t>2026-03</t>
  </si>
  <si>
    <t>Other periods: extend table</t>
  </si>
  <si>
    <t>Category</t>
  </si>
  <si>
    <t>Accessories</t>
  </si>
  <si>
    <t>Home</t>
  </si>
  <si>
    <t>Office</t>
  </si>
  <si>
    <t>Other categories</t>
  </si>
  <si>
    <t>Interpretation</t>
  </si>
  <si>
    <t>MATCH means the defined comparisons agree. It does not certify an AI model or the source business system.</t>
  </si>
  <si>
    <t>Nonzero differences or invalid rows require investigation. Raw missing dates are held, never guessed.</t>
  </si>
  <si>
    <t>Money tables show cents: 100 cents = USD 1.00. Read Guide before editing a disposable copy.</t>
  </si>
  <si>
    <t>Independent source calculation</t>
  </si>
  <si>
    <t>Formulas normalize the Raw fields, classify each raw row, then compare included records with AI output.</t>
  </si>
  <si>
    <t>Line ID</t>
  </si>
  <si>
    <t>Transaction ID</t>
  </si>
  <si>
    <t>Raw date text</t>
  </si>
  <si>
    <t>Year</t>
  </si>
  <si>
    <t>Day</t>
  </si>
  <si>
    <t>Normalized date</t>
  </si>
  <si>
    <t>Product</t>
  </si>
  <si>
    <t>Mapped category</t>
  </si>
  <si>
    <t>Event</t>
  </si>
  <si>
    <t>Amount text</t>
  </si>
  <si>
    <t>Parsed USD</t>
  </si>
  <si>
    <t>Signed cents</t>
  </si>
  <si>
    <t>Amount format valid</t>
  </si>
  <si>
    <t>Raw signature</t>
  </si>
  <si>
    <t>Indexed ID count</t>
  </si>
  <si>
    <t>Conflicting ID</t>
  </si>
  <si>
    <t>Occurrence</t>
  </si>
  <si>
    <t>Validation reason</t>
  </si>
  <si>
    <t>Disposition</t>
  </si>
  <si>
    <t>Month key</t>
  </si>
  <si>
    <t>AI ID count</t>
  </si>
  <si>
    <t>AI row index</t>
  </si>
  <si>
    <t>Field / format issues</t>
  </si>
  <si>
    <t>Record issue</t>
  </si>
  <si>
    <t>Raw key map matches</t>
  </si>
  <si>
    <t>Raw synthetic export</t>
  </si>
  <si>
    <t>Source: unchanged sales-messy.csv, constructed 31 Oct 2026. Original seven fields preserved as text.</t>
  </si>
  <si>
    <t>line_id</t>
  </si>
  <si>
    <t>transaction_id</t>
  </si>
  <si>
    <t>date</t>
  </si>
  <si>
    <t>product</t>
  </si>
  <si>
    <t>category</t>
  </si>
  <si>
    <t>event</t>
  </si>
  <si>
    <t>amount_usd</t>
  </si>
  <si>
    <t>L00001</t>
  </si>
  <si>
    <t>T00001</t>
  </si>
  <si>
    <t>2026-01-01</t>
  </si>
  <si>
    <t>P-A</t>
  </si>
  <si>
    <t>refund</t>
  </si>
  <si>
    <t>-4.99</t>
  </si>
  <si>
    <t>L00002</t>
  </si>
  <si>
    <t>P-H</t>
  </si>
  <si>
    <t>sale</t>
  </si>
  <si>
    <t>16.08</t>
  </si>
  <si>
    <t>L00003</t>
  </si>
  <si>
    <t>T00002</t>
  </si>
  <si>
    <t>2026-01-08</t>
  </si>
  <si>
    <t>P-O</t>
  </si>
  <si>
    <t>28.65</t>
  </si>
  <si>
    <t>L00004</t>
  </si>
  <si>
    <t>12.20</t>
  </si>
  <si>
    <t>L00005</t>
  </si>
  <si>
    <t>T00003</t>
  </si>
  <si>
    <t>2026-01-15</t>
  </si>
  <si>
    <t>25.88</t>
  </si>
  <si>
    <t>L00006</t>
  </si>
  <si>
    <t>6.84</t>
  </si>
  <si>
    <t>L00007</t>
  </si>
  <si>
    <t>T00004</t>
  </si>
  <si>
    <t>2026-01-22</t>
  </si>
  <si>
    <t>21.63</t>
  </si>
  <si>
    <t>L00008</t>
  </si>
  <si>
    <t>37.90</t>
  </si>
  <si>
    <t>L00009</t>
  </si>
  <si>
    <t>T00005</t>
  </si>
  <si>
    <t>2026-01-29</t>
  </si>
  <si>
    <t>15.90</t>
  </si>
  <si>
    <t>L00010</t>
  </si>
  <si>
    <t>33.28</t>
  </si>
  <si>
    <t>L00011</t>
  </si>
  <si>
    <t>T00006</t>
  </si>
  <si>
    <t>2026-02-05</t>
  </si>
  <si>
    <t>8.69</t>
  </si>
  <si>
    <t>L00012</t>
  </si>
  <si>
    <t>27.18</t>
  </si>
  <si>
    <t>L00013</t>
  </si>
  <si>
    <t>T00007</t>
  </si>
  <si>
    <t>2026-02-12</t>
  </si>
  <si>
    <t>47.15</t>
  </si>
  <si>
    <t>L00014</t>
  </si>
  <si>
    <t>19.60</t>
  </si>
  <si>
    <t>L00015</t>
  </si>
  <si>
    <t>T00008</t>
  </si>
  <si>
    <t>2026-02-19</t>
  </si>
  <si>
    <t>40.68</t>
  </si>
  <si>
    <t>L00016</t>
  </si>
  <si>
    <t>10.54</t>
  </si>
  <si>
    <t>L00017</t>
  </si>
  <si>
    <t>T00009</t>
  </si>
  <si>
    <t>2026-02-26</t>
  </si>
  <si>
    <t>32.73</t>
  </si>
  <si>
    <t>L00018</t>
  </si>
  <si>
    <t>56.40</t>
  </si>
  <si>
    <t>L00019</t>
  </si>
  <si>
    <t>T00010</t>
  </si>
  <si>
    <t>2026-03-05</t>
  </si>
  <si>
    <t>23.30</t>
  </si>
  <si>
    <t>L00020</t>
  </si>
  <si>
    <t>48.08</t>
  </si>
  <si>
    <t>L00021</t>
  </si>
  <si>
    <t>T00011</t>
  </si>
  <si>
    <t>2026-03-12</t>
  </si>
  <si>
    <t>12.39</t>
  </si>
  <si>
    <t>L00022</t>
  </si>
  <si>
    <t>38.28</t>
  </si>
  <si>
    <t>L00023</t>
  </si>
  <si>
    <t>T00012</t>
  </si>
  <si>
    <t>2026-03-19</t>
  </si>
  <si>
    <t>$65.65</t>
  </si>
  <si>
    <t>L00024</t>
  </si>
  <si>
    <t>-27.00</t>
  </si>
  <si>
    <t>L00025</t>
  </si>
  <si>
    <t>T00013</t>
  </si>
  <si>
    <t>2026-03-26</t>
  </si>
  <si>
    <t>55.48</t>
  </si>
  <si>
    <t>L00026</t>
  </si>
  <si>
    <t>14.24</t>
  </si>
  <si>
    <t>L00027</t>
  </si>
  <si>
    <t>T00014</t>
  </si>
  <si>
    <t>2026-01-02</t>
  </si>
  <si>
    <t>43.83</t>
  </si>
  <si>
    <t>L00028</t>
  </si>
  <si>
    <t>74.90</t>
  </si>
  <si>
    <t>L00029</t>
  </si>
  <si>
    <t>T00015</t>
  </si>
  <si>
    <t>2026-01-09</t>
  </si>
  <si>
    <t>30.70</t>
  </si>
  <si>
    <t>L00030</t>
  </si>
  <si>
    <t>62.88</t>
  </si>
  <si>
    <t>L00031</t>
  </si>
  <si>
    <t>T00016</t>
  </si>
  <si>
    <t>2026-01-16</t>
  </si>
  <si>
    <t>16.09</t>
  </si>
  <si>
    <t>L00032</t>
  </si>
  <si>
    <t>49.38</t>
  </si>
  <si>
    <t>L00033</t>
  </si>
  <si>
    <t>T00017</t>
  </si>
  <si>
    <t>2026-01-23</t>
  </si>
  <si>
    <t>84.15</t>
  </si>
  <si>
    <t>L00034</t>
  </si>
  <si>
    <t>23-Jan-2026</t>
  </si>
  <si>
    <t>34.40</t>
  </si>
  <si>
    <t>L00035</t>
  </si>
  <si>
    <t>T00018</t>
  </si>
  <si>
    <t>2026-01-30</t>
  </si>
  <si>
    <t>70.28</t>
  </si>
  <si>
    <t>L00036</t>
  </si>
  <si>
    <t>17.94</t>
  </si>
  <si>
    <t>L00037</t>
  </si>
  <si>
    <t>T00019</t>
  </si>
  <si>
    <t>2026-02-06</t>
  </si>
  <si>
    <t>54.93</t>
  </si>
  <si>
    <t>L00038</t>
  </si>
  <si>
    <t>93.40</t>
  </si>
  <si>
    <t>L00039</t>
  </si>
  <si>
    <t>T00020</t>
  </si>
  <si>
    <t>2026-02-13</t>
  </si>
  <si>
    <t>38.10</t>
  </si>
  <si>
    <t>L00040</t>
  </si>
  <si>
    <t>77.68</t>
  </si>
  <si>
    <t>L00041</t>
  </si>
  <si>
    <t>T00021</t>
  </si>
  <si>
    <t>2026-02-20</t>
  </si>
  <si>
    <t>19.79</t>
  </si>
  <si>
    <t>L00042</t>
  </si>
  <si>
    <t>60.48</t>
  </si>
  <si>
    <t>L00043</t>
  </si>
  <si>
    <t>T00022</t>
  </si>
  <si>
    <t>2026-02-27</t>
  </si>
  <si>
    <t>102.65</t>
  </si>
  <si>
    <t>L00044</t>
  </si>
  <si>
    <t>41.80</t>
  </si>
  <si>
    <t>L00045</t>
  </si>
  <si>
    <t>T00023</t>
  </si>
  <si>
    <t>2026-03-06</t>
  </si>
  <si>
    <t>85.08</t>
  </si>
  <si>
    <t>L00046</t>
  </si>
  <si>
    <t>21.64</t>
  </si>
  <si>
    <t>L00047</t>
  </si>
  <si>
    <t>T00024</t>
  </si>
  <si>
    <t>2026-03-13</t>
  </si>
  <si>
    <t>-66.03</t>
  </si>
  <si>
    <t>L00048</t>
  </si>
  <si>
    <t>111.90</t>
  </si>
  <si>
    <t>L00049</t>
  </si>
  <si>
    <t>T00025</t>
  </si>
  <si>
    <t>2026-03-20</t>
  </si>
  <si>
    <t>45.50</t>
  </si>
  <si>
    <t>L00050</t>
  </si>
  <si>
    <t>92.48</t>
  </si>
  <si>
    <t>L00051</t>
  </si>
  <si>
    <t>T00026</t>
  </si>
  <si>
    <t>2026-03-27</t>
  </si>
  <si>
    <t>23.49</t>
  </si>
  <si>
    <t>L00052</t>
  </si>
  <si>
    <t>71.58</t>
  </si>
  <si>
    <t>L00053</t>
  </si>
  <si>
    <t>T00027</t>
  </si>
  <si>
    <t>2026-01-03</t>
  </si>
  <si>
    <t>121.15</t>
  </si>
  <si>
    <t>L00054</t>
  </si>
  <si>
    <t>49.20</t>
  </si>
  <si>
    <t>L00055</t>
  </si>
  <si>
    <t>T00028</t>
  </si>
  <si>
    <t>2026-01-10</t>
  </si>
  <si>
    <t>99.88</t>
  </si>
  <si>
    <t>L00056</t>
  </si>
  <si>
    <t>25.34</t>
  </si>
  <si>
    <t>L00057</t>
  </si>
  <si>
    <t>T00029</t>
  </si>
  <si>
    <t>2026-01-17</t>
  </si>
  <si>
    <t>77.13</t>
  </si>
  <si>
    <t>L00058</t>
  </si>
  <si>
    <t>130.40</t>
  </si>
  <si>
    <t>L00059</t>
  </si>
  <si>
    <t>T00030</t>
  </si>
  <si>
    <t>2026-01-24</t>
  </si>
  <si>
    <t>52.90</t>
  </si>
  <si>
    <t>L00060</t>
  </si>
  <si>
    <t>107.28</t>
  </si>
  <si>
    <t>L00061</t>
  </si>
  <si>
    <t>T00031</t>
  </si>
  <si>
    <t>2026-01-31</t>
  </si>
  <si>
    <t>27.19</t>
  </si>
  <si>
    <t>L00062</t>
  </si>
  <si>
    <t>82.68</t>
  </si>
  <si>
    <t>L00063</t>
  </si>
  <si>
    <t>T00032</t>
  </si>
  <si>
    <t>2026-02-07</t>
  </si>
  <si>
    <t>139.65</t>
  </si>
  <si>
    <t>L00064</t>
  </si>
  <si>
    <t>56.60</t>
  </si>
  <si>
    <t>L00065</t>
  </si>
  <si>
    <t>T00033</t>
  </si>
  <si>
    <t>2026-02-14</t>
  </si>
  <si>
    <t>114.68</t>
  </si>
  <si>
    <t>L00066</t>
  </si>
  <si>
    <t>29.04</t>
  </si>
  <si>
    <t>L00067</t>
  </si>
  <si>
    <t>T00034</t>
  </si>
  <si>
    <t>2026-02-21</t>
  </si>
  <si>
    <t>88.23</t>
  </si>
  <si>
    <t>L00068</t>
  </si>
  <si>
    <t>148.90</t>
  </si>
  <si>
    <t>L00069</t>
  </si>
  <si>
    <t>T00035</t>
  </si>
  <si>
    <t>2026-02-28</t>
  </si>
  <si>
    <t>60.30</t>
  </si>
  <si>
    <t>L00070</t>
  </si>
  <si>
    <t>-122.08</t>
  </si>
  <si>
    <t>L00071</t>
  </si>
  <si>
    <t>T00036</t>
  </si>
  <si>
    <t>2026-03-07</t>
  </si>
  <si>
    <t>30.89</t>
  </si>
  <si>
    <t>L00072</t>
  </si>
  <si>
    <t>93.78</t>
  </si>
  <si>
    <t>L00073</t>
  </si>
  <si>
    <t>T00037</t>
  </si>
  <si>
    <t>2026-03-14</t>
  </si>
  <si>
    <t>158.15</t>
  </si>
  <si>
    <t>L00074</t>
  </si>
  <si>
    <t>64.00</t>
  </si>
  <si>
    <t>L00075</t>
  </si>
  <si>
    <t>T00038</t>
  </si>
  <si>
    <t>2026-03-21</t>
  </si>
  <si>
    <t>129.48</t>
  </si>
  <si>
    <t>L00076</t>
  </si>
  <si>
    <t>32.74</t>
  </si>
  <si>
    <t>L00077</t>
  </si>
  <si>
    <t>T00039</t>
  </si>
  <si>
    <t>2026-03-28</t>
  </si>
  <si>
    <t>99.33</t>
  </si>
  <si>
    <t>L00078</t>
  </si>
  <si>
    <t>167.40</t>
  </si>
  <si>
    <t>L00079</t>
  </si>
  <si>
    <t>T00040</t>
  </si>
  <si>
    <t>2026-01-04</t>
  </si>
  <si>
    <t>67.70</t>
  </si>
  <si>
    <t>L00080</t>
  </si>
  <si>
    <t>136.88</t>
  </si>
  <si>
    <t>L00081</t>
  </si>
  <si>
    <t>T00041</t>
  </si>
  <si>
    <t>2026-01-11</t>
  </si>
  <si>
    <t>34.59</t>
  </si>
  <si>
    <t>L00082</t>
  </si>
  <si>
    <t>104.88</t>
  </si>
  <si>
    <t>L00083</t>
  </si>
  <si>
    <t>T00042</t>
  </si>
  <si>
    <t>2026-01-18</t>
  </si>
  <si>
    <t>176.65</t>
  </si>
  <si>
    <t>L00084</t>
  </si>
  <si>
    <t>71.40</t>
  </si>
  <si>
    <t>L00085</t>
  </si>
  <si>
    <t>T00043</t>
  </si>
  <si>
    <t>2026-01-25</t>
  </si>
  <si>
    <t>144.28</t>
  </si>
  <si>
    <t>L00086</t>
  </si>
  <si>
    <t>36.44</t>
  </si>
  <si>
    <t>L00087</t>
  </si>
  <si>
    <t>T00044</t>
  </si>
  <si>
    <t>2026-02-01</t>
  </si>
  <si>
    <t>110.43</t>
  </si>
  <si>
    <t>L00088</t>
  </si>
  <si>
    <t>185.90</t>
  </si>
  <si>
    <t>L00089</t>
  </si>
  <si>
    <t>T00045</t>
  </si>
  <si>
    <t>2026-02-08</t>
  </si>
  <si>
    <t>75.10</t>
  </si>
  <si>
    <t>L00090</t>
  </si>
  <si>
    <t>151.68</t>
  </si>
  <si>
    <t>L00091</t>
  </si>
  <si>
    <t>T00046</t>
  </si>
  <si>
    <t>2026-02-15</t>
  </si>
  <si>
    <t>38.29</t>
  </si>
  <si>
    <t>L00092</t>
  </si>
  <si>
    <t>115.98</t>
  </si>
  <si>
    <t>L00093</t>
  </si>
  <si>
    <t>T00047</t>
  </si>
  <si>
    <t>2026-02-22</t>
  </si>
  <si>
    <t>-195.15</t>
  </si>
  <si>
    <t>L00094</t>
  </si>
  <si>
    <t>78.80</t>
  </si>
  <si>
    <t>L00095</t>
  </si>
  <si>
    <t>T00048</t>
  </si>
  <si>
    <t>2026-03-01</t>
  </si>
  <si>
    <t>159.08</t>
  </si>
  <si>
    <t>L00096</t>
  </si>
  <si>
    <t>40.14</t>
  </si>
  <si>
    <t>L00097</t>
  </si>
  <si>
    <t>T00049</t>
  </si>
  <si>
    <t>2026-03-08</t>
  </si>
  <si>
    <t>121.53</t>
  </si>
  <si>
    <t>L00098</t>
  </si>
  <si>
    <t>204.40</t>
  </si>
  <si>
    <t>L00099</t>
  </si>
  <si>
    <t>T00050</t>
  </si>
  <si>
    <t>2026-03-15</t>
  </si>
  <si>
    <t>82.50</t>
  </si>
  <si>
    <t>L00100</t>
  </si>
  <si>
    <t>166.48</t>
  </si>
  <si>
    <t>L00101</t>
  </si>
  <si>
    <t>T00051</t>
  </si>
  <si>
    <t>2026-03-22</t>
  </si>
  <si>
    <t>41.99</t>
  </si>
  <si>
    <t>L00102</t>
  </si>
  <si>
    <t>127.08</t>
  </si>
  <si>
    <t>L00103</t>
  </si>
  <si>
    <t>T00052</t>
  </si>
  <si>
    <t>2026-03-29</t>
  </si>
  <si>
    <t>213.65</t>
  </si>
  <si>
    <t>L00104</t>
  </si>
  <si>
    <t>86.20</t>
  </si>
  <si>
    <t>L00105</t>
  </si>
  <si>
    <t>T00053</t>
  </si>
  <si>
    <t>2026-01-05</t>
  </si>
  <si>
    <t>173.88</t>
  </si>
  <si>
    <t>L00106</t>
  </si>
  <si>
    <t>43.84</t>
  </si>
  <si>
    <t>L00107</t>
  </si>
  <si>
    <t>T00054</t>
  </si>
  <si>
    <t>2026-01-12</t>
  </si>
  <si>
    <t>132.63</t>
  </si>
  <si>
    <t>L00108</t>
  </si>
  <si>
    <t>222.90</t>
  </si>
  <si>
    <t>L00109</t>
  </si>
  <si>
    <t>T00055</t>
  </si>
  <si>
    <t>2026-01-19</t>
  </si>
  <si>
    <t>89.90</t>
  </si>
  <si>
    <t>L00110</t>
  </si>
  <si>
    <t>181.28</t>
  </si>
  <si>
    <t>L00111</t>
  </si>
  <si>
    <t>T00056</t>
  </si>
  <si>
    <t>2026-01-26</t>
  </si>
  <si>
    <t>45.69</t>
  </si>
  <si>
    <t>L00112</t>
  </si>
  <si>
    <t>138.18</t>
  </si>
  <si>
    <t>L00113</t>
  </si>
  <si>
    <t>T00057</t>
  </si>
  <si>
    <t>2026-02-02</t>
  </si>
  <si>
    <t>232.15</t>
  </si>
  <si>
    <t>L00114</t>
  </si>
  <si>
    <t>93.60</t>
  </si>
  <si>
    <t>L00115</t>
  </si>
  <si>
    <t>T00058</t>
  </si>
  <si>
    <t>2026-02-09</t>
  </si>
  <si>
    <t>188.68</t>
  </si>
  <si>
    <t>L00116</t>
  </si>
  <si>
    <t>-47.54</t>
  </si>
  <si>
    <t>L00117</t>
  </si>
  <si>
    <t>T00059</t>
  </si>
  <si>
    <t>2026-02-16</t>
  </si>
  <si>
    <t>143.73</t>
  </si>
  <si>
    <t>L00118</t>
  </si>
  <si>
    <t>241.40</t>
  </si>
  <si>
    <t>L00119</t>
  </si>
  <si>
    <t>T00060</t>
  </si>
  <si>
    <t>2026-02-23</t>
  </si>
  <si>
    <t>97.30</t>
  </si>
  <si>
    <t>L00120</t>
  </si>
  <si>
    <t>196.08</t>
  </si>
  <si>
    <t>L00121</t>
  </si>
  <si>
    <t>T00061</t>
  </si>
  <si>
    <t>2026-03-02</t>
  </si>
  <si>
    <t>49.39</t>
  </si>
  <si>
    <t>L00122</t>
  </si>
  <si>
    <t>149.28</t>
  </si>
  <si>
    <t>L00123</t>
  </si>
  <si>
    <t>T00062</t>
  </si>
  <si>
    <t>2026-03-09</t>
  </si>
  <si>
    <t>250.65</t>
  </si>
  <si>
    <t>L00124</t>
  </si>
  <si>
    <t>101.00</t>
  </si>
  <si>
    <t>L00125</t>
  </si>
  <si>
    <t>T00063</t>
  </si>
  <si>
    <t>2026-03-16</t>
  </si>
  <si>
    <t>203.48</t>
  </si>
  <si>
    <t>L00126</t>
  </si>
  <si>
    <t>$51.24</t>
  </si>
  <si>
    <t>L00127</t>
  </si>
  <si>
    <t>T00064</t>
  </si>
  <si>
    <t>2026-03-23</t>
  </si>
  <si>
    <t>154.83</t>
  </si>
  <si>
    <t>L00128</t>
  </si>
  <si>
    <t>259.90</t>
  </si>
  <si>
    <t>L00129</t>
  </si>
  <si>
    <t>T00065</t>
  </si>
  <si>
    <t>2026-03-30</t>
  </si>
  <si>
    <t>104.70</t>
  </si>
  <si>
    <t>L00130</t>
  </si>
  <si>
    <t>210.88</t>
  </si>
  <si>
    <t>L00131</t>
  </si>
  <si>
    <t>T00066</t>
  </si>
  <si>
    <t>2026-01-06</t>
  </si>
  <si>
    <t>53.09</t>
  </si>
  <si>
    <t>L00132</t>
  </si>
  <si>
    <t>160.38</t>
  </si>
  <si>
    <t>L00133</t>
  </si>
  <si>
    <t>T00067</t>
  </si>
  <si>
    <t>2026-01-13</t>
  </si>
  <si>
    <t>269.15</t>
  </si>
  <si>
    <t>L00134</t>
  </si>
  <si>
    <t>108.40</t>
  </si>
  <si>
    <t>L00135</t>
  </si>
  <si>
    <t>T00068</t>
  </si>
  <si>
    <t>2026-01-20</t>
  </si>
  <si>
    <t>218.28</t>
  </si>
  <si>
    <t>L00136</t>
  </si>
  <si>
    <t>54.94</t>
  </si>
  <si>
    <t>L00137</t>
  </si>
  <si>
    <t>T00069</t>
  </si>
  <si>
    <t>2026-01-27</t>
  </si>
  <si>
    <t>165.93</t>
  </si>
  <si>
    <t>L00138</t>
  </si>
  <si>
    <t>278.40</t>
  </si>
  <si>
    <t>L00139</t>
  </si>
  <si>
    <t>T00070</t>
  </si>
  <si>
    <t>2026-02-03</t>
  </si>
  <si>
    <t>-112.10</t>
  </si>
  <si>
    <t>L00140</t>
  </si>
  <si>
    <t>225.68</t>
  </si>
  <si>
    <t>L00141</t>
  </si>
  <si>
    <t>T00071</t>
  </si>
  <si>
    <t>2026-02-10</t>
  </si>
  <si>
    <t>56.79</t>
  </si>
  <si>
    <t>L00142</t>
  </si>
  <si>
    <t>171.48</t>
  </si>
  <si>
    <t>L00143</t>
  </si>
  <si>
    <t>T00072</t>
  </si>
  <si>
    <t>2026-02-17</t>
  </si>
  <si>
    <t>287.65</t>
  </si>
  <si>
    <t>L00144</t>
  </si>
  <si>
    <t>115.80</t>
  </si>
  <si>
    <t>L00145</t>
  </si>
  <si>
    <t>T00073</t>
  </si>
  <si>
    <t>2026-02-24</t>
  </si>
  <si>
    <t>233.08</t>
  </si>
  <si>
    <t>L00146</t>
  </si>
  <si>
    <t>58.64</t>
  </si>
  <si>
    <t>L00147</t>
  </si>
  <si>
    <t>T00074</t>
  </si>
  <si>
    <t>2026-03-03</t>
  </si>
  <si>
    <t>177.03</t>
  </si>
  <si>
    <t>L00148</t>
  </si>
  <si>
    <t>296.90</t>
  </si>
  <si>
    <t>L00149</t>
  </si>
  <si>
    <t>T00075</t>
  </si>
  <si>
    <t>2026-03-10</t>
  </si>
  <si>
    <t>119.50</t>
  </si>
  <si>
    <t>L00150</t>
  </si>
  <si>
    <t>240.48</t>
  </si>
  <si>
    <t>L00151</t>
  </si>
  <si>
    <t>T00076</t>
  </si>
  <si>
    <t>2026-03-17</t>
  </si>
  <si>
    <t>60.49</t>
  </si>
  <si>
    <t>L00152</t>
  </si>
  <si>
    <t>182.58</t>
  </si>
  <si>
    <t>L00153</t>
  </si>
  <si>
    <t>T00077</t>
  </si>
  <si>
    <t>2026-03-24</t>
  </si>
  <si>
    <t>306.15</t>
  </si>
  <si>
    <t>L00154</t>
  </si>
  <si>
    <t>123.20</t>
  </si>
  <si>
    <t>L00155</t>
  </si>
  <si>
    <t>T00078</t>
  </si>
  <si>
    <t>2026-03-31</t>
  </si>
  <si>
    <t>247.88</t>
  </si>
  <si>
    <t>L00156</t>
  </si>
  <si>
    <t>62.34</t>
  </si>
  <si>
    <t>L00157</t>
  </si>
  <si>
    <t>T00079</t>
  </si>
  <si>
    <t>2026-01-07</t>
  </si>
  <si>
    <t>188.13</t>
  </si>
  <si>
    <t>L00158</t>
  </si>
  <si>
    <t>315.40</t>
  </si>
  <si>
    <t>L00159</t>
  </si>
  <si>
    <t>T00080</t>
  </si>
  <si>
    <t>2026-01-14</t>
  </si>
  <si>
    <t>126.90</t>
  </si>
  <si>
    <t>L00160</t>
  </si>
  <si>
    <t>255.28</t>
  </si>
  <si>
    <t>L00161</t>
  </si>
  <si>
    <t>T00081</t>
  </si>
  <si>
    <t>2026-01-21</t>
  </si>
  <si>
    <t>64.19</t>
  </si>
  <si>
    <t>L00162</t>
  </si>
  <si>
    <t>-193.68</t>
  </si>
  <si>
    <t>L00163</t>
  </si>
  <si>
    <t>T00082</t>
  </si>
  <si>
    <t>2026-01-28</t>
  </si>
  <si>
    <t>324.65</t>
  </si>
  <si>
    <t>L00164</t>
  </si>
  <si>
    <t>130.60</t>
  </si>
  <si>
    <t>L00165</t>
  </si>
  <si>
    <t>T00083</t>
  </si>
  <si>
    <t>2026-02-04</t>
  </si>
  <si>
    <t>262.68</t>
  </si>
  <si>
    <t>L00166</t>
  </si>
  <si>
    <t>66.04</t>
  </si>
  <si>
    <t>L00167</t>
  </si>
  <si>
    <t>T00084</t>
  </si>
  <si>
    <t>2026-02-11</t>
  </si>
  <si>
    <t>199.23</t>
  </si>
  <si>
    <t>L00168</t>
  </si>
  <si>
    <t>333.90</t>
  </si>
  <si>
    <t>L00169</t>
  </si>
  <si>
    <t>T00085</t>
  </si>
  <si>
    <t>2026-02-18</t>
  </si>
  <si>
    <t>134.30</t>
  </si>
  <si>
    <t>L00170</t>
  </si>
  <si>
    <t>270.08</t>
  </si>
  <si>
    <t>L00171</t>
  </si>
  <si>
    <t>T00086</t>
  </si>
  <si>
    <t>25-Feb-2026</t>
  </si>
  <si>
    <t>67.89</t>
  </si>
  <si>
    <t>L00172</t>
  </si>
  <si>
    <t>2026-02-25</t>
  </si>
  <si>
    <t>204.78</t>
  </si>
  <si>
    <t>L00173</t>
  </si>
  <si>
    <t>T00087</t>
  </si>
  <si>
    <t>2026-03-04</t>
  </si>
  <si>
    <t>343.15</t>
  </si>
  <si>
    <t>L00174</t>
  </si>
  <si>
    <t>138.00</t>
  </si>
  <si>
    <t>L00175</t>
  </si>
  <si>
    <t>T00088</t>
  </si>
  <si>
    <t>2026-03-11</t>
  </si>
  <si>
    <t>277.48</t>
  </si>
  <si>
    <t>L00176</t>
  </si>
  <si>
    <t>69.74</t>
  </si>
  <si>
    <t>L00177</t>
  </si>
  <si>
    <t>T00089</t>
  </si>
  <si>
    <t>2026-03-18</t>
  </si>
  <si>
    <t>210.33</t>
  </si>
  <si>
    <t>L00178</t>
  </si>
  <si>
    <t>352.40</t>
  </si>
  <si>
    <t>L00179</t>
  </si>
  <si>
    <t>T00090</t>
  </si>
  <si>
    <t>2026-03-25</t>
  </si>
  <si>
    <t>141.70</t>
  </si>
  <si>
    <t>L00180</t>
  </si>
  <si>
    <t>284.88</t>
  </si>
  <si>
    <t>L00181</t>
  </si>
  <si>
    <t>T00091</t>
  </si>
  <si>
    <t>71.59</t>
  </si>
  <si>
    <t>L00182</t>
  </si>
  <si>
    <t>215.88</t>
  </si>
  <si>
    <t>L00183</t>
  </si>
  <si>
    <t>T00092</t>
  </si>
  <si>
    <t>361.65</t>
  </si>
  <si>
    <t>L00184</t>
  </si>
  <si>
    <t>145.40</t>
  </si>
  <si>
    <t>L00185</t>
  </si>
  <si>
    <t>T00093</t>
  </si>
  <si>
    <t>-292.28</t>
  </si>
  <si>
    <t>L00186</t>
  </si>
  <si>
    <t>73.44</t>
  </si>
  <si>
    <t>L00187</t>
  </si>
  <si>
    <t>T00094</t>
  </si>
  <si>
    <t>221.43</t>
  </si>
  <si>
    <t>L00188</t>
  </si>
  <si>
    <t>370.90</t>
  </si>
  <si>
    <t>L00189</t>
  </si>
  <si>
    <t>T00095</t>
  </si>
  <si>
    <t>149.10</t>
  </si>
  <si>
    <t>L00190</t>
  </si>
  <si>
    <t>299.68</t>
  </si>
  <si>
    <t>L00191</t>
  </si>
  <si>
    <t>T00096</t>
  </si>
  <si>
    <t>75.29</t>
  </si>
  <si>
    <t>L00192</t>
  </si>
  <si>
    <t>226.98</t>
  </si>
  <si>
    <t>L00193</t>
  </si>
  <si>
    <t>T00097</t>
  </si>
  <si>
    <t>380.15</t>
  </si>
  <si>
    <t>L00194</t>
  </si>
  <si>
    <t>152.80</t>
  </si>
  <si>
    <t>L00195</t>
  </si>
  <si>
    <t>T00098</t>
  </si>
  <si>
    <t>307.08</t>
  </si>
  <si>
    <t>L00196</t>
  </si>
  <si>
    <t>77.14</t>
  </si>
  <si>
    <t>L00197</t>
  </si>
  <si>
    <t>T00099</t>
  </si>
  <si>
    <t>232.53</t>
  </si>
  <si>
    <t>L00198</t>
  </si>
  <si>
    <t>389.40</t>
  </si>
  <si>
    <t>L00199</t>
  </si>
  <si>
    <t>T00100</t>
  </si>
  <si>
    <t>156.50</t>
  </si>
  <si>
    <t>L00200</t>
  </si>
  <si>
    <t>314.48</t>
  </si>
  <si>
    <t>L00201</t>
  </si>
  <si>
    <t>T00101</t>
  </si>
  <si>
    <t>78.99</t>
  </si>
  <si>
    <t>L00202</t>
  </si>
  <si>
    <t>238.08</t>
  </si>
  <si>
    <t>L00203</t>
  </si>
  <si>
    <t>T00102</t>
  </si>
  <si>
    <t>398.65</t>
  </si>
  <si>
    <t>L00204</t>
  </si>
  <si>
    <t>160.20</t>
  </si>
  <si>
    <t>L00205</t>
  </si>
  <si>
    <t>T00103</t>
  </si>
  <si>
    <t>321.88</t>
  </si>
  <si>
    <t>L00206</t>
  </si>
  <si>
    <t>80.84</t>
  </si>
  <si>
    <t>L00207</t>
  </si>
  <si>
    <t>T00104</t>
  </si>
  <si>
    <t>243.63</t>
  </si>
  <si>
    <t>L00208</t>
  </si>
  <si>
    <t>-407.90</t>
  </si>
  <si>
    <t>L00209</t>
  </si>
  <si>
    <t>T00105</t>
  </si>
  <si>
    <t>163.90</t>
  </si>
  <si>
    <t>L00210</t>
  </si>
  <si>
    <t>329.28</t>
  </si>
  <si>
    <t>L00211</t>
  </si>
  <si>
    <t>T00106</t>
  </si>
  <si>
    <t>82.69</t>
  </si>
  <si>
    <t>L00212</t>
  </si>
  <si>
    <t>249.18</t>
  </si>
  <si>
    <t>L00213</t>
  </si>
  <si>
    <t>T00107</t>
  </si>
  <si>
    <t>417.15</t>
  </si>
  <si>
    <t>L00214</t>
  </si>
  <si>
    <t>167.60</t>
  </si>
  <si>
    <t>L00215</t>
  </si>
  <si>
    <t>T00108</t>
  </si>
  <si>
    <t>336.68</t>
  </si>
  <si>
    <t>L00216</t>
  </si>
  <si>
    <t>84.54</t>
  </si>
  <si>
    <t>L00217</t>
  </si>
  <si>
    <t>T00109</t>
  </si>
  <si>
    <t>254.73</t>
  </si>
  <si>
    <t>L00218</t>
  </si>
  <si>
    <t>426.40</t>
  </si>
  <si>
    <t>L00219</t>
  </si>
  <si>
    <t>T00110</t>
  </si>
  <si>
    <t>171.30</t>
  </si>
  <si>
    <t>L00220</t>
  </si>
  <si>
    <t>344.08</t>
  </si>
  <si>
    <t>L00221</t>
  </si>
  <si>
    <t>T00111</t>
  </si>
  <si>
    <t>86.39</t>
  </si>
  <si>
    <t>L00222</t>
  </si>
  <si>
    <t>260.28</t>
  </si>
  <si>
    <t>L00223</t>
  </si>
  <si>
    <t>T00112</t>
  </si>
  <si>
    <t>435.65</t>
  </si>
  <si>
    <t>L00224</t>
  </si>
  <si>
    <t>175.00</t>
  </si>
  <si>
    <t>L00225</t>
  </si>
  <si>
    <t>T00113</t>
  </si>
  <si>
    <t>351.48</t>
  </si>
  <si>
    <t>L00226</t>
  </si>
  <si>
    <t>88.24</t>
  </si>
  <si>
    <t>L00227</t>
  </si>
  <si>
    <t>T00114</t>
  </si>
  <si>
    <t>265.83</t>
  </si>
  <si>
    <t>L00228</t>
  </si>
  <si>
    <t>444.90</t>
  </si>
  <si>
    <t>L00229</t>
  </si>
  <si>
    <t>T00115</t>
  </si>
  <si>
    <t>$178.70</t>
  </si>
  <si>
    <t>L00230</t>
  </si>
  <si>
    <t>358.88</t>
  </si>
  <si>
    <t>L00231</t>
  </si>
  <si>
    <t>T00116</t>
  </si>
  <si>
    <t>-90.09</t>
  </si>
  <si>
    <t>L00232</t>
  </si>
  <si>
    <t>271.38</t>
  </si>
  <si>
    <t>L00233</t>
  </si>
  <si>
    <t>T00117</t>
  </si>
  <si>
    <t>454.15</t>
  </si>
  <si>
    <t>L00234</t>
  </si>
  <si>
    <t>182.40</t>
  </si>
  <si>
    <t>L00235</t>
  </si>
  <si>
    <t>T00118</t>
  </si>
  <si>
    <t>366.28</t>
  </si>
  <si>
    <t>L00236</t>
  </si>
  <si>
    <t>91.94</t>
  </si>
  <si>
    <t>L00237</t>
  </si>
  <si>
    <t>T00119</t>
  </si>
  <si>
    <t>276.93</t>
  </si>
  <si>
    <t>L00238</t>
  </si>
  <si>
    <t>463.40</t>
  </si>
  <si>
    <t>L00239</t>
  </si>
  <si>
    <t>T00120</t>
  </si>
  <si>
    <t>186.10</t>
  </si>
  <si>
    <t>L00240</t>
  </si>
  <si>
    <t>373.68</t>
  </si>
  <si>
    <t>L00241</t>
  </si>
  <si>
    <t>T00121</t>
  </si>
  <si>
    <t>93.79</t>
  </si>
  <si>
    <t>L00242</t>
  </si>
  <si>
    <t>282.48</t>
  </si>
  <si>
    <t>L00243</t>
  </si>
  <si>
    <t>T00122</t>
  </si>
  <si>
    <t>472.65</t>
  </si>
  <si>
    <t>L00244</t>
  </si>
  <si>
    <t>189.80</t>
  </si>
  <si>
    <t>L00245</t>
  </si>
  <si>
    <t>T00123</t>
  </si>
  <si>
    <t>381.08</t>
  </si>
  <si>
    <t>L00246</t>
  </si>
  <si>
    <t>95.64</t>
  </si>
  <si>
    <t>L00247</t>
  </si>
  <si>
    <t>T00124</t>
  </si>
  <si>
    <t>288.03</t>
  </si>
  <si>
    <t>L00248</t>
  </si>
  <si>
    <t>481.90</t>
  </si>
  <si>
    <t>L00249</t>
  </si>
  <si>
    <t>T00125</t>
  </si>
  <si>
    <t>193.50</t>
  </si>
  <si>
    <t>L00250</t>
  </si>
  <si>
    <t>388.48</t>
  </si>
  <si>
    <t>L00251</t>
  </si>
  <si>
    <t>T00126</t>
  </si>
  <si>
    <t>97.49</t>
  </si>
  <si>
    <t>L00252</t>
  </si>
  <si>
    <t>293.58</t>
  </si>
  <si>
    <t>L00253</t>
  </si>
  <si>
    <t>T00127</t>
  </si>
  <si>
    <t>491.15</t>
  </si>
  <si>
    <t>L00254</t>
  </si>
  <si>
    <t>-197.20</t>
  </si>
  <si>
    <t>L00255</t>
  </si>
  <si>
    <t>T00128</t>
  </si>
  <si>
    <t>395.88</t>
  </si>
  <si>
    <t>L00256</t>
  </si>
  <si>
    <t>99.34</t>
  </si>
  <si>
    <t>L00257</t>
  </si>
  <si>
    <t>T00129</t>
  </si>
  <si>
    <t>299.13</t>
  </si>
  <si>
    <t>L00258</t>
  </si>
  <si>
    <t>500.40</t>
  </si>
  <si>
    <t>L00259</t>
  </si>
  <si>
    <t>T00130</t>
  </si>
  <si>
    <t>200.90</t>
  </si>
  <si>
    <t>L00260</t>
  </si>
  <si>
    <t>403.28</t>
  </si>
  <si>
    <t>L00261</t>
  </si>
  <si>
    <t>T00131</t>
  </si>
  <si>
    <t>101.19</t>
  </si>
  <si>
    <t>L00262</t>
  </si>
  <si>
    <t>304.68</t>
  </si>
  <si>
    <t>L00263</t>
  </si>
  <si>
    <t>T00132</t>
  </si>
  <si>
    <t>509.65</t>
  </si>
  <si>
    <t>L00264</t>
  </si>
  <si>
    <t>204.60</t>
  </si>
  <si>
    <t>L00265</t>
  </si>
  <si>
    <t>T00133</t>
  </si>
  <si>
    <t>410.68</t>
  </si>
  <si>
    <t>L00266</t>
  </si>
  <si>
    <t>103.04</t>
  </si>
  <si>
    <t>L00267</t>
  </si>
  <si>
    <t>T00134</t>
  </si>
  <si>
    <t>310.23</t>
  </si>
  <si>
    <t>L00268</t>
  </si>
  <si>
    <t>518.90</t>
  </si>
  <si>
    <t>L00269</t>
  </si>
  <si>
    <t>T00135</t>
  </si>
  <si>
    <t>208.30</t>
  </si>
  <si>
    <t>L00270</t>
  </si>
  <si>
    <t>418.08</t>
  </si>
  <si>
    <t>L00271</t>
  </si>
  <si>
    <t>T00136</t>
  </si>
  <si>
    <t>104.89</t>
  </si>
  <si>
    <t>L00272</t>
  </si>
  <si>
    <t>315.78</t>
  </si>
  <si>
    <t>L00273</t>
  </si>
  <si>
    <t>T00137</t>
  </si>
  <si>
    <t>528.15</t>
  </si>
  <si>
    <t>L00274</t>
  </si>
  <si>
    <t>212.00</t>
  </si>
  <si>
    <t>L00275</t>
  </si>
  <si>
    <t>T00138</t>
  </si>
  <si>
    <t>425.48</t>
  </si>
  <si>
    <t>L00276</t>
  </si>
  <si>
    <t>106.74</t>
  </si>
  <si>
    <t>L00277</t>
  </si>
  <si>
    <t>T00139</t>
  </si>
  <si>
    <t>-321.33</t>
  </si>
  <si>
    <t>L00278</t>
  </si>
  <si>
    <t>537.40</t>
  </si>
  <si>
    <t>L00279</t>
  </si>
  <si>
    <t>T00140</t>
  </si>
  <si>
    <t>215.70</t>
  </si>
  <si>
    <t>L00280</t>
  </si>
  <si>
    <t>432.88</t>
  </si>
  <si>
    <t>L00281</t>
  </si>
  <si>
    <t>T00141</t>
  </si>
  <si>
    <t>108.59</t>
  </si>
  <si>
    <t>L00282</t>
  </si>
  <si>
    <t>326.88</t>
  </si>
  <si>
    <t>L00283</t>
  </si>
  <si>
    <t>T00142</t>
  </si>
  <si>
    <t>546.65</t>
  </si>
  <si>
    <t>L00284</t>
  </si>
  <si>
    <t>219.40</t>
  </si>
  <si>
    <t>L00285</t>
  </si>
  <si>
    <t>T00143</t>
  </si>
  <si>
    <t>440.28</t>
  </si>
  <si>
    <t>L00286</t>
  </si>
  <si>
    <t>110.44</t>
  </si>
  <si>
    <t>L00287</t>
  </si>
  <si>
    <t>T00144</t>
  </si>
  <si>
    <t>332.43</t>
  </si>
  <si>
    <t>L00288</t>
  </si>
  <si>
    <t>555.90</t>
  </si>
  <si>
    <t>L00289</t>
  </si>
  <si>
    <t>T00145</t>
  </si>
  <si>
    <t>223.10</t>
  </si>
  <si>
    <t>L00290</t>
  </si>
  <si>
    <t>447.68</t>
  </si>
  <si>
    <t>L00291</t>
  </si>
  <si>
    <t>T00146</t>
  </si>
  <si>
    <t>112.29</t>
  </si>
  <si>
    <t>L00292</t>
  </si>
  <si>
    <t>337.98</t>
  </si>
  <si>
    <t>L00293</t>
  </si>
  <si>
    <t>T00147</t>
  </si>
  <si>
    <t>565.15</t>
  </si>
  <si>
    <t>L00294</t>
  </si>
  <si>
    <t>226.80</t>
  </si>
  <si>
    <t>L00295</t>
  </si>
  <si>
    <t>T00148</t>
  </si>
  <si>
    <t>455.08</t>
  </si>
  <si>
    <t>L00296</t>
  </si>
  <si>
    <t>114.14</t>
  </si>
  <si>
    <t>L00297</t>
  </si>
  <si>
    <t>T00149</t>
  </si>
  <si>
    <t>343.53</t>
  </si>
  <si>
    <t>L00298</t>
  </si>
  <si>
    <t>574.40</t>
  </si>
  <si>
    <t>L00299</t>
  </si>
  <si>
    <t>T00150</t>
  </si>
  <si>
    <t>230.50</t>
  </si>
  <si>
    <t>L00300</t>
  </si>
  <si>
    <t>-462.48</t>
  </si>
  <si>
    <t>L00301</t>
  </si>
  <si>
    <t>T00151</t>
  </si>
  <si>
    <t>115.99</t>
  </si>
  <si>
    <t>L00302</t>
  </si>
  <si>
    <t>349.08</t>
  </si>
  <si>
    <t>L00303</t>
  </si>
  <si>
    <t>T00152</t>
  </si>
  <si>
    <t>583.65</t>
  </si>
  <si>
    <t>L00304</t>
  </si>
  <si>
    <t>234.20</t>
  </si>
  <si>
    <t>L00305</t>
  </si>
  <si>
    <t>T00153</t>
  </si>
  <si>
    <t>469.88</t>
  </si>
  <si>
    <t>L00306</t>
  </si>
  <si>
    <t>117.84</t>
  </si>
  <si>
    <t>L00307</t>
  </si>
  <si>
    <t>T00154</t>
  </si>
  <si>
    <t>354.63</t>
  </si>
  <si>
    <t>L00308</t>
  </si>
  <si>
    <t>23-Mar-2026</t>
  </si>
  <si>
    <t>592.90</t>
  </si>
  <si>
    <t>L00309</t>
  </si>
  <si>
    <t>T00155</t>
  </si>
  <si>
    <t>237.90</t>
  </si>
  <si>
    <t>L00310</t>
  </si>
  <si>
    <t>477.28</t>
  </si>
  <si>
    <t>L00311</t>
  </si>
  <si>
    <t>T00156</t>
  </si>
  <si>
    <t>119.69</t>
  </si>
  <si>
    <t>L00312</t>
  </si>
  <si>
    <t>360.18</t>
  </si>
  <si>
    <t>L00313</t>
  </si>
  <si>
    <t>T00157</t>
  </si>
  <si>
    <t>602.15</t>
  </si>
  <si>
    <t>L00314</t>
  </si>
  <si>
    <t>241.60</t>
  </si>
  <si>
    <t>L00315</t>
  </si>
  <si>
    <t>T00158</t>
  </si>
  <si>
    <t>484.68</t>
  </si>
  <si>
    <t>L00316</t>
  </si>
  <si>
    <t>121.54</t>
  </si>
  <si>
    <t>L00317</t>
  </si>
  <si>
    <t>T00159</t>
  </si>
  <si>
    <t>365.73</t>
  </si>
  <si>
    <t>L00318</t>
  </si>
  <si>
    <t>611.40</t>
  </si>
  <si>
    <t>L00319</t>
  </si>
  <si>
    <t>T00160</t>
  </si>
  <si>
    <t>245.30</t>
  </si>
  <si>
    <t>L00320</t>
  </si>
  <si>
    <t>492.08</t>
  </si>
  <si>
    <t>L00321</t>
  </si>
  <si>
    <t>T00161</t>
  </si>
  <si>
    <t>123.39</t>
  </si>
  <si>
    <t>L00322</t>
  </si>
  <si>
    <t>371.28</t>
  </si>
  <si>
    <t>L00323</t>
  </si>
  <si>
    <t>T00162</t>
  </si>
  <si>
    <t>-620.65</t>
  </si>
  <si>
    <t>L00324</t>
  </si>
  <si>
    <t>249.00</t>
  </si>
  <si>
    <t>L00325</t>
  </si>
  <si>
    <t>T00163</t>
  </si>
  <si>
    <t>499.48</t>
  </si>
  <si>
    <t>L00326</t>
  </si>
  <si>
    <t>5.24</t>
  </si>
  <si>
    <t>L00327</t>
  </si>
  <si>
    <t>T00164</t>
  </si>
  <si>
    <t>16.83</t>
  </si>
  <si>
    <t>L00328</t>
  </si>
  <si>
    <t>29.90</t>
  </si>
  <si>
    <t>L00329</t>
  </si>
  <si>
    <t>T00165</t>
  </si>
  <si>
    <t>12.70</t>
  </si>
  <si>
    <t>L00330</t>
  </si>
  <si>
    <t>26.88</t>
  </si>
  <si>
    <t>L00331</t>
  </si>
  <si>
    <t>T00166</t>
  </si>
  <si>
    <t>7.09</t>
  </si>
  <si>
    <t>L00332</t>
  </si>
  <si>
    <t>$22.38</t>
  </si>
  <si>
    <t>L00333</t>
  </si>
  <si>
    <t>T00167</t>
  </si>
  <si>
    <t>39.15</t>
  </si>
  <si>
    <t>L00334</t>
  </si>
  <si>
    <t>16.40</t>
  </si>
  <si>
    <t>L00335</t>
  </si>
  <si>
    <t>T00168</t>
  </si>
  <si>
    <t>34.28</t>
  </si>
  <si>
    <t>L00336</t>
  </si>
  <si>
    <t>8.94</t>
  </si>
  <si>
    <t>L00337</t>
  </si>
  <si>
    <t>T00169</t>
  </si>
  <si>
    <t>27.93</t>
  </si>
  <si>
    <t>L00338</t>
  </si>
  <si>
    <t>48.40</t>
  </si>
  <si>
    <t>L00339</t>
  </si>
  <si>
    <t>T00170</t>
  </si>
  <si>
    <t>20.10</t>
  </si>
  <si>
    <t>L00340</t>
  </si>
  <si>
    <t>41.68</t>
  </si>
  <si>
    <t>L00341</t>
  </si>
  <si>
    <t>T00171</t>
  </si>
  <si>
    <t>10.79</t>
  </si>
  <si>
    <t>L00342</t>
  </si>
  <si>
    <t>33.48</t>
  </si>
  <si>
    <t>L00343</t>
  </si>
  <si>
    <t>T00172</t>
  </si>
  <si>
    <t>57.65</t>
  </si>
  <si>
    <t>L00344</t>
  </si>
  <si>
    <t>23.80</t>
  </si>
  <si>
    <t>L00345</t>
  </si>
  <si>
    <t>T00173</t>
  </si>
  <si>
    <t>49.08</t>
  </si>
  <si>
    <t>L00346</t>
  </si>
  <si>
    <t>-12.64</t>
  </si>
  <si>
    <t>L00347</t>
  </si>
  <si>
    <t>T00174</t>
  </si>
  <si>
    <t>39.03</t>
  </si>
  <si>
    <t>L00348</t>
  </si>
  <si>
    <t>66.90</t>
  </si>
  <si>
    <t>L00349</t>
  </si>
  <si>
    <t>T00175</t>
  </si>
  <si>
    <t>27.50</t>
  </si>
  <si>
    <t>L00350</t>
  </si>
  <si>
    <t>56.48</t>
  </si>
  <si>
    <t>L00351</t>
  </si>
  <si>
    <t>T00176</t>
  </si>
  <si>
    <t>14.49</t>
  </si>
  <si>
    <t>L00352</t>
  </si>
  <si>
    <t>44.58</t>
  </si>
  <si>
    <t>L00353</t>
  </si>
  <si>
    <t>T00177</t>
  </si>
  <si>
    <t>76.15</t>
  </si>
  <si>
    <t>L00354</t>
  </si>
  <si>
    <t>31.20</t>
  </si>
  <si>
    <t>L00355</t>
  </si>
  <si>
    <t>T00178</t>
  </si>
  <si>
    <t>63.88</t>
  </si>
  <si>
    <t>L00356</t>
  </si>
  <si>
    <t>16.34</t>
  </si>
  <si>
    <t>L00357</t>
  </si>
  <si>
    <t>T00179</t>
  </si>
  <si>
    <t>50.13</t>
  </si>
  <si>
    <t>L00358</t>
  </si>
  <si>
    <t>85.40</t>
  </si>
  <si>
    <t>L00359</t>
  </si>
  <si>
    <t>T00180</t>
  </si>
  <si>
    <t>34.90</t>
  </si>
  <si>
    <t>L00360</t>
  </si>
  <si>
    <t>71.28</t>
  </si>
  <si>
    <t>L00361</t>
  </si>
  <si>
    <t>T00181</t>
  </si>
  <si>
    <t>18.19</t>
  </si>
  <si>
    <t>L00362</t>
  </si>
  <si>
    <t>55.68</t>
  </si>
  <si>
    <t>L00363</t>
  </si>
  <si>
    <t>T00182</t>
  </si>
  <si>
    <t>94.65</t>
  </si>
  <si>
    <t>L00364</t>
  </si>
  <si>
    <t>38.60</t>
  </si>
  <si>
    <t>L00365</t>
  </si>
  <si>
    <t>T00183</t>
  </si>
  <si>
    <t>78.68</t>
  </si>
  <si>
    <t>L00366</t>
  </si>
  <si>
    <t>20.04</t>
  </si>
  <si>
    <t>L00367</t>
  </si>
  <si>
    <t>T00184</t>
  </si>
  <si>
    <t>61.23</t>
  </si>
  <si>
    <t>L00368</t>
  </si>
  <si>
    <t>103.90</t>
  </si>
  <si>
    <t>L00369</t>
  </si>
  <si>
    <t>T00185</t>
  </si>
  <si>
    <t>-42.30</t>
  </si>
  <si>
    <t>L00370</t>
  </si>
  <si>
    <t>86.08</t>
  </si>
  <si>
    <t>L00371</t>
  </si>
  <si>
    <t>T00186</t>
  </si>
  <si>
    <t>21.89</t>
  </si>
  <si>
    <t>L00372</t>
  </si>
  <si>
    <t>66.78</t>
  </si>
  <si>
    <t>L00373</t>
  </si>
  <si>
    <t>T00187</t>
  </si>
  <si>
    <t>113.15</t>
  </si>
  <si>
    <t>L00374</t>
  </si>
  <si>
    <t>46.00</t>
  </si>
  <si>
    <t>L00375</t>
  </si>
  <si>
    <t>T00188</t>
  </si>
  <si>
    <t>93.48</t>
  </si>
  <si>
    <t>L00376</t>
  </si>
  <si>
    <t>23.74</t>
  </si>
  <si>
    <t>L00377</t>
  </si>
  <si>
    <t>T00189</t>
  </si>
  <si>
    <t>72.33</t>
  </si>
  <si>
    <t>L00378</t>
  </si>
  <si>
    <t>122.40</t>
  </si>
  <si>
    <t>L00379</t>
  </si>
  <si>
    <t>T00190</t>
  </si>
  <si>
    <t>49.70</t>
  </si>
  <si>
    <t>L00380</t>
  </si>
  <si>
    <t>100.88</t>
  </si>
  <si>
    <t>L00381</t>
  </si>
  <si>
    <t>T00191</t>
  </si>
  <si>
    <t>25.59</t>
  </si>
  <si>
    <t>L00382</t>
  </si>
  <si>
    <t>77.88</t>
  </si>
  <si>
    <t>L00383</t>
  </si>
  <si>
    <t>T00192</t>
  </si>
  <si>
    <t>131.65</t>
  </si>
  <si>
    <t>L00384</t>
  </si>
  <si>
    <t>53.40</t>
  </si>
  <si>
    <t>L00385</t>
  </si>
  <si>
    <t>T00193</t>
  </si>
  <si>
    <t>108.28</t>
  </si>
  <si>
    <t>L00386</t>
  </si>
  <si>
    <t>27.44</t>
  </si>
  <si>
    <t>L00387</t>
  </si>
  <si>
    <t>T00194</t>
  </si>
  <si>
    <t>83.43</t>
  </si>
  <si>
    <t>L00388</t>
  </si>
  <si>
    <t>140.90</t>
  </si>
  <si>
    <t>L00389</t>
  </si>
  <si>
    <t>T00195</t>
  </si>
  <si>
    <t>57.10</t>
  </si>
  <si>
    <t>L00390</t>
  </si>
  <si>
    <t>115.68</t>
  </si>
  <si>
    <t>L00391</t>
  </si>
  <si>
    <t>T00196</t>
  </si>
  <si>
    <t>29.29</t>
  </si>
  <si>
    <t>L00392</t>
  </si>
  <si>
    <t>-88.98</t>
  </si>
  <si>
    <t>L00393</t>
  </si>
  <si>
    <t>T00197</t>
  </si>
  <si>
    <t>150.15</t>
  </si>
  <si>
    <t>L00394</t>
  </si>
  <si>
    <t>60.80</t>
  </si>
  <si>
    <t>L00395</t>
  </si>
  <si>
    <t>T00198</t>
  </si>
  <si>
    <t>123.08</t>
  </si>
  <si>
    <t>L00396</t>
  </si>
  <si>
    <t>31.14</t>
  </si>
  <si>
    <t>L00397</t>
  </si>
  <si>
    <t>T00199</t>
  </si>
  <si>
    <t>94.53</t>
  </si>
  <si>
    <t>L00398</t>
  </si>
  <si>
    <t>159.40</t>
  </si>
  <si>
    <t>L00399</t>
  </si>
  <si>
    <t>T00200</t>
  </si>
  <si>
    <t>64.50</t>
  </si>
  <si>
    <t>L00400</t>
  </si>
  <si>
    <t>130.48</t>
  </si>
  <si>
    <t>L00401</t>
  </si>
  <si>
    <t>T00201</t>
  </si>
  <si>
    <t>32.99</t>
  </si>
  <si>
    <t>L00402</t>
  </si>
  <si>
    <t>100.08</t>
  </si>
  <si>
    <t>L00403</t>
  </si>
  <si>
    <t>T00202</t>
  </si>
  <si>
    <t>168.65</t>
  </si>
  <si>
    <t>L00404</t>
  </si>
  <si>
    <t>68.20</t>
  </si>
  <si>
    <t>L00405</t>
  </si>
  <si>
    <t>T00203</t>
  </si>
  <si>
    <t>137.88</t>
  </si>
  <si>
    <t>L00406</t>
  </si>
  <si>
    <t>34.84</t>
  </si>
  <si>
    <t>L00407</t>
  </si>
  <si>
    <t>T00204</t>
  </si>
  <si>
    <t>105.63</t>
  </si>
  <si>
    <t>L00408</t>
  </si>
  <si>
    <t>177.90</t>
  </si>
  <si>
    <t>L00409</t>
  </si>
  <si>
    <t>T00205</t>
  </si>
  <si>
    <t>71.90</t>
  </si>
  <si>
    <t>L00410</t>
  </si>
  <si>
    <t>145.28</t>
  </si>
  <si>
    <t>L00411</t>
  </si>
  <si>
    <t>T00206</t>
  </si>
  <si>
    <t>36.69</t>
  </si>
  <si>
    <t>L00412</t>
  </si>
  <si>
    <t>111.18</t>
  </si>
  <si>
    <t>L00413</t>
  </si>
  <si>
    <t>T00207</t>
  </si>
  <si>
    <t>187.15</t>
  </si>
  <si>
    <t>L00414</t>
  </si>
  <si>
    <t>75.60</t>
  </si>
  <si>
    <t>L00415</t>
  </si>
  <si>
    <t>T00208</t>
  </si>
  <si>
    <t>-152.68</t>
  </si>
  <si>
    <t>L00416</t>
  </si>
  <si>
    <t>38.54</t>
  </si>
  <si>
    <t>L00417</t>
  </si>
  <si>
    <t>T00209</t>
  </si>
  <si>
    <t>116.73</t>
  </si>
  <si>
    <t>L00418</t>
  </si>
  <si>
    <t>196.40</t>
  </si>
  <si>
    <t>L00419</t>
  </si>
  <si>
    <t>T00210</t>
  </si>
  <si>
    <t>79.30</t>
  </si>
  <si>
    <t>L00420</t>
  </si>
  <si>
    <t>160.08</t>
  </si>
  <si>
    <t>L00421</t>
  </si>
  <si>
    <t>T00211</t>
  </si>
  <si>
    <t>40.39</t>
  </si>
  <si>
    <t>L00422</t>
  </si>
  <si>
    <t>122.28</t>
  </si>
  <si>
    <t>L00423</t>
  </si>
  <si>
    <t>T00212</t>
  </si>
  <si>
    <t>205.65</t>
  </si>
  <si>
    <t>L00424</t>
  </si>
  <si>
    <t>83.00</t>
  </si>
  <si>
    <t>L00425</t>
  </si>
  <si>
    <t>T00213</t>
  </si>
  <si>
    <t>167.48</t>
  </si>
  <si>
    <t>L00426</t>
  </si>
  <si>
    <t>42.24</t>
  </si>
  <si>
    <t>L00427</t>
  </si>
  <si>
    <t>T00214</t>
  </si>
  <si>
    <t>127.83</t>
  </si>
  <si>
    <t>L00428</t>
  </si>
  <si>
    <t>214.90</t>
  </si>
  <si>
    <t>L00429</t>
  </si>
  <si>
    <t>T00215</t>
  </si>
  <si>
    <t>86.70</t>
  </si>
  <si>
    <t>L00430</t>
  </si>
  <si>
    <t>174.88</t>
  </si>
  <si>
    <t>L00431</t>
  </si>
  <si>
    <t>T00216</t>
  </si>
  <si>
    <t>44.09</t>
  </si>
  <si>
    <t>L00432</t>
  </si>
  <si>
    <t>133.38</t>
  </si>
  <si>
    <t>L00433</t>
  </si>
  <si>
    <t>T00217</t>
  </si>
  <si>
    <t>224.15</t>
  </si>
  <si>
    <t>L00434</t>
  </si>
  <si>
    <t>90.40</t>
  </si>
  <si>
    <t>L00435</t>
  </si>
  <si>
    <t>T00218</t>
  </si>
  <si>
    <t>$182.28</t>
  </si>
  <si>
    <t>L00436</t>
  </si>
  <si>
    <t>45.94</t>
  </si>
  <si>
    <t>L00437</t>
  </si>
  <si>
    <t>T00219</t>
  </si>
  <si>
    <t>138.93</t>
  </si>
  <si>
    <t>L00438</t>
  </si>
  <si>
    <t>-233.40</t>
  </si>
  <si>
    <t>L00439</t>
  </si>
  <si>
    <t>T00220</t>
  </si>
  <si>
    <t>94.10</t>
  </si>
  <si>
    <t>L00440</t>
  </si>
  <si>
    <t>189.68</t>
  </si>
  <si>
    <t>L00441</t>
  </si>
  <si>
    <t>T00221</t>
  </si>
  <si>
    <t>47.79</t>
  </si>
  <si>
    <t>L00442</t>
  </si>
  <si>
    <t>144.48</t>
  </si>
  <si>
    <t>L00443</t>
  </si>
  <si>
    <t>T00222</t>
  </si>
  <si>
    <t>242.65</t>
  </si>
  <si>
    <t>L00444</t>
  </si>
  <si>
    <t>97.80</t>
  </si>
  <si>
    <t>L00445</t>
  </si>
  <si>
    <t>T00223</t>
  </si>
  <si>
    <t>25-Jan-2026</t>
  </si>
  <si>
    <t>197.08</t>
  </si>
  <si>
    <t>L00446</t>
  </si>
  <si>
    <t>49.64</t>
  </si>
  <si>
    <t>L00447</t>
  </si>
  <si>
    <t>T00224</t>
  </si>
  <si>
    <t>150.03</t>
  </si>
  <si>
    <t>L00448</t>
  </si>
  <si>
    <t>251.90</t>
  </si>
  <si>
    <t>L00449</t>
  </si>
  <si>
    <t>T00225</t>
  </si>
  <si>
    <t>101.50</t>
  </si>
  <si>
    <t>L00450</t>
  </si>
  <si>
    <t>204.48</t>
  </si>
  <si>
    <t>L00451</t>
  </si>
  <si>
    <t>T00226</t>
  </si>
  <si>
    <t>51.49</t>
  </si>
  <si>
    <t>L00452</t>
  </si>
  <si>
    <t>155.58</t>
  </si>
  <si>
    <t>L00453</t>
  </si>
  <si>
    <t>T00227</t>
  </si>
  <si>
    <t>261.15</t>
  </si>
  <si>
    <t>L00454</t>
  </si>
  <si>
    <t>105.20</t>
  </si>
  <si>
    <t>L00455</t>
  </si>
  <si>
    <t>T00228</t>
  </si>
  <si>
    <t>211.88</t>
  </si>
  <si>
    <t>L00456</t>
  </si>
  <si>
    <t>53.34</t>
  </si>
  <si>
    <t>L00457</t>
  </si>
  <si>
    <t>T00229</t>
  </si>
  <si>
    <t>161.13</t>
  </si>
  <si>
    <t>L00458</t>
  </si>
  <si>
    <t>270.40</t>
  </si>
  <si>
    <t>L00459</t>
  </si>
  <si>
    <t>T00230</t>
  </si>
  <si>
    <t>108.90</t>
  </si>
  <si>
    <t>L00460</t>
  </si>
  <si>
    <t>219.28</t>
  </si>
  <si>
    <t>L00461</t>
  </si>
  <si>
    <t>T00231</t>
  </si>
  <si>
    <t>-55.19</t>
  </si>
  <si>
    <t>L00462</t>
  </si>
  <si>
    <t>166.68</t>
  </si>
  <si>
    <t>L00463</t>
  </si>
  <si>
    <t>T00232</t>
  </si>
  <si>
    <t>279.65</t>
  </si>
  <si>
    <t>L00464</t>
  </si>
  <si>
    <t>112.60</t>
  </si>
  <si>
    <t>L00465</t>
  </si>
  <si>
    <t>T00233</t>
  </si>
  <si>
    <t>226.68</t>
  </si>
  <si>
    <t>L00466</t>
  </si>
  <si>
    <t>57.04</t>
  </si>
  <si>
    <t>L00467</t>
  </si>
  <si>
    <t>T00234</t>
  </si>
  <si>
    <t>172.23</t>
  </si>
  <si>
    <t>L00468</t>
  </si>
  <si>
    <t>288.90</t>
  </si>
  <si>
    <t>L00469</t>
  </si>
  <si>
    <t>T00235</t>
  </si>
  <si>
    <t>116.30</t>
  </si>
  <si>
    <t>L00470</t>
  </si>
  <si>
    <t>234.08</t>
  </si>
  <si>
    <t>L00471</t>
  </si>
  <si>
    <t>T00236</t>
  </si>
  <si>
    <t>58.89</t>
  </si>
  <si>
    <t>L00472</t>
  </si>
  <si>
    <t>177.78</t>
  </si>
  <si>
    <t>L00473</t>
  </si>
  <si>
    <t>T00237</t>
  </si>
  <si>
    <t>298.15</t>
  </si>
  <si>
    <t>L00474</t>
  </si>
  <si>
    <t>120.00</t>
  </si>
  <si>
    <t>L00475</t>
  </si>
  <si>
    <t>T00238</t>
  </si>
  <si>
    <t>241.48</t>
  </si>
  <si>
    <t>L00476</t>
  </si>
  <si>
    <t>60.74</t>
  </si>
  <si>
    <t>L00477</t>
  </si>
  <si>
    <t>T00239</t>
  </si>
  <si>
    <t>183.33</t>
  </si>
  <si>
    <t>L00478</t>
  </si>
  <si>
    <t>307.40</t>
  </si>
  <si>
    <t>L00479</t>
  </si>
  <si>
    <t>T00240</t>
  </si>
  <si>
    <t>123.70</t>
  </si>
  <si>
    <t>L00480</t>
  </si>
  <si>
    <t>248.88</t>
  </si>
  <si>
    <t>L00481</t>
  </si>
  <si>
    <t>T00241</t>
  </si>
  <si>
    <t>62.59</t>
  </si>
  <si>
    <t>L00482</t>
  </si>
  <si>
    <t>188.88</t>
  </si>
  <si>
    <t>L00483</t>
  </si>
  <si>
    <t>T00242</t>
  </si>
  <si>
    <t>316.65</t>
  </si>
  <si>
    <t>L00484</t>
  </si>
  <si>
    <t>-127.40</t>
  </si>
  <si>
    <t>L00485</t>
  </si>
  <si>
    <t>T00243</t>
  </si>
  <si>
    <t>256.28</t>
  </si>
  <si>
    <t>L00486</t>
  </si>
  <si>
    <t>64.44</t>
  </si>
  <si>
    <t>L00487</t>
  </si>
  <si>
    <t>T00244</t>
  </si>
  <si>
    <t>194.43</t>
  </si>
  <si>
    <t>L00488</t>
  </si>
  <si>
    <t>325.90</t>
  </si>
  <si>
    <t>L00489</t>
  </si>
  <si>
    <t>T00245</t>
  </si>
  <si>
    <t>131.10</t>
  </si>
  <si>
    <t>L00490</t>
  </si>
  <si>
    <t>263.68</t>
  </si>
  <si>
    <t>L00491</t>
  </si>
  <si>
    <t>T00246</t>
  </si>
  <si>
    <t>66.29</t>
  </si>
  <si>
    <t>L00492</t>
  </si>
  <si>
    <t>199.98</t>
  </si>
  <si>
    <t>L00493</t>
  </si>
  <si>
    <t>T00247</t>
  </si>
  <si>
    <t>335.15</t>
  </si>
  <si>
    <t>L00494</t>
  </si>
  <si>
    <t>134.80</t>
  </si>
  <si>
    <t>L00495</t>
  </si>
  <si>
    <t>T00248</t>
  </si>
  <si>
    <t>271.08</t>
  </si>
  <si>
    <t>L00496</t>
  </si>
  <si>
    <t>68.14</t>
  </si>
  <si>
    <t>L00497</t>
  </si>
  <si>
    <t>T00249</t>
  </si>
  <si>
    <t>205.53</t>
  </si>
  <si>
    <t>L00498</t>
  </si>
  <si>
    <t>344.40</t>
  </si>
  <si>
    <t>L00499</t>
  </si>
  <si>
    <t>T00250</t>
  </si>
  <si>
    <t>138.50</t>
  </si>
  <si>
    <t>L00500</t>
  </si>
  <si>
    <t>278.48</t>
  </si>
  <si>
    <t>L00501</t>
  </si>
  <si>
    <t>T00251</t>
  </si>
  <si>
    <t>69.99</t>
  </si>
  <si>
    <t>L00502</t>
  </si>
  <si>
    <t>211.08</t>
  </si>
  <si>
    <t>L00503</t>
  </si>
  <si>
    <t>T00252</t>
  </si>
  <si>
    <t>353.65</t>
  </si>
  <si>
    <t>L00504</t>
  </si>
  <si>
    <t>142.20</t>
  </si>
  <si>
    <t>L00505</t>
  </si>
  <si>
    <t>T00253</t>
  </si>
  <si>
    <t>285.88</t>
  </si>
  <si>
    <t>L00506</t>
  </si>
  <si>
    <t>71.84</t>
  </si>
  <si>
    <t>L00507</t>
  </si>
  <si>
    <t>T00254</t>
  </si>
  <si>
    <t>-216.63</t>
  </si>
  <si>
    <t>L00508</t>
  </si>
  <si>
    <t>362.90</t>
  </si>
  <si>
    <t>L00509</t>
  </si>
  <si>
    <t>T00255</t>
  </si>
  <si>
    <t>145.90</t>
  </si>
  <si>
    <t>L00510</t>
  </si>
  <si>
    <t>293.28</t>
  </si>
  <si>
    <t>L00511</t>
  </si>
  <si>
    <t>T00256</t>
  </si>
  <si>
    <t>73.69</t>
  </si>
  <si>
    <t>L00512</t>
  </si>
  <si>
    <t>222.18</t>
  </si>
  <si>
    <t>L00513</t>
  </si>
  <si>
    <t>T00257</t>
  </si>
  <si>
    <t>372.15</t>
  </si>
  <si>
    <t>L00514</t>
  </si>
  <si>
    <t>149.60</t>
  </si>
  <si>
    <t>L00515</t>
  </si>
  <si>
    <t>T00258</t>
  </si>
  <si>
    <t>300.68</t>
  </si>
  <si>
    <t>L00516</t>
  </si>
  <si>
    <t>75.54</t>
  </si>
  <si>
    <t>L00517</t>
  </si>
  <si>
    <t>T00259</t>
  </si>
  <si>
    <t>227.73</t>
  </si>
  <si>
    <t>L00518</t>
  </si>
  <si>
    <t>381.40</t>
  </si>
  <si>
    <t>L00519</t>
  </si>
  <si>
    <t>T00260</t>
  </si>
  <si>
    <t>153.30</t>
  </si>
  <si>
    <t>L00520</t>
  </si>
  <si>
    <t>308.08</t>
  </si>
  <si>
    <t>L00521</t>
  </si>
  <si>
    <t>T00261</t>
  </si>
  <si>
    <t>77.39</t>
  </si>
  <si>
    <t>L00522</t>
  </si>
  <si>
    <t>233.28</t>
  </si>
  <si>
    <t>L00523</t>
  </si>
  <si>
    <t>T00262</t>
  </si>
  <si>
    <t>390.65</t>
  </si>
  <si>
    <t>L00524</t>
  </si>
  <si>
    <t>157.00</t>
  </si>
  <si>
    <t>L00525</t>
  </si>
  <si>
    <t>T00263</t>
  </si>
  <si>
    <t>315.48</t>
  </si>
  <si>
    <t>L00526</t>
  </si>
  <si>
    <t>79.24</t>
  </si>
  <si>
    <t>L00527</t>
  </si>
  <si>
    <t>T00264</t>
  </si>
  <si>
    <t>238.83</t>
  </si>
  <si>
    <t>L00528</t>
  </si>
  <si>
    <t>399.90</t>
  </si>
  <si>
    <t>L00529</t>
  </si>
  <si>
    <t>T00265</t>
  </si>
  <si>
    <t>160.70</t>
  </si>
  <si>
    <t>L00530</t>
  </si>
  <si>
    <t>-322.88</t>
  </si>
  <si>
    <t>L00531</t>
  </si>
  <si>
    <t>T00266</t>
  </si>
  <si>
    <t>81.09</t>
  </si>
  <si>
    <t>L00532</t>
  </si>
  <si>
    <t>244.38</t>
  </si>
  <si>
    <t>L00533</t>
  </si>
  <si>
    <t>T00267</t>
  </si>
  <si>
    <t>409.15</t>
  </si>
  <si>
    <t>L00534</t>
  </si>
  <si>
    <t>164.40</t>
  </si>
  <si>
    <t>L00535</t>
  </si>
  <si>
    <t>T00268</t>
  </si>
  <si>
    <t>330.28</t>
  </si>
  <si>
    <t>L00536</t>
  </si>
  <si>
    <t>82.94</t>
  </si>
  <si>
    <t>L00537</t>
  </si>
  <si>
    <t>T00269</t>
  </si>
  <si>
    <t>249.93</t>
  </si>
  <si>
    <t>L00538</t>
  </si>
  <si>
    <t>$418.40</t>
  </si>
  <si>
    <t>L00539</t>
  </si>
  <si>
    <t>T00270</t>
  </si>
  <si>
    <t>168.10</t>
  </si>
  <si>
    <t>L00540</t>
  </si>
  <si>
    <t>337.68</t>
  </si>
  <si>
    <t>L00541</t>
  </si>
  <si>
    <t>T00271</t>
  </si>
  <si>
    <t>84.79</t>
  </si>
  <si>
    <t>L00542</t>
  </si>
  <si>
    <t>255.48</t>
  </si>
  <si>
    <t>L00543</t>
  </si>
  <si>
    <t>T00272</t>
  </si>
  <si>
    <t>427.65</t>
  </si>
  <si>
    <t>L00544</t>
  </si>
  <si>
    <t>171.80</t>
  </si>
  <si>
    <t>L00545</t>
  </si>
  <si>
    <t>T00273</t>
  </si>
  <si>
    <t>345.08</t>
  </si>
  <si>
    <t>L00546</t>
  </si>
  <si>
    <t>86.64</t>
  </si>
  <si>
    <t>L00547</t>
  </si>
  <si>
    <t>T00274</t>
  </si>
  <si>
    <t>261.03</t>
  </si>
  <si>
    <t>L00548</t>
  </si>
  <si>
    <t>436.90</t>
  </si>
  <si>
    <t>L00549</t>
  </si>
  <si>
    <t>T00275</t>
  </si>
  <si>
    <t>175.50</t>
  </si>
  <si>
    <t>L00550</t>
  </si>
  <si>
    <t>352.48</t>
  </si>
  <si>
    <t>L00551</t>
  </si>
  <si>
    <t>T00276</t>
  </si>
  <si>
    <t>88.49</t>
  </si>
  <si>
    <t>L00552</t>
  </si>
  <si>
    <t>266.58</t>
  </si>
  <si>
    <t>L00553</t>
  </si>
  <si>
    <t>T00277</t>
  </si>
  <si>
    <t>-446.15</t>
  </si>
  <si>
    <t>L00554</t>
  </si>
  <si>
    <t>179.20</t>
  </si>
  <si>
    <t>L00555</t>
  </si>
  <si>
    <t>T00278</t>
  </si>
  <si>
    <t>359.88</t>
  </si>
  <si>
    <t>L00556</t>
  </si>
  <si>
    <t>90.34</t>
  </si>
  <si>
    <t>L00557</t>
  </si>
  <si>
    <t>T00279</t>
  </si>
  <si>
    <t>272.13</t>
  </si>
  <si>
    <t>L00558</t>
  </si>
  <si>
    <t>455.40</t>
  </si>
  <si>
    <t>L00559</t>
  </si>
  <si>
    <t>T00280</t>
  </si>
  <si>
    <t>182.90</t>
  </si>
  <si>
    <t>L00560</t>
  </si>
  <si>
    <t>367.28</t>
  </si>
  <si>
    <t>L00561</t>
  </si>
  <si>
    <t>T00281</t>
  </si>
  <si>
    <t>92.19</t>
  </si>
  <si>
    <t>L00562</t>
  </si>
  <si>
    <t>277.68</t>
  </si>
  <si>
    <t>L00563</t>
  </si>
  <si>
    <t>T00282</t>
  </si>
  <si>
    <t>464.65</t>
  </si>
  <si>
    <t>L00564</t>
  </si>
  <si>
    <t>186.60</t>
  </si>
  <si>
    <t>L00565</t>
  </si>
  <si>
    <t>T00283</t>
  </si>
  <si>
    <t>374.68</t>
  </si>
  <si>
    <t>L00566</t>
  </si>
  <si>
    <t>94.04</t>
  </si>
  <si>
    <t>L00567</t>
  </si>
  <si>
    <t>T00284</t>
  </si>
  <si>
    <t>283.23</t>
  </si>
  <si>
    <t>L00568</t>
  </si>
  <si>
    <t>473.90</t>
  </si>
  <si>
    <t>L00569</t>
  </si>
  <si>
    <t>T00285</t>
  </si>
  <si>
    <t>190.30</t>
  </si>
  <si>
    <t>L00570</t>
  </si>
  <si>
    <t>382.08</t>
  </si>
  <si>
    <t>L00571</t>
  </si>
  <si>
    <t>T00286</t>
  </si>
  <si>
    <t>95.89</t>
  </si>
  <si>
    <t>L00572</t>
  </si>
  <si>
    <t>288.78</t>
  </si>
  <si>
    <t>L00573</t>
  </si>
  <si>
    <t>T00287</t>
  </si>
  <si>
    <t>483.15</t>
  </si>
  <si>
    <t>L00574</t>
  </si>
  <si>
    <t>194.00</t>
  </si>
  <si>
    <t>L00575</t>
  </si>
  <si>
    <t>T00288</t>
  </si>
  <si>
    <t>389.48</t>
  </si>
  <si>
    <t>L00576</t>
  </si>
  <si>
    <t>-97.74</t>
  </si>
  <si>
    <t>L00577</t>
  </si>
  <si>
    <t>T00289</t>
  </si>
  <si>
    <t>294.33</t>
  </si>
  <si>
    <t>L00578</t>
  </si>
  <si>
    <t>492.40</t>
  </si>
  <si>
    <t>L00579</t>
  </si>
  <si>
    <t>T00290</t>
  </si>
  <si>
    <t>197.70</t>
  </si>
  <si>
    <t>L00580</t>
  </si>
  <si>
    <t>396.88</t>
  </si>
  <si>
    <t>L00581</t>
  </si>
  <si>
    <t>T00291</t>
  </si>
  <si>
    <t>99.59</t>
  </si>
  <si>
    <t>L00582</t>
  </si>
  <si>
    <t>20-Feb-2026</t>
  </si>
  <si>
    <t>299.88</t>
  </si>
  <si>
    <t>L00583</t>
  </si>
  <si>
    <t>T00292</t>
  </si>
  <si>
    <t>501.65</t>
  </si>
  <si>
    <t>L00584</t>
  </si>
  <si>
    <t>201.40</t>
  </si>
  <si>
    <t>L00585</t>
  </si>
  <si>
    <t>T00293</t>
  </si>
  <si>
    <t>404.28</t>
  </si>
  <si>
    <t>L00586</t>
  </si>
  <si>
    <t>101.44</t>
  </si>
  <si>
    <t>L00587</t>
  </si>
  <si>
    <t>T00294</t>
  </si>
  <si>
    <t>305.43</t>
  </si>
  <si>
    <t>L00588</t>
  </si>
  <si>
    <t>510.90</t>
  </si>
  <si>
    <t>L00589</t>
  </si>
  <si>
    <t>T00295</t>
  </si>
  <si>
    <t>205.10</t>
  </si>
  <si>
    <t>L00590</t>
  </si>
  <si>
    <t>411.68</t>
  </si>
  <si>
    <t>L00591</t>
  </si>
  <si>
    <t>T00296</t>
  </si>
  <si>
    <t>103.29</t>
  </si>
  <si>
    <t>L00592</t>
  </si>
  <si>
    <t>310.98</t>
  </si>
  <si>
    <t>L00593</t>
  </si>
  <si>
    <t>T00297</t>
  </si>
  <si>
    <t>520.15</t>
  </si>
  <si>
    <t>L00594</t>
  </si>
  <si>
    <t>208.80</t>
  </si>
  <si>
    <t>L00595</t>
  </si>
  <si>
    <t>T00298</t>
  </si>
  <si>
    <t>419.08</t>
  </si>
  <si>
    <t>L00596</t>
  </si>
  <si>
    <t>105.14</t>
  </si>
  <si>
    <t>L00597</t>
  </si>
  <si>
    <t>T00299</t>
  </si>
  <si>
    <t>316.53</t>
  </si>
  <si>
    <t>L00598</t>
  </si>
  <si>
    <t>529.40</t>
  </si>
  <si>
    <t>L00599</t>
  </si>
  <si>
    <t>T00300</t>
  </si>
  <si>
    <t>-212.50</t>
  </si>
  <si>
    <t>L00600</t>
  </si>
  <si>
    <t>426.48</t>
  </si>
  <si>
    <t>L00601</t>
  </si>
  <si>
    <t>T00301</t>
  </si>
  <si>
    <t>106.99</t>
  </si>
  <si>
    <t>L00602</t>
  </si>
  <si>
    <t>322.08</t>
  </si>
  <si>
    <t>L00603</t>
  </si>
  <si>
    <t>T00302</t>
  </si>
  <si>
    <t>538.65</t>
  </si>
  <si>
    <t>L00604</t>
  </si>
  <si>
    <t>216.20</t>
  </si>
  <si>
    <t>L00605</t>
  </si>
  <si>
    <t>T00303</t>
  </si>
  <si>
    <t>433.88</t>
  </si>
  <si>
    <t>L00606</t>
  </si>
  <si>
    <t>108.84</t>
  </si>
  <si>
    <t>L00607</t>
  </si>
  <si>
    <t>T00304</t>
  </si>
  <si>
    <t>327.63</t>
  </si>
  <si>
    <t>L00608</t>
  </si>
  <si>
    <t>547.90</t>
  </si>
  <si>
    <t>L00609</t>
  </si>
  <si>
    <t>T00305</t>
  </si>
  <si>
    <t>219.90</t>
  </si>
  <si>
    <t>L00610</t>
  </si>
  <si>
    <t>441.28</t>
  </si>
  <si>
    <t>L00611</t>
  </si>
  <si>
    <t>T00306</t>
  </si>
  <si>
    <t>110.69</t>
  </si>
  <si>
    <t>L00612</t>
  </si>
  <si>
    <t>333.18</t>
  </si>
  <si>
    <t>L00613</t>
  </si>
  <si>
    <t>T00307</t>
  </si>
  <si>
    <t>557.15</t>
  </si>
  <si>
    <t>L00614</t>
  </si>
  <si>
    <t>223.60</t>
  </si>
  <si>
    <t>L00615</t>
  </si>
  <si>
    <t>T00308</t>
  </si>
  <si>
    <t>448.68</t>
  </si>
  <si>
    <t>L00616</t>
  </si>
  <si>
    <t>112.54</t>
  </si>
  <si>
    <t>L00617</t>
  </si>
  <si>
    <t>T00309</t>
  </si>
  <si>
    <t>338.73</t>
  </si>
  <si>
    <t>L00618</t>
  </si>
  <si>
    <t>566.40</t>
  </si>
  <si>
    <t>L00619</t>
  </si>
  <si>
    <t>T00310</t>
  </si>
  <si>
    <t>227.30</t>
  </si>
  <si>
    <t>L00620</t>
  </si>
  <si>
    <t>456.08</t>
  </si>
  <si>
    <t>L00621</t>
  </si>
  <si>
    <t>T00311</t>
  </si>
  <si>
    <t>114.39</t>
  </si>
  <si>
    <t>L00622</t>
  </si>
  <si>
    <t>-344.28</t>
  </si>
  <si>
    <t>L00623</t>
  </si>
  <si>
    <t>T00312</t>
  </si>
  <si>
    <t>575.65</t>
  </si>
  <si>
    <t>L00624</t>
  </si>
  <si>
    <t>231.00</t>
  </si>
  <si>
    <t>L00625</t>
  </si>
  <si>
    <t>T00313</t>
  </si>
  <si>
    <t>463.48</t>
  </si>
  <si>
    <t>L00626</t>
  </si>
  <si>
    <t>116.24</t>
  </si>
  <si>
    <t>L00627</t>
  </si>
  <si>
    <t>T00314</t>
  </si>
  <si>
    <t>349.83</t>
  </si>
  <si>
    <t>L00628</t>
  </si>
  <si>
    <t>584.90</t>
  </si>
  <si>
    <t>L00629</t>
  </si>
  <si>
    <t>T00315</t>
  </si>
  <si>
    <t>234.70</t>
  </si>
  <si>
    <t>L00630</t>
  </si>
  <si>
    <t>470.88</t>
  </si>
  <si>
    <t>L00631</t>
  </si>
  <si>
    <t>T00316</t>
  </si>
  <si>
    <t>118.09</t>
  </si>
  <si>
    <t>L00632</t>
  </si>
  <si>
    <t>355.38</t>
  </si>
  <si>
    <t>L00633</t>
  </si>
  <si>
    <t>T00317</t>
  </si>
  <si>
    <t>594.15</t>
  </si>
  <si>
    <t>L00634</t>
  </si>
  <si>
    <t>238.40</t>
  </si>
  <si>
    <t>L00635</t>
  </si>
  <si>
    <t>T00318</t>
  </si>
  <si>
    <t>478.28</t>
  </si>
  <si>
    <t>L00636</t>
  </si>
  <si>
    <t>119.94</t>
  </si>
  <si>
    <t>L00637</t>
  </si>
  <si>
    <t>T00319</t>
  </si>
  <si>
    <t>360.93</t>
  </si>
  <si>
    <t>L00638</t>
  </si>
  <si>
    <t>603.40</t>
  </si>
  <si>
    <t>L00639</t>
  </si>
  <si>
    <t>T00320</t>
  </si>
  <si>
    <t>242.10</t>
  </si>
  <si>
    <t>L00640</t>
  </si>
  <si>
    <t>485.68</t>
  </si>
  <si>
    <t>L00641</t>
  </si>
  <si>
    <t>T00321</t>
  </si>
  <si>
    <t>$121.79</t>
  </si>
  <si>
    <t>L00642</t>
  </si>
  <si>
    <t>366.48</t>
  </si>
  <si>
    <t>L00643</t>
  </si>
  <si>
    <t>T00322</t>
  </si>
  <si>
    <t>612.65</t>
  </si>
  <si>
    <t>L00644</t>
  </si>
  <si>
    <t>245.80</t>
  </si>
  <si>
    <t>L00645</t>
  </si>
  <si>
    <t>T00323</t>
  </si>
  <si>
    <t>-493.08</t>
  </si>
  <si>
    <t>L00646</t>
  </si>
  <si>
    <t>123.64</t>
  </si>
  <si>
    <t>L00647</t>
  </si>
  <si>
    <t>T00324</t>
  </si>
  <si>
    <t>372.03</t>
  </si>
  <si>
    <t>L00648</t>
  </si>
  <si>
    <t>621.90</t>
  </si>
  <si>
    <t>L00649</t>
  </si>
  <si>
    <t>T00325</t>
  </si>
  <si>
    <t>249.50</t>
  </si>
  <si>
    <t>L00650</t>
  </si>
  <si>
    <t>20.48</t>
  </si>
  <si>
    <t>L00651</t>
  </si>
  <si>
    <t>T00326</t>
  </si>
  <si>
    <t>5.49</t>
  </si>
  <si>
    <t>L00652</t>
  </si>
  <si>
    <t>17.58</t>
  </si>
  <si>
    <t>L00653</t>
  </si>
  <si>
    <t>T00327</t>
  </si>
  <si>
    <t>31.15</t>
  </si>
  <si>
    <t>L00654</t>
  </si>
  <si>
    <t>13.20</t>
  </si>
  <si>
    <t>L00655</t>
  </si>
  <si>
    <t>T00328</t>
  </si>
  <si>
    <t>27.88</t>
  </si>
  <si>
    <t>L00656</t>
  </si>
  <si>
    <t>7.34</t>
  </si>
  <si>
    <t>L00657</t>
  </si>
  <si>
    <t>T00329</t>
  </si>
  <si>
    <t>23.13</t>
  </si>
  <si>
    <t>L00658</t>
  </si>
  <si>
    <t>40.40</t>
  </si>
  <si>
    <t>L00659</t>
  </si>
  <si>
    <t>T00330</t>
  </si>
  <si>
    <t>16.90</t>
  </si>
  <si>
    <t>L00660</t>
  </si>
  <si>
    <t>35.28</t>
  </si>
  <si>
    <t>L00661</t>
  </si>
  <si>
    <t>T00331</t>
  </si>
  <si>
    <t>9.19</t>
  </si>
  <si>
    <t>L00662</t>
  </si>
  <si>
    <t>28.68</t>
  </si>
  <si>
    <t>L00663</t>
  </si>
  <si>
    <t>T00332</t>
  </si>
  <si>
    <t>49.65</t>
  </si>
  <si>
    <t>L00664</t>
  </si>
  <si>
    <t>20.60</t>
  </si>
  <si>
    <t>L00665</t>
  </si>
  <si>
    <t>T00333</t>
  </si>
  <si>
    <t>42.68</t>
  </si>
  <si>
    <t>L00666</t>
  </si>
  <si>
    <t>11.04</t>
  </si>
  <si>
    <t>L00667</t>
  </si>
  <si>
    <t>T00334</t>
  </si>
  <si>
    <t>34.23</t>
  </si>
  <si>
    <t>L00668</t>
  </si>
  <si>
    <t>-58.90</t>
  </si>
  <si>
    <t>L00669</t>
  </si>
  <si>
    <t>T00335</t>
  </si>
  <si>
    <t>24.30</t>
  </si>
  <si>
    <t>L00670</t>
  </si>
  <si>
    <t>50.08</t>
  </si>
  <si>
    <t>L00671</t>
  </si>
  <si>
    <t>T00336</t>
  </si>
  <si>
    <t>12.89</t>
  </si>
  <si>
    <t>L00672</t>
  </si>
  <si>
    <t>39.78</t>
  </si>
  <si>
    <t>L00673</t>
  </si>
  <si>
    <t>T00337</t>
  </si>
  <si>
    <t>68.15</t>
  </si>
  <si>
    <t>L00674</t>
  </si>
  <si>
    <t>28.00</t>
  </si>
  <si>
    <t>L00675</t>
  </si>
  <si>
    <t>T00338</t>
  </si>
  <si>
    <t>57.48</t>
  </si>
  <si>
    <t>L00676</t>
  </si>
  <si>
    <t>14.74</t>
  </si>
  <si>
    <t>L00677</t>
  </si>
  <si>
    <t>T00339</t>
  </si>
  <si>
    <t>45.33</t>
  </si>
  <si>
    <t>L00678</t>
  </si>
  <si>
    <t>77.40</t>
  </si>
  <si>
    <t>L00679</t>
  </si>
  <si>
    <t>T00340</t>
  </si>
  <si>
    <t>31.70</t>
  </si>
  <si>
    <t>L00680</t>
  </si>
  <si>
    <t>64.88</t>
  </si>
  <si>
    <t>L00681</t>
  </si>
  <si>
    <t>T00341</t>
  </si>
  <si>
    <t>16.59</t>
  </si>
  <si>
    <t>L00682</t>
  </si>
  <si>
    <t>50.88</t>
  </si>
  <si>
    <t>L00683</t>
  </si>
  <si>
    <t>T00342</t>
  </si>
  <si>
    <t>86.65</t>
  </si>
  <si>
    <t>L00684</t>
  </si>
  <si>
    <t>35.40</t>
  </si>
  <si>
    <t>L00685</t>
  </si>
  <si>
    <t>T00343</t>
  </si>
  <si>
    <t>72.28</t>
  </si>
  <si>
    <t>L00686</t>
  </si>
  <si>
    <t>18.44</t>
  </si>
  <si>
    <t>L00687</t>
  </si>
  <si>
    <t>T00344</t>
  </si>
  <si>
    <t>56.43</t>
  </si>
  <si>
    <t>L00688</t>
  </si>
  <si>
    <t>95.90</t>
  </si>
  <si>
    <t>L00689</t>
  </si>
  <si>
    <t>T00345</t>
  </si>
  <si>
    <t>39.10</t>
  </si>
  <si>
    <t>L00690</t>
  </si>
  <si>
    <t>79.68</t>
  </si>
  <si>
    <t>L00691</t>
  </si>
  <si>
    <t>T00346</t>
  </si>
  <si>
    <t>-20.29</t>
  </si>
  <si>
    <t>L00692</t>
  </si>
  <si>
    <t>61.98</t>
  </si>
  <si>
    <t>L00693</t>
  </si>
  <si>
    <t>T00347</t>
  </si>
  <si>
    <t>105.15</t>
  </si>
  <si>
    <t>L00694</t>
  </si>
  <si>
    <t>42.80</t>
  </si>
  <si>
    <t>L00695</t>
  </si>
  <si>
    <t>T00348</t>
  </si>
  <si>
    <t>87.08</t>
  </si>
  <si>
    <t>L00696</t>
  </si>
  <si>
    <t>22.14</t>
  </si>
  <si>
    <t>L00697</t>
  </si>
  <si>
    <t>T00349</t>
  </si>
  <si>
    <t>67.53</t>
  </si>
  <si>
    <t>L00698</t>
  </si>
  <si>
    <t>114.40</t>
  </si>
  <si>
    <t>L00699</t>
  </si>
  <si>
    <t>T00350</t>
  </si>
  <si>
    <t>46.50</t>
  </si>
  <si>
    <t>L00700</t>
  </si>
  <si>
    <t>94.48</t>
  </si>
  <si>
    <t>L00701</t>
  </si>
  <si>
    <t>T00351</t>
  </si>
  <si>
    <t>23.99</t>
  </si>
  <si>
    <t>L00702</t>
  </si>
  <si>
    <t>73.08</t>
  </si>
  <si>
    <t>L00703</t>
  </si>
  <si>
    <t>T00352</t>
  </si>
  <si>
    <t>123.65</t>
  </si>
  <si>
    <t>L00704</t>
  </si>
  <si>
    <t>50.20</t>
  </si>
  <si>
    <t>L00705</t>
  </si>
  <si>
    <t>T00353</t>
  </si>
  <si>
    <t>101.88</t>
  </si>
  <si>
    <t>L00706</t>
  </si>
  <si>
    <t>25.84</t>
  </si>
  <si>
    <t>L00707</t>
  </si>
  <si>
    <t>T00354</t>
  </si>
  <si>
    <t>78.63</t>
  </si>
  <si>
    <t>L00708</t>
  </si>
  <si>
    <t>132.90</t>
  </si>
  <si>
    <t>L00709</t>
  </si>
  <si>
    <t>T00355</t>
  </si>
  <si>
    <t>53.90</t>
  </si>
  <si>
    <t>L00710</t>
  </si>
  <si>
    <t>109.28</t>
  </si>
  <si>
    <t>L00711</t>
  </si>
  <si>
    <t>T00356</t>
  </si>
  <si>
    <t>27.69</t>
  </si>
  <si>
    <t>L00712</t>
  </si>
  <si>
    <t>84.18</t>
  </si>
  <si>
    <t>L00713</t>
  </si>
  <si>
    <t>T00357</t>
  </si>
  <si>
    <t>142.15</t>
  </si>
  <si>
    <t>L00714</t>
  </si>
  <si>
    <t>-57.60</t>
  </si>
  <si>
    <t>L00715</t>
  </si>
  <si>
    <t>T00358</t>
  </si>
  <si>
    <t>116.68</t>
  </si>
  <si>
    <t>L00716</t>
  </si>
  <si>
    <t>29.54</t>
  </si>
  <si>
    <t>L00717</t>
  </si>
  <si>
    <t>T00359</t>
  </si>
  <si>
    <t>89.73</t>
  </si>
  <si>
    <t>L00718</t>
  </si>
  <si>
    <t>151.40</t>
  </si>
  <si>
    <t>L00719</t>
  </si>
  <si>
    <t>T00360</t>
  </si>
  <si>
    <t>25-Mar-2026</t>
  </si>
  <si>
    <t>61.30</t>
  </si>
  <si>
    <t>L00720</t>
  </si>
  <si>
    <t>124.08</t>
  </si>
  <si>
    <t>L00721</t>
  </si>
  <si>
    <t>T00361</t>
  </si>
  <si>
    <t>31.39</t>
  </si>
  <si>
    <t>L00722</t>
  </si>
  <si>
    <t>95.28</t>
  </si>
  <si>
    <t>L00723</t>
  </si>
  <si>
    <t>T00362</t>
  </si>
  <si>
    <t>160.65</t>
  </si>
  <si>
    <t>L00724</t>
  </si>
  <si>
    <t>65.00</t>
  </si>
  <si>
    <t>L00725</t>
  </si>
  <si>
    <t>T00363</t>
  </si>
  <si>
    <t>131.48</t>
  </si>
  <si>
    <t>L00726</t>
  </si>
  <si>
    <t>33.24</t>
  </si>
  <si>
    <t>L00727</t>
  </si>
  <si>
    <t>T00364</t>
  </si>
  <si>
    <t>100.83</t>
  </si>
  <si>
    <t>L00728</t>
  </si>
  <si>
    <t>169.90</t>
  </si>
  <si>
    <t>L00729</t>
  </si>
  <si>
    <t>T00365</t>
  </si>
  <si>
    <t>68.70</t>
  </si>
  <si>
    <t>L00730</t>
  </si>
  <si>
    <t>138.88</t>
  </si>
  <si>
    <t>L00731</t>
  </si>
  <si>
    <t>T00366</t>
  </si>
  <si>
    <t>35.09</t>
  </si>
  <si>
    <t>L00732</t>
  </si>
  <si>
    <t>106.38</t>
  </si>
  <si>
    <t>L00733</t>
  </si>
  <si>
    <t>T00367</t>
  </si>
  <si>
    <t>179.15</t>
  </si>
  <si>
    <t>L00734</t>
  </si>
  <si>
    <t>72.40</t>
  </si>
  <si>
    <t>L00735</t>
  </si>
  <si>
    <t>T00368</t>
  </si>
  <si>
    <t>146.28</t>
  </si>
  <si>
    <t>L00736</t>
  </si>
  <si>
    <t>36.94</t>
  </si>
  <si>
    <t>L00737</t>
  </si>
  <si>
    <t>T00369</t>
  </si>
  <si>
    <t>-111.93</t>
  </si>
  <si>
    <t>L00738</t>
  </si>
  <si>
    <t>188.40</t>
  </si>
  <si>
    <t>L00739</t>
  </si>
  <si>
    <t>T00370</t>
  </si>
  <si>
    <t>76.10</t>
  </si>
  <si>
    <t>L00740</t>
  </si>
  <si>
    <t>153.68</t>
  </si>
  <si>
    <t>L00741</t>
  </si>
  <si>
    <t>T00371</t>
  </si>
  <si>
    <t>38.79</t>
  </si>
  <si>
    <t>L00742</t>
  </si>
  <si>
    <t>117.48</t>
  </si>
  <si>
    <t>L00743</t>
  </si>
  <si>
    <t>T00372</t>
  </si>
  <si>
    <t>197.65</t>
  </si>
  <si>
    <t>L00744</t>
  </si>
  <si>
    <t>$79.80</t>
  </si>
  <si>
    <t>L00745</t>
  </si>
  <si>
    <t>T00373</t>
  </si>
  <si>
    <t>161.08</t>
  </si>
  <si>
    <t>L00746</t>
  </si>
  <si>
    <t>40.64</t>
  </si>
  <si>
    <t>L00747</t>
  </si>
  <si>
    <t>T00374</t>
  </si>
  <si>
    <t>123.03</t>
  </si>
  <si>
    <t>L00748</t>
  </si>
  <si>
    <t>206.90</t>
  </si>
  <si>
    <t>L00749</t>
  </si>
  <si>
    <t>T00375</t>
  </si>
  <si>
    <t>83.50</t>
  </si>
  <si>
    <t>L00750</t>
  </si>
  <si>
    <t>168.48</t>
  </si>
  <si>
    <t>L00751</t>
  </si>
  <si>
    <t>T00376</t>
  </si>
  <si>
    <t>42.49</t>
  </si>
  <si>
    <t>L00752</t>
  </si>
  <si>
    <t>128.58</t>
  </si>
  <si>
    <t>L00753</t>
  </si>
  <si>
    <t>T00377</t>
  </si>
  <si>
    <t>216.15</t>
  </si>
  <si>
    <t>L00754</t>
  </si>
  <si>
    <t>87.20</t>
  </si>
  <si>
    <t>L00755</t>
  </si>
  <si>
    <t>T00378</t>
  </si>
  <si>
    <t>175.88</t>
  </si>
  <si>
    <t>L00756</t>
  </si>
  <si>
    <t>44.34</t>
  </si>
  <si>
    <t>L00757</t>
  </si>
  <si>
    <t>T00379</t>
  </si>
  <si>
    <t>134.13</t>
  </si>
  <si>
    <t>L00758</t>
  </si>
  <si>
    <t>225.40</t>
  </si>
  <si>
    <t>L00759</t>
  </si>
  <si>
    <t>T00380</t>
  </si>
  <si>
    <t>90.90</t>
  </si>
  <si>
    <t>L00760</t>
  </si>
  <si>
    <t>-183.28</t>
  </si>
  <si>
    <t>L00761</t>
  </si>
  <si>
    <t>T00381</t>
  </si>
  <si>
    <t>46.19</t>
  </si>
  <si>
    <t>L00762</t>
  </si>
  <si>
    <t>139.68</t>
  </si>
  <si>
    <t>L00763</t>
  </si>
  <si>
    <t>T00382</t>
  </si>
  <si>
    <t>234.65</t>
  </si>
  <si>
    <t>L00764</t>
  </si>
  <si>
    <t>94.60</t>
  </si>
  <si>
    <t>L00765</t>
  </si>
  <si>
    <t>T00383</t>
  </si>
  <si>
    <t>190.68</t>
  </si>
  <si>
    <t>L00766</t>
  </si>
  <si>
    <t>48.04</t>
  </si>
  <si>
    <t>L00767</t>
  </si>
  <si>
    <t>T00384</t>
  </si>
  <si>
    <t>145.23</t>
  </si>
  <si>
    <t>L00768</t>
  </si>
  <si>
    <t>243.90</t>
  </si>
  <si>
    <t>L00769</t>
  </si>
  <si>
    <t>T00385</t>
  </si>
  <si>
    <t>98.30</t>
  </si>
  <si>
    <t>L00770</t>
  </si>
  <si>
    <t>198.08</t>
  </si>
  <si>
    <t>L00771</t>
  </si>
  <si>
    <t>T00386</t>
  </si>
  <si>
    <t>49.89</t>
  </si>
  <si>
    <t>L00772</t>
  </si>
  <si>
    <t>150.78</t>
  </si>
  <si>
    <t>L00773</t>
  </si>
  <si>
    <t>T00387</t>
  </si>
  <si>
    <t>253.15</t>
  </si>
  <si>
    <t>L00774</t>
  </si>
  <si>
    <t>102.00</t>
  </si>
  <si>
    <t>L00775</t>
  </si>
  <si>
    <t>T00388</t>
  </si>
  <si>
    <t>205.48</t>
  </si>
  <si>
    <t>L00776</t>
  </si>
  <si>
    <t>51.74</t>
  </si>
  <si>
    <t>L00777</t>
  </si>
  <si>
    <t>T00389</t>
  </si>
  <si>
    <t>156.33</t>
  </si>
  <si>
    <t>L00778</t>
  </si>
  <si>
    <t>262.40</t>
  </si>
  <si>
    <t>L00779</t>
  </si>
  <si>
    <t>T00390</t>
  </si>
  <si>
    <t>105.70</t>
  </si>
  <si>
    <t>L00780</t>
  </si>
  <si>
    <t>212.88</t>
  </si>
  <si>
    <t>L00781</t>
  </si>
  <si>
    <t>T00391</t>
  </si>
  <si>
    <t>53.59</t>
  </si>
  <si>
    <t>L00782</t>
  </si>
  <si>
    <t>161.88</t>
  </si>
  <si>
    <t>L00783</t>
  </si>
  <si>
    <t>T00392</t>
  </si>
  <si>
    <t>-271.65</t>
  </si>
  <si>
    <t>L00784</t>
  </si>
  <si>
    <t>109.40</t>
  </si>
  <si>
    <t>L00785</t>
  </si>
  <si>
    <t>T00393</t>
  </si>
  <si>
    <t>220.28</t>
  </si>
  <si>
    <t>L00786</t>
  </si>
  <si>
    <t>55.44</t>
  </si>
  <si>
    <t>L00787</t>
  </si>
  <si>
    <t>T00394</t>
  </si>
  <si>
    <t>167.43</t>
  </si>
  <si>
    <t>L00788</t>
  </si>
  <si>
    <t>280.90</t>
  </si>
  <si>
    <t>L00789</t>
  </si>
  <si>
    <t>T00395</t>
  </si>
  <si>
    <t>113.10</t>
  </si>
  <si>
    <t>L00790</t>
  </si>
  <si>
    <t>227.68</t>
  </si>
  <si>
    <t>L00791</t>
  </si>
  <si>
    <t>T00396</t>
  </si>
  <si>
    <t>57.29</t>
  </si>
  <si>
    <t>L00792</t>
  </si>
  <si>
    <t>172.98</t>
  </si>
  <si>
    <t>L00793</t>
  </si>
  <si>
    <t>T00397</t>
  </si>
  <si>
    <t>290.15</t>
  </si>
  <si>
    <t>L00794</t>
  </si>
  <si>
    <t>116.80</t>
  </si>
  <si>
    <t>L00795</t>
  </si>
  <si>
    <t>T00398</t>
  </si>
  <si>
    <t>235.08</t>
  </si>
  <si>
    <t>L00796</t>
  </si>
  <si>
    <t>59.14</t>
  </si>
  <si>
    <t>L00797</t>
  </si>
  <si>
    <t>T00399</t>
  </si>
  <si>
    <t>178.53</t>
  </si>
  <si>
    <t>L00798</t>
  </si>
  <si>
    <t>299.40</t>
  </si>
  <si>
    <t>L00799</t>
  </si>
  <si>
    <t>T00400</t>
  </si>
  <si>
    <t>120.50</t>
  </si>
  <si>
    <t>L00800</t>
  </si>
  <si>
    <t>242.48</t>
  </si>
  <si>
    <t>L00801</t>
  </si>
  <si>
    <t>T00401</t>
  </si>
  <si>
    <t>60.99</t>
  </si>
  <si>
    <t>L00802</t>
  </si>
  <si>
    <t>184.08</t>
  </si>
  <si>
    <t>L00803</t>
  </si>
  <si>
    <t>T00402</t>
  </si>
  <si>
    <t>308.65</t>
  </si>
  <si>
    <t>L00804</t>
  </si>
  <si>
    <t>124.20</t>
  </si>
  <si>
    <t>L00805</t>
  </si>
  <si>
    <t>T00403</t>
  </si>
  <si>
    <t>249.88</t>
  </si>
  <si>
    <t>L00806</t>
  </si>
  <si>
    <t>-62.84</t>
  </si>
  <si>
    <t>L00807</t>
  </si>
  <si>
    <t>T00404</t>
  </si>
  <si>
    <t>189.63</t>
  </si>
  <si>
    <t>L00808</t>
  </si>
  <si>
    <t>317.90</t>
  </si>
  <si>
    <t>L00809</t>
  </si>
  <si>
    <t>T00405</t>
  </si>
  <si>
    <t>127.90</t>
  </si>
  <si>
    <t>L00810</t>
  </si>
  <si>
    <t>257.28</t>
  </si>
  <si>
    <t>L00811</t>
  </si>
  <si>
    <t>T00406</t>
  </si>
  <si>
    <t>64.69</t>
  </si>
  <si>
    <t>L00812</t>
  </si>
  <si>
    <t>195.18</t>
  </si>
  <si>
    <t>L00813</t>
  </si>
  <si>
    <t>T00407</t>
  </si>
  <si>
    <t>327.15</t>
  </si>
  <si>
    <t>L00814</t>
  </si>
  <si>
    <t>131.60</t>
  </si>
  <si>
    <t>L00815</t>
  </si>
  <si>
    <t>T00408</t>
  </si>
  <si>
    <t>264.68</t>
  </si>
  <si>
    <t>L00816</t>
  </si>
  <si>
    <t>66.54</t>
  </si>
  <si>
    <t>L00817</t>
  </si>
  <si>
    <t>T00409</t>
  </si>
  <si>
    <t>200.73</t>
  </si>
  <si>
    <t>L00818</t>
  </si>
  <si>
    <t>336.40</t>
  </si>
  <si>
    <t>L00819</t>
  </si>
  <si>
    <t>T00410</t>
  </si>
  <si>
    <t>135.30</t>
  </si>
  <si>
    <t>L00820</t>
  </si>
  <si>
    <t>272.08</t>
  </si>
  <si>
    <t>L00821</t>
  </si>
  <si>
    <t>T00411</t>
  </si>
  <si>
    <t>68.39</t>
  </si>
  <si>
    <t>L00822</t>
  </si>
  <si>
    <t>206.28</t>
  </si>
  <si>
    <t>L00823</t>
  </si>
  <si>
    <t>T00412</t>
  </si>
  <si>
    <t>345.65</t>
  </si>
  <si>
    <t>L00824</t>
  </si>
  <si>
    <t>139.00</t>
  </si>
  <si>
    <t>L00825</t>
  </si>
  <si>
    <t>T00413</t>
  </si>
  <si>
    <t>279.48</t>
  </si>
  <si>
    <t>L00826</t>
  </si>
  <si>
    <t>70.24</t>
  </si>
  <si>
    <t>L00827</t>
  </si>
  <si>
    <t>T00414</t>
  </si>
  <si>
    <t>211.83</t>
  </si>
  <si>
    <t>L00828</t>
  </si>
  <si>
    <t>354.90</t>
  </si>
  <si>
    <t>L00829</t>
  </si>
  <si>
    <t>T00415</t>
  </si>
  <si>
    <t>-142.70</t>
  </si>
  <si>
    <t>L00830</t>
  </si>
  <si>
    <t>286.88</t>
  </si>
  <si>
    <t>L00831</t>
  </si>
  <si>
    <t>T00416</t>
  </si>
  <si>
    <t>72.09</t>
  </si>
  <si>
    <t>L00832</t>
  </si>
  <si>
    <t>217.38</t>
  </si>
  <si>
    <t>L00833</t>
  </si>
  <si>
    <t>T00417</t>
  </si>
  <si>
    <t>364.15</t>
  </si>
  <si>
    <t>L00834</t>
  </si>
  <si>
    <t>146.40</t>
  </si>
  <si>
    <t>L00835</t>
  </si>
  <si>
    <t>T00418</t>
  </si>
  <si>
    <t>294.28</t>
  </si>
  <si>
    <t>L00836</t>
  </si>
  <si>
    <t>73.94</t>
  </si>
  <si>
    <t>L00837</t>
  </si>
  <si>
    <t>T00419</t>
  </si>
  <si>
    <t>222.93</t>
  </si>
  <si>
    <t>L00838</t>
  </si>
  <si>
    <t>373.40</t>
  </si>
  <si>
    <t>L00839</t>
  </si>
  <si>
    <t>T00420</t>
  </si>
  <si>
    <t>150.10</t>
  </si>
  <si>
    <t>L00840</t>
  </si>
  <si>
    <t>301.68</t>
  </si>
  <si>
    <t>L00841</t>
  </si>
  <si>
    <t>T00421</t>
  </si>
  <si>
    <t>75.79</t>
  </si>
  <si>
    <t>L00842</t>
  </si>
  <si>
    <t>228.48</t>
  </si>
  <si>
    <t>L00843</t>
  </si>
  <si>
    <t>T00422</t>
  </si>
  <si>
    <t>382.65</t>
  </si>
  <si>
    <t>L00844</t>
  </si>
  <si>
    <t>153.80</t>
  </si>
  <si>
    <t>L00845</t>
  </si>
  <si>
    <t>T00423</t>
  </si>
  <si>
    <t>309.08</t>
  </si>
  <si>
    <t>L00846</t>
  </si>
  <si>
    <t>77.64</t>
  </si>
  <si>
    <t>L00847</t>
  </si>
  <si>
    <t>T00424</t>
  </si>
  <si>
    <t>$234.03</t>
  </si>
  <si>
    <t>L00848</t>
  </si>
  <si>
    <t>391.90</t>
  </si>
  <si>
    <t>L00849</t>
  </si>
  <si>
    <t>T00425</t>
  </si>
  <si>
    <t>157.50</t>
  </si>
  <si>
    <t>L00850</t>
  </si>
  <si>
    <t>316.48</t>
  </si>
  <si>
    <t>L00851</t>
  </si>
  <si>
    <t>T00426</t>
  </si>
  <si>
    <t>79.49</t>
  </si>
  <si>
    <t>L00852</t>
  </si>
  <si>
    <t>-239.58</t>
  </si>
  <si>
    <t>L00853</t>
  </si>
  <si>
    <t>T00427</t>
  </si>
  <si>
    <t>401.15</t>
  </si>
  <si>
    <t>L00854</t>
  </si>
  <si>
    <t>161.20</t>
  </si>
  <si>
    <t>L00855</t>
  </si>
  <si>
    <t>T00428</t>
  </si>
  <si>
    <t>323.88</t>
  </si>
  <si>
    <t>L00856</t>
  </si>
  <si>
    <t>20-Jan-2026</t>
  </si>
  <si>
    <t>81.34</t>
  </si>
  <si>
    <t>L00857</t>
  </si>
  <si>
    <t>T00429</t>
  </si>
  <si>
    <t>245.13</t>
  </si>
  <si>
    <t>L00858</t>
  </si>
  <si>
    <t>410.40</t>
  </si>
  <si>
    <t>L00859</t>
  </si>
  <si>
    <t>T00430</t>
  </si>
  <si>
    <t>164.90</t>
  </si>
  <si>
    <t>L00860</t>
  </si>
  <si>
    <t>331.28</t>
  </si>
  <si>
    <t>L00861</t>
  </si>
  <si>
    <t>T00431</t>
  </si>
  <si>
    <t>83.19</t>
  </si>
  <si>
    <t>L00862</t>
  </si>
  <si>
    <t>250.68</t>
  </si>
  <si>
    <t>L00863</t>
  </si>
  <si>
    <t>T00432</t>
  </si>
  <si>
    <t>419.65</t>
  </si>
  <si>
    <t>L00864</t>
  </si>
  <si>
    <t>168.60</t>
  </si>
  <si>
    <t>L00865</t>
  </si>
  <si>
    <t>T00433</t>
  </si>
  <si>
    <t>338.68</t>
  </si>
  <si>
    <t>L00866</t>
  </si>
  <si>
    <t>85.04</t>
  </si>
  <si>
    <t>L00867</t>
  </si>
  <si>
    <t>T00434</t>
  </si>
  <si>
    <t>256.23</t>
  </si>
  <si>
    <t>L00868</t>
  </si>
  <si>
    <t>428.90</t>
  </si>
  <si>
    <t>L00869</t>
  </si>
  <si>
    <t>T00435</t>
  </si>
  <si>
    <t>172.30</t>
  </si>
  <si>
    <t>L00870</t>
  </si>
  <si>
    <t>346.08</t>
  </si>
  <si>
    <t>L00871</t>
  </si>
  <si>
    <t>T00436</t>
  </si>
  <si>
    <t>86.89</t>
  </si>
  <si>
    <t>L00872</t>
  </si>
  <si>
    <t>261.78</t>
  </si>
  <si>
    <t>L00873</t>
  </si>
  <si>
    <t>T00437</t>
  </si>
  <si>
    <t>438.15</t>
  </si>
  <si>
    <t>L00874</t>
  </si>
  <si>
    <t>176.00</t>
  </si>
  <si>
    <t>L00875</t>
  </si>
  <si>
    <t>T00438</t>
  </si>
  <si>
    <t>-353.48</t>
  </si>
  <si>
    <t>L00876</t>
  </si>
  <si>
    <t>88.74</t>
  </si>
  <si>
    <t>L00877</t>
  </si>
  <si>
    <t>T00439</t>
  </si>
  <si>
    <t>267.33</t>
  </si>
  <si>
    <t>L00878</t>
  </si>
  <si>
    <t>447.40</t>
  </si>
  <si>
    <t>L00879</t>
  </si>
  <si>
    <t>T00440</t>
  </si>
  <si>
    <t>179.70</t>
  </si>
  <si>
    <t>L00880</t>
  </si>
  <si>
    <t>360.88</t>
  </si>
  <si>
    <t>L00881</t>
  </si>
  <si>
    <t>T00441</t>
  </si>
  <si>
    <t>90.59</t>
  </si>
  <si>
    <t>L00882</t>
  </si>
  <si>
    <t>272.88</t>
  </si>
  <si>
    <t>L00883</t>
  </si>
  <si>
    <t>T00442</t>
  </si>
  <si>
    <t>456.65</t>
  </si>
  <si>
    <t>L00884</t>
  </si>
  <si>
    <t>183.40</t>
  </si>
  <si>
    <t>L00885</t>
  </si>
  <si>
    <t>T00443</t>
  </si>
  <si>
    <t>368.28</t>
  </si>
  <si>
    <t>L00886</t>
  </si>
  <si>
    <t>92.44</t>
  </si>
  <si>
    <t>L00887</t>
  </si>
  <si>
    <t>T00444</t>
  </si>
  <si>
    <t>278.43</t>
  </si>
  <si>
    <t>L00888</t>
  </si>
  <si>
    <t>465.90</t>
  </si>
  <si>
    <t>L00889</t>
  </si>
  <si>
    <t>T00445</t>
  </si>
  <si>
    <t>187.10</t>
  </si>
  <si>
    <t>L00890</t>
  </si>
  <si>
    <t>375.68</t>
  </si>
  <si>
    <t>L00891</t>
  </si>
  <si>
    <t>T00446</t>
  </si>
  <si>
    <t>94.29</t>
  </si>
  <si>
    <t>L00892</t>
  </si>
  <si>
    <t>283.98</t>
  </si>
  <si>
    <t>L00893</t>
  </si>
  <si>
    <t>T00447</t>
  </si>
  <si>
    <t>475.15</t>
  </si>
  <si>
    <t>L00894</t>
  </si>
  <si>
    <t>190.80</t>
  </si>
  <si>
    <t>L00895</t>
  </si>
  <si>
    <t>T00448</t>
  </si>
  <si>
    <t>383.08</t>
  </si>
  <si>
    <t>L00896</t>
  </si>
  <si>
    <t>96.14</t>
  </si>
  <si>
    <t>L00897</t>
  </si>
  <si>
    <t>T00449</t>
  </si>
  <si>
    <t>289.53</t>
  </si>
  <si>
    <t>L00898</t>
  </si>
  <si>
    <t>-484.40</t>
  </si>
  <si>
    <t>L00899</t>
  </si>
  <si>
    <t>T00450</t>
  </si>
  <si>
    <t>194.50</t>
  </si>
  <si>
    <t>L00900</t>
  </si>
  <si>
    <t>390.48</t>
  </si>
  <si>
    <t>L00901</t>
  </si>
  <si>
    <t>T00451</t>
  </si>
  <si>
    <t>97.99</t>
  </si>
  <si>
    <t>L00902</t>
  </si>
  <si>
    <t>295.08</t>
  </si>
  <si>
    <t>L00903</t>
  </si>
  <si>
    <t>T00452</t>
  </si>
  <si>
    <t>493.65</t>
  </si>
  <si>
    <t>L00904</t>
  </si>
  <si>
    <t>198.20</t>
  </si>
  <si>
    <t>L00905</t>
  </si>
  <si>
    <t>T00453</t>
  </si>
  <si>
    <t>397.88</t>
  </si>
  <si>
    <t>L00906</t>
  </si>
  <si>
    <t>99.84</t>
  </si>
  <si>
    <t>L00907</t>
  </si>
  <si>
    <t>T00454</t>
  </si>
  <si>
    <t>300.63</t>
  </si>
  <si>
    <t>L00908</t>
  </si>
  <si>
    <t>502.90</t>
  </si>
  <si>
    <t>L00909</t>
  </si>
  <si>
    <t>T00455</t>
  </si>
  <si>
    <t>201.90</t>
  </si>
  <si>
    <t>L00910</t>
  </si>
  <si>
    <t>405.28</t>
  </si>
  <si>
    <t>L00911</t>
  </si>
  <si>
    <t>T00456</t>
  </si>
  <si>
    <t>101.69</t>
  </si>
  <si>
    <t>L00912</t>
  </si>
  <si>
    <t>306.18</t>
  </si>
  <si>
    <t>L00913</t>
  </si>
  <si>
    <t>T00457</t>
  </si>
  <si>
    <t>512.15</t>
  </si>
  <si>
    <t>L00914</t>
  </si>
  <si>
    <t>205.60</t>
  </si>
  <si>
    <t>L00915</t>
  </si>
  <si>
    <t>T00458</t>
  </si>
  <si>
    <t>412.68</t>
  </si>
  <si>
    <t>L00916</t>
  </si>
  <si>
    <t>103.54</t>
  </si>
  <si>
    <t>L00917</t>
  </si>
  <si>
    <t>T00459</t>
  </si>
  <si>
    <t>311.73</t>
  </si>
  <si>
    <t>L00918</t>
  </si>
  <si>
    <t>521.40</t>
  </si>
  <si>
    <t>L00919</t>
  </si>
  <si>
    <t>T00460</t>
  </si>
  <si>
    <t>209.30</t>
  </si>
  <si>
    <t>L00920</t>
  </si>
  <si>
    <t>420.08</t>
  </si>
  <si>
    <t>L00921</t>
  </si>
  <si>
    <t>T00461</t>
  </si>
  <si>
    <t>-105.39</t>
  </si>
  <si>
    <t>L00922</t>
  </si>
  <si>
    <t>317.28</t>
  </si>
  <si>
    <t>L00923</t>
  </si>
  <si>
    <t>T00462</t>
  </si>
  <si>
    <t>530.65</t>
  </si>
  <si>
    <t>L00924</t>
  </si>
  <si>
    <t>213.00</t>
  </si>
  <si>
    <t>L00925</t>
  </si>
  <si>
    <t>T00463</t>
  </si>
  <si>
    <t>427.48</t>
  </si>
  <si>
    <t>L00926</t>
  </si>
  <si>
    <t>107.24</t>
  </si>
  <si>
    <t>L00927</t>
  </si>
  <si>
    <t>T00464</t>
  </si>
  <si>
    <t>322.83</t>
  </si>
  <si>
    <t>L00928</t>
  </si>
  <si>
    <t>539.90</t>
  </si>
  <si>
    <t>L00929</t>
  </si>
  <si>
    <t>T00465</t>
  </si>
  <si>
    <t>216.70</t>
  </si>
  <si>
    <t>L00930</t>
  </si>
  <si>
    <t>434.88</t>
  </si>
  <si>
    <t>L00931</t>
  </si>
  <si>
    <t>T00466</t>
  </si>
  <si>
    <t>109.09</t>
  </si>
  <si>
    <t>L00932</t>
  </si>
  <si>
    <t>328.38</t>
  </si>
  <si>
    <t>L00933</t>
  </si>
  <si>
    <t>T00467</t>
  </si>
  <si>
    <t>549.15</t>
  </si>
  <si>
    <t>L00934</t>
  </si>
  <si>
    <t>220.40</t>
  </si>
  <si>
    <t>L00935</t>
  </si>
  <si>
    <t>T00468</t>
  </si>
  <si>
    <t>442.28</t>
  </si>
  <si>
    <t>L00936</t>
  </si>
  <si>
    <t>110.94</t>
  </si>
  <si>
    <t>L00937</t>
  </si>
  <si>
    <t>T00469</t>
  </si>
  <si>
    <t>333.93</t>
  </si>
  <si>
    <t>L00938</t>
  </si>
  <si>
    <t>558.40</t>
  </si>
  <si>
    <t>L00939</t>
  </si>
  <si>
    <t>T00470</t>
  </si>
  <si>
    <t>224.10</t>
  </si>
  <si>
    <t>L00940</t>
  </si>
  <si>
    <t>449.68</t>
  </si>
  <si>
    <t>L00941</t>
  </si>
  <si>
    <t>T00471</t>
  </si>
  <si>
    <t>112.79</t>
  </si>
  <si>
    <t>L00942</t>
  </si>
  <si>
    <t>339.48</t>
  </si>
  <si>
    <t>L00943</t>
  </si>
  <si>
    <t>T00472</t>
  </si>
  <si>
    <t>567.65</t>
  </si>
  <si>
    <t>L00944</t>
  </si>
  <si>
    <t>-227.80</t>
  </si>
  <si>
    <t>L00945</t>
  </si>
  <si>
    <t>T00473</t>
  </si>
  <si>
    <t>457.08</t>
  </si>
  <si>
    <t>L00946</t>
  </si>
  <si>
    <t>114.64</t>
  </si>
  <si>
    <t>L00947</t>
  </si>
  <si>
    <t>T00474</t>
  </si>
  <si>
    <t>345.03</t>
  </si>
  <si>
    <t>L00948</t>
  </si>
  <si>
    <t>576.90</t>
  </si>
  <si>
    <t>L00949</t>
  </si>
  <si>
    <t>T00475</t>
  </si>
  <si>
    <t>231.50</t>
  </si>
  <si>
    <t>L00950</t>
  </si>
  <si>
    <t>$464.48</t>
  </si>
  <si>
    <t>L00951</t>
  </si>
  <si>
    <t>T00476</t>
  </si>
  <si>
    <t>116.49</t>
  </si>
  <si>
    <t>L00952</t>
  </si>
  <si>
    <t>350.58</t>
  </si>
  <si>
    <t>L00953</t>
  </si>
  <si>
    <t>T00477</t>
  </si>
  <si>
    <t>586.15</t>
  </si>
  <si>
    <t>L00954</t>
  </si>
  <si>
    <t>235.20</t>
  </si>
  <si>
    <t>L00955</t>
  </si>
  <si>
    <t>T00478</t>
  </si>
  <si>
    <t>471.88</t>
  </si>
  <si>
    <t>L00956</t>
  </si>
  <si>
    <t>118.34</t>
  </si>
  <si>
    <t>L00957</t>
  </si>
  <si>
    <t>T00479</t>
  </si>
  <si>
    <t>356.13</t>
  </si>
  <si>
    <t>L00958</t>
  </si>
  <si>
    <t>595.40</t>
  </si>
  <si>
    <t>L00959</t>
  </si>
  <si>
    <t>T00480</t>
  </si>
  <si>
    <t>238.90</t>
  </si>
  <si>
    <t>L00960</t>
  </si>
  <si>
    <t>479.28</t>
  </si>
  <si>
    <t>L00961</t>
  </si>
  <si>
    <t>T00481</t>
  </si>
  <si>
    <t>120.19</t>
  </si>
  <si>
    <t>L00962</t>
  </si>
  <si>
    <t>361.68</t>
  </si>
  <si>
    <t>L00963</t>
  </si>
  <si>
    <t>T00482</t>
  </si>
  <si>
    <t>604.65</t>
  </si>
  <si>
    <t>L00964</t>
  </si>
  <si>
    <t>242.60</t>
  </si>
  <si>
    <t>L00965</t>
  </si>
  <si>
    <t>T00483</t>
  </si>
  <si>
    <t>486.68</t>
  </si>
  <si>
    <t>L00966</t>
  </si>
  <si>
    <t>122.04</t>
  </si>
  <si>
    <t>L00967</t>
  </si>
  <si>
    <t>T00484</t>
  </si>
  <si>
    <t>-367.23</t>
  </si>
  <si>
    <t>L00968</t>
  </si>
  <si>
    <t>613.90</t>
  </si>
  <si>
    <t>L00969</t>
  </si>
  <si>
    <t>T00485</t>
  </si>
  <si>
    <t>246.30</t>
  </si>
  <si>
    <t>L00970</t>
  </si>
  <si>
    <t>494.08</t>
  </si>
  <si>
    <t>L00971</t>
  </si>
  <si>
    <t>T00486</t>
  </si>
  <si>
    <t>123.89</t>
  </si>
  <si>
    <t>L00972</t>
  </si>
  <si>
    <t>372.78</t>
  </si>
  <si>
    <t>L00973</t>
  </si>
  <si>
    <t>T00487</t>
  </si>
  <si>
    <t>623.15</t>
  </si>
  <si>
    <t>L00974</t>
  </si>
  <si>
    <t>10.00</t>
  </si>
  <si>
    <t>L00975</t>
  </si>
  <si>
    <t>T00488</t>
  </si>
  <si>
    <t>21.48</t>
  </si>
  <si>
    <t>L00976</t>
  </si>
  <si>
    <t>5.74</t>
  </si>
  <si>
    <t>L00977</t>
  </si>
  <si>
    <t>T00489</t>
  </si>
  <si>
    <t>18.33</t>
  </si>
  <si>
    <t>L00978</t>
  </si>
  <si>
    <t>32.40</t>
  </si>
  <si>
    <t>L00979</t>
  </si>
  <si>
    <t>T00490</t>
  </si>
  <si>
    <t>13.70</t>
  </si>
  <si>
    <t>L00980</t>
  </si>
  <si>
    <t>28.88</t>
  </si>
  <si>
    <t>L00981</t>
  </si>
  <si>
    <t>T00491</t>
  </si>
  <si>
    <t>7.59</t>
  </si>
  <si>
    <t>L00982</t>
  </si>
  <si>
    <t>23.88</t>
  </si>
  <si>
    <t>L00983</t>
  </si>
  <si>
    <t>T00492</t>
  </si>
  <si>
    <t>41.65</t>
  </si>
  <si>
    <t>L00984</t>
  </si>
  <si>
    <t>17.40</t>
  </si>
  <si>
    <t>L00985</t>
  </si>
  <si>
    <t>T00493</t>
  </si>
  <si>
    <t>36.28</t>
  </si>
  <si>
    <t>L00986</t>
  </si>
  <si>
    <t>9.44</t>
  </si>
  <si>
    <t>L00987</t>
  </si>
  <si>
    <t>T00494</t>
  </si>
  <si>
    <t>29.43</t>
  </si>
  <si>
    <t>L00988</t>
  </si>
  <si>
    <t>50.90</t>
  </si>
  <si>
    <t>L00989</t>
  </si>
  <si>
    <t>T00495</t>
  </si>
  <si>
    <t>21.10</t>
  </si>
  <si>
    <t>L00990</t>
  </si>
  <si>
    <t>-43.68</t>
  </si>
  <si>
    <t>L00991</t>
  </si>
  <si>
    <t>T00496</t>
  </si>
  <si>
    <t>11.29</t>
  </si>
  <si>
    <t>L00992</t>
  </si>
  <si>
    <t>34.98</t>
  </si>
  <si>
    <t>L00993</t>
  </si>
  <si>
    <t>T00497</t>
  </si>
  <si>
    <t>22-Feb-2026</t>
  </si>
  <si>
    <t>60.15</t>
  </si>
  <si>
    <t>L00994</t>
  </si>
  <si>
    <t>24.80</t>
  </si>
  <si>
    <t>L00995</t>
  </si>
  <si>
    <t>T00498</t>
  </si>
  <si>
    <t>51.08</t>
  </si>
  <si>
    <t>L00996</t>
  </si>
  <si>
    <t>13.14</t>
  </si>
  <si>
    <t>L00997</t>
  </si>
  <si>
    <t>T00499</t>
  </si>
  <si>
    <t>40.53</t>
  </si>
  <si>
    <t>L00998</t>
  </si>
  <si>
    <t>69.40</t>
  </si>
  <si>
    <t>L00999</t>
  </si>
  <si>
    <t>T00500</t>
  </si>
  <si>
    <t>28.50</t>
  </si>
  <si>
    <t>L01000</t>
  </si>
  <si>
    <t>58.48</t>
  </si>
  <si>
    <t>L01001</t>
  </si>
  <si>
    <t>T00501</t>
  </si>
  <si>
    <t>14.99</t>
  </si>
  <si>
    <t>L01002</t>
  </si>
  <si>
    <t>46.08</t>
  </si>
  <si>
    <t>L01003</t>
  </si>
  <si>
    <t>T00502</t>
  </si>
  <si>
    <t>78.65</t>
  </si>
  <si>
    <t>L01004</t>
  </si>
  <si>
    <t>32.20</t>
  </si>
  <si>
    <t>L01005</t>
  </si>
  <si>
    <t>T00503</t>
  </si>
  <si>
    <t>65.88</t>
  </si>
  <si>
    <t>L01006</t>
  </si>
  <si>
    <t>16.84</t>
  </si>
  <si>
    <t>L01007</t>
  </si>
  <si>
    <t>T00504</t>
  </si>
  <si>
    <t>51.63</t>
  </si>
  <si>
    <t>L01008</t>
  </si>
  <si>
    <t>87.90</t>
  </si>
  <si>
    <t>L01009</t>
  </si>
  <si>
    <t>T00505</t>
  </si>
  <si>
    <t>35.90</t>
  </si>
  <si>
    <t>L01010</t>
  </si>
  <si>
    <t>73.28</t>
  </si>
  <si>
    <t>L01011</t>
  </si>
  <si>
    <t>T00506</t>
  </si>
  <si>
    <t>18.69</t>
  </si>
  <si>
    <t>L01012</t>
  </si>
  <si>
    <t>57.18</t>
  </si>
  <si>
    <t>L01013</t>
  </si>
  <si>
    <t>T00507</t>
  </si>
  <si>
    <t>-97.15</t>
  </si>
  <si>
    <t>L01014</t>
  </si>
  <si>
    <t>39.60</t>
  </si>
  <si>
    <t>L01015</t>
  </si>
  <si>
    <t>T00508</t>
  </si>
  <si>
    <t>80.68</t>
  </si>
  <si>
    <t>L01016</t>
  </si>
  <si>
    <t>20.54</t>
  </si>
  <si>
    <t>L01017</t>
  </si>
  <si>
    <t>T00509</t>
  </si>
  <si>
    <t>62.73</t>
  </si>
  <si>
    <t>L01018</t>
  </si>
  <si>
    <t>106.40</t>
  </si>
  <si>
    <t>L01019</t>
  </si>
  <si>
    <t>T00510</t>
  </si>
  <si>
    <t>43.30</t>
  </si>
  <si>
    <t>L01020</t>
  </si>
  <si>
    <t>88.08</t>
  </si>
  <si>
    <t>L01021</t>
  </si>
  <si>
    <t>T00511</t>
  </si>
  <si>
    <t>22.39</t>
  </si>
  <si>
    <t>L01022</t>
  </si>
  <si>
    <t>68.28</t>
  </si>
  <si>
    <t>L01023</t>
  </si>
  <si>
    <t>T00512</t>
  </si>
  <si>
    <t>115.65</t>
  </si>
  <si>
    <t>L01024</t>
  </si>
  <si>
    <t>47.00</t>
  </si>
  <si>
    <t>L01025</t>
  </si>
  <si>
    <t>T00513</t>
  </si>
  <si>
    <t>95.48</t>
  </si>
  <si>
    <t>L01026</t>
  </si>
  <si>
    <t>24.24</t>
  </si>
  <si>
    <t>L01027</t>
  </si>
  <si>
    <t>T00514</t>
  </si>
  <si>
    <t>73.83</t>
  </si>
  <si>
    <t>L01028</t>
  </si>
  <si>
    <t>124.90</t>
  </si>
  <si>
    <t>L01029</t>
  </si>
  <si>
    <t>T00515</t>
  </si>
  <si>
    <t>50.70</t>
  </si>
  <si>
    <t>L01030</t>
  </si>
  <si>
    <t>102.88</t>
  </si>
  <si>
    <t>L01031</t>
  </si>
  <si>
    <t>T00516</t>
  </si>
  <si>
    <t>26.09</t>
  </si>
  <si>
    <t>L01032</t>
  </si>
  <si>
    <t>79.38</t>
  </si>
  <si>
    <t>L01033</t>
  </si>
  <si>
    <t>T00517</t>
  </si>
  <si>
    <t>134.15</t>
  </si>
  <si>
    <t>L01034</t>
  </si>
  <si>
    <t>54.40</t>
  </si>
  <si>
    <t>L01035</t>
  </si>
  <si>
    <t>T00518</t>
  </si>
  <si>
    <t>110.28</t>
  </si>
  <si>
    <t>L01036</t>
  </si>
  <si>
    <t>-27.94</t>
  </si>
  <si>
    <t>L01037</t>
  </si>
  <si>
    <t>T00519</t>
  </si>
  <si>
    <t>84.93</t>
  </si>
  <si>
    <t>L01038</t>
  </si>
  <si>
    <t>143.40</t>
  </si>
  <si>
    <t>L01039</t>
  </si>
  <si>
    <t>T00520</t>
  </si>
  <si>
    <t>58.10</t>
  </si>
  <si>
    <t>L01040</t>
  </si>
  <si>
    <t>117.68</t>
  </si>
  <si>
    <t>L01041</t>
  </si>
  <si>
    <t>T00521</t>
  </si>
  <si>
    <t>29.79</t>
  </si>
  <si>
    <t>L01042</t>
  </si>
  <si>
    <t>90.48</t>
  </si>
  <si>
    <t>L01043</t>
  </si>
  <si>
    <t>T00522</t>
  </si>
  <si>
    <t>152.65</t>
  </si>
  <si>
    <t>L01044</t>
  </si>
  <si>
    <t>61.80</t>
  </si>
  <si>
    <t>L01045</t>
  </si>
  <si>
    <t>T00523</t>
  </si>
  <si>
    <t>125.08</t>
  </si>
  <si>
    <t>L01046</t>
  </si>
  <si>
    <t>31.64</t>
  </si>
  <si>
    <t>L01047</t>
  </si>
  <si>
    <t>T00524</t>
  </si>
  <si>
    <t>96.03</t>
  </si>
  <si>
    <t>L01048</t>
  </si>
  <si>
    <t>161.90</t>
  </si>
  <si>
    <t>L01049</t>
  </si>
  <si>
    <t>T00525</t>
  </si>
  <si>
    <t>65.50</t>
  </si>
  <si>
    <t>L01050</t>
  </si>
  <si>
    <t>132.48</t>
  </si>
  <si>
    <t>L01051</t>
  </si>
  <si>
    <t>T00526</t>
  </si>
  <si>
    <t>33.49</t>
  </si>
  <si>
    <t>L01052</t>
  </si>
  <si>
    <t>101.58</t>
  </si>
  <si>
    <t>L01053</t>
  </si>
  <si>
    <t>T00527</t>
  </si>
  <si>
    <t>$171.15</t>
  </si>
  <si>
    <t>L01054</t>
  </si>
  <si>
    <t>69.20</t>
  </si>
  <si>
    <t>L01055</t>
  </si>
  <si>
    <t>T00528</t>
  </si>
  <si>
    <t>139.88</t>
  </si>
  <si>
    <t>L01056</t>
  </si>
  <si>
    <t>35.34</t>
  </si>
  <si>
    <t>L01057</t>
  </si>
  <si>
    <t>T00529</t>
  </si>
  <si>
    <t>107.13</t>
  </si>
  <si>
    <t>L01058</t>
  </si>
  <si>
    <t>180.40</t>
  </si>
  <si>
    <t>L01059</t>
  </si>
  <si>
    <t>T00530</t>
  </si>
  <si>
    <t>-72.90</t>
  </si>
  <si>
    <t>L01060</t>
  </si>
  <si>
    <t>147.28</t>
  </si>
  <si>
    <t>L01061</t>
  </si>
  <si>
    <t>T00531</t>
  </si>
  <si>
    <t>37.19</t>
  </si>
  <si>
    <t>L01062</t>
  </si>
  <si>
    <t>112.68</t>
  </si>
  <si>
    <t>L01063</t>
  </si>
  <si>
    <t>T00532</t>
  </si>
  <si>
    <t>189.65</t>
  </si>
  <si>
    <t>L01064</t>
  </si>
  <si>
    <t>76.60</t>
  </si>
  <si>
    <t>L01065</t>
  </si>
  <si>
    <t>T00533</t>
  </si>
  <si>
    <t>154.68</t>
  </si>
  <si>
    <t>L01066</t>
  </si>
  <si>
    <t>39.04</t>
  </si>
  <si>
    <t>L01067</t>
  </si>
  <si>
    <t>T00534</t>
  </si>
  <si>
    <t>118.23</t>
  </si>
  <si>
    <t>L01068</t>
  </si>
  <si>
    <t>198.90</t>
  </si>
  <si>
    <t>L01069</t>
  </si>
  <si>
    <t>T00535</t>
  </si>
  <si>
    <t>80.30</t>
  </si>
  <si>
    <t>L01070</t>
  </si>
  <si>
    <t>162.08</t>
  </si>
  <si>
    <t>L01071</t>
  </si>
  <si>
    <t>T00536</t>
  </si>
  <si>
    <t>40.89</t>
  </si>
  <si>
    <t>L01072</t>
  </si>
  <si>
    <t>123.78</t>
  </si>
  <si>
    <t>L01073</t>
  </si>
  <si>
    <t>T00537</t>
  </si>
  <si>
    <t>208.15</t>
  </si>
  <si>
    <t>L01074</t>
  </si>
  <si>
    <t>84.00</t>
  </si>
  <si>
    <t>L01075</t>
  </si>
  <si>
    <t>T00538</t>
  </si>
  <si>
    <t>169.48</t>
  </si>
  <si>
    <t>L01076</t>
  </si>
  <si>
    <t>42.74</t>
  </si>
  <si>
    <t>L01077</t>
  </si>
  <si>
    <t>T00539</t>
  </si>
  <si>
    <t>129.33</t>
  </si>
  <si>
    <t>L01078</t>
  </si>
  <si>
    <t>217.40</t>
  </si>
  <si>
    <t>L01079</t>
  </si>
  <si>
    <t>T00540</t>
  </si>
  <si>
    <t>87.70</t>
  </si>
  <si>
    <t>L01080</t>
  </si>
  <si>
    <t>176.88</t>
  </si>
  <si>
    <t>L01081</t>
  </si>
  <si>
    <t>T00541</t>
  </si>
  <si>
    <t>44.59</t>
  </si>
  <si>
    <t>L01082</t>
  </si>
  <si>
    <t>-134.88</t>
  </si>
  <si>
    <t>L01083</t>
  </si>
  <si>
    <t>T00542</t>
  </si>
  <si>
    <t>226.65</t>
  </si>
  <si>
    <t>L01084</t>
  </si>
  <si>
    <t>91.40</t>
  </si>
  <si>
    <t>L01085</t>
  </si>
  <si>
    <t>T00543</t>
  </si>
  <si>
    <t>184.28</t>
  </si>
  <si>
    <t>L01086</t>
  </si>
  <si>
    <t>46.44</t>
  </si>
  <si>
    <t>L01087</t>
  </si>
  <si>
    <t>T00544</t>
  </si>
  <si>
    <t>140.43</t>
  </si>
  <si>
    <t>L01088</t>
  </si>
  <si>
    <t>235.90</t>
  </si>
  <si>
    <t>L01089</t>
  </si>
  <si>
    <t>T00545</t>
  </si>
  <si>
    <t>95.10</t>
  </si>
  <si>
    <t>L01090</t>
  </si>
  <si>
    <t>191.68</t>
  </si>
  <si>
    <t>L01091</t>
  </si>
  <si>
    <t>T00546</t>
  </si>
  <si>
    <t>48.29</t>
  </si>
  <si>
    <t>L01092</t>
  </si>
  <si>
    <t>145.98</t>
  </si>
  <si>
    <t>L01093</t>
  </si>
  <si>
    <t>T00547</t>
  </si>
  <si>
    <t>245.15</t>
  </si>
  <si>
    <t>L01094</t>
  </si>
  <si>
    <t>98.80</t>
  </si>
  <si>
    <t>L01095</t>
  </si>
  <si>
    <t>T00548</t>
  </si>
  <si>
    <t>199.08</t>
  </si>
  <si>
    <t>L01096</t>
  </si>
  <si>
    <t>50.14</t>
  </si>
  <si>
    <t>L01097</t>
  </si>
  <si>
    <t>T00549</t>
  </si>
  <si>
    <t>151.53</t>
  </si>
  <si>
    <t>L01098</t>
  </si>
  <si>
    <t>254.40</t>
  </si>
  <si>
    <t>L01099</t>
  </si>
  <si>
    <t>T00550</t>
  </si>
  <si>
    <t>102.50</t>
  </si>
  <si>
    <t>L01100</t>
  </si>
  <si>
    <t>206.48</t>
  </si>
  <si>
    <t>L01101</t>
  </si>
  <si>
    <t>T00551</t>
  </si>
  <si>
    <t>51.99</t>
  </si>
  <si>
    <t>L01102</t>
  </si>
  <si>
    <t>157.08</t>
  </si>
  <si>
    <t>L01103</t>
  </si>
  <si>
    <t>T00552</t>
  </si>
  <si>
    <t>263.65</t>
  </si>
  <si>
    <t>L01104</t>
  </si>
  <si>
    <t>106.20</t>
  </si>
  <si>
    <t>L01105</t>
  </si>
  <si>
    <t>T00553</t>
  </si>
  <si>
    <t>-213.88</t>
  </si>
  <si>
    <t>L01106</t>
  </si>
  <si>
    <t>53.84</t>
  </si>
  <si>
    <t>L01107</t>
  </si>
  <si>
    <t>T00554</t>
  </si>
  <si>
    <t>162.63</t>
  </si>
  <si>
    <t>L01108</t>
  </si>
  <si>
    <t>272.90</t>
  </si>
  <si>
    <t>L01109</t>
  </si>
  <si>
    <t>T00555</t>
  </si>
  <si>
    <t>109.90</t>
  </si>
  <si>
    <t>L01110</t>
  </si>
  <si>
    <t>221.28</t>
  </si>
  <si>
    <t>L01111</t>
  </si>
  <si>
    <t>T00556</t>
  </si>
  <si>
    <t>55.69</t>
  </si>
  <si>
    <t>L01112</t>
  </si>
  <si>
    <t>168.18</t>
  </si>
  <si>
    <t>L01113</t>
  </si>
  <si>
    <t>T00557</t>
  </si>
  <si>
    <t>282.15</t>
  </si>
  <si>
    <t>L01114</t>
  </si>
  <si>
    <t>113.60</t>
  </si>
  <si>
    <t>L01115</t>
  </si>
  <si>
    <t>T00558</t>
  </si>
  <si>
    <t>228.68</t>
  </si>
  <si>
    <t>L01116</t>
  </si>
  <si>
    <t>57.54</t>
  </si>
  <si>
    <t>L01117</t>
  </si>
  <si>
    <t>T00559</t>
  </si>
  <si>
    <t>173.73</t>
  </si>
  <si>
    <t>L01118</t>
  </si>
  <si>
    <t>291.40</t>
  </si>
  <si>
    <t>L01119</t>
  </si>
  <si>
    <t>T00560</t>
  </si>
  <si>
    <t>117.30</t>
  </si>
  <si>
    <t>L01120</t>
  </si>
  <si>
    <t>236.08</t>
  </si>
  <si>
    <t>L01121</t>
  </si>
  <si>
    <t>T00561</t>
  </si>
  <si>
    <t>59.39</t>
  </si>
  <si>
    <t>L01122</t>
  </si>
  <si>
    <t>179.28</t>
  </si>
  <si>
    <t>L01123</t>
  </si>
  <si>
    <t>T00562</t>
  </si>
  <si>
    <t>300.65</t>
  </si>
  <si>
    <t>L01124</t>
  </si>
  <si>
    <t>121.00</t>
  </si>
  <si>
    <t>L01125</t>
  </si>
  <si>
    <t>T00563</t>
  </si>
  <si>
    <t>243.48</t>
  </si>
  <si>
    <t>L01126</t>
  </si>
  <si>
    <t>61.24</t>
  </si>
  <si>
    <t>L01127</t>
  </si>
  <si>
    <t>T00564</t>
  </si>
  <si>
    <t>184.83</t>
  </si>
  <si>
    <t>L01128</t>
  </si>
  <si>
    <t>-309.90</t>
  </si>
  <si>
    <t>L01129</t>
  </si>
  <si>
    <t>T00565</t>
  </si>
  <si>
    <t>124.70</t>
  </si>
  <si>
    <t>L01130</t>
  </si>
  <si>
    <t>20-Mar-2026</t>
  </si>
  <si>
    <t>250.88</t>
  </si>
  <si>
    <t>L01131</t>
  </si>
  <si>
    <t>T00566</t>
  </si>
  <si>
    <t>63.09</t>
  </si>
  <si>
    <t>L01132</t>
  </si>
  <si>
    <t>190.38</t>
  </si>
  <si>
    <t>L01133</t>
  </si>
  <si>
    <t>T00567</t>
  </si>
  <si>
    <t>319.15</t>
  </si>
  <si>
    <t>L01134</t>
  </si>
  <si>
    <t>128.40</t>
  </si>
  <si>
    <t>L01135</t>
  </si>
  <si>
    <t>T00568</t>
  </si>
  <si>
    <t>258.28</t>
  </si>
  <si>
    <t>L01136</t>
  </si>
  <si>
    <t>64.94</t>
  </si>
  <si>
    <t>L01137</t>
  </si>
  <si>
    <t>T00569</t>
  </si>
  <si>
    <t>195.93</t>
  </si>
  <si>
    <t>L01138</t>
  </si>
  <si>
    <t>328.40</t>
  </si>
  <si>
    <t>L01139</t>
  </si>
  <si>
    <t>T00570</t>
  </si>
  <si>
    <t>132.10</t>
  </si>
  <si>
    <t>L01140</t>
  </si>
  <si>
    <t>265.68</t>
  </si>
  <si>
    <t>L01141</t>
  </si>
  <si>
    <t>T00571</t>
  </si>
  <si>
    <t>66.79</t>
  </si>
  <si>
    <t>L01142</t>
  </si>
  <si>
    <t>201.48</t>
  </si>
  <si>
    <t>L01143</t>
  </si>
  <si>
    <t>T00572</t>
  </si>
  <si>
    <t>337.65</t>
  </si>
  <si>
    <t>L01144</t>
  </si>
  <si>
    <t>135.80</t>
  </si>
  <si>
    <t>L01145</t>
  </si>
  <si>
    <t>T00573</t>
  </si>
  <si>
    <t>273.08</t>
  </si>
  <si>
    <t>L01146</t>
  </si>
  <si>
    <t>68.64</t>
  </si>
  <si>
    <t>L01147</t>
  </si>
  <si>
    <t>T00574</t>
  </si>
  <si>
    <t>207.03</t>
  </si>
  <si>
    <t>L01148</t>
  </si>
  <si>
    <t>346.90</t>
  </si>
  <si>
    <t>L01149</t>
  </si>
  <si>
    <t>T00575</t>
  </si>
  <si>
    <t>139.50</t>
  </si>
  <si>
    <t>L01150</t>
  </si>
  <si>
    <t>280.48</t>
  </si>
  <si>
    <t>L01151</t>
  </si>
  <si>
    <t>T00576</t>
  </si>
  <si>
    <t>-70.49</t>
  </si>
  <si>
    <t>L01152</t>
  </si>
  <si>
    <t>212.58</t>
  </si>
  <si>
    <t>L01153</t>
  </si>
  <si>
    <t>T00577</t>
  </si>
  <si>
    <t>356.15</t>
  </si>
  <si>
    <t>L01154</t>
  </si>
  <si>
    <t>143.20</t>
  </si>
  <si>
    <t>L01155</t>
  </si>
  <si>
    <t>T00578</t>
  </si>
  <si>
    <t>287.88</t>
  </si>
  <si>
    <t>L01156</t>
  </si>
  <si>
    <t>$72.34</t>
  </si>
  <si>
    <t>L01157</t>
  </si>
  <si>
    <t>T00579</t>
  </si>
  <si>
    <t>218.13</t>
  </si>
  <si>
    <t>L01158</t>
  </si>
  <si>
    <t>365.40</t>
  </si>
  <si>
    <t>L01159</t>
  </si>
  <si>
    <t>T00580</t>
  </si>
  <si>
    <t>146.90</t>
  </si>
  <si>
    <t>L01160</t>
  </si>
  <si>
    <t>295.28</t>
  </si>
  <si>
    <t>L01161</t>
  </si>
  <si>
    <t>T00581</t>
  </si>
  <si>
    <t>74.19</t>
  </si>
  <si>
    <t>L01162</t>
  </si>
  <si>
    <t>223.68</t>
  </si>
  <si>
    <t>L01163</t>
  </si>
  <si>
    <t>T00582</t>
  </si>
  <si>
    <t>374.65</t>
  </si>
  <si>
    <t>L01164</t>
  </si>
  <si>
    <t>150.60</t>
  </si>
  <si>
    <t>L01165</t>
  </si>
  <si>
    <t>T00583</t>
  </si>
  <si>
    <t>302.68</t>
  </si>
  <si>
    <t>L01166</t>
  </si>
  <si>
    <t>76.04</t>
  </si>
  <si>
    <t>L01167</t>
  </si>
  <si>
    <t>T00584</t>
  </si>
  <si>
    <t>229.23</t>
  </si>
  <si>
    <t>L01168</t>
  </si>
  <si>
    <t>383.90</t>
  </si>
  <si>
    <t>L01169</t>
  </si>
  <si>
    <t>T00585</t>
  </si>
  <si>
    <t>154.30</t>
  </si>
  <si>
    <t>L01170</t>
  </si>
  <si>
    <t>310.08</t>
  </si>
  <si>
    <t>L01171</t>
  </si>
  <si>
    <t>T00586</t>
  </si>
  <si>
    <t>77.89</t>
  </si>
  <si>
    <t>L01172</t>
  </si>
  <si>
    <t>234.78</t>
  </si>
  <si>
    <t>L01173</t>
  </si>
  <si>
    <t>T00587</t>
  </si>
  <si>
    <t>393.15</t>
  </si>
  <si>
    <t>L01174</t>
  </si>
  <si>
    <t>-158.00</t>
  </si>
  <si>
    <t>L01175</t>
  </si>
  <si>
    <t>T00588</t>
  </si>
  <si>
    <t>317.48</t>
  </si>
  <si>
    <t>L01176</t>
  </si>
  <si>
    <t>79.74</t>
  </si>
  <si>
    <t>L01177</t>
  </si>
  <si>
    <t>T00589</t>
  </si>
  <si>
    <t>240.33</t>
  </si>
  <si>
    <t>L01178</t>
  </si>
  <si>
    <t>402.40</t>
  </si>
  <si>
    <t>L01179</t>
  </si>
  <si>
    <t>T00590</t>
  </si>
  <si>
    <t>161.70</t>
  </si>
  <si>
    <t>L01180</t>
  </si>
  <si>
    <t>324.88</t>
  </si>
  <si>
    <t>L01181</t>
  </si>
  <si>
    <t>T00591</t>
  </si>
  <si>
    <t>81.59</t>
  </si>
  <si>
    <t>L01182</t>
  </si>
  <si>
    <t>245.88</t>
  </si>
  <si>
    <t>L01183</t>
  </si>
  <si>
    <t>T00592</t>
  </si>
  <si>
    <t>411.65</t>
  </si>
  <si>
    <t>L01184</t>
  </si>
  <si>
    <t>165.40</t>
  </si>
  <si>
    <t>L01185</t>
  </si>
  <si>
    <t>T00593</t>
  </si>
  <si>
    <t>332.28</t>
  </si>
  <si>
    <t>L01186</t>
  </si>
  <si>
    <t>83.44</t>
  </si>
  <si>
    <t>L01187</t>
  </si>
  <si>
    <t>T00594</t>
  </si>
  <si>
    <t>251.43</t>
  </si>
  <si>
    <t>L01188</t>
  </si>
  <si>
    <t>420.90</t>
  </si>
  <si>
    <t>L01189</t>
  </si>
  <si>
    <t>T00595</t>
  </si>
  <si>
    <t>169.10</t>
  </si>
  <si>
    <t>L01190</t>
  </si>
  <si>
    <t>339.68</t>
  </si>
  <si>
    <t>L01191</t>
  </si>
  <si>
    <t>T00596</t>
  </si>
  <si>
    <t>85.29</t>
  </si>
  <si>
    <t>L01192</t>
  </si>
  <si>
    <t>256.98</t>
  </si>
  <si>
    <t>L01193</t>
  </si>
  <si>
    <t>T00597</t>
  </si>
  <si>
    <t>430.15</t>
  </si>
  <si>
    <t>L01194</t>
  </si>
  <si>
    <t>172.80</t>
  </si>
  <si>
    <t>L01195</t>
  </si>
  <si>
    <t>T00598</t>
  </si>
  <si>
    <t>347.08</t>
  </si>
  <si>
    <t>L01196</t>
  </si>
  <si>
    <t>87.14</t>
  </si>
  <si>
    <t>L01197</t>
  </si>
  <si>
    <t>T00599</t>
  </si>
  <si>
    <t>-262.53</t>
  </si>
  <si>
    <t>L01198</t>
  </si>
  <si>
    <t>439.40</t>
  </si>
  <si>
    <t>L01199</t>
  </si>
  <si>
    <t>T00600</t>
  </si>
  <si>
    <t>176.50</t>
  </si>
  <si>
    <t>L01200</t>
  </si>
  <si>
    <t>354.48</t>
  </si>
  <si>
    <t>L01201</t>
  </si>
  <si>
    <t>T00601</t>
  </si>
  <si>
    <t>88.99</t>
  </si>
  <si>
    <t>L01202</t>
  </si>
  <si>
    <t>268.08</t>
  </si>
  <si>
    <t>L01203</t>
  </si>
  <si>
    <t>T00602</t>
  </si>
  <si>
    <t>448.65</t>
  </si>
  <si>
    <t>L01204</t>
  </si>
  <si>
    <t>180.20</t>
  </si>
  <si>
    <t>L01205</t>
  </si>
  <si>
    <t>T00603</t>
  </si>
  <si>
    <t>361.88</t>
  </si>
  <si>
    <t>L01206</t>
  </si>
  <si>
    <t>90.84</t>
  </si>
  <si>
    <t>L01207</t>
  </si>
  <si>
    <t>T00604</t>
  </si>
  <si>
    <t>273.63</t>
  </si>
  <si>
    <t>L01208</t>
  </si>
  <si>
    <t>457.90</t>
  </si>
  <si>
    <t>L01209</t>
  </si>
  <si>
    <t>T00605</t>
  </si>
  <si>
    <t>183.90</t>
  </si>
  <si>
    <t>L01210</t>
  </si>
  <si>
    <t>369.28</t>
  </si>
  <si>
    <t>L01211</t>
  </si>
  <si>
    <t>T00606</t>
  </si>
  <si>
    <t>92.69</t>
  </si>
  <si>
    <t>L01212</t>
  </si>
  <si>
    <t>279.18</t>
  </si>
  <si>
    <t>L01213</t>
  </si>
  <si>
    <t>T00607</t>
  </si>
  <si>
    <t>467.15</t>
  </si>
  <si>
    <t>L01214</t>
  </si>
  <si>
    <t>187.60</t>
  </si>
  <si>
    <t>L01215</t>
  </si>
  <si>
    <t>T00608</t>
  </si>
  <si>
    <t>376.68</t>
  </si>
  <si>
    <t>L01216</t>
  </si>
  <si>
    <t>94.54</t>
  </si>
  <si>
    <t>L01217</t>
  </si>
  <si>
    <t>T00609</t>
  </si>
  <si>
    <t>284.73</t>
  </si>
  <si>
    <t>L01218</t>
  </si>
  <si>
    <t>476.40</t>
  </si>
  <si>
    <t>L01219</t>
  </si>
  <si>
    <t>T00610</t>
  </si>
  <si>
    <t>191.30</t>
  </si>
  <si>
    <t>L01220</t>
  </si>
  <si>
    <t>-384.08</t>
  </si>
  <si>
    <t>L01221</t>
  </si>
  <si>
    <t>T00611</t>
  </si>
  <si>
    <t>96.39</t>
  </si>
  <si>
    <t>L01222</t>
  </si>
  <si>
    <t>290.28</t>
  </si>
  <si>
    <t>L01223</t>
  </si>
  <si>
    <t>T00612</t>
  </si>
  <si>
    <t>485.65</t>
  </si>
  <si>
    <t>L01224</t>
  </si>
  <si>
    <t>195.00</t>
  </si>
  <si>
    <t>L01225</t>
  </si>
  <si>
    <t>T00613</t>
  </si>
  <si>
    <t>391.48</t>
  </si>
  <si>
    <t>L01226</t>
  </si>
  <si>
    <t>98.24</t>
  </si>
  <si>
    <t>L01227</t>
  </si>
  <si>
    <t>T00614</t>
  </si>
  <si>
    <t>295.83</t>
  </si>
  <si>
    <t>L01228</t>
  </si>
  <si>
    <t>494.90</t>
  </si>
  <si>
    <t>L01229</t>
  </si>
  <si>
    <t>T00615</t>
  </si>
  <si>
    <t>198.70</t>
  </si>
  <si>
    <t>L01230</t>
  </si>
  <si>
    <t>398.88</t>
  </si>
  <si>
    <t>L01231</t>
  </si>
  <si>
    <t>T00616</t>
  </si>
  <si>
    <t>100.09</t>
  </si>
  <si>
    <t>L01232</t>
  </si>
  <si>
    <t>301.38</t>
  </si>
  <si>
    <t>L01233</t>
  </si>
  <si>
    <t>T00617</t>
  </si>
  <si>
    <t>504.15</t>
  </si>
  <si>
    <t>L01234</t>
  </si>
  <si>
    <t>202.40</t>
  </si>
  <si>
    <t>L01235</t>
  </si>
  <si>
    <t>T00618</t>
  </si>
  <si>
    <t>406.28</t>
  </si>
  <si>
    <t>L01236</t>
  </si>
  <si>
    <t>101.94</t>
  </si>
  <si>
    <t>L01237</t>
  </si>
  <si>
    <t>T00619</t>
  </si>
  <si>
    <t>306.93</t>
  </si>
  <si>
    <t>L01238</t>
  </si>
  <si>
    <t>513.40</t>
  </si>
  <si>
    <t>L01239</t>
  </si>
  <si>
    <t>T00620</t>
  </si>
  <si>
    <t>206.10</t>
  </si>
  <si>
    <t>L01240</t>
  </si>
  <si>
    <t>413.68</t>
  </si>
  <si>
    <t>L01241</t>
  </si>
  <si>
    <t>T00621</t>
  </si>
  <si>
    <t>103.79</t>
  </si>
  <si>
    <t>L01242</t>
  </si>
  <si>
    <t>312.48</t>
  </si>
  <si>
    <t>L01243</t>
  </si>
  <si>
    <t>T00622</t>
  </si>
  <si>
    <t>-522.65</t>
  </si>
  <si>
    <t>L01244</t>
  </si>
  <si>
    <t>209.80</t>
  </si>
  <si>
    <t>L01245</t>
  </si>
  <si>
    <t>T00623</t>
  </si>
  <si>
    <t>421.08</t>
  </si>
  <si>
    <t>L01246</t>
  </si>
  <si>
    <t>105.64</t>
  </si>
  <si>
    <t>L01247</t>
  </si>
  <si>
    <t>T00624</t>
  </si>
  <si>
    <t>318.03</t>
  </si>
  <si>
    <t>L01248</t>
  </si>
  <si>
    <t>531.90</t>
  </si>
  <si>
    <t>L01249</t>
  </si>
  <si>
    <t>T00625</t>
  </si>
  <si>
    <t>213.50</t>
  </si>
  <si>
    <t>L01250</t>
  </si>
  <si>
    <t>428.48</t>
  </si>
  <si>
    <t>L01251</t>
  </si>
  <si>
    <t>T00626</t>
  </si>
  <si>
    <t>107.49</t>
  </si>
  <si>
    <t>L01252</t>
  </si>
  <si>
    <t>323.58</t>
  </si>
  <si>
    <t>L01253</t>
  </si>
  <si>
    <t>T00627</t>
  </si>
  <si>
    <t>541.15</t>
  </si>
  <si>
    <t>L01254</t>
  </si>
  <si>
    <t>217.20</t>
  </si>
  <si>
    <t>L01255</t>
  </si>
  <si>
    <t>T00628</t>
  </si>
  <si>
    <t>435.88</t>
  </si>
  <si>
    <t>L01256</t>
  </si>
  <si>
    <t>109.34</t>
  </si>
  <si>
    <t>L01257</t>
  </si>
  <si>
    <t>T00629</t>
  </si>
  <si>
    <t>329.13</t>
  </si>
  <si>
    <t>L01258</t>
  </si>
  <si>
    <t>550.40</t>
  </si>
  <si>
    <t>L01259</t>
  </si>
  <si>
    <t>T00630</t>
  </si>
  <si>
    <t>$220.90</t>
  </si>
  <si>
    <t>L01260</t>
  </si>
  <si>
    <t>443.28</t>
  </si>
  <si>
    <t>L01261</t>
  </si>
  <si>
    <t>T00631</t>
  </si>
  <si>
    <t>111.19</t>
  </si>
  <si>
    <t>L01262</t>
  </si>
  <si>
    <t>334.68</t>
  </si>
  <si>
    <t>L01263</t>
  </si>
  <si>
    <t>T00632</t>
  </si>
  <si>
    <t>559.65</t>
  </si>
  <si>
    <t>L01264</t>
  </si>
  <si>
    <t>224.60</t>
  </si>
  <si>
    <t>L01265</t>
  </si>
  <si>
    <t>T00633</t>
  </si>
  <si>
    <t>450.68</t>
  </si>
  <si>
    <t>L01266</t>
  </si>
  <si>
    <t>-113.04</t>
  </si>
  <si>
    <t>L01267</t>
  </si>
  <si>
    <t>T00634</t>
  </si>
  <si>
    <t>22-Jan-2026</t>
  </si>
  <si>
    <t>340.23</t>
  </si>
  <si>
    <t>L01268</t>
  </si>
  <si>
    <t>568.90</t>
  </si>
  <si>
    <t>L01269</t>
  </si>
  <si>
    <t>T00635</t>
  </si>
  <si>
    <t>228.30</t>
  </si>
  <si>
    <t>L01270</t>
  </si>
  <si>
    <t>458.08</t>
  </si>
  <si>
    <t>L01271</t>
  </si>
  <si>
    <t>T00636</t>
  </si>
  <si>
    <t>114.89</t>
  </si>
  <si>
    <t>L01272</t>
  </si>
  <si>
    <t>345.78</t>
  </si>
  <si>
    <t>L01273</t>
  </si>
  <si>
    <t>T00637</t>
  </si>
  <si>
    <t>578.15</t>
  </si>
  <si>
    <t>L01274</t>
  </si>
  <si>
    <t>232.00</t>
  </si>
  <si>
    <t>L01275</t>
  </si>
  <si>
    <t>T00638</t>
  </si>
  <si>
    <t>465.48</t>
  </si>
  <si>
    <t>L01276</t>
  </si>
  <si>
    <t>116.74</t>
  </si>
  <si>
    <t>L01277</t>
  </si>
  <si>
    <t>T00639</t>
  </si>
  <si>
    <t>351.33</t>
  </si>
  <si>
    <t>L01278</t>
  </si>
  <si>
    <t>587.40</t>
  </si>
  <si>
    <t>L01279</t>
  </si>
  <si>
    <t>T00640</t>
  </si>
  <si>
    <t>235.70</t>
  </si>
  <si>
    <t>L01280</t>
  </si>
  <si>
    <t>472.88</t>
  </si>
  <si>
    <t>L01281</t>
  </si>
  <si>
    <t>T00641</t>
  </si>
  <si>
    <t>118.59</t>
  </si>
  <si>
    <t>L01282</t>
  </si>
  <si>
    <t>356.88</t>
  </si>
  <si>
    <t>L01283</t>
  </si>
  <si>
    <t>T00642</t>
  </si>
  <si>
    <t>596.65</t>
  </si>
  <si>
    <t>L01284</t>
  </si>
  <si>
    <t>239.40</t>
  </si>
  <si>
    <t>L01285</t>
  </si>
  <si>
    <t>T00643</t>
  </si>
  <si>
    <t>480.28</t>
  </si>
  <si>
    <t>L01286</t>
  </si>
  <si>
    <t>120.44</t>
  </si>
  <si>
    <t>L01287</t>
  </si>
  <si>
    <t>T00644</t>
  </si>
  <si>
    <t>362.43</t>
  </si>
  <si>
    <t>L01288</t>
  </si>
  <si>
    <t>605.90</t>
  </si>
  <si>
    <t>L01289</t>
  </si>
  <si>
    <t>T00645</t>
  </si>
  <si>
    <t>-243.10</t>
  </si>
  <si>
    <t>L01290</t>
  </si>
  <si>
    <t>487.68</t>
  </si>
  <si>
    <t>L01291</t>
  </si>
  <si>
    <t>T00646</t>
  </si>
  <si>
    <t>122.29</t>
  </si>
  <si>
    <t>L01292</t>
  </si>
  <si>
    <t>367.98</t>
  </si>
  <si>
    <t>L01293</t>
  </si>
  <si>
    <t>T00647</t>
  </si>
  <si>
    <t>615.15</t>
  </si>
  <si>
    <t>L01294</t>
  </si>
  <si>
    <t>246.80</t>
  </si>
  <si>
    <t>L01295</t>
  </si>
  <si>
    <t>T00648</t>
  </si>
  <si>
    <t>495.08</t>
  </si>
  <si>
    <t>L01296</t>
  </si>
  <si>
    <t>124.14</t>
  </si>
  <si>
    <t>L01297</t>
  </si>
  <si>
    <t>T00649</t>
  </si>
  <si>
    <t>373.53</t>
  </si>
  <si>
    <t>L01298</t>
  </si>
  <si>
    <t>624.40</t>
  </si>
  <si>
    <t>L01299</t>
  </si>
  <si>
    <t>T00650</t>
  </si>
  <si>
    <t>10.50</t>
  </si>
  <si>
    <t>L01300</t>
  </si>
  <si>
    <t>22.48</t>
  </si>
  <si>
    <t>L01301</t>
  </si>
  <si>
    <t>T00651</t>
  </si>
  <si>
    <t>5.99</t>
  </si>
  <si>
    <t>L01302</t>
  </si>
  <si>
    <t>19.08</t>
  </si>
  <si>
    <t>L01303</t>
  </si>
  <si>
    <t>T00652</t>
  </si>
  <si>
    <t>33.65</t>
  </si>
  <si>
    <t>L01304</t>
  </si>
  <si>
    <t>14.20</t>
  </si>
  <si>
    <t>L01305</t>
  </si>
  <si>
    <t>T00653</t>
  </si>
  <si>
    <t>29.88</t>
  </si>
  <si>
    <t>L01306</t>
  </si>
  <si>
    <t>7.84</t>
  </si>
  <si>
    <t>L01307</t>
  </si>
  <si>
    <t>T00654</t>
  </si>
  <si>
    <t>24.63</t>
  </si>
  <si>
    <t>L01308</t>
  </si>
  <si>
    <t>42.90</t>
  </si>
  <si>
    <t>L01309</t>
  </si>
  <si>
    <t>T00655</t>
  </si>
  <si>
    <t>17.90</t>
  </si>
  <si>
    <t>L01310</t>
  </si>
  <si>
    <t>37.28</t>
  </si>
  <si>
    <t>L01311</t>
  </si>
  <si>
    <t>T00656</t>
  </si>
  <si>
    <t>9.69</t>
  </si>
  <si>
    <t>L01312</t>
  </si>
  <si>
    <t>-30.18</t>
  </si>
  <si>
    <t>L01313</t>
  </si>
  <si>
    <t>T00657</t>
  </si>
  <si>
    <t>52.15</t>
  </si>
  <si>
    <t>L01314</t>
  </si>
  <si>
    <t>21.60</t>
  </si>
  <si>
    <t>L01315</t>
  </si>
  <si>
    <t>T00658</t>
  </si>
  <si>
    <t>44.68</t>
  </si>
  <si>
    <t>L01316</t>
  </si>
  <si>
    <t>11.54</t>
  </si>
  <si>
    <t>L01317</t>
  </si>
  <si>
    <t>T00659</t>
  </si>
  <si>
    <t>35.73</t>
  </si>
  <si>
    <t>L01318</t>
  </si>
  <si>
    <t>61.40</t>
  </si>
  <si>
    <t>L01319</t>
  </si>
  <si>
    <t>T00660</t>
  </si>
  <si>
    <t>25.30</t>
  </si>
  <si>
    <t>L01320</t>
  </si>
  <si>
    <t>52.08</t>
  </si>
  <si>
    <t>L01321</t>
  </si>
  <si>
    <t>T00661</t>
  </si>
  <si>
    <t>13.39</t>
  </si>
  <si>
    <t>L01322</t>
  </si>
  <si>
    <t>41.28</t>
  </si>
  <si>
    <t>L01323</t>
  </si>
  <si>
    <t>T00662</t>
  </si>
  <si>
    <t>70.65</t>
  </si>
  <si>
    <t>L01324</t>
  </si>
  <si>
    <t>29.00</t>
  </si>
  <si>
    <t>L01325</t>
  </si>
  <si>
    <t>T00663</t>
  </si>
  <si>
    <t>59.48</t>
  </si>
  <si>
    <t>L01326</t>
  </si>
  <si>
    <t>15.24</t>
  </si>
  <si>
    <t>L01327</t>
  </si>
  <si>
    <t>T00664</t>
  </si>
  <si>
    <t>46.83</t>
  </si>
  <si>
    <t>L01328</t>
  </si>
  <si>
    <t>79.90</t>
  </si>
  <si>
    <t>L01329</t>
  </si>
  <si>
    <t>T00665</t>
  </si>
  <si>
    <t>32.70</t>
  </si>
  <si>
    <t>L01330</t>
  </si>
  <si>
    <t>66.88</t>
  </si>
  <si>
    <t>L01331</t>
  </si>
  <si>
    <t>T00666</t>
  </si>
  <si>
    <t>17.09</t>
  </si>
  <si>
    <t>L01332</t>
  </si>
  <si>
    <t>52.38</t>
  </si>
  <si>
    <t>L01333</t>
  </si>
  <si>
    <t>T00667</t>
  </si>
  <si>
    <t>89.15</t>
  </si>
  <si>
    <t>L01334</t>
  </si>
  <si>
    <t>36.40</t>
  </si>
  <si>
    <t>L01335</t>
  </si>
  <si>
    <t>T00668</t>
  </si>
  <si>
    <t>-74.28</t>
  </si>
  <si>
    <t>L01336</t>
  </si>
  <si>
    <t>18.94</t>
  </si>
  <si>
    <t>L01337</t>
  </si>
  <si>
    <t>T00669</t>
  </si>
  <si>
    <t>57.93</t>
  </si>
  <si>
    <t>L01338</t>
  </si>
  <si>
    <t>98.40</t>
  </si>
  <si>
    <t>L01339</t>
  </si>
  <si>
    <t>T00670</t>
  </si>
  <si>
    <t>40.10</t>
  </si>
  <si>
    <t>L01340</t>
  </si>
  <si>
    <t>81.68</t>
  </si>
  <si>
    <t>L01341</t>
  </si>
  <si>
    <t>T00671</t>
  </si>
  <si>
    <t>20.79</t>
  </si>
  <si>
    <t>L01342</t>
  </si>
  <si>
    <t>63.48</t>
  </si>
  <si>
    <t>L01343</t>
  </si>
  <si>
    <t>T00672</t>
  </si>
  <si>
    <t>107.65</t>
  </si>
  <si>
    <t>L01344</t>
  </si>
  <si>
    <t>43.80</t>
  </si>
  <si>
    <t>L01345</t>
  </si>
  <si>
    <t>T00673</t>
  </si>
  <si>
    <t>89.08</t>
  </si>
  <si>
    <t>L01346</t>
  </si>
  <si>
    <t>22.64</t>
  </si>
  <si>
    <t>L01347</t>
  </si>
  <si>
    <t>T00674</t>
  </si>
  <si>
    <t>69.03</t>
  </si>
  <si>
    <t>L01348</t>
  </si>
  <si>
    <t>116.90</t>
  </si>
  <si>
    <t>L01349</t>
  </si>
  <si>
    <t>T00675</t>
  </si>
  <si>
    <t>47.50</t>
  </si>
  <si>
    <t>L01350</t>
  </si>
  <si>
    <t>96.48</t>
  </si>
  <si>
    <t>L01351</t>
  </si>
  <si>
    <t>T00676</t>
  </si>
  <si>
    <t>24.49</t>
  </si>
  <si>
    <t>L01352</t>
  </si>
  <si>
    <t>74.58</t>
  </si>
  <si>
    <t>L01353</t>
  </si>
  <si>
    <t>T00677</t>
  </si>
  <si>
    <t>126.15</t>
  </si>
  <si>
    <t>L01354</t>
  </si>
  <si>
    <t>51.20</t>
  </si>
  <si>
    <t>L01355</t>
  </si>
  <si>
    <t>T00678</t>
  </si>
  <si>
    <t>103.88</t>
  </si>
  <si>
    <t>L01356</t>
  </si>
  <si>
    <t>26.34</t>
  </si>
  <si>
    <t>L01357</t>
  </si>
  <si>
    <t>T00679</t>
  </si>
  <si>
    <t>80.13</t>
  </si>
  <si>
    <t>L01358</t>
  </si>
  <si>
    <t>-135.40</t>
  </si>
  <si>
    <t>L01359</t>
  </si>
  <si>
    <t>T00680</t>
  </si>
  <si>
    <t>54.90</t>
  </si>
  <si>
    <t>L01360</t>
  </si>
  <si>
    <t>111.28</t>
  </si>
  <si>
    <t>L01361</t>
  </si>
  <si>
    <t>T00681</t>
  </si>
  <si>
    <t>28.19</t>
  </si>
  <si>
    <t>L01362</t>
  </si>
  <si>
    <t>$85.68</t>
  </si>
  <si>
    <t>L01363</t>
  </si>
  <si>
    <t>T00682</t>
  </si>
  <si>
    <t>144.65</t>
  </si>
  <si>
    <t>L01364</t>
  </si>
  <si>
    <t>58.60</t>
  </si>
  <si>
    <t>L01365</t>
  </si>
  <si>
    <t>T00683</t>
  </si>
  <si>
    <t>118.68</t>
  </si>
  <si>
    <t>L01366</t>
  </si>
  <si>
    <t>30.04</t>
  </si>
  <si>
    <t>L01367</t>
  </si>
  <si>
    <t>T00684</t>
  </si>
  <si>
    <t>91.23</t>
  </si>
  <si>
    <t>L01368</t>
  </si>
  <si>
    <t>153.90</t>
  </si>
  <si>
    <t>L01369</t>
  </si>
  <si>
    <t>T00685</t>
  </si>
  <si>
    <t>62.30</t>
  </si>
  <si>
    <t>L01370</t>
  </si>
  <si>
    <t>126.08</t>
  </si>
  <si>
    <t>L01371</t>
  </si>
  <si>
    <t>T00686</t>
  </si>
  <si>
    <t>31.89</t>
  </si>
  <si>
    <t>L01372</t>
  </si>
  <si>
    <t>96.78</t>
  </si>
  <si>
    <t>L01373</t>
  </si>
  <si>
    <t>T00687</t>
  </si>
  <si>
    <t>163.15</t>
  </si>
  <si>
    <t>L01374</t>
  </si>
  <si>
    <t>66.00</t>
  </si>
  <si>
    <t>L01375</t>
  </si>
  <si>
    <t>T00688</t>
  </si>
  <si>
    <t>133.48</t>
  </si>
  <si>
    <t>L01376</t>
  </si>
  <si>
    <t>33.74</t>
  </si>
  <si>
    <t>L01377</t>
  </si>
  <si>
    <t>T00689</t>
  </si>
  <si>
    <t>102.33</t>
  </si>
  <si>
    <t>L01378</t>
  </si>
  <si>
    <t>172.40</t>
  </si>
  <si>
    <t>L01379</t>
  </si>
  <si>
    <t>T00690</t>
  </si>
  <si>
    <t>69.70</t>
  </si>
  <si>
    <t>L01380</t>
  </si>
  <si>
    <t>140.88</t>
  </si>
  <si>
    <t>L01381</t>
  </si>
  <si>
    <t>T00691</t>
  </si>
  <si>
    <t>-35.59</t>
  </si>
  <si>
    <t>L01382</t>
  </si>
  <si>
    <t>107.88</t>
  </si>
  <si>
    <t>L01383</t>
  </si>
  <si>
    <t>T00692</t>
  </si>
  <si>
    <t>181.65</t>
  </si>
  <si>
    <t>L01384</t>
  </si>
  <si>
    <t>73.40</t>
  </si>
  <si>
    <t>L01385</t>
  </si>
  <si>
    <t>T00693</t>
  </si>
  <si>
    <t>148.28</t>
  </si>
  <si>
    <t>L01386</t>
  </si>
  <si>
    <t>37.44</t>
  </si>
  <si>
    <t>L01387</t>
  </si>
  <si>
    <t>T00694</t>
  </si>
  <si>
    <t>113.43</t>
  </si>
  <si>
    <t>L01388</t>
  </si>
  <si>
    <t>190.90</t>
  </si>
  <si>
    <t>L01389</t>
  </si>
  <si>
    <t>T00695</t>
  </si>
  <si>
    <t>77.10</t>
  </si>
  <si>
    <t>L01390</t>
  </si>
  <si>
    <t>155.68</t>
  </si>
  <si>
    <t>L01391</t>
  </si>
  <si>
    <t>T00696</t>
  </si>
  <si>
    <t>39.29</t>
  </si>
  <si>
    <t>L01392</t>
  </si>
  <si>
    <t>118.98</t>
  </si>
  <si>
    <t>L01393</t>
  </si>
  <si>
    <t>T00697</t>
  </si>
  <si>
    <t>200.15</t>
  </si>
  <si>
    <t>L01394</t>
  </si>
  <si>
    <t>80.80</t>
  </si>
  <si>
    <t>L01395</t>
  </si>
  <si>
    <t>T00698</t>
  </si>
  <si>
    <t>163.08</t>
  </si>
  <si>
    <t>L01396</t>
  </si>
  <si>
    <t>41.14</t>
  </si>
  <si>
    <t>L01397</t>
  </si>
  <si>
    <t>T00699</t>
  </si>
  <si>
    <t>124.53</t>
  </si>
  <si>
    <t>L01398</t>
  </si>
  <si>
    <t>209.40</t>
  </si>
  <si>
    <t>L01399</t>
  </si>
  <si>
    <t>T00700</t>
  </si>
  <si>
    <t>84.50</t>
  </si>
  <si>
    <t>L01400</t>
  </si>
  <si>
    <t>170.48</t>
  </si>
  <si>
    <t>L01401</t>
  </si>
  <si>
    <t>T00701</t>
  </si>
  <si>
    <t>42.99</t>
  </si>
  <si>
    <t>L01402</t>
  </si>
  <si>
    <t>130.08</t>
  </si>
  <si>
    <t>L01403</t>
  </si>
  <si>
    <t>T00702</t>
  </si>
  <si>
    <t>218.65</t>
  </si>
  <si>
    <t>L01404</t>
  </si>
  <si>
    <t>17-Feb-2026</t>
  </si>
  <si>
    <t>-88.20</t>
  </si>
  <si>
    <t>L01405</t>
  </si>
  <si>
    <t>T00703</t>
  </si>
  <si>
    <t>177.88</t>
  </si>
  <si>
    <t>L01406</t>
  </si>
  <si>
    <t>44.84</t>
  </si>
  <si>
    <t>L01407</t>
  </si>
  <si>
    <t>T00704</t>
  </si>
  <si>
    <t>135.63</t>
  </si>
  <si>
    <t>L01408</t>
  </si>
  <si>
    <t>227.90</t>
  </si>
  <si>
    <t>L01409</t>
  </si>
  <si>
    <t>T00705</t>
  </si>
  <si>
    <t>91.90</t>
  </si>
  <si>
    <t>L01410</t>
  </si>
  <si>
    <t>185.28</t>
  </si>
  <si>
    <t>L01411</t>
  </si>
  <si>
    <t>T00706</t>
  </si>
  <si>
    <t>46.69</t>
  </si>
  <si>
    <t>L01412</t>
  </si>
  <si>
    <t>141.18</t>
  </si>
  <si>
    <t>L01413</t>
  </si>
  <si>
    <t>T00707</t>
  </si>
  <si>
    <t>237.15</t>
  </si>
  <si>
    <t>L01414</t>
  </si>
  <si>
    <t>95.60</t>
  </si>
  <si>
    <t>L01415</t>
  </si>
  <si>
    <t>T00708</t>
  </si>
  <si>
    <t>192.68</t>
  </si>
  <si>
    <t>L01416</t>
  </si>
  <si>
    <t>48.54</t>
  </si>
  <si>
    <t>L01417</t>
  </si>
  <si>
    <t>T00709</t>
  </si>
  <si>
    <t>146.73</t>
  </si>
  <si>
    <t>L01418</t>
  </si>
  <si>
    <t>246.40</t>
  </si>
  <si>
    <t>L01419</t>
  </si>
  <si>
    <t>T00710</t>
  </si>
  <si>
    <t>99.30</t>
  </si>
  <si>
    <t>L01420</t>
  </si>
  <si>
    <t>200.08</t>
  </si>
  <si>
    <t>L01421</t>
  </si>
  <si>
    <t>T00711</t>
  </si>
  <si>
    <t>50.39</t>
  </si>
  <si>
    <t>L01422</t>
  </si>
  <si>
    <t>152.28</t>
  </si>
  <si>
    <t>L01423</t>
  </si>
  <si>
    <t>T00712</t>
  </si>
  <si>
    <t>255.65</t>
  </si>
  <si>
    <t>L01424</t>
  </si>
  <si>
    <t>103.00</t>
  </si>
  <si>
    <t>L01425</t>
  </si>
  <si>
    <t>T00713</t>
  </si>
  <si>
    <t>207.48</t>
  </si>
  <si>
    <t>L01426</t>
  </si>
  <si>
    <t>52.24</t>
  </si>
  <si>
    <t>L01427</t>
  </si>
  <si>
    <t>T00714</t>
  </si>
  <si>
    <t>-157.83</t>
  </si>
  <si>
    <t>L01428</t>
  </si>
  <si>
    <t>264.90</t>
  </si>
  <si>
    <t>L01429</t>
  </si>
  <si>
    <t>T00715</t>
  </si>
  <si>
    <t>106.70</t>
  </si>
  <si>
    <t>L01430</t>
  </si>
  <si>
    <t>214.88</t>
  </si>
  <si>
    <t>L01431</t>
  </si>
  <si>
    <t>T00716</t>
  </si>
  <si>
    <t>54.09</t>
  </si>
  <si>
    <t>L01432</t>
  </si>
  <si>
    <t>163.38</t>
  </si>
  <si>
    <t>L01433</t>
  </si>
  <si>
    <t>T00717</t>
  </si>
  <si>
    <t>274.15</t>
  </si>
  <si>
    <t>L01434</t>
  </si>
  <si>
    <t>110.40</t>
  </si>
  <si>
    <t>L01435</t>
  </si>
  <si>
    <t>T00718</t>
  </si>
  <si>
    <t>222.28</t>
  </si>
  <si>
    <t>L01436</t>
  </si>
  <si>
    <t>55.94</t>
  </si>
  <si>
    <t>L01437</t>
  </si>
  <si>
    <t>T00719</t>
  </si>
  <si>
    <t>168.93</t>
  </si>
  <si>
    <t>L01438</t>
  </si>
  <si>
    <t>283.40</t>
  </si>
  <si>
    <t>L01439</t>
  </si>
  <si>
    <t>T00720</t>
  </si>
  <si>
    <t>114.10</t>
  </si>
  <si>
    <t>L01440</t>
  </si>
  <si>
    <t>229.68</t>
  </si>
  <si>
    <t>L01441</t>
  </si>
  <si>
    <t>T00721</t>
  </si>
  <si>
    <t>57.79</t>
  </si>
  <si>
    <t>L01442</t>
  </si>
  <si>
    <t>174.48</t>
  </si>
  <si>
    <t>L01443</t>
  </si>
  <si>
    <t>T00722</t>
  </si>
  <si>
    <t>292.65</t>
  </si>
  <si>
    <t>L01444</t>
  </si>
  <si>
    <t>117.80</t>
  </si>
  <si>
    <t>L01445</t>
  </si>
  <si>
    <t>T00723</t>
  </si>
  <si>
    <t>237.08</t>
  </si>
  <si>
    <t>L01446</t>
  </si>
  <si>
    <t>59.64</t>
  </si>
  <si>
    <t>L01447</t>
  </si>
  <si>
    <t>T00724</t>
  </si>
  <si>
    <t>180.03</t>
  </si>
  <si>
    <t>L01448</t>
  </si>
  <si>
    <t>301.90</t>
  </si>
  <si>
    <t>L01449</t>
  </si>
  <si>
    <t>T00725</t>
  </si>
  <si>
    <t>121.50</t>
  </si>
  <si>
    <t>L01450</t>
  </si>
  <si>
    <t>-244.48</t>
  </si>
  <si>
    <t>L01451</t>
  </si>
  <si>
    <t>T00726</t>
  </si>
  <si>
    <t>61.49</t>
  </si>
  <si>
    <t>L01452</t>
  </si>
  <si>
    <t>185.58</t>
  </si>
  <si>
    <t>L01453</t>
  </si>
  <si>
    <t>T00727</t>
  </si>
  <si>
    <t>311.15</t>
  </si>
  <si>
    <t>L01454</t>
  </si>
  <si>
    <t>125.20</t>
  </si>
  <si>
    <t>L01455</t>
  </si>
  <si>
    <t>T00728</t>
  </si>
  <si>
    <t>251.88</t>
  </si>
  <si>
    <t>L01456</t>
  </si>
  <si>
    <t>63.34</t>
  </si>
  <si>
    <t>L01457</t>
  </si>
  <si>
    <t>T00729</t>
  </si>
  <si>
    <t>191.13</t>
  </si>
  <si>
    <t>L01458</t>
  </si>
  <si>
    <t>320.40</t>
  </si>
  <si>
    <t>L01459</t>
  </si>
  <si>
    <t>T00730</t>
  </si>
  <si>
    <t>128.90</t>
  </si>
  <si>
    <t>L01460</t>
  </si>
  <si>
    <t>259.28</t>
  </si>
  <si>
    <t>L01461</t>
  </si>
  <si>
    <t>T00731</t>
  </si>
  <si>
    <t>65.19</t>
  </si>
  <si>
    <t>L01462</t>
  </si>
  <si>
    <t>196.68</t>
  </si>
  <si>
    <t>L01463</t>
  </si>
  <si>
    <t>T00732</t>
  </si>
  <si>
    <t>329.65</t>
  </si>
  <si>
    <t>L01464</t>
  </si>
  <si>
    <t>132.60</t>
  </si>
  <si>
    <t>L01465</t>
  </si>
  <si>
    <t>T00733</t>
  </si>
  <si>
    <t>$266.68</t>
  </si>
  <si>
    <t>L01466</t>
  </si>
  <si>
    <t>67.04</t>
  </si>
  <si>
    <t>L01467</t>
  </si>
  <si>
    <t>T00734</t>
  </si>
  <si>
    <t>202.23</t>
  </si>
  <si>
    <t>L01468</t>
  </si>
  <si>
    <t>338.90</t>
  </si>
  <si>
    <t>L01469</t>
  </si>
  <si>
    <t>T00735</t>
  </si>
  <si>
    <t>136.30</t>
  </si>
  <si>
    <t>L01470</t>
  </si>
  <si>
    <t>274.08</t>
  </si>
  <si>
    <t>L01471</t>
  </si>
  <si>
    <t>T00736</t>
  </si>
  <si>
    <t>68.89</t>
  </si>
  <si>
    <t>L01472</t>
  </si>
  <si>
    <t>207.78</t>
  </si>
  <si>
    <t>L01473</t>
  </si>
  <si>
    <t>T00737</t>
  </si>
  <si>
    <t>-348.15</t>
  </si>
  <si>
    <t>L01474</t>
  </si>
  <si>
    <t>140.00</t>
  </si>
  <si>
    <t>L01475</t>
  </si>
  <si>
    <t>T00738</t>
  </si>
  <si>
    <t>281.48</t>
  </si>
  <si>
    <t>L01476</t>
  </si>
  <si>
    <t>70.74</t>
  </si>
  <si>
    <t>L01477</t>
  </si>
  <si>
    <t>T00739</t>
  </si>
  <si>
    <t>213.33</t>
  </si>
  <si>
    <t>L01478</t>
  </si>
  <si>
    <t>357.40</t>
  </si>
  <si>
    <t>L01479</t>
  </si>
  <si>
    <t>T00740</t>
  </si>
  <si>
    <t>143.70</t>
  </si>
  <si>
    <t>L01480</t>
  </si>
  <si>
    <t>288.88</t>
  </si>
  <si>
    <t>L01481</t>
  </si>
  <si>
    <t>T00741</t>
  </si>
  <si>
    <t>72.59</t>
  </si>
  <si>
    <t>L01482</t>
  </si>
  <si>
    <t>218.88</t>
  </si>
  <si>
    <t>L01483</t>
  </si>
  <si>
    <t>T00742</t>
  </si>
  <si>
    <t>366.65</t>
  </si>
  <si>
    <t>L01484</t>
  </si>
  <si>
    <t>147.40</t>
  </si>
  <si>
    <t>L01485</t>
  </si>
  <si>
    <t>T00743</t>
  </si>
  <si>
    <t>296.28</t>
  </si>
  <si>
    <t>L01486</t>
  </si>
  <si>
    <t>74.44</t>
  </si>
  <si>
    <t>L01487</t>
  </si>
  <si>
    <t>T00744</t>
  </si>
  <si>
    <t>224.43</t>
  </si>
  <si>
    <t>L01488</t>
  </si>
  <si>
    <t>375.90</t>
  </si>
  <si>
    <t>L01489</t>
  </si>
  <si>
    <t>T00745</t>
  </si>
  <si>
    <t>151.10</t>
  </si>
  <si>
    <t>L01490</t>
  </si>
  <si>
    <t>303.68</t>
  </si>
  <si>
    <t>L01491</t>
  </si>
  <si>
    <t>T00746</t>
  </si>
  <si>
    <t>76.29</t>
  </si>
  <si>
    <t>L01492</t>
  </si>
  <si>
    <t>229.98</t>
  </si>
  <si>
    <t>L01493</t>
  </si>
  <si>
    <t>T00747</t>
  </si>
  <si>
    <t>385.15</t>
  </si>
  <si>
    <t>L01494</t>
  </si>
  <si>
    <t>154.80</t>
  </si>
  <si>
    <t>L01495</t>
  </si>
  <si>
    <t>T00748</t>
  </si>
  <si>
    <t>311.08</t>
  </si>
  <si>
    <t>L01496</t>
  </si>
  <si>
    <t>-78.14</t>
  </si>
  <si>
    <t>L01497</t>
  </si>
  <si>
    <t>T00749</t>
  </si>
  <si>
    <t>235.53</t>
  </si>
  <si>
    <t>L01498</t>
  </si>
  <si>
    <t>394.40</t>
  </si>
  <si>
    <t>L01499</t>
  </si>
  <si>
    <t>T00750</t>
  </si>
  <si>
    <t>158.50</t>
  </si>
  <si>
    <t>L01500</t>
  </si>
  <si>
    <t>318.48</t>
  </si>
  <si>
    <t>L01501</t>
  </si>
  <si>
    <t>T00751</t>
  </si>
  <si>
    <t>79.99</t>
  </si>
  <si>
    <t>L01502</t>
  </si>
  <si>
    <t>241.08</t>
  </si>
  <si>
    <t>L01503</t>
  </si>
  <si>
    <t>T00752</t>
  </si>
  <si>
    <t>403.65</t>
  </si>
  <si>
    <t>L01504</t>
  </si>
  <si>
    <t>162.20</t>
  </si>
  <si>
    <t>L01505</t>
  </si>
  <si>
    <t>T00753</t>
  </si>
  <si>
    <t>325.88</t>
  </si>
  <si>
    <t>L01506</t>
  </si>
  <si>
    <t>81.84</t>
  </si>
  <si>
    <t>L01507</t>
  </si>
  <si>
    <t>T00754</t>
  </si>
  <si>
    <t>246.63</t>
  </si>
  <si>
    <t>L01508</t>
  </si>
  <si>
    <t>412.90</t>
  </si>
  <si>
    <t>L01509</t>
  </si>
  <si>
    <t>T00755</t>
  </si>
  <si>
    <t>165.90</t>
  </si>
  <si>
    <t>L01510</t>
  </si>
  <si>
    <t>333.28</t>
  </si>
  <si>
    <t>L01511</t>
  </si>
  <si>
    <t>T00756</t>
  </si>
  <si>
    <t>83.69</t>
  </si>
  <si>
    <t>L01512</t>
  </si>
  <si>
    <t>252.18</t>
  </si>
  <si>
    <t>L01513</t>
  </si>
  <si>
    <t>T00757</t>
  </si>
  <si>
    <t>422.15</t>
  </si>
  <si>
    <t>L01514</t>
  </si>
  <si>
    <t>169.60</t>
  </si>
  <si>
    <t>L01515</t>
  </si>
  <si>
    <t>T00758</t>
  </si>
  <si>
    <t>340.68</t>
  </si>
  <si>
    <t>L01516</t>
  </si>
  <si>
    <t>85.54</t>
  </si>
  <si>
    <t>L01517</t>
  </si>
  <si>
    <t>T00759</t>
  </si>
  <si>
    <t>257.73</t>
  </si>
  <si>
    <t>L01518</t>
  </si>
  <si>
    <t>431.40</t>
  </si>
  <si>
    <t>L01519</t>
  </si>
  <si>
    <t>T00760</t>
  </si>
  <si>
    <t>-173.30</t>
  </si>
  <si>
    <t>L01520</t>
  </si>
  <si>
    <t>348.08</t>
  </si>
  <si>
    <t>L01521</t>
  </si>
  <si>
    <t>T00761</t>
  </si>
  <si>
    <t>87.39</t>
  </si>
  <si>
    <t>L01522</t>
  </si>
  <si>
    <t>263.28</t>
  </si>
  <si>
    <t>L01523</t>
  </si>
  <si>
    <t>T00762</t>
  </si>
  <si>
    <t>440.65</t>
  </si>
  <si>
    <t>L01524</t>
  </si>
  <si>
    <t>177.00</t>
  </si>
  <si>
    <t>L01525</t>
  </si>
  <si>
    <t>T00763</t>
  </si>
  <si>
    <t>355.48</t>
  </si>
  <si>
    <t>L01526</t>
  </si>
  <si>
    <t>89.24</t>
  </si>
  <si>
    <t>L01527</t>
  </si>
  <si>
    <t>T00764</t>
  </si>
  <si>
    <t>268.83</t>
  </si>
  <si>
    <t>L01528</t>
  </si>
  <si>
    <t>449.90</t>
  </si>
  <si>
    <t>L01529</t>
  </si>
  <si>
    <t>T00765</t>
  </si>
  <si>
    <t>180.70</t>
  </si>
  <si>
    <t>L01530</t>
  </si>
  <si>
    <t>362.88</t>
  </si>
  <si>
    <t>L01531</t>
  </si>
  <si>
    <t>T00766</t>
  </si>
  <si>
    <t>91.09</t>
  </si>
  <si>
    <t>L01532</t>
  </si>
  <si>
    <t>274.38</t>
  </si>
  <si>
    <t>L01533</t>
  </si>
  <si>
    <t>T00767</t>
  </si>
  <si>
    <t>459.15</t>
  </si>
  <si>
    <t>L01534</t>
  </si>
  <si>
    <t>184.40</t>
  </si>
  <si>
    <t>L01535</t>
  </si>
  <si>
    <t>T00768</t>
  </si>
  <si>
    <t>370.28</t>
  </si>
  <si>
    <t>L01536</t>
  </si>
  <si>
    <t>92.94</t>
  </si>
  <si>
    <t>L01537</t>
  </si>
  <si>
    <t>T00769</t>
  </si>
  <si>
    <t>279.93</t>
  </si>
  <si>
    <t>L01538</t>
  </si>
  <si>
    <t>468.40</t>
  </si>
  <si>
    <t>L01539</t>
  </si>
  <si>
    <t>T00770</t>
  </si>
  <si>
    <t>188.10</t>
  </si>
  <si>
    <t>L01540</t>
  </si>
  <si>
    <t>377.68</t>
  </si>
  <si>
    <t>L01541</t>
  </si>
  <si>
    <t>T00771</t>
  </si>
  <si>
    <t>22-Mar-2026</t>
  </si>
  <si>
    <t>94.79</t>
  </si>
  <si>
    <t>L01542</t>
  </si>
  <si>
    <t>-285.48</t>
  </si>
  <si>
    <t>L01543</t>
  </si>
  <si>
    <t>T00772</t>
  </si>
  <si>
    <t>477.65</t>
  </si>
  <si>
    <t>L01544</t>
  </si>
  <si>
    <t>191.80</t>
  </si>
  <si>
    <t>L01545</t>
  </si>
  <si>
    <t>T00773</t>
  </si>
  <si>
    <t>385.08</t>
  </si>
  <si>
    <t>L01546</t>
  </si>
  <si>
    <t>96.64</t>
  </si>
  <si>
    <t>L01547</t>
  </si>
  <si>
    <t>T00774</t>
  </si>
  <si>
    <t>291.03</t>
  </si>
  <si>
    <t>L01548</t>
  </si>
  <si>
    <t>486.90</t>
  </si>
  <si>
    <t>L01549</t>
  </si>
  <si>
    <t>T00775</t>
  </si>
  <si>
    <t>195.50</t>
  </si>
  <si>
    <t>L01550</t>
  </si>
  <si>
    <t>392.48</t>
  </si>
  <si>
    <t>L01551</t>
  </si>
  <si>
    <t>T00776</t>
  </si>
  <si>
    <t>98.49</t>
  </si>
  <si>
    <t>L01552</t>
  </si>
  <si>
    <t>296.58</t>
  </si>
  <si>
    <t>L01553</t>
  </si>
  <si>
    <t>T00777</t>
  </si>
  <si>
    <t>496.15</t>
  </si>
  <si>
    <t>L01554</t>
  </si>
  <si>
    <t>199.20</t>
  </si>
  <si>
    <t>L01555</t>
  </si>
  <si>
    <t>T00778</t>
  </si>
  <si>
    <t>399.88</t>
  </si>
  <si>
    <t>L01556</t>
  </si>
  <si>
    <t>100.34</t>
  </si>
  <si>
    <t>L01557</t>
  </si>
  <si>
    <t>T00779</t>
  </si>
  <si>
    <t>302.13</t>
  </si>
  <si>
    <t>L01558</t>
  </si>
  <si>
    <t>505.40</t>
  </si>
  <si>
    <t>L01559</t>
  </si>
  <si>
    <t>T00780</t>
  </si>
  <si>
    <t>202.90</t>
  </si>
  <si>
    <t>L01560</t>
  </si>
  <si>
    <t>407.28</t>
  </si>
  <si>
    <t>L01561</t>
  </si>
  <si>
    <t>T00781</t>
  </si>
  <si>
    <t>102.19</t>
  </si>
  <si>
    <t>L01562</t>
  </si>
  <si>
    <t>307.68</t>
  </si>
  <si>
    <t>L01563</t>
  </si>
  <si>
    <t>T00782</t>
  </si>
  <si>
    <t>514.65</t>
  </si>
  <si>
    <t>L01564</t>
  </si>
  <si>
    <t>206.60</t>
  </si>
  <si>
    <t>L01565</t>
  </si>
  <si>
    <t>T00783</t>
  </si>
  <si>
    <t>-414.68</t>
  </si>
  <si>
    <t>L01566</t>
  </si>
  <si>
    <t>104.04</t>
  </si>
  <si>
    <t>L01567</t>
  </si>
  <si>
    <t>T00784</t>
  </si>
  <si>
    <t>313.23</t>
  </si>
  <si>
    <t>L01568</t>
  </si>
  <si>
    <t>$523.90</t>
  </si>
  <si>
    <t>L01569</t>
  </si>
  <si>
    <t>T00785</t>
  </si>
  <si>
    <t>210.30</t>
  </si>
  <si>
    <t>L01570</t>
  </si>
  <si>
    <t>422.08</t>
  </si>
  <si>
    <t>L01571</t>
  </si>
  <si>
    <t>T00786</t>
  </si>
  <si>
    <t>105.89</t>
  </si>
  <si>
    <t>L01572</t>
  </si>
  <si>
    <t>318.78</t>
  </si>
  <si>
    <t>L01573</t>
  </si>
  <si>
    <t>T00787</t>
  </si>
  <si>
    <t>533.15</t>
  </si>
  <si>
    <t>L01574</t>
  </si>
  <si>
    <t>214.00</t>
  </si>
  <si>
    <t>L01575</t>
  </si>
  <si>
    <t>T00788</t>
  </si>
  <si>
    <t>429.48</t>
  </si>
  <si>
    <t>L01576</t>
  </si>
  <si>
    <t>107.74</t>
  </si>
  <si>
    <t>L01577</t>
  </si>
  <si>
    <t>T00789</t>
  </si>
  <si>
    <t>324.33</t>
  </si>
  <si>
    <t>L01578</t>
  </si>
  <si>
    <t>542.40</t>
  </si>
  <si>
    <t>L01579</t>
  </si>
  <si>
    <t>T00790</t>
  </si>
  <si>
    <t>217.70</t>
  </si>
  <si>
    <t>L01580</t>
  </si>
  <si>
    <t>436.88</t>
  </si>
  <si>
    <t>L01581</t>
  </si>
  <si>
    <t>T00791</t>
  </si>
  <si>
    <t>109.59</t>
  </si>
  <si>
    <t>L01582</t>
  </si>
  <si>
    <t>329.88</t>
  </si>
  <si>
    <t>L01583</t>
  </si>
  <si>
    <t>T00792</t>
  </si>
  <si>
    <t>551.65</t>
  </si>
  <si>
    <t>L01584</t>
  </si>
  <si>
    <t>221.40</t>
  </si>
  <si>
    <t>L01585</t>
  </si>
  <si>
    <t>T00793</t>
  </si>
  <si>
    <t>444.28</t>
  </si>
  <si>
    <t>L01586</t>
  </si>
  <si>
    <t>111.44</t>
  </si>
  <si>
    <t>L01587</t>
  </si>
  <si>
    <t>T00794</t>
  </si>
  <si>
    <t>335.43</t>
  </si>
  <si>
    <t>L01588</t>
  </si>
  <si>
    <t>-560.90</t>
  </si>
  <si>
    <t>L01589</t>
  </si>
  <si>
    <t>T00795</t>
  </si>
  <si>
    <t>225.10</t>
  </si>
  <si>
    <t>L01590</t>
  </si>
  <si>
    <t>451.68</t>
  </si>
  <si>
    <t>L01591</t>
  </si>
  <si>
    <t>T00796</t>
  </si>
  <si>
    <t>113.29</t>
  </si>
  <si>
    <t>L01592</t>
  </si>
  <si>
    <t>340.98</t>
  </si>
  <si>
    <t>L01593</t>
  </si>
  <si>
    <t>T00797</t>
  </si>
  <si>
    <t>570.15</t>
  </si>
  <si>
    <t>L01594</t>
  </si>
  <si>
    <t>228.80</t>
  </si>
  <si>
    <t>L01595</t>
  </si>
  <si>
    <t>T00798</t>
  </si>
  <si>
    <t>459.08</t>
  </si>
  <si>
    <t>L01596</t>
  </si>
  <si>
    <t>115.14</t>
  </si>
  <si>
    <t>L01597</t>
  </si>
  <si>
    <t>T00799</t>
  </si>
  <si>
    <t>346.53</t>
  </si>
  <si>
    <t>L01598</t>
  </si>
  <si>
    <t>579.40</t>
  </si>
  <si>
    <t>L01599</t>
  </si>
  <si>
    <t>T00800</t>
  </si>
  <si>
    <t>232.50</t>
  </si>
  <si>
    <t>L01600</t>
  </si>
  <si>
    <t>466.48</t>
  </si>
  <si>
    <t>L01601</t>
  </si>
  <si>
    <t>T00801</t>
  </si>
  <si>
    <t>116.99</t>
  </si>
  <si>
    <t>L01602</t>
  </si>
  <si>
    <t>352.08</t>
  </si>
  <si>
    <t>L01603</t>
  </si>
  <si>
    <t>T00802</t>
  </si>
  <si>
    <t>588.65</t>
  </si>
  <si>
    <t>L01604</t>
  </si>
  <si>
    <t>236.20</t>
  </si>
  <si>
    <t>L01605</t>
  </si>
  <si>
    <t>T00803</t>
  </si>
  <si>
    <t>473.88</t>
  </si>
  <si>
    <t>L01606</t>
  </si>
  <si>
    <t>118.84</t>
  </si>
  <si>
    <t>L01607</t>
  </si>
  <si>
    <t>T00804</t>
  </si>
  <si>
    <t>357.63</t>
  </si>
  <si>
    <t>L01608</t>
  </si>
  <si>
    <t>597.90</t>
  </si>
  <si>
    <t>L01609</t>
  </si>
  <si>
    <t>T00805</t>
  </si>
  <si>
    <t>239.90</t>
  </si>
  <si>
    <t>L01610</t>
  </si>
  <si>
    <t>481.28</t>
  </si>
  <si>
    <t>L01611</t>
  </si>
  <si>
    <t>T00806</t>
  </si>
  <si>
    <t>-120.69</t>
  </si>
  <si>
    <t>L01612</t>
  </si>
  <si>
    <t>363.18</t>
  </si>
  <si>
    <t>L01613</t>
  </si>
  <si>
    <t>T00807</t>
  </si>
  <si>
    <t>607.15</t>
  </si>
  <si>
    <t>L01614</t>
  </si>
  <si>
    <t>243.60</t>
  </si>
  <si>
    <t>L01615</t>
  </si>
  <si>
    <t>T00808</t>
  </si>
  <si>
    <t>488.68</t>
  </si>
  <si>
    <t>L01616</t>
  </si>
  <si>
    <t>122.54</t>
  </si>
  <si>
    <t>L01617</t>
  </si>
  <si>
    <t>T00809</t>
  </si>
  <si>
    <t>368.73</t>
  </si>
  <si>
    <t>L01618</t>
  </si>
  <si>
    <t>616.40</t>
  </si>
  <si>
    <t>L01619</t>
  </si>
  <si>
    <t>T00810</t>
  </si>
  <si>
    <t>247.30</t>
  </si>
  <si>
    <t>L01620</t>
  </si>
  <si>
    <t>496.08</t>
  </si>
  <si>
    <t>L01621</t>
  </si>
  <si>
    <t>T00811</t>
  </si>
  <si>
    <t>124.39</t>
  </si>
  <si>
    <t>L01622</t>
  </si>
  <si>
    <t>374.28</t>
  </si>
  <si>
    <t>L01623</t>
  </si>
  <si>
    <t>T00812</t>
  </si>
  <si>
    <t>25.65</t>
  </si>
  <si>
    <t>L01624</t>
  </si>
  <si>
    <t>11.00</t>
  </si>
  <si>
    <t>L01625</t>
  </si>
  <si>
    <t>T00813</t>
  </si>
  <si>
    <t>23.48</t>
  </si>
  <si>
    <t>L01626</t>
  </si>
  <si>
    <t>6.24</t>
  </si>
  <si>
    <t>L01627</t>
  </si>
  <si>
    <t>T00814</t>
  </si>
  <si>
    <t>19.83</t>
  </si>
  <si>
    <t>L01628</t>
  </si>
  <si>
    <t>L01629</t>
  </si>
  <si>
    <t>T00815</t>
  </si>
  <si>
    <t>14.70</t>
  </si>
  <si>
    <t>L01630</t>
  </si>
  <si>
    <t>30.88</t>
  </si>
  <si>
    <t>L01631</t>
  </si>
  <si>
    <t>T00816</t>
  </si>
  <si>
    <t>8.09</t>
  </si>
  <si>
    <t>L01632</t>
  </si>
  <si>
    <t>25.38</t>
  </si>
  <si>
    <t>L01633</t>
  </si>
  <si>
    <t>T00817</t>
  </si>
  <si>
    <t>44.15</t>
  </si>
  <si>
    <t>L01634</t>
  </si>
  <si>
    <t>-18.40</t>
  </si>
  <si>
    <t>L01635</t>
  </si>
  <si>
    <t>T00818</t>
  </si>
  <si>
    <t>L01636</t>
  </si>
  <si>
    <t>9.94</t>
  </si>
  <si>
    <t>L01637</t>
  </si>
  <si>
    <t>T00819</t>
  </si>
  <si>
    <t>30.93</t>
  </si>
  <si>
    <t>L01638</t>
  </si>
  <si>
    <t>L01639</t>
  </si>
  <si>
    <t>T00820</t>
  </si>
  <si>
    <t>22.10</t>
  </si>
  <si>
    <t>L01640</t>
  </si>
  <si>
    <t>45.68</t>
  </si>
  <si>
    <t>L01641</t>
  </si>
  <si>
    <t>T00821</t>
  </si>
  <si>
    <t>11.79</t>
  </si>
  <si>
    <t>L01642</t>
  </si>
  <si>
    <t>36.48</t>
  </si>
  <si>
    <t>L01643</t>
  </si>
  <si>
    <t>T00822</t>
  </si>
  <si>
    <t>62.65</t>
  </si>
  <si>
    <t>L01644</t>
  </si>
  <si>
    <t>25.80</t>
  </si>
  <si>
    <t>L01645</t>
  </si>
  <si>
    <t>T00823</t>
  </si>
  <si>
    <t>53.08</t>
  </si>
  <si>
    <t>L01646</t>
  </si>
  <si>
    <t>13.64</t>
  </si>
  <si>
    <t>L01647</t>
  </si>
  <si>
    <t>T00824</t>
  </si>
  <si>
    <t>42.03</t>
  </si>
  <si>
    <t>L01648</t>
  </si>
  <si>
    <t>L01649</t>
  </si>
  <si>
    <t>T00825</t>
  </si>
  <si>
    <t>29.50</t>
  </si>
  <si>
    <t>L01650</t>
  </si>
  <si>
    <t>L01651</t>
  </si>
  <si>
    <t>T00826</t>
  </si>
  <si>
    <t>15.49</t>
  </si>
  <si>
    <t>L01652</t>
  </si>
  <si>
    <t>47.58</t>
  </si>
  <si>
    <t>L01653</t>
  </si>
  <si>
    <t>T00827</t>
  </si>
  <si>
    <t>81.15</t>
  </si>
  <si>
    <t>L01654</t>
  </si>
  <si>
    <t>33.20</t>
  </si>
  <si>
    <t>L01655</t>
  </si>
  <si>
    <t>T00828</t>
  </si>
  <si>
    <t>67.88</t>
  </si>
  <si>
    <t>L01656</t>
  </si>
  <si>
    <t>17.34</t>
  </si>
  <si>
    <t>L01657</t>
  </si>
  <si>
    <t>T00829</t>
  </si>
  <si>
    <t>-53.13</t>
  </si>
  <si>
    <t>L01658</t>
  </si>
  <si>
    <t>L01659</t>
  </si>
  <si>
    <t>T00830</t>
  </si>
  <si>
    <t>36.90</t>
  </si>
  <si>
    <t>L01660</t>
  </si>
  <si>
    <t>75.28</t>
  </si>
  <si>
    <t>L01661</t>
  </si>
  <si>
    <t>T00831</t>
  </si>
  <si>
    <t>19.19</t>
  </si>
  <si>
    <t>L01662</t>
  </si>
  <si>
    <t>58.68</t>
  </si>
  <si>
    <t>L01663</t>
  </si>
  <si>
    <t>T00832</t>
  </si>
  <si>
    <t>99.65</t>
  </si>
  <si>
    <t>L01664</t>
  </si>
  <si>
    <t>40.60</t>
  </si>
  <si>
    <t>L01665</t>
  </si>
  <si>
    <t>T00833</t>
  </si>
  <si>
    <t>L01666</t>
  </si>
  <si>
    <t>21.04</t>
  </si>
  <si>
    <t>L01667</t>
  </si>
  <si>
    <t>T00834</t>
  </si>
  <si>
    <t>64.23</t>
  </si>
  <si>
    <t>L01668</t>
  </si>
  <si>
    <t>L01669</t>
  </si>
  <si>
    <t>T00835</t>
  </si>
  <si>
    <t>44.30</t>
  </si>
  <si>
    <t>L01670</t>
  </si>
  <si>
    <t>90.08</t>
  </si>
  <si>
    <t>L01671</t>
  </si>
  <si>
    <t>T00836</t>
  </si>
  <si>
    <t>$22.89</t>
  </si>
  <si>
    <t>L01672</t>
  </si>
  <si>
    <t>69.78</t>
  </si>
  <si>
    <t>L01673</t>
  </si>
  <si>
    <t>T00837</t>
  </si>
  <si>
    <t>118.15</t>
  </si>
  <si>
    <t>L01674</t>
  </si>
  <si>
    <t>48.00</t>
  </si>
  <si>
    <t>L01675</t>
  </si>
  <si>
    <t>T00838</t>
  </si>
  <si>
    <t>97.48</t>
  </si>
  <si>
    <t>L01676</t>
  </si>
  <si>
    <t>24.74</t>
  </si>
  <si>
    <t>L01677</t>
  </si>
  <si>
    <t>T00839</t>
  </si>
  <si>
    <t>75.33</t>
  </si>
  <si>
    <t>L01678</t>
  </si>
  <si>
    <t>127.40</t>
  </si>
  <si>
    <t>L01679</t>
  </si>
  <si>
    <t>T00840</t>
  </si>
  <si>
    <t>51.70</t>
  </si>
  <si>
    <t>L01680</t>
  </si>
  <si>
    <t>-104.88</t>
  </si>
  <si>
    <t>L01681</t>
  </si>
  <si>
    <t>T00841</t>
  </si>
  <si>
    <t>26.59</t>
  </si>
  <si>
    <t>L01682</t>
  </si>
  <si>
    <t>80.88</t>
  </si>
  <si>
    <t>L01683</t>
  </si>
  <si>
    <t>T00842</t>
  </si>
  <si>
    <t>136.65</t>
  </si>
  <si>
    <t>L01684</t>
  </si>
  <si>
    <t>55.40</t>
  </si>
  <si>
    <t>L01685</t>
  </si>
  <si>
    <t>T00843</t>
  </si>
  <si>
    <t>112.28</t>
  </si>
  <si>
    <t>L01686</t>
  </si>
  <si>
    <t>28.44</t>
  </si>
  <si>
    <t>L01687</t>
  </si>
  <si>
    <t>T00844</t>
  </si>
  <si>
    <t>86.43</t>
  </si>
  <si>
    <t>L01688</t>
  </si>
  <si>
    <t>L01689</t>
  </si>
  <si>
    <t>T00845</t>
  </si>
  <si>
    <t>59.10</t>
  </si>
  <si>
    <t>L01690</t>
  </si>
  <si>
    <t>119.68</t>
  </si>
  <si>
    <t>L01691</t>
  </si>
  <si>
    <t>T00846</t>
  </si>
  <si>
    <t>30.29</t>
  </si>
  <si>
    <t>L01692</t>
  </si>
  <si>
    <t>91.98</t>
  </si>
  <si>
    <t>L01693</t>
  </si>
  <si>
    <t>T00847</t>
  </si>
  <si>
    <t>155.15</t>
  </si>
  <si>
    <t>L01694</t>
  </si>
  <si>
    <t>62.80</t>
  </si>
  <si>
    <t>L01695</t>
  </si>
  <si>
    <t>T00848</t>
  </si>
  <si>
    <t>L01696</t>
  </si>
  <si>
    <t>32.14</t>
  </si>
  <si>
    <t>L01697</t>
  </si>
  <si>
    <t>T00849</t>
  </si>
  <si>
    <t>97.53</t>
  </si>
  <si>
    <t>L01698</t>
  </si>
  <si>
    <t>L01699</t>
  </si>
  <si>
    <t>T00850</t>
  </si>
  <si>
    <t>66.50</t>
  </si>
  <si>
    <t>L01700</t>
  </si>
  <si>
    <t>134.48</t>
  </si>
  <si>
    <t>L01701</t>
  </si>
  <si>
    <t>T00851</t>
  </si>
  <si>
    <t>33.99</t>
  </si>
  <si>
    <t>L01702</t>
  </si>
  <si>
    <t>103.08</t>
  </si>
  <si>
    <t>L01703</t>
  </si>
  <si>
    <t>T00852</t>
  </si>
  <si>
    <t>-173.65</t>
  </si>
  <si>
    <t>L01704</t>
  </si>
  <si>
    <t>70.20</t>
  </si>
  <si>
    <t>L01705</t>
  </si>
  <si>
    <t>T00853</t>
  </si>
  <si>
    <t>141.88</t>
  </si>
  <si>
    <t>L01706</t>
  </si>
  <si>
    <t>35.84</t>
  </si>
  <si>
    <t>L01707</t>
  </si>
  <si>
    <t>T00854</t>
  </si>
  <si>
    <t>108.63</t>
  </si>
  <si>
    <t>L01708</t>
  </si>
  <si>
    <t>L01709</t>
  </si>
  <si>
    <t>T00855</t>
  </si>
  <si>
    <t>73.90</t>
  </si>
  <si>
    <t>L01710</t>
  </si>
  <si>
    <t>L01711</t>
  </si>
  <si>
    <t>T00856</t>
  </si>
  <si>
    <t>37.69</t>
  </si>
  <si>
    <t>L01712</t>
  </si>
  <si>
    <t>114.18</t>
  </si>
  <si>
    <t>L01713</t>
  </si>
  <si>
    <t>T00857</t>
  </si>
  <si>
    <t>192.15</t>
  </si>
  <si>
    <t>L01714</t>
  </si>
  <si>
    <t>77.60</t>
  </si>
  <si>
    <t>L01715</t>
  </si>
  <si>
    <t>T00858</t>
  </si>
  <si>
    <t>156.68</t>
  </si>
  <si>
    <t>L01716</t>
  </si>
  <si>
    <t>39.54</t>
  </si>
  <si>
    <t>L01717</t>
  </si>
  <si>
    <t>T00859</t>
  </si>
  <si>
    <t>119.73</t>
  </si>
  <si>
    <t>L01718</t>
  </si>
  <si>
    <t>L01719</t>
  </si>
  <si>
    <t>T00860</t>
  </si>
  <si>
    <t>81.30</t>
  </si>
  <si>
    <t>L01720</t>
  </si>
  <si>
    <t>164.08</t>
  </si>
  <si>
    <t>L01721</t>
  </si>
  <si>
    <t>T00861</t>
  </si>
  <si>
    <t>41.39</t>
  </si>
  <si>
    <t>L01722</t>
  </si>
  <si>
    <t>125.28</t>
  </si>
  <si>
    <t>L01723</t>
  </si>
  <si>
    <t>T00862</t>
  </si>
  <si>
    <t>210.65</t>
  </si>
  <si>
    <t>L01724</t>
  </si>
  <si>
    <t>85.00</t>
  </si>
  <si>
    <t>L01725</t>
  </si>
  <si>
    <t>T00863</t>
  </si>
  <si>
    <t>L01726</t>
  </si>
  <si>
    <t>-43.24</t>
  </si>
  <si>
    <t>L01727</t>
  </si>
  <si>
    <t>T00864</t>
  </si>
  <si>
    <t>130.83</t>
  </si>
  <si>
    <t>L01728</t>
  </si>
  <si>
    <t>L01729</t>
  </si>
  <si>
    <t>T00865</t>
  </si>
  <si>
    <t>88.70</t>
  </si>
  <si>
    <t>L01730</t>
  </si>
  <si>
    <t>178.88</t>
  </si>
  <si>
    <t>L01731</t>
  </si>
  <si>
    <t>T00866</t>
  </si>
  <si>
    <t>45.09</t>
  </si>
  <si>
    <t>L01732</t>
  </si>
  <si>
    <t>136.38</t>
  </si>
  <si>
    <t>L01733</t>
  </si>
  <si>
    <t>T00867</t>
  </si>
  <si>
    <t>229.15</t>
  </si>
  <si>
    <t>L01734</t>
  </si>
  <si>
    <t>92.40</t>
  </si>
  <si>
    <t>L01735</t>
  </si>
  <si>
    <t>T00868</t>
  </si>
  <si>
    <t>186.28</t>
  </si>
  <si>
    <t>L01736</t>
  </si>
  <si>
    <t>46.94</t>
  </si>
  <si>
    <t>L01737</t>
  </si>
  <si>
    <t>T00869</t>
  </si>
  <si>
    <t>141.93</t>
  </si>
  <si>
    <t>L01738</t>
  </si>
  <si>
    <t>L01739</t>
  </si>
  <si>
    <t>T00870</t>
  </si>
  <si>
    <t>96.10</t>
  </si>
  <si>
    <t>L01740</t>
  </si>
  <si>
    <t>193.68</t>
  </si>
  <si>
    <t>L01741</t>
  </si>
  <si>
    <t>T00871</t>
  </si>
  <si>
    <t>48.79</t>
  </si>
  <si>
    <t>L01742</t>
  </si>
  <si>
    <t>147.48</t>
  </si>
  <si>
    <t>L01743</t>
  </si>
  <si>
    <t>T00872</t>
  </si>
  <si>
    <t>247.65</t>
  </si>
  <si>
    <t>L01744</t>
  </si>
  <si>
    <t>99.80</t>
  </si>
  <si>
    <t>L01745</t>
  </si>
  <si>
    <t>T00873</t>
  </si>
  <si>
    <t>201.08</t>
  </si>
  <si>
    <t>L01746</t>
  </si>
  <si>
    <t>50.64</t>
  </si>
  <si>
    <t>L01747</t>
  </si>
  <si>
    <t>T00874</t>
  </si>
  <si>
    <t>153.03</t>
  </si>
  <si>
    <t>L01748</t>
  </si>
  <si>
    <t>256.90</t>
  </si>
  <si>
    <t>L01749</t>
  </si>
  <si>
    <t>T00875</t>
  </si>
  <si>
    <t>-103.50</t>
  </si>
  <si>
    <t>L01750</t>
  </si>
  <si>
    <t>208.48</t>
  </si>
  <si>
    <t>L01751</t>
  </si>
  <si>
    <t>T00876</t>
  </si>
  <si>
    <t>52.49</t>
  </si>
  <si>
    <t>L01752</t>
  </si>
  <si>
    <t>158.58</t>
  </si>
  <si>
    <t>L01753</t>
  </si>
  <si>
    <t>T00877</t>
  </si>
  <si>
    <t>266.15</t>
  </si>
  <si>
    <t>L01754</t>
  </si>
  <si>
    <t>107.20</t>
  </si>
  <si>
    <t>L01755</t>
  </si>
  <si>
    <t>T00878</t>
  </si>
  <si>
    <t>L01756</t>
  </si>
  <si>
    <t>54.34</t>
  </si>
  <si>
    <t>L01757</t>
  </si>
  <si>
    <t>T00879</t>
  </si>
  <si>
    <t>164.13</t>
  </si>
  <si>
    <t>L01758</t>
  </si>
  <si>
    <t>275.40</t>
  </si>
  <si>
    <t>L01759</t>
  </si>
  <si>
    <t>T00880</t>
  </si>
  <si>
    <t>110.90</t>
  </si>
  <si>
    <t>L01760</t>
  </si>
  <si>
    <t>223.28</t>
  </si>
  <si>
    <t>L01761</t>
  </si>
  <si>
    <t>T00881</t>
  </si>
  <si>
    <t>56.19</t>
  </si>
  <si>
    <t>L01762</t>
  </si>
  <si>
    <t>169.68</t>
  </si>
  <si>
    <t>L01763</t>
  </si>
  <si>
    <t>T00882</t>
  </si>
  <si>
    <t>284.65</t>
  </si>
  <si>
    <t>L01764</t>
  </si>
  <si>
    <t>114.60</t>
  </si>
  <si>
    <t>L01765</t>
  </si>
  <si>
    <t>T00883</t>
  </si>
  <si>
    <t>230.68</t>
  </si>
  <si>
    <t>L01766</t>
  </si>
  <si>
    <t>58.04</t>
  </si>
  <si>
    <t>L01767</t>
  </si>
  <si>
    <t>T00884</t>
  </si>
  <si>
    <t>175.23</t>
  </si>
  <si>
    <t>L01768</t>
  </si>
  <si>
    <t>293.90</t>
  </si>
  <si>
    <t>L01769</t>
  </si>
  <si>
    <t>T00885</t>
  </si>
  <si>
    <t>118.30</t>
  </si>
  <si>
    <t>L01770</t>
  </si>
  <si>
    <t>L01771</t>
  </si>
  <si>
    <t>T00886</t>
  </si>
  <si>
    <t>59.89</t>
  </si>
  <si>
    <t>L01772</t>
  </si>
  <si>
    <t>-180.78</t>
  </si>
  <si>
    <t>L01773</t>
  </si>
  <si>
    <t>T00887</t>
  </si>
  <si>
    <t>303.15</t>
  </si>
  <si>
    <t>L01774</t>
  </si>
  <si>
    <t>$122.00</t>
  </si>
  <si>
    <t>L01775</t>
  </si>
  <si>
    <t>T00888</t>
  </si>
  <si>
    <t>245.48</t>
  </si>
  <si>
    <t>L01776</t>
  </si>
  <si>
    <t>61.74</t>
  </si>
  <si>
    <t>L01777</t>
  </si>
  <si>
    <t>T00889</t>
  </si>
  <si>
    <t>186.33</t>
  </si>
  <si>
    <t>L01778</t>
  </si>
  <si>
    <t>312.40</t>
  </si>
  <si>
    <t>L01779</t>
  </si>
  <si>
    <t>T00890</t>
  </si>
  <si>
    <t>125.70</t>
  </si>
  <si>
    <t>L01780</t>
  </si>
  <si>
    <t>252.88</t>
  </si>
  <si>
    <t>L01781</t>
  </si>
  <si>
    <t>T00891</t>
  </si>
  <si>
    <t>63.59</t>
  </si>
  <si>
    <t>L01782</t>
  </si>
  <si>
    <t>191.88</t>
  </si>
  <si>
    <t>L01783</t>
  </si>
  <si>
    <t>T00892</t>
  </si>
  <si>
    <t>321.65</t>
  </si>
  <si>
    <t>L01784</t>
  </si>
  <si>
    <t>129.40</t>
  </si>
  <si>
    <t>L01785</t>
  </si>
  <si>
    <t>T00893</t>
  </si>
  <si>
    <t>L01786</t>
  </si>
  <si>
    <t>65.44</t>
  </si>
  <si>
    <t>L01787</t>
  </si>
  <si>
    <t>T00894</t>
  </si>
  <si>
    <t>197.43</t>
  </si>
  <si>
    <t>L01788</t>
  </si>
  <si>
    <t>330.90</t>
  </si>
  <si>
    <t>L01789</t>
  </si>
  <si>
    <t>T00895</t>
  </si>
  <si>
    <t>133.10</t>
  </si>
  <si>
    <t>L01790</t>
  </si>
  <si>
    <t>267.68</t>
  </si>
  <si>
    <t>L01791</t>
  </si>
  <si>
    <t>T00896</t>
  </si>
  <si>
    <t>67.29</t>
  </si>
  <si>
    <t>L01792</t>
  </si>
  <si>
    <t>202.98</t>
  </si>
  <si>
    <t>L01793</t>
  </si>
  <si>
    <t>T00897</t>
  </si>
  <si>
    <t>340.15</t>
  </si>
  <si>
    <t>L01794</t>
  </si>
  <si>
    <t>136.80</t>
  </si>
  <si>
    <t>L01795</t>
  </si>
  <si>
    <t>T00898</t>
  </si>
  <si>
    <t>-275.08</t>
  </si>
  <si>
    <t>L01796</t>
  </si>
  <si>
    <t>69.14</t>
  </si>
  <si>
    <t>L01797</t>
  </si>
  <si>
    <t>T00899</t>
  </si>
  <si>
    <t>208.53</t>
  </si>
  <si>
    <t>L01798</t>
  </si>
  <si>
    <t>349.40</t>
  </si>
  <si>
    <t>L01799</t>
  </si>
  <si>
    <t>T00900</t>
  </si>
  <si>
    <t>140.50</t>
  </si>
  <si>
    <t>L01800</t>
  </si>
  <si>
    <t>L01801</t>
  </si>
  <si>
    <t>T00901</t>
  </si>
  <si>
    <t>70.99</t>
  </si>
  <si>
    <t>L01802</t>
  </si>
  <si>
    <t>214.08</t>
  </si>
  <si>
    <t>L01803</t>
  </si>
  <si>
    <t>T00902</t>
  </si>
  <si>
    <t>358.65</t>
  </si>
  <si>
    <t>L01804</t>
  </si>
  <si>
    <t>144.20</t>
  </si>
  <si>
    <t>L01805</t>
  </si>
  <si>
    <t>T00903</t>
  </si>
  <si>
    <t>289.88</t>
  </si>
  <si>
    <t>L01806</t>
  </si>
  <si>
    <t>72.84</t>
  </si>
  <si>
    <t>L01807</t>
  </si>
  <si>
    <t>T00904</t>
  </si>
  <si>
    <t>219.63</t>
  </si>
  <si>
    <t>L01808</t>
  </si>
  <si>
    <t>367.90</t>
  </si>
  <si>
    <t>L01809</t>
  </si>
  <si>
    <t>T00905</t>
  </si>
  <si>
    <t>147.90</t>
  </si>
  <si>
    <t>L01810</t>
  </si>
  <si>
    <t>297.28</t>
  </si>
  <si>
    <t>L01811</t>
  </si>
  <si>
    <t>T00906</t>
  </si>
  <si>
    <t>74.69</t>
  </si>
  <si>
    <t>L01812</t>
  </si>
  <si>
    <t>225.18</t>
  </si>
  <si>
    <t>L01813</t>
  </si>
  <si>
    <t>T00907</t>
  </si>
  <si>
    <t>377.15</t>
  </si>
  <si>
    <t>L01814</t>
  </si>
  <si>
    <t>151.60</t>
  </si>
  <si>
    <t>L01815</t>
  </si>
  <si>
    <t>T00908</t>
  </si>
  <si>
    <t>L01816</t>
  </si>
  <si>
    <t>76.54</t>
  </si>
  <si>
    <t>L01817</t>
  </si>
  <si>
    <t>T00909</t>
  </si>
  <si>
    <t>230.73</t>
  </si>
  <si>
    <t>L01818</t>
  </si>
  <si>
    <t>-386.40</t>
  </si>
  <si>
    <t>L01819</t>
  </si>
  <si>
    <t>T00910</t>
  </si>
  <si>
    <t>155.30</t>
  </si>
  <si>
    <t>L01820</t>
  </si>
  <si>
    <t>312.08</t>
  </si>
  <si>
    <t>L01821</t>
  </si>
  <si>
    <t>T00911</t>
  </si>
  <si>
    <t>78.39</t>
  </si>
  <si>
    <t>L01822</t>
  </si>
  <si>
    <t>236.28</t>
  </si>
  <si>
    <t>L01823</t>
  </si>
  <si>
    <t>T00912</t>
  </si>
  <si>
    <t>395.65</t>
  </si>
  <si>
    <t>L01824</t>
  </si>
  <si>
    <t>159.00</t>
  </si>
  <si>
    <t>L01825</t>
  </si>
  <si>
    <t>T00913</t>
  </si>
  <si>
    <t>319.48</t>
  </si>
  <si>
    <t>L01826</t>
  </si>
  <si>
    <t>80.24</t>
  </si>
  <si>
    <t>L01827</t>
  </si>
  <si>
    <t>T00914</t>
  </si>
  <si>
    <t>241.83</t>
  </si>
  <si>
    <t>L01828</t>
  </si>
  <si>
    <t>404.90</t>
  </si>
  <si>
    <t>L01829</t>
  </si>
  <si>
    <t>T00915</t>
  </si>
  <si>
    <t>162.70</t>
  </si>
  <si>
    <t>L01830</t>
  </si>
  <si>
    <t>L01831</t>
  </si>
  <si>
    <t>T00916</t>
  </si>
  <si>
    <t>82.09</t>
  </si>
  <si>
    <t>L01832</t>
  </si>
  <si>
    <t>247.38</t>
  </si>
  <si>
    <t>L01833</t>
  </si>
  <si>
    <t>T00917</t>
  </si>
  <si>
    <t>414.15</t>
  </si>
  <si>
    <t>L01834</t>
  </si>
  <si>
    <t>166.40</t>
  </si>
  <si>
    <t>L01835</t>
  </si>
  <si>
    <t>T00918</t>
  </si>
  <si>
    <t>334.28</t>
  </si>
  <si>
    <t>L01836</t>
  </si>
  <si>
    <t>83.94</t>
  </si>
  <si>
    <t>L01837</t>
  </si>
  <si>
    <t>T00919</t>
  </si>
  <si>
    <t>252.93</t>
  </si>
  <si>
    <t>L01838</t>
  </si>
  <si>
    <t>423.40</t>
  </si>
  <si>
    <t>L01839</t>
  </si>
  <si>
    <t>T00920</t>
  </si>
  <si>
    <t>170.10</t>
  </si>
  <si>
    <t>L01840</t>
  </si>
  <si>
    <t>341.68</t>
  </si>
  <si>
    <t>L01841</t>
  </si>
  <si>
    <t>T00921</t>
  </si>
  <si>
    <t>-85.79</t>
  </si>
  <si>
    <t>L01842</t>
  </si>
  <si>
    <t>258.48</t>
  </si>
  <si>
    <t>L01843</t>
  </si>
  <si>
    <t>T00922</t>
  </si>
  <si>
    <t>432.65</t>
  </si>
  <si>
    <t>L01844</t>
  </si>
  <si>
    <t>173.80</t>
  </si>
  <si>
    <t>L01845</t>
  </si>
  <si>
    <t>T00923</t>
  </si>
  <si>
    <t>L01846</t>
  </si>
  <si>
    <t>87.64</t>
  </si>
  <si>
    <t>L01847</t>
  </si>
  <si>
    <t>T00924</t>
  </si>
  <si>
    <t>264.03</t>
  </si>
  <si>
    <t>L01848</t>
  </si>
  <si>
    <t>441.90</t>
  </si>
  <si>
    <t>L01849</t>
  </si>
  <si>
    <t>T00925</t>
  </si>
  <si>
    <t>177.50</t>
  </si>
  <si>
    <t>L01850</t>
  </si>
  <si>
    <t>356.48</t>
  </si>
  <si>
    <t>L01851</t>
  </si>
  <si>
    <t>T00926</t>
  </si>
  <si>
    <t>89.49</t>
  </si>
  <si>
    <t>L01852</t>
  </si>
  <si>
    <t>269.58</t>
  </si>
  <si>
    <t>L01853</t>
  </si>
  <si>
    <t>T00927</t>
  </si>
  <si>
    <t>451.15</t>
  </si>
  <si>
    <t>L01854</t>
  </si>
  <si>
    <t>181.20</t>
  </si>
  <si>
    <t>L01855</t>
  </si>
  <si>
    <t>T00928</t>
  </si>
  <si>
    <t>363.88</t>
  </si>
  <si>
    <t>L01856</t>
  </si>
  <si>
    <t>91.34</t>
  </si>
  <si>
    <t>L01857</t>
  </si>
  <si>
    <t>T00929</t>
  </si>
  <si>
    <t>275.13</t>
  </si>
  <si>
    <t>L01858</t>
  </si>
  <si>
    <t>460.40</t>
  </si>
  <si>
    <t>L01859</t>
  </si>
  <si>
    <t>T00930</t>
  </si>
  <si>
    <t>184.90</t>
  </si>
  <si>
    <t>L01860</t>
  </si>
  <si>
    <t>L01861</t>
  </si>
  <si>
    <t>T00931</t>
  </si>
  <si>
    <t>93.19</t>
  </si>
  <si>
    <t>L01862</t>
  </si>
  <si>
    <t>280.68</t>
  </si>
  <si>
    <t>L01863</t>
  </si>
  <si>
    <t>T00932</t>
  </si>
  <si>
    <t>469.65</t>
  </si>
  <si>
    <t>L01864</t>
  </si>
  <si>
    <t>-188.60</t>
  </si>
  <si>
    <t>L01865</t>
  </si>
  <si>
    <t>T00933</t>
  </si>
  <si>
    <t>378.68</t>
  </si>
  <si>
    <t>L01866</t>
  </si>
  <si>
    <t>95.04</t>
  </si>
  <si>
    <t>L01867</t>
  </si>
  <si>
    <t>T00934</t>
  </si>
  <si>
    <t>286.23</t>
  </si>
  <si>
    <t>L01868</t>
  </si>
  <si>
    <t>478.90</t>
  </si>
  <si>
    <t>L01869</t>
  </si>
  <si>
    <t>T00935</t>
  </si>
  <si>
    <t>192.30</t>
  </si>
  <si>
    <t>L01870</t>
  </si>
  <si>
    <t>386.08</t>
  </si>
  <si>
    <t>L01871</t>
  </si>
  <si>
    <t>T00936</t>
  </si>
  <si>
    <t>96.89</t>
  </si>
  <si>
    <t>L01872</t>
  </si>
  <si>
    <t>291.78</t>
  </si>
  <si>
    <t>L01873</t>
  </si>
  <si>
    <t>T00937</t>
  </si>
  <si>
    <t>488.15</t>
  </si>
  <si>
    <t>L01874</t>
  </si>
  <si>
    <t>196.00</t>
  </si>
  <si>
    <t>L01875</t>
  </si>
  <si>
    <t>T00938</t>
  </si>
  <si>
    <t>393.48</t>
  </si>
  <si>
    <t>L01876</t>
  </si>
  <si>
    <t>98.74</t>
  </si>
  <si>
    <t>L01877</t>
  </si>
  <si>
    <t>T00939</t>
  </si>
  <si>
    <t>297.33</t>
  </si>
  <si>
    <t>L01878</t>
  </si>
  <si>
    <t>497.40</t>
  </si>
  <si>
    <t>L01879</t>
  </si>
  <si>
    <t>T00940</t>
  </si>
  <si>
    <t>199.70</t>
  </si>
  <si>
    <t>L01880</t>
  </si>
  <si>
    <t>400.88</t>
  </si>
  <si>
    <t>L01881</t>
  </si>
  <si>
    <t>T00941</t>
  </si>
  <si>
    <t>100.59</t>
  </si>
  <si>
    <t>L01882</t>
  </si>
  <si>
    <t>302.88</t>
  </si>
  <si>
    <t>L01883</t>
  </si>
  <si>
    <t>T00942</t>
  </si>
  <si>
    <t>506.65</t>
  </si>
  <si>
    <t>L01884</t>
  </si>
  <si>
    <t>203.40</t>
  </si>
  <si>
    <t>L01885</t>
  </si>
  <si>
    <t>T00943</t>
  </si>
  <si>
    <t>408.28</t>
  </si>
  <si>
    <t>L01886</t>
  </si>
  <si>
    <t>102.44</t>
  </si>
  <si>
    <t>L01887</t>
  </si>
  <si>
    <t>T00944</t>
  </si>
  <si>
    <t>-308.43</t>
  </si>
  <si>
    <t>L01888</t>
  </si>
  <si>
    <t>515.90</t>
  </si>
  <si>
    <t>L01889</t>
  </si>
  <si>
    <t>T00945</t>
  </si>
  <si>
    <t>207.10</t>
  </si>
  <si>
    <t>L01890</t>
  </si>
  <si>
    <t>415.68</t>
  </si>
  <si>
    <t>L01891</t>
  </si>
  <si>
    <t>T00946</t>
  </si>
  <si>
    <t>104.29</t>
  </si>
  <si>
    <t>L01892</t>
  </si>
  <si>
    <t>313.98</t>
  </si>
  <si>
    <t>L01893</t>
  </si>
  <si>
    <t>T00947</t>
  </si>
  <si>
    <t>525.15</t>
  </si>
  <si>
    <t>L01894</t>
  </si>
  <si>
    <t>210.80</t>
  </si>
  <si>
    <t>L01895</t>
  </si>
  <si>
    <t>T00948</t>
  </si>
  <si>
    <t>423.08</t>
  </si>
  <si>
    <t>L01896</t>
  </si>
  <si>
    <t>106.14</t>
  </si>
  <si>
    <t>L01897</t>
  </si>
  <si>
    <t>T00949</t>
  </si>
  <si>
    <t>319.53</t>
  </si>
  <si>
    <t>L01898</t>
  </si>
  <si>
    <t>534.40</t>
  </si>
  <si>
    <t>L01899</t>
  </si>
  <si>
    <t>T00950</t>
  </si>
  <si>
    <t>214.50</t>
  </si>
  <si>
    <t>L01900</t>
  </si>
  <si>
    <t>430.48</t>
  </si>
  <si>
    <t>L01901</t>
  </si>
  <si>
    <t>T00951</t>
  </si>
  <si>
    <t>107.99</t>
  </si>
  <si>
    <t>L01902</t>
  </si>
  <si>
    <t>325.08</t>
  </si>
  <si>
    <t>L01903</t>
  </si>
  <si>
    <t>T00952</t>
  </si>
  <si>
    <t>543.65</t>
  </si>
  <si>
    <t>L01904</t>
  </si>
  <si>
    <t>218.20</t>
  </si>
  <si>
    <t>L01905</t>
  </si>
  <si>
    <t>T00953</t>
  </si>
  <si>
    <t>437.88</t>
  </si>
  <si>
    <t>L01906</t>
  </si>
  <si>
    <t>109.84</t>
  </si>
  <si>
    <t>L01907</t>
  </si>
  <si>
    <t>T00954</t>
  </si>
  <si>
    <t>330.63</t>
  </si>
  <si>
    <t>L01908</t>
  </si>
  <si>
    <t>552.90</t>
  </si>
  <si>
    <t>L01909</t>
  </si>
  <si>
    <t>T00955</t>
  </si>
  <si>
    <t>221.90</t>
  </si>
  <si>
    <t>L01910</t>
  </si>
  <si>
    <t>-445.28</t>
  </si>
  <si>
    <t>L01911</t>
  </si>
  <si>
    <t>T00956</t>
  </si>
  <si>
    <t>111.69</t>
  </si>
  <si>
    <t>L01912</t>
  </si>
  <si>
    <t>336.18</t>
  </si>
  <si>
    <t>L01913</t>
  </si>
  <si>
    <t>T00957</t>
  </si>
  <si>
    <t>562.15</t>
  </si>
  <si>
    <t>L01914</t>
  </si>
  <si>
    <t>225.60</t>
  </si>
  <si>
    <t>L01915</t>
  </si>
  <si>
    <t>T00958</t>
  </si>
  <si>
    <t>452.68</t>
  </si>
  <si>
    <t>L01916</t>
  </si>
  <si>
    <t>113.54</t>
  </si>
  <si>
    <t>L01917</t>
  </si>
  <si>
    <t>T00959</t>
  </si>
  <si>
    <t>341.73</t>
  </si>
  <si>
    <t>L01918</t>
  </si>
  <si>
    <t>571.40</t>
  </si>
  <si>
    <t>L01919</t>
  </si>
  <si>
    <t>T00960</t>
  </si>
  <si>
    <t>229.30</t>
  </si>
  <si>
    <t>L01920</t>
  </si>
  <si>
    <t>460.08</t>
  </si>
  <si>
    <t>L01921</t>
  </si>
  <si>
    <t>T00961</t>
  </si>
  <si>
    <t>115.39</t>
  </si>
  <si>
    <t>L01922</t>
  </si>
  <si>
    <t>347.28</t>
  </si>
  <si>
    <t>L01923</t>
  </si>
  <si>
    <t>T00962</t>
  </si>
  <si>
    <t>580.65</t>
  </si>
  <si>
    <t>L01924</t>
  </si>
  <si>
    <t>233.00</t>
  </si>
  <si>
    <t>L01925</t>
  </si>
  <si>
    <t>T00963</t>
  </si>
  <si>
    <t>467.48</t>
  </si>
  <si>
    <t>L01926</t>
  </si>
  <si>
    <t>117.24</t>
  </si>
  <si>
    <t>L01927</t>
  </si>
  <si>
    <t>T00964</t>
  </si>
  <si>
    <t>352.83</t>
  </si>
  <si>
    <t>L01928</t>
  </si>
  <si>
    <t>589.90</t>
  </si>
  <si>
    <t>L01929</t>
  </si>
  <si>
    <t>T00965</t>
  </si>
  <si>
    <t>236.70</t>
  </si>
  <si>
    <t>L01930</t>
  </si>
  <si>
    <t>474.88</t>
  </si>
  <si>
    <t>L01931</t>
  </si>
  <si>
    <t>T00966</t>
  </si>
  <si>
    <t>119.09</t>
  </si>
  <si>
    <t>L01932</t>
  </si>
  <si>
    <t>358.38</t>
  </si>
  <si>
    <t>L01933</t>
  </si>
  <si>
    <t>T00967</t>
  </si>
  <si>
    <t>-599.15</t>
  </si>
  <si>
    <t>L01934</t>
  </si>
  <si>
    <t>240.40</t>
  </si>
  <si>
    <t>L01935</t>
  </si>
  <si>
    <t>T00968</t>
  </si>
  <si>
    <t>482.28</t>
  </si>
  <si>
    <t>L01936</t>
  </si>
  <si>
    <t>120.94</t>
  </si>
  <si>
    <t>L01937</t>
  </si>
  <si>
    <t>T00969</t>
  </si>
  <si>
    <t>363.93</t>
  </si>
  <si>
    <t>L01938</t>
  </si>
  <si>
    <t>608.40</t>
  </si>
  <si>
    <t>L01939</t>
  </si>
  <si>
    <t>T00970</t>
  </si>
  <si>
    <t>244.10</t>
  </si>
  <si>
    <t>L01940</t>
  </si>
  <si>
    <t>489.68</t>
  </si>
  <si>
    <t>L01941</t>
  </si>
  <si>
    <t>T00971</t>
  </si>
  <si>
    <t>122.79</t>
  </si>
  <si>
    <t>L01942</t>
  </si>
  <si>
    <t>369.48</t>
  </si>
  <si>
    <t>L01943</t>
  </si>
  <si>
    <t>T00972</t>
  </si>
  <si>
    <t>617.65</t>
  </si>
  <si>
    <t>L01944</t>
  </si>
  <si>
    <t>247.80</t>
  </si>
  <si>
    <t>L01945</t>
  </si>
  <si>
    <t>T00973</t>
  </si>
  <si>
    <t>497.08</t>
  </si>
  <si>
    <t>L01946</t>
  </si>
  <si>
    <t>124.64</t>
  </si>
  <si>
    <t>L01947</t>
  </si>
  <si>
    <t>T00974</t>
  </si>
  <si>
    <t>15.03</t>
  </si>
  <si>
    <t>L01948</t>
  </si>
  <si>
    <t>26.90</t>
  </si>
  <si>
    <t>L01949</t>
  </si>
  <si>
    <t>T00975</t>
  </si>
  <si>
    <t>11.50</t>
  </si>
  <si>
    <t>L01950</t>
  </si>
  <si>
    <t>24.48</t>
  </si>
  <si>
    <t>L01951</t>
  </si>
  <si>
    <t>T00976</t>
  </si>
  <si>
    <t>6.49</t>
  </si>
  <si>
    <t>L01952</t>
  </si>
  <si>
    <t>20.58</t>
  </si>
  <si>
    <t>L01953</t>
  </si>
  <si>
    <t>T00977</t>
  </si>
  <si>
    <t>36.15</t>
  </si>
  <si>
    <t>L01954</t>
  </si>
  <si>
    <t>15.20</t>
  </si>
  <si>
    <t>L01955</t>
  </si>
  <si>
    <t>T00978</t>
  </si>
  <si>
    <t>31.88</t>
  </si>
  <si>
    <t>L01956</t>
  </si>
  <si>
    <t>-8.34</t>
  </si>
  <si>
    <t>L01957</t>
  </si>
  <si>
    <t>T00979</t>
  </si>
  <si>
    <t>26.13</t>
  </si>
  <si>
    <t>L01958</t>
  </si>
  <si>
    <t>45.40</t>
  </si>
  <si>
    <t>L01959</t>
  </si>
  <si>
    <t>T00980</t>
  </si>
  <si>
    <t>18.90</t>
  </si>
  <si>
    <t>L01960</t>
  </si>
  <si>
    <t>39.28</t>
  </si>
  <si>
    <t>L01961</t>
  </si>
  <si>
    <t>T00981</t>
  </si>
  <si>
    <t>10.19</t>
  </si>
  <si>
    <t>L01962</t>
  </si>
  <si>
    <t>31.68</t>
  </si>
  <si>
    <t>L01963</t>
  </si>
  <si>
    <t>T00982</t>
  </si>
  <si>
    <t>54.65</t>
  </si>
  <si>
    <t>L01964</t>
  </si>
  <si>
    <t>22.60</t>
  </si>
  <si>
    <t>L01965</t>
  </si>
  <si>
    <t>T00983</t>
  </si>
  <si>
    <t>46.68</t>
  </si>
  <si>
    <t>L01966</t>
  </si>
  <si>
    <t>12.04</t>
  </si>
  <si>
    <t>L01967</t>
  </si>
  <si>
    <t>T00984</t>
  </si>
  <si>
    <t>37.23</t>
  </si>
  <si>
    <t>L01968</t>
  </si>
  <si>
    <t>63.90</t>
  </si>
  <si>
    <t>L01969</t>
  </si>
  <si>
    <t>T00985</t>
  </si>
  <si>
    <t>26.30</t>
  </si>
  <si>
    <t>L01970</t>
  </si>
  <si>
    <t>54.08</t>
  </si>
  <si>
    <t>L01971</t>
  </si>
  <si>
    <t>T00986</t>
  </si>
  <si>
    <t>13.89</t>
  </si>
  <si>
    <t>L01972</t>
  </si>
  <si>
    <t>42.78</t>
  </si>
  <si>
    <t>L01973</t>
  </si>
  <si>
    <t>T00987</t>
  </si>
  <si>
    <t>73.15</t>
  </si>
  <si>
    <t>L01974</t>
  </si>
  <si>
    <t>30.00</t>
  </si>
  <si>
    <t>L01975</t>
  </si>
  <si>
    <t>T00988</t>
  </si>
  <si>
    <t>61.48</t>
  </si>
  <si>
    <t>L01976</t>
  </si>
  <si>
    <t>15.74</t>
  </si>
  <si>
    <t>L01977</t>
  </si>
  <si>
    <t>T00989</t>
  </si>
  <si>
    <t>48.33</t>
  </si>
  <si>
    <t>L01978</t>
  </si>
  <si>
    <t>82.40</t>
  </si>
  <si>
    <t>L01979</t>
  </si>
  <si>
    <t>T00990</t>
  </si>
  <si>
    <t>-33.70</t>
  </si>
  <si>
    <t>L01980</t>
  </si>
  <si>
    <t>68.88</t>
  </si>
  <si>
    <t>AI-cleaned output</t>
  </si>
  <si>
    <t>Source: original one-run Claude cleaned.csv. Edit A:G only in a disposable practice copy.</t>
  </si>
  <si>
    <t>Unused</t>
  </si>
  <si>
    <t>Active row</t>
  </si>
  <si>
    <t>Expected line ID</t>
  </si>
  <si>
    <t>Indexed raw row</t>
  </si>
  <si>
    <t>Valid amount</t>
  </si>
  <si>
    <t>ID matches slot</t>
  </si>
  <si>
    <t>Comparison</t>
  </si>
  <si>
    <t>65.65</t>
  </si>
  <si>
    <t>51.24</t>
  </si>
  <si>
    <t>178.70</t>
  </si>
  <si>
    <t>22.38</t>
  </si>
  <si>
    <t>182.28</t>
  </si>
  <si>
    <t>418.40</t>
  </si>
  <si>
    <t>121.79</t>
  </si>
  <si>
    <t>79.80</t>
  </si>
  <si>
    <t>234.03</t>
  </si>
  <si>
    <t>464.48</t>
  </si>
  <si>
    <t>171.15</t>
  </si>
  <si>
    <t>72.34</t>
  </si>
  <si>
    <t>220.90</t>
  </si>
  <si>
    <t>85.68</t>
  </si>
  <si>
    <t>266.68</t>
  </si>
  <si>
    <t>523.90</t>
  </si>
  <si>
    <t>22.89</t>
  </si>
  <si>
    <t>122.00</t>
  </si>
  <si>
    <t>Using the source checker</t>
  </si>
  <si>
    <t>Synthetic practice file. Capacity: 2,000 raw rows and 2,000 output rows, A7:G2006.</t>
  </si>
  <si>
    <t>Canonical category</t>
  </si>
  <si>
    <t>Month text</t>
  </si>
  <si>
    <t>Month number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</si>
  <si>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</si>
  <si>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</si>
  <si>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</si>
  <si>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</si>
  <si>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</si>
  <si>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</si>
  <si>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</si>
  <si>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</si>
  <si>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</si>
  <si>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</si>
  <si>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</si>
  <si>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</si>
  <si>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How to practice</t>
  </si>
  <si>
    <t>1. Open Checks. The supplied original output should match the source-derived comparisons.</t>
  </si>
  <si>
    <t>2. Save a separate practice copy. Change one AI-output field in columns A:G, then recalculate.</t>
  </si>
  <si>
    <t>3. Inspect the changed checks. Restore each edit before trying another example.</t>
  </si>
  <si>
    <t>4. Filter Source build on Disposition = QUARANTINE to see the raw rows and reasons.</t>
  </si>
  <si>
    <t>5. Raw is the original export. Never correct it by copying numbers from the AI output.</t>
  </si>
  <si>
    <t>6. The answer key is a separate file. No checker formula reads it.</t>
  </si>
  <si>
    <t>7. This is a bounded exercise. Other exports require mapped columns, explicit rules and extended ranges.</t>
  </si>
  <si>
    <t>8. Keep CSV dates and identifiers as text. The original seven raw fields remain unchanged.</t>
  </si>
  <si>
    <t>9. Keep supplied raw and output row order. Indexed slots are fixed; reorder or new IDs require an index rebuild.</t>
  </si>
  <si>
    <t>10. Extra periods outside Jan–Mar need the monthly table extended before using the report.</t>
  </si>
  <si>
    <t>Rules used by the formulas</t>
  </si>
  <si>
    <t>Line ID is the business key. Different line IDs may share a transaction ID.</t>
  </si>
  <si>
    <t>Remove exact repeated records. Hold all records in a conflicting or case-colliding ID group.</t>
  </si>
  <si>
    <t>Dates: YYYY-MM-DD or English dd-Mon-yyyy. Invalid or missing dates are quarantined.</t>
  </si>
  <si>
    <t>All amounts USD, to exact cents. Sales positive, refunds negative. No inferred amounts or signs.</t>
  </si>
  <si>
    <t>Category whitespace/case may normalize; a blank category uses the product map above.</t>
  </si>
  <si>
    <t>Unknown product/category or event, invalid amount or missing keys require review.</t>
  </si>
  <si>
    <t>Source text amounts: two decimals, optionally valid thousands commas and leading $ or -$.</t>
  </si>
  <si>
    <t>A comparison match leaves quarantined raw rows unresolved. It does not verify the source business system.</t>
  </si>
  <si>
    <t>Raw key groups were indexed from the original CSV to limit memory. New raw keys require rebuilding that index.</t>
  </si>
  <si>
    <t>Inputs beyond A7:G2006 are outside this bounded checker. Source amounts/dates/categories still recalculate live.</t>
  </si>
  <si>
    <t>For conflicting raw IDs, the Conflicting ID column supplies the group-level reason; every member is quarantined.</t>
  </si>
  <si>
    <t>Uses English number and date conventions. Other regional settings may show REVIEW on correct data.</t>
  </si>
  <si>
    <t>Original cleanup: Claude web, Opus 5.5 High, Composio Python. Checker tested separately in Excel.</t>
  </si>
  <si>
    <t xml:space="preserve">  office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</si>
</sst>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;[Red]\(#,##0\);0"/>
    <numFmt numFmtId="166" formatCode="#,##0;[Red]\-#,##0;0"/>
  </numFmts>
  <fonts count="7">
    <font>
      <sz val="11"/>
      <name val="Carlito"/>
    </font>
    <font>
      <sz val="10"/>
      <color rgb="FF203447"/>
      <name val="Arial"/>
    </font>
    <font>
      <b/>
      <sz val="14"/>
      <color rgb="FF203447"/>
      <name val="Arial"/>
    </font>
    <font>
      <i/>
      <sz val="10"/>
      <color rgb="FF203447"/>
      <name val="Arial"/>
    </font>
    <font>
      <b/>
      <sz val="10"/>
      <color rgb="FFFFFFFF"/>
      <name val="Arial"/>
    </font>
    <font>
      <b/>
      <sz val="10"/>
      <color rgb="FF203447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203447"/>
      </patternFill>
    </fill>
    <fill>
      <patternFill patternType="solid">
        <fgColor rgb="FFF2EFE9"/>
      </patternFill>
    </fill>
    <fill>
      <patternFill patternType="solid">
        <fgColor rgb="FFFFF7DF"/>
      </patternFill>
    </fill>
  </fills>
  <borders count="2">
    <border>
      <left/>
      <right/>
      <top/>
      <bottom/>
      <diagonal/>
    </border>
    <border>
      <left/>
      <right/>
      <top/>
      <bottom style="thin">
        <color rgb="FFA8B0B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1" xfId="0" applyFont="1" applyBorder="1"/>
    <xf numFmtId="0" fontId="4" fillId="2" borderId="0" xfId="0" applyFont="1" applyFill="1" applyAlignment="1">
      <alignment horizontal="center" wrapText="1"/>
    </xf>
    <xf numFmtId="49" fontId="1" fillId="3" borderId="0" xfId="0" applyNumberFormat="1" applyFont="1" applyFill="1"/>
    <xf numFmtId="49" fontId="1" fillId="4" borderId="0" xfId="0" applyNumberFormat="1" applyFont="1" applyFill="1"/>
    <xf numFmtId="0" fontId="5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  <xf numFmtId="165" fontId="4" fillId="2" borderId="0" xfId="0" applyNumberFormat="1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166" fontId="1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/>
    <xf numFmtId="165" fontId="6" fillId="0" borderId="0" xfId="0" applyNumberFormat="1" applyFont="1"/>
    <xf numFmtId="166" fontId="6" fillId="0" borderId="0" xfId="0" applyNumberFormat="1" applyFont="1"/>
  </cellXfs>
  <cellStyles count="1">
    <cellStyle name="Normal" xfId="0" builtinId="0"/>
  </cellStyles>
  <dxfs count="10"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 patternType="solid"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  <dxf>
      <font>
        <b/>
        <color rgb="FF9B2D18"/>
      </font>
      <fill>
        <patternFill>
          <bgColor rgb="FFFBE4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ourceCalculation" displayName="SourceCalculation" ref="A6:AA2006" totalsRowShown="0">
  <autoFilter ref="A6:AA2006" xr:uid="{00000000-000C-0000-FFFF-FFFF00000000}"/>
  <tableColumns count="27">
    <tableColumn id="1" xr3:uid="{00000000-0010-0000-0000-000001000000}" name="Line ID"/>
    <tableColumn id="2" xr3:uid="{00000000-0010-0000-0000-000002000000}" name="Transaction ID"/>
    <tableColumn id="3" xr3:uid="{00000000-0010-0000-0000-000003000000}" name="Raw date text"/>
    <tableColumn id="4" xr3:uid="{00000000-0010-0000-0000-000004000000}" name="Year"/>
    <tableColumn id="5" xr3:uid="{00000000-0010-0000-0000-000005000000}" name="Month"/>
    <tableColumn id="6" xr3:uid="{00000000-0010-0000-0000-000006000000}" name="Day"/>
    <tableColumn id="7" xr3:uid="{00000000-0010-0000-0000-000007000000}" name="Normalized date"/>
    <tableColumn id="8" xr3:uid="{00000000-0010-0000-0000-000008000000}" name="Product"/>
    <tableColumn id="9" xr3:uid="{00000000-0010-0000-0000-000009000000}" name="Mapped category"/>
    <tableColumn id="10" xr3:uid="{00000000-0010-0000-0000-00000A000000}" name="Category"/>
    <tableColumn id="11" xr3:uid="{00000000-0010-0000-0000-00000B000000}" name="Event"/>
    <tableColumn id="12" xr3:uid="{00000000-0010-0000-0000-00000C000000}" name="Amount text"/>
    <tableColumn id="13" xr3:uid="{00000000-0010-0000-0000-00000D000000}" name="Parsed USD"/>
    <tableColumn id="14" xr3:uid="{00000000-0010-0000-0000-00000E000000}" name="Signed cents"/>
    <tableColumn id="15" xr3:uid="{00000000-0010-0000-0000-00000F000000}" name="Amount format valid"/>
    <tableColumn id="16" xr3:uid="{00000000-0010-0000-0000-000010000000}" name="Raw signature"/>
    <tableColumn id="17" xr3:uid="{00000000-0010-0000-0000-000011000000}" name="Indexed ID count"/>
    <tableColumn id="18" xr3:uid="{00000000-0010-0000-0000-000012000000}" name="Conflicting ID"/>
    <tableColumn id="19" xr3:uid="{00000000-0010-0000-0000-000013000000}" name="Occurrence"/>
    <tableColumn id="20" xr3:uid="{00000000-0010-0000-0000-000014000000}" name="Validation reason"/>
    <tableColumn id="21" xr3:uid="{00000000-0010-0000-0000-000015000000}" name="Disposition"/>
    <tableColumn id="22" xr3:uid="{00000000-0010-0000-0000-000016000000}" name="Month key"/>
    <tableColumn id="23" xr3:uid="{00000000-0010-0000-0000-000017000000}" name="AI ID count"/>
    <tableColumn id="24" xr3:uid="{00000000-0010-0000-0000-000018000000}" name="AI row index"/>
    <tableColumn id="25" xr3:uid="{00000000-0010-0000-0000-000019000000}" name="Field / format issues"/>
    <tableColumn id="26" xr3:uid="{00000000-0010-0000-0000-00001A000000}" name="Record issue"/>
    <tableColumn id="27" xr3:uid="{00000000-0010-0000-0000-00001B000000}" name="Raw key map match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RawSource" displayName="RawSource" ref="A6:G2006" totalsRowShown="0">
  <tableColumns count="7">
    <tableColumn id="1" xr3:uid="{00000000-0010-0000-0100-000001000000}" name="line_id"/>
    <tableColumn id="2" xr3:uid="{00000000-0010-0000-0100-000002000000}" name="transaction_id"/>
    <tableColumn id="3" xr3:uid="{00000000-0010-0000-0100-000003000000}" name="date"/>
    <tableColumn id="4" xr3:uid="{00000000-0010-0000-0100-000004000000}" name="product"/>
    <tableColumn id="5" xr3:uid="{00000000-0010-0000-0100-000005000000}" name="category"/>
    <tableColumn id="6" xr3:uid="{00000000-0010-0000-0100-000006000000}" name="event"/>
    <tableColumn id="7" xr3:uid="{00000000-0010-0000-0100-000007000000}" name="amount_us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leanedOutput" displayName="CleanedOutput" ref="A6:P2006" totalsRowShown="0">
  <tableColumns count="16">
    <tableColumn id="1" xr3:uid="{00000000-0010-0000-0200-000001000000}" name="line_id"/>
    <tableColumn id="2" xr3:uid="{00000000-0010-0000-0200-000002000000}" name="transaction_id"/>
    <tableColumn id="3" xr3:uid="{00000000-0010-0000-0200-000003000000}" name="date"/>
    <tableColumn id="4" xr3:uid="{00000000-0010-0000-0200-000004000000}" name="product"/>
    <tableColumn id="5" xr3:uid="{00000000-0010-0000-0200-000005000000}" name="category"/>
    <tableColumn id="6" xr3:uid="{00000000-0010-0000-0200-000006000000}" name="event"/>
    <tableColumn id="7" xr3:uid="{00000000-0010-0000-0200-000007000000}" name="amount_usd"/>
    <tableColumn id="8" xr3:uid="{00000000-0010-0000-0200-000008000000}" name="Unused"/>
    <tableColumn id="9" xr3:uid="{00000000-0010-0000-0200-000009000000}" name="Active row"/>
    <tableColumn id="10" xr3:uid="{00000000-0010-0000-0200-00000A000000}" name="Expected line ID"/>
    <tableColumn id="11" xr3:uid="{00000000-0010-0000-0200-00000B000000}" name="Indexed raw row"/>
    <tableColumn id="12" xr3:uid="{00000000-0010-0000-0200-00000C000000}" name="Signed cents"/>
    <tableColumn id="13" xr3:uid="{00000000-0010-0000-0200-00000D000000}" name="Valid amount"/>
    <tableColumn id="14" xr3:uid="{00000000-0010-0000-0200-00000E000000}" name="ID matches slot"/>
    <tableColumn id="15" xr3:uid="{00000000-0010-0000-0200-00000F000000}" name="Comparison"/>
    <tableColumn id="16" xr3:uid="{00000000-0010-0000-0200-000010000000}" name="Month ke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447"/>
  </sheetPr>
  <dimension ref="A1:Z43"/>
  <sheetViews>
    <sheetView showGridLines="0" tabSelected="1" workbookViewId="0"/>
  </sheetViews>
  <sheetFormatPr defaultRowHeight="14.25"/>
  <cols>
    <col min="1" max="1" width="33" customWidth="1"/>
    <col min="2" max="5" width="22" customWidth="1"/>
    <col min="6" max="6" width="35" customWidth="1"/>
    <col min="7" max="7" width="24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3" t="s">
        <v>0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1" customHeight="1">
      <c r="A6" s="5" t="s">
        <v>2</v>
      </c>
      <c r="B6" s="5" t="s">
        <v>3</v>
      </c>
      <c r="C6" s="1"/>
      <c r="D6" s="1"/>
      <c r="E6" s="1"/>
      <c r="F6" s="5" t="s">
        <v>4</v>
      </c>
      <c r="G6" s="5" t="s">
        <v>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1" customHeight="1">
      <c r="A7" s="1" t="s">
        <v>6</v>
      </c>
      <c r="B7" s="11">
        <f>COUNTIFS('Source build'!$U$7:$U$2006,"&lt;&gt;UNUSED")</f>
        <v>2000</v>
      </c>
      <c r="C7" s="11"/>
      <c r="D7" s="11"/>
      <c r="E7" s="11"/>
      <c r="F7" s="11" t="s">
        <v>7</v>
      </c>
      <c r="G7" s="11" t="str">
        <f>IF(AND(B11=0,B12=B10,SUM(B13:B16)=0,B18=0),"MATCH","REVIEW")</f>
        <v>MATCH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1" customHeight="1">
      <c r="A8" s="1" t="s">
        <v>8</v>
      </c>
      <c r="B8" s="11">
        <f>COUNTIFS('Source build'!$U$7:$U$2006,"DUPLICATE")</f>
        <v>20</v>
      </c>
      <c r="C8" s="11"/>
      <c r="D8" s="11"/>
      <c r="E8" s="11"/>
      <c r="F8" s="11" t="s">
        <v>9</v>
      </c>
      <c r="G8" s="11" t="str">
        <f>IF(AND(B17=0,SUM(ABS(D21),ABS(D22),ABS(D23))=0),"MATCH","REVIEW")</f>
        <v>MATCH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1" customHeight="1">
      <c r="A9" s="1" t="s">
        <v>10</v>
      </c>
      <c r="B9" s="11">
        <f>COUNTIFS('Source build'!$U$7:$U$2006,"QUARANTINE")</f>
        <v>2</v>
      </c>
      <c r="C9" s="11"/>
      <c r="D9" s="11"/>
      <c r="E9" s="11"/>
      <c r="F9" s="11" t="s">
        <v>11</v>
      </c>
      <c r="G9" s="11" t="str">
        <f>IF(AND(SUM(ABS(D27),ABS(G27),ABS(D28),ABS(G28),ABS(D29),ABS(G29),ABS(D30),ABS(G30),ABS(D34),ABS(G34),ABS(D35),ABS(G35),ABS(D36),ABS(G36),ABS(D37),ABS(G37))=0,B30=0,C30=0),"MATCH","REVIEW")</f>
        <v>MATCH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1" customHeight="1">
      <c r="A10" s="1" t="s">
        <v>12</v>
      </c>
      <c r="B10" s="11">
        <f>COUNTIFS('Source build'!$U$7:$U$2006,"INCLUDED")</f>
        <v>1978</v>
      </c>
      <c r="C10" s="11"/>
      <c r="D10" s="11"/>
      <c r="E10" s="11"/>
      <c r="F10" s="11" t="s">
        <v>13</v>
      </c>
      <c r="G10" s="11" t="str">
        <f>IF(AND(G7="MATCH",G8="MATCH",G9="MATCH"),"MATCH","REVIEW")</f>
        <v>MATCH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1" customHeight="1">
      <c r="A11" s="1" t="s">
        <v>14</v>
      </c>
      <c r="B11" s="11">
        <f>B7-SUM(B8:B10)</f>
        <v>0</v>
      </c>
      <c r="C11" s="11"/>
      <c r="D11" s="11"/>
      <c r="E11" s="11"/>
      <c r="F11" s="11"/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1" customHeight="1">
      <c r="A12" s="1" t="s">
        <v>15</v>
      </c>
      <c r="B12" s="11">
        <f>SUM('AI output'!$I$7:$I$2006)</f>
        <v>1978</v>
      </c>
      <c r="C12" s="11"/>
      <c r="D12" s="11"/>
      <c r="E12" s="11"/>
      <c r="F12" s="11" t="s">
        <v>16</v>
      </c>
      <c r="G12" s="11">
        <f>B9</f>
        <v>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1" customHeight="1">
      <c r="A13" s="1" t="s">
        <v>17</v>
      </c>
      <c r="B13" s="11">
        <f>COUNTIFS('Source build'!$U$7:$U$2006,"INCLUDED",'Source build'!$W$7:$W$2006,0)</f>
        <v>0</v>
      </c>
      <c r="C13" s="11"/>
      <c r="D13" s="11"/>
      <c r="E13" s="11"/>
      <c r="F13" s="11"/>
      <c r="G13" s="1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1" customHeight="1">
      <c r="A14" s="1" t="s">
        <v>18</v>
      </c>
      <c r="B14" s="11">
        <f>COUNTIFS('AI output'!$O$7:$O$2006,"ID / ORDER DIFFERENCE")</f>
        <v>0</v>
      </c>
      <c r="C14" s="11"/>
      <c r="D14" s="11"/>
      <c r="E14" s="11"/>
      <c r="F14" s="11" t="s">
        <v>19</v>
      </c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1" customHeight="1">
      <c r="A15" s="1" t="s">
        <v>20</v>
      </c>
      <c r="B15" s="11">
        <f>COUNTIFS('AI output'!$O$7:$O$2006,"UNEXPECTED ID")+COUNTIFS('AI output'!$O$7:$O$2006,"EXCLUDED SOURCE")+COUNTIFS('AI output'!$O$7:$O$2006,"MISSING ID")</f>
        <v>0</v>
      </c>
      <c r="C15" s="11"/>
      <c r="D15" s="11"/>
      <c r="E15" s="11"/>
      <c r="F15" s="11" t="s">
        <v>21</v>
      </c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1" customHeight="1">
      <c r="A16" s="1" t="s">
        <v>22</v>
      </c>
      <c r="B16" s="11">
        <f>COUNTIFS('Source build'!$Y$7:$Y$2006,"&gt;0")</f>
        <v>0</v>
      </c>
      <c r="C16" s="11"/>
      <c r="D16" s="11"/>
      <c r="E16" s="11"/>
      <c r="F16" s="11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1" customHeight="1">
      <c r="A17" s="1" t="s">
        <v>23</v>
      </c>
      <c r="B17" s="11">
        <f>COUNTIFS('AI output'!$M$7:$M$2006,0,'AI output'!$I$7:$I$2006,1)</f>
        <v>0</v>
      </c>
      <c r="C17" s="11"/>
      <c r="D17" s="11"/>
      <c r="E17" s="11"/>
      <c r="F17" s="11" t="s">
        <v>24</v>
      </c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1" customHeight="1">
      <c r="A18" s="1" t="s">
        <v>25</v>
      </c>
      <c r="B18" s="11">
        <f>COUNTIFS('Source build'!$AA$7:$AA$2006,0)</f>
        <v>0</v>
      </c>
      <c r="C18" s="11"/>
      <c r="D18" s="11"/>
      <c r="E18" s="11"/>
      <c r="F18" s="11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1" customHeight="1">
      <c r="A19" s="1"/>
      <c r="B19" s="11"/>
      <c r="C19" s="11"/>
      <c r="D19" s="11"/>
      <c r="E19" s="11"/>
      <c r="F19" s="11" t="s">
        <v>26</v>
      </c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1" customHeight="1">
      <c r="A20" s="5" t="s">
        <v>27</v>
      </c>
      <c r="B20" s="12" t="s">
        <v>28</v>
      </c>
      <c r="C20" s="12" t="s">
        <v>29</v>
      </c>
      <c r="D20" s="12" t="s">
        <v>30</v>
      </c>
      <c r="E20" s="11"/>
      <c r="F20" s="11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1" customHeight="1">
      <c r="A21" s="1" t="s">
        <v>31</v>
      </c>
      <c r="B21" s="19">
        <f>SUMIFS('Source build'!$N$7:$N$2006,'Source build'!$U$7:$U$2006,"INCLUDED",'Source build'!$K$7:$K$2006,"sale")</f>
        <v>36319061</v>
      </c>
      <c r="C21" s="19">
        <f>SUMIFS('AI output'!$L$7:$L$2006,'AI output'!$F$7:$F$2006,"sale",'AI output'!$I$7:$I$2006,1)</f>
        <v>36319061</v>
      </c>
      <c r="D21" s="19">
        <f>C21-B21</f>
        <v>0</v>
      </c>
      <c r="E21" s="11"/>
      <c r="F21" s="11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1" customHeight="1">
      <c r="A22" s="1" t="s">
        <v>32</v>
      </c>
      <c r="B22" s="19">
        <f>SUMIFS('Source build'!$N$7:$N$2006,'Source build'!$U$7:$U$2006,"INCLUDED",'Source build'!$K$7:$K$2006,"refund")</f>
        <v>-1706959</v>
      </c>
      <c r="C22" s="19">
        <f>SUMIFS('AI output'!$L$7:$L$2006,'AI output'!$F$7:$F$2006,"refund",'AI output'!$I$7:$I$2006,1)</f>
        <v>-1706959</v>
      </c>
      <c r="D22" s="19">
        <f>C22-B22</f>
        <v>0</v>
      </c>
      <c r="E22" s="11"/>
      <c r="F22" s="11"/>
      <c r="G22" s="1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1" customHeight="1">
      <c r="A23" s="1" t="s">
        <v>33</v>
      </c>
      <c r="B23" s="19">
        <f>SUM(B21:B22)</f>
        <v>34612102</v>
      </c>
      <c r="C23" s="19">
        <f>SUM(C21:C22)</f>
        <v>34612102</v>
      </c>
      <c r="D23" s="19">
        <f>C23-B23</f>
        <v>0</v>
      </c>
      <c r="E23" s="11"/>
      <c r="F23" s="11"/>
      <c r="G23" s="1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1" customHeight="1">
      <c r="A24" s="1"/>
      <c r="B24" s="11"/>
      <c r="C24" s="11"/>
      <c r="D24" s="11"/>
      <c r="E24" s="11"/>
      <c r="F24" s="11"/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1" customHeight="1">
      <c r="A25" s="1"/>
      <c r="B25" s="11"/>
      <c r="C25" s="11"/>
      <c r="D25" s="11"/>
      <c r="E25" s="11"/>
      <c r="F25" s="11"/>
      <c r="G25" s="1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1" customHeight="1">
      <c r="A26" s="5" t="s">
        <v>34</v>
      </c>
      <c r="B26" s="12" t="s">
        <v>35</v>
      </c>
      <c r="C26" s="12" t="s">
        <v>36</v>
      </c>
      <c r="D26" s="12" t="s">
        <v>37</v>
      </c>
      <c r="E26" s="12" t="s">
        <v>38</v>
      </c>
      <c r="F26" s="12" t="s">
        <v>39</v>
      </c>
      <c r="G26" s="12" t="s">
        <v>40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1" customHeight="1">
      <c r="A27" s="1" t="s">
        <v>41</v>
      </c>
      <c r="B27" s="11">
        <f>COUNTIFS('Source build'!$U$7:$U$2006,"INCLUDED",'Source build'!$V$7:$V$2006,A27)</f>
        <v>682</v>
      </c>
      <c r="C27" s="11">
        <f>COUNTIFS('AI output'!$P$7:$P$2006,A27,'AI output'!$I$7:$I$2006,1)</f>
        <v>682</v>
      </c>
      <c r="D27" s="11">
        <f>C27-B27</f>
        <v>0</v>
      </c>
      <c r="E27" s="19">
        <f>SUMIFS('Source build'!$N$7:$N$2006,'Source build'!$U$7:$U$2006,"INCLUDED",'Source build'!$V$7:$V$2006,A27)</f>
        <v>11705665</v>
      </c>
      <c r="F27" s="19">
        <f>SUMIFS('AI output'!$L$7:$L$2006,'AI output'!$P$7:$P$2006,A27,'AI output'!$I$7:$I$2006,1)</f>
        <v>11705665</v>
      </c>
      <c r="G27" s="19">
        <f>F27-E27</f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1" customHeight="1">
      <c r="A28" s="1" t="s">
        <v>42</v>
      </c>
      <c r="B28" s="11">
        <f>COUNTIFS('Source build'!$U$7:$U$2006,"INCLUDED",'Source build'!$V$7:$V$2006,A28)</f>
        <v>616</v>
      </c>
      <c r="C28" s="11">
        <f>COUNTIFS('AI output'!$P$7:$P$2006,A28,'AI output'!$I$7:$I$2006,1)</f>
        <v>616</v>
      </c>
      <c r="D28" s="11">
        <f>C28-B28</f>
        <v>0</v>
      </c>
      <c r="E28" s="19">
        <f>SUMIFS('Source build'!$N$7:$N$2006,'Source build'!$U$7:$U$2006,"INCLUDED",'Source build'!$V$7:$V$2006,A28)</f>
        <v>11009537</v>
      </c>
      <c r="F28" s="19">
        <f>SUMIFS('AI output'!$L$7:$L$2006,'AI output'!$P$7:$P$2006,A28,'AI output'!$I$7:$I$2006,1)</f>
        <v>11009537</v>
      </c>
      <c r="G28" s="19">
        <f>F28-E28</f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1" customHeight="1">
      <c r="A29" s="1" t="s">
        <v>43</v>
      </c>
      <c r="B29" s="11">
        <f>COUNTIFS('Source build'!$U$7:$U$2006,"INCLUDED",'Source build'!$V$7:$V$2006,A29)</f>
        <v>680</v>
      </c>
      <c r="C29" s="11">
        <f>COUNTIFS('AI output'!$P$7:$P$2006,A29,'AI output'!$I$7:$I$2006,1)</f>
        <v>680</v>
      </c>
      <c r="D29" s="11">
        <f>C29-B29</f>
        <v>0</v>
      </c>
      <c r="E29" s="19">
        <f>SUMIFS('Source build'!$N$7:$N$2006,'Source build'!$U$7:$U$2006,"INCLUDED",'Source build'!$V$7:$V$2006,A29)</f>
        <v>11896900</v>
      </c>
      <c r="F29" s="19">
        <f>SUMIFS('AI output'!$L$7:$L$2006,'AI output'!$P$7:$P$2006,A29,'AI output'!$I$7:$I$2006,1)</f>
        <v>11896900</v>
      </c>
      <c r="G29" s="19">
        <f>F29-E29</f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1" customHeight="1">
      <c r="A30" s="1" t="s">
        <v>44</v>
      </c>
      <c r="B30" s="11">
        <f>B10-SUM(B27:B29)</f>
        <v>0</v>
      </c>
      <c r="C30" s="11">
        <f>B12-SUM(C27:C29)</f>
        <v>0</v>
      </c>
      <c r="D30" s="11">
        <f>C30-B30</f>
        <v>0</v>
      </c>
      <c r="E30" s="19">
        <f>B23-SUM(E27:E29)</f>
        <v>0</v>
      </c>
      <c r="F30" s="19">
        <f>C23-SUM(F27:F29)</f>
        <v>0</v>
      </c>
      <c r="G30" s="19">
        <f>F30-E30</f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1" customHeight="1">
      <c r="A31" s="1"/>
      <c r="B31" s="11"/>
      <c r="C31" s="11"/>
      <c r="D31" s="11"/>
      <c r="E31" s="11"/>
      <c r="F31" s="11"/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1" customHeight="1">
      <c r="A32" s="1"/>
      <c r="B32" s="11"/>
      <c r="C32" s="11"/>
      <c r="D32" s="11"/>
      <c r="E32" s="11"/>
      <c r="F32" s="11"/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1" customHeight="1">
      <c r="A33" s="5" t="s">
        <v>45</v>
      </c>
      <c r="B33" s="12" t="s">
        <v>35</v>
      </c>
      <c r="C33" s="12" t="s">
        <v>36</v>
      </c>
      <c r="D33" s="12" t="s">
        <v>37</v>
      </c>
      <c r="E33" s="12" t="s">
        <v>38</v>
      </c>
      <c r="F33" s="12" t="s">
        <v>39</v>
      </c>
      <c r="G33" s="12" t="s">
        <v>40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1" customHeight="1">
      <c r="A34" s="1" t="s">
        <v>46</v>
      </c>
      <c r="B34" s="11">
        <f>COUNTIFS('Source build'!$U$7:$U$2006,"INCLUDED",'Source build'!$J$7:$J$2006,A34)</f>
        <v>659</v>
      </c>
      <c r="C34" s="11">
        <f>COUNTIFS('AI output'!$E$7:$E$2006,A34,'AI output'!$I$7:$I$2006,1)</f>
        <v>659</v>
      </c>
      <c r="D34" s="11">
        <f>C34-B34</f>
        <v>0</v>
      </c>
      <c r="E34" s="19">
        <f>SUMIFS('Source build'!$N$7:$N$2006,'Source build'!$U$7:$U$2006,"INCLUDED",'Source build'!$J$7:$J$2006,A34)</f>
        <v>11428696</v>
      </c>
      <c r="F34" s="19">
        <f>SUMIFS('AI output'!$L$7:$L$2006,'AI output'!$E$7:$E$2006,A34,'AI output'!$I$7:$I$2006,1)</f>
        <v>11428696</v>
      </c>
      <c r="G34" s="19">
        <f>F34-E34</f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1" customHeight="1">
      <c r="A35" s="1" t="s">
        <v>47</v>
      </c>
      <c r="B35" s="11">
        <f>COUNTIFS('Source build'!$U$7:$U$2006,"INCLUDED",'Source build'!$J$7:$J$2006,A35)</f>
        <v>659</v>
      </c>
      <c r="C35" s="11">
        <f>COUNTIFS('AI output'!$E$7:$E$2006,A35,'AI output'!$I$7:$I$2006,1)</f>
        <v>659</v>
      </c>
      <c r="D35" s="11">
        <f>C35-B35</f>
        <v>0</v>
      </c>
      <c r="E35" s="19">
        <f>SUMIFS('Source build'!$N$7:$N$2006,'Source build'!$U$7:$U$2006,"INCLUDED",'Source build'!$J$7:$J$2006,A35)</f>
        <v>11626590</v>
      </c>
      <c r="F35" s="19">
        <f>SUMIFS('AI output'!$L$7:$L$2006,'AI output'!$E$7:$E$2006,A35,'AI output'!$I$7:$I$2006,1)</f>
        <v>11626590</v>
      </c>
      <c r="G35" s="19">
        <f>F35-E35</f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1" customHeight="1">
      <c r="A36" s="21" t="s">
        <v>48</v>
      </c>
      <c r="B36" s="22">
        <f>COUNTIFS('Source build'!$U$7:$U$2006,"INCLUDED",'Source build'!$J$7:$J$2006,A36)</f>
        <v>660</v>
      </c>
      <c r="C36" s="22">
        <f>COUNTIFS('AI output'!$E$7:$E$2006,A36,'AI output'!$I$7:$I$2006,1)</f>
        <v>660</v>
      </c>
      <c r="D36" s="22">
        <f>C36-B36</f>
        <v>0</v>
      </c>
      <c r="E36" s="23">
        <f>SUMIFS('Source build'!$N$7:$N$2006,'Source build'!$U$7:$U$2006,"INCLUDED",'Source build'!$J$7:$J$2006,A36)</f>
        <v>11556816</v>
      </c>
      <c r="F36" s="23">
        <f>SUMIFS('AI output'!$L$7:$L$2006,'AI output'!$E$7:$E$2006,A36,'AI output'!$I$7:$I$2006,1)</f>
        <v>11556816</v>
      </c>
      <c r="G36" s="23">
        <f>F36-E36</f>
        <v>0</v>
      </c>
    </row>
    <row r="37" spans="1:26" ht="23.1" customHeight="1">
      <c r="A37" s="21" t="s">
        <v>49</v>
      </c>
      <c r="B37" s="22">
        <f>B10-SUM(B34:B36)</f>
        <v>0</v>
      </c>
      <c r="C37" s="22">
        <f>B12-SUM(C34:C36)</f>
        <v>0</v>
      </c>
      <c r="D37" s="22">
        <f>C37-B37</f>
        <v>0</v>
      </c>
      <c r="E37" s="23">
        <f>B23-SUM(E34:E36)</f>
        <v>0</v>
      </c>
      <c r="F37" s="23">
        <f>C23-SUM(F34:F36)</f>
        <v>0</v>
      </c>
      <c r="G37" s="23">
        <f>F37-E37</f>
        <v>0</v>
      </c>
    </row>
    <row r="38" spans="1:26" ht="23.1" customHeight="1">
      <c r="A38" s="21"/>
      <c r="B38" s="21"/>
      <c r="C38" s="21"/>
      <c r="D38" s="21"/>
      <c r="E38" s="21"/>
      <c r="F38" s="21"/>
      <c r="G38" s="21"/>
    </row>
    <row r="39" spans="1:26" ht="23.1" customHeight="1">
      <c r="A39" s="21"/>
      <c r="B39" s="21"/>
      <c r="C39" s="21"/>
      <c r="D39" s="21"/>
      <c r="E39" s="21"/>
      <c r="F39" s="21"/>
      <c r="G39" s="21"/>
    </row>
    <row r="40" spans="1:26" ht="23.1" customHeight="1">
      <c r="A40" s="21" t="s">
        <v>50</v>
      </c>
      <c r="B40" s="21"/>
      <c r="C40" s="21"/>
      <c r="D40" s="21"/>
      <c r="E40" s="21"/>
      <c r="F40" s="21"/>
      <c r="G40" s="21"/>
    </row>
    <row r="41" spans="1:26" ht="23.1" customHeight="1">
      <c r="A41" s="21" t="s">
        <v>51</v>
      </c>
      <c r="B41" s="21"/>
      <c r="C41" s="21"/>
      <c r="D41" s="21"/>
      <c r="E41" s="21"/>
      <c r="F41" s="21"/>
      <c r="G41" s="21"/>
    </row>
    <row r="42" spans="1:26" ht="23.1" customHeight="1">
      <c r="A42" s="21" t="s">
        <v>52</v>
      </c>
      <c r="B42" s="21"/>
      <c r="C42" s="21"/>
      <c r="D42" s="21"/>
      <c r="E42" s="21"/>
      <c r="F42" s="21"/>
      <c r="G42" s="21"/>
    </row>
    <row r="43" spans="1:26" ht="23.1" customHeight="1">
      <c r="A43" s="21" t="s">
        <v>53</v>
      </c>
      <c r="B43" s="21"/>
      <c r="C43" s="21"/>
      <c r="D43" s="21"/>
      <c r="E43" s="21"/>
      <c r="F43" s="21"/>
      <c r="G43" s="21"/>
    </row>
  </sheetData>
  <conditionalFormatting sqref="B11">
    <cfRule type="cellIs" dxfId="9" priority="1" operator="notEqual">
      <formula>0</formula>
    </cfRule>
  </conditionalFormatting>
  <conditionalFormatting sqref="B13:B17">
    <cfRule type="cellIs" dxfId="8" priority="2" operator="notEqual">
      <formula>0</formula>
    </cfRule>
  </conditionalFormatting>
  <conditionalFormatting sqref="D21:D23">
    <cfRule type="cellIs" dxfId="7" priority="3" operator="notEqual">
      <formula>0</formula>
    </cfRule>
  </conditionalFormatting>
  <conditionalFormatting sqref="D27:D30">
    <cfRule type="cellIs" dxfId="6" priority="4" operator="notEqual">
      <formula>0</formula>
    </cfRule>
  </conditionalFormatting>
  <conditionalFormatting sqref="D34:D37">
    <cfRule type="cellIs" dxfId="5" priority="6" operator="notEqual">
      <formula>0</formula>
    </cfRule>
  </conditionalFormatting>
  <conditionalFormatting sqref="G7:G10">
    <cfRule type="expression" dxfId="4" priority="8">
      <formula>$G7="REVIEW"</formula>
    </cfRule>
  </conditionalFormatting>
  <conditionalFormatting sqref="G27:G30">
    <cfRule type="cellIs" dxfId="3" priority="5" operator="notEqual">
      <formula>0</formula>
    </cfRule>
  </conditionalFormatting>
  <conditionalFormatting sqref="G34:G37">
    <cfRule type="cellIs" dxfId="2" priority="7" operator="not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06"/>
  <sheetViews>
    <sheetView showGridLines="0" workbookViewId="0">
      <pane ySplit="6" topLeftCell="A7" activePane="bottomLeft" state="frozen"/>
      <selection pane="bottomLeft"/>
    </sheetView>
  </sheetViews>
  <sheetFormatPr defaultRowHeight="14.25"/>
  <cols>
    <col min="1" max="3" width="18" customWidth="1"/>
    <col min="4" max="6" width="10" customWidth="1"/>
    <col min="7" max="14" width="18" customWidth="1"/>
    <col min="15" max="15" width="25" customWidth="1"/>
    <col min="16" max="16" width="65" customWidth="1"/>
    <col min="17" max="17" width="23.375" customWidth="1"/>
    <col min="18" max="18" width="21.625" customWidth="1"/>
    <col min="19" max="19" width="15" customWidth="1"/>
    <col min="20" max="21" width="25" customWidth="1"/>
    <col min="22" max="22" width="17" customWidth="1"/>
    <col min="23" max="23" width="18.375" customWidth="1"/>
    <col min="24" max="24" width="17" customWidth="1"/>
    <col min="25" max="25" width="26.625" customWidth="1"/>
    <col min="26" max="26" width="17" customWidth="1"/>
    <col min="27" max="27" width="30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8">
      <c r="A2" s="3" t="s">
        <v>54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>
      <c r="A4" s="2" t="s">
        <v>55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32.1" customHeight="1">
      <c r="A6" s="5" t="s">
        <v>56</v>
      </c>
      <c r="B6" s="5" t="s">
        <v>57</v>
      </c>
      <c r="C6" s="5" t="s">
        <v>58</v>
      </c>
      <c r="D6" s="5" t="s">
        <v>59</v>
      </c>
      <c r="E6" s="5" t="s">
        <v>34</v>
      </c>
      <c r="F6" s="5" t="s">
        <v>60</v>
      </c>
      <c r="G6" s="5" t="s">
        <v>61</v>
      </c>
      <c r="H6" s="5" t="s">
        <v>62</v>
      </c>
      <c r="I6" s="5" t="s">
        <v>63</v>
      </c>
      <c r="J6" s="5" t="s">
        <v>45</v>
      </c>
      <c r="K6" s="5" t="s">
        <v>64</v>
      </c>
      <c r="L6" s="5" t="s">
        <v>65</v>
      </c>
      <c r="M6" s="5" t="s">
        <v>66</v>
      </c>
      <c r="N6" s="5" t="s">
        <v>67</v>
      </c>
      <c r="O6" s="5" t="s">
        <v>68</v>
      </c>
      <c r="P6" s="5" t="s">
        <v>69</v>
      </c>
      <c r="Q6" s="5" t="s">
        <v>70</v>
      </c>
      <c r="R6" s="5" t="s">
        <v>71</v>
      </c>
      <c r="S6" s="5" t="s">
        <v>72</v>
      </c>
      <c r="T6" s="5" t="s">
        <v>73</v>
      </c>
      <c r="U6" s="5" t="s">
        <v>74</v>
      </c>
      <c r="V6" s="5" t="s">
        <v>75</v>
      </c>
      <c r="W6" s="5" t="s">
        <v>76</v>
      </c>
      <c r="X6" s="5" t="s">
        <v>77</v>
      </c>
      <c r="Y6" s="5" t="s">
        <v>78</v>
      </c>
      <c r="Z6" s="5" t="s">
        <v>79</v>
      </c>
      <c r="AA6" s="5" t="s">
        <v>80</v>
      </c>
    </row>
    <row r="7" spans="1:27" ht="18.95" customHeight="1">
      <c r="A7" s="1" t="str">
        <f>IF(Raw!A7="","",Raw!A7)</f>
        <v>L00001</v>
      </c>
      <c r="B7" s="1" t="str">
        <f>IF(Raw!B7="","",Raw!B7)</f>
        <v>T00001</v>
      </c>
      <c r="C7" s="1" t="str">
        <f>IF(Raw!C7="","",Raw!C7)</f>
        <v>2026-01-01</v>
      </c>
      <c r="D7" s="1">
        <f t="shared" ref="D7:D70" si="0">IFERROR(IF(AND(LEN(C7)=10,MID(C7,5,1)="-",MID(C7,8,1)="-"),VALUE(LEFT(C7,4)),IF(AND(LEN(C7)=11,MID(C7,3,1)="-",MID(C7,7,1)="-"),VALUE(RIGHT(C7,4)),0)),0)</f>
        <v>2026</v>
      </c>
      <c r="E7" s="1">
        <f>IFERROR(IF(AND(LEN(C7)=10,MID(C7,5,1)="-",MID(C7,8,1)="-"),VALUE(MID(C7,6,2)),IF(AND(LEN(C7)=11,MID(C7,3,1)="-",MID(C7,7,1)="-"),MATCH(UPPER(MID(C7,4,3)),Guide!$D$7:$D$18,0),0)),0)</f>
        <v>1</v>
      </c>
      <c r="F7" s="1">
        <f t="shared" ref="F7:F70" si="1">IFERROR(IF(AND(LEN(C7)=10,MID(C7,5,1)="-",MID(C7,8,1)="-"),VALUE(RIGHT(C7,2)),IF(AND(LEN(C7)=11,MID(C7,3,1)="-",MID(C7,7,1)="-"),VALUE(LEFT(C7,2)),0)),0)</f>
        <v>1</v>
      </c>
      <c r="G7" s="9">
        <f t="shared" ref="G7:G70" si="2">IFERROR(IF(AND(D7&gt;=1900,D7&lt;=9999,YEAR(DATE(D7,E7,F7))=D7,MONTH(DATE(D7,E7,F7))=E7,DAY(DATE(D7,E7,F7))=F7),DATE(D7,E7,F7),""),"")</f>
        <v>46023</v>
      </c>
      <c r="H7" s="1" t="str">
        <f>IF(Raw!D7="","",Raw!D7)</f>
        <v>P-A</v>
      </c>
      <c r="I7" s="1" t="str">
        <f>IFERROR(IF(EXACT(H7,INDEX(Guide!$A$7:$A$9,MATCH(SUBSTITUTE(SUBSTITUTE(SUBSTITUTE(H7,"~","~~"),"*","~*"),"?","~?"),Guide!$A$7:$A$9,0))),INDEX(Guide!$B$7:$B$9,MATCH(SUBSTITUTE(SUBSTITUTE(SUBSTITUTE(H7,"~","~~"),"*","~*"),"?","~?"),Guide!$A$7:$A$9,0)),""),"")</f>
        <v>Accessories</v>
      </c>
      <c r="J7" s="1" t="str">
        <f>IF(TRIM(Raw!E7)="",I7,IF(UPPER(TRIM(Raw!E7))=UPPER(I7),I7,""))</f>
        <v>Accessories</v>
      </c>
      <c r="K7" s="1" t="str">
        <f>IF(Raw!F7="","",Raw!F7)</f>
        <v>refund</v>
      </c>
      <c r="L7" s="1" t="str">
        <f>IF(LEFT(TRIM(Raw!G7),2)="-$","-"&amp;MID(TRIM(Raw!G7),3,99),IF(LEFT(TRIM(Raw!G7),1)="$",MID(TRIM(Raw!G7),2,99),TRIM(Raw!G7)))</f>
        <v>-4.99</v>
      </c>
      <c r="M7" s="1">
        <f t="shared" ref="M7:M70" si="3">IFERROR(VALUE(L7),"")</f>
        <v>-4.99</v>
      </c>
      <c r="N7" s="10">
        <f t="shared" ref="N7:N70" si="4">IF(AND(ISNUMBER(M7),ABS(M7*100-ROUND(M7*100,0))&lt;0.0000001),ROUND(M7*100,0),"")</f>
        <v>-499</v>
      </c>
      <c r="O7" s="1" t="b">
        <f>IFERROR(IF(ISNUMBER(Raw!G7),TRUE,OR(EXACT(L7,TEXT(M7,"0.00")),EXACT(L7,TEXT(M7,"#,##0.00")))),FALSE)</f>
        <v>1</v>
      </c>
      <c r="P7" s="1" t="str">
        <f>LEN(IF(Raw!A7="","",Raw!A7))&amp;":"&amp;IF(Raw!A7="","",Raw!A7)&amp;"|"&amp;LEN(IF(Raw!B7="","",Raw!B7))&amp;":"&amp;IF(Raw!B7="","",Raw!B7)&amp;"|"&amp;LEN(IF(Raw!C7="","",Raw!C7))&amp;":"&amp;IF(Raw!C7="","",Raw!C7)&amp;"|"&amp;LEN(IF(Raw!D7="","",Raw!D7))&amp;":"&amp;IF(Raw!D7="","",Raw!D7)&amp;"|"&amp;LEN(IF(Raw!E7="","",Raw!E7))&amp;":"&amp;IF(Raw!E7="","",Raw!E7)&amp;"|"&amp;LEN(IF(Raw!F7="","",Raw!F7))&amp;":"&amp;IF(Raw!F7="","",Raw!F7)&amp;"|"&amp;LEN(IF(Raw!G7="","",Raw!G7))&amp;":"&amp;IF(Raw!G7="","",Raw!G7)</f>
        <v>6:L00001|6:T00001|10:2026-01-01|3:P-A|11:Accessories|6:refund|5:-4.99</v>
      </c>
      <c r="Q7" s="1">
        <f>1</f>
        <v>1</v>
      </c>
      <c r="R7" s="1" t="b">
        <f>FALSE</f>
        <v>0</v>
      </c>
      <c r="S7" s="1">
        <f>1</f>
        <v>1</v>
      </c>
      <c r="T7" s="1" t="str">
        <f>IF(AND(Raw!A7="",Raw!B7="",Raw!C7="",Raw!D7="",Raw!E7="",Raw!F7="",Raw!G7=""),"UNUSED",IF(A7="","missing line ID",IF(B7="","missing transaction ID",IF(G7="",IF(C7="","missing date","invalid date"),IF(I7="","unknown product",IF(J7="","conflicting category",IF(NOT(OR(EXACT(K7,"sale"),EXACT(K7,"refund"))),"unknown event",IF(OR(N7="",NOT(O7)),"invalid amount",IF(OR(AND(K7="sale",N7&lt;=0),AND(K7="refund",N7&gt;=0)),"invalid sign","")))))))))</f>
        <v/>
      </c>
      <c r="U7" s="1" t="str">
        <f t="shared" ref="U7:U70" si="5">IF(T7="UNUSED","UNUSED",IF(R7,"QUARANTINE",IF(S7&gt;1,"DUPLICATE",IF(T7&lt;&gt;"","QUARANTINE","INCLUDED"))))</f>
        <v>INCLUDED</v>
      </c>
      <c r="V7" s="1" t="str">
        <f t="shared" ref="V7:V70" si="6">IF(G7="","",TEXT(G7,"yyyy-mm"))</f>
        <v>2026-01</v>
      </c>
      <c r="W7" s="1">
        <f>IF(AND(U7="INCLUDED",X7&gt;0,EXACT(A7,'AI output'!A7)),1,0)</f>
        <v>1</v>
      </c>
      <c r="X7" s="1">
        <f>7</f>
        <v>7</v>
      </c>
      <c r="Y7" s="1">
        <f>IF(AND(U7="INCLUDED",W7=1),--(NOT(EXACT(A7,'AI output'!A7)))+--(NOT(EXACT(B7,'AI output'!B7)))+--(NOT(EXACT(TEXT(G7,"yyyy-mm-dd"),'AI output'!C7)))+--(NOT(EXACT(H7,'AI output'!D7)))+--(NOT(EXACT(J7,'AI output'!E7)))+--(NOT(EXACT(K7,'AI output'!F7)))+--(N7&lt;&gt;'AI output'!L7)+--(NOT('AI output'!M7)),0)</f>
        <v>0</v>
      </c>
      <c r="Z7" s="1">
        <f t="shared" ref="Z7:Z70" si="7">IF(U7="INCLUDED",IF(OR(W7&lt;&gt;1,Y7&lt;&gt;0),1,0),0)</f>
        <v>0</v>
      </c>
      <c r="AA7" s="1">
        <f>--EXACT(A7,"L00001")</f>
        <v>1</v>
      </c>
    </row>
    <row r="8" spans="1:27" ht="18.95" customHeight="1">
      <c r="A8" s="1" t="str">
        <f>IF(Raw!A8="","",Raw!A8)</f>
        <v>L00002</v>
      </c>
      <c r="B8" s="1" t="str">
        <f>IF(Raw!B8="","",Raw!B8)</f>
        <v>T00001</v>
      </c>
      <c r="C8" s="1" t="str">
        <f>IF(Raw!C8="","",Raw!C8)</f>
        <v>2026-01-01</v>
      </c>
      <c r="D8" s="1">
        <f t="shared" si="0"/>
        <v>2026</v>
      </c>
      <c r="E8" s="1">
        <f>IFERROR(IF(AND(LEN(C8)=10,MID(C8,5,1)="-",MID(C8,8,1)="-"),VALUE(MID(C8,6,2)),IF(AND(LEN(C8)=11,MID(C8,3,1)="-",MID(C8,7,1)="-"),MATCH(UPPER(MID(C8,4,3)),Guide!$D$7:$D$18,0),0)),0)</f>
        <v>1</v>
      </c>
      <c r="F8" s="1">
        <f t="shared" si="1"/>
        <v>1</v>
      </c>
      <c r="G8" s="9">
        <f t="shared" si="2"/>
        <v>46023</v>
      </c>
      <c r="H8" s="1" t="str">
        <f>IF(Raw!D8="","",Raw!D8)</f>
        <v>P-H</v>
      </c>
      <c r="I8" s="1" t="str">
        <f>IFERROR(IF(EXACT(H8,INDEX(Guide!$A$7:$A$9,MATCH(SUBSTITUTE(SUBSTITUTE(SUBSTITUTE(H8,"~","~~"),"*","~*"),"?","~?"),Guide!$A$7:$A$9,0))),INDEX(Guide!$B$7:$B$9,MATCH(SUBSTITUTE(SUBSTITUTE(SUBSTITUTE(H8,"~","~~"),"*","~*"),"?","~?"),Guide!$A$7:$A$9,0)),""),"")</f>
        <v>Home</v>
      </c>
      <c r="J8" s="1" t="str">
        <f>IF(TRIM(Raw!E8)="",I8,IF(UPPER(TRIM(Raw!E8))=UPPER(I8),I8,""))</f>
        <v>Home</v>
      </c>
      <c r="K8" s="1" t="str">
        <f>IF(Raw!F8="","",Raw!F8)</f>
        <v>sale</v>
      </c>
      <c r="L8" s="1" t="str">
        <f>IF(LEFT(TRIM(Raw!G8),2)="-$","-"&amp;MID(TRIM(Raw!G8),3,99),IF(LEFT(TRIM(Raw!G8),1)="$",MID(TRIM(Raw!G8),2,99),TRIM(Raw!G8)))</f>
        <v>16.08</v>
      </c>
      <c r="M8" s="1">
        <f t="shared" si="3"/>
        <v>16.079999999999998</v>
      </c>
      <c r="N8" s="10">
        <f t="shared" si="4"/>
        <v>1608</v>
      </c>
      <c r="O8" s="1" t="b">
        <f>IFERROR(IF(ISNUMBER(Raw!G8),TRUE,OR(EXACT(L8,TEXT(M8,"0.00")),EXACT(L8,TEXT(M8,"#,##0.00")))),FALSE)</f>
        <v>1</v>
      </c>
      <c r="P8" s="1" t="str">
        <f>LEN(IF(Raw!A8="","",Raw!A8))&amp;":"&amp;IF(Raw!A8="","",Raw!A8)&amp;"|"&amp;LEN(IF(Raw!B8="","",Raw!B8))&amp;":"&amp;IF(Raw!B8="","",Raw!B8)&amp;"|"&amp;LEN(IF(Raw!C8="","",Raw!C8))&amp;":"&amp;IF(Raw!C8="","",Raw!C8)&amp;"|"&amp;LEN(IF(Raw!D8="","",Raw!D8))&amp;":"&amp;IF(Raw!D8="","",Raw!D8)&amp;"|"&amp;LEN(IF(Raw!E8="","",Raw!E8))&amp;":"&amp;IF(Raw!E8="","",Raw!E8)&amp;"|"&amp;LEN(IF(Raw!F8="","",Raw!F8))&amp;":"&amp;IF(Raw!F8="","",Raw!F8)&amp;"|"&amp;LEN(IF(Raw!G8="","",Raw!G8))&amp;":"&amp;IF(Raw!G8="","",Raw!G8)</f>
        <v>6:L00002|6:T00001|10:2026-01-01|3:P-H|4:Home|4:sale|5:16.08</v>
      </c>
      <c r="Q8" s="1">
        <f>1</f>
        <v>1</v>
      </c>
      <c r="R8" s="1" t="b">
        <f>FALSE</f>
        <v>0</v>
      </c>
      <c r="S8" s="1">
        <f>1</f>
        <v>1</v>
      </c>
      <c r="T8" s="1" t="str">
        <f>IF(AND(Raw!A8="",Raw!B8="",Raw!C8="",Raw!D8="",Raw!E8="",Raw!F8="",Raw!G8=""),"UNUSED",IF(A8="","missing line ID",IF(B8="","missing transaction ID",IF(G8="",IF(C8="","missing date","invalid date"),IF(I8="","unknown product",IF(J8="","conflicting category",IF(NOT(OR(EXACT(K8,"sale"),EXACT(K8,"refund"))),"unknown event",IF(OR(N8="",NOT(O8)),"invalid amount",IF(OR(AND(K8="sale",N8&lt;=0),AND(K8="refund",N8&gt;=0)),"invalid sign","")))))))))</f>
        <v/>
      </c>
      <c r="U8" s="1" t="str">
        <f t="shared" si="5"/>
        <v>INCLUDED</v>
      </c>
      <c r="V8" s="1" t="str">
        <f t="shared" si="6"/>
        <v>2026-01</v>
      </c>
      <c r="W8" s="1">
        <f>IF(AND(U8="INCLUDED",X8&gt;0,EXACT(A8,'AI output'!A8)),1,0)</f>
        <v>1</v>
      </c>
      <c r="X8" s="1">
        <f>8</f>
        <v>8</v>
      </c>
      <c r="Y8" s="1">
        <f>IF(AND(U8="INCLUDED",W8=1),--(NOT(EXACT(A8,'AI output'!A8)))+--(NOT(EXACT(B8,'AI output'!B8)))+--(NOT(EXACT(TEXT(G8,"yyyy-mm-dd"),'AI output'!C8)))+--(NOT(EXACT(H8,'AI output'!D8)))+--(NOT(EXACT(J8,'AI output'!E8)))+--(NOT(EXACT(K8,'AI output'!F8)))+--(N8&lt;&gt;'AI output'!L8)+--(NOT('AI output'!M8)),0)</f>
        <v>0</v>
      </c>
      <c r="Z8" s="1">
        <f t="shared" si="7"/>
        <v>0</v>
      </c>
      <c r="AA8" s="1">
        <f>--EXACT(A8,"L00002")</f>
        <v>1</v>
      </c>
    </row>
    <row r="9" spans="1:27" ht="18.95" customHeight="1">
      <c r="A9" s="1" t="str">
        <f>IF(Raw!A9="","",Raw!A9)</f>
        <v>L00003</v>
      </c>
      <c r="B9" s="1" t="str">
        <f>IF(Raw!B9="","",Raw!B9)</f>
        <v>T00002</v>
      </c>
      <c r="C9" s="1" t="str">
        <f>IF(Raw!C9="","",Raw!C9)</f>
        <v>2026-01-08</v>
      </c>
      <c r="D9" s="1">
        <f t="shared" si="0"/>
        <v>2026</v>
      </c>
      <c r="E9" s="1">
        <f>IFERROR(IF(AND(LEN(C9)=10,MID(C9,5,1)="-",MID(C9,8,1)="-"),VALUE(MID(C9,6,2)),IF(AND(LEN(C9)=11,MID(C9,3,1)="-",MID(C9,7,1)="-"),MATCH(UPPER(MID(C9,4,3)),Guide!$D$7:$D$18,0),0)),0)</f>
        <v>1</v>
      </c>
      <c r="F9" s="1">
        <f t="shared" si="1"/>
        <v>8</v>
      </c>
      <c r="G9" s="9">
        <f t="shared" si="2"/>
        <v>46030</v>
      </c>
      <c r="H9" s="1" t="str">
        <f>IF(Raw!D9="","",Raw!D9)</f>
        <v>P-O</v>
      </c>
      <c r="I9" s="1" t="str">
        <f>IFERROR(IF(EXACT(H9,INDEX(Guide!$A$7:$A$9,MATCH(SUBSTITUTE(SUBSTITUTE(SUBSTITUTE(H9,"~","~~"),"*","~*"),"?","~?"),Guide!$A$7:$A$9,0))),INDEX(Guide!$B$7:$B$9,MATCH(SUBSTITUTE(SUBSTITUTE(SUBSTITUTE(H9,"~","~~"),"*","~*"),"?","~?"),Guide!$A$7:$A$9,0)),""),"")</f>
        <v>Office</v>
      </c>
      <c r="J9" s="1" t="str">
        <f>IF(TRIM(Raw!E9)="",I9,IF(UPPER(TRIM(Raw!E9))=UPPER(I9),I9,""))</f>
        <v>Office</v>
      </c>
      <c r="K9" s="1" t="str">
        <f>IF(Raw!F9="","",Raw!F9)</f>
        <v>sale</v>
      </c>
      <c r="L9" s="1" t="str">
        <f>IF(LEFT(TRIM(Raw!G9),2)="-$","-"&amp;MID(TRIM(Raw!G9),3,99),IF(LEFT(TRIM(Raw!G9),1)="$",MID(TRIM(Raw!G9),2,99),TRIM(Raw!G9)))</f>
        <v>28.65</v>
      </c>
      <c r="M9" s="1">
        <f t="shared" si="3"/>
        <v>28.65</v>
      </c>
      <c r="N9" s="10">
        <f t="shared" si="4"/>
        <v>2865</v>
      </c>
      <c r="O9" s="1" t="b">
        <f>IFERROR(IF(ISNUMBER(Raw!G9),TRUE,OR(EXACT(L9,TEXT(M9,"0.00")),EXACT(L9,TEXT(M9,"#,##0.00")))),FALSE)</f>
        <v>1</v>
      </c>
      <c r="P9" s="1" t="str">
        <f>LEN(IF(Raw!A9="","",Raw!A9))&amp;":"&amp;IF(Raw!A9="","",Raw!A9)&amp;"|"&amp;LEN(IF(Raw!B9="","",Raw!B9))&amp;":"&amp;IF(Raw!B9="","",Raw!B9)&amp;"|"&amp;LEN(IF(Raw!C9="","",Raw!C9))&amp;":"&amp;IF(Raw!C9="","",Raw!C9)&amp;"|"&amp;LEN(IF(Raw!D9="","",Raw!D9))&amp;":"&amp;IF(Raw!D9="","",Raw!D9)&amp;"|"&amp;LEN(IF(Raw!E9="","",Raw!E9))&amp;":"&amp;IF(Raw!E9="","",Raw!E9)&amp;"|"&amp;LEN(IF(Raw!F9="","",Raw!F9))&amp;":"&amp;IF(Raw!F9="","",Raw!F9)&amp;"|"&amp;LEN(IF(Raw!G9="","",Raw!G9))&amp;":"&amp;IF(Raw!G9="","",Raw!G9)</f>
        <v>6:L00003|6:T00002|10:2026-01-08|3:P-O|6:Office|4:sale|5:28.65</v>
      </c>
      <c r="Q9" s="1">
        <f>1</f>
        <v>1</v>
      </c>
      <c r="R9" s="1" t="b">
        <f>FALSE</f>
        <v>0</v>
      </c>
      <c r="S9" s="1">
        <f>1</f>
        <v>1</v>
      </c>
      <c r="T9" s="1" t="str">
        <f>IF(AND(Raw!A9="",Raw!B9="",Raw!C9="",Raw!D9="",Raw!E9="",Raw!F9="",Raw!G9=""),"UNUSED",IF(A9="","missing line ID",IF(B9="","missing transaction ID",IF(G9="",IF(C9="","missing date","invalid date"),IF(I9="","unknown product",IF(J9="","conflicting category",IF(NOT(OR(EXACT(K9,"sale"),EXACT(K9,"refund"))),"unknown event",IF(OR(N9="",NOT(O9)),"invalid amount",IF(OR(AND(K9="sale",N9&lt;=0),AND(K9="refund",N9&gt;=0)),"invalid sign","")))))))))</f>
        <v/>
      </c>
      <c r="U9" s="1" t="str">
        <f t="shared" si="5"/>
        <v>INCLUDED</v>
      </c>
      <c r="V9" s="1" t="str">
        <f t="shared" si="6"/>
        <v>2026-01</v>
      </c>
      <c r="W9" s="1">
        <f>IF(AND(U9="INCLUDED",X9&gt;0,EXACT(A9,'AI output'!A9)),1,0)</f>
        <v>1</v>
      </c>
      <c r="X9" s="1">
        <f>9</f>
        <v>9</v>
      </c>
      <c r="Y9" s="1">
        <f>IF(AND(U9="INCLUDED",W9=1),--(NOT(EXACT(A9,'AI output'!A9)))+--(NOT(EXACT(B9,'AI output'!B9)))+--(NOT(EXACT(TEXT(G9,"yyyy-mm-dd"),'AI output'!C9)))+--(NOT(EXACT(H9,'AI output'!D9)))+--(NOT(EXACT(J9,'AI output'!E9)))+--(NOT(EXACT(K9,'AI output'!F9)))+--(N9&lt;&gt;'AI output'!L9)+--(NOT('AI output'!M9)),0)</f>
        <v>0</v>
      </c>
      <c r="Z9" s="1">
        <f t="shared" si="7"/>
        <v>0</v>
      </c>
      <c r="AA9" s="1">
        <f>--EXACT(A9,"L00003")</f>
        <v>1</v>
      </c>
    </row>
    <row r="10" spans="1:27" ht="18.95" customHeight="1">
      <c r="A10" s="1" t="str">
        <f>IF(Raw!A10="","",Raw!A10)</f>
        <v>L00004</v>
      </c>
      <c r="B10" s="1" t="str">
        <f>IF(Raw!B10="","",Raw!B10)</f>
        <v>T00002</v>
      </c>
      <c r="C10" s="1" t="str">
        <f>IF(Raw!C10="","",Raw!C10)</f>
        <v>2026-01-08</v>
      </c>
      <c r="D10" s="1">
        <f t="shared" si="0"/>
        <v>2026</v>
      </c>
      <c r="E10" s="1">
        <f>IFERROR(IF(AND(LEN(C10)=10,MID(C10,5,1)="-",MID(C10,8,1)="-"),VALUE(MID(C10,6,2)),IF(AND(LEN(C10)=11,MID(C10,3,1)="-",MID(C10,7,1)="-"),MATCH(UPPER(MID(C10,4,3)),Guide!$D$7:$D$18,0),0)),0)</f>
        <v>1</v>
      </c>
      <c r="F10" s="1">
        <f t="shared" si="1"/>
        <v>8</v>
      </c>
      <c r="G10" s="9">
        <f t="shared" si="2"/>
        <v>46030</v>
      </c>
      <c r="H10" s="1" t="str">
        <f>IF(Raw!D10="","",Raw!D10)</f>
        <v>P-A</v>
      </c>
      <c r="I10" s="1" t="str">
        <f>IFERROR(IF(EXACT(H10,INDEX(Guide!$A$7:$A$9,MATCH(SUBSTITUTE(SUBSTITUTE(SUBSTITUTE(H10,"~","~~"),"*","~*"),"?","~?"),Guide!$A$7:$A$9,0))),INDEX(Guide!$B$7:$B$9,MATCH(SUBSTITUTE(SUBSTITUTE(SUBSTITUTE(H10,"~","~~"),"*","~*"),"?","~?"),Guide!$A$7:$A$9,0)),""),"")</f>
        <v>Accessories</v>
      </c>
      <c r="J10" s="1" t="str">
        <f>IF(TRIM(Raw!E10)="",I10,IF(UPPER(TRIM(Raw!E10))=UPPER(I10),I10,""))</f>
        <v>Accessories</v>
      </c>
      <c r="K10" s="1" t="str">
        <f>IF(Raw!F10="","",Raw!F10)</f>
        <v>sale</v>
      </c>
      <c r="L10" s="1" t="str">
        <f>IF(LEFT(TRIM(Raw!G10),2)="-$","-"&amp;MID(TRIM(Raw!G10),3,99),IF(LEFT(TRIM(Raw!G10),1)="$",MID(TRIM(Raw!G10),2,99),TRIM(Raw!G10)))</f>
        <v>12.20</v>
      </c>
      <c r="M10" s="1">
        <f t="shared" si="3"/>
        <v>12.2</v>
      </c>
      <c r="N10" s="10">
        <f t="shared" si="4"/>
        <v>1220</v>
      </c>
      <c r="O10" s="1" t="b">
        <f>IFERROR(IF(ISNUMBER(Raw!G10),TRUE,OR(EXACT(L10,TEXT(M10,"0.00")),EXACT(L10,TEXT(M10,"#,##0.00")))),FALSE)</f>
        <v>1</v>
      </c>
      <c r="P10" s="1" t="str">
        <f>LEN(IF(Raw!A10="","",Raw!A10))&amp;":"&amp;IF(Raw!A10="","",Raw!A10)&amp;"|"&amp;LEN(IF(Raw!B10="","",Raw!B10))&amp;":"&amp;IF(Raw!B10="","",Raw!B10)&amp;"|"&amp;LEN(IF(Raw!C10="","",Raw!C10))&amp;":"&amp;IF(Raw!C10="","",Raw!C10)&amp;"|"&amp;LEN(IF(Raw!D10="","",Raw!D10))&amp;":"&amp;IF(Raw!D10="","",Raw!D10)&amp;"|"&amp;LEN(IF(Raw!E10="","",Raw!E10))&amp;":"&amp;IF(Raw!E10="","",Raw!E10)&amp;"|"&amp;LEN(IF(Raw!F10="","",Raw!F10))&amp;":"&amp;IF(Raw!F10="","",Raw!F10)&amp;"|"&amp;LEN(IF(Raw!G10="","",Raw!G10))&amp;":"&amp;IF(Raw!G10="","",Raw!G10)</f>
        <v>6:L00004|6:T00002|10:2026-01-08|3:P-A|11:Accessories|4:sale|5:12.20</v>
      </c>
      <c r="Q10" s="1">
        <f>1</f>
        <v>1</v>
      </c>
      <c r="R10" s="1" t="b">
        <f>FALSE</f>
        <v>0</v>
      </c>
      <c r="S10" s="1">
        <f>1</f>
        <v>1</v>
      </c>
      <c r="T10" s="1" t="str">
        <f>IF(AND(Raw!A10="",Raw!B10="",Raw!C10="",Raw!D10="",Raw!E10="",Raw!F10="",Raw!G10=""),"UNUSED",IF(A10="","missing line ID",IF(B10="","missing transaction ID",IF(G10="",IF(C10="","missing date","invalid date"),IF(I10="","unknown product",IF(J10="","conflicting category",IF(NOT(OR(EXACT(K10,"sale"),EXACT(K10,"refund"))),"unknown event",IF(OR(N10="",NOT(O10)),"invalid amount",IF(OR(AND(K10="sale",N10&lt;=0),AND(K10="refund",N10&gt;=0)),"invalid sign","")))))))))</f>
        <v/>
      </c>
      <c r="U10" s="1" t="str">
        <f t="shared" si="5"/>
        <v>INCLUDED</v>
      </c>
      <c r="V10" s="1" t="str">
        <f t="shared" si="6"/>
        <v>2026-01</v>
      </c>
      <c r="W10" s="1">
        <f>IF(AND(U10="INCLUDED",X10&gt;0,EXACT(A10,'AI output'!A10)),1,0)</f>
        <v>1</v>
      </c>
      <c r="X10" s="1">
        <f>10</f>
        <v>10</v>
      </c>
      <c r="Y10" s="1">
        <f>IF(AND(U10="INCLUDED",W10=1),--(NOT(EXACT(A10,'AI output'!A10)))+--(NOT(EXACT(B10,'AI output'!B10)))+--(NOT(EXACT(TEXT(G10,"yyyy-mm-dd"),'AI output'!C10)))+--(NOT(EXACT(H10,'AI output'!D10)))+--(NOT(EXACT(J10,'AI output'!E10)))+--(NOT(EXACT(K10,'AI output'!F10)))+--(N10&lt;&gt;'AI output'!L10)+--(NOT('AI output'!M10)),0)</f>
        <v>0</v>
      </c>
      <c r="Z10" s="1">
        <f t="shared" si="7"/>
        <v>0</v>
      </c>
      <c r="AA10" s="1">
        <f>--EXACT(A10,"L00004")</f>
        <v>1</v>
      </c>
    </row>
    <row r="11" spans="1:27" ht="18.95" customHeight="1">
      <c r="A11" s="1" t="str">
        <f>IF(Raw!A11="","",Raw!A11)</f>
        <v>L00005</v>
      </c>
      <c r="B11" s="1" t="str">
        <f>IF(Raw!B11="","",Raw!B11)</f>
        <v>T00003</v>
      </c>
      <c r="C11" s="1" t="str">
        <f>IF(Raw!C11="","",Raw!C11)</f>
        <v>2026-01-15</v>
      </c>
      <c r="D11" s="1">
        <f t="shared" si="0"/>
        <v>2026</v>
      </c>
      <c r="E11" s="1">
        <f>IFERROR(IF(AND(LEN(C11)=10,MID(C11,5,1)="-",MID(C11,8,1)="-"),VALUE(MID(C11,6,2)),IF(AND(LEN(C11)=11,MID(C11,3,1)="-",MID(C11,7,1)="-"),MATCH(UPPER(MID(C11,4,3)),Guide!$D$7:$D$18,0),0)),0)</f>
        <v>1</v>
      </c>
      <c r="F11" s="1">
        <f t="shared" si="1"/>
        <v>15</v>
      </c>
      <c r="G11" s="9">
        <f t="shared" si="2"/>
        <v>46037</v>
      </c>
      <c r="H11" s="1" t="str">
        <f>IF(Raw!D11="","",Raw!D11)</f>
        <v>P-H</v>
      </c>
      <c r="I11" s="1" t="str">
        <f>IFERROR(IF(EXACT(H11,INDEX(Guide!$A$7:$A$9,MATCH(SUBSTITUTE(SUBSTITUTE(SUBSTITUTE(H11,"~","~~"),"*","~*"),"?","~?"),Guide!$A$7:$A$9,0))),INDEX(Guide!$B$7:$B$9,MATCH(SUBSTITUTE(SUBSTITUTE(SUBSTITUTE(H11,"~","~~"),"*","~*"),"?","~?"),Guide!$A$7:$A$9,0)),""),"")</f>
        <v>Home</v>
      </c>
      <c r="J11" s="1" t="str">
        <f>IF(TRIM(Raw!E11)="",I11,IF(UPPER(TRIM(Raw!E11))=UPPER(I11),I11,""))</f>
        <v>Home</v>
      </c>
      <c r="K11" s="1" t="str">
        <f>IF(Raw!F11="","",Raw!F11)</f>
        <v>sale</v>
      </c>
      <c r="L11" s="1" t="str">
        <f>IF(LEFT(TRIM(Raw!G11),2)="-$","-"&amp;MID(TRIM(Raw!G11),3,99),IF(LEFT(TRIM(Raw!G11),1)="$",MID(TRIM(Raw!G11),2,99),TRIM(Raw!G11)))</f>
        <v>25.88</v>
      </c>
      <c r="M11" s="1">
        <f t="shared" si="3"/>
        <v>25.88</v>
      </c>
      <c r="N11" s="10">
        <f t="shared" si="4"/>
        <v>2588</v>
      </c>
      <c r="O11" s="1" t="b">
        <f>IFERROR(IF(ISNUMBER(Raw!G11),TRUE,OR(EXACT(L11,TEXT(M11,"0.00")),EXACT(L11,TEXT(M11,"#,##0.00")))),FALSE)</f>
        <v>1</v>
      </c>
      <c r="P11" s="1" t="str">
        <f>LEN(IF(Raw!A11="","",Raw!A11))&amp;":"&amp;IF(Raw!A11="","",Raw!A11)&amp;"|"&amp;LEN(IF(Raw!B11="","",Raw!B11))&amp;":"&amp;IF(Raw!B11="","",Raw!B11)&amp;"|"&amp;LEN(IF(Raw!C11="","",Raw!C11))&amp;":"&amp;IF(Raw!C11="","",Raw!C11)&amp;"|"&amp;LEN(IF(Raw!D11="","",Raw!D11))&amp;":"&amp;IF(Raw!D11="","",Raw!D11)&amp;"|"&amp;LEN(IF(Raw!E11="","",Raw!E11))&amp;":"&amp;IF(Raw!E11="","",Raw!E11)&amp;"|"&amp;LEN(IF(Raw!F11="","",Raw!F11))&amp;":"&amp;IF(Raw!F11="","",Raw!F11)&amp;"|"&amp;LEN(IF(Raw!G11="","",Raw!G11))&amp;":"&amp;IF(Raw!G11="","",Raw!G11)</f>
        <v>6:L00005|6:T00003|10:2026-01-15|3:P-H|4:Home|4:sale|5:25.88</v>
      </c>
      <c r="Q11" s="1">
        <f>1</f>
        <v>1</v>
      </c>
      <c r="R11" s="1" t="b">
        <f>FALSE</f>
        <v>0</v>
      </c>
      <c r="S11" s="1">
        <f>1</f>
        <v>1</v>
      </c>
      <c r="T11" s="1" t="str">
        <f>IF(AND(Raw!A11="",Raw!B11="",Raw!C11="",Raw!D11="",Raw!E11="",Raw!F11="",Raw!G11=""),"UNUSED",IF(A11="","missing line ID",IF(B11="","missing transaction ID",IF(G11="",IF(C11="","missing date","invalid date"),IF(I11="","unknown product",IF(J11="","conflicting category",IF(NOT(OR(EXACT(K11,"sale"),EXACT(K11,"refund"))),"unknown event",IF(OR(N11="",NOT(O11)),"invalid amount",IF(OR(AND(K11="sale",N11&lt;=0),AND(K11="refund",N11&gt;=0)),"invalid sign","")))))))))</f>
        <v/>
      </c>
      <c r="U11" s="1" t="str">
        <f t="shared" si="5"/>
        <v>INCLUDED</v>
      </c>
      <c r="V11" s="1" t="str">
        <f t="shared" si="6"/>
        <v>2026-01</v>
      </c>
      <c r="W11" s="1">
        <f>IF(AND(U11="INCLUDED",X11&gt;0,EXACT(A11,'AI output'!A11)),1,0)</f>
        <v>1</v>
      </c>
      <c r="X11" s="1">
        <f>11</f>
        <v>11</v>
      </c>
      <c r="Y11" s="1">
        <f>IF(AND(U11="INCLUDED",W11=1),--(NOT(EXACT(A11,'AI output'!A11)))+--(NOT(EXACT(B11,'AI output'!B11)))+--(NOT(EXACT(TEXT(G11,"yyyy-mm-dd"),'AI output'!C11)))+--(NOT(EXACT(H11,'AI output'!D11)))+--(NOT(EXACT(J11,'AI output'!E11)))+--(NOT(EXACT(K11,'AI output'!F11)))+--(N11&lt;&gt;'AI output'!L11)+--(NOT('AI output'!M11)),0)</f>
        <v>0</v>
      </c>
      <c r="Z11" s="1">
        <f t="shared" si="7"/>
        <v>0</v>
      </c>
      <c r="AA11" s="1">
        <f>--EXACT(A11,"L00005")</f>
        <v>1</v>
      </c>
    </row>
    <row r="12" spans="1:27" ht="18.95" customHeight="1">
      <c r="A12" s="1" t="str">
        <f>IF(Raw!A12="","",Raw!A12)</f>
        <v>L00006</v>
      </c>
      <c r="B12" s="1" t="str">
        <f>IF(Raw!B12="","",Raw!B12)</f>
        <v>T00003</v>
      </c>
      <c r="C12" s="1" t="str">
        <f>IF(Raw!C12="","",Raw!C12)</f>
        <v>2026-01-15</v>
      </c>
      <c r="D12" s="1">
        <f t="shared" si="0"/>
        <v>2026</v>
      </c>
      <c r="E12" s="1">
        <f>IFERROR(IF(AND(LEN(C12)=10,MID(C12,5,1)="-",MID(C12,8,1)="-"),VALUE(MID(C12,6,2)),IF(AND(LEN(C12)=11,MID(C12,3,1)="-",MID(C12,7,1)="-"),MATCH(UPPER(MID(C12,4,3)),Guide!$D$7:$D$18,0),0)),0)</f>
        <v>1</v>
      </c>
      <c r="F12" s="1">
        <f t="shared" si="1"/>
        <v>15</v>
      </c>
      <c r="G12" s="9">
        <f t="shared" si="2"/>
        <v>46037</v>
      </c>
      <c r="H12" s="1" t="str">
        <f>IF(Raw!D12="","",Raw!D12)</f>
        <v>P-O</v>
      </c>
      <c r="I12" s="1" t="str">
        <f>IFERROR(IF(EXACT(H12,INDEX(Guide!$A$7:$A$9,MATCH(SUBSTITUTE(SUBSTITUTE(SUBSTITUTE(H12,"~","~~"),"*","~*"),"?","~?"),Guide!$A$7:$A$9,0))),INDEX(Guide!$B$7:$B$9,MATCH(SUBSTITUTE(SUBSTITUTE(SUBSTITUTE(H12,"~","~~"),"*","~*"),"?","~?"),Guide!$A$7:$A$9,0)),""),"")</f>
        <v>Office</v>
      </c>
      <c r="J12" s="1" t="str">
        <f>IF(TRIM(Raw!E12)="",I12,IF(UPPER(TRIM(Raw!E12))=UPPER(I12),I12,""))</f>
        <v>Office</v>
      </c>
      <c r="K12" s="1" t="str">
        <f>IF(Raw!F12="","",Raw!F12)</f>
        <v>sale</v>
      </c>
      <c r="L12" s="1" t="str">
        <f>IF(LEFT(TRIM(Raw!G12),2)="-$","-"&amp;MID(TRIM(Raw!G12),3,99),IF(LEFT(TRIM(Raw!G12),1)="$",MID(TRIM(Raw!G12),2,99),TRIM(Raw!G12)))</f>
        <v>6.84</v>
      </c>
      <c r="M12" s="1">
        <f t="shared" si="3"/>
        <v>6.84</v>
      </c>
      <c r="N12" s="10">
        <f t="shared" si="4"/>
        <v>684</v>
      </c>
      <c r="O12" s="1" t="b">
        <f>IFERROR(IF(ISNUMBER(Raw!G12),TRUE,OR(EXACT(L12,TEXT(M12,"0.00")),EXACT(L12,TEXT(M12,"#,##0.00")))),FALSE)</f>
        <v>1</v>
      </c>
      <c r="P12" s="1" t="str">
        <f>LEN(IF(Raw!A12="","",Raw!A12))&amp;":"&amp;IF(Raw!A12="","",Raw!A12)&amp;"|"&amp;LEN(IF(Raw!B12="","",Raw!B12))&amp;":"&amp;IF(Raw!B12="","",Raw!B12)&amp;"|"&amp;LEN(IF(Raw!C12="","",Raw!C12))&amp;":"&amp;IF(Raw!C12="","",Raw!C12)&amp;"|"&amp;LEN(IF(Raw!D12="","",Raw!D12))&amp;":"&amp;IF(Raw!D12="","",Raw!D12)&amp;"|"&amp;LEN(IF(Raw!E12="","",Raw!E12))&amp;":"&amp;IF(Raw!E12="","",Raw!E12)&amp;"|"&amp;LEN(IF(Raw!F12="","",Raw!F12))&amp;":"&amp;IF(Raw!F12="","",Raw!F12)&amp;"|"&amp;LEN(IF(Raw!G12="","",Raw!G12))&amp;":"&amp;IF(Raw!G12="","",Raw!G12)</f>
        <v>6:L00006|6:T00003|10:2026-01-15|3:P-O|6:Office|4:sale|4:6.84</v>
      </c>
      <c r="Q12" s="1">
        <f>1</f>
        <v>1</v>
      </c>
      <c r="R12" s="1" t="b">
        <f>FALSE</f>
        <v>0</v>
      </c>
      <c r="S12" s="1">
        <f>1</f>
        <v>1</v>
      </c>
      <c r="T12" s="1" t="str">
        <f>IF(AND(Raw!A12="",Raw!B12="",Raw!C12="",Raw!D12="",Raw!E12="",Raw!F12="",Raw!G12=""),"UNUSED",IF(A12="","missing line ID",IF(B12="","missing transaction ID",IF(G12="",IF(C12="","missing date","invalid date"),IF(I12="","unknown product",IF(J12="","conflicting category",IF(NOT(OR(EXACT(K12,"sale"),EXACT(K12,"refund"))),"unknown event",IF(OR(N12="",NOT(O12)),"invalid amount",IF(OR(AND(K12="sale",N12&lt;=0),AND(K12="refund",N12&gt;=0)),"invalid sign","")))))))))</f>
        <v/>
      </c>
      <c r="U12" s="1" t="str">
        <f t="shared" si="5"/>
        <v>INCLUDED</v>
      </c>
      <c r="V12" s="1" t="str">
        <f t="shared" si="6"/>
        <v>2026-01</v>
      </c>
      <c r="W12" s="1">
        <f>IF(AND(U12="INCLUDED",X12&gt;0,EXACT(A12,'AI output'!A12)),1,0)</f>
        <v>1</v>
      </c>
      <c r="X12" s="1">
        <f>12</f>
        <v>12</v>
      </c>
      <c r="Y12" s="1">
        <f>IF(AND(U12="INCLUDED",W12=1),--(NOT(EXACT(A12,'AI output'!A12)))+--(NOT(EXACT(B12,'AI output'!B12)))+--(NOT(EXACT(TEXT(G12,"yyyy-mm-dd"),'AI output'!C12)))+--(NOT(EXACT(H12,'AI output'!D12)))+--(NOT(EXACT(J12,'AI output'!E12)))+--(NOT(EXACT(K12,'AI output'!F12)))+--(N12&lt;&gt;'AI output'!L12)+--(NOT('AI output'!M12)),0)</f>
        <v>0</v>
      </c>
      <c r="Z12" s="1">
        <f t="shared" si="7"/>
        <v>0</v>
      </c>
      <c r="AA12" s="1">
        <f>--EXACT(A12,"L00006")</f>
        <v>1</v>
      </c>
    </row>
    <row r="13" spans="1:27" ht="18.95" customHeight="1">
      <c r="A13" s="1" t="str">
        <f>IF(Raw!A13="","",Raw!A13)</f>
        <v>L00007</v>
      </c>
      <c r="B13" s="1" t="str">
        <f>IF(Raw!B13="","",Raw!B13)</f>
        <v>T00004</v>
      </c>
      <c r="C13" s="1" t="str">
        <f>IF(Raw!C13="","",Raw!C13)</f>
        <v>2026-01-22</v>
      </c>
      <c r="D13" s="1">
        <f t="shared" si="0"/>
        <v>2026</v>
      </c>
      <c r="E13" s="1">
        <f>IFERROR(IF(AND(LEN(C13)=10,MID(C13,5,1)="-",MID(C13,8,1)="-"),VALUE(MID(C13,6,2)),IF(AND(LEN(C13)=11,MID(C13,3,1)="-",MID(C13,7,1)="-"),MATCH(UPPER(MID(C13,4,3)),Guide!$D$7:$D$18,0),0)),0)</f>
        <v>1</v>
      </c>
      <c r="F13" s="1">
        <f t="shared" si="1"/>
        <v>22</v>
      </c>
      <c r="G13" s="9">
        <f t="shared" si="2"/>
        <v>46044</v>
      </c>
      <c r="H13" s="1" t="str">
        <f>IF(Raw!D13="","",Raw!D13)</f>
        <v>P-A</v>
      </c>
      <c r="I13" s="1" t="str">
        <f>IFERROR(IF(EXACT(H13,INDEX(Guide!$A$7:$A$9,MATCH(SUBSTITUTE(SUBSTITUTE(SUBSTITUTE(H13,"~","~~"),"*","~*"),"?","~?"),Guide!$A$7:$A$9,0))),INDEX(Guide!$B$7:$B$9,MATCH(SUBSTITUTE(SUBSTITUTE(SUBSTITUTE(H13,"~","~~"),"*","~*"),"?","~?"),Guide!$A$7:$A$9,0)),""),"")</f>
        <v>Accessories</v>
      </c>
      <c r="J13" s="1" t="str">
        <f>IF(TRIM(Raw!E13)="",I13,IF(UPPER(TRIM(Raw!E13))=UPPER(I13),I13,""))</f>
        <v>Accessories</v>
      </c>
      <c r="K13" s="1" t="str">
        <f>IF(Raw!F13="","",Raw!F13)</f>
        <v>sale</v>
      </c>
      <c r="L13" s="1" t="str">
        <f>IF(LEFT(TRIM(Raw!G13),2)="-$","-"&amp;MID(TRIM(Raw!G13),3,99),IF(LEFT(TRIM(Raw!G13),1)="$",MID(TRIM(Raw!G13),2,99),TRIM(Raw!G13)))</f>
        <v>21.63</v>
      </c>
      <c r="M13" s="1">
        <f t="shared" si="3"/>
        <v>21.63</v>
      </c>
      <c r="N13" s="10">
        <f t="shared" si="4"/>
        <v>2163</v>
      </c>
      <c r="O13" s="1" t="b">
        <f>IFERROR(IF(ISNUMBER(Raw!G13),TRUE,OR(EXACT(L13,TEXT(M13,"0.00")),EXACT(L13,TEXT(M13,"#,##0.00")))),FALSE)</f>
        <v>1</v>
      </c>
      <c r="P13" s="1" t="str">
        <f>LEN(IF(Raw!A13="","",Raw!A13))&amp;":"&amp;IF(Raw!A13="","",Raw!A13)&amp;"|"&amp;LEN(IF(Raw!B13="","",Raw!B13))&amp;":"&amp;IF(Raw!B13="","",Raw!B13)&amp;"|"&amp;LEN(IF(Raw!C13="","",Raw!C13))&amp;":"&amp;IF(Raw!C13="","",Raw!C13)&amp;"|"&amp;LEN(IF(Raw!D13="","",Raw!D13))&amp;":"&amp;IF(Raw!D13="","",Raw!D13)&amp;"|"&amp;LEN(IF(Raw!E13="","",Raw!E13))&amp;":"&amp;IF(Raw!E13="","",Raw!E13)&amp;"|"&amp;LEN(IF(Raw!F13="","",Raw!F13))&amp;":"&amp;IF(Raw!F13="","",Raw!F13)&amp;"|"&amp;LEN(IF(Raw!G13="","",Raw!G13))&amp;":"&amp;IF(Raw!G13="","",Raw!G13)</f>
        <v>6:L00007|6:T00004|10:2026-01-22|3:P-A|11:Accessories|4:sale|5:21.63</v>
      </c>
      <c r="Q13" s="1">
        <f>1</f>
        <v>1</v>
      </c>
      <c r="R13" s="1" t="b">
        <f>FALSE</f>
        <v>0</v>
      </c>
      <c r="S13" s="1">
        <f>1</f>
        <v>1</v>
      </c>
      <c r="T13" s="1" t="str">
        <f>IF(AND(Raw!A13="",Raw!B13="",Raw!C13="",Raw!D13="",Raw!E13="",Raw!F13="",Raw!G13=""),"UNUSED",IF(A13="","missing line ID",IF(B13="","missing transaction ID",IF(G13="",IF(C13="","missing date","invalid date"),IF(I13="","unknown product",IF(J13="","conflicting category",IF(NOT(OR(EXACT(K13,"sale"),EXACT(K13,"refund"))),"unknown event",IF(OR(N13="",NOT(O13)),"invalid amount",IF(OR(AND(K13="sale",N13&lt;=0),AND(K13="refund",N13&gt;=0)),"invalid sign","")))))))))</f>
        <v/>
      </c>
      <c r="U13" s="1" t="str">
        <f t="shared" si="5"/>
        <v>INCLUDED</v>
      </c>
      <c r="V13" s="1" t="str">
        <f t="shared" si="6"/>
        <v>2026-01</v>
      </c>
      <c r="W13" s="1">
        <f>IF(AND(U13="INCLUDED",X13&gt;0,EXACT(A13,'AI output'!A13)),1,0)</f>
        <v>1</v>
      </c>
      <c r="X13" s="1">
        <f>13</f>
        <v>13</v>
      </c>
      <c r="Y13" s="1">
        <f>IF(AND(U13="INCLUDED",W13=1),--(NOT(EXACT(A13,'AI output'!A13)))+--(NOT(EXACT(B13,'AI output'!B13)))+--(NOT(EXACT(TEXT(G13,"yyyy-mm-dd"),'AI output'!C13)))+--(NOT(EXACT(H13,'AI output'!D13)))+--(NOT(EXACT(J13,'AI output'!E13)))+--(NOT(EXACT(K13,'AI output'!F13)))+--(N13&lt;&gt;'AI output'!L13)+--(NOT('AI output'!M13)),0)</f>
        <v>0</v>
      </c>
      <c r="Z13" s="1">
        <f t="shared" si="7"/>
        <v>0</v>
      </c>
      <c r="AA13" s="1">
        <f>--EXACT(A13,"L00007")</f>
        <v>1</v>
      </c>
    </row>
    <row r="14" spans="1:27" ht="18.95" customHeight="1">
      <c r="A14" s="1" t="str">
        <f>IF(Raw!A14="","",Raw!A14)</f>
        <v>L00008</v>
      </c>
      <c r="B14" s="1" t="str">
        <f>IF(Raw!B14="","",Raw!B14)</f>
        <v>T00004</v>
      </c>
      <c r="C14" s="1" t="str">
        <f>IF(Raw!C14="","",Raw!C14)</f>
        <v>2026-01-22</v>
      </c>
      <c r="D14" s="1">
        <f t="shared" si="0"/>
        <v>2026</v>
      </c>
      <c r="E14" s="1">
        <f>IFERROR(IF(AND(LEN(C14)=10,MID(C14,5,1)="-",MID(C14,8,1)="-"),VALUE(MID(C14,6,2)),IF(AND(LEN(C14)=11,MID(C14,3,1)="-",MID(C14,7,1)="-"),MATCH(UPPER(MID(C14,4,3)),Guide!$D$7:$D$18,0),0)),0)</f>
        <v>1</v>
      </c>
      <c r="F14" s="1">
        <f t="shared" si="1"/>
        <v>22</v>
      </c>
      <c r="G14" s="9">
        <f t="shared" si="2"/>
        <v>46044</v>
      </c>
      <c r="H14" s="1" t="str">
        <f>IF(Raw!D14="","",Raw!D14)</f>
        <v>P-H</v>
      </c>
      <c r="I14" s="1" t="str">
        <f>IFERROR(IF(EXACT(H14,INDEX(Guide!$A$7:$A$9,MATCH(SUBSTITUTE(SUBSTITUTE(SUBSTITUTE(H14,"~","~~"),"*","~*"),"?","~?"),Guide!$A$7:$A$9,0))),INDEX(Guide!$B$7:$B$9,MATCH(SUBSTITUTE(SUBSTITUTE(SUBSTITUTE(H14,"~","~~"),"*","~*"),"?","~?"),Guide!$A$7:$A$9,0)),""),"")</f>
        <v>Home</v>
      </c>
      <c r="J14" s="1" t="str">
        <f>IF(TRIM(Raw!E14)="",I14,IF(UPPER(TRIM(Raw!E14))=UPPER(I14),I14,""))</f>
        <v>Home</v>
      </c>
      <c r="K14" s="1" t="str">
        <f>IF(Raw!F14="","",Raw!F14)</f>
        <v>sale</v>
      </c>
      <c r="L14" s="1" t="str">
        <f>IF(LEFT(TRIM(Raw!G14),2)="-$","-"&amp;MID(TRIM(Raw!G14),3,99),IF(LEFT(TRIM(Raw!G14),1)="$",MID(TRIM(Raw!G14),2,99),TRIM(Raw!G14)))</f>
        <v>37.90</v>
      </c>
      <c r="M14" s="1">
        <f t="shared" si="3"/>
        <v>37.9</v>
      </c>
      <c r="N14" s="10">
        <f t="shared" si="4"/>
        <v>3790</v>
      </c>
      <c r="O14" s="1" t="b">
        <f>IFERROR(IF(ISNUMBER(Raw!G14),TRUE,OR(EXACT(L14,TEXT(M14,"0.00")),EXACT(L14,TEXT(M14,"#,##0.00")))),FALSE)</f>
        <v>1</v>
      </c>
      <c r="P14" s="1" t="str">
        <f>LEN(IF(Raw!A14="","",Raw!A14))&amp;":"&amp;IF(Raw!A14="","",Raw!A14)&amp;"|"&amp;LEN(IF(Raw!B14="","",Raw!B14))&amp;":"&amp;IF(Raw!B14="","",Raw!B14)&amp;"|"&amp;LEN(IF(Raw!C14="","",Raw!C14))&amp;":"&amp;IF(Raw!C14="","",Raw!C14)&amp;"|"&amp;LEN(IF(Raw!D14="","",Raw!D14))&amp;":"&amp;IF(Raw!D14="","",Raw!D14)&amp;"|"&amp;LEN(IF(Raw!E14="","",Raw!E14))&amp;":"&amp;IF(Raw!E14="","",Raw!E14)&amp;"|"&amp;LEN(IF(Raw!F14="","",Raw!F14))&amp;":"&amp;IF(Raw!F14="","",Raw!F14)&amp;"|"&amp;LEN(IF(Raw!G14="","",Raw!G14))&amp;":"&amp;IF(Raw!G14="","",Raw!G14)</f>
        <v>6:L00008|6:T00004|10:2026-01-22|3:P-H|4:Home|4:sale|5:37.90</v>
      </c>
      <c r="Q14" s="1">
        <f>1</f>
        <v>1</v>
      </c>
      <c r="R14" s="1" t="b">
        <f>FALSE</f>
        <v>0</v>
      </c>
      <c r="S14" s="1">
        <f>1</f>
        <v>1</v>
      </c>
      <c r="T14" s="1" t="str">
        <f>IF(AND(Raw!A14="",Raw!B14="",Raw!C14="",Raw!D14="",Raw!E14="",Raw!F14="",Raw!G14=""),"UNUSED",IF(A14="","missing line ID",IF(B14="","missing transaction ID",IF(G14="",IF(C14="","missing date","invalid date"),IF(I14="","unknown product",IF(J14="","conflicting category",IF(NOT(OR(EXACT(K14,"sale"),EXACT(K14,"refund"))),"unknown event",IF(OR(N14="",NOT(O14)),"invalid amount",IF(OR(AND(K14="sale",N14&lt;=0),AND(K14="refund",N14&gt;=0)),"invalid sign","")))))))))</f>
        <v/>
      </c>
      <c r="U14" s="1" t="str">
        <f t="shared" si="5"/>
        <v>INCLUDED</v>
      </c>
      <c r="V14" s="1" t="str">
        <f t="shared" si="6"/>
        <v>2026-01</v>
      </c>
      <c r="W14" s="1">
        <f>IF(AND(U14="INCLUDED",X14&gt;0,EXACT(A14,'AI output'!A14)),1,0)</f>
        <v>1</v>
      </c>
      <c r="X14" s="1">
        <f>14</f>
        <v>14</v>
      </c>
      <c r="Y14" s="1">
        <f>IF(AND(U14="INCLUDED",W14=1),--(NOT(EXACT(A14,'AI output'!A14)))+--(NOT(EXACT(B14,'AI output'!B14)))+--(NOT(EXACT(TEXT(G14,"yyyy-mm-dd"),'AI output'!C14)))+--(NOT(EXACT(H14,'AI output'!D14)))+--(NOT(EXACT(J14,'AI output'!E14)))+--(NOT(EXACT(K14,'AI output'!F14)))+--(N14&lt;&gt;'AI output'!L14)+--(NOT('AI output'!M14)),0)</f>
        <v>0</v>
      </c>
      <c r="Z14" s="1">
        <f t="shared" si="7"/>
        <v>0</v>
      </c>
      <c r="AA14" s="1">
        <f>--EXACT(A14,"L00008")</f>
        <v>1</v>
      </c>
    </row>
    <row r="15" spans="1:27" ht="18.95" customHeight="1">
      <c r="A15" s="1" t="str">
        <f>IF(Raw!A15="","",Raw!A15)</f>
        <v>L00009</v>
      </c>
      <c r="B15" s="1" t="str">
        <f>IF(Raw!B15="","",Raw!B15)</f>
        <v>T00005</v>
      </c>
      <c r="C15" s="1" t="str">
        <f>IF(Raw!C15="","",Raw!C15)</f>
        <v>2026-01-29</v>
      </c>
      <c r="D15" s="1">
        <f t="shared" si="0"/>
        <v>2026</v>
      </c>
      <c r="E15" s="1">
        <f>IFERROR(IF(AND(LEN(C15)=10,MID(C15,5,1)="-",MID(C15,8,1)="-"),VALUE(MID(C15,6,2)),IF(AND(LEN(C15)=11,MID(C15,3,1)="-",MID(C15,7,1)="-"),MATCH(UPPER(MID(C15,4,3)),Guide!$D$7:$D$18,0),0)),0)</f>
        <v>1</v>
      </c>
      <c r="F15" s="1">
        <f t="shared" si="1"/>
        <v>29</v>
      </c>
      <c r="G15" s="9">
        <f t="shared" si="2"/>
        <v>46051</v>
      </c>
      <c r="H15" s="1" t="str">
        <f>IF(Raw!D15="","",Raw!D15)</f>
        <v>P-O</v>
      </c>
      <c r="I15" s="1" t="str">
        <f>IFERROR(IF(EXACT(H15,INDEX(Guide!$A$7:$A$9,MATCH(SUBSTITUTE(SUBSTITUTE(SUBSTITUTE(H15,"~","~~"),"*","~*"),"?","~?"),Guide!$A$7:$A$9,0))),INDEX(Guide!$B$7:$B$9,MATCH(SUBSTITUTE(SUBSTITUTE(SUBSTITUTE(H15,"~","~~"),"*","~*"),"?","~?"),Guide!$A$7:$A$9,0)),""),"")</f>
        <v>Office</v>
      </c>
      <c r="J15" s="1" t="str">
        <f>IF(TRIM(Raw!E15)="",I15,IF(UPPER(TRIM(Raw!E15))=UPPER(I15),I15,""))</f>
        <v>Office</v>
      </c>
      <c r="K15" s="1" t="str">
        <f>IF(Raw!F15="","",Raw!F15)</f>
        <v>sale</v>
      </c>
      <c r="L15" s="1" t="str">
        <f>IF(LEFT(TRIM(Raw!G15),2)="-$","-"&amp;MID(TRIM(Raw!G15),3,99),IF(LEFT(TRIM(Raw!G15),1)="$",MID(TRIM(Raw!G15),2,99),TRIM(Raw!G15)))</f>
        <v>15.90</v>
      </c>
      <c r="M15" s="1">
        <f t="shared" si="3"/>
        <v>15.9</v>
      </c>
      <c r="N15" s="10">
        <f t="shared" si="4"/>
        <v>1590</v>
      </c>
      <c r="O15" s="1" t="b">
        <f>IFERROR(IF(ISNUMBER(Raw!G15),TRUE,OR(EXACT(L15,TEXT(M15,"0.00")),EXACT(L15,TEXT(M15,"#,##0.00")))),FALSE)</f>
        <v>1</v>
      </c>
      <c r="P15" s="1" t="str">
        <f>LEN(IF(Raw!A15="","",Raw!A15))&amp;":"&amp;IF(Raw!A15="","",Raw!A15)&amp;"|"&amp;LEN(IF(Raw!B15="","",Raw!B15))&amp;":"&amp;IF(Raw!B15="","",Raw!B15)&amp;"|"&amp;LEN(IF(Raw!C15="","",Raw!C15))&amp;":"&amp;IF(Raw!C15="","",Raw!C15)&amp;"|"&amp;LEN(IF(Raw!D15="","",Raw!D15))&amp;":"&amp;IF(Raw!D15="","",Raw!D15)&amp;"|"&amp;LEN(IF(Raw!E15="","",Raw!E15))&amp;":"&amp;IF(Raw!E15="","",Raw!E15)&amp;"|"&amp;LEN(IF(Raw!F15="","",Raw!F15))&amp;":"&amp;IF(Raw!F15="","",Raw!F15)&amp;"|"&amp;LEN(IF(Raw!G15="","",Raw!G15))&amp;":"&amp;IF(Raw!G15="","",Raw!G15)</f>
        <v>6:L00009|6:T00005|10:2026-01-29|3:P-O|6:Office|4:sale|5:15.90</v>
      </c>
      <c r="Q15" s="1">
        <f>1</f>
        <v>1</v>
      </c>
      <c r="R15" s="1" t="b">
        <f>FALSE</f>
        <v>0</v>
      </c>
      <c r="S15" s="1">
        <f>1</f>
        <v>1</v>
      </c>
      <c r="T15" s="1" t="str">
        <f>IF(AND(Raw!A15="",Raw!B15="",Raw!C15="",Raw!D15="",Raw!E15="",Raw!F15="",Raw!G15=""),"UNUSED",IF(A15="","missing line ID",IF(B15="","missing transaction ID",IF(G15="",IF(C15="","missing date","invalid date"),IF(I15="","unknown product",IF(J15="","conflicting category",IF(NOT(OR(EXACT(K15,"sale"),EXACT(K15,"refund"))),"unknown event",IF(OR(N15="",NOT(O15)),"invalid amount",IF(OR(AND(K15="sale",N15&lt;=0),AND(K15="refund",N15&gt;=0)),"invalid sign","")))))))))</f>
        <v/>
      </c>
      <c r="U15" s="1" t="str">
        <f t="shared" si="5"/>
        <v>INCLUDED</v>
      </c>
      <c r="V15" s="1" t="str">
        <f t="shared" si="6"/>
        <v>2026-01</v>
      </c>
      <c r="W15" s="1">
        <f>IF(AND(U15="INCLUDED",X15&gt;0,EXACT(A15,'AI output'!A15)),1,0)</f>
        <v>1</v>
      </c>
      <c r="X15" s="1">
        <f>15</f>
        <v>15</v>
      </c>
      <c r="Y15" s="1">
        <f>IF(AND(U15="INCLUDED",W15=1),--(NOT(EXACT(A15,'AI output'!A15)))+--(NOT(EXACT(B15,'AI output'!B15)))+--(NOT(EXACT(TEXT(G15,"yyyy-mm-dd"),'AI output'!C15)))+--(NOT(EXACT(H15,'AI output'!D15)))+--(NOT(EXACT(J15,'AI output'!E15)))+--(NOT(EXACT(K15,'AI output'!F15)))+--(N15&lt;&gt;'AI output'!L15)+--(NOT('AI output'!M15)),0)</f>
        <v>0</v>
      </c>
      <c r="Z15" s="1">
        <f t="shared" si="7"/>
        <v>0</v>
      </c>
      <c r="AA15" s="1">
        <f>--EXACT(A15,"L00009")</f>
        <v>1</v>
      </c>
    </row>
    <row r="16" spans="1:27" ht="18.95" customHeight="1">
      <c r="A16" s="1" t="str">
        <f>IF(Raw!A16="","",Raw!A16)</f>
        <v>L00010</v>
      </c>
      <c r="B16" s="1" t="str">
        <f>IF(Raw!B16="","",Raw!B16)</f>
        <v>T00005</v>
      </c>
      <c r="C16" s="1" t="str">
        <f>IF(Raw!C16="","",Raw!C16)</f>
        <v>2026-01-29</v>
      </c>
      <c r="D16" s="1">
        <f t="shared" si="0"/>
        <v>2026</v>
      </c>
      <c r="E16" s="1">
        <f>IFERROR(IF(AND(LEN(C16)=10,MID(C16,5,1)="-",MID(C16,8,1)="-"),VALUE(MID(C16,6,2)),IF(AND(LEN(C16)=11,MID(C16,3,1)="-",MID(C16,7,1)="-"),MATCH(UPPER(MID(C16,4,3)),Guide!$D$7:$D$18,0),0)),0)</f>
        <v>1</v>
      </c>
      <c r="F16" s="1">
        <f t="shared" si="1"/>
        <v>29</v>
      </c>
      <c r="G16" s="9">
        <f t="shared" si="2"/>
        <v>46051</v>
      </c>
      <c r="H16" s="1" t="str">
        <f>IF(Raw!D16="","",Raw!D16)</f>
        <v>P-A</v>
      </c>
      <c r="I16" s="1" t="str">
        <f>IFERROR(IF(EXACT(H16,INDEX(Guide!$A$7:$A$9,MATCH(SUBSTITUTE(SUBSTITUTE(SUBSTITUTE(H16,"~","~~"),"*","~*"),"?","~?"),Guide!$A$7:$A$9,0))),INDEX(Guide!$B$7:$B$9,MATCH(SUBSTITUTE(SUBSTITUTE(SUBSTITUTE(H16,"~","~~"),"*","~*"),"?","~?"),Guide!$A$7:$A$9,0)),""),"")</f>
        <v>Accessories</v>
      </c>
      <c r="J16" s="1" t="str">
        <f>IF(TRIM(Raw!E16)="",I16,IF(UPPER(TRIM(Raw!E16))=UPPER(I16),I16,""))</f>
        <v>Accessories</v>
      </c>
      <c r="K16" s="1" t="str">
        <f>IF(Raw!F16="","",Raw!F16)</f>
        <v>sale</v>
      </c>
      <c r="L16" s="1" t="str">
        <f>IF(LEFT(TRIM(Raw!G16),2)="-$","-"&amp;MID(TRIM(Raw!G16),3,99),IF(LEFT(TRIM(Raw!G16),1)="$",MID(TRIM(Raw!G16),2,99),TRIM(Raw!G16)))</f>
        <v>33.28</v>
      </c>
      <c r="M16" s="1">
        <f t="shared" si="3"/>
        <v>33.28</v>
      </c>
      <c r="N16" s="10">
        <f t="shared" si="4"/>
        <v>3328</v>
      </c>
      <c r="O16" s="1" t="b">
        <f>IFERROR(IF(ISNUMBER(Raw!G16),TRUE,OR(EXACT(L16,TEXT(M16,"0.00")),EXACT(L16,TEXT(M16,"#,##0.00")))),FALSE)</f>
        <v>1</v>
      </c>
      <c r="P16" s="1" t="str">
        <f>LEN(IF(Raw!A16="","",Raw!A16))&amp;":"&amp;IF(Raw!A16="","",Raw!A16)&amp;"|"&amp;LEN(IF(Raw!B16="","",Raw!B16))&amp;":"&amp;IF(Raw!B16="","",Raw!B16)&amp;"|"&amp;LEN(IF(Raw!C16="","",Raw!C16))&amp;":"&amp;IF(Raw!C16="","",Raw!C16)&amp;"|"&amp;LEN(IF(Raw!D16="","",Raw!D16))&amp;":"&amp;IF(Raw!D16="","",Raw!D16)&amp;"|"&amp;LEN(IF(Raw!E16="","",Raw!E16))&amp;":"&amp;IF(Raw!E16="","",Raw!E16)&amp;"|"&amp;LEN(IF(Raw!F16="","",Raw!F16))&amp;":"&amp;IF(Raw!F16="","",Raw!F16)&amp;"|"&amp;LEN(IF(Raw!G16="","",Raw!G16))&amp;":"&amp;IF(Raw!G16="","",Raw!G16)</f>
        <v>6:L00010|6:T00005|10:2026-01-29|3:P-A|11:Accessories|4:sale|5:33.28</v>
      </c>
      <c r="Q16" s="1">
        <f>1</f>
        <v>1</v>
      </c>
      <c r="R16" s="1" t="b">
        <f>FALSE</f>
        <v>0</v>
      </c>
      <c r="S16" s="1">
        <f>1</f>
        <v>1</v>
      </c>
      <c r="T16" s="1" t="str">
        <f>IF(AND(Raw!A16="",Raw!B16="",Raw!C16="",Raw!D16="",Raw!E16="",Raw!F16="",Raw!G16=""),"UNUSED",IF(A16="","missing line ID",IF(B16="","missing transaction ID",IF(G16="",IF(C16="","missing date","invalid date"),IF(I16="","unknown product",IF(J16="","conflicting category",IF(NOT(OR(EXACT(K16,"sale"),EXACT(K16,"refund"))),"unknown event",IF(OR(N16="",NOT(O16)),"invalid amount",IF(OR(AND(K16="sale",N16&lt;=0),AND(K16="refund",N16&gt;=0)),"invalid sign","")))))))))</f>
        <v/>
      </c>
      <c r="U16" s="1" t="str">
        <f t="shared" si="5"/>
        <v>INCLUDED</v>
      </c>
      <c r="V16" s="1" t="str">
        <f t="shared" si="6"/>
        <v>2026-01</v>
      </c>
      <c r="W16" s="1">
        <f>IF(AND(U16="INCLUDED",X16&gt;0,EXACT(A16,'AI output'!A16)),1,0)</f>
        <v>1</v>
      </c>
      <c r="X16" s="1">
        <f>16</f>
        <v>16</v>
      </c>
      <c r="Y16" s="1">
        <f>IF(AND(U16="INCLUDED",W16=1),--(NOT(EXACT(A16,'AI output'!A16)))+--(NOT(EXACT(B16,'AI output'!B16)))+--(NOT(EXACT(TEXT(G16,"yyyy-mm-dd"),'AI output'!C16)))+--(NOT(EXACT(H16,'AI output'!D16)))+--(NOT(EXACT(J16,'AI output'!E16)))+--(NOT(EXACT(K16,'AI output'!F16)))+--(N16&lt;&gt;'AI output'!L16)+--(NOT('AI output'!M16)),0)</f>
        <v>0</v>
      </c>
      <c r="Z16" s="1">
        <f t="shared" si="7"/>
        <v>0</v>
      </c>
      <c r="AA16" s="1">
        <f>--EXACT(A16,"L00010")</f>
        <v>1</v>
      </c>
    </row>
    <row r="17" spans="1:27" ht="18.95" customHeight="1">
      <c r="A17" s="1" t="str">
        <f>IF(Raw!A17="","",Raw!A17)</f>
        <v>L00011</v>
      </c>
      <c r="B17" s="1" t="str">
        <f>IF(Raw!B17="","",Raw!B17)</f>
        <v>T00006</v>
      </c>
      <c r="C17" s="1" t="str">
        <f>IF(Raw!C17="","",Raw!C17)</f>
        <v>2026-02-05</v>
      </c>
      <c r="D17" s="1">
        <f t="shared" si="0"/>
        <v>2026</v>
      </c>
      <c r="E17" s="1">
        <f>IFERROR(IF(AND(LEN(C17)=10,MID(C17,5,1)="-",MID(C17,8,1)="-"),VALUE(MID(C17,6,2)),IF(AND(LEN(C17)=11,MID(C17,3,1)="-",MID(C17,7,1)="-"),MATCH(UPPER(MID(C17,4,3)),Guide!$D$7:$D$18,0),0)),0)</f>
        <v>2</v>
      </c>
      <c r="F17" s="1">
        <f t="shared" si="1"/>
        <v>5</v>
      </c>
      <c r="G17" s="9">
        <f t="shared" si="2"/>
        <v>46058</v>
      </c>
      <c r="H17" s="1" t="str">
        <f>IF(Raw!D17="","",Raw!D17)</f>
        <v>P-H</v>
      </c>
      <c r="I17" s="1" t="str">
        <f>IFERROR(IF(EXACT(H17,INDEX(Guide!$A$7:$A$9,MATCH(SUBSTITUTE(SUBSTITUTE(SUBSTITUTE(H17,"~","~~"),"*","~*"),"?","~?"),Guide!$A$7:$A$9,0))),INDEX(Guide!$B$7:$B$9,MATCH(SUBSTITUTE(SUBSTITUTE(SUBSTITUTE(H17,"~","~~"),"*","~*"),"?","~?"),Guide!$A$7:$A$9,0)),""),"")</f>
        <v>Home</v>
      </c>
      <c r="J17" s="1" t="str">
        <f>IF(TRIM(Raw!E17)="",I17,IF(UPPER(TRIM(Raw!E17))=UPPER(I17),I17,""))</f>
        <v>Home</v>
      </c>
      <c r="K17" s="1" t="str">
        <f>IF(Raw!F17="","",Raw!F17)</f>
        <v>sale</v>
      </c>
      <c r="L17" s="1" t="str">
        <f>IF(LEFT(TRIM(Raw!G17),2)="-$","-"&amp;MID(TRIM(Raw!G17),3,99),IF(LEFT(TRIM(Raw!G17),1)="$",MID(TRIM(Raw!G17),2,99),TRIM(Raw!G17)))</f>
        <v>8.69</v>
      </c>
      <c r="M17" s="1">
        <f t="shared" si="3"/>
        <v>8.69</v>
      </c>
      <c r="N17" s="10">
        <f t="shared" si="4"/>
        <v>869</v>
      </c>
      <c r="O17" s="1" t="b">
        <f>IFERROR(IF(ISNUMBER(Raw!G17),TRUE,OR(EXACT(L17,TEXT(M17,"0.00")),EXACT(L17,TEXT(M17,"#,##0.00")))),FALSE)</f>
        <v>1</v>
      </c>
      <c r="P17" s="1" t="str">
        <f>LEN(IF(Raw!A17="","",Raw!A17))&amp;":"&amp;IF(Raw!A17="","",Raw!A17)&amp;"|"&amp;LEN(IF(Raw!B17="","",Raw!B17))&amp;":"&amp;IF(Raw!B17="","",Raw!B17)&amp;"|"&amp;LEN(IF(Raw!C17="","",Raw!C17))&amp;":"&amp;IF(Raw!C17="","",Raw!C17)&amp;"|"&amp;LEN(IF(Raw!D17="","",Raw!D17))&amp;":"&amp;IF(Raw!D17="","",Raw!D17)&amp;"|"&amp;LEN(IF(Raw!E17="","",Raw!E17))&amp;":"&amp;IF(Raw!E17="","",Raw!E17)&amp;"|"&amp;LEN(IF(Raw!F17="","",Raw!F17))&amp;":"&amp;IF(Raw!F17="","",Raw!F17)&amp;"|"&amp;LEN(IF(Raw!G17="","",Raw!G17))&amp;":"&amp;IF(Raw!G17="","",Raw!G17)</f>
        <v>6:L00011|6:T00006|10:2026-02-05|3:P-H|4:Home|4:sale|4:8.69</v>
      </c>
      <c r="Q17" s="1">
        <f>1</f>
        <v>1</v>
      </c>
      <c r="R17" s="1" t="b">
        <f>FALSE</f>
        <v>0</v>
      </c>
      <c r="S17" s="1">
        <f>1</f>
        <v>1</v>
      </c>
      <c r="T17" s="1" t="str">
        <f>IF(AND(Raw!A17="",Raw!B17="",Raw!C17="",Raw!D17="",Raw!E17="",Raw!F17="",Raw!G17=""),"UNUSED",IF(A17="","missing line ID",IF(B17="","missing transaction ID",IF(G17="",IF(C17="","missing date","invalid date"),IF(I17="","unknown product",IF(J17="","conflicting category",IF(NOT(OR(EXACT(K17,"sale"),EXACT(K17,"refund"))),"unknown event",IF(OR(N17="",NOT(O17)),"invalid amount",IF(OR(AND(K17="sale",N17&lt;=0),AND(K17="refund",N17&gt;=0)),"invalid sign","")))))))))</f>
        <v/>
      </c>
      <c r="U17" s="1" t="str">
        <f t="shared" si="5"/>
        <v>INCLUDED</v>
      </c>
      <c r="V17" s="1" t="str">
        <f t="shared" si="6"/>
        <v>2026-02</v>
      </c>
      <c r="W17" s="1">
        <f>IF(AND(U17="INCLUDED",X17&gt;0,EXACT(A17,'AI output'!A17)),1,0)</f>
        <v>1</v>
      </c>
      <c r="X17" s="1">
        <f>17</f>
        <v>17</v>
      </c>
      <c r="Y17" s="1">
        <f>IF(AND(U17="INCLUDED",W17=1),--(NOT(EXACT(A17,'AI output'!A17)))+--(NOT(EXACT(B17,'AI output'!B17)))+--(NOT(EXACT(TEXT(G17,"yyyy-mm-dd"),'AI output'!C17)))+--(NOT(EXACT(H17,'AI output'!D17)))+--(NOT(EXACT(J17,'AI output'!E17)))+--(NOT(EXACT(K17,'AI output'!F17)))+--(N17&lt;&gt;'AI output'!L17)+--(NOT('AI output'!M17)),0)</f>
        <v>0</v>
      </c>
      <c r="Z17" s="1">
        <f t="shared" si="7"/>
        <v>0</v>
      </c>
      <c r="AA17" s="1">
        <f>--EXACT(A17,"L00011")</f>
        <v>1</v>
      </c>
    </row>
    <row r="18" spans="1:27" ht="18.95" customHeight="1">
      <c r="A18" s="1" t="str">
        <f>IF(Raw!A18="","",Raw!A18)</f>
        <v>L00012</v>
      </c>
      <c r="B18" s="1" t="str">
        <f>IF(Raw!B18="","",Raw!B18)</f>
        <v>T00006</v>
      </c>
      <c r="C18" s="1" t="str">
        <f>IF(Raw!C18="","",Raw!C18)</f>
        <v>2026-02-05</v>
      </c>
      <c r="D18" s="1">
        <f t="shared" si="0"/>
        <v>2026</v>
      </c>
      <c r="E18" s="1">
        <f>IFERROR(IF(AND(LEN(C18)=10,MID(C18,5,1)="-",MID(C18,8,1)="-"),VALUE(MID(C18,6,2)),IF(AND(LEN(C18)=11,MID(C18,3,1)="-",MID(C18,7,1)="-"),MATCH(UPPER(MID(C18,4,3)),Guide!$D$7:$D$18,0),0)),0)</f>
        <v>2</v>
      </c>
      <c r="F18" s="1">
        <f t="shared" si="1"/>
        <v>5</v>
      </c>
      <c r="G18" s="9">
        <f t="shared" si="2"/>
        <v>46058</v>
      </c>
      <c r="H18" s="1" t="str">
        <f>IF(Raw!D18="","",Raw!D18)</f>
        <v>P-O</v>
      </c>
      <c r="I18" s="1" t="str">
        <f>IFERROR(IF(EXACT(H18,INDEX(Guide!$A$7:$A$9,MATCH(SUBSTITUTE(SUBSTITUTE(SUBSTITUTE(H18,"~","~~"),"*","~*"),"?","~?"),Guide!$A$7:$A$9,0))),INDEX(Guide!$B$7:$B$9,MATCH(SUBSTITUTE(SUBSTITUTE(SUBSTITUTE(H18,"~","~~"),"*","~*"),"?","~?"),Guide!$A$7:$A$9,0)),""),"")</f>
        <v>Office</v>
      </c>
      <c r="J18" s="1" t="str">
        <f>IF(TRIM(Raw!E18)="",I18,IF(UPPER(TRIM(Raw!E18))=UPPER(I18),I18,""))</f>
        <v>Office</v>
      </c>
      <c r="K18" s="1" t="str">
        <f>IF(Raw!F18="","",Raw!F18)</f>
        <v>sale</v>
      </c>
      <c r="L18" s="1" t="str">
        <f>IF(LEFT(TRIM(Raw!G18),2)="-$","-"&amp;MID(TRIM(Raw!G18),3,99),IF(LEFT(TRIM(Raw!G18),1)="$",MID(TRIM(Raw!G18),2,99),TRIM(Raw!G18)))</f>
        <v>27.18</v>
      </c>
      <c r="M18" s="1">
        <f t="shared" si="3"/>
        <v>27.18</v>
      </c>
      <c r="N18" s="10">
        <f t="shared" si="4"/>
        <v>2718</v>
      </c>
      <c r="O18" s="1" t="b">
        <f>IFERROR(IF(ISNUMBER(Raw!G18),TRUE,OR(EXACT(L18,TEXT(M18,"0.00")),EXACT(L18,TEXT(M18,"#,##0.00")))),FALSE)</f>
        <v>1</v>
      </c>
      <c r="P18" s="1" t="str">
        <f>LEN(IF(Raw!A18="","",Raw!A18))&amp;":"&amp;IF(Raw!A18="","",Raw!A18)&amp;"|"&amp;LEN(IF(Raw!B18="","",Raw!B18))&amp;":"&amp;IF(Raw!B18="","",Raw!B18)&amp;"|"&amp;LEN(IF(Raw!C18="","",Raw!C18))&amp;":"&amp;IF(Raw!C18="","",Raw!C18)&amp;"|"&amp;LEN(IF(Raw!D18="","",Raw!D18))&amp;":"&amp;IF(Raw!D18="","",Raw!D18)&amp;"|"&amp;LEN(IF(Raw!E18="","",Raw!E18))&amp;":"&amp;IF(Raw!E18="","",Raw!E18)&amp;"|"&amp;LEN(IF(Raw!F18="","",Raw!F18))&amp;":"&amp;IF(Raw!F18="","",Raw!F18)&amp;"|"&amp;LEN(IF(Raw!G18="","",Raw!G18))&amp;":"&amp;IF(Raw!G18="","",Raw!G18)</f>
        <v>6:L00012|6:T00006|10:2026-02-05|3:P-O|6:Office|4:sale|5:27.18</v>
      </c>
      <c r="Q18" s="1">
        <f>2</f>
        <v>2</v>
      </c>
      <c r="R18" s="1" t="b">
        <f>OR(NOT(EXACT(P18,P1987)))</f>
        <v>0</v>
      </c>
      <c r="S18" s="1">
        <f>1</f>
        <v>1</v>
      </c>
      <c r="T18" s="1" t="str">
        <f>IF(AND(Raw!A18="",Raw!B18="",Raw!C18="",Raw!D18="",Raw!E18="",Raw!F18="",Raw!G18=""),"UNUSED",IF(A18="","missing line ID",IF(B18="","missing transaction ID",IF(G18="",IF(C18="","missing date","invalid date"),IF(I18="","unknown product",IF(J18="","conflicting category",IF(NOT(OR(EXACT(K18,"sale"),EXACT(K18,"refund"))),"unknown event",IF(OR(N18="",NOT(O18)),"invalid amount",IF(OR(AND(K18="sale",N18&lt;=0),AND(K18="refund",N18&gt;=0)),"invalid sign","")))))))))</f>
        <v/>
      </c>
      <c r="U18" s="1" t="str">
        <f t="shared" si="5"/>
        <v>INCLUDED</v>
      </c>
      <c r="V18" s="1" t="str">
        <f t="shared" si="6"/>
        <v>2026-02</v>
      </c>
      <c r="W18" s="1">
        <f>IF(AND(U18="INCLUDED",X18&gt;0,EXACT(A18,'AI output'!A18)),1,0)</f>
        <v>1</v>
      </c>
      <c r="X18" s="1">
        <f>18</f>
        <v>18</v>
      </c>
      <c r="Y18" s="1">
        <f>IF(AND(U18="INCLUDED",W18=1),--(NOT(EXACT(A18,'AI output'!A18)))+--(NOT(EXACT(B18,'AI output'!B18)))+--(NOT(EXACT(TEXT(G18,"yyyy-mm-dd"),'AI output'!C18)))+--(NOT(EXACT(H18,'AI output'!D18)))+--(NOT(EXACT(J18,'AI output'!E18)))+--(NOT(EXACT(K18,'AI output'!F18)))+--(N18&lt;&gt;'AI output'!L18)+--(NOT('AI output'!M18)),0)</f>
        <v>0</v>
      </c>
      <c r="Z18" s="1">
        <f t="shared" si="7"/>
        <v>0</v>
      </c>
      <c r="AA18" s="1">
        <f>--EXACT(A18,"L00012")</f>
        <v>1</v>
      </c>
    </row>
    <row r="19" spans="1:27" ht="18.95" customHeight="1">
      <c r="A19" s="1" t="str">
        <f>IF(Raw!A19="","",Raw!A19)</f>
        <v>L00013</v>
      </c>
      <c r="B19" s="1" t="str">
        <f>IF(Raw!B19="","",Raw!B19)</f>
        <v>T00007</v>
      </c>
      <c r="C19" s="1" t="str">
        <f>IF(Raw!C19="","",Raw!C19)</f>
        <v>2026-02-12</v>
      </c>
      <c r="D19" s="1">
        <f t="shared" si="0"/>
        <v>2026</v>
      </c>
      <c r="E19" s="1">
        <f>IFERROR(IF(AND(LEN(C19)=10,MID(C19,5,1)="-",MID(C19,8,1)="-"),VALUE(MID(C19,6,2)),IF(AND(LEN(C19)=11,MID(C19,3,1)="-",MID(C19,7,1)="-"),MATCH(UPPER(MID(C19,4,3)),Guide!$D$7:$D$18,0),0)),0)</f>
        <v>2</v>
      </c>
      <c r="F19" s="1">
        <f t="shared" si="1"/>
        <v>12</v>
      </c>
      <c r="G19" s="9">
        <f t="shared" si="2"/>
        <v>46065</v>
      </c>
      <c r="H19" s="1" t="str">
        <f>IF(Raw!D19="","",Raw!D19)</f>
        <v>P-A</v>
      </c>
      <c r="I19" s="1" t="str">
        <f>IFERROR(IF(EXACT(H19,INDEX(Guide!$A$7:$A$9,MATCH(SUBSTITUTE(SUBSTITUTE(SUBSTITUTE(H19,"~","~~"),"*","~*"),"?","~?"),Guide!$A$7:$A$9,0))),INDEX(Guide!$B$7:$B$9,MATCH(SUBSTITUTE(SUBSTITUTE(SUBSTITUTE(H19,"~","~~"),"*","~*"),"?","~?"),Guide!$A$7:$A$9,0)),""),"")</f>
        <v>Accessories</v>
      </c>
      <c r="J19" s="1" t="str">
        <f>IF(TRIM(Raw!E19)="",I19,IF(UPPER(TRIM(Raw!E19))=UPPER(I19),I19,""))</f>
        <v>Accessories</v>
      </c>
      <c r="K19" s="1" t="str">
        <f>IF(Raw!F19="","",Raw!F19)</f>
        <v>sale</v>
      </c>
      <c r="L19" s="1" t="str">
        <f>IF(LEFT(TRIM(Raw!G19),2)="-$","-"&amp;MID(TRIM(Raw!G19),3,99),IF(LEFT(TRIM(Raw!G19),1)="$",MID(TRIM(Raw!G19),2,99),TRIM(Raw!G19)))</f>
        <v>47.15</v>
      </c>
      <c r="M19" s="1">
        <f t="shared" si="3"/>
        <v>47.15</v>
      </c>
      <c r="N19" s="10">
        <f t="shared" si="4"/>
        <v>4715</v>
      </c>
      <c r="O19" s="1" t="b">
        <f>IFERROR(IF(ISNUMBER(Raw!G19),TRUE,OR(EXACT(L19,TEXT(M19,"0.00")),EXACT(L19,TEXT(M19,"#,##0.00")))),FALSE)</f>
        <v>1</v>
      </c>
      <c r="P19" s="1" t="str">
        <f>LEN(IF(Raw!A19="","",Raw!A19))&amp;":"&amp;IF(Raw!A19="","",Raw!A19)&amp;"|"&amp;LEN(IF(Raw!B19="","",Raw!B19))&amp;":"&amp;IF(Raw!B19="","",Raw!B19)&amp;"|"&amp;LEN(IF(Raw!C19="","",Raw!C19))&amp;":"&amp;IF(Raw!C19="","",Raw!C19)&amp;"|"&amp;LEN(IF(Raw!D19="","",Raw!D19))&amp;":"&amp;IF(Raw!D19="","",Raw!D19)&amp;"|"&amp;LEN(IF(Raw!E19="","",Raw!E19))&amp;":"&amp;IF(Raw!E19="","",Raw!E19)&amp;"|"&amp;LEN(IF(Raw!F19="","",Raw!F19))&amp;":"&amp;IF(Raw!F19="","",Raw!F19)&amp;"|"&amp;LEN(IF(Raw!G19="","",Raw!G19))&amp;":"&amp;IF(Raw!G19="","",Raw!G19)</f>
        <v>6:L00013|6:T00007|10:2026-02-12|3:P-A|11:Accessories|4:sale|5:47.15</v>
      </c>
      <c r="Q19" s="1">
        <f>1</f>
        <v>1</v>
      </c>
      <c r="R19" s="1" t="b">
        <f>FALSE</f>
        <v>0</v>
      </c>
      <c r="S19" s="1">
        <f>1</f>
        <v>1</v>
      </c>
      <c r="T19" s="1" t="str">
        <f>IF(AND(Raw!A19="",Raw!B19="",Raw!C19="",Raw!D19="",Raw!E19="",Raw!F19="",Raw!G19=""),"UNUSED",IF(A19="","missing line ID",IF(B19="","missing transaction ID",IF(G19="",IF(C19="","missing date","invalid date"),IF(I19="","unknown product",IF(J19="","conflicting category",IF(NOT(OR(EXACT(K19,"sale"),EXACT(K19,"refund"))),"unknown event",IF(OR(N19="",NOT(O19)),"invalid amount",IF(OR(AND(K19="sale",N19&lt;=0),AND(K19="refund",N19&gt;=0)),"invalid sign","")))))))))</f>
        <v/>
      </c>
      <c r="U19" s="1" t="str">
        <f t="shared" si="5"/>
        <v>INCLUDED</v>
      </c>
      <c r="V19" s="1" t="str">
        <f t="shared" si="6"/>
        <v>2026-02</v>
      </c>
      <c r="W19" s="1">
        <f>IF(AND(U19="INCLUDED",X19&gt;0,EXACT(A19,'AI output'!A19)),1,0)</f>
        <v>1</v>
      </c>
      <c r="X19" s="1">
        <f>19</f>
        <v>19</v>
      </c>
      <c r="Y19" s="1">
        <f>IF(AND(U19="INCLUDED",W19=1),--(NOT(EXACT(A19,'AI output'!A19)))+--(NOT(EXACT(B19,'AI output'!B19)))+--(NOT(EXACT(TEXT(G19,"yyyy-mm-dd"),'AI output'!C19)))+--(NOT(EXACT(H19,'AI output'!D19)))+--(NOT(EXACT(J19,'AI output'!E19)))+--(NOT(EXACT(K19,'AI output'!F19)))+--(N19&lt;&gt;'AI output'!L19)+--(NOT('AI output'!M19)),0)</f>
        <v>0</v>
      </c>
      <c r="Z19" s="1">
        <f t="shared" si="7"/>
        <v>0</v>
      </c>
      <c r="AA19" s="1">
        <f>--EXACT(A19,"L00013")</f>
        <v>1</v>
      </c>
    </row>
    <row r="20" spans="1:27" ht="18.95" customHeight="1">
      <c r="A20" s="1" t="str">
        <f>IF(Raw!A20="","",Raw!A20)</f>
        <v>L00014</v>
      </c>
      <c r="B20" s="1" t="str">
        <f>IF(Raw!B20="","",Raw!B20)</f>
        <v>T00007</v>
      </c>
      <c r="C20" s="1" t="str">
        <f>IF(Raw!C20="","",Raw!C20)</f>
        <v>2026-02-12</v>
      </c>
      <c r="D20" s="1">
        <f t="shared" si="0"/>
        <v>2026</v>
      </c>
      <c r="E20" s="1">
        <f>IFERROR(IF(AND(LEN(C20)=10,MID(C20,5,1)="-",MID(C20,8,1)="-"),VALUE(MID(C20,6,2)),IF(AND(LEN(C20)=11,MID(C20,3,1)="-",MID(C20,7,1)="-"),MATCH(UPPER(MID(C20,4,3)),Guide!$D$7:$D$18,0),0)),0)</f>
        <v>2</v>
      </c>
      <c r="F20" s="1">
        <f t="shared" si="1"/>
        <v>12</v>
      </c>
      <c r="G20" s="9">
        <f t="shared" si="2"/>
        <v>46065</v>
      </c>
      <c r="H20" s="1" t="str">
        <f>IF(Raw!D20="","",Raw!D20)</f>
        <v>P-H</v>
      </c>
      <c r="I20" s="1" t="str">
        <f>IFERROR(IF(EXACT(H20,INDEX(Guide!$A$7:$A$9,MATCH(SUBSTITUTE(SUBSTITUTE(SUBSTITUTE(H20,"~","~~"),"*","~*"),"?","~?"),Guide!$A$7:$A$9,0))),INDEX(Guide!$B$7:$B$9,MATCH(SUBSTITUTE(SUBSTITUTE(SUBSTITUTE(H20,"~","~~"),"*","~*"),"?","~?"),Guide!$A$7:$A$9,0)),""),"")</f>
        <v>Home</v>
      </c>
      <c r="J20" s="1" t="str">
        <f>IF(TRIM(Raw!E20)="",I20,IF(UPPER(TRIM(Raw!E20))=UPPER(I20),I20,""))</f>
        <v>Home</v>
      </c>
      <c r="K20" s="1" t="str">
        <f>IF(Raw!F20="","",Raw!F20)</f>
        <v>sale</v>
      </c>
      <c r="L20" s="1" t="str">
        <f>IF(LEFT(TRIM(Raw!G20),2)="-$","-"&amp;MID(TRIM(Raw!G20),3,99),IF(LEFT(TRIM(Raw!G20),1)="$",MID(TRIM(Raw!G20),2,99),TRIM(Raw!G20)))</f>
        <v>19.60</v>
      </c>
      <c r="M20" s="1">
        <f t="shared" si="3"/>
        <v>19.600000000000001</v>
      </c>
      <c r="N20" s="10">
        <f t="shared" si="4"/>
        <v>1960</v>
      </c>
      <c r="O20" s="1" t="b">
        <f>IFERROR(IF(ISNUMBER(Raw!G20),TRUE,OR(EXACT(L20,TEXT(M20,"0.00")),EXACT(L20,TEXT(M20,"#,##0.00")))),FALSE)</f>
        <v>1</v>
      </c>
      <c r="P20" s="1" t="str">
        <f>LEN(IF(Raw!A20="","",Raw!A20))&amp;":"&amp;IF(Raw!A20="","",Raw!A20)&amp;"|"&amp;LEN(IF(Raw!B20="","",Raw!B20))&amp;":"&amp;IF(Raw!B20="","",Raw!B20)&amp;"|"&amp;LEN(IF(Raw!C20="","",Raw!C20))&amp;":"&amp;IF(Raw!C20="","",Raw!C20)&amp;"|"&amp;LEN(IF(Raw!D20="","",Raw!D20))&amp;":"&amp;IF(Raw!D20="","",Raw!D20)&amp;"|"&amp;LEN(IF(Raw!E20="","",Raw!E20))&amp;":"&amp;IF(Raw!E20="","",Raw!E20)&amp;"|"&amp;LEN(IF(Raw!F20="","",Raw!F20))&amp;":"&amp;IF(Raw!F20="","",Raw!F20)&amp;"|"&amp;LEN(IF(Raw!G20="","",Raw!G20))&amp;":"&amp;IF(Raw!G20="","",Raw!G20)</f>
        <v>6:L00014|6:T00007|10:2026-02-12|3:P-H|4:Home|4:sale|5:19.60</v>
      </c>
      <c r="Q20" s="1">
        <f>1</f>
        <v>1</v>
      </c>
      <c r="R20" s="1" t="b">
        <f>FALSE</f>
        <v>0</v>
      </c>
      <c r="S20" s="1">
        <f>1</f>
        <v>1</v>
      </c>
      <c r="T20" s="1" t="str">
        <f>IF(AND(Raw!A20="",Raw!B20="",Raw!C20="",Raw!D20="",Raw!E20="",Raw!F20="",Raw!G20=""),"UNUSED",IF(A20="","missing line ID",IF(B20="","missing transaction ID",IF(G20="",IF(C20="","missing date","invalid date"),IF(I20="","unknown product",IF(J20="","conflicting category",IF(NOT(OR(EXACT(K20,"sale"),EXACT(K20,"refund"))),"unknown event",IF(OR(N20="",NOT(O20)),"invalid amount",IF(OR(AND(K20="sale",N20&lt;=0),AND(K20="refund",N20&gt;=0)),"invalid sign","")))))))))</f>
        <v/>
      </c>
      <c r="U20" s="1" t="str">
        <f t="shared" si="5"/>
        <v>INCLUDED</v>
      </c>
      <c r="V20" s="1" t="str">
        <f t="shared" si="6"/>
        <v>2026-02</v>
      </c>
      <c r="W20" s="1">
        <f>IF(AND(U20="INCLUDED",X20&gt;0,EXACT(A20,'AI output'!A20)),1,0)</f>
        <v>1</v>
      </c>
      <c r="X20" s="1">
        <f>20</f>
        <v>20</v>
      </c>
      <c r="Y20" s="1">
        <f>IF(AND(U20="INCLUDED",W20=1),--(NOT(EXACT(A20,'AI output'!A20)))+--(NOT(EXACT(B20,'AI output'!B20)))+--(NOT(EXACT(TEXT(G20,"yyyy-mm-dd"),'AI output'!C20)))+--(NOT(EXACT(H20,'AI output'!D20)))+--(NOT(EXACT(J20,'AI output'!E20)))+--(NOT(EXACT(K20,'AI output'!F20)))+--(N20&lt;&gt;'AI output'!L20)+--(NOT('AI output'!M20)),0)</f>
        <v>0</v>
      </c>
      <c r="Z20" s="1">
        <f t="shared" si="7"/>
        <v>0</v>
      </c>
      <c r="AA20" s="1">
        <f>--EXACT(A20,"L00014")</f>
        <v>1</v>
      </c>
    </row>
    <row r="21" spans="1:27" ht="18.95" customHeight="1">
      <c r="A21" s="1" t="str">
        <f>IF(Raw!A21="","",Raw!A21)</f>
        <v>L00015</v>
      </c>
      <c r="B21" s="1" t="str">
        <f>IF(Raw!B21="","",Raw!B21)</f>
        <v>T00008</v>
      </c>
      <c r="C21" s="1" t="str">
        <f>IF(Raw!C21="","",Raw!C21)</f>
        <v>2026-02-19</v>
      </c>
      <c r="D21" s="1">
        <f t="shared" si="0"/>
        <v>2026</v>
      </c>
      <c r="E21" s="1">
        <f>IFERROR(IF(AND(LEN(C21)=10,MID(C21,5,1)="-",MID(C21,8,1)="-"),VALUE(MID(C21,6,2)),IF(AND(LEN(C21)=11,MID(C21,3,1)="-",MID(C21,7,1)="-"),MATCH(UPPER(MID(C21,4,3)),Guide!$D$7:$D$18,0),0)),0)</f>
        <v>2</v>
      </c>
      <c r="F21" s="1">
        <f t="shared" si="1"/>
        <v>19</v>
      </c>
      <c r="G21" s="9">
        <f t="shared" si="2"/>
        <v>46072</v>
      </c>
      <c r="H21" s="1" t="str">
        <f>IF(Raw!D21="","",Raw!D21)</f>
        <v>P-O</v>
      </c>
      <c r="I21" s="1" t="str">
        <f>IFERROR(IF(EXACT(H21,INDEX(Guide!$A$7:$A$9,MATCH(SUBSTITUTE(SUBSTITUTE(SUBSTITUTE(H21,"~","~~"),"*","~*"),"?","~?"),Guide!$A$7:$A$9,0))),INDEX(Guide!$B$7:$B$9,MATCH(SUBSTITUTE(SUBSTITUTE(SUBSTITUTE(H21,"~","~~"),"*","~*"),"?","~?"),Guide!$A$7:$A$9,0)),""),"")</f>
        <v>Office</v>
      </c>
      <c r="J21" s="1" t="str">
        <f>IF(TRIM(Raw!E21)="",I21,IF(UPPER(TRIM(Raw!E21))=UPPER(I21),I21,""))</f>
        <v>Office</v>
      </c>
      <c r="K21" s="1" t="str">
        <f>IF(Raw!F21="","",Raw!F21)</f>
        <v>sale</v>
      </c>
      <c r="L21" s="1" t="str">
        <f>IF(LEFT(TRIM(Raw!G21),2)="-$","-"&amp;MID(TRIM(Raw!G21),3,99),IF(LEFT(TRIM(Raw!G21),1)="$",MID(TRIM(Raw!G21),2,99),TRIM(Raw!G21)))</f>
        <v>40.68</v>
      </c>
      <c r="M21" s="1">
        <f t="shared" si="3"/>
        <v>40.68</v>
      </c>
      <c r="N21" s="10">
        <f t="shared" si="4"/>
        <v>4068</v>
      </c>
      <c r="O21" s="1" t="b">
        <f>IFERROR(IF(ISNUMBER(Raw!G21),TRUE,OR(EXACT(L21,TEXT(M21,"0.00")),EXACT(L21,TEXT(M21,"#,##0.00")))),FALSE)</f>
        <v>1</v>
      </c>
      <c r="P21" s="1" t="str">
        <f>LEN(IF(Raw!A21="","",Raw!A21))&amp;":"&amp;IF(Raw!A21="","",Raw!A21)&amp;"|"&amp;LEN(IF(Raw!B21="","",Raw!B21))&amp;":"&amp;IF(Raw!B21="","",Raw!B21)&amp;"|"&amp;LEN(IF(Raw!C21="","",Raw!C21))&amp;":"&amp;IF(Raw!C21="","",Raw!C21)&amp;"|"&amp;LEN(IF(Raw!D21="","",Raw!D21))&amp;":"&amp;IF(Raw!D21="","",Raw!D21)&amp;"|"&amp;LEN(IF(Raw!E21="","",Raw!E21))&amp;":"&amp;IF(Raw!E21="","",Raw!E21)&amp;"|"&amp;LEN(IF(Raw!F21="","",Raw!F21))&amp;":"&amp;IF(Raw!F21="","",Raw!F21)&amp;"|"&amp;LEN(IF(Raw!G21="","",Raw!G21))&amp;":"&amp;IF(Raw!G21="","",Raw!G21)</f>
        <v>6:L00015|6:T00008|10:2026-02-19|3:P-O|6:Office|4:sale|5:40.68</v>
      </c>
      <c r="Q21" s="1">
        <f>1</f>
        <v>1</v>
      </c>
      <c r="R21" s="1" t="b">
        <f>FALSE</f>
        <v>0</v>
      </c>
      <c r="S21" s="1">
        <f>1</f>
        <v>1</v>
      </c>
      <c r="T21" s="1" t="str">
        <f>IF(AND(Raw!A21="",Raw!B21="",Raw!C21="",Raw!D21="",Raw!E21="",Raw!F21="",Raw!G21=""),"UNUSED",IF(A21="","missing line ID",IF(B21="","missing transaction ID",IF(G21="",IF(C21="","missing date","invalid date"),IF(I21="","unknown product",IF(J21="","conflicting category",IF(NOT(OR(EXACT(K21,"sale"),EXACT(K21,"refund"))),"unknown event",IF(OR(N21="",NOT(O21)),"invalid amount",IF(OR(AND(K21="sale",N21&lt;=0),AND(K21="refund",N21&gt;=0)),"invalid sign","")))))))))</f>
        <v/>
      </c>
      <c r="U21" s="1" t="str">
        <f t="shared" si="5"/>
        <v>INCLUDED</v>
      </c>
      <c r="V21" s="1" t="str">
        <f t="shared" si="6"/>
        <v>2026-02</v>
      </c>
      <c r="W21" s="1">
        <f>IF(AND(U21="INCLUDED",X21&gt;0,EXACT(A21,'AI output'!A21)),1,0)</f>
        <v>1</v>
      </c>
      <c r="X21" s="1">
        <f>21</f>
        <v>21</v>
      </c>
      <c r="Y21" s="1">
        <f>IF(AND(U21="INCLUDED",W21=1),--(NOT(EXACT(A21,'AI output'!A21)))+--(NOT(EXACT(B21,'AI output'!B21)))+--(NOT(EXACT(TEXT(G21,"yyyy-mm-dd"),'AI output'!C21)))+--(NOT(EXACT(H21,'AI output'!D21)))+--(NOT(EXACT(J21,'AI output'!E21)))+--(NOT(EXACT(K21,'AI output'!F21)))+--(N21&lt;&gt;'AI output'!L21)+--(NOT('AI output'!M21)),0)</f>
        <v>0</v>
      </c>
      <c r="Z21" s="1">
        <f t="shared" si="7"/>
        <v>0</v>
      </c>
      <c r="AA21" s="1">
        <f>--EXACT(A21,"L00015")</f>
        <v>1</v>
      </c>
    </row>
    <row r="22" spans="1:27" ht="18.95" customHeight="1">
      <c r="A22" s="1" t="str">
        <f>IF(Raw!A22="","",Raw!A22)</f>
        <v>L00016</v>
      </c>
      <c r="B22" s="1" t="str">
        <f>IF(Raw!B22="","",Raw!B22)</f>
        <v>T00008</v>
      </c>
      <c r="C22" s="1" t="str">
        <f>IF(Raw!C22="","",Raw!C22)</f>
        <v>2026-02-19</v>
      </c>
      <c r="D22" s="1">
        <f t="shared" si="0"/>
        <v>2026</v>
      </c>
      <c r="E22" s="1">
        <f>IFERROR(IF(AND(LEN(C22)=10,MID(C22,5,1)="-",MID(C22,8,1)="-"),VALUE(MID(C22,6,2)),IF(AND(LEN(C22)=11,MID(C22,3,1)="-",MID(C22,7,1)="-"),MATCH(UPPER(MID(C22,4,3)),Guide!$D$7:$D$18,0),0)),0)</f>
        <v>2</v>
      </c>
      <c r="F22" s="1">
        <f t="shared" si="1"/>
        <v>19</v>
      </c>
      <c r="G22" s="9">
        <f t="shared" si="2"/>
        <v>46072</v>
      </c>
      <c r="H22" s="1" t="str">
        <f>IF(Raw!D22="","",Raw!D22)</f>
        <v>P-A</v>
      </c>
      <c r="I22" s="1" t="str">
        <f>IFERROR(IF(EXACT(H22,INDEX(Guide!$A$7:$A$9,MATCH(SUBSTITUTE(SUBSTITUTE(SUBSTITUTE(H22,"~","~~"),"*","~*"),"?","~?"),Guide!$A$7:$A$9,0))),INDEX(Guide!$B$7:$B$9,MATCH(SUBSTITUTE(SUBSTITUTE(SUBSTITUTE(H22,"~","~~"),"*","~*"),"?","~?"),Guide!$A$7:$A$9,0)),""),"")</f>
        <v>Accessories</v>
      </c>
      <c r="J22" s="1" t="str">
        <f>IF(TRIM(Raw!E22)="",I22,IF(UPPER(TRIM(Raw!E22))=UPPER(I22),I22,""))</f>
        <v>Accessories</v>
      </c>
      <c r="K22" s="1" t="str">
        <f>IF(Raw!F22="","",Raw!F22)</f>
        <v>sale</v>
      </c>
      <c r="L22" s="1" t="str">
        <f>IF(LEFT(TRIM(Raw!G22),2)="-$","-"&amp;MID(TRIM(Raw!G22),3,99),IF(LEFT(TRIM(Raw!G22),1)="$",MID(TRIM(Raw!G22),2,99),TRIM(Raw!G22)))</f>
        <v>10.54</v>
      </c>
      <c r="M22" s="1">
        <f t="shared" si="3"/>
        <v>10.54</v>
      </c>
      <c r="N22" s="10">
        <f t="shared" si="4"/>
        <v>1054</v>
      </c>
      <c r="O22" s="1" t="b">
        <f>IFERROR(IF(ISNUMBER(Raw!G22),TRUE,OR(EXACT(L22,TEXT(M22,"0.00")),EXACT(L22,TEXT(M22,"#,##0.00")))),FALSE)</f>
        <v>1</v>
      </c>
      <c r="P22" s="1" t="str">
        <f>LEN(IF(Raw!A22="","",Raw!A22))&amp;":"&amp;IF(Raw!A22="","",Raw!A22)&amp;"|"&amp;LEN(IF(Raw!B22="","",Raw!B22))&amp;":"&amp;IF(Raw!B22="","",Raw!B22)&amp;"|"&amp;LEN(IF(Raw!C22="","",Raw!C22))&amp;":"&amp;IF(Raw!C22="","",Raw!C22)&amp;"|"&amp;LEN(IF(Raw!D22="","",Raw!D22))&amp;":"&amp;IF(Raw!D22="","",Raw!D22)&amp;"|"&amp;LEN(IF(Raw!E22="","",Raw!E22))&amp;":"&amp;IF(Raw!E22="","",Raw!E22)&amp;"|"&amp;LEN(IF(Raw!F22="","",Raw!F22))&amp;":"&amp;IF(Raw!F22="","",Raw!F22)&amp;"|"&amp;LEN(IF(Raw!G22="","",Raw!G22))&amp;":"&amp;IF(Raw!G22="","",Raw!G22)</f>
        <v>6:L00016|6:T00008|10:2026-02-19|3:P-A|11:Accessories|4:sale|5:10.54</v>
      </c>
      <c r="Q22" s="1">
        <f>1</f>
        <v>1</v>
      </c>
      <c r="R22" s="1" t="b">
        <f>FALSE</f>
        <v>0</v>
      </c>
      <c r="S22" s="1">
        <f>1</f>
        <v>1</v>
      </c>
      <c r="T22" s="1" t="str">
        <f>IF(AND(Raw!A22="",Raw!B22="",Raw!C22="",Raw!D22="",Raw!E22="",Raw!F22="",Raw!G22=""),"UNUSED",IF(A22="","missing line ID",IF(B22="","missing transaction ID",IF(G22="",IF(C22="","missing date","invalid date"),IF(I22="","unknown product",IF(J22="","conflicting category",IF(NOT(OR(EXACT(K22,"sale"),EXACT(K22,"refund"))),"unknown event",IF(OR(N22="",NOT(O22)),"invalid amount",IF(OR(AND(K22="sale",N22&lt;=0),AND(K22="refund",N22&gt;=0)),"invalid sign","")))))))))</f>
        <v/>
      </c>
      <c r="U22" s="1" t="str">
        <f t="shared" si="5"/>
        <v>INCLUDED</v>
      </c>
      <c r="V22" s="1" t="str">
        <f t="shared" si="6"/>
        <v>2026-02</v>
      </c>
      <c r="W22" s="1">
        <f>IF(AND(U22="INCLUDED",X22&gt;0,EXACT(A22,'AI output'!A22)),1,0)</f>
        <v>1</v>
      </c>
      <c r="X22" s="1">
        <f>22</f>
        <v>22</v>
      </c>
      <c r="Y22" s="1">
        <f>IF(AND(U22="INCLUDED",W22=1),--(NOT(EXACT(A22,'AI output'!A22)))+--(NOT(EXACT(B22,'AI output'!B22)))+--(NOT(EXACT(TEXT(G22,"yyyy-mm-dd"),'AI output'!C22)))+--(NOT(EXACT(H22,'AI output'!D22)))+--(NOT(EXACT(J22,'AI output'!E22)))+--(NOT(EXACT(K22,'AI output'!F22)))+--(N22&lt;&gt;'AI output'!L22)+--(NOT('AI output'!M22)),0)</f>
        <v>0</v>
      </c>
      <c r="Z22" s="1">
        <f t="shared" si="7"/>
        <v>0</v>
      </c>
      <c r="AA22" s="1">
        <f>--EXACT(A22,"L00016")</f>
        <v>1</v>
      </c>
    </row>
    <row r="23" spans="1:27" ht="18.95" customHeight="1">
      <c r="A23" s="1" t="str">
        <f>IF(Raw!A23="","",Raw!A23)</f>
        <v>L00017</v>
      </c>
      <c r="B23" s="1" t="str">
        <f>IF(Raw!B23="","",Raw!B23)</f>
        <v>T00009</v>
      </c>
      <c r="C23" s="1" t="str">
        <f>IF(Raw!C23="","",Raw!C23)</f>
        <v>2026-02-26</v>
      </c>
      <c r="D23" s="1">
        <f t="shared" si="0"/>
        <v>2026</v>
      </c>
      <c r="E23" s="1">
        <f>IFERROR(IF(AND(LEN(C23)=10,MID(C23,5,1)="-",MID(C23,8,1)="-"),VALUE(MID(C23,6,2)),IF(AND(LEN(C23)=11,MID(C23,3,1)="-",MID(C23,7,1)="-"),MATCH(UPPER(MID(C23,4,3)),Guide!$D$7:$D$18,0),0)),0)</f>
        <v>2</v>
      </c>
      <c r="F23" s="1">
        <f t="shared" si="1"/>
        <v>26</v>
      </c>
      <c r="G23" s="9">
        <f t="shared" si="2"/>
        <v>46079</v>
      </c>
      <c r="H23" s="1" t="str">
        <f>IF(Raw!D23="","",Raw!D23)</f>
        <v>P-H</v>
      </c>
      <c r="I23" s="1" t="str">
        <f>IFERROR(IF(EXACT(H23,INDEX(Guide!$A$7:$A$9,MATCH(SUBSTITUTE(SUBSTITUTE(SUBSTITUTE(H23,"~","~~"),"*","~*"),"?","~?"),Guide!$A$7:$A$9,0))),INDEX(Guide!$B$7:$B$9,MATCH(SUBSTITUTE(SUBSTITUTE(SUBSTITUTE(H23,"~","~~"),"*","~*"),"?","~?"),Guide!$A$7:$A$9,0)),""),"")</f>
        <v>Home</v>
      </c>
      <c r="J23" s="1" t="str">
        <f>IF(TRIM(Raw!E23)="",I23,IF(UPPER(TRIM(Raw!E23))=UPPER(I23),I23,""))</f>
        <v>Home</v>
      </c>
      <c r="K23" s="1" t="str">
        <f>IF(Raw!F23="","",Raw!F23)</f>
        <v>sale</v>
      </c>
      <c r="L23" s="1" t="str">
        <f>IF(LEFT(TRIM(Raw!G23),2)="-$","-"&amp;MID(TRIM(Raw!G23),3,99),IF(LEFT(TRIM(Raw!G23),1)="$",MID(TRIM(Raw!G23),2,99),TRIM(Raw!G23)))</f>
        <v>32.73</v>
      </c>
      <c r="M23" s="1">
        <f t="shared" si="3"/>
        <v>32.729999999999997</v>
      </c>
      <c r="N23" s="10">
        <f t="shared" si="4"/>
        <v>3273</v>
      </c>
      <c r="O23" s="1" t="b">
        <f>IFERROR(IF(ISNUMBER(Raw!G23),TRUE,OR(EXACT(L23,TEXT(M23,"0.00")),EXACT(L23,TEXT(M23,"#,##0.00")))),FALSE)</f>
        <v>1</v>
      </c>
      <c r="P23" s="1" t="str">
        <f>LEN(IF(Raw!A23="","",Raw!A23))&amp;":"&amp;IF(Raw!A23="","",Raw!A23)&amp;"|"&amp;LEN(IF(Raw!B23="","",Raw!B23))&amp;":"&amp;IF(Raw!B23="","",Raw!B23)&amp;"|"&amp;LEN(IF(Raw!C23="","",Raw!C23))&amp;":"&amp;IF(Raw!C23="","",Raw!C23)&amp;"|"&amp;LEN(IF(Raw!D23="","",Raw!D23))&amp;":"&amp;IF(Raw!D23="","",Raw!D23)&amp;"|"&amp;LEN(IF(Raw!E23="","",Raw!E23))&amp;":"&amp;IF(Raw!E23="","",Raw!E23)&amp;"|"&amp;LEN(IF(Raw!F23="","",Raw!F23))&amp;":"&amp;IF(Raw!F23="","",Raw!F23)&amp;"|"&amp;LEN(IF(Raw!G23="","",Raw!G23))&amp;":"&amp;IF(Raw!G23="","",Raw!G23)</f>
        <v>6:L00017|6:T00009|10:2026-02-26|3:P-H|4:Home|4:sale|5:32.73</v>
      </c>
      <c r="Q23" s="1">
        <f>1</f>
        <v>1</v>
      </c>
      <c r="R23" s="1" t="b">
        <f>FALSE</f>
        <v>0</v>
      </c>
      <c r="S23" s="1">
        <f>1</f>
        <v>1</v>
      </c>
      <c r="T23" s="1" t="str">
        <f>IF(AND(Raw!A23="",Raw!B23="",Raw!C23="",Raw!D23="",Raw!E23="",Raw!F23="",Raw!G23=""),"UNUSED",IF(A23="","missing line ID",IF(B23="","missing transaction ID",IF(G23="",IF(C23="","missing date","invalid date"),IF(I23="","unknown product",IF(J23="","conflicting category",IF(NOT(OR(EXACT(K23,"sale"),EXACT(K23,"refund"))),"unknown event",IF(OR(N23="",NOT(O23)),"invalid amount",IF(OR(AND(K23="sale",N23&lt;=0),AND(K23="refund",N23&gt;=0)),"invalid sign","")))))))))</f>
        <v/>
      </c>
      <c r="U23" s="1" t="str">
        <f t="shared" si="5"/>
        <v>INCLUDED</v>
      </c>
      <c r="V23" s="1" t="str">
        <f t="shared" si="6"/>
        <v>2026-02</v>
      </c>
      <c r="W23" s="1">
        <f>IF(AND(U23="INCLUDED",X23&gt;0,EXACT(A23,'AI output'!A23)),1,0)</f>
        <v>1</v>
      </c>
      <c r="X23" s="1">
        <f>23</f>
        <v>23</v>
      </c>
      <c r="Y23" s="1">
        <f>IF(AND(U23="INCLUDED",W23=1),--(NOT(EXACT(A23,'AI output'!A23)))+--(NOT(EXACT(B23,'AI output'!B23)))+--(NOT(EXACT(TEXT(G23,"yyyy-mm-dd"),'AI output'!C23)))+--(NOT(EXACT(H23,'AI output'!D23)))+--(NOT(EXACT(J23,'AI output'!E23)))+--(NOT(EXACT(K23,'AI output'!F23)))+--(N23&lt;&gt;'AI output'!L23)+--(NOT('AI output'!M23)),0)</f>
        <v>0</v>
      </c>
      <c r="Z23" s="1">
        <f t="shared" si="7"/>
        <v>0</v>
      </c>
      <c r="AA23" s="1">
        <f>--EXACT(A23,"L00017")</f>
        <v>1</v>
      </c>
    </row>
    <row r="24" spans="1:27" ht="18.95" customHeight="1">
      <c r="A24" s="1" t="str">
        <f>IF(Raw!A24="","",Raw!A24)</f>
        <v>L00018</v>
      </c>
      <c r="B24" s="1" t="str">
        <f>IF(Raw!B24="","",Raw!B24)</f>
        <v>T00009</v>
      </c>
      <c r="C24" s="1" t="str">
        <f>IF(Raw!C24="","",Raw!C24)</f>
        <v>2026-02-26</v>
      </c>
      <c r="D24" s="1">
        <f t="shared" si="0"/>
        <v>2026</v>
      </c>
      <c r="E24" s="1">
        <f>IFERROR(IF(AND(LEN(C24)=10,MID(C24,5,1)="-",MID(C24,8,1)="-"),VALUE(MID(C24,6,2)),IF(AND(LEN(C24)=11,MID(C24,3,1)="-",MID(C24,7,1)="-"),MATCH(UPPER(MID(C24,4,3)),Guide!$D$7:$D$18,0),0)),0)</f>
        <v>2</v>
      </c>
      <c r="F24" s="1">
        <f t="shared" si="1"/>
        <v>26</v>
      </c>
      <c r="G24" s="9">
        <f t="shared" si="2"/>
        <v>46079</v>
      </c>
      <c r="H24" s="1" t="str">
        <f>IF(Raw!D24="","",Raw!D24)</f>
        <v>P-O</v>
      </c>
      <c r="I24" s="1" t="str">
        <f>IFERROR(IF(EXACT(H24,INDEX(Guide!$A$7:$A$9,MATCH(SUBSTITUTE(SUBSTITUTE(SUBSTITUTE(H24,"~","~~"),"*","~*"),"?","~?"),Guide!$A$7:$A$9,0))),INDEX(Guide!$B$7:$B$9,MATCH(SUBSTITUTE(SUBSTITUTE(SUBSTITUTE(H24,"~","~~"),"*","~*"),"?","~?"),Guide!$A$7:$A$9,0)),""),"")</f>
        <v>Office</v>
      </c>
      <c r="J24" s="1" t="str">
        <f>IF(TRIM(Raw!E24)="",I24,IF(UPPER(TRIM(Raw!E24))=UPPER(I24),I24,""))</f>
        <v>Office</v>
      </c>
      <c r="K24" s="1" t="str">
        <f>IF(Raw!F24="","",Raw!F24)</f>
        <v>sale</v>
      </c>
      <c r="L24" s="1" t="str">
        <f>IF(LEFT(TRIM(Raw!G24),2)="-$","-"&amp;MID(TRIM(Raw!G24),3,99),IF(LEFT(TRIM(Raw!G24),1)="$",MID(TRIM(Raw!G24),2,99),TRIM(Raw!G24)))</f>
        <v>56.40</v>
      </c>
      <c r="M24" s="1">
        <f t="shared" si="3"/>
        <v>56.4</v>
      </c>
      <c r="N24" s="10">
        <f t="shared" si="4"/>
        <v>5640</v>
      </c>
      <c r="O24" s="1" t="b">
        <f>IFERROR(IF(ISNUMBER(Raw!G24),TRUE,OR(EXACT(L24,TEXT(M24,"0.00")),EXACT(L24,TEXT(M24,"#,##0.00")))),FALSE)</f>
        <v>1</v>
      </c>
      <c r="P24" s="1" t="str">
        <f>LEN(IF(Raw!A24="","",Raw!A24))&amp;":"&amp;IF(Raw!A24="","",Raw!A24)&amp;"|"&amp;LEN(IF(Raw!B24="","",Raw!B24))&amp;":"&amp;IF(Raw!B24="","",Raw!B24)&amp;"|"&amp;LEN(IF(Raw!C24="","",Raw!C24))&amp;":"&amp;IF(Raw!C24="","",Raw!C24)&amp;"|"&amp;LEN(IF(Raw!D24="","",Raw!D24))&amp;":"&amp;IF(Raw!D24="","",Raw!D24)&amp;"|"&amp;LEN(IF(Raw!E24="","",Raw!E24))&amp;":"&amp;IF(Raw!E24="","",Raw!E24)&amp;"|"&amp;LEN(IF(Raw!F24="","",Raw!F24))&amp;":"&amp;IF(Raw!F24="","",Raw!F24)&amp;"|"&amp;LEN(IF(Raw!G24="","",Raw!G24))&amp;":"&amp;IF(Raw!G24="","",Raw!G24)</f>
        <v>6:L00018|6:T00009|10:2026-02-26|3:P-O|6:Office|4:sale|5:56.40</v>
      </c>
      <c r="Q24" s="1">
        <f>1</f>
        <v>1</v>
      </c>
      <c r="R24" s="1" t="b">
        <f>FALSE</f>
        <v>0</v>
      </c>
      <c r="S24" s="1">
        <f>1</f>
        <v>1</v>
      </c>
      <c r="T24" s="1" t="str">
        <f>IF(AND(Raw!A24="",Raw!B24="",Raw!C24="",Raw!D24="",Raw!E24="",Raw!F24="",Raw!G24=""),"UNUSED",IF(A24="","missing line ID",IF(B24="","missing transaction ID",IF(G24="",IF(C24="","missing date","invalid date"),IF(I24="","unknown product",IF(J24="","conflicting category",IF(NOT(OR(EXACT(K24,"sale"),EXACT(K24,"refund"))),"unknown event",IF(OR(N24="",NOT(O24)),"invalid amount",IF(OR(AND(K24="sale",N24&lt;=0),AND(K24="refund",N24&gt;=0)),"invalid sign","")))))))))</f>
        <v/>
      </c>
      <c r="U24" s="1" t="str">
        <f t="shared" si="5"/>
        <v>INCLUDED</v>
      </c>
      <c r="V24" s="1" t="str">
        <f t="shared" si="6"/>
        <v>2026-02</v>
      </c>
      <c r="W24" s="1">
        <f>IF(AND(U24="INCLUDED",X24&gt;0,EXACT(A24,'AI output'!A24)),1,0)</f>
        <v>1</v>
      </c>
      <c r="X24" s="1">
        <f>24</f>
        <v>24</v>
      </c>
      <c r="Y24" s="1">
        <f>IF(AND(U24="INCLUDED",W24=1),--(NOT(EXACT(A24,'AI output'!A24)))+--(NOT(EXACT(B24,'AI output'!B24)))+--(NOT(EXACT(TEXT(G24,"yyyy-mm-dd"),'AI output'!C24)))+--(NOT(EXACT(H24,'AI output'!D24)))+--(NOT(EXACT(J24,'AI output'!E24)))+--(NOT(EXACT(K24,'AI output'!F24)))+--(N24&lt;&gt;'AI output'!L24)+--(NOT('AI output'!M24)),0)</f>
        <v>0</v>
      </c>
      <c r="Z24" s="1">
        <f t="shared" si="7"/>
        <v>0</v>
      </c>
      <c r="AA24" s="1">
        <f>--EXACT(A24,"L00018")</f>
        <v>1</v>
      </c>
    </row>
    <row r="25" spans="1:27" ht="18.95" customHeight="1">
      <c r="A25" s="1" t="str">
        <f>IF(Raw!A25="","",Raw!A25)</f>
        <v>L00019</v>
      </c>
      <c r="B25" s="1" t="str">
        <f>IF(Raw!B25="","",Raw!B25)</f>
        <v>T00010</v>
      </c>
      <c r="C25" s="1" t="str">
        <f>IF(Raw!C25="","",Raw!C25)</f>
        <v>2026-03-05</v>
      </c>
      <c r="D25" s="1">
        <f t="shared" si="0"/>
        <v>2026</v>
      </c>
      <c r="E25" s="1">
        <f>IFERROR(IF(AND(LEN(C25)=10,MID(C25,5,1)="-",MID(C25,8,1)="-"),VALUE(MID(C25,6,2)),IF(AND(LEN(C25)=11,MID(C25,3,1)="-",MID(C25,7,1)="-"),MATCH(UPPER(MID(C25,4,3)),Guide!$D$7:$D$18,0),0)),0)</f>
        <v>3</v>
      </c>
      <c r="F25" s="1">
        <f t="shared" si="1"/>
        <v>5</v>
      </c>
      <c r="G25" s="9">
        <f t="shared" si="2"/>
        <v>46086</v>
      </c>
      <c r="H25" s="1" t="str">
        <f>IF(Raw!D25="","",Raw!D25)</f>
        <v>P-A</v>
      </c>
      <c r="I25" s="1" t="str">
        <f>IFERROR(IF(EXACT(H25,INDEX(Guide!$A$7:$A$9,MATCH(SUBSTITUTE(SUBSTITUTE(SUBSTITUTE(H25,"~","~~"),"*","~*"),"?","~?"),Guide!$A$7:$A$9,0))),INDEX(Guide!$B$7:$B$9,MATCH(SUBSTITUTE(SUBSTITUTE(SUBSTITUTE(H25,"~","~~"),"*","~*"),"?","~?"),Guide!$A$7:$A$9,0)),""),"")</f>
        <v>Accessories</v>
      </c>
      <c r="J25" s="1" t="str">
        <f>IF(TRIM(Raw!E25)="",I25,IF(UPPER(TRIM(Raw!E25))=UPPER(I25),I25,""))</f>
        <v>Accessories</v>
      </c>
      <c r="K25" s="1" t="str">
        <f>IF(Raw!F25="","",Raw!F25)</f>
        <v>sale</v>
      </c>
      <c r="L25" s="1" t="str">
        <f>IF(LEFT(TRIM(Raw!G25),2)="-$","-"&amp;MID(TRIM(Raw!G25),3,99),IF(LEFT(TRIM(Raw!G25),1)="$",MID(TRIM(Raw!G25),2,99),TRIM(Raw!G25)))</f>
        <v>23.30</v>
      </c>
      <c r="M25" s="1">
        <f t="shared" si="3"/>
        <v>23.3</v>
      </c>
      <c r="N25" s="10">
        <f t="shared" si="4"/>
        <v>2330</v>
      </c>
      <c r="O25" s="1" t="b">
        <f>IFERROR(IF(ISNUMBER(Raw!G25),TRUE,OR(EXACT(L25,TEXT(M25,"0.00")),EXACT(L25,TEXT(M25,"#,##0.00")))),FALSE)</f>
        <v>1</v>
      </c>
      <c r="P25" s="1" t="str">
        <f>LEN(IF(Raw!A25="","",Raw!A25))&amp;":"&amp;IF(Raw!A25="","",Raw!A25)&amp;"|"&amp;LEN(IF(Raw!B25="","",Raw!B25))&amp;":"&amp;IF(Raw!B25="","",Raw!B25)&amp;"|"&amp;LEN(IF(Raw!C25="","",Raw!C25))&amp;":"&amp;IF(Raw!C25="","",Raw!C25)&amp;"|"&amp;LEN(IF(Raw!D25="","",Raw!D25))&amp;":"&amp;IF(Raw!D25="","",Raw!D25)&amp;"|"&amp;LEN(IF(Raw!E25="","",Raw!E25))&amp;":"&amp;IF(Raw!E25="","",Raw!E25)&amp;"|"&amp;LEN(IF(Raw!F25="","",Raw!F25))&amp;":"&amp;IF(Raw!F25="","",Raw!F25)&amp;"|"&amp;LEN(IF(Raw!G25="","",Raw!G25))&amp;":"&amp;IF(Raw!G25="","",Raw!G25)</f>
        <v>6:L00019|6:T00010|10:2026-03-05|3:P-A|11:Accessories|4:sale|5:23.30</v>
      </c>
      <c r="Q25" s="1">
        <f>1</f>
        <v>1</v>
      </c>
      <c r="R25" s="1" t="b">
        <f>FALSE</f>
        <v>0</v>
      </c>
      <c r="S25" s="1">
        <f>1</f>
        <v>1</v>
      </c>
      <c r="T25" s="1" t="str">
        <f>IF(AND(Raw!A25="",Raw!B25="",Raw!C25="",Raw!D25="",Raw!E25="",Raw!F25="",Raw!G25=""),"UNUSED",IF(A25="","missing line ID",IF(B25="","missing transaction ID",IF(G25="",IF(C25="","missing date","invalid date"),IF(I25="","unknown product",IF(J25="","conflicting category",IF(NOT(OR(EXACT(K25,"sale"),EXACT(K25,"refund"))),"unknown event",IF(OR(N25="",NOT(O25)),"invalid amount",IF(OR(AND(K25="sale",N25&lt;=0),AND(K25="refund",N25&gt;=0)),"invalid sign","")))))))))</f>
        <v/>
      </c>
      <c r="U25" s="1" t="str">
        <f t="shared" si="5"/>
        <v>INCLUDED</v>
      </c>
      <c r="V25" s="1" t="str">
        <f t="shared" si="6"/>
        <v>2026-03</v>
      </c>
      <c r="W25" s="1">
        <f>IF(AND(U25="INCLUDED",X25&gt;0,EXACT(A25,'AI output'!A25)),1,0)</f>
        <v>1</v>
      </c>
      <c r="X25" s="1">
        <f>25</f>
        <v>25</v>
      </c>
      <c r="Y25" s="1">
        <f>IF(AND(U25="INCLUDED",W25=1),--(NOT(EXACT(A25,'AI output'!A25)))+--(NOT(EXACT(B25,'AI output'!B25)))+--(NOT(EXACT(TEXT(G25,"yyyy-mm-dd"),'AI output'!C25)))+--(NOT(EXACT(H25,'AI output'!D25)))+--(NOT(EXACT(J25,'AI output'!E25)))+--(NOT(EXACT(K25,'AI output'!F25)))+--(N25&lt;&gt;'AI output'!L25)+--(NOT('AI output'!M25)),0)</f>
        <v>0</v>
      </c>
      <c r="Z25" s="1">
        <f t="shared" si="7"/>
        <v>0</v>
      </c>
      <c r="AA25" s="1">
        <f>--EXACT(A25,"L00019")</f>
        <v>1</v>
      </c>
    </row>
    <row r="26" spans="1:27" ht="18.95" customHeight="1">
      <c r="A26" s="1" t="str">
        <f>IF(Raw!A26="","",Raw!A26)</f>
        <v>L00020</v>
      </c>
      <c r="B26" s="1" t="str">
        <f>IF(Raw!B26="","",Raw!B26)</f>
        <v>T00010</v>
      </c>
      <c r="C26" s="1" t="str">
        <f>IF(Raw!C26="","",Raw!C26)</f>
        <v>2026-03-05</v>
      </c>
      <c r="D26" s="1">
        <f t="shared" si="0"/>
        <v>2026</v>
      </c>
      <c r="E26" s="1">
        <f>IFERROR(IF(AND(LEN(C26)=10,MID(C26,5,1)="-",MID(C26,8,1)="-"),VALUE(MID(C26,6,2)),IF(AND(LEN(C26)=11,MID(C26,3,1)="-",MID(C26,7,1)="-"),MATCH(UPPER(MID(C26,4,3)),Guide!$D$7:$D$18,0),0)),0)</f>
        <v>3</v>
      </c>
      <c r="F26" s="1">
        <f t="shared" si="1"/>
        <v>5</v>
      </c>
      <c r="G26" s="9">
        <f t="shared" si="2"/>
        <v>46086</v>
      </c>
      <c r="H26" s="1" t="str">
        <f>IF(Raw!D26="","",Raw!D26)</f>
        <v>P-H</v>
      </c>
      <c r="I26" s="1" t="str">
        <f>IFERROR(IF(EXACT(H26,INDEX(Guide!$A$7:$A$9,MATCH(SUBSTITUTE(SUBSTITUTE(SUBSTITUTE(H26,"~","~~"),"*","~*"),"?","~?"),Guide!$A$7:$A$9,0))),INDEX(Guide!$B$7:$B$9,MATCH(SUBSTITUTE(SUBSTITUTE(SUBSTITUTE(H26,"~","~~"),"*","~*"),"?","~?"),Guide!$A$7:$A$9,0)),""),"")</f>
        <v>Home</v>
      </c>
      <c r="J26" s="1" t="str">
        <f>IF(TRIM(Raw!E26)="",I26,IF(UPPER(TRIM(Raw!E26))=UPPER(I26),I26,""))</f>
        <v>Home</v>
      </c>
      <c r="K26" s="1" t="str">
        <f>IF(Raw!F26="","",Raw!F26)</f>
        <v>sale</v>
      </c>
      <c r="L26" s="1" t="str">
        <f>IF(LEFT(TRIM(Raw!G26),2)="-$","-"&amp;MID(TRIM(Raw!G26),3,99),IF(LEFT(TRIM(Raw!G26),1)="$",MID(TRIM(Raw!G26),2,99),TRIM(Raw!G26)))</f>
        <v>48.08</v>
      </c>
      <c r="M26" s="1">
        <f t="shared" si="3"/>
        <v>48.08</v>
      </c>
      <c r="N26" s="10">
        <f t="shared" si="4"/>
        <v>4808</v>
      </c>
      <c r="O26" s="1" t="b">
        <f>IFERROR(IF(ISNUMBER(Raw!G26),TRUE,OR(EXACT(L26,TEXT(M26,"0.00")),EXACT(L26,TEXT(M26,"#,##0.00")))),FALSE)</f>
        <v>1</v>
      </c>
      <c r="P26" s="1" t="str">
        <f>LEN(IF(Raw!A26="","",Raw!A26))&amp;":"&amp;IF(Raw!A26="","",Raw!A26)&amp;"|"&amp;LEN(IF(Raw!B26="","",Raw!B26))&amp;":"&amp;IF(Raw!B26="","",Raw!B26)&amp;"|"&amp;LEN(IF(Raw!C26="","",Raw!C26))&amp;":"&amp;IF(Raw!C26="","",Raw!C26)&amp;"|"&amp;LEN(IF(Raw!D26="","",Raw!D26))&amp;":"&amp;IF(Raw!D26="","",Raw!D26)&amp;"|"&amp;LEN(IF(Raw!E26="","",Raw!E26))&amp;":"&amp;IF(Raw!E26="","",Raw!E26)&amp;"|"&amp;LEN(IF(Raw!F26="","",Raw!F26))&amp;":"&amp;IF(Raw!F26="","",Raw!F26)&amp;"|"&amp;LEN(IF(Raw!G26="","",Raw!G26))&amp;":"&amp;IF(Raw!G26="","",Raw!G26)</f>
        <v>6:L00020|6:T00010|10:2026-03-05|3:P-H|4:Home|4:sale|5:48.08</v>
      </c>
      <c r="Q26" s="1">
        <f>1</f>
        <v>1</v>
      </c>
      <c r="R26" s="1" t="b">
        <f>FALSE</f>
        <v>0</v>
      </c>
      <c r="S26" s="1">
        <f>1</f>
        <v>1</v>
      </c>
      <c r="T26" s="1" t="str">
        <f>IF(AND(Raw!A26="",Raw!B26="",Raw!C26="",Raw!D26="",Raw!E26="",Raw!F26="",Raw!G26=""),"UNUSED",IF(A26="","missing line ID",IF(B26="","missing transaction ID",IF(G26="",IF(C26="","missing date","invalid date"),IF(I26="","unknown product",IF(J26="","conflicting category",IF(NOT(OR(EXACT(K26,"sale"),EXACT(K26,"refund"))),"unknown event",IF(OR(N26="",NOT(O26)),"invalid amount",IF(OR(AND(K26="sale",N26&lt;=0),AND(K26="refund",N26&gt;=0)),"invalid sign","")))))))))</f>
        <v/>
      </c>
      <c r="U26" s="1" t="str">
        <f t="shared" si="5"/>
        <v>INCLUDED</v>
      </c>
      <c r="V26" s="1" t="str">
        <f t="shared" si="6"/>
        <v>2026-03</v>
      </c>
      <c r="W26" s="1">
        <f>IF(AND(U26="INCLUDED",X26&gt;0,EXACT(A26,'AI output'!A26)),1,0)</f>
        <v>1</v>
      </c>
      <c r="X26" s="1">
        <f>26</f>
        <v>26</v>
      </c>
      <c r="Y26" s="1">
        <f>IF(AND(U26="INCLUDED",W26=1),--(NOT(EXACT(A26,'AI output'!A26)))+--(NOT(EXACT(B26,'AI output'!B26)))+--(NOT(EXACT(TEXT(G26,"yyyy-mm-dd"),'AI output'!C26)))+--(NOT(EXACT(H26,'AI output'!D26)))+--(NOT(EXACT(J26,'AI output'!E26)))+--(NOT(EXACT(K26,'AI output'!F26)))+--(N26&lt;&gt;'AI output'!L26)+--(NOT('AI output'!M26)),0)</f>
        <v>0</v>
      </c>
      <c r="Z26" s="1">
        <f t="shared" si="7"/>
        <v>0</v>
      </c>
      <c r="AA26" s="1">
        <f>--EXACT(A26,"L00020")</f>
        <v>1</v>
      </c>
    </row>
    <row r="27" spans="1:27" ht="18.95" customHeight="1">
      <c r="A27" s="1" t="str">
        <f>IF(Raw!A27="","",Raw!A27)</f>
        <v>L00021</v>
      </c>
      <c r="B27" s="1" t="str">
        <f>IF(Raw!B27="","",Raw!B27)</f>
        <v>T00011</v>
      </c>
      <c r="C27" s="1" t="str">
        <f>IF(Raw!C27="","",Raw!C27)</f>
        <v>2026-03-12</v>
      </c>
      <c r="D27" s="1">
        <f t="shared" si="0"/>
        <v>2026</v>
      </c>
      <c r="E27" s="1">
        <f>IFERROR(IF(AND(LEN(C27)=10,MID(C27,5,1)="-",MID(C27,8,1)="-"),VALUE(MID(C27,6,2)),IF(AND(LEN(C27)=11,MID(C27,3,1)="-",MID(C27,7,1)="-"),MATCH(UPPER(MID(C27,4,3)),Guide!$D$7:$D$18,0),0)),0)</f>
        <v>3</v>
      </c>
      <c r="F27" s="1">
        <f t="shared" si="1"/>
        <v>12</v>
      </c>
      <c r="G27" s="9">
        <f t="shared" si="2"/>
        <v>46093</v>
      </c>
      <c r="H27" s="1" t="str">
        <f>IF(Raw!D27="","",Raw!D27)</f>
        <v>P-O</v>
      </c>
      <c r="I27" s="1" t="str">
        <f>IFERROR(IF(EXACT(H27,INDEX(Guide!$A$7:$A$9,MATCH(SUBSTITUTE(SUBSTITUTE(SUBSTITUTE(H27,"~","~~"),"*","~*"),"?","~?"),Guide!$A$7:$A$9,0))),INDEX(Guide!$B$7:$B$9,MATCH(SUBSTITUTE(SUBSTITUTE(SUBSTITUTE(H27,"~","~~"),"*","~*"),"?","~?"),Guide!$A$7:$A$9,0)),""),"")</f>
        <v>Office</v>
      </c>
      <c r="J27" s="1" t="str">
        <f>IF(TRIM(Raw!E27)="",I27,IF(UPPER(TRIM(Raw!E27))=UPPER(I27),I27,""))</f>
        <v>Office</v>
      </c>
      <c r="K27" s="1" t="str">
        <f>IF(Raw!F27="","",Raw!F27)</f>
        <v>sale</v>
      </c>
      <c r="L27" s="1" t="str">
        <f>IF(LEFT(TRIM(Raw!G27),2)="-$","-"&amp;MID(TRIM(Raw!G27),3,99),IF(LEFT(TRIM(Raw!G27),1)="$",MID(TRIM(Raw!G27),2,99),TRIM(Raw!G27)))</f>
        <v>12.39</v>
      </c>
      <c r="M27" s="1">
        <f t="shared" si="3"/>
        <v>12.39</v>
      </c>
      <c r="N27" s="10">
        <f t="shared" si="4"/>
        <v>1239</v>
      </c>
      <c r="O27" s="1" t="b">
        <f>IFERROR(IF(ISNUMBER(Raw!G27),TRUE,OR(EXACT(L27,TEXT(M27,"0.00")),EXACT(L27,TEXT(M27,"#,##0.00")))),FALSE)</f>
        <v>1</v>
      </c>
      <c r="P27" s="1" t="str">
        <f>LEN(IF(Raw!A27="","",Raw!A27))&amp;":"&amp;IF(Raw!A27="","",Raw!A27)&amp;"|"&amp;LEN(IF(Raw!B27="","",Raw!B27))&amp;":"&amp;IF(Raw!B27="","",Raw!B27)&amp;"|"&amp;LEN(IF(Raw!C27="","",Raw!C27))&amp;":"&amp;IF(Raw!C27="","",Raw!C27)&amp;"|"&amp;LEN(IF(Raw!D27="","",Raw!D27))&amp;":"&amp;IF(Raw!D27="","",Raw!D27)&amp;"|"&amp;LEN(IF(Raw!E27="","",Raw!E27))&amp;":"&amp;IF(Raw!E27="","",Raw!E27)&amp;"|"&amp;LEN(IF(Raw!F27="","",Raw!F27))&amp;":"&amp;IF(Raw!F27="","",Raw!F27)&amp;"|"&amp;LEN(IF(Raw!G27="","",Raw!G27))&amp;":"&amp;IF(Raw!G27="","",Raw!G27)</f>
        <v>6:L00021|6:T00011|10:2026-03-12|3:P-O|6:Office|4:sale|5:12.39</v>
      </c>
      <c r="Q27" s="1">
        <f>1</f>
        <v>1</v>
      </c>
      <c r="R27" s="1" t="b">
        <f>FALSE</f>
        <v>0</v>
      </c>
      <c r="S27" s="1">
        <f>1</f>
        <v>1</v>
      </c>
      <c r="T27" s="1" t="str">
        <f>IF(AND(Raw!A27="",Raw!B27="",Raw!C27="",Raw!D27="",Raw!E27="",Raw!F27="",Raw!G27=""),"UNUSED",IF(A27="","missing line ID",IF(B27="","missing transaction ID",IF(G27="",IF(C27="","missing date","invalid date"),IF(I27="","unknown product",IF(J27="","conflicting category",IF(NOT(OR(EXACT(K27,"sale"),EXACT(K27,"refund"))),"unknown event",IF(OR(N27="",NOT(O27)),"invalid amount",IF(OR(AND(K27="sale",N27&lt;=0),AND(K27="refund",N27&gt;=0)),"invalid sign","")))))))))</f>
        <v/>
      </c>
      <c r="U27" s="1" t="str">
        <f t="shared" si="5"/>
        <v>INCLUDED</v>
      </c>
      <c r="V27" s="1" t="str">
        <f t="shared" si="6"/>
        <v>2026-03</v>
      </c>
      <c r="W27" s="1">
        <f>IF(AND(U27="INCLUDED",X27&gt;0,EXACT(A27,'AI output'!A27)),1,0)</f>
        <v>1</v>
      </c>
      <c r="X27" s="1">
        <f>27</f>
        <v>27</v>
      </c>
      <c r="Y27" s="1">
        <f>IF(AND(U27="INCLUDED",W27=1),--(NOT(EXACT(A27,'AI output'!A27)))+--(NOT(EXACT(B27,'AI output'!B27)))+--(NOT(EXACT(TEXT(G27,"yyyy-mm-dd"),'AI output'!C27)))+--(NOT(EXACT(H27,'AI output'!D27)))+--(NOT(EXACT(J27,'AI output'!E27)))+--(NOT(EXACT(K27,'AI output'!F27)))+--(N27&lt;&gt;'AI output'!L27)+--(NOT('AI output'!M27)),0)</f>
        <v>0</v>
      </c>
      <c r="Z27" s="1">
        <f t="shared" si="7"/>
        <v>0</v>
      </c>
      <c r="AA27" s="1">
        <f>--EXACT(A27,"L00021")</f>
        <v>1</v>
      </c>
    </row>
    <row r="28" spans="1:27" ht="18.95" customHeight="1">
      <c r="A28" s="1" t="str">
        <f>IF(Raw!A28="","",Raw!A28)</f>
        <v>L00022</v>
      </c>
      <c r="B28" s="1" t="str">
        <f>IF(Raw!B28="","",Raw!B28)</f>
        <v>T00011</v>
      </c>
      <c r="C28" s="1" t="str">
        <f>IF(Raw!C28="","",Raw!C28)</f>
        <v>2026-03-12</v>
      </c>
      <c r="D28" s="1">
        <f t="shared" si="0"/>
        <v>2026</v>
      </c>
      <c r="E28" s="1">
        <f>IFERROR(IF(AND(LEN(C28)=10,MID(C28,5,1)="-",MID(C28,8,1)="-"),VALUE(MID(C28,6,2)),IF(AND(LEN(C28)=11,MID(C28,3,1)="-",MID(C28,7,1)="-"),MATCH(UPPER(MID(C28,4,3)),Guide!$D$7:$D$18,0),0)),0)</f>
        <v>3</v>
      </c>
      <c r="F28" s="1">
        <f t="shared" si="1"/>
        <v>12</v>
      </c>
      <c r="G28" s="9">
        <f t="shared" si="2"/>
        <v>46093</v>
      </c>
      <c r="H28" s="1" t="str">
        <f>IF(Raw!D28="","",Raw!D28)</f>
        <v>P-A</v>
      </c>
      <c r="I28" s="1" t="str">
        <f>IFERROR(IF(EXACT(H28,INDEX(Guide!$A$7:$A$9,MATCH(SUBSTITUTE(SUBSTITUTE(SUBSTITUTE(H28,"~","~~"),"*","~*"),"?","~?"),Guide!$A$7:$A$9,0))),INDEX(Guide!$B$7:$B$9,MATCH(SUBSTITUTE(SUBSTITUTE(SUBSTITUTE(H28,"~","~~"),"*","~*"),"?","~?"),Guide!$A$7:$A$9,0)),""),"")</f>
        <v>Accessories</v>
      </c>
      <c r="J28" s="1" t="str">
        <f>IF(TRIM(Raw!E28)="",I28,IF(UPPER(TRIM(Raw!E28))=UPPER(I28),I28,""))</f>
        <v>Accessories</v>
      </c>
      <c r="K28" s="1" t="str">
        <f>IF(Raw!F28="","",Raw!F28)</f>
        <v>sale</v>
      </c>
      <c r="L28" s="1" t="str">
        <f>IF(LEFT(TRIM(Raw!G28),2)="-$","-"&amp;MID(TRIM(Raw!G28),3,99),IF(LEFT(TRIM(Raw!G28),1)="$",MID(TRIM(Raw!G28),2,99),TRIM(Raw!G28)))</f>
        <v>38.28</v>
      </c>
      <c r="M28" s="1">
        <f t="shared" si="3"/>
        <v>38.28</v>
      </c>
      <c r="N28" s="10">
        <f t="shared" si="4"/>
        <v>3828</v>
      </c>
      <c r="O28" s="1" t="b">
        <f>IFERROR(IF(ISNUMBER(Raw!G28),TRUE,OR(EXACT(L28,TEXT(M28,"0.00")),EXACT(L28,TEXT(M28,"#,##0.00")))),FALSE)</f>
        <v>1</v>
      </c>
      <c r="P28" s="1" t="str">
        <f>LEN(IF(Raw!A28="","",Raw!A28))&amp;":"&amp;IF(Raw!A28="","",Raw!A28)&amp;"|"&amp;LEN(IF(Raw!B28="","",Raw!B28))&amp;":"&amp;IF(Raw!B28="","",Raw!B28)&amp;"|"&amp;LEN(IF(Raw!C28="","",Raw!C28))&amp;":"&amp;IF(Raw!C28="","",Raw!C28)&amp;"|"&amp;LEN(IF(Raw!D28="","",Raw!D28))&amp;":"&amp;IF(Raw!D28="","",Raw!D28)&amp;"|"&amp;LEN(IF(Raw!E28="","",Raw!E28))&amp;":"&amp;IF(Raw!E28="","",Raw!E28)&amp;"|"&amp;LEN(IF(Raw!F28="","",Raw!F28))&amp;":"&amp;IF(Raw!F28="","",Raw!F28)&amp;"|"&amp;LEN(IF(Raw!G28="","",Raw!G28))&amp;":"&amp;IF(Raw!G28="","",Raw!G28)</f>
        <v>6:L00022|6:T00011|10:2026-03-12|3:P-A|11:Accessories|4:sale|5:38.28</v>
      </c>
      <c r="Q28" s="1">
        <f>1</f>
        <v>1</v>
      </c>
      <c r="R28" s="1" t="b">
        <f>FALSE</f>
        <v>0</v>
      </c>
      <c r="S28" s="1">
        <f>1</f>
        <v>1</v>
      </c>
      <c r="T28" s="1" t="str">
        <f>IF(AND(Raw!A28="",Raw!B28="",Raw!C28="",Raw!D28="",Raw!E28="",Raw!F28="",Raw!G28=""),"UNUSED",IF(A28="","missing line ID",IF(B28="","missing transaction ID",IF(G28="",IF(C28="","missing date","invalid date"),IF(I28="","unknown product",IF(J28="","conflicting category",IF(NOT(OR(EXACT(K28,"sale"),EXACT(K28,"refund"))),"unknown event",IF(OR(N28="",NOT(O28)),"invalid amount",IF(OR(AND(K28="sale",N28&lt;=0),AND(K28="refund",N28&gt;=0)),"invalid sign","")))))))))</f>
        <v/>
      </c>
      <c r="U28" s="1" t="str">
        <f t="shared" si="5"/>
        <v>INCLUDED</v>
      </c>
      <c r="V28" s="1" t="str">
        <f t="shared" si="6"/>
        <v>2026-03</v>
      </c>
      <c r="W28" s="1">
        <f>IF(AND(U28="INCLUDED",X28&gt;0,EXACT(A28,'AI output'!A28)),1,0)</f>
        <v>1</v>
      </c>
      <c r="X28" s="1">
        <f>28</f>
        <v>28</v>
      </c>
      <c r="Y28" s="1">
        <f>IF(AND(U28="INCLUDED",W28=1),--(NOT(EXACT(A28,'AI output'!A28)))+--(NOT(EXACT(B28,'AI output'!B28)))+--(NOT(EXACT(TEXT(G28,"yyyy-mm-dd"),'AI output'!C28)))+--(NOT(EXACT(H28,'AI output'!D28)))+--(NOT(EXACT(J28,'AI output'!E28)))+--(NOT(EXACT(K28,'AI output'!F28)))+--(N28&lt;&gt;'AI output'!L28)+--(NOT('AI output'!M28)),0)</f>
        <v>0</v>
      </c>
      <c r="Z28" s="1">
        <f t="shared" si="7"/>
        <v>0</v>
      </c>
      <c r="AA28" s="1">
        <f>--EXACT(A28,"L00022")</f>
        <v>1</v>
      </c>
    </row>
    <row r="29" spans="1:27" ht="18.95" customHeight="1">
      <c r="A29" s="1" t="str">
        <f>IF(Raw!A29="","",Raw!A29)</f>
        <v>L00023</v>
      </c>
      <c r="B29" s="1" t="str">
        <f>IF(Raw!B29="","",Raw!B29)</f>
        <v>T00012</v>
      </c>
      <c r="C29" s="1" t="str">
        <f>IF(Raw!C29="","",Raw!C29)</f>
        <v>2026-03-19</v>
      </c>
      <c r="D29" s="1">
        <f t="shared" si="0"/>
        <v>2026</v>
      </c>
      <c r="E29" s="1">
        <f>IFERROR(IF(AND(LEN(C29)=10,MID(C29,5,1)="-",MID(C29,8,1)="-"),VALUE(MID(C29,6,2)),IF(AND(LEN(C29)=11,MID(C29,3,1)="-",MID(C29,7,1)="-"),MATCH(UPPER(MID(C29,4,3)),Guide!$D$7:$D$18,0),0)),0)</f>
        <v>3</v>
      </c>
      <c r="F29" s="1">
        <f t="shared" si="1"/>
        <v>19</v>
      </c>
      <c r="G29" s="9">
        <f t="shared" si="2"/>
        <v>46100</v>
      </c>
      <c r="H29" s="1" t="str">
        <f>IF(Raw!D29="","",Raw!D29)</f>
        <v>P-H</v>
      </c>
      <c r="I29" s="1" t="str">
        <f>IFERROR(IF(EXACT(H29,INDEX(Guide!$A$7:$A$9,MATCH(SUBSTITUTE(SUBSTITUTE(SUBSTITUTE(H29,"~","~~"),"*","~*"),"?","~?"),Guide!$A$7:$A$9,0))),INDEX(Guide!$B$7:$B$9,MATCH(SUBSTITUTE(SUBSTITUTE(SUBSTITUTE(H29,"~","~~"),"*","~*"),"?","~?"),Guide!$A$7:$A$9,0)),""),"")</f>
        <v>Home</v>
      </c>
      <c r="J29" s="1" t="str">
        <f>IF(TRIM(Raw!E29)="",I29,IF(UPPER(TRIM(Raw!E29))=UPPER(I29),I29,""))</f>
        <v>Home</v>
      </c>
      <c r="K29" s="1" t="str">
        <f>IF(Raw!F29="","",Raw!F29)</f>
        <v>sale</v>
      </c>
      <c r="L29" s="1" t="str">
        <f>IF(LEFT(TRIM(Raw!G29),2)="-$","-"&amp;MID(TRIM(Raw!G29),3,99),IF(LEFT(TRIM(Raw!G29),1)="$",MID(TRIM(Raw!G29),2,99),TRIM(Raw!G29)))</f>
        <v>65.65</v>
      </c>
      <c r="M29" s="1">
        <f t="shared" si="3"/>
        <v>65.650000000000006</v>
      </c>
      <c r="N29" s="10">
        <f t="shared" si="4"/>
        <v>6565</v>
      </c>
      <c r="O29" s="1" t="b">
        <f>IFERROR(IF(ISNUMBER(Raw!G29),TRUE,OR(EXACT(L29,TEXT(M29,"0.00")),EXACT(L29,TEXT(M29,"#,##0.00")))),FALSE)</f>
        <v>1</v>
      </c>
      <c r="P29" s="1" t="str">
        <f>LEN(IF(Raw!A29="","",Raw!A29))&amp;":"&amp;IF(Raw!A29="","",Raw!A29)&amp;"|"&amp;LEN(IF(Raw!B29="","",Raw!B29))&amp;":"&amp;IF(Raw!B29="","",Raw!B29)&amp;"|"&amp;LEN(IF(Raw!C29="","",Raw!C29))&amp;":"&amp;IF(Raw!C29="","",Raw!C29)&amp;"|"&amp;LEN(IF(Raw!D29="","",Raw!D29))&amp;":"&amp;IF(Raw!D29="","",Raw!D29)&amp;"|"&amp;LEN(IF(Raw!E29="","",Raw!E29))&amp;":"&amp;IF(Raw!E29="","",Raw!E29)&amp;"|"&amp;LEN(IF(Raw!F29="","",Raw!F29))&amp;":"&amp;IF(Raw!F29="","",Raw!F29)&amp;"|"&amp;LEN(IF(Raw!G29="","",Raw!G29))&amp;":"&amp;IF(Raw!G29="","",Raw!G29)</f>
        <v>6:L00023|6:T00012|10:2026-03-19|3:P-H|4:Home|4:sale|6:$65.65</v>
      </c>
      <c r="Q29" s="1">
        <f>1</f>
        <v>1</v>
      </c>
      <c r="R29" s="1" t="b">
        <f>FALSE</f>
        <v>0</v>
      </c>
      <c r="S29" s="1">
        <f>1</f>
        <v>1</v>
      </c>
      <c r="T29" s="1" t="str">
        <f>IF(AND(Raw!A29="",Raw!B29="",Raw!C29="",Raw!D29="",Raw!E29="",Raw!F29="",Raw!G29=""),"UNUSED",IF(A29="","missing line ID",IF(B29="","missing transaction ID",IF(G29="",IF(C29="","missing date","invalid date"),IF(I29="","unknown product",IF(J29="","conflicting category",IF(NOT(OR(EXACT(K29,"sale"),EXACT(K29,"refund"))),"unknown event",IF(OR(N29="",NOT(O29)),"invalid amount",IF(OR(AND(K29="sale",N29&lt;=0),AND(K29="refund",N29&gt;=0)),"invalid sign","")))))))))</f>
        <v/>
      </c>
      <c r="U29" s="1" t="str">
        <f t="shared" si="5"/>
        <v>INCLUDED</v>
      </c>
      <c r="V29" s="1" t="str">
        <f t="shared" si="6"/>
        <v>2026-03</v>
      </c>
      <c r="W29" s="1">
        <f>IF(AND(U29="INCLUDED",X29&gt;0,EXACT(A29,'AI output'!A29)),1,0)</f>
        <v>1</v>
      </c>
      <c r="X29" s="1">
        <f>29</f>
        <v>29</v>
      </c>
      <c r="Y29" s="1">
        <f>IF(AND(U29="INCLUDED",W29=1),--(NOT(EXACT(A29,'AI output'!A29)))+--(NOT(EXACT(B29,'AI output'!B29)))+--(NOT(EXACT(TEXT(G29,"yyyy-mm-dd"),'AI output'!C29)))+--(NOT(EXACT(H29,'AI output'!D29)))+--(NOT(EXACT(J29,'AI output'!E29)))+--(NOT(EXACT(K29,'AI output'!F29)))+--(N29&lt;&gt;'AI output'!L29)+--(NOT('AI output'!M29)),0)</f>
        <v>0</v>
      </c>
      <c r="Z29" s="1">
        <f t="shared" si="7"/>
        <v>0</v>
      </c>
      <c r="AA29" s="1">
        <f>--EXACT(A29,"L00023")</f>
        <v>1</v>
      </c>
    </row>
    <row r="30" spans="1:27" ht="18.95" customHeight="1">
      <c r="A30" s="1" t="str">
        <f>IF(Raw!A30="","",Raw!A30)</f>
        <v>L00024</v>
      </c>
      <c r="B30" s="1" t="str">
        <f>IF(Raw!B30="","",Raw!B30)</f>
        <v>T00012</v>
      </c>
      <c r="C30" s="1" t="str">
        <f>IF(Raw!C30="","",Raw!C30)</f>
        <v>2026-03-19</v>
      </c>
      <c r="D30" s="1">
        <f t="shared" si="0"/>
        <v>2026</v>
      </c>
      <c r="E30" s="1">
        <f>IFERROR(IF(AND(LEN(C30)=10,MID(C30,5,1)="-",MID(C30,8,1)="-"),VALUE(MID(C30,6,2)),IF(AND(LEN(C30)=11,MID(C30,3,1)="-",MID(C30,7,1)="-"),MATCH(UPPER(MID(C30,4,3)),Guide!$D$7:$D$18,0),0)),0)</f>
        <v>3</v>
      </c>
      <c r="F30" s="1">
        <f t="shared" si="1"/>
        <v>19</v>
      </c>
      <c r="G30" s="9">
        <f t="shared" si="2"/>
        <v>46100</v>
      </c>
      <c r="H30" s="1" t="str">
        <f>IF(Raw!D30="","",Raw!D30)</f>
        <v>P-O</v>
      </c>
      <c r="I30" s="1" t="str">
        <f>IFERROR(IF(EXACT(H30,INDEX(Guide!$A$7:$A$9,MATCH(SUBSTITUTE(SUBSTITUTE(SUBSTITUTE(H30,"~","~~"),"*","~*"),"?","~?"),Guide!$A$7:$A$9,0))),INDEX(Guide!$B$7:$B$9,MATCH(SUBSTITUTE(SUBSTITUTE(SUBSTITUTE(H30,"~","~~"),"*","~*"),"?","~?"),Guide!$A$7:$A$9,0)),""),"")</f>
        <v>Office</v>
      </c>
      <c r="J30" s="1" t="str">
        <f>IF(TRIM(Raw!E30)="",I30,IF(UPPER(TRIM(Raw!E30))=UPPER(I30),I30,""))</f>
        <v>Office</v>
      </c>
      <c r="K30" s="1" t="str">
        <f>IF(Raw!F30="","",Raw!F30)</f>
        <v>refund</v>
      </c>
      <c r="L30" s="1" t="str">
        <f>IF(LEFT(TRIM(Raw!G30),2)="-$","-"&amp;MID(TRIM(Raw!G30),3,99),IF(LEFT(TRIM(Raw!G30),1)="$",MID(TRIM(Raw!G30),2,99),TRIM(Raw!G30)))</f>
        <v>-27.00</v>
      </c>
      <c r="M30" s="1">
        <f t="shared" si="3"/>
        <v>-27</v>
      </c>
      <c r="N30" s="10">
        <f t="shared" si="4"/>
        <v>-2700</v>
      </c>
      <c r="O30" s="1" t="b">
        <f>IFERROR(IF(ISNUMBER(Raw!G30),TRUE,OR(EXACT(L30,TEXT(M30,"0.00")),EXACT(L30,TEXT(M30,"#,##0.00")))),FALSE)</f>
        <v>1</v>
      </c>
      <c r="P30" s="1" t="str">
        <f>LEN(IF(Raw!A30="","",Raw!A30))&amp;":"&amp;IF(Raw!A30="","",Raw!A30)&amp;"|"&amp;LEN(IF(Raw!B30="","",Raw!B30))&amp;":"&amp;IF(Raw!B30="","",Raw!B30)&amp;"|"&amp;LEN(IF(Raw!C30="","",Raw!C30))&amp;":"&amp;IF(Raw!C30="","",Raw!C30)&amp;"|"&amp;LEN(IF(Raw!D30="","",Raw!D30))&amp;":"&amp;IF(Raw!D30="","",Raw!D30)&amp;"|"&amp;LEN(IF(Raw!E30="","",Raw!E30))&amp;":"&amp;IF(Raw!E30="","",Raw!E30)&amp;"|"&amp;LEN(IF(Raw!F30="","",Raw!F30))&amp;":"&amp;IF(Raw!F30="","",Raw!F30)&amp;"|"&amp;LEN(IF(Raw!G30="","",Raw!G30))&amp;":"&amp;IF(Raw!G30="","",Raw!G30)</f>
        <v>6:L00024|6:T00012|10:2026-03-19|3:P-O|6:Office|6:refund|6:-27.00</v>
      </c>
      <c r="Q30" s="1">
        <f>1</f>
        <v>1</v>
      </c>
      <c r="R30" s="1" t="b">
        <f>FALSE</f>
        <v>0</v>
      </c>
      <c r="S30" s="1">
        <f>1</f>
        <v>1</v>
      </c>
      <c r="T30" s="1" t="str">
        <f>IF(AND(Raw!A30="",Raw!B30="",Raw!C30="",Raw!D30="",Raw!E30="",Raw!F30="",Raw!G30=""),"UNUSED",IF(A30="","missing line ID",IF(B30="","missing transaction ID",IF(G30="",IF(C30="","missing date","invalid date"),IF(I30="","unknown product",IF(J30="","conflicting category",IF(NOT(OR(EXACT(K30,"sale"),EXACT(K30,"refund"))),"unknown event",IF(OR(N30="",NOT(O30)),"invalid amount",IF(OR(AND(K30="sale",N30&lt;=0),AND(K30="refund",N30&gt;=0)),"invalid sign","")))))))))</f>
        <v/>
      </c>
      <c r="U30" s="1" t="str">
        <f t="shared" si="5"/>
        <v>INCLUDED</v>
      </c>
      <c r="V30" s="1" t="str">
        <f t="shared" si="6"/>
        <v>2026-03</v>
      </c>
      <c r="W30" s="1">
        <f>IF(AND(U30="INCLUDED",X30&gt;0,EXACT(A30,'AI output'!A30)),1,0)</f>
        <v>1</v>
      </c>
      <c r="X30" s="1">
        <f>30</f>
        <v>30</v>
      </c>
      <c r="Y30" s="1">
        <f>IF(AND(U30="INCLUDED",W30=1),--(NOT(EXACT(A30,'AI output'!A30)))+--(NOT(EXACT(B30,'AI output'!B30)))+--(NOT(EXACT(TEXT(G30,"yyyy-mm-dd"),'AI output'!C30)))+--(NOT(EXACT(H30,'AI output'!D30)))+--(NOT(EXACT(J30,'AI output'!E30)))+--(NOT(EXACT(K30,'AI output'!F30)))+--(N30&lt;&gt;'AI output'!L30)+--(NOT('AI output'!M30)),0)</f>
        <v>0</v>
      </c>
      <c r="Z30" s="1">
        <f t="shared" si="7"/>
        <v>0</v>
      </c>
      <c r="AA30" s="1">
        <f>--EXACT(A30,"L00024")</f>
        <v>1</v>
      </c>
    </row>
    <row r="31" spans="1:27" ht="18.95" customHeight="1">
      <c r="A31" s="1" t="str">
        <f>IF(Raw!A31="","",Raw!A31)</f>
        <v>L00025</v>
      </c>
      <c r="B31" s="1" t="str">
        <f>IF(Raw!B31="","",Raw!B31)</f>
        <v>T00013</v>
      </c>
      <c r="C31" s="1" t="str">
        <f>IF(Raw!C31="","",Raw!C31)</f>
        <v>2026-03-26</v>
      </c>
      <c r="D31" s="1">
        <f t="shared" si="0"/>
        <v>2026</v>
      </c>
      <c r="E31" s="1">
        <f>IFERROR(IF(AND(LEN(C31)=10,MID(C31,5,1)="-",MID(C31,8,1)="-"),VALUE(MID(C31,6,2)),IF(AND(LEN(C31)=11,MID(C31,3,1)="-",MID(C31,7,1)="-"),MATCH(UPPER(MID(C31,4,3)),Guide!$D$7:$D$18,0),0)),0)</f>
        <v>3</v>
      </c>
      <c r="F31" s="1">
        <f t="shared" si="1"/>
        <v>26</v>
      </c>
      <c r="G31" s="9">
        <f t="shared" si="2"/>
        <v>46107</v>
      </c>
      <c r="H31" s="1" t="str">
        <f>IF(Raw!D31="","",Raw!D31)</f>
        <v>P-A</v>
      </c>
      <c r="I31" s="1" t="str">
        <f>IFERROR(IF(EXACT(H31,INDEX(Guide!$A$7:$A$9,MATCH(SUBSTITUTE(SUBSTITUTE(SUBSTITUTE(H31,"~","~~"),"*","~*"),"?","~?"),Guide!$A$7:$A$9,0))),INDEX(Guide!$B$7:$B$9,MATCH(SUBSTITUTE(SUBSTITUTE(SUBSTITUTE(H31,"~","~~"),"*","~*"),"?","~?"),Guide!$A$7:$A$9,0)),""),"")</f>
        <v>Accessories</v>
      </c>
      <c r="J31" s="1" t="str">
        <f>IF(TRIM(Raw!E31)="",I31,IF(UPPER(TRIM(Raw!E31))=UPPER(I31),I31,""))</f>
        <v>Accessories</v>
      </c>
      <c r="K31" s="1" t="str">
        <f>IF(Raw!F31="","",Raw!F31)</f>
        <v>sale</v>
      </c>
      <c r="L31" s="1" t="str">
        <f>IF(LEFT(TRIM(Raw!G31),2)="-$","-"&amp;MID(TRIM(Raw!G31),3,99),IF(LEFT(TRIM(Raw!G31),1)="$",MID(TRIM(Raw!G31),2,99),TRIM(Raw!G31)))</f>
        <v>55.48</v>
      </c>
      <c r="M31" s="1">
        <f t="shared" si="3"/>
        <v>55.48</v>
      </c>
      <c r="N31" s="10">
        <f t="shared" si="4"/>
        <v>5548</v>
      </c>
      <c r="O31" s="1" t="b">
        <f>IFERROR(IF(ISNUMBER(Raw!G31),TRUE,OR(EXACT(L31,TEXT(M31,"0.00")),EXACT(L31,TEXT(M31,"#,##0.00")))),FALSE)</f>
        <v>1</v>
      </c>
      <c r="P31" s="1" t="str">
        <f>LEN(IF(Raw!A31="","",Raw!A31))&amp;":"&amp;IF(Raw!A31="","",Raw!A31)&amp;"|"&amp;LEN(IF(Raw!B31="","",Raw!B31))&amp;":"&amp;IF(Raw!B31="","",Raw!B31)&amp;"|"&amp;LEN(IF(Raw!C31="","",Raw!C31))&amp;":"&amp;IF(Raw!C31="","",Raw!C31)&amp;"|"&amp;LEN(IF(Raw!D31="","",Raw!D31))&amp;":"&amp;IF(Raw!D31="","",Raw!D31)&amp;"|"&amp;LEN(IF(Raw!E31="","",Raw!E31))&amp;":"&amp;IF(Raw!E31="","",Raw!E31)&amp;"|"&amp;LEN(IF(Raw!F31="","",Raw!F31))&amp;":"&amp;IF(Raw!F31="","",Raw!F31)&amp;"|"&amp;LEN(IF(Raw!G31="","",Raw!G31))&amp;":"&amp;IF(Raw!G31="","",Raw!G31)</f>
        <v>6:L00025|6:T00013|10:2026-03-26|3:P-A|11:Accessories|4:sale|5:55.48</v>
      </c>
      <c r="Q31" s="1">
        <f>1</f>
        <v>1</v>
      </c>
      <c r="R31" s="1" t="b">
        <f>FALSE</f>
        <v>0</v>
      </c>
      <c r="S31" s="1">
        <f>1</f>
        <v>1</v>
      </c>
      <c r="T31" s="1" t="str">
        <f>IF(AND(Raw!A31="",Raw!B31="",Raw!C31="",Raw!D31="",Raw!E31="",Raw!F31="",Raw!G31=""),"UNUSED",IF(A31="","missing line ID",IF(B31="","missing transaction ID",IF(G31="",IF(C31="","missing date","invalid date"),IF(I31="","unknown product",IF(J31="","conflicting category",IF(NOT(OR(EXACT(K31,"sale"),EXACT(K31,"refund"))),"unknown event",IF(OR(N31="",NOT(O31)),"invalid amount",IF(OR(AND(K31="sale",N31&lt;=0),AND(K31="refund",N31&gt;=0)),"invalid sign","")))))))))</f>
        <v/>
      </c>
      <c r="U31" s="1" t="str">
        <f t="shared" si="5"/>
        <v>INCLUDED</v>
      </c>
      <c r="V31" s="1" t="str">
        <f t="shared" si="6"/>
        <v>2026-03</v>
      </c>
      <c r="W31" s="1">
        <f>IF(AND(U31="INCLUDED",X31&gt;0,EXACT(A31,'AI output'!A31)),1,0)</f>
        <v>1</v>
      </c>
      <c r="X31" s="1">
        <f>31</f>
        <v>31</v>
      </c>
      <c r="Y31" s="1">
        <f>IF(AND(U31="INCLUDED",W31=1),--(NOT(EXACT(A31,'AI output'!A31)))+--(NOT(EXACT(B31,'AI output'!B31)))+--(NOT(EXACT(TEXT(G31,"yyyy-mm-dd"),'AI output'!C31)))+--(NOT(EXACT(H31,'AI output'!D31)))+--(NOT(EXACT(J31,'AI output'!E31)))+--(NOT(EXACT(K31,'AI output'!F31)))+--(N31&lt;&gt;'AI output'!L31)+--(NOT('AI output'!M31)),0)</f>
        <v>0</v>
      </c>
      <c r="Z31" s="1">
        <f t="shared" si="7"/>
        <v>0</v>
      </c>
      <c r="AA31" s="1">
        <f>--EXACT(A31,"L00025")</f>
        <v>1</v>
      </c>
    </row>
    <row r="32" spans="1:27" ht="18.95" customHeight="1">
      <c r="A32" s="1" t="str">
        <f>IF(Raw!A32="","",Raw!A32)</f>
        <v>L00026</v>
      </c>
      <c r="B32" s="1" t="str">
        <f>IF(Raw!B32="","",Raw!B32)</f>
        <v>T00013</v>
      </c>
      <c r="C32" s="1" t="str">
        <f>IF(Raw!C32="","",Raw!C32)</f>
        <v>2026-03-26</v>
      </c>
      <c r="D32" s="1">
        <f t="shared" si="0"/>
        <v>2026</v>
      </c>
      <c r="E32" s="1">
        <f>IFERROR(IF(AND(LEN(C32)=10,MID(C32,5,1)="-",MID(C32,8,1)="-"),VALUE(MID(C32,6,2)),IF(AND(LEN(C32)=11,MID(C32,3,1)="-",MID(C32,7,1)="-"),MATCH(UPPER(MID(C32,4,3)),Guide!$D$7:$D$18,0),0)),0)</f>
        <v>3</v>
      </c>
      <c r="F32" s="1">
        <f t="shared" si="1"/>
        <v>26</v>
      </c>
      <c r="G32" s="9">
        <f t="shared" si="2"/>
        <v>46107</v>
      </c>
      <c r="H32" s="1" t="str">
        <f>IF(Raw!D32="","",Raw!D32)</f>
        <v>P-H</v>
      </c>
      <c r="I32" s="1" t="str">
        <f>IFERROR(IF(EXACT(H32,INDEX(Guide!$A$7:$A$9,MATCH(SUBSTITUTE(SUBSTITUTE(SUBSTITUTE(H32,"~","~~"),"*","~*"),"?","~?"),Guide!$A$7:$A$9,0))),INDEX(Guide!$B$7:$B$9,MATCH(SUBSTITUTE(SUBSTITUTE(SUBSTITUTE(H32,"~","~~"),"*","~*"),"?","~?"),Guide!$A$7:$A$9,0)),""),"")</f>
        <v>Home</v>
      </c>
      <c r="J32" s="1" t="str">
        <f>IF(TRIM(Raw!E32)="",I32,IF(UPPER(TRIM(Raw!E32))=UPPER(I32),I32,""))</f>
        <v>Home</v>
      </c>
      <c r="K32" s="1" t="str">
        <f>IF(Raw!F32="","",Raw!F32)</f>
        <v>sale</v>
      </c>
      <c r="L32" s="1" t="str">
        <f>IF(LEFT(TRIM(Raw!G32),2)="-$","-"&amp;MID(TRIM(Raw!G32),3,99),IF(LEFT(TRIM(Raw!G32),1)="$",MID(TRIM(Raw!G32),2,99),TRIM(Raw!G32)))</f>
        <v>14.24</v>
      </c>
      <c r="M32" s="1">
        <f t="shared" si="3"/>
        <v>14.24</v>
      </c>
      <c r="N32" s="10">
        <f t="shared" si="4"/>
        <v>1424</v>
      </c>
      <c r="O32" s="1" t="b">
        <f>IFERROR(IF(ISNUMBER(Raw!G32),TRUE,OR(EXACT(L32,TEXT(M32,"0.00")),EXACT(L32,TEXT(M32,"#,##0.00")))),FALSE)</f>
        <v>1</v>
      </c>
      <c r="P32" s="1" t="str">
        <f>LEN(IF(Raw!A32="","",Raw!A32))&amp;":"&amp;IF(Raw!A32="","",Raw!A32)&amp;"|"&amp;LEN(IF(Raw!B32="","",Raw!B32))&amp;":"&amp;IF(Raw!B32="","",Raw!B32)&amp;"|"&amp;LEN(IF(Raw!C32="","",Raw!C32))&amp;":"&amp;IF(Raw!C32="","",Raw!C32)&amp;"|"&amp;LEN(IF(Raw!D32="","",Raw!D32))&amp;":"&amp;IF(Raw!D32="","",Raw!D32)&amp;"|"&amp;LEN(IF(Raw!E32="","",Raw!E32))&amp;":"&amp;IF(Raw!E32="","",Raw!E32)&amp;"|"&amp;LEN(IF(Raw!F32="","",Raw!F32))&amp;":"&amp;IF(Raw!F32="","",Raw!F32)&amp;"|"&amp;LEN(IF(Raw!G32="","",Raw!G32))&amp;":"&amp;IF(Raw!G32="","",Raw!G32)</f>
        <v>6:L00026|6:T00013|10:2026-03-26|3:P-H|4:Home|4:sale|5:14.24</v>
      </c>
      <c r="Q32" s="1">
        <f>1</f>
        <v>1</v>
      </c>
      <c r="R32" s="1" t="b">
        <f>FALSE</f>
        <v>0</v>
      </c>
      <c r="S32" s="1">
        <f>1</f>
        <v>1</v>
      </c>
      <c r="T32" s="1" t="str">
        <f>IF(AND(Raw!A32="",Raw!B32="",Raw!C32="",Raw!D32="",Raw!E32="",Raw!F32="",Raw!G32=""),"UNUSED",IF(A32="","missing line ID",IF(B32="","missing transaction ID",IF(G32="",IF(C32="","missing date","invalid date"),IF(I32="","unknown product",IF(J32="","conflicting category",IF(NOT(OR(EXACT(K32,"sale"),EXACT(K32,"refund"))),"unknown event",IF(OR(N32="",NOT(O32)),"invalid amount",IF(OR(AND(K32="sale",N32&lt;=0),AND(K32="refund",N32&gt;=0)),"invalid sign","")))))))))</f>
        <v/>
      </c>
      <c r="U32" s="1" t="str">
        <f t="shared" si="5"/>
        <v>INCLUDED</v>
      </c>
      <c r="V32" s="1" t="str">
        <f t="shared" si="6"/>
        <v>2026-03</v>
      </c>
      <c r="W32" s="1">
        <f>IF(AND(U32="INCLUDED",X32&gt;0,EXACT(A32,'AI output'!A32)),1,0)</f>
        <v>1</v>
      </c>
      <c r="X32" s="1">
        <f>32</f>
        <v>32</v>
      </c>
      <c r="Y32" s="1">
        <f>IF(AND(U32="INCLUDED",W32=1),--(NOT(EXACT(A32,'AI output'!A32)))+--(NOT(EXACT(B32,'AI output'!B32)))+--(NOT(EXACT(TEXT(G32,"yyyy-mm-dd"),'AI output'!C32)))+--(NOT(EXACT(H32,'AI output'!D32)))+--(NOT(EXACT(J32,'AI output'!E32)))+--(NOT(EXACT(K32,'AI output'!F32)))+--(N32&lt;&gt;'AI output'!L32)+--(NOT('AI output'!M32)),0)</f>
        <v>0</v>
      </c>
      <c r="Z32" s="1">
        <f t="shared" si="7"/>
        <v>0</v>
      </c>
      <c r="AA32" s="1">
        <f>--EXACT(A32,"L00026")</f>
        <v>1</v>
      </c>
    </row>
    <row r="33" spans="1:27" ht="18.95" customHeight="1">
      <c r="A33" s="1" t="str">
        <f>IF(Raw!A33="","",Raw!A33)</f>
        <v>L00027</v>
      </c>
      <c r="B33" s="1" t="str">
        <f>IF(Raw!B33="","",Raw!B33)</f>
        <v>T00014</v>
      </c>
      <c r="C33" s="1" t="str">
        <f>IF(Raw!C33="","",Raw!C33)</f>
        <v>2026-01-02</v>
      </c>
      <c r="D33" s="1">
        <f t="shared" si="0"/>
        <v>2026</v>
      </c>
      <c r="E33" s="1">
        <f>IFERROR(IF(AND(LEN(C33)=10,MID(C33,5,1)="-",MID(C33,8,1)="-"),VALUE(MID(C33,6,2)),IF(AND(LEN(C33)=11,MID(C33,3,1)="-",MID(C33,7,1)="-"),MATCH(UPPER(MID(C33,4,3)),Guide!$D$7:$D$18,0),0)),0)</f>
        <v>1</v>
      </c>
      <c r="F33" s="1">
        <f t="shared" si="1"/>
        <v>2</v>
      </c>
      <c r="G33" s="9">
        <f t="shared" si="2"/>
        <v>46024</v>
      </c>
      <c r="H33" s="1" t="str">
        <f>IF(Raw!D33="","",Raw!D33)</f>
        <v>P-O</v>
      </c>
      <c r="I33" s="1" t="str">
        <f>IFERROR(IF(EXACT(H33,INDEX(Guide!$A$7:$A$9,MATCH(SUBSTITUTE(SUBSTITUTE(SUBSTITUTE(H33,"~","~~"),"*","~*"),"?","~?"),Guide!$A$7:$A$9,0))),INDEX(Guide!$B$7:$B$9,MATCH(SUBSTITUTE(SUBSTITUTE(SUBSTITUTE(H33,"~","~~"),"*","~*"),"?","~?"),Guide!$A$7:$A$9,0)),""),"")</f>
        <v>Office</v>
      </c>
      <c r="J33" s="1" t="str">
        <f>IF(TRIM(Raw!E33)="",I33,IF(UPPER(TRIM(Raw!E33))=UPPER(I33),I33,""))</f>
        <v>Office</v>
      </c>
      <c r="K33" s="1" t="str">
        <f>IF(Raw!F33="","",Raw!F33)</f>
        <v>sale</v>
      </c>
      <c r="L33" s="1" t="str">
        <f>IF(LEFT(TRIM(Raw!G33),2)="-$","-"&amp;MID(TRIM(Raw!G33),3,99),IF(LEFT(TRIM(Raw!G33),1)="$",MID(TRIM(Raw!G33),2,99),TRIM(Raw!G33)))</f>
        <v>43.83</v>
      </c>
      <c r="M33" s="1">
        <f t="shared" si="3"/>
        <v>43.83</v>
      </c>
      <c r="N33" s="10">
        <f t="shared" si="4"/>
        <v>4383</v>
      </c>
      <c r="O33" s="1" t="b">
        <f>IFERROR(IF(ISNUMBER(Raw!G33),TRUE,OR(EXACT(L33,TEXT(M33,"0.00")),EXACT(L33,TEXT(M33,"#,##0.00")))),FALSE)</f>
        <v>1</v>
      </c>
      <c r="P33" s="1" t="str">
        <f>LEN(IF(Raw!A33="","",Raw!A33))&amp;":"&amp;IF(Raw!A33="","",Raw!A33)&amp;"|"&amp;LEN(IF(Raw!B33="","",Raw!B33))&amp;":"&amp;IF(Raw!B33="","",Raw!B33)&amp;"|"&amp;LEN(IF(Raw!C33="","",Raw!C33))&amp;":"&amp;IF(Raw!C33="","",Raw!C33)&amp;"|"&amp;LEN(IF(Raw!D33="","",Raw!D33))&amp;":"&amp;IF(Raw!D33="","",Raw!D33)&amp;"|"&amp;LEN(IF(Raw!E33="","",Raw!E33))&amp;":"&amp;IF(Raw!E33="","",Raw!E33)&amp;"|"&amp;LEN(IF(Raw!F33="","",Raw!F33))&amp;":"&amp;IF(Raw!F33="","",Raw!F33)&amp;"|"&amp;LEN(IF(Raw!G33="","",Raw!G33))&amp;":"&amp;IF(Raw!G33="","",Raw!G33)</f>
        <v>6:L00027|6:T00014|10:2026-01-02|3:P-O|6:Office|4:sale|5:43.83</v>
      </c>
      <c r="Q33" s="1">
        <f>1</f>
        <v>1</v>
      </c>
      <c r="R33" s="1" t="b">
        <f>FALSE</f>
        <v>0</v>
      </c>
      <c r="S33" s="1">
        <f>1</f>
        <v>1</v>
      </c>
      <c r="T33" s="1" t="str">
        <f>IF(AND(Raw!A33="",Raw!B33="",Raw!C33="",Raw!D33="",Raw!E33="",Raw!F33="",Raw!G33=""),"UNUSED",IF(A33="","missing line ID",IF(B33="","missing transaction ID",IF(G33="",IF(C33="","missing date","invalid date"),IF(I33="","unknown product",IF(J33="","conflicting category",IF(NOT(OR(EXACT(K33,"sale"),EXACT(K33,"refund"))),"unknown event",IF(OR(N33="",NOT(O33)),"invalid amount",IF(OR(AND(K33="sale",N33&lt;=0),AND(K33="refund",N33&gt;=0)),"invalid sign","")))))))))</f>
        <v/>
      </c>
      <c r="U33" s="1" t="str">
        <f t="shared" si="5"/>
        <v>INCLUDED</v>
      </c>
      <c r="V33" s="1" t="str">
        <f t="shared" si="6"/>
        <v>2026-01</v>
      </c>
      <c r="W33" s="1">
        <f>IF(AND(U33="INCLUDED",X33&gt;0,EXACT(A33,'AI output'!A33)),1,0)</f>
        <v>1</v>
      </c>
      <c r="X33" s="1">
        <f>33</f>
        <v>33</v>
      </c>
      <c r="Y33" s="1">
        <f>IF(AND(U33="INCLUDED",W33=1),--(NOT(EXACT(A33,'AI output'!A33)))+--(NOT(EXACT(B33,'AI output'!B33)))+--(NOT(EXACT(TEXT(G33,"yyyy-mm-dd"),'AI output'!C33)))+--(NOT(EXACT(H33,'AI output'!D33)))+--(NOT(EXACT(J33,'AI output'!E33)))+--(NOT(EXACT(K33,'AI output'!F33)))+--(N33&lt;&gt;'AI output'!L33)+--(NOT('AI output'!M33)),0)</f>
        <v>0</v>
      </c>
      <c r="Z33" s="1">
        <f t="shared" si="7"/>
        <v>0</v>
      </c>
      <c r="AA33" s="1">
        <f>--EXACT(A33,"L00027")</f>
        <v>1</v>
      </c>
    </row>
    <row r="34" spans="1:27" ht="18.95" customHeight="1">
      <c r="A34" s="1" t="str">
        <f>IF(Raw!A34="","",Raw!A34)</f>
        <v>L00028</v>
      </c>
      <c r="B34" s="1" t="str">
        <f>IF(Raw!B34="","",Raw!B34)</f>
        <v>T00014</v>
      </c>
      <c r="C34" s="1" t="str">
        <f>IF(Raw!C34="","",Raw!C34)</f>
        <v>2026-01-02</v>
      </c>
      <c r="D34" s="1">
        <f t="shared" si="0"/>
        <v>2026</v>
      </c>
      <c r="E34" s="1">
        <f>IFERROR(IF(AND(LEN(C34)=10,MID(C34,5,1)="-",MID(C34,8,1)="-"),VALUE(MID(C34,6,2)),IF(AND(LEN(C34)=11,MID(C34,3,1)="-",MID(C34,7,1)="-"),MATCH(UPPER(MID(C34,4,3)),Guide!$D$7:$D$18,0),0)),0)</f>
        <v>1</v>
      </c>
      <c r="F34" s="1">
        <f t="shared" si="1"/>
        <v>2</v>
      </c>
      <c r="G34" s="9">
        <f t="shared" si="2"/>
        <v>46024</v>
      </c>
      <c r="H34" s="1" t="str">
        <f>IF(Raw!D34="","",Raw!D34)</f>
        <v>P-A</v>
      </c>
      <c r="I34" s="1" t="str">
        <f>IFERROR(IF(EXACT(H34,INDEX(Guide!$A$7:$A$9,MATCH(SUBSTITUTE(SUBSTITUTE(SUBSTITUTE(H34,"~","~~"),"*","~*"),"?","~?"),Guide!$A$7:$A$9,0))),INDEX(Guide!$B$7:$B$9,MATCH(SUBSTITUTE(SUBSTITUTE(SUBSTITUTE(H34,"~","~~"),"*","~*"),"?","~?"),Guide!$A$7:$A$9,0)),""),"")</f>
        <v>Accessories</v>
      </c>
      <c r="J34" s="1" t="str">
        <f>IF(TRIM(Raw!E34)="",I34,IF(UPPER(TRIM(Raw!E34))=UPPER(I34),I34,""))</f>
        <v>Accessories</v>
      </c>
      <c r="K34" s="1" t="str">
        <f>IF(Raw!F34="","",Raw!F34)</f>
        <v>sale</v>
      </c>
      <c r="L34" s="1" t="str">
        <f>IF(LEFT(TRIM(Raw!G34),2)="-$","-"&amp;MID(TRIM(Raw!G34),3,99),IF(LEFT(TRIM(Raw!G34),1)="$",MID(TRIM(Raw!G34),2,99),TRIM(Raw!G34)))</f>
        <v>74.90</v>
      </c>
      <c r="M34" s="1">
        <f t="shared" si="3"/>
        <v>74.900000000000006</v>
      </c>
      <c r="N34" s="10">
        <f t="shared" si="4"/>
        <v>7490</v>
      </c>
      <c r="O34" s="1" t="b">
        <f>IFERROR(IF(ISNUMBER(Raw!G34),TRUE,OR(EXACT(L34,TEXT(M34,"0.00")),EXACT(L34,TEXT(M34,"#,##0.00")))),FALSE)</f>
        <v>1</v>
      </c>
      <c r="P34" s="1" t="str">
        <f>LEN(IF(Raw!A34="","",Raw!A34))&amp;":"&amp;IF(Raw!A34="","",Raw!A34)&amp;"|"&amp;LEN(IF(Raw!B34="","",Raw!B34))&amp;":"&amp;IF(Raw!B34="","",Raw!B34)&amp;"|"&amp;LEN(IF(Raw!C34="","",Raw!C34))&amp;":"&amp;IF(Raw!C34="","",Raw!C34)&amp;"|"&amp;LEN(IF(Raw!D34="","",Raw!D34))&amp;":"&amp;IF(Raw!D34="","",Raw!D34)&amp;"|"&amp;LEN(IF(Raw!E34="","",Raw!E34))&amp;":"&amp;IF(Raw!E34="","",Raw!E34)&amp;"|"&amp;LEN(IF(Raw!F34="","",Raw!F34))&amp;":"&amp;IF(Raw!F34="","",Raw!F34)&amp;"|"&amp;LEN(IF(Raw!G34="","",Raw!G34))&amp;":"&amp;IF(Raw!G34="","",Raw!G34)</f>
        <v>6:L00028|6:T00014|10:2026-01-02|3:P-A|11:Accessories|4:sale|5:74.90</v>
      </c>
      <c r="Q34" s="1">
        <f>1</f>
        <v>1</v>
      </c>
      <c r="R34" s="1" t="b">
        <f>FALSE</f>
        <v>0</v>
      </c>
      <c r="S34" s="1">
        <f>1</f>
        <v>1</v>
      </c>
      <c r="T34" s="1" t="str">
        <f>IF(AND(Raw!A34="",Raw!B34="",Raw!C34="",Raw!D34="",Raw!E34="",Raw!F34="",Raw!G34=""),"UNUSED",IF(A34="","missing line ID",IF(B34="","missing transaction ID",IF(G34="",IF(C34="","missing date","invalid date"),IF(I34="","unknown product",IF(J34="","conflicting category",IF(NOT(OR(EXACT(K34,"sale"),EXACT(K34,"refund"))),"unknown event",IF(OR(N34="",NOT(O34)),"invalid amount",IF(OR(AND(K34="sale",N34&lt;=0),AND(K34="refund",N34&gt;=0)),"invalid sign","")))))))))</f>
        <v/>
      </c>
      <c r="U34" s="1" t="str">
        <f t="shared" si="5"/>
        <v>INCLUDED</v>
      </c>
      <c r="V34" s="1" t="str">
        <f t="shared" si="6"/>
        <v>2026-01</v>
      </c>
      <c r="W34" s="1">
        <f>IF(AND(U34="INCLUDED",X34&gt;0,EXACT(A34,'AI output'!A34)),1,0)</f>
        <v>1</v>
      </c>
      <c r="X34" s="1">
        <f>34</f>
        <v>34</v>
      </c>
      <c r="Y34" s="1">
        <f>IF(AND(U34="INCLUDED",W34=1),--(NOT(EXACT(A34,'AI output'!A34)))+--(NOT(EXACT(B34,'AI output'!B34)))+--(NOT(EXACT(TEXT(G34,"yyyy-mm-dd"),'AI output'!C34)))+--(NOT(EXACT(H34,'AI output'!D34)))+--(NOT(EXACT(J34,'AI output'!E34)))+--(NOT(EXACT(K34,'AI output'!F34)))+--(N34&lt;&gt;'AI output'!L34)+--(NOT('AI output'!M34)),0)</f>
        <v>0</v>
      </c>
      <c r="Z34" s="1">
        <f t="shared" si="7"/>
        <v>0</v>
      </c>
      <c r="AA34" s="1">
        <f>--EXACT(A34,"L00028")</f>
        <v>1</v>
      </c>
    </row>
    <row r="35" spans="1:27" ht="18.95" customHeight="1">
      <c r="A35" s="1" t="str">
        <f>IF(Raw!A35="","",Raw!A35)</f>
        <v>L00029</v>
      </c>
      <c r="B35" s="1" t="str">
        <f>IF(Raw!B35="","",Raw!B35)</f>
        <v>T00015</v>
      </c>
      <c r="C35" s="1" t="str">
        <f>IF(Raw!C35="","",Raw!C35)</f>
        <v>2026-01-09</v>
      </c>
      <c r="D35" s="1">
        <f t="shared" si="0"/>
        <v>2026</v>
      </c>
      <c r="E35" s="1">
        <f>IFERROR(IF(AND(LEN(C35)=10,MID(C35,5,1)="-",MID(C35,8,1)="-"),VALUE(MID(C35,6,2)),IF(AND(LEN(C35)=11,MID(C35,3,1)="-",MID(C35,7,1)="-"),MATCH(UPPER(MID(C35,4,3)),Guide!$D$7:$D$18,0),0)),0)</f>
        <v>1</v>
      </c>
      <c r="F35" s="1">
        <f t="shared" si="1"/>
        <v>9</v>
      </c>
      <c r="G35" s="9">
        <f t="shared" si="2"/>
        <v>46031</v>
      </c>
      <c r="H35" s="1" t="str">
        <f>IF(Raw!D35="","",Raw!D35)</f>
        <v>P-H</v>
      </c>
      <c r="I35" s="1" t="str">
        <f>IFERROR(IF(EXACT(H35,INDEX(Guide!$A$7:$A$9,MATCH(SUBSTITUTE(SUBSTITUTE(SUBSTITUTE(H35,"~","~~"),"*","~*"),"?","~?"),Guide!$A$7:$A$9,0))),INDEX(Guide!$B$7:$B$9,MATCH(SUBSTITUTE(SUBSTITUTE(SUBSTITUTE(H35,"~","~~"),"*","~*"),"?","~?"),Guide!$A$7:$A$9,0)),""),"")</f>
        <v>Home</v>
      </c>
      <c r="J35" s="1" t="str">
        <f>IF(TRIM(Raw!E35)="",I35,IF(UPPER(TRIM(Raw!E35))=UPPER(I35),I35,""))</f>
        <v>Home</v>
      </c>
      <c r="K35" s="1" t="str">
        <f>IF(Raw!F35="","",Raw!F35)</f>
        <v>sale</v>
      </c>
      <c r="L35" s="1" t="str">
        <f>IF(LEFT(TRIM(Raw!G35),2)="-$","-"&amp;MID(TRIM(Raw!G35),3,99),IF(LEFT(TRIM(Raw!G35),1)="$",MID(TRIM(Raw!G35),2,99),TRIM(Raw!G35)))</f>
        <v>30.70</v>
      </c>
      <c r="M35" s="1">
        <f t="shared" si="3"/>
        <v>30.7</v>
      </c>
      <c r="N35" s="10">
        <f t="shared" si="4"/>
        <v>3070</v>
      </c>
      <c r="O35" s="1" t="b">
        <f>IFERROR(IF(ISNUMBER(Raw!G35),TRUE,OR(EXACT(L35,TEXT(M35,"0.00")),EXACT(L35,TEXT(M35,"#,##0.00")))),FALSE)</f>
        <v>1</v>
      </c>
      <c r="P35" s="1" t="str">
        <f>LEN(IF(Raw!A35="","",Raw!A35))&amp;":"&amp;IF(Raw!A35="","",Raw!A35)&amp;"|"&amp;LEN(IF(Raw!B35="","",Raw!B35))&amp;":"&amp;IF(Raw!B35="","",Raw!B35)&amp;"|"&amp;LEN(IF(Raw!C35="","",Raw!C35))&amp;":"&amp;IF(Raw!C35="","",Raw!C35)&amp;"|"&amp;LEN(IF(Raw!D35="","",Raw!D35))&amp;":"&amp;IF(Raw!D35="","",Raw!D35)&amp;"|"&amp;LEN(IF(Raw!E35="","",Raw!E35))&amp;":"&amp;IF(Raw!E35="","",Raw!E35)&amp;"|"&amp;LEN(IF(Raw!F35="","",Raw!F35))&amp;":"&amp;IF(Raw!F35="","",Raw!F35)&amp;"|"&amp;LEN(IF(Raw!G35="","",Raw!G35))&amp;":"&amp;IF(Raw!G35="","",Raw!G35)</f>
        <v>6:L00029|6:T00015|10:2026-01-09|3:P-H|4:Home|4:sale|5:30.70</v>
      </c>
      <c r="Q35" s="1">
        <f>1</f>
        <v>1</v>
      </c>
      <c r="R35" s="1" t="b">
        <f>FALSE</f>
        <v>0</v>
      </c>
      <c r="S35" s="1">
        <f>1</f>
        <v>1</v>
      </c>
      <c r="T35" s="1" t="str">
        <f>IF(AND(Raw!A35="",Raw!B35="",Raw!C35="",Raw!D35="",Raw!E35="",Raw!F35="",Raw!G35=""),"UNUSED",IF(A35="","missing line ID",IF(B35="","missing transaction ID",IF(G35="",IF(C35="","missing date","invalid date"),IF(I35="","unknown product",IF(J35="","conflicting category",IF(NOT(OR(EXACT(K35,"sale"),EXACT(K35,"refund"))),"unknown event",IF(OR(N35="",NOT(O35)),"invalid amount",IF(OR(AND(K35="sale",N35&lt;=0),AND(K35="refund",N35&gt;=0)),"invalid sign","")))))))))</f>
        <v/>
      </c>
      <c r="U35" s="1" t="str">
        <f t="shared" si="5"/>
        <v>INCLUDED</v>
      </c>
      <c r="V35" s="1" t="str">
        <f t="shared" si="6"/>
        <v>2026-01</v>
      </c>
      <c r="W35" s="1">
        <f>IF(AND(U35="INCLUDED",X35&gt;0,EXACT(A35,'AI output'!A35)),1,0)</f>
        <v>1</v>
      </c>
      <c r="X35" s="1">
        <f>35</f>
        <v>35</v>
      </c>
      <c r="Y35" s="1">
        <f>IF(AND(U35="INCLUDED",W35=1),--(NOT(EXACT(A35,'AI output'!A35)))+--(NOT(EXACT(B35,'AI output'!B35)))+--(NOT(EXACT(TEXT(G35,"yyyy-mm-dd"),'AI output'!C35)))+--(NOT(EXACT(H35,'AI output'!D35)))+--(NOT(EXACT(J35,'AI output'!E35)))+--(NOT(EXACT(K35,'AI output'!F35)))+--(N35&lt;&gt;'AI output'!L35)+--(NOT('AI output'!M35)),0)</f>
        <v>0</v>
      </c>
      <c r="Z35" s="1">
        <f t="shared" si="7"/>
        <v>0</v>
      </c>
      <c r="AA35" s="1">
        <f>--EXACT(A35,"L00029")</f>
        <v>1</v>
      </c>
    </row>
    <row r="36" spans="1:27" ht="18.95" customHeight="1">
      <c r="A36" s="1" t="str">
        <f>IF(Raw!A36="","",Raw!A36)</f>
        <v>L00030</v>
      </c>
      <c r="B36" s="1" t="str">
        <f>IF(Raw!B36="","",Raw!B36)</f>
        <v>T00015</v>
      </c>
      <c r="C36" s="1" t="str">
        <f>IF(Raw!C36="","",Raw!C36)</f>
        <v>2026-01-09</v>
      </c>
      <c r="D36" s="1">
        <f t="shared" si="0"/>
        <v>2026</v>
      </c>
      <c r="E36" s="1">
        <f>IFERROR(IF(AND(LEN(C36)=10,MID(C36,5,1)="-",MID(C36,8,1)="-"),VALUE(MID(C36,6,2)),IF(AND(LEN(C36)=11,MID(C36,3,1)="-",MID(C36,7,1)="-"),MATCH(UPPER(MID(C36,4,3)),Guide!$D$7:$D$18,0),0)),0)</f>
        <v>1</v>
      </c>
      <c r="F36" s="1">
        <f t="shared" si="1"/>
        <v>9</v>
      </c>
      <c r="G36" s="9">
        <f t="shared" si="2"/>
        <v>46031</v>
      </c>
      <c r="H36" s="1" t="str">
        <f>IF(Raw!D36="","",Raw!D36)</f>
        <v>P-O</v>
      </c>
      <c r="I36" s="1" t="str">
        <f>IFERROR(IF(EXACT(H36,INDEX(Guide!$A$7:$A$9,MATCH(SUBSTITUTE(SUBSTITUTE(SUBSTITUTE(H36,"~","~~"),"*","~*"),"?","~?"),Guide!$A$7:$A$9,0))),INDEX(Guide!$B$7:$B$9,MATCH(SUBSTITUTE(SUBSTITUTE(SUBSTITUTE(H36,"~","~~"),"*","~*"),"?","~?"),Guide!$A$7:$A$9,0)),""),"")</f>
        <v>Office</v>
      </c>
      <c r="J36" s="1" t="str">
        <f>IF(TRIM(Raw!E36)="",I36,IF(UPPER(TRIM(Raw!E36))=UPPER(I36),I36,""))</f>
        <v>Office</v>
      </c>
      <c r="K36" s="1" t="str">
        <f>IF(Raw!F36="","",Raw!F36)</f>
        <v>sale</v>
      </c>
      <c r="L36" s="1" t="str">
        <f>IF(LEFT(TRIM(Raw!G36),2)="-$","-"&amp;MID(TRIM(Raw!G36),3,99),IF(LEFT(TRIM(Raw!G36),1)="$",MID(TRIM(Raw!G36),2,99),TRIM(Raw!G36)))</f>
        <v>62.88</v>
      </c>
      <c r="M36" s="1">
        <f t="shared" si="3"/>
        <v>62.88</v>
      </c>
      <c r="N36" s="10">
        <f t="shared" si="4"/>
        <v>6288</v>
      </c>
      <c r="O36" s="1" t="b">
        <f>IFERROR(IF(ISNUMBER(Raw!G36),TRUE,OR(EXACT(L36,TEXT(M36,"0.00")),EXACT(L36,TEXT(M36,"#,##0.00")))),FALSE)</f>
        <v>1</v>
      </c>
      <c r="P36" s="1" t="str">
        <f>LEN(IF(Raw!A36="","",Raw!A36))&amp;":"&amp;IF(Raw!A36="","",Raw!A36)&amp;"|"&amp;LEN(IF(Raw!B36="","",Raw!B36))&amp;":"&amp;IF(Raw!B36="","",Raw!B36)&amp;"|"&amp;LEN(IF(Raw!C36="","",Raw!C36))&amp;":"&amp;IF(Raw!C36="","",Raw!C36)&amp;"|"&amp;LEN(IF(Raw!D36="","",Raw!D36))&amp;":"&amp;IF(Raw!D36="","",Raw!D36)&amp;"|"&amp;LEN(IF(Raw!E36="","",Raw!E36))&amp;":"&amp;IF(Raw!E36="","",Raw!E36)&amp;"|"&amp;LEN(IF(Raw!F36="","",Raw!F36))&amp;":"&amp;IF(Raw!F36="","",Raw!F36)&amp;"|"&amp;LEN(IF(Raw!G36="","",Raw!G36))&amp;":"&amp;IF(Raw!G36="","",Raw!G36)</f>
        <v>6:L00030|6:T00015|10:2026-01-09|3:P-O|6:Office|4:sale|5:62.88</v>
      </c>
      <c r="Q36" s="1">
        <f>1</f>
        <v>1</v>
      </c>
      <c r="R36" s="1" t="b">
        <f>FALSE</f>
        <v>0</v>
      </c>
      <c r="S36" s="1">
        <f>1</f>
        <v>1</v>
      </c>
      <c r="T36" s="1" t="str">
        <f>IF(AND(Raw!A36="",Raw!B36="",Raw!C36="",Raw!D36="",Raw!E36="",Raw!F36="",Raw!G36=""),"UNUSED",IF(A36="","missing line ID",IF(B36="","missing transaction ID",IF(G36="",IF(C36="","missing date","invalid date"),IF(I36="","unknown product",IF(J36="","conflicting category",IF(NOT(OR(EXACT(K36,"sale"),EXACT(K36,"refund"))),"unknown event",IF(OR(N36="",NOT(O36)),"invalid amount",IF(OR(AND(K36="sale",N36&lt;=0),AND(K36="refund",N36&gt;=0)),"invalid sign","")))))))))</f>
        <v/>
      </c>
      <c r="U36" s="1" t="str">
        <f t="shared" si="5"/>
        <v>INCLUDED</v>
      </c>
      <c r="V36" s="1" t="str">
        <f t="shared" si="6"/>
        <v>2026-01</v>
      </c>
      <c r="W36" s="1">
        <f>IF(AND(U36="INCLUDED",X36&gt;0,EXACT(A36,'AI output'!A36)),1,0)</f>
        <v>1</v>
      </c>
      <c r="X36" s="1">
        <f>36</f>
        <v>36</v>
      </c>
      <c r="Y36" s="1">
        <f>IF(AND(U36="INCLUDED",W36=1),--(NOT(EXACT(A36,'AI output'!A36)))+--(NOT(EXACT(B36,'AI output'!B36)))+--(NOT(EXACT(TEXT(G36,"yyyy-mm-dd"),'AI output'!C36)))+--(NOT(EXACT(H36,'AI output'!D36)))+--(NOT(EXACT(J36,'AI output'!E36)))+--(NOT(EXACT(K36,'AI output'!F36)))+--(N36&lt;&gt;'AI output'!L36)+--(NOT('AI output'!M36)),0)</f>
        <v>0</v>
      </c>
      <c r="Z36" s="1">
        <f t="shared" si="7"/>
        <v>0</v>
      </c>
      <c r="AA36" s="1">
        <f>--EXACT(A36,"L00030")</f>
        <v>1</v>
      </c>
    </row>
    <row r="37" spans="1:27" ht="18.95" customHeight="1">
      <c r="A37" s="1" t="str">
        <f>IF(Raw!A37="","",Raw!A37)</f>
        <v>L00031</v>
      </c>
      <c r="B37" s="1" t="str">
        <f>IF(Raw!B37="","",Raw!B37)</f>
        <v>T00016</v>
      </c>
      <c r="C37" s="1" t="str">
        <f>IF(Raw!C37="","",Raw!C37)</f>
        <v>2026-01-16</v>
      </c>
      <c r="D37" s="1">
        <f t="shared" si="0"/>
        <v>2026</v>
      </c>
      <c r="E37" s="1">
        <f>IFERROR(IF(AND(LEN(C37)=10,MID(C37,5,1)="-",MID(C37,8,1)="-"),VALUE(MID(C37,6,2)),IF(AND(LEN(C37)=11,MID(C37,3,1)="-",MID(C37,7,1)="-"),MATCH(UPPER(MID(C37,4,3)),Guide!$D$7:$D$18,0),0)),0)</f>
        <v>1</v>
      </c>
      <c r="F37" s="1">
        <f t="shared" si="1"/>
        <v>16</v>
      </c>
      <c r="G37" s="9">
        <f t="shared" si="2"/>
        <v>46038</v>
      </c>
      <c r="H37" s="1" t="str">
        <f>IF(Raw!D37="","",Raw!D37)</f>
        <v>P-A</v>
      </c>
      <c r="I37" s="1" t="str">
        <f>IFERROR(IF(EXACT(H37,INDEX(Guide!$A$7:$A$9,MATCH(SUBSTITUTE(SUBSTITUTE(SUBSTITUTE(H37,"~","~~"),"*","~*"),"?","~?"),Guide!$A$7:$A$9,0))),INDEX(Guide!$B$7:$B$9,MATCH(SUBSTITUTE(SUBSTITUTE(SUBSTITUTE(H37,"~","~~"),"*","~*"),"?","~?"),Guide!$A$7:$A$9,0)),""),"")</f>
        <v>Accessories</v>
      </c>
      <c r="J37" s="1" t="str">
        <f>IF(TRIM(Raw!E37)="",I37,IF(UPPER(TRIM(Raw!E37))=UPPER(I37),I37,""))</f>
        <v>Accessories</v>
      </c>
      <c r="K37" s="1" t="str">
        <f>IF(Raw!F37="","",Raw!F37)</f>
        <v>sale</v>
      </c>
      <c r="L37" s="1" t="str">
        <f>IF(LEFT(TRIM(Raw!G37),2)="-$","-"&amp;MID(TRIM(Raw!G37),3,99),IF(LEFT(TRIM(Raw!G37),1)="$",MID(TRIM(Raw!G37),2,99),TRIM(Raw!G37)))</f>
        <v>16.09</v>
      </c>
      <c r="M37" s="1">
        <f t="shared" si="3"/>
        <v>16.09</v>
      </c>
      <c r="N37" s="10">
        <f t="shared" si="4"/>
        <v>1609</v>
      </c>
      <c r="O37" s="1" t="b">
        <f>IFERROR(IF(ISNUMBER(Raw!G37),TRUE,OR(EXACT(L37,TEXT(M37,"0.00")),EXACT(L37,TEXT(M37,"#,##0.00")))),FALSE)</f>
        <v>1</v>
      </c>
      <c r="P37" s="1" t="str">
        <f>LEN(IF(Raw!A37="","",Raw!A37))&amp;":"&amp;IF(Raw!A37="","",Raw!A37)&amp;"|"&amp;LEN(IF(Raw!B37="","",Raw!B37))&amp;":"&amp;IF(Raw!B37="","",Raw!B37)&amp;"|"&amp;LEN(IF(Raw!C37="","",Raw!C37))&amp;":"&amp;IF(Raw!C37="","",Raw!C37)&amp;"|"&amp;LEN(IF(Raw!D37="","",Raw!D37))&amp;":"&amp;IF(Raw!D37="","",Raw!D37)&amp;"|"&amp;LEN(IF(Raw!E37="","",Raw!E37))&amp;":"&amp;IF(Raw!E37="","",Raw!E37)&amp;"|"&amp;LEN(IF(Raw!F37="","",Raw!F37))&amp;":"&amp;IF(Raw!F37="","",Raw!F37)&amp;"|"&amp;LEN(IF(Raw!G37="","",Raw!G37))&amp;":"&amp;IF(Raw!G37="","",Raw!G37)</f>
        <v>6:L00031|6:T00016|10:2026-01-16|3:P-A|11:Accessories|4:sale|5:16.09</v>
      </c>
      <c r="Q37" s="1">
        <f>1</f>
        <v>1</v>
      </c>
      <c r="R37" s="1" t="b">
        <f>FALSE</f>
        <v>0</v>
      </c>
      <c r="S37" s="1">
        <f>1</f>
        <v>1</v>
      </c>
      <c r="T37" s="1" t="str">
        <f>IF(AND(Raw!A37="",Raw!B37="",Raw!C37="",Raw!D37="",Raw!E37="",Raw!F37="",Raw!G37=""),"UNUSED",IF(A37="","missing line ID",IF(B37="","missing transaction ID",IF(G37="",IF(C37="","missing date","invalid date"),IF(I37="","unknown product",IF(J37="","conflicting category",IF(NOT(OR(EXACT(K37,"sale"),EXACT(K37,"refund"))),"unknown event",IF(OR(N37="",NOT(O37)),"invalid amount",IF(OR(AND(K37="sale",N37&lt;=0),AND(K37="refund",N37&gt;=0)),"invalid sign","")))))))))</f>
        <v/>
      </c>
      <c r="U37" s="1" t="str">
        <f t="shared" si="5"/>
        <v>INCLUDED</v>
      </c>
      <c r="V37" s="1" t="str">
        <f t="shared" si="6"/>
        <v>2026-01</v>
      </c>
      <c r="W37" s="1">
        <f>IF(AND(U37="INCLUDED",X37&gt;0,EXACT(A37,'AI output'!A37)),1,0)</f>
        <v>1</v>
      </c>
      <c r="X37" s="1">
        <f>37</f>
        <v>37</v>
      </c>
      <c r="Y37" s="1">
        <f>IF(AND(U37="INCLUDED",W37=1),--(NOT(EXACT(A37,'AI output'!A37)))+--(NOT(EXACT(B37,'AI output'!B37)))+--(NOT(EXACT(TEXT(G37,"yyyy-mm-dd"),'AI output'!C37)))+--(NOT(EXACT(H37,'AI output'!D37)))+--(NOT(EXACT(J37,'AI output'!E37)))+--(NOT(EXACT(K37,'AI output'!F37)))+--(N37&lt;&gt;'AI output'!L37)+--(NOT('AI output'!M37)),0)</f>
        <v>0</v>
      </c>
      <c r="Z37" s="1">
        <f t="shared" si="7"/>
        <v>0</v>
      </c>
      <c r="AA37" s="1">
        <f>--EXACT(A37,"L00031")</f>
        <v>1</v>
      </c>
    </row>
    <row r="38" spans="1:27" ht="18.95" customHeight="1">
      <c r="A38" s="1" t="str">
        <f>IF(Raw!A38="","",Raw!A38)</f>
        <v>L00032</v>
      </c>
      <c r="B38" s="1" t="str">
        <f>IF(Raw!B38="","",Raw!B38)</f>
        <v>T00016</v>
      </c>
      <c r="C38" s="1" t="str">
        <f>IF(Raw!C38="","",Raw!C38)</f>
        <v>2026-01-16</v>
      </c>
      <c r="D38" s="1">
        <f t="shared" si="0"/>
        <v>2026</v>
      </c>
      <c r="E38" s="1">
        <f>IFERROR(IF(AND(LEN(C38)=10,MID(C38,5,1)="-",MID(C38,8,1)="-"),VALUE(MID(C38,6,2)),IF(AND(LEN(C38)=11,MID(C38,3,1)="-",MID(C38,7,1)="-"),MATCH(UPPER(MID(C38,4,3)),Guide!$D$7:$D$18,0),0)),0)</f>
        <v>1</v>
      </c>
      <c r="F38" s="1">
        <f t="shared" si="1"/>
        <v>16</v>
      </c>
      <c r="G38" s="9">
        <f t="shared" si="2"/>
        <v>46038</v>
      </c>
      <c r="H38" s="1" t="str">
        <f>IF(Raw!D38="","",Raw!D38)</f>
        <v>P-H</v>
      </c>
      <c r="I38" s="1" t="str">
        <f>IFERROR(IF(EXACT(H38,INDEX(Guide!$A$7:$A$9,MATCH(SUBSTITUTE(SUBSTITUTE(SUBSTITUTE(H38,"~","~~"),"*","~*"),"?","~?"),Guide!$A$7:$A$9,0))),INDEX(Guide!$B$7:$B$9,MATCH(SUBSTITUTE(SUBSTITUTE(SUBSTITUTE(H38,"~","~~"),"*","~*"),"?","~?"),Guide!$A$7:$A$9,0)),""),"")</f>
        <v>Home</v>
      </c>
      <c r="J38" s="1" t="str">
        <f>IF(TRIM(Raw!E38)="",I38,IF(UPPER(TRIM(Raw!E38))=UPPER(I38),I38,""))</f>
        <v>Home</v>
      </c>
      <c r="K38" s="1" t="str">
        <f>IF(Raw!F38="","",Raw!F38)</f>
        <v>sale</v>
      </c>
      <c r="L38" s="1" t="str">
        <f>IF(LEFT(TRIM(Raw!G38),2)="-$","-"&amp;MID(TRIM(Raw!G38),3,99),IF(LEFT(TRIM(Raw!G38),1)="$",MID(TRIM(Raw!G38),2,99),TRIM(Raw!G38)))</f>
        <v>49.38</v>
      </c>
      <c r="M38" s="1">
        <f t="shared" si="3"/>
        <v>49.38</v>
      </c>
      <c r="N38" s="10">
        <f t="shared" si="4"/>
        <v>4938</v>
      </c>
      <c r="O38" s="1" t="b">
        <f>IFERROR(IF(ISNUMBER(Raw!G38),TRUE,OR(EXACT(L38,TEXT(M38,"0.00")),EXACT(L38,TEXT(M38,"#,##0.00")))),FALSE)</f>
        <v>1</v>
      </c>
      <c r="P38" s="1" t="str">
        <f>LEN(IF(Raw!A38="","",Raw!A38))&amp;":"&amp;IF(Raw!A38="","",Raw!A38)&amp;"|"&amp;LEN(IF(Raw!B38="","",Raw!B38))&amp;":"&amp;IF(Raw!B38="","",Raw!B38)&amp;"|"&amp;LEN(IF(Raw!C38="","",Raw!C38))&amp;":"&amp;IF(Raw!C38="","",Raw!C38)&amp;"|"&amp;LEN(IF(Raw!D38="","",Raw!D38))&amp;":"&amp;IF(Raw!D38="","",Raw!D38)&amp;"|"&amp;LEN(IF(Raw!E38="","",Raw!E38))&amp;":"&amp;IF(Raw!E38="","",Raw!E38)&amp;"|"&amp;LEN(IF(Raw!F38="","",Raw!F38))&amp;":"&amp;IF(Raw!F38="","",Raw!F38)&amp;"|"&amp;LEN(IF(Raw!G38="","",Raw!G38))&amp;":"&amp;IF(Raw!G38="","",Raw!G38)</f>
        <v>6:L00032|6:T00016|10:2026-01-16|3:P-H|4:Home|4:sale|5:49.38</v>
      </c>
      <c r="Q38" s="1">
        <f>1</f>
        <v>1</v>
      </c>
      <c r="R38" s="1" t="b">
        <f>FALSE</f>
        <v>0</v>
      </c>
      <c r="S38" s="1">
        <f>1</f>
        <v>1</v>
      </c>
      <c r="T38" s="1" t="str">
        <f>IF(AND(Raw!A38="",Raw!B38="",Raw!C38="",Raw!D38="",Raw!E38="",Raw!F38="",Raw!G38=""),"UNUSED",IF(A38="","missing line ID",IF(B38="","missing transaction ID",IF(G38="",IF(C38="","missing date","invalid date"),IF(I38="","unknown product",IF(J38="","conflicting category",IF(NOT(OR(EXACT(K38,"sale"),EXACT(K38,"refund"))),"unknown event",IF(OR(N38="",NOT(O38)),"invalid amount",IF(OR(AND(K38="sale",N38&lt;=0),AND(K38="refund",N38&gt;=0)),"invalid sign","")))))))))</f>
        <v/>
      </c>
      <c r="U38" s="1" t="str">
        <f t="shared" si="5"/>
        <v>INCLUDED</v>
      </c>
      <c r="V38" s="1" t="str">
        <f t="shared" si="6"/>
        <v>2026-01</v>
      </c>
      <c r="W38" s="1">
        <f>IF(AND(U38="INCLUDED",X38&gt;0,EXACT(A38,'AI output'!A38)),1,0)</f>
        <v>1</v>
      </c>
      <c r="X38" s="1">
        <f>38</f>
        <v>38</v>
      </c>
      <c r="Y38" s="1">
        <f>IF(AND(U38="INCLUDED",W38=1),--(NOT(EXACT(A38,'AI output'!A38)))+--(NOT(EXACT(B38,'AI output'!B38)))+--(NOT(EXACT(TEXT(G38,"yyyy-mm-dd"),'AI output'!C38)))+--(NOT(EXACT(H38,'AI output'!D38)))+--(NOT(EXACT(J38,'AI output'!E38)))+--(NOT(EXACT(K38,'AI output'!F38)))+--(N38&lt;&gt;'AI output'!L38)+--(NOT('AI output'!M38)),0)</f>
        <v>0</v>
      </c>
      <c r="Z38" s="1">
        <f t="shared" si="7"/>
        <v>0</v>
      </c>
      <c r="AA38" s="1">
        <f>--EXACT(A38,"L00032")</f>
        <v>1</v>
      </c>
    </row>
    <row r="39" spans="1:27" ht="18.95" customHeight="1">
      <c r="A39" s="1" t="str">
        <f>IF(Raw!A39="","",Raw!A39)</f>
        <v>L00033</v>
      </c>
      <c r="B39" s="1" t="str">
        <f>IF(Raw!B39="","",Raw!B39)</f>
        <v>T00017</v>
      </c>
      <c r="C39" s="1" t="str">
        <f>IF(Raw!C39="","",Raw!C39)</f>
        <v>2026-01-23</v>
      </c>
      <c r="D39" s="1">
        <f t="shared" si="0"/>
        <v>2026</v>
      </c>
      <c r="E39" s="1">
        <f>IFERROR(IF(AND(LEN(C39)=10,MID(C39,5,1)="-",MID(C39,8,1)="-"),VALUE(MID(C39,6,2)),IF(AND(LEN(C39)=11,MID(C39,3,1)="-",MID(C39,7,1)="-"),MATCH(UPPER(MID(C39,4,3)),Guide!$D$7:$D$18,0),0)),0)</f>
        <v>1</v>
      </c>
      <c r="F39" s="1">
        <f t="shared" si="1"/>
        <v>23</v>
      </c>
      <c r="G39" s="9">
        <f t="shared" si="2"/>
        <v>46045</v>
      </c>
      <c r="H39" s="1" t="str">
        <f>IF(Raw!D39="","",Raw!D39)</f>
        <v>P-O</v>
      </c>
      <c r="I39" s="1" t="str">
        <f>IFERROR(IF(EXACT(H39,INDEX(Guide!$A$7:$A$9,MATCH(SUBSTITUTE(SUBSTITUTE(SUBSTITUTE(H39,"~","~~"),"*","~*"),"?","~?"),Guide!$A$7:$A$9,0))),INDEX(Guide!$B$7:$B$9,MATCH(SUBSTITUTE(SUBSTITUTE(SUBSTITUTE(H39,"~","~~"),"*","~*"),"?","~?"),Guide!$A$7:$A$9,0)),""),"")</f>
        <v>Office</v>
      </c>
      <c r="J39" s="1" t="str">
        <f>IF(TRIM(Raw!E39)="",I39,IF(UPPER(TRIM(Raw!E39))=UPPER(I39),I39,""))</f>
        <v>Office</v>
      </c>
      <c r="K39" s="1" t="str">
        <f>IF(Raw!F39="","",Raw!F39)</f>
        <v>sale</v>
      </c>
      <c r="L39" s="1" t="str">
        <f>IF(LEFT(TRIM(Raw!G39),2)="-$","-"&amp;MID(TRIM(Raw!G39),3,99),IF(LEFT(TRIM(Raw!G39),1)="$",MID(TRIM(Raw!G39),2,99),TRIM(Raw!G39)))</f>
        <v>84.15</v>
      </c>
      <c r="M39" s="1">
        <f t="shared" si="3"/>
        <v>84.15</v>
      </c>
      <c r="N39" s="10">
        <f t="shared" si="4"/>
        <v>8415</v>
      </c>
      <c r="O39" s="1" t="b">
        <f>IFERROR(IF(ISNUMBER(Raw!G39),TRUE,OR(EXACT(L39,TEXT(M39,"0.00")),EXACT(L39,TEXT(M39,"#,##0.00")))),FALSE)</f>
        <v>1</v>
      </c>
      <c r="P39" s="1" t="str">
        <f>LEN(IF(Raw!A39="","",Raw!A39))&amp;":"&amp;IF(Raw!A39="","",Raw!A39)&amp;"|"&amp;LEN(IF(Raw!B39="","",Raw!B39))&amp;":"&amp;IF(Raw!B39="","",Raw!B39)&amp;"|"&amp;LEN(IF(Raw!C39="","",Raw!C39))&amp;":"&amp;IF(Raw!C39="","",Raw!C39)&amp;"|"&amp;LEN(IF(Raw!D39="","",Raw!D39))&amp;":"&amp;IF(Raw!D39="","",Raw!D39)&amp;"|"&amp;LEN(IF(Raw!E39="","",Raw!E39))&amp;":"&amp;IF(Raw!E39="","",Raw!E39)&amp;"|"&amp;LEN(IF(Raw!F39="","",Raw!F39))&amp;":"&amp;IF(Raw!F39="","",Raw!F39)&amp;"|"&amp;LEN(IF(Raw!G39="","",Raw!G39))&amp;":"&amp;IF(Raw!G39="","",Raw!G39)</f>
        <v>6:L00033|6:T00017|10:2026-01-23|3:P-O|6:Office|4:sale|5:84.15</v>
      </c>
      <c r="Q39" s="1">
        <f>1</f>
        <v>1</v>
      </c>
      <c r="R39" s="1" t="b">
        <f>FALSE</f>
        <v>0</v>
      </c>
      <c r="S39" s="1">
        <f>1</f>
        <v>1</v>
      </c>
      <c r="T39" s="1" t="str">
        <f>IF(AND(Raw!A39="",Raw!B39="",Raw!C39="",Raw!D39="",Raw!E39="",Raw!F39="",Raw!G39=""),"UNUSED",IF(A39="","missing line ID",IF(B39="","missing transaction ID",IF(G39="",IF(C39="","missing date","invalid date"),IF(I39="","unknown product",IF(J39="","conflicting category",IF(NOT(OR(EXACT(K39,"sale"),EXACT(K39,"refund"))),"unknown event",IF(OR(N39="",NOT(O39)),"invalid amount",IF(OR(AND(K39="sale",N39&lt;=0),AND(K39="refund",N39&gt;=0)),"invalid sign","")))))))))</f>
        <v/>
      </c>
      <c r="U39" s="1" t="str">
        <f t="shared" si="5"/>
        <v>INCLUDED</v>
      </c>
      <c r="V39" s="1" t="str">
        <f t="shared" si="6"/>
        <v>2026-01</v>
      </c>
      <c r="W39" s="1">
        <f>IF(AND(U39="INCLUDED",X39&gt;0,EXACT(A39,'AI output'!A39)),1,0)</f>
        <v>1</v>
      </c>
      <c r="X39" s="1">
        <f>39</f>
        <v>39</v>
      </c>
      <c r="Y39" s="1">
        <f>IF(AND(U39="INCLUDED",W39=1),--(NOT(EXACT(A39,'AI output'!A39)))+--(NOT(EXACT(B39,'AI output'!B39)))+--(NOT(EXACT(TEXT(G39,"yyyy-mm-dd"),'AI output'!C39)))+--(NOT(EXACT(H39,'AI output'!D39)))+--(NOT(EXACT(J39,'AI output'!E39)))+--(NOT(EXACT(K39,'AI output'!F39)))+--(N39&lt;&gt;'AI output'!L39)+--(NOT('AI output'!M39)),0)</f>
        <v>0</v>
      </c>
      <c r="Z39" s="1">
        <f t="shared" si="7"/>
        <v>0</v>
      </c>
      <c r="AA39" s="1">
        <f>--EXACT(A39,"L00033")</f>
        <v>1</v>
      </c>
    </row>
    <row r="40" spans="1:27" ht="18.95" customHeight="1">
      <c r="A40" s="1" t="str">
        <f>IF(Raw!A40="","",Raw!A40)</f>
        <v>L00034</v>
      </c>
      <c r="B40" s="1" t="str">
        <f>IF(Raw!B40="","",Raw!B40)</f>
        <v>T00017</v>
      </c>
      <c r="C40" s="1" t="str">
        <f>IF(Raw!C40="","",Raw!C40)</f>
        <v>23-Jan-2026</v>
      </c>
      <c r="D40" s="1">
        <f t="shared" si="0"/>
        <v>2026</v>
      </c>
      <c r="E40" s="1">
        <f>IFERROR(IF(AND(LEN(C40)=10,MID(C40,5,1)="-",MID(C40,8,1)="-"),VALUE(MID(C40,6,2)),IF(AND(LEN(C40)=11,MID(C40,3,1)="-",MID(C40,7,1)="-"),MATCH(UPPER(MID(C40,4,3)),Guide!$D$7:$D$18,0),0)),0)</f>
        <v>1</v>
      </c>
      <c r="F40" s="1">
        <f t="shared" si="1"/>
        <v>23</v>
      </c>
      <c r="G40" s="9">
        <f t="shared" si="2"/>
        <v>46045</v>
      </c>
      <c r="H40" s="1" t="str">
        <f>IF(Raw!D40="","",Raw!D40)</f>
        <v>P-A</v>
      </c>
      <c r="I40" s="1" t="str">
        <f>IFERROR(IF(EXACT(H40,INDEX(Guide!$A$7:$A$9,MATCH(SUBSTITUTE(SUBSTITUTE(SUBSTITUTE(H40,"~","~~"),"*","~*"),"?","~?"),Guide!$A$7:$A$9,0))),INDEX(Guide!$B$7:$B$9,MATCH(SUBSTITUTE(SUBSTITUTE(SUBSTITUTE(H40,"~","~~"),"*","~*"),"?","~?"),Guide!$A$7:$A$9,0)),""),"")</f>
        <v>Accessories</v>
      </c>
      <c r="J40" s="1" t="str">
        <f>IF(TRIM(Raw!E40)="",I40,IF(UPPER(TRIM(Raw!E40))=UPPER(I40),I40,""))</f>
        <v>Accessories</v>
      </c>
      <c r="K40" s="1" t="str">
        <f>IF(Raw!F40="","",Raw!F40)</f>
        <v>sale</v>
      </c>
      <c r="L40" s="1" t="str">
        <f>IF(LEFT(TRIM(Raw!G40),2)="-$","-"&amp;MID(TRIM(Raw!G40),3,99),IF(LEFT(TRIM(Raw!G40),1)="$",MID(TRIM(Raw!G40),2,99),TRIM(Raw!G40)))</f>
        <v>34.40</v>
      </c>
      <c r="M40" s="1">
        <f t="shared" si="3"/>
        <v>34.4</v>
      </c>
      <c r="N40" s="10">
        <f t="shared" si="4"/>
        <v>3440</v>
      </c>
      <c r="O40" s="1" t="b">
        <f>IFERROR(IF(ISNUMBER(Raw!G40),TRUE,OR(EXACT(L40,TEXT(M40,"0.00")),EXACT(L40,TEXT(M40,"#,##0.00")))),FALSE)</f>
        <v>1</v>
      </c>
      <c r="P40" s="1" t="str">
        <f>LEN(IF(Raw!A40="","",Raw!A40))&amp;":"&amp;IF(Raw!A40="","",Raw!A40)&amp;"|"&amp;LEN(IF(Raw!B40="","",Raw!B40))&amp;":"&amp;IF(Raw!B40="","",Raw!B40)&amp;"|"&amp;LEN(IF(Raw!C40="","",Raw!C40))&amp;":"&amp;IF(Raw!C40="","",Raw!C40)&amp;"|"&amp;LEN(IF(Raw!D40="","",Raw!D40))&amp;":"&amp;IF(Raw!D40="","",Raw!D40)&amp;"|"&amp;LEN(IF(Raw!E40="","",Raw!E40))&amp;":"&amp;IF(Raw!E40="","",Raw!E40)&amp;"|"&amp;LEN(IF(Raw!F40="","",Raw!F40))&amp;":"&amp;IF(Raw!F40="","",Raw!F40)&amp;"|"&amp;LEN(IF(Raw!G40="","",Raw!G40))&amp;":"&amp;IF(Raw!G40="","",Raw!G40)</f>
        <v>6:L00034|6:T00017|11:23-Jan-2026|3:P-A|11:Accessories|4:sale|5:34.40</v>
      </c>
      <c r="Q40" s="1">
        <f>1</f>
        <v>1</v>
      </c>
      <c r="R40" s="1" t="b">
        <f>FALSE</f>
        <v>0</v>
      </c>
      <c r="S40" s="1">
        <f>1</f>
        <v>1</v>
      </c>
      <c r="T40" s="1" t="str">
        <f>IF(AND(Raw!A40="",Raw!B40="",Raw!C40="",Raw!D40="",Raw!E40="",Raw!F40="",Raw!G40=""),"UNUSED",IF(A40="","missing line ID",IF(B40="","missing transaction ID",IF(G40="",IF(C40="","missing date","invalid date"),IF(I40="","unknown product",IF(J40="","conflicting category",IF(NOT(OR(EXACT(K40,"sale"),EXACT(K40,"refund"))),"unknown event",IF(OR(N40="",NOT(O40)),"invalid amount",IF(OR(AND(K40="sale",N40&lt;=0),AND(K40="refund",N40&gt;=0)),"invalid sign","")))))))))</f>
        <v/>
      </c>
      <c r="U40" s="1" t="str">
        <f t="shared" si="5"/>
        <v>INCLUDED</v>
      </c>
      <c r="V40" s="1" t="str">
        <f t="shared" si="6"/>
        <v>2026-01</v>
      </c>
      <c r="W40" s="1">
        <f>IF(AND(U40="INCLUDED",X40&gt;0,EXACT(A40,'AI output'!A40)),1,0)</f>
        <v>1</v>
      </c>
      <c r="X40" s="1">
        <f>40</f>
        <v>40</v>
      </c>
      <c r="Y40" s="1">
        <f>IF(AND(U40="INCLUDED",W40=1),--(NOT(EXACT(A40,'AI output'!A40)))+--(NOT(EXACT(B40,'AI output'!B40)))+--(NOT(EXACT(TEXT(G40,"yyyy-mm-dd"),'AI output'!C40)))+--(NOT(EXACT(H40,'AI output'!D40)))+--(NOT(EXACT(J40,'AI output'!E40)))+--(NOT(EXACT(K40,'AI output'!F40)))+--(N40&lt;&gt;'AI output'!L40)+--(NOT('AI output'!M40)),0)</f>
        <v>0</v>
      </c>
      <c r="Z40" s="1">
        <f t="shared" si="7"/>
        <v>0</v>
      </c>
      <c r="AA40" s="1">
        <f>--EXACT(A40,"L00034")</f>
        <v>1</v>
      </c>
    </row>
    <row r="41" spans="1:27" ht="18.95" customHeight="1">
      <c r="A41" s="1" t="str">
        <f>IF(Raw!A41="","",Raw!A41)</f>
        <v>L00035</v>
      </c>
      <c r="B41" s="1" t="str">
        <f>IF(Raw!B41="","",Raw!B41)</f>
        <v>T00018</v>
      </c>
      <c r="C41" s="1" t="str">
        <f>IF(Raw!C41="","",Raw!C41)</f>
        <v>2026-01-30</v>
      </c>
      <c r="D41" s="1">
        <f t="shared" si="0"/>
        <v>2026</v>
      </c>
      <c r="E41" s="1">
        <f>IFERROR(IF(AND(LEN(C41)=10,MID(C41,5,1)="-",MID(C41,8,1)="-"),VALUE(MID(C41,6,2)),IF(AND(LEN(C41)=11,MID(C41,3,1)="-",MID(C41,7,1)="-"),MATCH(UPPER(MID(C41,4,3)),Guide!$D$7:$D$18,0),0)),0)</f>
        <v>1</v>
      </c>
      <c r="F41" s="1">
        <f t="shared" si="1"/>
        <v>30</v>
      </c>
      <c r="G41" s="9">
        <f t="shared" si="2"/>
        <v>46052</v>
      </c>
      <c r="H41" s="1" t="str">
        <f>IF(Raw!D41="","",Raw!D41)</f>
        <v>P-H</v>
      </c>
      <c r="I41" s="1" t="str">
        <f>IFERROR(IF(EXACT(H41,INDEX(Guide!$A$7:$A$9,MATCH(SUBSTITUTE(SUBSTITUTE(SUBSTITUTE(H41,"~","~~"),"*","~*"),"?","~?"),Guide!$A$7:$A$9,0))),INDEX(Guide!$B$7:$B$9,MATCH(SUBSTITUTE(SUBSTITUTE(SUBSTITUTE(H41,"~","~~"),"*","~*"),"?","~?"),Guide!$A$7:$A$9,0)),""),"")</f>
        <v>Home</v>
      </c>
      <c r="J41" s="1" t="str">
        <f>IF(TRIM(Raw!E41)="",I41,IF(UPPER(TRIM(Raw!E41))=UPPER(I41),I41,""))</f>
        <v>Home</v>
      </c>
      <c r="K41" s="1" t="str">
        <f>IF(Raw!F41="","",Raw!F41)</f>
        <v>sale</v>
      </c>
      <c r="L41" s="1" t="str">
        <f>IF(LEFT(TRIM(Raw!G41),2)="-$","-"&amp;MID(TRIM(Raw!G41),3,99),IF(LEFT(TRIM(Raw!G41),1)="$",MID(TRIM(Raw!G41),2,99),TRIM(Raw!G41)))</f>
        <v>70.28</v>
      </c>
      <c r="M41" s="1">
        <f t="shared" si="3"/>
        <v>70.28</v>
      </c>
      <c r="N41" s="10">
        <f t="shared" si="4"/>
        <v>7028</v>
      </c>
      <c r="O41" s="1" t="b">
        <f>IFERROR(IF(ISNUMBER(Raw!G41),TRUE,OR(EXACT(L41,TEXT(M41,"0.00")),EXACT(L41,TEXT(M41,"#,##0.00")))),FALSE)</f>
        <v>1</v>
      </c>
      <c r="P41" s="1" t="str">
        <f>LEN(IF(Raw!A41="","",Raw!A41))&amp;":"&amp;IF(Raw!A41="","",Raw!A41)&amp;"|"&amp;LEN(IF(Raw!B41="","",Raw!B41))&amp;":"&amp;IF(Raw!B41="","",Raw!B41)&amp;"|"&amp;LEN(IF(Raw!C41="","",Raw!C41))&amp;":"&amp;IF(Raw!C41="","",Raw!C41)&amp;"|"&amp;LEN(IF(Raw!D41="","",Raw!D41))&amp;":"&amp;IF(Raw!D41="","",Raw!D41)&amp;"|"&amp;LEN(IF(Raw!E41="","",Raw!E41))&amp;":"&amp;IF(Raw!E41="","",Raw!E41)&amp;"|"&amp;LEN(IF(Raw!F41="","",Raw!F41))&amp;":"&amp;IF(Raw!F41="","",Raw!F41)&amp;"|"&amp;LEN(IF(Raw!G41="","",Raw!G41))&amp;":"&amp;IF(Raw!G41="","",Raw!G41)</f>
        <v>6:L00035|6:T00018|10:2026-01-30|3:P-H|4:Home|4:sale|5:70.28</v>
      </c>
      <c r="Q41" s="1">
        <f>1</f>
        <v>1</v>
      </c>
      <c r="R41" s="1" t="b">
        <f>FALSE</f>
        <v>0</v>
      </c>
      <c r="S41" s="1">
        <f>1</f>
        <v>1</v>
      </c>
      <c r="T41" s="1" t="str">
        <f>IF(AND(Raw!A41="",Raw!B41="",Raw!C41="",Raw!D41="",Raw!E41="",Raw!F41="",Raw!G41=""),"UNUSED",IF(A41="","missing line ID",IF(B41="","missing transaction ID",IF(G41="",IF(C41="","missing date","invalid date"),IF(I41="","unknown product",IF(J41="","conflicting category",IF(NOT(OR(EXACT(K41,"sale"),EXACT(K41,"refund"))),"unknown event",IF(OR(N41="",NOT(O41)),"invalid amount",IF(OR(AND(K41="sale",N41&lt;=0),AND(K41="refund",N41&gt;=0)),"invalid sign","")))))))))</f>
        <v/>
      </c>
      <c r="U41" s="1" t="str">
        <f t="shared" si="5"/>
        <v>INCLUDED</v>
      </c>
      <c r="V41" s="1" t="str">
        <f t="shared" si="6"/>
        <v>2026-01</v>
      </c>
      <c r="W41" s="1">
        <f>IF(AND(U41="INCLUDED",X41&gt;0,EXACT(A41,'AI output'!A41)),1,0)</f>
        <v>1</v>
      </c>
      <c r="X41" s="1">
        <f>41</f>
        <v>41</v>
      </c>
      <c r="Y41" s="1">
        <f>IF(AND(U41="INCLUDED",W41=1),--(NOT(EXACT(A41,'AI output'!A41)))+--(NOT(EXACT(B41,'AI output'!B41)))+--(NOT(EXACT(TEXT(G41,"yyyy-mm-dd"),'AI output'!C41)))+--(NOT(EXACT(H41,'AI output'!D41)))+--(NOT(EXACT(J41,'AI output'!E41)))+--(NOT(EXACT(K41,'AI output'!F41)))+--(N41&lt;&gt;'AI output'!L41)+--(NOT('AI output'!M41)),0)</f>
        <v>0</v>
      </c>
      <c r="Z41" s="1">
        <f t="shared" si="7"/>
        <v>0</v>
      </c>
      <c r="AA41" s="1">
        <f>--EXACT(A41,"L00035")</f>
        <v>1</v>
      </c>
    </row>
    <row r="42" spans="1:27" ht="18.95" customHeight="1">
      <c r="A42" s="1" t="str">
        <f>IF(Raw!A42="","",Raw!A42)</f>
        <v>L00036</v>
      </c>
      <c r="B42" s="1" t="str">
        <f>IF(Raw!B42="","",Raw!B42)</f>
        <v>T00018</v>
      </c>
      <c r="C42" s="1" t="str">
        <f>IF(Raw!C42="","",Raw!C42)</f>
        <v>2026-01-30</v>
      </c>
      <c r="D42" s="1">
        <f t="shared" si="0"/>
        <v>2026</v>
      </c>
      <c r="E42" s="1">
        <f>IFERROR(IF(AND(LEN(C42)=10,MID(C42,5,1)="-",MID(C42,8,1)="-"),VALUE(MID(C42,6,2)),IF(AND(LEN(C42)=11,MID(C42,3,1)="-",MID(C42,7,1)="-"),MATCH(UPPER(MID(C42,4,3)),Guide!$D$7:$D$18,0),0)),0)</f>
        <v>1</v>
      </c>
      <c r="F42" s="1">
        <f t="shared" si="1"/>
        <v>30</v>
      </c>
      <c r="G42" s="9">
        <f t="shared" si="2"/>
        <v>46052</v>
      </c>
      <c r="H42" s="1" t="str">
        <f>IF(Raw!D42="","",Raw!D42)</f>
        <v>P-O</v>
      </c>
      <c r="I42" s="1" t="str">
        <f>IFERROR(IF(EXACT(H42,INDEX(Guide!$A$7:$A$9,MATCH(SUBSTITUTE(SUBSTITUTE(SUBSTITUTE(H42,"~","~~"),"*","~*"),"?","~?"),Guide!$A$7:$A$9,0))),INDEX(Guide!$B$7:$B$9,MATCH(SUBSTITUTE(SUBSTITUTE(SUBSTITUTE(H42,"~","~~"),"*","~*"),"?","~?"),Guide!$A$7:$A$9,0)),""),"")</f>
        <v>Office</v>
      </c>
      <c r="J42" s="1" t="str">
        <f>IF(TRIM(Raw!E42)="",I42,IF(UPPER(TRIM(Raw!E42))=UPPER(I42),I42,""))</f>
        <v>Office</v>
      </c>
      <c r="K42" s="1" t="str">
        <f>IF(Raw!F42="","",Raw!F42)</f>
        <v>sale</v>
      </c>
      <c r="L42" s="1" t="str">
        <f>IF(LEFT(TRIM(Raw!G42),2)="-$","-"&amp;MID(TRIM(Raw!G42),3,99),IF(LEFT(TRIM(Raw!G42),1)="$",MID(TRIM(Raw!G42),2,99),TRIM(Raw!G42)))</f>
        <v>17.94</v>
      </c>
      <c r="M42" s="1">
        <f t="shared" si="3"/>
        <v>17.940000000000001</v>
      </c>
      <c r="N42" s="10">
        <f t="shared" si="4"/>
        <v>1794</v>
      </c>
      <c r="O42" s="1" t="b">
        <f>IFERROR(IF(ISNUMBER(Raw!G42),TRUE,OR(EXACT(L42,TEXT(M42,"0.00")),EXACT(L42,TEXT(M42,"#,##0.00")))),FALSE)</f>
        <v>1</v>
      </c>
      <c r="P42" s="1" t="str">
        <f>LEN(IF(Raw!A42="","",Raw!A42))&amp;":"&amp;IF(Raw!A42="","",Raw!A42)&amp;"|"&amp;LEN(IF(Raw!B42="","",Raw!B42))&amp;":"&amp;IF(Raw!B42="","",Raw!B42)&amp;"|"&amp;LEN(IF(Raw!C42="","",Raw!C42))&amp;":"&amp;IF(Raw!C42="","",Raw!C42)&amp;"|"&amp;LEN(IF(Raw!D42="","",Raw!D42))&amp;":"&amp;IF(Raw!D42="","",Raw!D42)&amp;"|"&amp;LEN(IF(Raw!E42="","",Raw!E42))&amp;":"&amp;IF(Raw!E42="","",Raw!E42)&amp;"|"&amp;LEN(IF(Raw!F42="","",Raw!F42))&amp;":"&amp;IF(Raw!F42="","",Raw!F42)&amp;"|"&amp;LEN(IF(Raw!G42="","",Raw!G42))&amp;":"&amp;IF(Raw!G42="","",Raw!G42)</f>
        <v>6:L00036|6:T00018|10:2026-01-30|3:P-O|6:Office|4:sale|5:17.94</v>
      </c>
      <c r="Q42" s="1">
        <f>1</f>
        <v>1</v>
      </c>
      <c r="R42" s="1" t="b">
        <f>FALSE</f>
        <v>0</v>
      </c>
      <c r="S42" s="1">
        <f>1</f>
        <v>1</v>
      </c>
      <c r="T42" s="1" t="str">
        <f>IF(AND(Raw!A42="",Raw!B42="",Raw!C42="",Raw!D42="",Raw!E42="",Raw!F42="",Raw!G42=""),"UNUSED",IF(A42="","missing line ID",IF(B42="","missing transaction ID",IF(G42="",IF(C42="","missing date","invalid date"),IF(I42="","unknown product",IF(J42="","conflicting category",IF(NOT(OR(EXACT(K42,"sale"),EXACT(K42,"refund"))),"unknown event",IF(OR(N42="",NOT(O42)),"invalid amount",IF(OR(AND(K42="sale",N42&lt;=0),AND(K42="refund",N42&gt;=0)),"invalid sign","")))))))))</f>
        <v/>
      </c>
      <c r="U42" s="1" t="str">
        <f t="shared" si="5"/>
        <v>INCLUDED</v>
      </c>
      <c r="V42" s="1" t="str">
        <f t="shared" si="6"/>
        <v>2026-01</v>
      </c>
      <c r="W42" s="1">
        <f>IF(AND(U42="INCLUDED",X42&gt;0,EXACT(A42,'AI output'!A42)),1,0)</f>
        <v>1</v>
      </c>
      <c r="X42" s="1">
        <f>42</f>
        <v>42</v>
      </c>
      <c r="Y42" s="1">
        <f>IF(AND(U42="INCLUDED",W42=1),--(NOT(EXACT(A42,'AI output'!A42)))+--(NOT(EXACT(B42,'AI output'!B42)))+--(NOT(EXACT(TEXT(G42,"yyyy-mm-dd"),'AI output'!C42)))+--(NOT(EXACT(H42,'AI output'!D42)))+--(NOT(EXACT(J42,'AI output'!E42)))+--(NOT(EXACT(K42,'AI output'!F42)))+--(N42&lt;&gt;'AI output'!L42)+--(NOT('AI output'!M42)),0)</f>
        <v>0</v>
      </c>
      <c r="Z42" s="1">
        <f t="shared" si="7"/>
        <v>0</v>
      </c>
      <c r="AA42" s="1">
        <f>--EXACT(A42,"L00036")</f>
        <v>1</v>
      </c>
    </row>
    <row r="43" spans="1:27" ht="18.95" customHeight="1">
      <c r="A43" s="1" t="str">
        <f>IF(Raw!A43="","",Raw!A43)</f>
        <v>L00037</v>
      </c>
      <c r="B43" s="1" t="str">
        <f>IF(Raw!B43="","",Raw!B43)</f>
        <v>T00019</v>
      </c>
      <c r="C43" s="1" t="str">
        <f>IF(Raw!C43="","",Raw!C43)</f>
        <v>2026-02-06</v>
      </c>
      <c r="D43" s="1">
        <f t="shared" si="0"/>
        <v>2026</v>
      </c>
      <c r="E43" s="1">
        <f>IFERROR(IF(AND(LEN(C43)=10,MID(C43,5,1)="-",MID(C43,8,1)="-"),VALUE(MID(C43,6,2)),IF(AND(LEN(C43)=11,MID(C43,3,1)="-",MID(C43,7,1)="-"),MATCH(UPPER(MID(C43,4,3)),Guide!$D$7:$D$18,0),0)),0)</f>
        <v>2</v>
      </c>
      <c r="F43" s="1">
        <f t="shared" si="1"/>
        <v>6</v>
      </c>
      <c r="G43" s="9">
        <f t="shared" si="2"/>
        <v>46059</v>
      </c>
      <c r="H43" s="1" t="str">
        <f>IF(Raw!D43="","",Raw!D43)</f>
        <v>P-A</v>
      </c>
      <c r="I43" s="1" t="str">
        <f>IFERROR(IF(EXACT(H43,INDEX(Guide!$A$7:$A$9,MATCH(SUBSTITUTE(SUBSTITUTE(SUBSTITUTE(H43,"~","~~"),"*","~*"),"?","~?"),Guide!$A$7:$A$9,0))),INDEX(Guide!$B$7:$B$9,MATCH(SUBSTITUTE(SUBSTITUTE(SUBSTITUTE(H43,"~","~~"),"*","~*"),"?","~?"),Guide!$A$7:$A$9,0)),""),"")</f>
        <v>Accessories</v>
      </c>
      <c r="J43" s="1" t="str">
        <f>IF(TRIM(Raw!E43)="",I43,IF(UPPER(TRIM(Raw!E43))=UPPER(I43),I43,""))</f>
        <v>Accessories</v>
      </c>
      <c r="K43" s="1" t="str">
        <f>IF(Raw!F43="","",Raw!F43)</f>
        <v>sale</v>
      </c>
      <c r="L43" s="1" t="str">
        <f>IF(LEFT(TRIM(Raw!G43),2)="-$","-"&amp;MID(TRIM(Raw!G43),3,99),IF(LEFT(TRIM(Raw!G43),1)="$",MID(TRIM(Raw!G43),2,99),TRIM(Raw!G43)))</f>
        <v>54.93</v>
      </c>
      <c r="M43" s="1">
        <f t="shared" si="3"/>
        <v>54.93</v>
      </c>
      <c r="N43" s="10">
        <f t="shared" si="4"/>
        <v>5493</v>
      </c>
      <c r="O43" s="1" t="b">
        <f>IFERROR(IF(ISNUMBER(Raw!G43),TRUE,OR(EXACT(L43,TEXT(M43,"0.00")),EXACT(L43,TEXT(M43,"#,##0.00")))),FALSE)</f>
        <v>1</v>
      </c>
      <c r="P43" s="1" t="str">
        <f>LEN(IF(Raw!A43="","",Raw!A43))&amp;":"&amp;IF(Raw!A43="","",Raw!A43)&amp;"|"&amp;LEN(IF(Raw!B43="","",Raw!B43))&amp;":"&amp;IF(Raw!B43="","",Raw!B43)&amp;"|"&amp;LEN(IF(Raw!C43="","",Raw!C43))&amp;":"&amp;IF(Raw!C43="","",Raw!C43)&amp;"|"&amp;LEN(IF(Raw!D43="","",Raw!D43))&amp;":"&amp;IF(Raw!D43="","",Raw!D43)&amp;"|"&amp;LEN(IF(Raw!E43="","",Raw!E43))&amp;":"&amp;IF(Raw!E43="","",Raw!E43)&amp;"|"&amp;LEN(IF(Raw!F43="","",Raw!F43))&amp;":"&amp;IF(Raw!F43="","",Raw!F43)&amp;"|"&amp;LEN(IF(Raw!G43="","",Raw!G43))&amp;":"&amp;IF(Raw!G43="","",Raw!G43)</f>
        <v>6:L00037|6:T00019|10:2026-02-06|3:P-A|11:Accessories|4:sale|5:54.93</v>
      </c>
      <c r="Q43" s="1">
        <f>1</f>
        <v>1</v>
      </c>
      <c r="R43" s="1" t="b">
        <f>FALSE</f>
        <v>0</v>
      </c>
      <c r="S43" s="1">
        <f>1</f>
        <v>1</v>
      </c>
      <c r="T43" s="1" t="str">
        <f>IF(AND(Raw!A43="",Raw!B43="",Raw!C43="",Raw!D43="",Raw!E43="",Raw!F43="",Raw!G43=""),"UNUSED",IF(A43="","missing line ID",IF(B43="","missing transaction ID",IF(G43="",IF(C43="","missing date","invalid date"),IF(I43="","unknown product",IF(J43="","conflicting category",IF(NOT(OR(EXACT(K43,"sale"),EXACT(K43,"refund"))),"unknown event",IF(OR(N43="",NOT(O43)),"invalid amount",IF(OR(AND(K43="sale",N43&lt;=0),AND(K43="refund",N43&gt;=0)),"invalid sign","")))))))))</f>
        <v/>
      </c>
      <c r="U43" s="1" t="str">
        <f t="shared" si="5"/>
        <v>INCLUDED</v>
      </c>
      <c r="V43" s="1" t="str">
        <f t="shared" si="6"/>
        <v>2026-02</v>
      </c>
      <c r="W43" s="1">
        <f>IF(AND(U43="INCLUDED",X43&gt;0,EXACT(A43,'AI output'!A43)),1,0)</f>
        <v>1</v>
      </c>
      <c r="X43" s="1">
        <f>43</f>
        <v>43</v>
      </c>
      <c r="Y43" s="1">
        <f>IF(AND(U43="INCLUDED",W43=1),--(NOT(EXACT(A43,'AI output'!A43)))+--(NOT(EXACT(B43,'AI output'!B43)))+--(NOT(EXACT(TEXT(G43,"yyyy-mm-dd"),'AI output'!C43)))+--(NOT(EXACT(H43,'AI output'!D43)))+--(NOT(EXACT(J43,'AI output'!E43)))+--(NOT(EXACT(K43,'AI output'!F43)))+--(N43&lt;&gt;'AI output'!L43)+--(NOT('AI output'!M43)),0)</f>
        <v>0</v>
      </c>
      <c r="Z43" s="1">
        <f t="shared" si="7"/>
        <v>0</v>
      </c>
      <c r="AA43" s="1">
        <f>--EXACT(A43,"L00037")</f>
        <v>1</v>
      </c>
    </row>
    <row r="44" spans="1:27" ht="18.95" customHeight="1">
      <c r="A44" s="1" t="str">
        <f>IF(Raw!A44="","",Raw!A44)</f>
        <v>L00038</v>
      </c>
      <c r="B44" s="1" t="str">
        <f>IF(Raw!B44="","",Raw!B44)</f>
        <v>T00019</v>
      </c>
      <c r="C44" s="1" t="str">
        <f>IF(Raw!C44="","",Raw!C44)</f>
        <v>2026-02-06</v>
      </c>
      <c r="D44" s="1">
        <f t="shared" si="0"/>
        <v>2026</v>
      </c>
      <c r="E44" s="1">
        <f>IFERROR(IF(AND(LEN(C44)=10,MID(C44,5,1)="-",MID(C44,8,1)="-"),VALUE(MID(C44,6,2)),IF(AND(LEN(C44)=11,MID(C44,3,1)="-",MID(C44,7,1)="-"),MATCH(UPPER(MID(C44,4,3)),Guide!$D$7:$D$18,0),0)),0)</f>
        <v>2</v>
      </c>
      <c r="F44" s="1">
        <f t="shared" si="1"/>
        <v>6</v>
      </c>
      <c r="G44" s="9">
        <f t="shared" si="2"/>
        <v>46059</v>
      </c>
      <c r="H44" s="1" t="str">
        <f>IF(Raw!D44="","",Raw!D44)</f>
        <v>P-H</v>
      </c>
      <c r="I44" s="1" t="str">
        <f>IFERROR(IF(EXACT(H44,INDEX(Guide!$A$7:$A$9,MATCH(SUBSTITUTE(SUBSTITUTE(SUBSTITUTE(H44,"~","~~"),"*","~*"),"?","~?"),Guide!$A$7:$A$9,0))),INDEX(Guide!$B$7:$B$9,MATCH(SUBSTITUTE(SUBSTITUTE(SUBSTITUTE(H44,"~","~~"),"*","~*"),"?","~?"),Guide!$A$7:$A$9,0)),""),"")</f>
        <v>Home</v>
      </c>
      <c r="J44" s="1" t="str">
        <f>IF(TRIM(Raw!E44)="",I44,IF(UPPER(TRIM(Raw!E44))=UPPER(I44),I44,""))</f>
        <v>Home</v>
      </c>
      <c r="K44" s="1" t="str">
        <f>IF(Raw!F44="","",Raw!F44)</f>
        <v>sale</v>
      </c>
      <c r="L44" s="1" t="str">
        <f>IF(LEFT(TRIM(Raw!G44),2)="-$","-"&amp;MID(TRIM(Raw!G44),3,99),IF(LEFT(TRIM(Raw!G44),1)="$",MID(TRIM(Raw!G44),2,99),TRIM(Raw!G44)))</f>
        <v>93.40</v>
      </c>
      <c r="M44" s="1">
        <f t="shared" si="3"/>
        <v>93.4</v>
      </c>
      <c r="N44" s="10">
        <f t="shared" si="4"/>
        <v>9340</v>
      </c>
      <c r="O44" s="1" t="b">
        <f>IFERROR(IF(ISNUMBER(Raw!G44),TRUE,OR(EXACT(L44,TEXT(M44,"0.00")),EXACT(L44,TEXT(M44,"#,##0.00")))),FALSE)</f>
        <v>1</v>
      </c>
      <c r="P44" s="1" t="str">
        <f>LEN(IF(Raw!A44="","",Raw!A44))&amp;":"&amp;IF(Raw!A44="","",Raw!A44)&amp;"|"&amp;LEN(IF(Raw!B44="","",Raw!B44))&amp;":"&amp;IF(Raw!B44="","",Raw!B44)&amp;"|"&amp;LEN(IF(Raw!C44="","",Raw!C44))&amp;":"&amp;IF(Raw!C44="","",Raw!C44)&amp;"|"&amp;LEN(IF(Raw!D44="","",Raw!D44))&amp;":"&amp;IF(Raw!D44="","",Raw!D44)&amp;"|"&amp;LEN(IF(Raw!E44="","",Raw!E44))&amp;":"&amp;IF(Raw!E44="","",Raw!E44)&amp;"|"&amp;LEN(IF(Raw!F44="","",Raw!F44))&amp;":"&amp;IF(Raw!F44="","",Raw!F44)&amp;"|"&amp;LEN(IF(Raw!G44="","",Raw!G44))&amp;":"&amp;IF(Raw!G44="","",Raw!G44)</f>
        <v>6:L00038|6:T00019|10:2026-02-06|3:P-H|4:Home|4:sale|5:93.40</v>
      </c>
      <c r="Q44" s="1">
        <f>1</f>
        <v>1</v>
      </c>
      <c r="R44" s="1" t="b">
        <f>FALSE</f>
        <v>0</v>
      </c>
      <c r="S44" s="1">
        <f>1</f>
        <v>1</v>
      </c>
      <c r="T44" s="1" t="str">
        <f>IF(AND(Raw!A44="",Raw!B44="",Raw!C44="",Raw!D44="",Raw!E44="",Raw!F44="",Raw!G44=""),"UNUSED",IF(A44="","missing line ID",IF(B44="","missing transaction ID",IF(G44="",IF(C44="","missing date","invalid date"),IF(I44="","unknown product",IF(J44="","conflicting category",IF(NOT(OR(EXACT(K44,"sale"),EXACT(K44,"refund"))),"unknown event",IF(OR(N44="",NOT(O44)),"invalid amount",IF(OR(AND(K44="sale",N44&lt;=0),AND(K44="refund",N44&gt;=0)),"invalid sign","")))))))))</f>
        <v/>
      </c>
      <c r="U44" s="1" t="str">
        <f t="shared" si="5"/>
        <v>INCLUDED</v>
      </c>
      <c r="V44" s="1" t="str">
        <f t="shared" si="6"/>
        <v>2026-02</v>
      </c>
      <c r="W44" s="1">
        <f>IF(AND(U44="INCLUDED",X44&gt;0,EXACT(A44,'AI output'!A44)),1,0)</f>
        <v>1</v>
      </c>
      <c r="X44" s="1">
        <f>44</f>
        <v>44</v>
      </c>
      <c r="Y44" s="1">
        <f>IF(AND(U44="INCLUDED",W44=1),--(NOT(EXACT(A44,'AI output'!A44)))+--(NOT(EXACT(B44,'AI output'!B44)))+--(NOT(EXACT(TEXT(G44,"yyyy-mm-dd"),'AI output'!C44)))+--(NOT(EXACT(H44,'AI output'!D44)))+--(NOT(EXACT(J44,'AI output'!E44)))+--(NOT(EXACT(K44,'AI output'!F44)))+--(N44&lt;&gt;'AI output'!L44)+--(NOT('AI output'!M44)),0)</f>
        <v>0</v>
      </c>
      <c r="Z44" s="1">
        <f t="shared" si="7"/>
        <v>0</v>
      </c>
      <c r="AA44" s="1">
        <f>--EXACT(A44,"L00038")</f>
        <v>1</v>
      </c>
    </row>
    <row r="45" spans="1:27" ht="18.95" customHeight="1">
      <c r="A45" s="1" t="str">
        <f>IF(Raw!A45="","",Raw!A45)</f>
        <v>L00039</v>
      </c>
      <c r="B45" s="1" t="str">
        <f>IF(Raw!B45="","",Raw!B45)</f>
        <v>T00020</v>
      </c>
      <c r="C45" s="1" t="str">
        <f>IF(Raw!C45="","",Raw!C45)</f>
        <v>2026-02-13</v>
      </c>
      <c r="D45" s="1">
        <f t="shared" si="0"/>
        <v>2026</v>
      </c>
      <c r="E45" s="1">
        <f>IFERROR(IF(AND(LEN(C45)=10,MID(C45,5,1)="-",MID(C45,8,1)="-"),VALUE(MID(C45,6,2)),IF(AND(LEN(C45)=11,MID(C45,3,1)="-",MID(C45,7,1)="-"),MATCH(UPPER(MID(C45,4,3)),Guide!$D$7:$D$18,0),0)),0)</f>
        <v>2</v>
      </c>
      <c r="F45" s="1">
        <f t="shared" si="1"/>
        <v>13</v>
      </c>
      <c r="G45" s="9">
        <f t="shared" si="2"/>
        <v>46066</v>
      </c>
      <c r="H45" s="1" t="str">
        <f>IF(Raw!D45="","",Raw!D45)</f>
        <v>P-O</v>
      </c>
      <c r="I45" s="1" t="str">
        <f>IFERROR(IF(EXACT(H45,INDEX(Guide!$A$7:$A$9,MATCH(SUBSTITUTE(SUBSTITUTE(SUBSTITUTE(H45,"~","~~"),"*","~*"),"?","~?"),Guide!$A$7:$A$9,0))),INDEX(Guide!$B$7:$B$9,MATCH(SUBSTITUTE(SUBSTITUTE(SUBSTITUTE(H45,"~","~~"),"*","~*"),"?","~?"),Guide!$A$7:$A$9,0)),""),"")</f>
        <v>Office</v>
      </c>
      <c r="J45" s="1" t="str">
        <f>IF(TRIM(Raw!E45)="",I45,IF(UPPER(TRIM(Raw!E45))=UPPER(I45),I45,""))</f>
        <v>Office</v>
      </c>
      <c r="K45" s="1" t="str">
        <f>IF(Raw!F45="","",Raw!F45)</f>
        <v>sale</v>
      </c>
      <c r="L45" s="1" t="str">
        <f>IF(LEFT(TRIM(Raw!G45),2)="-$","-"&amp;MID(TRIM(Raw!G45),3,99),IF(LEFT(TRIM(Raw!G45),1)="$",MID(TRIM(Raw!G45),2,99),TRIM(Raw!G45)))</f>
        <v>38.10</v>
      </c>
      <c r="M45" s="1">
        <f t="shared" si="3"/>
        <v>38.1</v>
      </c>
      <c r="N45" s="10">
        <f t="shared" si="4"/>
        <v>3810</v>
      </c>
      <c r="O45" s="1" t="b">
        <f>IFERROR(IF(ISNUMBER(Raw!G45),TRUE,OR(EXACT(L45,TEXT(M45,"0.00")),EXACT(L45,TEXT(M45,"#,##0.00")))),FALSE)</f>
        <v>1</v>
      </c>
      <c r="P45" s="1" t="str">
        <f>LEN(IF(Raw!A45="","",Raw!A45))&amp;":"&amp;IF(Raw!A45="","",Raw!A45)&amp;"|"&amp;LEN(IF(Raw!B45="","",Raw!B45))&amp;":"&amp;IF(Raw!B45="","",Raw!B45)&amp;"|"&amp;LEN(IF(Raw!C45="","",Raw!C45))&amp;":"&amp;IF(Raw!C45="","",Raw!C45)&amp;"|"&amp;LEN(IF(Raw!D45="","",Raw!D45))&amp;":"&amp;IF(Raw!D45="","",Raw!D45)&amp;"|"&amp;LEN(IF(Raw!E45="","",Raw!E45))&amp;":"&amp;IF(Raw!E45="","",Raw!E45)&amp;"|"&amp;LEN(IF(Raw!F45="","",Raw!F45))&amp;":"&amp;IF(Raw!F45="","",Raw!F45)&amp;"|"&amp;LEN(IF(Raw!G45="","",Raw!G45))&amp;":"&amp;IF(Raw!G45="","",Raw!G45)</f>
        <v>6:L00039|6:T00020|10:2026-02-13|3:P-O|6:Office|4:sale|5:38.10</v>
      </c>
      <c r="Q45" s="1">
        <f>1</f>
        <v>1</v>
      </c>
      <c r="R45" s="1" t="b">
        <f>FALSE</f>
        <v>0</v>
      </c>
      <c r="S45" s="1">
        <f>1</f>
        <v>1</v>
      </c>
      <c r="T45" s="1" t="str">
        <f>IF(AND(Raw!A45="",Raw!B45="",Raw!C45="",Raw!D45="",Raw!E45="",Raw!F45="",Raw!G45=""),"UNUSED",IF(A45="","missing line ID",IF(B45="","missing transaction ID",IF(G45="",IF(C45="","missing date","invalid date"),IF(I45="","unknown product",IF(J45="","conflicting category",IF(NOT(OR(EXACT(K45,"sale"),EXACT(K45,"refund"))),"unknown event",IF(OR(N45="",NOT(O45)),"invalid amount",IF(OR(AND(K45="sale",N45&lt;=0),AND(K45="refund",N45&gt;=0)),"invalid sign","")))))))))</f>
        <v/>
      </c>
      <c r="U45" s="1" t="str">
        <f t="shared" si="5"/>
        <v>INCLUDED</v>
      </c>
      <c r="V45" s="1" t="str">
        <f t="shared" si="6"/>
        <v>2026-02</v>
      </c>
      <c r="W45" s="1">
        <f>IF(AND(U45="INCLUDED",X45&gt;0,EXACT(A45,'AI output'!A45)),1,0)</f>
        <v>1</v>
      </c>
      <c r="X45" s="1">
        <f>45</f>
        <v>45</v>
      </c>
      <c r="Y45" s="1">
        <f>IF(AND(U45="INCLUDED",W45=1),--(NOT(EXACT(A45,'AI output'!A45)))+--(NOT(EXACT(B45,'AI output'!B45)))+--(NOT(EXACT(TEXT(G45,"yyyy-mm-dd"),'AI output'!C45)))+--(NOT(EXACT(H45,'AI output'!D45)))+--(NOT(EXACT(J45,'AI output'!E45)))+--(NOT(EXACT(K45,'AI output'!F45)))+--(N45&lt;&gt;'AI output'!L45)+--(NOT('AI output'!M45)),0)</f>
        <v>0</v>
      </c>
      <c r="Z45" s="1">
        <f t="shared" si="7"/>
        <v>0</v>
      </c>
      <c r="AA45" s="1">
        <f>--EXACT(A45,"L00039")</f>
        <v>1</v>
      </c>
    </row>
    <row r="46" spans="1:27" ht="18.95" customHeight="1">
      <c r="A46" s="1" t="str">
        <f>IF(Raw!A46="","",Raw!A46)</f>
        <v>L00040</v>
      </c>
      <c r="B46" s="1" t="str">
        <f>IF(Raw!B46="","",Raw!B46)</f>
        <v>T00020</v>
      </c>
      <c r="C46" s="1" t="str">
        <f>IF(Raw!C46="","",Raw!C46)</f>
        <v>2026-02-13</v>
      </c>
      <c r="D46" s="1">
        <f t="shared" si="0"/>
        <v>2026</v>
      </c>
      <c r="E46" s="1">
        <f>IFERROR(IF(AND(LEN(C46)=10,MID(C46,5,1)="-",MID(C46,8,1)="-"),VALUE(MID(C46,6,2)),IF(AND(LEN(C46)=11,MID(C46,3,1)="-",MID(C46,7,1)="-"),MATCH(UPPER(MID(C46,4,3)),Guide!$D$7:$D$18,0),0)),0)</f>
        <v>2</v>
      </c>
      <c r="F46" s="1">
        <f t="shared" si="1"/>
        <v>13</v>
      </c>
      <c r="G46" s="9">
        <f t="shared" si="2"/>
        <v>46066</v>
      </c>
      <c r="H46" s="1" t="str">
        <f>IF(Raw!D46="","",Raw!D46)</f>
        <v>P-A</v>
      </c>
      <c r="I46" s="1" t="str">
        <f>IFERROR(IF(EXACT(H46,INDEX(Guide!$A$7:$A$9,MATCH(SUBSTITUTE(SUBSTITUTE(SUBSTITUTE(H46,"~","~~"),"*","~*"),"?","~?"),Guide!$A$7:$A$9,0))),INDEX(Guide!$B$7:$B$9,MATCH(SUBSTITUTE(SUBSTITUTE(SUBSTITUTE(H46,"~","~~"),"*","~*"),"?","~?"),Guide!$A$7:$A$9,0)),""),"")</f>
        <v>Accessories</v>
      </c>
      <c r="J46" s="1" t="str">
        <f>IF(TRIM(Raw!E46)="",I46,IF(UPPER(TRIM(Raw!E46))=UPPER(I46),I46,""))</f>
        <v>Accessories</v>
      </c>
      <c r="K46" s="1" t="str">
        <f>IF(Raw!F46="","",Raw!F46)</f>
        <v>sale</v>
      </c>
      <c r="L46" s="1" t="str">
        <f>IF(LEFT(TRIM(Raw!G46),2)="-$","-"&amp;MID(TRIM(Raw!G46),3,99),IF(LEFT(TRIM(Raw!G46),1)="$",MID(TRIM(Raw!G46),2,99),TRIM(Raw!G46)))</f>
        <v>77.68</v>
      </c>
      <c r="M46" s="1">
        <f t="shared" si="3"/>
        <v>77.680000000000007</v>
      </c>
      <c r="N46" s="10">
        <f t="shared" si="4"/>
        <v>7768</v>
      </c>
      <c r="O46" s="1" t="b">
        <f>IFERROR(IF(ISNUMBER(Raw!G46),TRUE,OR(EXACT(L46,TEXT(M46,"0.00")),EXACT(L46,TEXT(M46,"#,##0.00")))),FALSE)</f>
        <v>1</v>
      </c>
      <c r="P46" s="1" t="str">
        <f>LEN(IF(Raw!A46="","",Raw!A46))&amp;":"&amp;IF(Raw!A46="","",Raw!A46)&amp;"|"&amp;LEN(IF(Raw!B46="","",Raw!B46))&amp;":"&amp;IF(Raw!B46="","",Raw!B46)&amp;"|"&amp;LEN(IF(Raw!C46="","",Raw!C46))&amp;":"&amp;IF(Raw!C46="","",Raw!C46)&amp;"|"&amp;LEN(IF(Raw!D46="","",Raw!D46))&amp;":"&amp;IF(Raw!D46="","",Raw!D46)&amp;"|"&amp;LEN(IF(Raw!E46="","",Raw!E46))&amp;":"&amp;IF(Raw!E46="","",Raw!E46)&amp;"|"&amp;LEN(IF(Raw!F46="","",Raw!F46))&amp;":"&amp;IF(Raw!F46="","",Raw!F46)&amp;"|"&amp;LEN(IF(Raw!G46="","",Raw!G46))&amp;":"&amp;IF(Raw!G46="","",Raw!G46)</f>
        <v>6:L00040|6:T00020|10:2026-02-13|3:P-A|11:Accessories|4:sale|5:77.68</v>
      </c>
      <c r="Q46" s="1">
        <f>1</f>
        <v>1</v>
      </c>
      <c r="R46" s="1" t="b">
        <f>FALSE</f>
        <v>0</v>
      </c>
      <c r="S46" s="1">
        <f>1</f>
        <v>1</v>
      </c>
      <c r="T46" s="1" t="str">
        <f>IF(AND(Raw!A46="",Raw!B46="",Raw!C46="",Raw!D46="",Raw!E46="",Raw!F46="",Raw!G46=""),"UNUSED",IF(A46="","missing line ID",IF(B46="","missing transaction ID",IF(G46="",IF(C46="","missing date","invalid date"),IF(I46="","unknown product",IF(J46="","conflicting category",IF(NOT(OR(EXACT(K46,"sale"),EXACT(K46,"refund"))),"unknown event",IF(OR(N46="",NOT(O46)),"invalid amount",IF(OR(AND(K46="sale",N46&lt;=0),AND(K46="refund",N46&gt;=0)),"invalid sign","")))))))))</f>
        <v/>
      </c>
      <c r="U46" s="1" t="str">
        <f t="shared" si="5"/>
        <v>INCLUDED</v>
      </c>
      <c r="V46" s="1" t="str">
        <f t="shared" si="6"/>
        <v>2026-02</v>
      </c>
      <c r="W46" s="1">
        <f>IF(AND(U46="INCLUDED",X46&gt;0,EXACT(A46,'AI output'!A46)),1,0)</f>
        <v>1</v>
      </c>
      <c r="X46" s="1">
        <f>46</f>
        <v>46</v>
      </c>
      <c r="Y46" s="1">
        <f>IF(AND(U46="INCLUDED",W46=1),--(NOT(EXACT(A46,'AI output'!A46)))+--(NOT(EXACT(B46,'AI output'!B46)))+--(NOT(EXACT(TEXT(G46,"yyyy-mm-dd"),'AI output'!C46)))+--(NOT(EXACT(H46,'AI output'!D46)))+--(NOT(EXACT(J46,'AI output'!E46)))+--(NOT(EXACT(K46,'AI output'!F46)))+--(N46&lt;&gt;'AI output'!L46)+--(NOT('AI output'!M46)),0)</f>
        <v>0</v>
      </c>
      <c r="Z46" s="1">
        <f t="shared" si="7"/>
        <v>0</v>
      </c>
      <c r="AA46" s="1">
        <f>--EXACT(A46,"L00040")</f>
        <v>1</v>
      </c>
    </row>
    <row r="47" spans="1:27" ht="18.95" customHeight="1">
      <c r="A47" s="1" t="str">
        <f>IF(Raw!A47="","",Raw!A47)</f>
        <v>L00041</v>
      </c>
      <c r="B47" s="1" t="str">
        <f>IF(Raw!B47="","",Raw!B47)</f>
        <v>T00021</v>
      </c>
      <c r="C47" s="1" t="str">
        <f>IF(Raw!C47="","",Raw!C47)</f>
        <v>2026-02-20</v>
      </c>
      <c r="D47" s="1">
        <f t="shared" si="0"/>
        <v>2026</v>
      </c>
      <c r="E47" s="1">
        <f>IFERROR(IF(AND(LEN(C47)=10,MID(C47,5,1)="-",MID(C47,8,1)="-"),VALUE(MID(C47,6,2)),IF(AND(LEN(C47)=11,MID(C47,3,1)="-",MID(C47,7,1)="-"),MATCH(UPPER(MID(C47,4,3)),Guide!$D$7:$D$18,0),0)),0)</f>
        <v>2</v>
      </c>
      <c r="F47" s="1">
        <f t="shared" si="1"/>
        <v>20</v>
      </c>
      <c r="G47" s="9">
        <f t="shared" si="2"/>
        <v>46073</v>
      </c>
      <c r="H47" s="1" t="str">
        <f>IF(Raw!D47="","",Raw!D47)</f>
        <v>P-H</v>
      </c>
      <c r="I47" s="1" t="str">
        <f>IFERROR(IF(EXACT(H47,INDEX(Guide!$A$7:$A$9,MATCH(SUBSTITUTE(SUBSTITUTE(SUBSTITUTE(H47,"~","~~"),"*","~*"),"?","~?"),Guide!$A$7:$A$9,0))),INDEX(Guide!$B$7:$B$9,MATCH(SUBSTITUTE(SUBSTITUTE(SUBSTITUTE(H47,"~","~~"),"*","~*"),"?","~?"),Guide!$A$7:$A$9,0)),""),"")</f>
        <v>Home</v>
      </c>
      <c r="J47" s="1" t="str">
        <f>IF(TRIM(Raw!E47)="",I47,IF(UPPER(TRIM(Raw!E47))=UPPER(I47),I47,""))</f>
        <v>Home</v>
      </c>
      <c r="K47" s="1" t="str">
        <f>IF(Raw!F47="","",Raw!F47)</f>
        <v>sale</v>
      </c>
      <c r="L47" s="1" t="str">
        <f>IF(LEFT(TRIM(Raw!G47),2)="-$","-"&amp;MID(TRIM(Raw!G47),3,99),IF(LEFT(TRIM(Raw!G47),1)="$",MID(TRIM(Raw!G47),2,99),TRIM(Raw!G47)))</f>
        <v>19.79</v>
      </c>
      <c r="M47" s="1">
        <f t="shared" si="3"/>
        <v>19.79</v>
      </c>
      <c r="N47" s="10">
        <f t="shared" si="4"/>
        <v>1979</v>
      </c>
      <c r="O47" s="1" t="b">
        <f>IFERROR(IF(ISNUMBER(Raw!G47),TRUE,OR(EXACT(L47,TEXT(M47,"0.00")),EXACT(L47,TEXT(M47,"#,##0.00")))),FALSE)</f>
        <v>1</v>
      </c>
      <c r="P47" s="1" t="str">
        <f>LEN(IF(Raw!A47="","",Raw!A47))&amp;":"&amp;IF(Raw!A47="","",Raw!A47)&amp;"|"&amp;LEN(IF(Raw!B47="","",Raw!B47))&amp;":"&amp;IF(Raw!B47="","",Raw!B47)&amp;"|"&amp;LEN(IF(Raw!C47="","",Raw!C47))&amp;":"&amp;IF(Raw!C47="","",Raw!C47)&amp;"|"&amp;LEN(IF(Raw!D47="","",Raw!D47))&amp;":"&amp;IF(Raw!D47="","",Raw!D47)&amp;"|"&amp;LEN(IF(Raw!E47="","",Raw!E47))&amp;":"&amp;IF(Raw!E47="","",Raw!E47)&amp;"|"&amp;LEN(IF(Raw!F47="","",Raw!F47))&amp;":"&amp;IF(Raw!F47="","",Raw!F47)&amp;"|"&amp;LEN(IF(Raw!G47="","",Raw!G47))&amp;":"&amp;IF(Raw!G47="","",Raw!G47)</f>
        <v>6:L00041|6:T00021|10:2026-02-20|3:P-H|4:Home|4:sale|5:19.79</v>
      </c>
      <c r="Q47" s="1">
        <f>1</f>
        <v>1</v>
      </c>
      <c r="R47" s="1" t="b">
        <f>FALSE</f>
        <v>0</v>
      </c>
      <c r="S47" s="1">
        <f>1</f>
        <v>1</v>
      </c>
      <c r="T47" s="1" t="str">
        <f>IF(AND(Raw!A47="",Raw!B47="",Raw!C47="",Raw!D47="",Raw!E47="",Raw!F47="",Raw!G47=""),"UNUSED",IF(A47="","missing line ID",IF(B47="","missing transaction ID",IF(G47="",IF(C47="","missing date","invalid date"),IF(I47="","unknown product",IF(J47="","conflicting category",IF(NOT(OR(EXACT(K47,"sale"),EXACT(K47,"refund"))),"unknown event",IF(OR(N47="",NOT(O47)),"invalid amount",IF(OR(AND(K47="sale",N47&lt;=0),AND(K47="refund",N47&gt;=0)),"invalid sign","")))))))))</f>
        <v/>
      </c>
      <c r="U47" s="1" t="str">
        <f t="shared" si="5"/>
        <v>INCLUDED</v>
      </c>
      <c r="V47" s="1" t="str">
        <f t="shared" si="6"/>
        <v>2026-02</v>
      </c>
      <c r="W47" s="1">
        <f>IF(AND(U47="INCLUDED",X47&gt;0,EXACT(A47,'AI output'!A47)),1,0)</f>
        <v>1</v>
      </c>
      <c r="X47" s="1">
        <f>47</f>
        <v>47</v>
      </c>
      <c r="Y47" s="1">
        <f>IF(AND(U47="INCLUDED",W47=1),--(NOT(EXACT(A47,'AI output'!A47)))+--(NOT(EXACT(B47,'AI output'!B47)))+--(NOT(EXACT(TEXT(G47,"yyyy-mm-dd"),'AI output'!C47)))+--(NOT(EXACT(H47,'AI output'!D47)))+--(NOT(EXACT(J47,'AI output'!E47)))+--(NOT(EXACT(K47,'AI output'!F47)))+--(N47&lt;&gt;'AI output'!L47)+--(NOT('AI output'!M47)),0)</f>
        <v>0</v>
      </c>
      <c r="Z47" s="1">
        <f t="shared" si="7"/>
        <v>0</v>
      </c>
      <c r="AA47" s="1">
        <f>--EXACT(A47,"L00041")</f>
        <v>1</v>
      </c>
    </row>
    <row r="48" spans="1:27" ht="18.95" customHeight="1">
      <c r="A48" s="1" t="str">
        <f>IF(Raw!A48="","",Raw!A48)</f>
        <v>L00042</v>
      </c>
      <c r="B48" s="1" t="str">
        <f>IF(Raw!B48="","",Raw!B48)</f>
        <v>T00021</v>
      </c>
      <c r="C48" s="1" t="str">
        <f>IF(Raw!C48="","",Raw!C48)</f>
        <v>2026-02-20</v>
      </c>
      <c r="D48" s="1">
        <f t="shared" si="0"/>
        <v>2026</v>
      </c>
      <c r="E48" s="1">
        <f>IFERROR(IF(AND(LEN(C48)=10,MID(C48,5,1)="-",MID(C48,8,1)="-"),VALUE(MID(C48,6,2)),IF(AND(LEN(C48)=11,MID(C48,3,1)="-",MID(C48,7,1)="-"),MATCH(UPPER(MID(C48,4,3)),Guide!$D$7:$D$18,0),0)),0)</f>
        <v>2</v>
      </c>
      <c r="F48" s="1">
        <f t="shared" si="1"/>
        <v>20</v>
      </c>
      <c r="G48" s="9">
        <f t="shared" si="2"/>
        <v>46073</v>
      </c>
      <c r="H48" s="1" t="str">
        <f>IF(Raw!D48="","",Raw!D48)</f>
        <v>P-O</v>
      </c>
      <c r="I48" s="1" t="str">
        <f>IFERROR(IF(EXACT(H48,INDEX(Guide!$A$7:$A$9,MATCH(SUBSTITUTE(SUBSTITUTE(SUBSTITUTE(H48,"~","~~"),"*","~*"),"?","~?"),Guide!$A$7:$A$9,0))),INDEX(Guide!$B$7:$B$9,MATCH(SUBSTITUTE(SUBSTITUTE(SUBSTITUTE(H48,"~","~~"),"*","~*"),"?","~?"),Guide!$A$7:$A$9,0)),""),"")</f>
        <v>Office</v>
      </c>
      <c r="J48" s="1" t="str">
        <f>IF(TRIM(Raw!E48)="",I48,IF(UPPER(TRIM(Raw!E48))=UPPER(I48),I48,""))</f>
        <v>Office</v>
      </c>
      <c r="K48" s="1" t="str">
        <f>IF(Raw!F48="","",Raw!F48)</f>
        <v>sale</v>
      </c>
      <c r="L48" s="1" t="str">
        <f>IF(LEFT(TRIM(Raw!G48),2)="-$","-"&amp;MID(TRIM(Raw!G48),3,99),IF(LEFT(TRIM(Raw!G48),1)="$",MID(TRIM(Raw!G48),2,99),TRIM(Raw!G48)))</f>
        <v>60.48</v>
      </c>
      <c r="M48" s="1">
        <f t="shared" si="3"/>
        <v>60.48</v>
      </c>
      <c r="N48" s="10">
        <f t="shared" si="4"/>
        <v>6048</v>
      </c>
      <c r="O48" s="1" t="b">
        <f>IFERROR(IF(ISNUMBER(Raw!G48),TRUE,OR(EXACT(L48,TEXT(M48,"0.00")),EXACT(L48,TEXT(M48,"#,##0.00")))),FALSE)</f>
        <v>1</v>
      </c>
      <c r="P48" s="1" t="str">
        <f>LEN(IF(Raw!A48="","",Raw!A48))&amp;":"&amp;IF(Raw!A48="","",Raw!A48)&amp;"|"&amp;LEN(IF(Raw!B48="","",Raw!B48))&amp;":"&amp;IF(Raw!B48="","",Raw!B48)&amp;"|"&amp;LEN(IF(Raw!C48="","",Raw!C48))&amp;":"&amp;IF(Raw!C48="","",Raw!C48)&amp;"|"&amp;LEN(IF(Raw!D48="","",Raw!D48))&amp;":"&amp;IF(Raw!D48="","",Raw!D48)&amp;"|"&amp;LEN(IF(Raw!E48="","",Raw!E48))&amp;":"&amp;IF(Raw!E48="","",Raw!E48)&amp;"|"&amp;LEN(IF(Raw!F48="","",Raw!F48))&amp;":"&amp;IF(Raw!F48="","",Raw!F48)&amp;"|"&amp;LEN(IF(Raw!G48="","",Raw!G48))&amp;":"&amp;IF(Raw!G48="","",Raw!G48)</f>
        <v>6:L00042|6:T00021|10:2026-02-20|3:P-O|6:Office|4:sale|5:60.48</v>
      </c>
      <c r="Q48" s="1">
        <f>1</f>
        <v>1</v>
      </c>
      <c r="R48" s="1" t="b">
        <f>FALSE</f>
        <v>0</v>
      </c>
      <c r="S48" s="1">
        <f>1</f>
        <v>1</v>
      </c>
      <c r="T48" s="1" t="str">
        <f>IF(AND(Raw!A48="",Raw!B48="",Raw!C48="",Raw!D48="",Raw!E48="",Raw!F48="",Raw!G48=""),"UNUSED",IF(A48="","missing line ID",IF(B48="","missing transaction ID",IF(G48="",IF(C48="","missing date","invalid date"),IF(I48="","unknown product",IF(J48="","conflicting category",IF(NOT(OR(EXACT(K48,"sale"),EXACT(K48,"refund"))),"unknown event",IF(OR(N48="",NOT(O48)),"invalid amount",IF(OR(AND(K48="sale",N48&lt;=0),AND(K48="refund",N48&gt;=0)),"invalid sign","")))))))))</f>
        <v/>
      </c>
      <c r="U48" s="1" t="str">
        <f t="shared" si="5"/>
        <v>INCLUDED</v>
      </c>
      <c r="V48" s="1" t="str">
        <f t="shared" si="6"/>
        <v>2026-02</v>
      </c>
      <c r="W48" s="1">
        <f>IF(AND(U48="INCLUDED",X48&gt;0,EXACT(A48,'AI output'!A48)),1,0)</f>
        <v>1</v>
      </c>
      <c r="X48" s="1">
        <f>48</f>
        <v>48</v>
      </c>
      <c r="Y48" s="1">
        <f>IF(AND(U48="INCLUDED",W48=1),--(NOT(EXACT(A48,'AI output'!A48)))+--(NOT(EXACT(B48,'AI output'!B48)))+--(NOT(EXACT(TEXT(G48,"yyyy-mm-dd"),'AI output'!C48)))+--(NOT(EXACT(H48,'AI output'!D48)))+--(NOT(EXACT(J48,'AI output'!E48)))+--(NOT(EXACT(K48,'AI output'!F48)))+--(N48&lt;&gt;'AI output'!L48)+--(NOT('AI output'!M48)),0)</f>
        <v>0</v>
      </c>
      <c r="Z48" s="1">
        <f t="shared" si="7"/>
        <v>0</v>
      </c>
      <c r="AA48" s="1">
        <f>--EXACT(A48,"L00042")</f>
        <v>1</v>
      </c>
    </row>
    <row r="49" spans="1:27" ht="18.95" customHeight="1">
      <c r="A49" s="1" t="str">
        <f>IF(Raw!A49="","",Raw!A49)</f>
        <v>L00043</v>
      </c>
      <c r="B49" s="1" t="str">
        <f>IF(Raw!B49="","",Raw!B49)</f>
        <v>T00022</v>
      </c>
      <c r="C49" s="1" t="str">
        <f>IF(Raw!C49="","",Raw!C49)</f>
        <v>2026-02-27</v>
      </c>
      <c r="D49" s="1">
        <f t="shared" si="0"/>
        <v>2026</v>
      </c>
      <c r="E49" s="1">
        <f>IFERROR(IF(AND(LEN(C49)=10,MID(C49,5,1)="-",MID(C49,8,1)="-"),VALUE(MID(C49,6,2)),IF(AND(LEN(C49)=11,MID(C49,3,1)="-",MID(C49,7,1)="-"),MATCH(UPPER(MID(C49,4,3)),Guide!$D$7:$D$18,0),0)),0)</f>
        <v>2</v>
      </c>
      <c r="F49" s="1">
        <f t="shared" si="1"/>
        <v>27</v>
      </c>
      <c r="G49" s="9">
        <f t="shared" si="2"/>
        <v>46080</v>
      </c>
      <c r="H49" s="1" t="str">
        <f>IF(Raw!D49="","",Raw!D49)</f>
        <v>P-A</v>
      </c>
      <c r="I49" s="1" t="str">
        <f>IFERROR(IF(EXACT(H49,INDEX(Guide!$A$7:$A$9,MATCH(SUBSTITUTE(SUBSTITUTE(SUBSTITUTE(H49,"~","~~"),"*","~*"),"?","~?"),Guide!$A$7:$A$9,0))),INDEX(Guide!$B$7:$B$9,MATCH(SUBSTITUTE(SUBSTITUTE(SUBSTITUTE(H49,"~","~~"),"*","~*"),"?","~?"),Guide!$A$7:$A$9,0)),""),"")</f>
        <v>Accessories</v>
      </c>
      <c r="J49" s="1" t="str">
        <f>IF(TRIM(Raw!E49)="",I49,IF(UPPER(TRIM(Raw!E49))=UPPER(I49),I49,""))</f>
        <v>Accessories</v>
      </c>
      <c r="K49" s="1" t="str">
        <f>IF(Raw!F49="","",Raw!F49)</f>
        <v>sale</v>
      </c>
      <c r="L49" s="1" t="str">
        <f>IF(LEFT(TRIM(Raw!G49),2)="-$","-"&amp;MID(TRIM(Raw!G49),3,99),IF(LEFT(TRIM(Raw!G49),1)="$",MID(TRIM(Raw!G49),2,99),TRIM(Raw!G49)))</f>
        <v>102.65</v>
      </c>
      <c r="M49" s="1">
        <f t="shared" si="3"/>
        <v>102.65</v>
      </c>
      <c r="N49" s="10">
        <f t="shared" si="4"/>
        <v>10265</v>
      </c>
      <c r="O49" s="1" t="b">
        <f>IFERROR(IF(ISNUMBER(Raw!G49),TRUE,OR(EXACT(L49,TEXT(M49,"0.00")),EXACT(L49,TEXT(M49,"#,##0.00")))),FALSE)</f>
        <v>1</v>
      </c>
      <c r="P49" s="1" t="str">
        <f>LEN(IF(Raw!A49="","",Raw!A49))&amp;":"&amp;IF(Raw!A49="","",Raw!A49)&amp;"|"&amp;LEN(IF(Raw!B49="","",Raw!B49))&amp;":"&amp;IF(Raw!B49="","",Raw!B49)&amp;"|"&amp;LEN(IF(Raw!C49="","",Raw!C49))&amp;":"&amp;IF(Raw!C49="","",Raw!C49)&amp;"|"&amp;LEN(IF(Raw!D49="","",Raw!D49))&amp;":"&amp;IF(Raw!D49="","",Raw!D49)&amp;"|"&amp;LEN(IF(Raw!E49="","",Raw!E49))&amp;":"&amp;IF(Raw!E49="","",Raw!E49)&amp;"|"&amp;LEN(IF(Raw!F49="","",Raw!F49))&amp;":"&amp;IF(Raw!F49="","",Raw!F49)&amp;"|"&amp;LEN(IF(Raw!G49="","",Raw!G49))&amp;":"&amp;IF(Raw!G49="","",Raw!G49)</f>
        <v>6:L00043|6:T00022|10:2026-02-27|3:P-A|11:Accessories|4:sale|6:102.65</v>
      </c>
      <c r="Q49" s="1">
        <f>1</f>
        <v>1</v>
      </c>
      <c r="R49" s="1" t="b">
        <f>FALSE</f>
        <v>0</v>
      </c>
      <c r="S49" s="1">
        <f>1</f>
        <v>1</v>
      </c>
      <c r="T49" s="1" t="str">
        <f>IF(AND(Raw!A49="",Raw!B49="",Raw!C49="",Raw!D49="",Raw!E49="",Raw!F49="",Raw!G49=""),"UNUSED",IF(A49="","missing line ID",IF(B49="","missing transaction ID",IF(G49="",IF(C49="","missing date","invalid date"),IF(I49="","unknown product",IF(J49="","conflicting category",IF(NOT(OR(EXACT(K49,"sale"),EXACT(K49,"refund"))),"unknown event",IF(OR(N49="",NOT(O49)),"invalid amount",IF(OR(AND(K49="sale",N49&lt;=0),AND(K49="refund",N49&gt;=0)),"invalid sign","")))))))))</f>
        <v/>
      </c>
      <c r="U49" s="1" t="str">
        <f t="shared" si="5"/>
        <v>INCLUDED</v>
      </c>
      <c r="V49" s="1" t="str">
        <f t="shared" si="6"/>
        <v>2026-02</v>
      </c>
      <c r="W49" s="1">
        <f>IF(AND(U49="INCLUDED",X49&gt;0,EXACT(A49,'AI output'!A49)),1,0)</f>
        <v>1</v>
      </c>
      <c r="X49" s="1">
        <f>49</f>
        <v>49</v>
      </c>
      <c r="Y49" s="1">
        <f>IF(AND(U49="INCLUDED",W49=1),--(NOT(EXACT(A49,'AI output'!A49)))+--(NOT(EXACT(B49,'AI output'!B49)))+--(NOT(EXACT(TEXT(G49,"yyyy-mm-dd"),'AI output'!C49)))+--(NOT(EXACT(H49,'AI output'!D49)))+--(NOT(EXACT(J49,'AI output'!E49)))+--(NOT(EXACT(K49,'AI output'!F49)))+--(N49&lt;&gt;'AI output'!L49)+--(NOT('AI output'!M49)),0)</f>
        <v>0</v>
      </c>
      <c r="Z49" s="1">
        <f t="shared" si="7"/>
        <v>0</v>
      </c>
      <c r="AA49" s="1">
        <f>--EXACT(A49,"L00043")</f>
        <v>1</v>
      </c>
    </row>
    <row r="50" spans="1:27" ht="18.95" customHeight="1">
      <c r="A50" s="1" t="str">
        <f>IF(Raw!A50="","",Raw!A50)</f>
        <v>L00044</v>
      </c>
      <c r="B50" s="1" t="str">
        <f>IF(Raw!B50="","",Raw!B50)</f>
        <v>T00022</v>
      </c>
      <c r="C50" s="1" t="str">
        <f>IF(Raw!C50="","",Raw!C50)</f>
        <v>2026-02-27</v>
      </c>
      <c r="D50" s="1">
        <f t="shared" si="0"/>
        <v>2026</v>
      </c>
      <c r="E50" s="1">
        <f>IFERROR(IF(AND(LEN(C50)=10,MID(C50,5,1)="-",MID(C50,8,1)="-"),VALUE(MID(C50,6,2)),IF(AND(LEN(C50)=11,MID(C50,3,1)="-",MID(C50,7,1)="-"),MATCH(UPPER(MID(C50,4,3)),Guide!$D$7:$D$18,0),0)),0)</f>
        <v>2</v>
      </c>
      <c r="F50" s="1">
        <f t="shared" si="1"/>
        <v>27</v>
      </c>
      <c r="G50" s="9">
        <f t="shared" si="2"/>
        <v>46080</v>
      </c>
      <c r="H50" s="1" t="str">
        <f>IF(Raw!D50="","",Raw!D50)</f>
        <v>P-H</v>
      </c>
      <c r="I50" s="1" t="str">
        <f>IFERROR(IF(EXACT(H50,INDEX(Guide!$A$7:$A$9,MATCH(SUBSTITUTE(SUBSTITUTE(SUBSTITUTE(H50,"~","~~"),"*","~*"),"?","~?"),Guide!$A$7:$A$9,0))),INDEX(Guide!$B$7:$B$9,MATCH(SUBSTITUTE(SUBSTITUTE(SUBSTITUTE(H50,"~","~~"),"*","~*"),"?","~?"),Guide!$A$7:$A$9,0)),""),"")</f>
        <v>Home</v>
      </c>
      <c r="J50" s="1" t="str">
        <f>IF(TRIM(Raw!E50)="",I50,IF(UPPER(TRIM(Raw!E50))=UPPER(I50),I50,""))</f>
        <v>Home</v>
      </c>
      <c r="K50" s="1" t="str">
        <f>IF(Raw!F50="","",Raw!F50)</f>
        <v>sale</v>
      </c>
      <c r="L50" s="1" t="str">
        <f>IF(LEFT(TRIM(Raw!G50),2)="-$","-"&amp;MID(TRIM(Raw!G50),3,99),IF(LEFT(TRIM(Raw!G50),1)="$",MID(TRIM(Raw!G50),2,99),TRIM(Raw!G50)))</f>
        <v>41.80</v>
      </c>
      <c r="M50" s="1">
        <f t="shared" si="3"/>
        <v>41.8</v>
      </c>
      <c r="N50" s="10">
        <f t="shared" si="4"/>
        <v>4180</v>
      </c>
      <c r="O50" s="1" t="b">
        <f>IFERROR(IF(ISNUMBER(Raw!G50),TRUE,OR(EXACT(L50,TEXT(M50,"0.00")),EXACT(L50,TEXT(M50,"#,##0.00")))),FALSE)</f>
        <v>1</v>
      </c>
      <c r="P50" s="1" t="str">
        <f>LEN(IF(Raw!A50="","",Raw!A50))&amp;":"&amp;IF(Raw!A50="","",Raw!A50)&amp;"|"&amp;LEN(IF(Raw!B50="","",Raw!B50))&amp;":"&amp;IF(Raw!B50="","",Raw!B50)&amp;"|"&amp;LEN(IF(Raw!C50="","",Raw!C50))&amp;":"&amp;IF(Raw!C50="","",Raw!C50)&amp;"|"&amp;LEN(IF(Raw!D50="","",Raw!D50))&amp;":"&amp;IF(Raw!D50="","",Raw!D50)&amp;"|"&amp;LEN(IF(Raw!E50="","",Raw!E50))&amp;":"&amp;IF(Raw!E50="","",Raw!E50)&amp;"|"&amp;LEN(IF(Raw!F50="","",Raw!F50))&amp;":"&amp;IF(Raw!F50="","",Raw!F50)&amp;"|"&amp;LEN(IF(Raw!G50="","",Raw!G50))&amp;":"&amp;IF(Raw!G50="","",Raw!G50)</f>
        <v>6:L00044|6:T00022|10:2026-02-27|3:P-H|4:Home|4:sale|5:41.80</v>
      </c>
      <c r="Q50" s="1">
        <f>1</f>
        <v>1</v>
      </c>
      <c r="R50" s="1" t="b">
        <f>FALSE</f>
        <v>0</v>
      </c>
      <c r="S50" s="1">
        <f>1</f>
        <v>1</v>
      </c>
      <c r="T50" s="1" t="str">
        <f>IF(AND(Raw!A50="",Raw!B50="",Raw!C50="",Raw!D50="",Raw!E50="",Raw!F50="",Raw!G50=""),"UNUSED",IF(A50="","missing line ID",IF(B50="","missing transaction ID",IF(G50="",IF(C50="","missing date","invalid date"),IF(I50="","unknown product",IF(J50="","conflicting category",IF(NOT(OR(EXACT(K50,"sale"),EXACT(K50,"refund"))),"unknown event",IF(OR(N50="",NOT(O50)),"invalid amount",IF(OR(AND(K50="sale",N50&lt;=0),AND(K50="refund",N50&gt;=0)),"invalid sign","")))))))))</f>
        <v/>
      </c>
      <c r="U50" s="1" t="str">
        <f t="shared" si="5"/>
        <v>INCLUDED</v>
      </c>
      <c r="V50" s="1" t="str">
        <f t="shared" si="6"/>
        <v>2026-02</v>
      </c>
      <c r="W50" s="1">
        <f>IF(AND(U50="INCLUDED",X50&gt;0,EXACT(A50,'AI output'!A50)),1,0)</f>
        <v>1</v>
      </c>
      <c r="X50" s="1">
        <f>50</f>
        <v>50</v>
      </c>
      <c r="Y50" s="1">
        <f>IF(AND(U50="INCLUDED",W50=1),--(NOT(EXACT(A50,'AI output'!A50)))+--(NOT(EXACT(B50,'AI output'!B50)))+--(NOT(EXACT(TEXT(G50,"yyyy-mm-dd"),'AI output'!C50)))+--(NOT(EXACT(H50,'AI output'!D50)))+--(NOT(EXACT(J50,'AI output'!E50)))+--(NOT(EXACT(K50,'AI output'!F50)))+--(N50&lt;&gt;'AI output'!L50)+--(NOT('AI output'!M50)),0)</f>
        <v>0</v>
      </c>
      <c r="Z50" s="1">
        <f t="shared" si="7"/>
        <v>0</v>
      </c>
      <c r="AA50" s="1">
        <f>--EXACT(A50,"L00044")</f>
        <v>1</v>
      </c>
    </row>
    <row r="51" spans="1:27" ht="18.95" customHeight="1">
      <c r="A51" s="1" t="str">
        <f>IF(Raw!A51="","",Raw!A51)</f>
        <v>L00045</v>
      </c>
      <c r="B51" s="1" t="str">
        <f>IF(Raw!B51="","",Raw!B51)</f>
        <v>T00023</v>
      </c>
      <c r="C51" s="1" t="str">
        <f>IF(Raw!C51="","",Raw!C51)</f>
        <v>2026-03-06</v>
      </c>
      <c r="D51" s="1">
        <f t="shared" si="0"/>
        <v>2026</v>
      </c>
      <c r="E51" s="1">
        <f>IFERROR(IF(AND(LEN(C51)=10,MID(C51,5,1)="-",MID(C51,8,1)="-"),VALUE(MID(C51,6,2)),IF(AND(LEN(C51)=11,MID(C51,3,1)="-",MID(C51,7,1)="-"),MATCH(UPPER(MID(C51,4,3)),Guide!$D$7:$D$18,0),0)),0)</f>
        <v>3</v>
      </c>
      <c r="F51" s="1">
        <f t="shared" si="1"/>
        <v>6</v>
      </c>
      <c r="G51" s="9">
        <f t="shared" si="2"/>
        <v>46087</v>
      </c>
      <c r="H51" s="1" t="str">
        <f>IF(Raw!D51="","",Raw!D51)</f>
        <v>P-O</v>
      </c>
      <c r="I51" s="1" t="str">
        <f>IFERROR(IF(EXACT(H51,INDEX(Guide!$A$7:$A$9,MATCH(SUBSTITUTE(SUBSTITUTE(SUBSTITUTE(H51,"~","~~"),"*","~*"),"?","~?"),Guide!$A$7:$A$9,0))),INDEX(Guide!$B$7:$B$9,MATCH(SUBSTITUTE(SUBSTITUTE(SUBSTITUTE(H51,"~","~~"),"*","~*"),"?","~?"),Guide!$A$7:$A$9,0)),""),"")</f>
        <v>Office</v>
      </c>
      <c r="J51" s="1" t="str">
        <f>IF(TRIM(Raw!E51)="",I51,IF(UPPER(TRIM(Raw!E51))=UPPER(I51),I51,""))</f>
        <v>Office</v>
      </c>
      <c r="K51" s="1" t="str">
        <f>IF(Raw!F51="","",Raw!F51)</f>
        <v>sale</v>
      </c>
      <c r="L51" s="1" t="str">
        <f>IF(LEFT(TRIM(Raw!G51),2)="-$","-"&amp;MID(TRIM(Raw!G51),3,99),IF(LEFT(TRIM(Raw!G51),1)="$",MID(TRIM(Raw!G51),2,99),TRIM(Raw!G51)))</f>
        <v>85.08</v>
      </c>
      <c r="M51" s="1">
        <f t="shared" si="3"/>
        <v>85.08</v>
      </c>
      <c r="N51" s="10">
        <f t="shared" si="4"/>
        <v>8508</v>
      </c>
      <c r="O51" s="1" t="b">
        <f>IFERROR(IF(ISNUMBER(Raw!G51),TRUE,OR(EXACT(L51,TEXT(M51,"0.00")),EXACT(L51,TEXT(M51,"#,##0.00")))),FALSE)</f>
        <v>1</v>
      </c>
      <c r="P51" s="1" t="str">
        <f>LEN(IF(Raw!A51="","",Raw!A51))&amp;":"&amp;IF(Raw!A51="","",Raw!A51)&amp;"|"&amp;LEN(IF(Raw!B51="","",Raw!B51))&amp;":"&amp;IF(Raw!B51="","",Raw!B51)&amp;"|"&amp;LEN(IF(Raw!C51="","",Raw!C51))&amp;":"&amp;IF(Raw!C51="","",Raw!C51)&amp;"|"&amp;LEN(IF(Raw!D51="","",Raw!D51))&amp;":"&amp;IF(Raw!D51="","",Raw!D51)&amp;"|"&amp;LEN(IF(Raw!E51="","",Raw!E51))&amp;":"&amp;IF(Raw!E51="","",Raw!E51)&amp;"|"&amp;LEN(IF(Raw!F51="","",Raw!F51))&amp;":"&amp;IF(Raw!F51="","",Raw!F51)&amp;"|"&amp;LEN(IF(Raw!G51="","",Raw!G51))&amp;":"&amp;IF(Raw!G51="","",Raw!G51)</f>
        <v>6:L00045|6:T00023|10:2026-03-06|3:P-O|10:  office  |4:sale|5:85.08</v>
      </c>
      <c r="Q51" s="1">
        <f>1</f>
        <v>1</v>
      </c>
      <c r="R51" s="1" t="b">
        <f>FALSE</f>
        <v>0</v>
      </c>
      <c r="S51" s="1">
        <f>1</f>
        <v>1</v>
      </c>
      <c r="T51" s="1" t="str">
        <f>IF(AND(Raw!A51="",Raw!B51="",Raw!C51="",Raw!D51="",Raw!E51="",Raw!F51="",Raw!G51=""),"UNUSED",IF(A51="","missing line ID",IF(B51="","missing transaction ID",IF(G51="",IF(C51="","missing date","invalid date"),IF(I51="","unknown product",IF(J51="","conflicting category",IF(NOT(OR(EXACT(K51,"sale"),EXACT(K51,"refund"))),"unknown event",IF(OR(N51="",NOT(O51)),"invalid amount",IF(OR(AND(K51="sale",N51&lt;=0),AND(K51="refund",N51&gt;=0)),"invalid sign","")))))))))</f>
        <v/>
      </c>
      <c r="U51" s="1" t="str">
        <f t="shared" si="5"/>
        <v>INCLUDED</v>
      </c>
      <c r="V51" s="1" t="str">
        <f t="shared" si="6"/>
        <v>2026-03</v>
      </c>
      <c r="W51" s="1">
        <f>IF(AND(U51="INCLUDED",X51&gt;0,EXACT(A51,'AI output'!A51)),1,0)</f>
        <v>1</v>
      </c>
      <c r="X51" s="1">
        <f>51</f>
        <v>51</v>
      </c>
      <c r="Y51" s="1">
        <f>IF(AND(U51="INCLUDED",W51=1),--(NOT(EXACT(A51,'AI output'!A51)))+--(NOT(EXACT(B51,'AI output'!B51)))+--(NOT(EXACT(TEXT(G51,"yyyy-mm-dd"),'AI output'!C51)))+--(NOT(EXACT(H51,'AI output'!D51)))+--(NOT(EXACT(J51,'AI output'!E51)))+--(NOT(EXACT(K51,'AI output'!F51)))+--(N51&lt;&gt;'AI output'!L51)+--(NOT('AI output'!M51)),0)</f>
        <v>0</v>
      </c>
      <c r="Z51" s="1">
        <f t="shared" si="7"/>
        <v>0</v>
      </c>
      <c r="AA51" s="1">
        <f>--EXACT(A51,"L00045")</f>
        <v>1</v>
      </c>
    </row>
    <row r="52" spans="1:27" ht="18.95" customHeight="1">
      <c r="A52" s="1" t="str">
        <f>IF(Raw!A52="","",Raw!A52)</f>
        <v>L00046</v>
      </c>
      <c r="B52" s="1" t="str">
        <f>IF(Raw!B52="","",Raw!B52)</f>
        <v>T00023</v>
      </c>
      <c r="C52" s="1" t="str">
        <f>IF(Raw!C52="","",Raw!C52)</f>
        <v>2026-03-06</v>
      </c>
      <c r="D52" s="1">
        <f t="shared" si="0"/>
        <v>2026</v>
      </c>
      <c r="E52" s="1">
        <f>IFERROR(IF(AND(LEN(C52)=10,MID(C52,5,1)="-",MID(C52,8,1)="-"),VALUE(MID(C52,6,2)),IF(AND(LEN(C52)=11,MID(C52,3,1)="-",MID(C52,7,1)="-"),MATCH(UPPER(MID(C52,4,3)),Guide!$D$7:$D$18,0),0)),0)</f>
        <v>3</v>
      </c>
      <c r="F52" s="1">
        <f t="shared" si="1"/>
        <v>6</v>
      </c>
      <c r="G52" s="9">
        <f t="shared" si="2"/>
        <v>46087</v>
      </c>
      <c r="H52" s="1" t="str">
        <f>IF(Raw!D52="","",Raw!D52)</f>
        <v>P-A</v>
      </c>
      <c r="I52" s="1" t="str">
        <f>IFERROR(IF(EXACT(H52,INDEX(Guide!$A$7:$A$9,MATCH(SUBSTITUTE(SUBSTITUTE(SUBSTITUTE(H52,"~","~~"),"*","~*"),"?","~?"),Guide!$A$7:$A$9,0))),INDEX(Guide!$B$7:$B$9,MATCH(SUBSTITUTE(SUBSTITUTE(SUBSTITUTE(H52,"~","~~"),"*","~*"),"?","~?"),Guide!$A$7:$A$9,0)),""),"")</f>
        <v>Accessories</v>
      </c>
      <c r="J52" s="1" t="str">
        <f>IF(TRIM(Raw!E52)="",I52,IF(UPPER(TRIM(Raw!E52))=UPPER(I52),I52,""))</f>
        <v>Accessories</v>
      </c>
      <c r="K52" s="1" t="str">
        <f>IF(Raw!F52="","",Raw!F52)</f>
        <v>sale</v>
      </c>
      <c r="L52" s="1" t="str">
        <f>IF(LEFT(TRIM(Raw!G52),2)="-$","-"&amp;MID(TRIM(Raw!G52),3,99),IF(LEFT(TRIM(Raw!G52),1)="$",MID(TRIM(Raw!G52),2,99),TRIM(Raw!G52)))</f>
        <v>21.64</v>
      </c>
      <c r="M52" s="1">
        <f t="shared" si="3"/>
        <v>21.64</v>
      </c>
      <c r="N52" s="10">
        <f t="shared" si="4"/>
        <v>2164</v>
      </c>
      <c r="O52" s="1" t="b">
        <f>IFERROR(IF(ISNUMBER(Raw!G52),TRUE,OR(EXACT(L52,TEXT(M52,"0.00")),EXACT(L52,TEXT(M52,"#,##0.00")))),FALSE)</f>
        <v>1</v>
      </c>
      <c r="P52" s="1" t="str">
        <f>LEN(IF(Raw!A52="","",Raw!A52))&amp;":"&amp;IF(Raw!A52="","",Raw!A52)&amp;"|"&amp;LEN(IF(Raw!B52="","",Raw!B52))&amp;":"&amp;IF(Raw!B52="","",Raw!B52)&amp;"|"&amp;LEN(IF(Raw!C52="","",Raw!C52))&amp;":"&amp;IF(Raw!C52="","",Raw!C52)&amp;"|"&amp;LEN(IF(Raw!D52="","",Raw!D52))&amp;":"&amp;IF(Raw!D52="","",Raw!D52)&amp;"|"&amp;LEN(IF(Raw!E52="","",Raw!E52))&amp;":"&amp;IF(Raw!E52="","",Raw!E52)&amp;"|"&amp;LEN(IF(Raw!F52="","",Raw!F52))&amp;":"&amp;IF(Raw!F52="","",Raw!F52)&amp;"|"&amp;LEN(IF(Raw!G52="","",Raw!G52))&amp;":"&amp;IF(Raw!G52="","",Raw!G52)</f>
        <v>6:L00046|6:T00023|10:2026-03-06|3:P-A|11:Accessories|4:sale|5:21.64</v>
      </c>
      <c r="Q52" s="1">
        <f>1</f>
        <v>1</v>
      </c>
      <c r="R52" s="1" t="b">
        <f>FALSE</f>
        <v>0</v>
      </c>
      <c r="S52" s="1">
        <f>1</f>
        <v>1</v>
      </c>
      <c r="T52" s="1" t="str">
        <f>IF(AND(Raw!A52="",Raw!B52="",Raw!C52="",Raw!D52="",Raw!E52="",Raw!F52="",Raw!G52=""),"UNUSED",IF(A52="","missing line ID",IF(B52="","missing transaction ID",IF(G52="",IF(C52="","missing date","invalid date"),IF(I52="","unknown product",IF(J52="","conflicting category",IF(NOT(OR(EXACT(K52,"sale"),EXACT(K52,"refund"))),"unknown event",IF(OR(N52="",NOT(O52)),"invalid amount",IF(OR(AND(K52="sale",N52&lt;=0),AND(K52="refund",N52&gt;=0)),"invalid sign","")))))))))</f>
        <v/>
      </c>
      <c r="U52" s="1" t="str">
        <f t="shared" si="5"/>
        <v>INCLUDED</v>
      </c>
      <c r="V52" s="1" t="str">
        <f t="shared" si="6"/>
        <v>2026-03</v>
      </c>
      <c r="W52" s="1">
        <f>IF(AND(U52="INCLUDED",X52&gt;0,EXACT(A52,'AI output'!A52)),1,0)</f>
        <v>1</v>
      </c>
      <c r="X52" s="1">
        <f>52</f>
        <v>52</v>
      </c>
      <c r="Y52" s="1">
        <f>IF(AND(U52="INCLUDED",W52=1),--(NOT(EXACT(A52,'AI output'!A52)))+--(NOT(EXACT(B52,'AI output'!B52)))+--(NOT(EXACT(TEXT(G52,"yyyy-mm-dd"),'AI output'!C52)))+--(NOT(EXACT(H52,'AI output'!D52)))+--(NOT(EXACT(J52,'AI output'!E52)))+--(NOT(EXACT(K52,'AI output'!F52)))+--(N52&lt;&gt;'AI output'!L52)+--(NOT('AI output'!M52)),0)</f>
        <v>0</v>
      </c>
      <c r="Z52" s="1">
        <f t="shared" si="7"/>
        <v>0</v>
      </c>
      <c r="AA52" s="1">
        <f>--EXACT(A52,"L00046")</f>
        <v>1</v>
      </c>
    </row>
    <row r="53" spans="1:27" ht="18.95" customHeight="1">
      <c r="A53" s="1" t="str">
        <f>IF(Raw!A53="","",Raw!A53)</f>
        <v>L00047</v>
      </c>
      <c r="B53" s="1" t="str">
        <f>IF(Raw!B53="","",Raw!B53)</f>
        <v>T00024</v>
      </c>
      <c r="C53" s="1" t="str">
        <f>IF(Raw!C53="","",Raw!C53)</f>
        <v>2026-03-13</v>
      </c>
      <c r="D53" s="1">
        <f t="shared" si="0"/>
        <v>2026</v>
      </c>
      <c r="E53" s="1">
        <f>IFERROR(IF(AND(LEN(C53)=10,MID(C53,5,1)="-",MID(C53,8,1)="-"),VALUE(MID(C53,6,2)),IF(AND(LEN(C53)=11,MID(C53,3,1)="-",MID(C53,7,1)="-"),MATCH(UPPER(MID(C53,4,3)),Guide!$D$7:$D$18,0),0)),0)</f>
        <v>3</v>
      </c>
      <c r="F53" s="1">
        <f t="shared" si="1"/>
        <v>13</v>
      </c>
      <c r="G53" s="9">
        <f t="shared" si="2"/>
        <v>46094</v>
      </c>
      <c r="H53" s="1" t="str">
        <f>IF(Raw!D53="","",Raw!D53)</f>
        <v>P-H</v>
      </c>
      <c r="I53" s="1" t="str">
        <f>IFERROR(IF(EXACT(H53,INDEX(Guide!$A$7:$A$9,MATCH(SUBSTITUTE(SUBSTITUTE(SUBSTITUTE(H53,"~","~~"),"*","~*"),"?","~?"),Guide!$A$7:$A$9,0))),INDEX(Guide!$B$7:$B$9,MATCH(SUBSTITUTE(SUBSTITUTE(SUBSTITUTE(H53,"~","~~"),"*","~*"),"?","~?"),Guide!$A$7:$A$9,0)),""),"")</f>
        <v>Home</v>
      </c>
      <c r="J53" s="1" t="str">
        <f>IF(TRIM(Raw!E53)="",I53,IF(UPPER(TRIM(Raw!E53))=UPPER(I53),I53,""))</f>
        <v>Home</v>
      </c>
      <c r="K53" s="1" t="str">
        <f>IF(Raw!F53="","",Raw!F53)</f>
        <v>refund</v>
      </c>
      <c r="L53" s="1" t="str">
        <f>IF(LEFT(TRIM(Raw!G53),2)="-$","-"&amp;MID(TRIM(Raw!G53),3,99),IF(LEFT(TRIM(Raw!G53),1)="$",MID(TRIM(Raw!G53),2,99),TRIM(Raw!G53)))</f>
        <v>-66.03</v>
      </c>
      <c r="M53" s="1">
        <f t="shared" si="3"/>
        <v>-66.03</v>
      </c>
      <c r="N53" s="10">
        <f t="shared" si="4"/>
        <v>-6603</v>
      </c>
      <c r="O53" s="1" t="b">
        <f>IFERROR(IF(ISNUMBER(Raw!G53),TRUE,OR(EXACT(L53,TEXT(M53,"0.00")),EXACT(L53,TEXT(M53,"#,##0.00")))),FALSE)</f>
        <v>1</v>
      </c>
      <c r="P53" s="1" t="str">
        <f>LEN(IF(Raw!A53="","",Raw!A53))&amp;":"&amp;IF(Raw!A53="","",Raw!A53)&amp;"|"&amp;LEN(IF(Raw!B53="","",Raw!B53))&amp;":"&amp;IF(Raw!B53="","",Raw!B53)&amp;"|"&amp;LEN(IF(Raw!C53="","",Raw!C53))&amp;":"&amp;IF(Raw!C53="","",Raw!C53)&amp;"|"&amp;LEN(IF(Raw!D53="","",Raw!D53))&amp;":"&amp;IF(Raw!D53="","",Raw!D53)&amp;"|"&amp;LEN(IF(Raw!E53="","",Raw!E53))&amp;":"&amp;IF(Raw!E53="","",Raw!E53)&amp;"|"&amp;LEN(IF(Raw!F53="","",Raw!F53))&amp;":"&amp;IF(Raw!F53="","",Raw!F53)&amp;"|"&amp;LEN(IF(Raw!G53="","",Raw!G53))&amp;":"&amp;IF(Raw!G53="","",Raw!G53)</f>
        <v>6:L00047|6:T00024|10:2026-03-13|3:P-H|4:Home|6:refund|6:-66.03</v>
      </c>
      <c r="Q53" s="1">
        <f>1</f>
        <v>1</v>
      </c>
      <c r="R53" s="1" t="b">
        <f>FALSE</f>
        <v>0</v>
      </c>
      <c r="S53" s="1">
        <f>1</f>
        <v>1</v>
      </c>
      <c r="T53" s="1" t="str">
        <f>IF(AND(Raw!A53="",Raw!B53="",Raw!C53="",Raw!D53="",Raw!E53="",Raw!F53="",Raw!G53=""),"UNUSED",IF(A53="","missing line ID",IF(B53="","missing transaction ID",IF(G53="",IF(C53="","missing date","invalid date"),IF(I53="","unknown product",IF(J53="","conflicting category",IF(NOT(OR(EXACT(K53,"sale"),EXACT(K53,"refund"))),"unknown event",IF(OR(N53="",NOT(O53)),"invalid amount",IF(OR(AND(K53="sale",N53&lt;=0),AND(K53="refund",N53&gt;=0)),"invalid sign","")))))))))</f>
        <v/>
      </c>
      <c r="U53" s="1" t="str">
        <f t="shared" si="5"/>
        <v>INCLUDED</v>
      </c>
      <c r="V53" s="1" t="str">
        <f t="shared" si="6"/>
        <v>2026-03</v>
      </c>
      <c r="W53" s="1">
        <f>IF(AND(U53="INCLUDED",X53&gt;0,EXACT(A53,'AI output'!A53)),1,0)</f>
        <v>1</v>
      </c>
      <c r="X53" s="1">
        <f>53</f>
        <v>53</v>
      </c>
      <c r="Y53" s="1">
        <f>IF(AND(U53="INCLUDED",W53=1),--(NOT(EXACT(A53,'AI output'!A53)))+--(NOT(EXACT(B53,'AI output'!B53)))+--(NOT(EXACT(TEXT(G53,"yyyy-mm-dd"),'AI output'!C53)))+--(NOT(EXACT(H53,'AI output'!D53)))+--(NOT(EXACT(J53,'AI output'!E53)))+--(NOT(EXACT(K53,'AI output'!F53)))+--(N53&lt;&gt;'AI output'!L53)+--(NOT('AI output'!M53)),0)</f>
        <v>0</v>
      </c>
      <c r="Z53" s="1">
        <f t="shared" si="7"/>
        <v>0</v>
      </c>
      <c r="AA53" s="1">
        <f>--EXACT(A53,"L00047")</f>
        <v>1</v>
      </c>
    </row>
    <row r="54" spans="1:27" ht="18.95" customHeight="1">
      <c r="A54" s="1" t="str">
        <f>IF(Raw!A54="","",Raw!A54)</f>
        <v>L00048</v>
      </c>
      <c r="B54" s="1" t="str">
        <f>IF(Raw!B54="","",Raw!B54)</f>
        <v>T00024</v>
      </c>
      <c r="C54" s="1" t="str">
        <f>IF(Raw!C54="","",Raw!C54)</f>
        <v>2026-03-13</v>
      </c>
      <c r="D54" s="1">
        <f t="shared" si="0"/>
        <v>2026</v>
      </c>
      <c r="E54" s="1">
        <f>IFERROR(IF(AND(LEN(C54)=10,MID(C54,5,1)="-",MID(C54,8,1)="-"),VALUE(MID(C54,6,2)),IF(AND(LEN(C54)=11,MID(C54,3,1)="-",MID(C54,7,1)="-"),MATCH(UPPER(MID(C54,4,3)),Guide!$D$7:$D$18,0),0)),0)</f>
        <v>3</v>
      </c>
      <c r="F54" s="1">
        <f t="shared" si="1"/>
        <v>13</v>
      </c>
      <c r="G54" s="9">
        <f t="shared" si="2"/>
        <v>46094</v>
      </c>
      <c r="H54" s="1" t="str">
        <f>IF(Raw!D54="","",Raw!D54)</f>
        <v>P-O</v>
      </c>
      <c r="I54" s="1" t="str">
        <f>IFERROR(IF(EXACT(H54,INDEX(Guide!$A$7:$A$9,MATCH(SUBSTITUTE(SUBSTITUTE(SUBSTITUTE(H54,"~","~~"),"*","~*"),"?","~?"),Guide!$A$7:$A$9,0))),INDEX(Guide!$B$7:$B$9,MATCH(SUBSTITUTE(SUBSTITUTE(SUBSTITUTE(H54,"~","~~"),"*","~*"),"?","~?"),Guide!$A$7:$A$9,0)),""),"")</f>
        <v>Office</v>
      </c>
      <c r="J54" s="1" t="str">
        <f>IF(TRIM(Raw!E54)="",I54,IF(UPPER(TRIM(Raw!E54))=UPPER(I54),I54,""))</f>
        <v>Office</v>
      </c>
      <c r="K54" s="1" t="str">
        <f>IF(Raw!F54="","",Raw!F54)</f>
        <v>sale</v>
      </c>
      <c r="L54" s="1" t="str">
        <f>IF(LEFT(TRIM(Raw!G54),2)="-$","-"&amp;MID(TRIM(Raw!G54),3,99),IF(LEFT(TRIM(Raw!G54),1)="$",MID(TRIM(Raw!G54),2,99),TRIM(Raw!G54)))</f>
        <v>111.90</v>
      </c>
      <c r="M54" s="1">
        <f t="shared" si="3"/>
        <v>111.9</v>
      </c>
      <c r="N54" s="10">
        <f t="shared" si="4"/>
        <v>11190</v>
      </c>
      <c r="O54" s="1" t="b">
        <f>IFERROR(IF(ISNUMBER(Raw!G54),TRUE,OR(EXACT(L54,TEXT(M54,"0.00")),EXACT(L54,TEXT(M54,"#,##0.00")))),FALSE)</f>
        <v>1</v>
      </c>
      <c r="P54" s="1" t="str">
        <f>LEN(IF(Raw!A54="","",Raw!A54))&amp;":"&amp;IF(Raw!A54="","",Raw!A54)&amp;"|"&amp;LEN(IF(Raw!B54="","",Raw!B54))&amp;":"&amp;IF(Raw!B54="","",Raw!B54)&amp;"|"&amp;LEN(IF(Raw!C54="","",Raw!C54))&amp;":"&amp;IF(Raw!C54="","",Raw!C54)&amp;"|"&amp;LEN(IF(Raw!D54="","",Raw!D54))&amp;":"&amp;IF(Raw!D54="","",Raw!D54)&amp;"|"&amp;LEN(IF(Raw!E54="","",Raw!E54))&amp;":"&amp;IF(Raw!E54="","",Raw!E54)&amp;"|"&amp;LEN(IF(Raw!F54="","",Raw!F54))&amp;":"&amp;IF(Raw!F54="","",Raw!F54)&amp;"|"&amp;LEN(IF(Raw!G54="","",Raw!G54))&amp;":"&amp;IF(Raw!G54="","",Raw!G54)</f>
        <v>6:L00048|6:T00024|10:2026-03-13|3:P-O|6:Office|4:sale|6:111.90</v>
      </c>
      <c r="Q54" s="1">
        <f>1</f>
        <v>1</v>
      </c>
      <c r="R54" s="1" t="b">
        <f>FALSE</f>
        <v>0</v>
      </c>
      <c r="S54" s="1">
        <f>1</f>
        <v>1</v>
      </c>
      <c r="T54" s="1" t="str">
        <f>IF(AND(Raw!A54="",Raw!B54="",Raw!C54="",Raw!D54="",Raw!E54="",Raw!F54="",Raw!G54=""),"UNUSED",IF(A54="","missing line ID",IF(B54="","missing transaction ID",IF(G54="",IF(C54="","missing date","invalid date"),IF(I54="","unknown product",IF(J54="","conflicting category",IF(NOT(OR(EXACT(K54,"sale"),EXACT(K54,"refund"))),"unknown event",IF(OR(N54="",NOT(O54)),"invalid amount",IF(OR(AND(K54="sale",N54&lt;=0),AND(K54="refund",N54&gt;=0)),"invalid sign","")))))))))</f>
        <v/>
      </c>
      <c r="U54" s="1" t="str">
        <f t="shared" si="5"/>
        <v>INCLUDED</v>
      </c>
      <c r="V54" s="1" t="str">
        <f t="shared" si="6"/>
        <v>2026-03</v>
      </c>
      <c r="W54" s="1">
        <f>IF(AND(U54="INCLUDED",X54&gt;0,EXACT(A54,'AI output'!A54)),1,0)</f>
        <v>1</v>
      </c>
      <c r="X54" s="1">
        <f>54</f>
        <v>54</v>
      </c>
      <c r="Y54" s="1">
        <f>IF(AND(U54="INCLUDED",W54=1),--(NOT(EXACT(A54,'AI output'!A54)))+--(NOT(EXACT(B54,'AI output'!B54)))+--(NOT(EXACT(TEXT(G54,"yyyy-mm-dd"),'AI output'!C54)))+--(NOT(EXACT(H54,'AI output'!D54)))+--(NOT(EXACT(J54,'AI output'!E54)))+--(NOT(EXACT(K54,'AI output'!F54)))+--(N54&lt;&gt;'AI output'!L54)+--(NOT('AI output'!M54)),0)</f>
        <v>0</v>
      </c>
      <c r="Z54" s="1">
        <f t="shared" si="7"/>
        <v>0</v>
      </c>
      <c r="AA54" s="1">
        <f>--EXACT(A54,"L00048")</f>
        <v>1</v>
      </c>
    </row>
    <row r="55" spans="1:27" ht="18.95" customHeight="1">
      <c r="A55" s="1" t="str">
        <f>IF(Raw!A55="","",Raw!A55)</f>
        <v>L00049</v>
      </c>
      <c r="B55" s="1" t="str">
        <f>IF(Raw!B55="","",Raw!B55)</f>
        <v>T00025</v>
      </c>
      <c r="C55" s="1" t="str">
        <f>IF(Raw!C55="","",Raw!C55)</f>
        <v>2026-03-20</v>
      </c>
      <c r="D55" s="1">
        <f t="shared" si="0"/>
        <v>2026</v>
      </c>
      <c r="E55" s="1">
        <f>IFERROR(IF(AND(LEN(C55)=10,MID(C55,5,1)="-",MID(C55,8,1)="-"),VALUE(MID(C55,6,2)),IF(AND(LEN(C55)=11,MID(C55,3,1)="-",MID(C55,7,1)="-"),MATCH(UPPER(MID(C55,4,3)),Guide!$D$7:$D$18,0),0)),0)</f>
        <v>3</v>
      </c>
      <c r="F55" s="1">
        <f t="shared" si="1"/>
        <v>20</v>
      </c>
      <c r="G55" s="9">
        <f t="shared" si="2"/>
        <v>46101</v>
      </c>
      <c r="H55" s="1" t="str">
        <f>IF(Raw!D55="","",Raw!D55)</f>
        <v>P-A</v>
      </c>
      <c r="I55" s="1" t="str">
        <f>IFERROR(IF(EXACT(H55,INDEX(Guide!$A$7:$A$9,MATCH(SUBSTITUTE(SUBSTITUTE(SUBSTITUTE(H55,"~","~~"),"*","~*"),"?","~?"),Guide!$A$7:$A$9,0))),INDEX(Guide!$B$7:$B$9,MATCH(SUBSTITUTE(SUBSTITUTE(SUBSTITUTE(H55,"~","~~"),"*","~*"),"?","~?"),Guide!$A$7:$A$9,0)),""),"")</f>
        <v>Accessories</v>
      </c>
      <c r="J55" s="1" t="str">
        <f>IF(TRIM(Raw!E55)="",I55,IF(UPPER(TRIM(Raw!E55))=UPPER(I55),I55,""))</f>
        <v>Accessories</v>
      </c>
      <c r="K55" s="1" t="str">
        <f>IF(Raw!F55="","",Raw!F55)</f>
        <v>sale</v>
      </c>
      <c r="L55" s="1" t="str">
        <f>IF(LEFT(TRIM(Raw!G55),2)="-$","-"&amp;MID(TRIM(Raw!G55),3,99),IF(LEFT(TRIM(Raw!G55),1)="$",MID(TRIM(Raw!G55),2,99),TRIM(Raw!G55)))</f>
        <v>45.50</v>
      </c>
      <c r="M55" s="1">
        <f t="shared" si="3"/>
        <v>45.5</v>
      </c>
      <c r="N55" s="10">
        <f t="shared" si="4"/>
        <v>4550</v>
      </c>
      <c r="O55" s="1" t="b">
        <f>IFERROR(IF(ISNUMBER(Raw!G55),TRUE,OR(EXACT(L55,TEXT(M55,"0.00")),EXACT(L55,TEXT(M55,"#,##0.00")))),FALSE)</f>
        <v>1</v>
      </c>
      <c r="P55" s="1" t="str">
        <f>LEN(IF(Raw!A55="","",Raw!A55))&amp;":"&amp;IF(Raw!A55="","",Raw!A55)&amp;"|"&amp;LEN(IF(Raw!B55="","",Raw!B55))&amp;":"&amp;IF(Raw!B55="","",Raw!B55)&amp;"|"&amp;LEN(IF(Raw!C55="","",Raw!C55))&amp;":"&amp;IF(Raw!C55="","",Raw!C55)&amp;"|"&amp;LEN(IF(Raw!D55="","",Raw!D55))&amp;":"&amp;IF(Raw!D55="","",Raw!D55)&amp;"|"&amp;LEN(IF(Raw!E55="","",Raw!E55))&amp;":"&amp;IF(Raw!E55="","",Raw!E55)&amp;"|"&amp;LEN(IF(Raw!F55="","",Raw!F55))&amp;":"&amp;IF(Raw!F55="","",Raw!F55)&amp;"|"&amp;LEN(IF(Raw!G55="","",Raw!G55))&amp;":"&amp;IF(Raw!G55="","",Raw!G55)</f>
        <v>6:L00049|6:T00025|10:2026-03-20|3:P-A|11:Accessories|4:sale|5:45.50</v>
      </c>
      <c r="Q55" s="1">
        <f>1</f>
        <v>1</v>
      </c>
      <c r="R55" s="1" t="b">
        <f>FALSE</f>
        <v>0</v>
      </c>
      <c r="S55" s="1">
        <f>1</f>
        <v>1</v>
      </c>
      <c r="T55" s="1" t="str">
        <f>IF(AND(Raw!A55="",Raw!B55="",Raw!C55="",Raw!D55="",Raw!E55="",Raw!F55="",Raw!G55=""),"UNUSED",IF(A55="","missing line ID",IF(B55="","missing transaction ID",IF(G55="",IF(C55="","missing date","invalid date"),IF(I55="","unknown product",IF(J55="","conflicting category",IF(NOT(OR(EXACT(K55,"sale"),EXACT(K55,"refund"))),"unknown event",IF(OR(N55="",NOT(O55)),"invalid amount",IF(OR(AND(K55="sale",N55&lt;=0),AND(K55="refund",N55&gt;=0)),"invalid sign","")))))))))</f>
        <v/>
      </c>
      <c r="U55" s="1" t="str">
        <f t="shared" si="5"/>
        <v>INCLUDED</v>
      </c>
      <c r="V55" s="1" t="str">
        <f t="shared" si="6"/>
        <v>2026-03</v>
      </c>
      <c r="W55" s="1">
        <f>IF(AND(U55="INCLUDED",X55&gt;0,EXACT(A55,'AI output'!A55)),1,0)</f>
        <v>1</v>
      </c>
      <c r="X55" s="1">
        <f>55</f>
        <v>55</v>
      </c>
      <c r="Y55" s="1">
        <f>IF(AND(U55="INCLUDED",W55=1),--(NOT(EXACT(A55,'AI output'!A55)))+--(NOT(EXACT(B55,'AI output'!B55)))+--(NOT(EXACT(TEXT(G55,"yyyy-mm-dd"),'AI output'!C55)))+--(NOT(EXACT(H55,'AI output'!D55)))+--(NOT(EXACT(J55,'AI output'!E55)))+--(NOT(EXACT(K55,'AI output'!F55)))+--(N55&lt;&gt;'AI output'!L55)+--(NOT('AI output'!M55)),0)</f>
        <v>0</v>
      </c>
      <c r="Z55" s="1">
        <f t="shared" si="7"/>
        <v>0</v>
      </c>
      <c r="AA55" s="1">
        <f>--EXACT(A55,"L00049")</f>
        <v>1</v>
      </c>
    </row>
    <row r="56" spans="1:27" ht="18.95" customHeight="1">
      <c r="A56" s="1" t="str">
        <f>IF(Raw!A56="","",Raw!A56)</f>
        <v>L00050</v>
      </c>
      <c r="B56" s="1" t="str">
        <f>IF(Raw!B56="","",Raw!B56)</f>
        <v>T00025</v>
      </c>
      <c r="C56" s="1" t="str">
        <f>IF(Raw!C56="","",Raw!C56)</f>
        <v>2026-03-20</v>
      </c>
      <c r="D56" s="1">
        <f t="shared" si="0"/>
        <v>2026</v>
      </c>
      <c r="E56" s="1">
        <f>IFERROR(IF(AND(LEN(C56)=10,MID(C56,5,1)="-",MID(C56,8,1)="-"),VALUE(MID(C56,6,2)),IF(AND(LEN(C56)=11,MID(C56,3,1)="-",MID(C56,7,1)="-"),MATCH(UPPER(MID(C56,4,3)),Guide!$D$7:$D$18,0),0)),0)</f>
        <v>3</v>
      </c>
      <c r="F56" s="1">
        <f t="shared" si="1"/>
        <v>20</v>
      </c>
      <c r="G56" s="9">
        <f t="shared" si="2"/>
        <v>46101</v>
      </c>
      <c r="H56" s="1" t="str">
        <f>IF(Raw!D56="","",Raw!D56)</f>
        <v>P-H</v>
      </c>
      <c r="I56" s="1" t="str">
        <f>IFERROR(IF(EXACT(H56,INDEX(Guide!$A$7:$A$9,MATCH(SUBSTITUTE(SUBSTITUTE(SUBSTITUTE(H56,"~","~~"),"*","~*"),"?","~?"),Guide!$A$7:$A$9,0))),INDEX(Guide!$B$7:$B$9,MATCH(SUBSTITUTE(SUBSTITUTE(SUBSTITUTE(H56,"~","~~"),"*","~*"),"?","~?"),Guide!$A$7:$A$9,0)),""),"")</f>
        <v>Home</v>
      </c>
      <c r="J56" s="1" t="str">
        <f>IF(TRIM(Raw!E56)="",I56,IF(UPPER(TRIM(Raw!E56))=UPPER(I56),I56,""))</f>
        <v>Home</v>
      </c>
      <c r="K56" s="1" t="str">
        <f>IF(Raw!F56="","",Raw!F56)</f>
        <v>sale</v>
      </c>
      <c r="L56" s="1" t="str">
        <f>IF(LEFT(TRIM(Raw!G56),2)="-$","-"&amp;MID(TRIM(Raw!G56),3,99),IF(LEFT(TRIM(Raw!G56),1)="$",MID(TRIM(Raw!G56),2,99),TRIM(Raw!G56)))</f>
        <v>92.48</v>
      </c>
      <c r="M56" s="1">
        <f t="shared" si="3"/>
        <v>92.48</v>
      </c>
      <c r="N56" s="10">
        <f t="shared" si="4"/>
        <v>9248</v>
      </c>
      <c r="O56" s="1" t="b">
        <f>IFERROR(IF(ISNUMBER(Raw!G56),TRUE,OR(EXACT(L56,TEXT(M56,"0.00")),EXACT(L56,TEXT(M56,"#,##0.00")))),FALSE)</f>
        <v>1</v>
      </c>
      <c r="P56" s="1" t="str">
        <f>LEN(IF(Raw!A56="","",Raw!A56))&amp;":"&amp;IF(Raw!A56="","",Raw!A56)&amp;"|"&amp;LEN(IF(Raw!B56="","",Raw!B56))&amp;":"&amp;IF(Raw!B56="","",Raw!B56)&amp;"|"&amp;LEN(IF(Raw!C56="","",Raw!C56))&amp;":"&amp;IF(Raw!C56="","",Raw!C56)&amp;"|"&amp;LEN(IF(Raw!D56="","",Raw!D56))&amp;":"&amp;IF(Raw!D56="","",Raw!D56)&amp;"|"&amp;LEN(IF(Raw!E56="","",Raw!E56))&amp;":"&amp;IF(Raw!E56="","",Raw!E56)&amp;"|"&amp;LEN(IF(Raw!F56="","",Raw!F56))&amp;":"&amp;IF(Raw!F56="","",Raw!F56)&amp;"|"&amp;LEN(IF(Raw!G56="","",Raw!G56))&amp;":"&amp;IF(Raw!G56="","",Raw!G56)</f>
        <v>6:L00050|6:T00025|10:2026-03-20|3:P-H|4:Home|4:sale|5:92.48</v>
      </c>
      <c r="Q56" s="1">
        <f>1</f>
        <v>1</v>
      </c>
      <c r="R56" s="1" t="b">
        <f>FALSE</f>
        <v>0</v>
      </c>
      <c r="S56" s="1">
        <f>1</f>
        <v>1</v>
      </c>
      <c r="T56" s="1" t="str">
        <f>IF(AND(Raw!A56="",Raw!B56="",Raw!C56="",Raw!D56="",Raw!E56="",Raw!F56="",Raw!G56=""),"UNUSED",IF(A56="","missing line ID",IF(B56="","missing transaction ID",IF(G56="",IF(C56="","missing date","invalid date"),IF(I56="","unknown product",IF(J56="","conflicting category",IF(NOT(OR(EXACT(K56,"sale"),EXACT(K56,"refund"))),"unknown event",IF(OR(N56="",NOT(O56)),"invalid amount",IF(OR(AND(K56="sale",N56&lt;=0),AND(K56="refund",N56&gt;=0)),"invalid sign","")))))))))</f>
        <v/>
      </c>
      <c r="U56" s="1" t="str">
        <f t="shared" si="5"/>
        <v>INCLUDED</v>
      </c>
      <c r="V56" s="1" t="str">
        <f t="shared" si="6"/>
        <v>2026-03</v>
      </c>
      <c r="W56" s="1">
        <f>IF(AND(U56="INCLUDED",X56&gt;0,EXACT(A56,'AI output'!A56)),1,0)</f>
        <v>1</v>
      </c>
      <c r="X56" s="1">
        <f>56</f>
        <v>56</v>
      </c>
      <c r="Y56" s="1">
        <f>IF(AND(U56="INCLUDED",W56=1),--(NOT(EXACT(A56,'AI output'!A56)))+--(NOT(EXACT(B56,'AI output'!B56)))+--(NOT(EXACT(TEXT(G56,"yyyy-mm-dd"),'AI output'!C56)))+--(NOT(EXACT(H56,'AI output'!D56)))+--(NOT(EXACT(J56,'AI output'!E56)))+--(NOT(EXACT(K56,'AI output'!F56)))+--(N56&lt;&gt;'AI output'!L56)+--(NOT('AI output'!M56)),0)</f>
        <v>0</v>
      </c>
      <c r="Z56" s="1">
        <f t="shared" si="7"/>
        <v>0</v>
      </c>
      <c r="AA56" s="1">
        <f>--EXACT(A56,"L00050")</f>
        <v>1</v>
      </c>
    </row>
    <row r="57" spans="1:27" ht="18.95" customHeight="1">
      <c r="A57" s="1" t="str">
        <f>IF(Raw!A57="","",Raw!A57)</f>
        <v>L00051</v>
      </c>
      <c r="B57" s="1" t="str">
        <f>IF(Raw!B57="","",Raw!B57)</f>
        <v>T00026</v>
      </c>
      <c r="C57" s="1" t="str">
        <f>IF(Raw!C57="","",Raw!C57)</f>
        <v>2026-03-27</v>
      </c>
      <c r="D57" s="1">
        <f t="shared" si="0"/>
        <v>2026</v>
      </c>
      <c r="E57" s="1">
        <f>IFERROR(IF(AND(LEN(C57)=10,MID(C57,5,1)="-",MID(C57,8,1)="-"),VALUE(MID(C57,6,2)),IF(AND(LEN(C57)=11,MID(C57,3,1)="-",MID(C57,7,1)="-"),MATCH(UPPER(MID(C57,4,3)),Guide!$D$7:$D$18,0),0)),0)</f>
        <v>3</v>
      </c>
      <c r="F57" s="1">
        <f t="shared" si="1"/>
        <v>27</v>
      </c>
      <c r="G57" s="9">
        <f t="shared" si="2"/>
        <v>46108</v>
      </c>
      <c r="H57" s="1" t="str">
        <f>IF(Raw!D57="","",Raw!D57)</f>
        <v>P-O</v>
      </c>
      <c r="I57" s="1" t="str">
        <f>IFERROR(IF(EXACT(H57,INDEX(Guide!$A$7:$A$9,MATCH(SUBSTITUTE(SUBSTITUTE(SUBSTITUTE(H57,"~","~~"),"*","~*"),"?","~?"),Guide!$A$7:$A$9,0))),INDEX(Guide!$B$7:$B$9,MATCH(SUBSTITUTE(SUBSTITUTE(SUBSTITUTE(H57,"~","~~"),"*","~*"),"?","~?"),Guide!$A$7:$A$9,0)),""),"")</f>
        <v>Office</v>
      </c>
      <c r="J57" s="1" t="str">
        <f>IF(TRIM(Raw!E57)="",I57,IF(UPPER(TRIM(Raw!E57))=UPPER(I57),I57,""))</f>
        <v>Office</v>
      </c>
      <c r="K57" s="1" t="str">
        <f>IF(Raw!F57="","",Raw!F57)</f>
        <v>sale</v>
      </c>
      <c r="L57" s="1" t="str">
        <f>IF(LEFT(TRIM(Raw!G57),2)="-$","-"&amp;MID(TRIM(Raw!G57),3,99),IF(LEFT(TRIM(Raw!G57),1)="$",MID(TRIM(Raw!G57),2,99),TRIM(Raw!G57)))</f>
        <v>23.49</v>
      </c>
      <c r="M57" s="1">
        <f t="shared" si="3"/>
        <v>23.49</v>
      </c>
      <c r="N57" s="10">
        <f t="shared" si="4"/>
        <v>2349</v>
      </c>
      <c r="O57" s="1" t="b">
        <f>IFERROR(IF(ISNUMBER(Raw!G57),TRUE,OR(EXACT(L57,TEXT(M57,"0.00")),EXACT(L57,TEXT(M57,"#,##0.00")))),FALSE)</f>
        <v>1</v>
      </c>
      <c r="P57" s="1" t="str">
        <f>LEN(IF(Raw!A57="","",Raw!A57))&amp;":"&amp;IF(Raw!A57="","",Raw!A57)&amp;"|"&amp;LEN(IF(Raw!B57="","",Raw!B57))&amp;":"&amp;IF(Raw!B57="","",Raw!B57)&amp;"|"&amp;LEN(IF(Raw!C57="","",Raw!C57))&amp;":"&amp;IF(Raw!C57="","",Raw!C57)&amp;"|"&amp;LEN(IF(Raw!D57="","",Raw!D57))&amp;":"&amp;IF(Raw!D57="","",Raw!D57)&amp;"|"&amp;LEN(IF(Raw!E57="","",Raw!E57))&amp;":"&amp;IF(Raw!E57="","",Raw!E57)&amp;"|"&amp;LEN(IF(Raw!F57="","",Raw!F57))&amp;":"&amp;IF(Raw!F57="","",Raw!F57)&amp;"|"&amp;LEN(IF(Raw!G57="","",Raw!G57))&amp;":"&amp;IF(Raw!G57="","",Raw!G57)</f>
        <v>6:L00051|6:T00026|10:2026-03-27|3:P-O|6:Office|4:sale|5:23.49</v>
      </c>
      <c r="Q57" s="1">
        <f>1</f>
        <v>1</v>
      </c>
      <c r="R57" s="1" t="b">
        <f>FALSE</f>
        <v>0</v>
      </c>
      <c r="S57" s="1">
        <f>1</f>
        <v>1</v>
      </c>
      <c r="T57" s="1" t="str">
        <f>IF(AND(Raw!A57="",Raw!B57="",Raw!C57="",Raw!D57="",Raw!E57="",Raw!F57="",Raw!G57=""),"UNUSED",IF(A57="","missing line ID",IF(B57="","missing transaction ID",IF(G57="",IF(C57="","missing date","invalid date"),IF(I57="","unknown product",IF(J57="","conflicting category",IF(NOT(OR(EXACT(K57,"sale"),EXACT(K57,"refund"))),"unknown event",IF(OR(N57="",NOT(O57)),"invalid amount",IF(OR(AND(K57="sale",N57&lt;=0),AND(K57="refund",N57&gt;=0)),"invalid sign","")))))))))</f>
        <v/>
      </c>
      <c r="U57" s="1" t="str">
        <f t="shared" si="5"/>
        <v>INCLUDED</v>
      </c>
      <c r="V57" s="1" t="str">
        <f t="shared" si="6"/>
        <v>2026-03</v>
      </c>
      <c r="W57" s="1">
        <f>IF(AND(U57="INCLUDED",X57&gt;0,EXACT(A57,'AI output'!A57)),1,0)</f>
        <v>1</v>
      </c>
      <c r="X57" s="1">
        <f>57</f>
        <v>57</v>
      </c>
      <c r="Y57" s="1">
        <f>IF(AND(U57="INCLUDED",W57=1),--(NOT(EXACT(A57,'AI output'!A57)))+--(NOT(EXACT(B57,'AI output'!B57)))+--(NOT(EXACT(TEXT(G57,"yyyy-mm-dd"),'AI output'!C57)))+--(NOT(EXACT(H57,'AI output'!D57)))+--(NOT(EXACT(J57,'AI output'!E57)))+--(NOT(EXACT(K57,'AI output'!F57)))+--(N57&lt;&gt;'AI output'!L57)+--(NOT('AI output'!M57)),0)</f>
        <v>0</v>
      </c>
      <c r="Z57" s="1">
        <f t="shared" si="7"/>
        <v>0</v>
      </c>
      <c r="AA57" s="1">
        <f>--EXACT(A57,"L00051")</f>
        <v>1</v>
      </c>
    </row>
    <row r="58" spans="1:27" ht="18.95" customHeight="1">
      <c r="A58" s="1" t="str">
        <f>IF(Raw!A58="","",Raw!A58)</f>
        <v>L00052</v>
      </c>
      <c r="B58" s="1" t="str">
        <f>IF(Raw!B58="","",Raw!B58)</f>
        <v>T00026</v>
      </c>
      <c r="C58" s="1" t="str">
        <f>IF(Raw!C58="","",Raw!C58)</f>
        <v>2026-03-27</v>
      </c>
      <c r="D58" s="1">
        <f t="shared" si="0"/>
        <v>2026</v>
      </c>
      <c r="E58" s="1">
        <f>IFERROR(IF(AND(LEN(C58)=10,MID(C58,5,1)="-",MID(C58,8,1)="-"),VALUE(MID(C58,6,2)),IF(AND(LEN(C58)=11,MID(C58,3,1)="-",MID(C58,7,1)="-"),MATCH(UPPER(MID(C58,4,3)),Guide!$D$7:$D$18,0),0)),0)</f>
        <v>3</v>
      </c>
      <c r="F58" s="1">
        <f t="shared" si="1"/>
        <v>27</v>
      </c>
      <c r="G58" s="9">
        <f t="shared" si="2"/>
        <v>46108</v>
      </c>
      <c r="H58" s="1" t="str">
        <f>IF(Raw!D58="","",Raw!D58)</f>
        <v>P-A</v>
      </c>
      <c r="I58" s="1" t="str">
        <f>IFERROR(IF(EXACT(H58,INDEX(Guide!$A$7:$A$9,MATCH(SUBSTITUTE(SUBSTITUTE(SUBSTITUTE(H58,"~","~~"),"*","~*"),"?","~?"),Guide!$A$7:$A$9,0))),INDEX(Guide!$B$7:$B$9,MATCH(SUBSTITUTE(SUBSTITUTE(SUBSTITUTE(H58,"~","~~"),"*","~*"),"?","~?"),Guide!$A$7:$A$9,0)),""),"")</f>
        <v>Accessories</v>
      </c>
      <c r="J58" s="1" t="str">
        <f>IF(TRIM(Raw!E58)="",I58,IF(UPPER(TRIM(Raw!E58))=UPPER(I58),I58,""))</f>
        <v>Accessories</v>
      </c>
      <c r="K58" s="1" t="str">
        <f>IF(Raw!F58="","",Raw!F58)</f>
        <v>sale</v>
      </c>
      <c r="L58" s="1" t="str">
        <f>IF(LEFT(TRIM(Raw!G58),2)="-$","-"&amp;MID(TRIM(Raw!G58),3,99),IF(LEFT(TRIM(Raw!G58),1)="$",MID(TRIM(Raw!G58),2,99),TRIM(Raw!G58)))</f>
        <v>71.58</v>
      </c>
      <c r="M58" s="1">
        <f t="shared" si="3"/>
        <v>71.58</v>
      </c>
      <c r="N58" s="10">
        <f t="shared" si="4"/>
        <v>7158</v>
      </c>
      <c r="O58" s="1" t="b">
        <f>IFERROR(IF(ISNUMBER(Raw!G58),TRUE,OR(EXACT(L58,TEXT(M58,"0.00")),EXACT(L58,TEXT(M58,"#,##0.00")))),FALSE)</f>
        <v>1</v>
      </c>
      <c r="P58" s="1" t="str">
        <f>LEN(IF(Raw!A58="","",Raw!A58))&amp;":"&amp;IF(Raw!A58="","",Raw!A58)&amp;"|"&amp;LEN(IF(Raw!B58="","",Raw!B58))&amp;":"&amp;IF(Raw!B58="","",Raw!B58)&amp;"|"&amp;LEN(IF(Raw!C58="","",Raw!C58))&amp;":"&amp;IF(Raw!C58="","",Raw!C58)&amp;"|"&amp;LEN(IF(Raw!D58="","",Raw!D58))&amp;":"&amp;IF(Raw!D58="","",Raw!D58)&amp;"|"&amp;LEN(IF(Raw!E58="","",Raw!E58))&amp;":"&amp;IF(Raw!E58="","",Raw!E58)&amp;"|"&amp;LEN(IF(Raw!F58="","",Raw!F58))&amp;":"&amp;IF(Raw!F58="","",Raw!F58)&amp;"|"&amp;LEN(IF(Raw!G58="","",Raw!G58))&amp;":"&amp;IF(Raw!G58="","",Raw!G58)</f>
        <v>6:L00052|6:T00026|10:2026-03-27|3:P-A|11:Accessories|4:sale|5:71.58</v>
      </c>
      <c r="Q58" s="1">
        <f>1</f>
        <v>1</v>
      </c>
      <c r="R58" s="1" t="b">
        <f>FALSE</f>
        <v>0</v>
      </c>
      <c r="S58" s="1">
        <f>1</f>
        <v>1</v>
      </c>
      <c r="T58" s="1" t="str">
        <f>IF(AND(Raw!A58="",Raw!B58="",Raw!C58="",Raw!D58="",Raw!E58="",Raw!F58="",Raw!G58=""),"UNUSED",IF(A58="","missing line ID",IF(B58="","missing transaction ID",IF(G58="",IF(C58="","missing date","invalid date"),IF(I58="","unknown product",IF(J58="","conflicting category",IF(NOT(OR(EXACT(K58,"sale"),EXACT(K58,"refund"))),"unknown event",IF(OR(N58="",NOT(O58)),"invalid amount",IF(OR(AND(K58="sale",N58&lt;=0),AND(K58="refund",N58&gt;=0)),"invalid sign","")))))))))</f>
        <v/>
      </c>
      <c r="U58" s="1" t="str">
        <f t="shared" si="5"/>
        <v>INCLUDED</v>
      </c>
      <c r="V58" s="1" t="str">
        <f t="shared" si="6"/>
        <v>2026-03</v>
      </c>
      <c r="W58" s="1">
        <f>IF(AND(U58="INCLUDED",X58&gt;0,EXACT(A58,'AI output'!A58)),1,0)</f>
        <v>1</v>
      </c>
      <c r="X58" s="1">
        <f>58</f>
        <v>58</v>
      </c>
      <c r="Y58" s="1">
        <f>IF(AND(U58="INCLUDED",W58=1),--(NOT(EXACT(A58,'AI output'!A58)))+--(NOT(EXACT(B58,'AI output'!B58)))+--(NOT(EXACT(TEXT(G58,"yyyy-mm-dd"),'AI output'!C58)))+--(NOT(EXACT(H58,'AI output'!D58)))+--(NOT(EXACT(J58,'AI output'!E58)))+--(NOT(EXACT(K58,'AI output'!F58)))+--(N58&lt;&gt;'AI output'!L58)+--(NOT('AI output'!M58)),0)</f>
        <v>0</v>
      </c>
      <c r="Z58" s="1">
        <f t="shared" si="7"/>
        <v>0</v>
      </c>
      <c r="AA58" s="1">
        <f>--EXACT(A58,"L00052")</f>
        <v>1</v>
      </c>
    </row>
    <row r="59" spans="1:27" ht="18.95" customHeight="1">
      <c r="A59" s="1" t="str">
        <f>IF(Raw!A59="","",Raw!A59)</f>
        <v>L00053</v>
      </c>
      <c r="B59" s="1" t="str">
        <f>IF(Raw!B59="","",Raw!B59)</f>
        <v>T00027</v>
      </c>
      <c r="C59" s="1" t="str">
        <f>IF(Raw!C59="","",Raw!C59)</f>
        <v>2026-01-03</v>
      </c>
      <c r="D59" s="1">
        <f t="shared" si="0"/>
        <v>2026</v>
      </c>
      <c r="E59" s="1">
        <f>IFERROR(IF(AND(LEN(C59)=10,MID(C59,5,1)="-",MID(C59,8,1)="-"),VALUE(MID(C59,6,2)),IF(AND(LEN(C59)=11,MID(C59,3,1)="-",MID(C59,7,1)="-"),MATCH(UPPER(MID(C59,4,3)),Guide!$D$7:$D$18,0),0)),0)</f>
        <v>1</v>
      </c>
      <c r="F59" s="1">
        <f t="shared" si="1"/>
        <v>3</v>
      </c>
      <c r="G59" s="9">
        <f t="shared" si="2"/>
        <v>46025</v>
      </c>
      <c r="H59" s="1" t="str">
        <f>IF(Raw!D59="","",Raw!D59)</f>
        <v>P-H</v>
      </c>
      <c r="I59" s="1" t="str">
        <f>IFERROR(IF(EXACT(H59,INDEX(Guide!$A$7:$A$9,MATCH(SUBSTITUTE(SUBSTITUTE(SUBSTITUTE(H59,"~","~~"),"*","~*"),"?","~?"),Guide!$A$7:$A$9,0))),INDEX(Guide!$B$7:$B$9,MATCH(SUBSTITUTE(SUBSTITUTE(SUBSTITUTE(H59,"~","~~"),"*","~*"),"?","~?"),Guide!$A$7:$A$9,0)),""),"")</f>
        <v>Home</v>
      </c>
      <c r="J59" s="1" t="str">
        <f>IF(TRIM(Raw!E59)="",I59,IF(UPPER(TRIM(Raw!E59))=UPPER(I59),I59,""))</f>
        <v>Home</v>
      </c>
      <c r="K59" s="1" t="str">
        <f>IF(Raw!F59="","",Raw!F59)</f>
        <v>sale</v>
      </c>
      <c r="L59" s="1" t="str">
        <f>IF(LEFT(TRIM(Raw!G59),2)="-$","-"&amp;MID(TRIM(Raw!G59),3,99),IF(LEFT(TRIM(Raw!G59),1)="$",MID(TRIM(Raw!G59),2,99),TRIM(Raw!G59)))</f>
        <v>121.15</v>
      </c>
      <c r="M59" s="1">
        <f t="shared" si="3"/>
        <v>121.15</v>
      </c>
      <c r="N59" s="10">
        <f t="shared" si="4"/>
        <v>12115</v>
      </c>
      <c r="O59" s="1" t="b">
        <f>IFERROR(IF(ISNUMBER(Raw!G59),TRUE,OR(EXACT(L59,TEXT(M59,"0.00")),EXACT(L59,TEXT(M59,"#,##0.00")))),FALSE)</f>
        <v>1</v>
      </c>
      <c r="P59" s="1" t="str">
        <f>LEN(IF(Raw!A59="","",Raw!A59))&amp;":"&amp;IF(Raw!A59="","",Raw!A59)&amp;"|"&amp;LEN(IF(Raw!B59="","",Raw!B59))&amp;":"&amp;IF(Raw!B59="","",Raw!B59)&amp;"|"&amp;LEN(IF(Raw!C59="","",Raw!C59))&amp;":"&amp;IF(Raw!C59="","",Raw!C59)&amp;"|"&amp;LEN(IF(Raw!D59="","",Raw!D59))&amp;":"&amp;IF(Raw!D59="","",Raw!D59)&amp;"|"&amp;LEN(IF(Raw!E59="","",Raw!E59))&amp;":"&amp;IF(Raw!E59="","",Raw!E59)&amp;"|"&amp;LEN(IF(Raw!F59="","",Raw!F59))&amp;":"&amp;IF(Raw!F59="","",Raw!F59)&amp;"|"&amp;LEN(IF(Raw!G59="","",Raw!G59))&amp;":"&amp;IF(Raw!G59="","",Raw!G59)</f>
        <v>6:L00053|6:T00027|10:2026-01-03|3:P-H|4:Home|4:sale|6:121.15</v>
      </c>
      <c r="Q59" s="1">
        <f>1</f>
        <v>1</v>
      </c>
      <c r="R59" s="1" t="b">
        <f>FALSE</f>
        <v>0</v>
      </c>
      <c r="S59" s="1">
        <f>1</f>
        <v>1</v>
      </c>
      <c r="T59" s="1" t="str">
        <f>IF(AND(Raw!A59="",Raw!B59="",Raw!C59="",Raw!D59="",Raw!E59="",Raw!F59="",Raw!G59=""),"UNUSED",IF(A59="","missing line ID",IF(B59="","missing transaction ID",IF(G59="",IF(C59="","missing date","invalid date"),IF(I59="","unknown product",IF(J59="","conflicting category",IF(NOT(OR(EXACT(K59,"sale"),EXACT(K59,"refund"))),"unknown event",IF(OR(N59="",NOT(O59)),"invalid amount",IF(OR(AND(K59="sale",N59&lt;=0),AND(K59="refund",N59&gt;=0)),"invalid sign","")))))))))</f>
        <v/>
      </c>
      <c r="U59" s="1" t="str">
        <f t="shared" si="5"/>
        <v>INCLUDED</v>
      </c>
      <c r="V59" s="1" t="str">
        <f t="shared" si="6"/>
        <v>2026-01</v>
      </c>
      <c r="W59" s="1">
        <f>IF(AND(U59="INCLUDED",X59&gt;0,EXACT(A59,'AI output'!A59)),1,0)</f>
        <v>1</v>
      </c>
      <c r="X59" s="1">
        <f>59</f>
        <v>59</v>
      </c>
      <c r="Y59" s="1">
        <f>IF(AND(U59="INCLUDED",W59=1),--(NOT(EXACT(A59,'AI output'!A59)))+--(NOT(EXACT(B59,'AI output'!B59)))+--(NOT(EXACT(TEXT(G59,"yyyy-mm-dd"),'AI output'!C59)))+--(NOT(EXACT(H59,'AI output'!D59)))+--(NOT(EXACT(J59,'AI output'!E59)))+--(NOT(EXACT(K59,'AI output'!F59)))+--(N59&lt;&gt;'AI output'!L59)+--(NOT('AI output'!M59)),0)</f>
        <v>0</v>
      </c>
      <c r="Z59" s="1">
        <f t="shared" si="7"/>
        <v>0</v>
      </c>
      <c r="AA59" s="1">
        <f>--EXACT(A59,"L00053")</f>
        <v>1</v>
      </c>
    </row>
    <row r="60" spans="1:27" ht="18.95" customHeight="1">
      <c r="A60" s="1" t="str">
        <f>IF(Raw!A60="","",Raw!A60)</f>
        <v>L00054</v>
      </c>
      <c r="B60" s="1" t="str">
        <f>IF(Raw!B60="","",Raw!B60)</f>
        <v>T00027</v>
      </c>
      <c r="C60" s="1" t="str">
        <f>IF(Raw!C60="","",Raw!C60)</f>
        <v>2026-01-03</v>
      </c>
      <c r="D60" s="1">
        <f t="shared" si="0"/>
        <v>2026</v>
      </c>
      <c r="E60" s="1">
        <f>IFERROR(IF(AND(LEN(C60)=10,MID(C60,5,1)="-",MID(C60,8,1)="-"),VALUE(MID(C60,6,2)),IF(AND(LEN(C60)=11,MID(C60,3,1)="-",MID(C60,7,1)="-"),MATCH(UPPER(MID(C60,4,3)),Guide!$D$7:$D$18,0),0)),0)</f>
        <v>1</v>
      </c>
      <c r="F60" s="1">
        <f t="shared" si="1"/>
        <v>3</v>
      </c>
      <c r="G60" s="9">
        <f t="shared" si="2"/>
        <v>46025</v>
      </c>
      <c r="H60" s="1" t="str">
        <f>IF(Raw!D60="","",Raw!D60)</f>
        <v>P-O</v>
      </c>
      <c r="I60" s="1" t="str">
        <f>IFERROR(IF(EXACT(H60,INDEX(Guide!$A$7:$A$9,MATCH(SUBSTITUTE(SUBSTITUTE(SUBSTITUTE(H60,"~","~~"),"*","~*"),"?","~?"),Guide!$A$7:$A$9,0))),INDEX(Guide!$B$7:$B$9,MATCH(SUBSTITUTE(SUBSTITUTE(SUBSTITUTE(H60,"~","~~"),"*","~*"),"?","~?"),Guide!$A$7:$A$9,0)),""),"")</f>
        <v>Office</v>
      </c>
      <c r="J60" s="1" t="str">
        <f>IF(TRIM(Raw!E60)="",I60,IF(UPPER(TRIM(Raw!E60))=UPPER(I60),I60,""))</f>
        <v>Office</v>
      </c>
      <c r="K60" s="1" t="str">
        <f>IF(Raw!F60="","",Raw!F60)</f>
        <v>sale</v>
      </c>
      <c r="L60" s="1" t="str">
        <f>IF(LEFT(TRIM(Raw!G60),2)="-$","-"&amp;MID(TRIM(Raw!G60),3,99),IF(LEFT(TRIM(Raw!G60),1)="$",MID(TRIM(Raw!G60),2,99),TRIM(Raw!G60)))</f>
        <v>49.20</v>
      </c>
      <c r="M60" s="1">
        <f t="shared" si="3"/>
        <v>49.2</v>
      </c>
      <c r="N60" s="10">
        <f t="shared" si="4"/>
        <v>4920</v>
      </c>
      <c r="O60" s="1" t="b">
        <f>IFERROR(IF(ISNUMBER(Raw!G60),TRUE,OR(EXACT(L60,TEXT(M60,"0.00")),EXACT(L60,TEXT(M60,"#,##0.00")))),FALSE)</f>
        <v>1</v>
      </c>
      <c r="P60" s="1" t="str">
        <f>LEN(IF(Raw!A60="","",Raw!A60))&amp;":"&amp;IF(Raw!A60="","",Raw!A60)&amp;"|"&amp;LEN(IF(Raw!B60="","",Raw!B60))&amp;":"&amp;IF(Raw!B60="","",Raw!B60)&amp;"|"&amp;LEN(IF(Raw!C60="","",Raw!C60))&amp;":"&amp;IF(Raw!C60="","",Raw!C60)&amp;"|"&amp;LEN(IF(Raw!D60="","",Raw!D60))&amp;":"&amp;IF(Raw!D60="","",Raw!D60)&amp;"|"&amp;LEN(IF(Raw!E60="","",Raw!E60))&amp;":"&amp;IF(Raw!E60="","",Raw!E60)&amp;"|"&amp;LEN(IF(Raw!F60="","",Raw!F60))&amp;":"&amp;IF(Raw!F60="","",Raw!F60)&amp;"|"&amp;LEN(IF(Raw!G60="","",Raw!G60))&amp;":"&amp;IF(Raw!G60="","",Raw!G60)</f>
        <v>6:L00054|6:T00027|10:2026-01-03|3:P-O|6:Office|4:sale|5:49.20</v>
      </c>
      <c r="Q60" s="1">
        <f>1</f>
        <v>1</v>
      </c>
      <c r="R60" s="1" t="b">
        <f>FALSE</f>
        <v>0</v>
      </c>
      <c r="S60" s="1">
        <f>1</f>
        <v>1</v>
      </c>
      <c r="T60" s="1" t="str">
        <f>IF(AND(Raw!A60="",Raw!B60="",Raw!C60="",Raw!D60="",Raw!E60="",Raw!F60="",Raw!G60=""),"UNUSED",IF(A60="","missing line ID",IF(B60="","missing transaction ID",IF(G60="",IF(C60="","missing date","invalid date"),IF(I60="","unknown product",IF(J60="","conflicting category",IF(NOT(OR(EXACT(K60,"sale"),EXACT(K60,"refund"))),"unknown event",IF(OR(N60="",NOT(O60)),"invalid amount",IF(OR(AND(K60="sale",N60&lt;=0),AND(K60="refund",N60&gt;=0)),"invalid sign","")))))))))</f>
        <v/>
      </c>
      <c r="U60" s="1" t="str">
        <f t="shared" si="5"/>
        <v>INCLUDED</v>
      </c>
      <c r="V60" s="1" t="str">
        <f t="shared" si="6"/>
        <v>2026-01</v>
      </c>
      <c r="W60" s="1">
        <f>IF(AND(U60="INCLUDED",X60&gt;0,EXACT(A60,'AI output'!A60)),1,0)</f>
        <v>1</v>
      </c>
      <c r="X60" s="1">
        <f>60</f>
        <v>60</v>
      </c>
      <c r="Y60" s="1">
        <f>IF(AND(U60="INCLUDED",W60=1),--(NOT(EXACT(A60,'AI output'!A60)))+--(NOT(EXACT(B60,'AI output'!B60)))+--(NOT(EXACT(TEXT(G60,"yyyy-mm-dd"),'AI output'!C60)))+--(NOT(EXACT(H60,'AI output'!D60)))+--(NOT(EXACT(J60,'AI output'!E60)))+--(NOT(EXACT(K60,'AI output'!F60)))+--(N60&lt;&gt;'AI output'!L60)+--(NOT('AI output'!M60)),0)</f>
        <v>0</v>
      </c>
      <c r="Z60" s="1">
        <f t="shared" si="7"/>
        <v>0</v>
      </c>
      <c r="AA60" s="1">
        <f>--EXACT(A60,"L00054")</f>
        <v>1</v>
      </c>
    </row>
    <row r="61" spans="1:27" ht="18.95" customHeight="1">
      <c r="A61" s="1" t="str">
        <f>IF(Raw!A61="","",Raw!A61)</f>
        <v>L00055</v>
      </c>
      <c r="B61" s="1" t="str">
        <f>IF(Raw!B61="","",Raw!B61)</f>
        <v>T00028</v>
      </c>
      <c r="C61" s="1" t="str">
        <f>IF(Raw!C61="","",Raw!C61)</f>
        <v>2026-01-10</v>
      </c>
      <c r="D61" s="1">
        <f t="shared" si="0"/>
        <v>2026</v>
      </c>
      <c r="E61" s="1">
        <f>IFERROR(IF(AND(LEN(C61)=10,MID(C61,5,1)="-",MID(C61,8,1)="-"),VALUE(MID(C61,6,2)),IF(AND(LEN(C61)=11,MID(C61,3,1)="-",MID(C61,7,1)="-"),MATCH(UPPER(MID(C61,4,3)),Guide!$D$7:$D$18,0),0)),0)</f>
        <v>1</v>
      </c>
      <c r="F61" s="1">
        <f t="shared" si="1"/>
        <v>10</v>
      </c>
      <c r="G61" s="9">
        <f t="shared" si="2"/>
        <v>46032</v>
      </c>
      <c r="H61" s="1" t="str">
        <f>IF(Raw!D61="","",Raw!D61)</f>
        <v>P-A</v>
      </c>
      <c r="I61" s="1" t="str">
        <f>IFERROR(IF(EXACT(H61,INDEX(Guide!$A$7:$A$9,MATCH(SUBSTITUTE(SUBSTITUTE(SUBSTITUTE(H61,"~","~~"),"*","~*"),"?","~?"),Guide!$A$7:$A$9,0))),INDEX(Guide!$B$7:$B$9,MATCH(SUBSTITUTE(SUBSTITUTE(SUBSTITUTE(H61,"~","~~"),"*","~*"),"?","~?"),Guide!$A$7:$A$9,0)),""),"")</f>
        <v>Accessories</v>
      </c>
      <c r="J61" s="1" t="str">
        <f>IF(TRIM(Raw!E61)="",I61,IF(UPPER(TRIM(Raw!E61))=UPPER(I61),I61,""))</f>
        <v>Accessories</v>
      </c>
      <c r="K61" s="1" t="str">
        <f>IF(Raw!F61="","",Raw!F61)</f>
        <v>sale</v>
      </c>
      <c r="L61" s="1" t="str">
        <f>IF(LEFT(TRIM(Raw!G61),2)="-$","-"&amp;MID(TRIM(Raw!G61),3,99),IF(LEFT(TRIM(Raw!G61),1)="$",MID(TRIM(Raw!G61),2,99),TRIM(Raw!G61)))</f>
        <v>99.88</v>
      </c>
      <c r="M61" s="1">
        <f t="shared" si="3"/>
        <v>99.88</v>
      </c>
      <c r="N61" s="10">
        <f t="shared" si="4"/>
        <v>9988</v>
      </c>
      <c r="O61" s="1" t="b">
        <f>IFERROR(IF(ISNUMBER(Raw!G61),TRUE,OR(EXACT(L61,TEXT(M61,"0.00")),EXACT(L61,TEXT(M61,"#,##0.00")))),FALSE)</f>
        <v>1</v>
      </c>
      <c r="P61" s="1" t="str">
        <f>LEN(IF(Raw!A61="","",Raw!A61))&amp;":"&amp;IF(Raw!A61="","",Raw!A61)&amp;"|"&amp;LEN(IF(Raw!B61="","",Raw!B61))&amp;":"&amp;IF(Raw!B61="","",Raw!B61)&amp;"|"&amp;LEN(IF(Raw!C61="","",Raw!C61))&amp;":"&amp;IF(Raw!C61="","",Raw!C61)&amp;"|"&amp;LEN(IF(Raw!D61="","",Raw!D61))&amp;":"&amp;IF(Raw!D61="","",Raw!D61)&amp;"|"&amp;LEN(IF(Raw!E61="","",Raw!E61))&amp;":"&amp;IF(Raw!E61="","",Raw!E61)&amp;"|"&amp;LEN(IF(Raw!F61="","",Raw!F61))&amp;":"&amp;IF(Raw!F61="","",Raw!F61)&amp;"|"&amp;LEN(IF(Raw!G61="","",Raw!G61))&amp;":"&amp;IF(Raw!G61="","",Raw!G61)</f>
        <v>6:L00055|6:T00028|10:2026-01-10|3:P-A|11:Accessories|4:sale|5:99.88</v>
      </c>
      <c r="Q61" s="1">
        <f>1</f>
        <v>1</v>
      </c>
      <c r="R61" s="1" t="b">
        <f>FALSE</f>
        <v>0</v>
      </c>
      <c r="S61" s="1">
        <f>1</f>
        <v>1</v>
      </c>
      <c r="T61" s="1" t="str">
        <f>IF(AND(Raw!A61="",Raw!B61="",Raw!C61="",Raw!D61="",Raw!E61="",Raw!F61="",Raw!G61=""),"UNUSED",IF(A61="","missing line ID",IF(B61="","missing transaction ID",IF(G61="",IF(C61="","missing date","invalid date"),IF(I61="","unknown product",IF(J61="","conflicting category",IF(NOT(OR(EXACT(K61,"sale"),EXACT(K61,"refund"))),"unknown event",IF(OR(N61="",NOT(O61)),"invalid amount",IF(OR(AND(K61="sale",N61&lt;=0),AND(K61="refund",N61&gt;=0)),"invalid sign","")))))))))</f>
        <v/>
      </c>
      <c r="U61" s="1" t="str">
        <f t="shared" si="5"/>
        <v>INCLUDED</v>
      </c>
      <c r="V61" s="1" t="str">
        <f t="shared" si="6"/>
        <v>2026-01</v>
      </c>
      <c r="W61" s="1">
        <f>IF(AND(U61="INCLUDED",X61&gt;0,EXACT(A61,'AI output'!A61)),1,0)</f>
        <v>1</v>
      </c>
      <c r="X61" s="1">
        <f>61</f>
        <v>61</v>
      </c>
      <c r="Y61" s="1">
        <f>IF(AND(U61="INCLUDED",W61=1),--(NOT(EXACT(A61,'AI output'!A61)))+--(NOT(EXACT(B61,'AI output'!B61)))+--(NOT(EXACT(TEXT(G61,"yyyy-mm-dd"),'AI output'!C61)))+--(NOT(EXACT(H61,'AI output'!D61)))+--(NOT(EXACT(J61,'AI output'!E61)))+--(NOT(EXACT(K61,'AI output'!F61)))+--(N61&lt;&gt;'AI output'!L61)+--(NOT('AI output'!M61)),0)</f>
        <v>0</v>
      </c>
      <c r="Z61" s="1">
        <f t="shared" si="7"/>
        <v>0</v>
      </c>
      <c r="AA61" s="1">
        <f>--EXACT(A61,"L00055")</f>
        <v>1</v>
      </c>
    </row>
    <row r="62" spans="1:27" ht="18.95" customHeight="1">
      <c r="A62" s="1" t="str">
        <f>IF(Raw!A62="","",Raw!A62)</f>
        <v>L00056</v>
      </c>
      <c r="B62" s="1" t="str">
        <f>IF(Raw!B62="","",Raw!B62)</f>
        <v>T00028</v>
      </c>
      <c r="C62" s="1" t="str">
        <f>IF(Raw!C62="","",Raw!C62)</f>
        <v>2026-01-10</v>
      </c>
      <c r="D62" s="1">
        <f t="shared" si="0"/>
        <v>2026</v>
      </c>
      <c r="E62" s="1">
        <f>IFERROR(IF(AND(LEN(C62)=10,MID(C62,5,1)="-",MID(C62,8,1)="-"),VALUE(MID(C62,6,2)),IF(AND(LEN(C62)=11,MID(C62,3,1)="-",MID(C62,7,1)="-"),MATCH(UPPER(MID(C62,4,3)),Guide!$D$7:$D$18,0),0)),0)</f>
        <v>1</v>
      </c>
      <c r="F62" s="1">
        <f t="shared" si="1"/>
        <v>10</v>
      </c>
      <c r="G62" s="9">
        <f t="shared" si="2"/>
        <v>46032</v>
      </c>
      <c r="H62" s="1" t="str">
        <f>IF(Raw!D62="","",Raw!D62)</f>
        <v>P-H</v>
      </c>
      <c r="I62" s="1" t="str">
        <f>IFERROR(IF(EXACT(H62,INDEX(Guide!$A$7:$A$9,MATCH(SUBSTITUTE(SUBSTITUTE(SUBSTITUTE(H62,"~","~~"),"*","~*"),"?","~?"),Guide!$A$7:$A$9,0))),INDEX(Guide!$B$7:$B$9,MATCH(SUBSTITUTE(SUBSTITUTE(SUBSTITUTE(H62,"~","~~"),"*","~*"),"?","~?"),Guide!$A$7:$A$9,0)),""),"")</f>
        <v>Home</v>
      </c>
      <c r="J62" s="1" t="str">
        <f>IF(TRIM(Raw!E62)="",I62,IF(UPPER(TRIM(Raw!E62))=UPPER(I62),I62,""))</f>
        <v>Home</v>
      </c>
      <c r="K62" s="1" t="str">
        <f>IF(Raw!F62="","",Raw!F62)</f>
        <v>sale</v>
      </c>
      <c r="L62" s="1" t="str">
        <f>IF(LEFT(TRIM(Raw!G62),2)="-$","-"&amp;MID(TRIM(Raw!G62),3,99),IF(LEFT(TRIM(Raw!G62),1)="$",MID(TRIM(Raw!G62),2,99),TRIM(Raw!G62)))</f>
        <v>25.34</v>
      </c>
      <c r="M62" s="1">
        <f t="shared" si="3"/>
        <v>25.34</v>
      </c>
      <c r="N62" s="10">
        <f t="shared" si="4"/>
        <v>2534</v>
      </c>
      <c r="O62" s="1" t="b">
        <f>IFERROR(IF(ISNUMBER(Raw!G62),TRUE,OR(EXACT(L62,TEXT(M62,"0.00")),EXACT(L62,TEXT(M62,"#,##0.00")))),FALSE)</f>
        <v>1</v>
      </c>
      <c r="P62" s="1" t="str">
        <f>LEN(IF(Raw!A62="","",Raw!A62))&amp;":"&amp;IF(Raw!A62="","",Raw!A62)&amp;"|"&amp;LEN(IF(Raw!B62="","",Raw!B62))&amp;":"&amp;IF(Raw!B62="","",Raw!B62)&amp;"|"&amp;LEN(IF(Raw!C62="","",Raw!C62))&amp;":"&amp;IF(Raw!C62="","",Raw!C62)&amp;"|"&amp;LEN(IF(Raw!D62="","",Raw!D62))&amp;":"&amp;IF(Raw!D62="","",Raw!D62)&amp;"|"&amp;LEN(IF(Raw!E62="","",Raw!E62))&amp;":"&amp;IF(Raw!E62="","",Raw!E62)&amp;"|"&amp;LEN(IF(Raw!F62="","",Raw!F62))&amp;":"&amp;IF(Raw!F62="","",Raw!F62)&amp;"|"&amp;LEN(IF(Raw!G62="","",Raw!G62))&amp;":"&amp;IF(Raw!G62="","",Raw!G62)</f>
        <v>6:L00056|6:T00028|10:2026-01-10|3:P-H|4:Home|4:sale|5:25.34</v>
      </c>
      <c r="Q62" s="1">
        <f>1</f>
        <v>1</v>
      </c>
      <c r="R62" s="1" t="b">
        <f>FALSE</f>
        <v>0</v>
      </c>
      <c r="S62" s="1">
        <f>1</f>
        <v>1</v>
      </c>
      <c r="T62" s="1" t="str">
        <f>IF(AND(Raw!A62="",Raw!B62="",Raw!C62="",Raw!D62="",Raw!E62="",Raw!F62="",Raw!G62=""),"UNUSED",IF(A62="","missing line ID",IF(B62="","missing transaction ID",IF(G62="",IF(C62="","missing date","invalid date"),IF(I62="","unknown product",IF(J62="","conflicting category",IF(NOT(OR(EXACT(K62,"sale"),EXACT(K62,"refund"))),"unknown event",IF(OR(N62="",NOT(O62)),"invalid amount",IF(OR(AND(K62="sale",N62&lt;=0),AND(K62="refund",N62&gt;=0)),"invalid sign","")))))))))</f>
        <v/>
      </c>
      <c r="U62" s="1" t="str">
        <f t="shared" si="5"/>
        <v>INCLUDED</v>
      </c>
      <c r="V62" s="1" t="str">
        <f t="shared" si="6"/>
        <v>2026-01</v>
      </c>
      <c r="W62" s="1">
        <f>IF(AND(U62="INCLUDED",X62&gt;0,EXACT(A62,'AI output'!A62)),1,0)</f>
        <v>1</v>
      </c>
      <c r="X62" s="1">
        <f>62</f>
        <v>62</v>
      </c>
      <c r="Y62" s="1">
        <f>IF(AND(U62="INCLUDED",W62=1),--(NOT(EXACT(A62,'AI output'!A62)))+--(NOT(EXACT(B62,'AI output'!B62)))+--(NOT(EXACT(TEXT(G62,"yyyy-mm-dd"),'AI output'!C62)))+--(NOT(EXACT(H62,'AI output'!D62)))+--(NOT(EXACT(J62,'AI output'!E62)))+--(NOT(EXACT(K62,'AI output'!F62)))+--(N62&lt;&gt;'AI output'!L62)+--(NOT('AI output'!M62)),0)</f>
        <v>0</v>
      </c>
      <c r="Z62" s="1">
        <f t="shared" si="7"/>
        <v>0</v>
      </c>
      <c r="AA62" s="1">
        <f>--EXACT(A62,"L00056")</f>
        <v>1</v>
      </c>
    </row>
    <row r="63" spans="1:27" ht="18.95" customHeight="1">
      <c r="A63" s="1" t="str">
        <f>IF(Raw!A63="","",Raw!A63)</f>
        <v>L00057</v>
      </c>
      <c r="B63" s="1" t="str">
        <f>IF(Raw!B63="","",Raw!B63)</f>
        <v>T00029</v>
      </c>
      <c r="C63" s="1" t="str">
        <f>IF(Raw!C63="","",Raw!C63)</f>
        <v>2026-01-17</v>
      </c>
      <c r="D63" s="1">
        <f t="shared" si="0"/>
        <v>2026</v>
      </c>
      <c r="E63" s="1">
        <f>IFERROR(IF(AND(LEN(C63)=10,MID(C63,5,1)="-",MID(C63,8,1)="-"),VALUE(MID(C63,6,2)),IF(AND(LEN(C63)=11,MID(C63,3,1)="-",MID(C63,7,1)="-"),MATCH(UPPER(MID(C63,4,3)),Guide!$D$7:$D$18,0),0)),0)</f>
        <v>1</v>
      </c>
      <c r="F63" s="1">
        <f t="shared" si="1"/>
        <v>17</v>
      </c>
      <c r="G63" s="9">
        <f t="shared" si="2"/>
        <v>46039</v>
      </c>
      <c r="H63" s="1" t="str">
        <f>IF(Raw!D63="","",Raw!D63)</f>
        <v>P-O</v>
      </c>
      <c r="I63" s="1" t="str">
        <f>IFERROR(IF(EXACT(H63,INDEX(Guide!$A$7:$A$9,MATCH(SUBSTITUTE(SUBSTITUTE(SUBSTITUTE(H63,"~","~~"),"*","~*"),"?","~?"),Guide!$A$7:$A$9,0))),INDEX(Guide!$B$7:$B$9,MATCH(SUBSTITUTE(SUBSTITUTE(SUBSTITUTE(H63,"~","~~"),"*","~*"),"?","~?"),Guide!$A$7:$A$9,0)),""),"")</f>
        <v>Office</v>
      </c>
      <c r="J63" s="1" t="str">
        <f>IF(TRIM(Raw!E63)="",I63,IF(UPPER(TRIM(Raw!E63))=UPPER(I63),I63,""))</f>
        <v>Office</v>
      </c>
      <c r="K63" s="1" t="str">
        <f>IF(Raw!F63="","",Raw!F63)</f>
        <v>sale</v>
      </c>
      <c r="L63" s="1" t="str">
        <f>IF(LEFT(TRIM(Raw!G63),2)="-$","-"&amp;MID(TRIM(Raw!G63),3,99),IF(LEFT(TRIM(Raw!G63),1)="$",MID(TRIM(Raw!G63),2,99),TRIM(Raw!G63)))</f>
        <v>77.13</v>
      </c>
      <c r="M63" s="1">
        <f t="shared" si="3"/>
        <v>77.13</v>
      </c>
      <c r="N63" s="10">
        <f t="shared" si="4"/>
        <v>7713</v>
      </c>
      <c r="O63" s="1" t="b">
        <f>IFERROR(IF(ISNUMBER(Raw!G63),TRUE,OR(EXACT(L63,TEXT(M63,"0.00")),EXACT(L63,TEXT(M63,"#,##0.00")))),FALSE)</f>
        <v>1</v>
      </c>
      <c r="P63" s="1" t="str">
        <f>LEN(IF(Raw!A63="","",Raw!A63))&amp;":"&amp;IF(Raw!A63="","",Raw!A63)&amp;"|"&amp;LEN(IF(Raw!B63="","",Raw!B63))&amp;":"&amp;IF(Raw!B63="","",Raw!B63)&amp;"|"&amp;LEN(IF(Raw!C63="","",Raw!C63))&amp;":"&amp;IF(Raw!C63="","",Raw!C63)&amp;"|"&amp;LEN(IF(Raw!D63="","",Raw!D63))&amp;":"&amp;IF(Raw!D63="","",Raw!D63)&amp;"|"&amp;LEN(IF(Raw!E63="","",Raw!E63))&amp;":"&amp;IF(Raw!E63="","",Raw!E63)&amp;"|"&amp;LEN(IF(Raw!F63="","",Raw!F63))&amp;":"&amp;IF(Raw!F63="","",Raw!F63)&amp;"|"&amp;LEN(IF(Raw!G63="","",Raw!G63))&amp;":"&amp;IF(Raw!G63="","",Raw!G63)</f>
        <v>6:L00057|6:T00029|10:2026-01-17|3:P-O|6:Office|4:sale|5:77.13</v>
      </c>
      <c r="Q63" s="1">
        <f>1</f>
        <v>1</v>
      </c>
      <c r="R63" s="1" t="b">
        <f>FALSE</f>
        <v>0</v>
      </c>
      <c r="S63" s="1">
        <f>1</f>
        <v>1</v>
      </c>
      <c r="T63" s="1" t="str">
        <f>IF(AND(Raw!A63="",Raw!B63="",Raw!C63="",Raw!D63="",Raw!E63="",Raw!F63="",Raw!G63=""),"UNUSED",IF(A63="","missing line ID",IF(B63="","missing transaction ID",IF(G63="",IF(C63="","missing date","invalid date"),IF(I63="","unknown product",IF(J63="","conflicting category",IF(NOT(OR(EXACT(K63,"sale"),EXACT(K63,"refund"))),"unknown event",IF(OR(N63="",NOT(O63)),"invalid amount",IF(OR(AND(K63="sale",N63&lt;=0),AND(K63="refund",N63&gt;=0)),"invalid sign","")))))))))</f>
        <v/>
      </c>
      <c r="U63" s="1" t="str">
        <f t="shared" si="5"/>
        <v>INCLUDED</v>
      </c>
      <c r="V63" s="1" t="str">
        <f t="shared" si="6"/>
        <v>2026-01</v>
      </c>
      <c r="W63" s="1">
        <f>IF(AND(U63="INCLUDED",X63&gt;0,EXACT(A63,'AI output'!A63)),1,0)</f>
        <v>1</v>
      </c>
      <c r="X63" s="1">
        <f>63</f>
        <v>63</v>
      </c>
      <c r="Y63" s="1">
        <f>IF(AND(U63="INCLUDED",W63=1),--(NOT(EXACT(A63,'AI output'!A63)))+--(NOT(EXACT(B63,'AI output'!B63)))+--(NOT(EXACT(TEXT(G63,"yyyy-mm-dd"),'AI output'!C63)))+--(NOT(EXACT(H63,'AI output'!D63)))+--(NOT(EXACT(J63,'AI output'!E63)))+--(NOT(EXACT(K63,'AI output'!F63)))+--(N63&lt;&gt;'AI output'!L63)+--(NOT('AI output'!M63)),0)</f>
        <v>0</v>
      </c>
      <c r="Z63" s="1">
        <f t="shared" si="7"/>
        <v>0</v>
      </c>
      <c r="AA63" s="1">
        <f>--EXACT(A63,"L00057")</f>
        <v>1</v>
      </c>
    </row>
    <row r="64" spans="1:27" ht="18.95" customHeight="1">
      <c r="A64" s="1" t="str">
        <f>IF(Raw!A64="","",Raw!A64)</f>
        <v>L00058</v>
      </c>
      <c r="B64" s="1" t="str">
        <f>IF(Raw!B64="","",Raw!B64)</f>
        <v>T00029</v>
      </c>
      <c r="C64" s="1" t="str">
        <f>IF(Raw!C64="","",Raw!C64)</f>
        <v>2026-01-17</v>
      </c>
      <c r="D64" s="1">
        <f t="shared" si="0"/>
        <v>2026</v>
      </c>
      <c r="E64" s="1">
        <f>IFERROR(IF(AND(LEN(C64)=10,MID(C64,5,1)="-",MID(C64,8,1)="-"),VALUE(MID(C64,6,2)),IF(AND(LEN(C64)=11,MID(C64,3,1)="-",MID(C64,7,1)="-"),MATCH(UPPER(MID(C64,4,3)),Guide!$D$7:$D$18,0),0)),0)</f>
        <v>1</v>
      </c>
      <c r="F64" s="1">
        <f t="shared" si="1"/>
        <v>17</v>
      </c>
      <c r="G64" s="9">
        <f t="shared" si="2"/>
        <v>46039</v>
      </c>
      <c r="H64" s="1" t="str">
        <f>IF(Raw!D64="","",Raw!D64)</f>
        <v>P-A</v>
      </c>
      <c r="I64" s="1" t="str">
        <f>IFERROR(IF(EXACT(H64,INDEX(Guide!$A$7:$A$9,MATCH(SUBSTITUTE(SUBSTITUTE(SUBSTITUTE(H64,"~","~~"),"*","~*"),"?","~?"),Guide!$A$7:$A$9,0))),INDEX(Guide!$B$7:$B$9,MATCH(SUBSTITUTE(SUBSTITUTE(SUBSTITUTE(H64,"~","~~"),"*","~*"),"?","~?"),Guide!$A$7:$A$9,0)),""),"")</f>
        <v>Accessories</v>
      </c>
      <c r="J64" s="1" t="str">
        <f>IF(TRIM(Raw!E64)="",I64,IF(UPPER(TRIM(Raw!E64))=UPPER(I64),I64,""))</f>
        <v>Accessories</v>
      </c>
      <c r="K64" s="1" t="str">
        <f>IF(Raw!F64="","",Raw!F64)</f>
        <v>sale</v>
      </c>
      <c r="L64" s="1" t="str">
        <f>IF(LEFT(TRIM(Raw!G64),2)="-$","-"&amp;MID(TRIM(Raw!G64),3,99),IF(LEFT(TRIM(Raw!G64),1)="$",MID(TRIM(Raw!G64),2,99),TRIM(Raw!G64)))</f>
        <v>130.40</v>
      </c>
      <c r="M64" s="1">
        <f t="shared" si="3"/>
        <v>130.4</v>
      </c>
      <c r="N64" s="10">
        <f t="shared" si="4"/>
        <v>13040</v>
      </c>
      <c r="O64" s="1" t="b">
        <f>IFERROR(IF(ISNUMBER(Raw!G64),TRUE,OR(EXACT(L64,TEXT(M64,"0.00")),EXACT(L64,TEXT(M64,"#,##0.00")))),FALSE)</f>
        <v>1</v>
      </c>
      <c r="P64" s="1" t="str">
        <f>LEN(IF(Raw!A64="","",Raw!A64))&amp;":"&amp;IF(Raw!A64="","",Raw!A64)&amp;"|"&amp;LEN(IF(Raw!B64="","",Raw!B64))&amp;":"&amp;IF(Raw!B64="","",Raw!B64)&amp;"|"&amp;LEN(IF(Raw!C64="","",Raw!C64))&amp;":"&amp;IF(Raw!C64="","",Raw!C64)&amp;"|"&amp;LEN(IF(Raw!D64="","",Raw!D64))&amp;":"&amp;IF(Raw!D64="","",Raw!D64)&amp;"|"&amp;LEN(IF(Raw!E64="","",Raw!E64))&amp;":"&amp;IF(Raw!E64="","",Raw!E64)&amp;"|"&amp;LEN(IF(Raw!F64="","",Raw!F64))&amp;":"&amp;IF(Raw!F64="","",Raw!F64)&amp;"|"&amp;LEN(IF(Raw!G64="","",Raw!G64))&amp;":"&amp;IF(Raw!G64="","",Raw!G64)</f>
        <v>6:L00058|6:T00029|10:2026-01-17|3:P-A|11:Accessories|4:sale|6:130.40</v>
      </c>
      <c r="Q64" s="1">
        <f>1</f>
        <v>1</v>
      </c>
      <c r="R64" s="1" t="b">
        <f>FALSE</f>
        <v>0</v>
      </c>
      <c r="S64" s="1">
        <f>1</f>
        <v>1</v>
      </c>
      <c r="T64" s="1" t="str">
        <f>IF(AND(Raw!A64="",Raw!B64="",Raw!C64="",Raw!D64="",Raw!E64="",Raw!F64="",Raw!G64=""),"UNUSED",IF(A64="","missing line ID",IF(B64="","missing transaction ID",IF(G64="",IF(C64="","missing date","invalid date"),IF(I64="","unknown product",IF(J64="","conflicting category",IF(NOT(OR(EXACT(K64,"sale"),EXACT(K64,"refund"))),"unknown event",IF(OR(N64="",NOT(O64)),"invalid amount",IF(OR(AND(K64="sale",N64&lt;=0),AND(K64="refund",N64&gt;=0)),"invalid sign","")))))))))</f>
        <v/>
      </c>
      <c r="U64" s="1" t="str">
        <f t="shared" si="5"/>
        <v>INCLUDED</v>
      </c>
      <c r="V64" s="1" t="str">
        <f t="shared" si="6"/>
        <v>2026-01</v>
      </c>
      <c r="W64" s="1">
        <f>IF(AND(U64="INCLUDED",X64&gt;0,EXACT(A64,'AI output'!A64)),1,0)</f>
        <v>1</v>
      </c>
      <c r="X64" s="1">
        <f>64</f>
        <v>64</v>
      </c>
      <c r="Y64" s="1">
        <f>IF(AND(U64="INCLUDED",W64=1),--(NOT(EXACT(A64,'AI output'!A64)))+--(NOT(EXACT(B64,'AI output'!B64)))+--(NOT(EXACT(TEXT(G64,"yyyy-mm-dd"),'AI output'!C64)))+--(NOT(EXACT(H64,'AI output'!D64)))+--(NOT(EXACT(J64,'AI output'!E64)))+--(NOT(EXACT(K64,'AI output'!F64)))+--(N64&lt;&gt;'AI output'!L64)+--(NOT('AI output'!M64)),0)</f>
        <v>0</v>
      </c>
      <c r="Z64" s="1">
        <f t="shared" si="7"/>
        <v>0</v>
      </c>
      <c r="AA64" s="1">
        <f>--EXACT(A64,"L00058")</f>
        <v>1</v>
      </c>
    </row>
    <row r="65" spans="1:27" ht="18.95" customHeight="1">
      <c r="A65" s="1" t="str">
        <f>IF(Raw!A65="","",Raw!A65)</f>
        <v>L00059</v>
      </c>
      <c r="B65" s="1" t="str">
        <f>IF(Raw!B65="","",Raw!B65)</f>
        <v>T00030</v>
      </c>
      <c r="C65" s="1" t="str">
        <f>IF(Raw!C65="","",Raw!C65)</f>
        <v>2026-01-24</v>
      </c>
      <c r="D65" s="1">
        <f t="shared" si="0"/>
        <v>2026</v>
      </c>
      <c r="E65" s="1">
        <f>IFERROR(IF(AND(LEN(C65)=10,MID(C65,5,1)="-",MID(C65,8,1)="-"),VALUE(MID(C65,6,2)),IF(AND(LEN(C65)=11,MID(C65,3,1)="-",MID(C65,7,1)="-"),MATCH(UPPER(MID(C65,4,3)),Guide!$D$7:$D$18,0),0)),0)</f>
        <v>1</v>
      </c>
      <c r="F65" s="1">
        <f t="shared" si="1"/>
        <v>24</v>
      </c>
      <c r="G65" s="9">
        <f t="shared" si="2"/>
        <v>46046</v>
      </c>
      <c r="H65" s="1" t="str">
        <f>IF(Raw!D65="","",Raw!D65)</f>
        <v>P-H</v>
      </c>
      <c r="I65" s="1" t="str">
        <f>IFERROR(IF(EXACT(H65,INDEX(Guide!$A$7:$A$9,MATCH(SUBSTITUTE(SUBSTITUTE(SUBSTITUTE(H65,"~","~~"),"*","~*"),"?","~?"),Guide!$A$7:$A$9,0))),INDEX(Guide!$B$7:$B$9,MATCH(SUBSTITUTE(SUBSTITUTE(SUBSTITUTE(H65,"~","~~"),"*","~*"),"?","~?"),Guide!$A$7:$A$9,0)),""),"")</f>
        <v>Home</v>
      </c>
      <c r="J65" s="1" t="str">
        <f>IF(TRIM(Raw!E65)="",I65,IF(UPPER(TRIM(Raw!E65))=UPPER(I65),I65,""))</f>
        <v>Home</v>
      </c>
      <c r="K65" s="1" t="str">
        <f>IF(Raw!F65="","",Raw!F65)</f>
        <v>sale</v>
      </c>
      <c r="L65" s="1" t="str">
        <f>IF(LEFT(TRIM(Raw!G65),2)="-$","-"&amp;MID(TRIM(Raw!G65),3,99),IF(LEFT(TRIM(Raw!G65),1)="$",MID(TRIM(Raw!G65),2,99),TRIM(Raw!G65)))</f>
        <v>52.90</v>
      </c>
      <c r="M65" s="1">
        <f t="shared" si="3"/>
        <v>52.9</v>
      </c>
      <c r="N65" s="10">
        <f t="shared" si="4"/>
        <v>5290</v>
      </c>
      <c r="O65" s="1" t="b">
        <f>IFERROR(IF(ISNUMBER(Raw!G65),TRUE,OR(EXACT(L65,TEXT(M65,"0.00")),EXACT(L65,TEXT(M65,"#,##0.00")))),FALSE)</f>
        <v>1</v>
      </c>
      <c r="P65" s="1" t="str">
        <f>LEN(IF(Raw!A65="","",Raw!A65))&amp;":"&amp;IF(Raw!A65="","",Raw!A65)&amp;"|"&amp;LEN(IF(Raw!B65="","",Raw!B65))&amp;":"&amp;IF(Raw!B65="","",Raw!B65)&amp;"|"&amp;LEN(IF(Raw!C65="","",Raw!C65))&amp;":"&amp;IF(Raw!C65="","",Raw!C65)&amp;"|"&amp;LEN(IF(Raw!D65="","",Raw!D65))&amp;":"&amp;IF(Raw!D65="","",Raw!D65)&amp;"|"&amp;LEN(IF(Raw!E65="","",Raw!E65))&amp;":"&amp;IF(Raw!E65="","",Raw!E65)&amp;"|"&amp;LEN(IF(Raw!F65="","",Raw!F65))&amp;":"&amp;IF(Raw!F65="","",Raw!F65)&amp;"|"&amp;LEN(IF(Raw!G65="","",Raw!G65))&amp;":"&amp;IF(Raw!G65="","",Raw!G65)</f>
        <v>6:L00059|6:T00030|10:2026-01-24|3:P-H|4:Home|4:sale|5:52.90</v>
      </c>
      <c r="Q65" s="1">
        <f>1</f>
        <v>1</v>
      </c>
      <c r="R65" s="1" t="b">
        <f>FALSE</f>
        <v>0</v>
      </c>
      <c r="S65" s="1">
        <f>1</f>
        <v>1</v>
      </c>
      <c r="T65" s="1" t="str">
        <f>IF(AND(Raw!A65="",Raw!B65="",Raw!C65="",Raw!D65="",Raw!E65="",Raw!F65="",Raw!G65=""),"UNUSED",IF(A65="","missing line ID",IF(B65="","missing transaction ID",IF(G65="",IF(C65="","missing date","invalid date"),IF(I65="","unknown product",IF(J65="","conflicting category",IF(NOT(OR(EXACT(K65,"sale"),EXACT(K65,"refund"))),"unknown event",IF(OR(N65="",NOT(O65)),"invalid amount",IF(OR(AND(K65="sale",N65&lt;=0),AND(K65="refund",N65&gt;=0)),"invalid sign","")))))))))</f>
        <v/>
      </c>
      <c r="U65" s="1" t="str">
        <f t="shared" si="5"/>
        <v>INCLUDED</v>
      </c>
      <c r="V65" s="1" t="str">
        <f t="shared" si="6"/>
        <v>2026-01</v>
      </c>
      <c r="W65" s="1">
        <f>IF(AND(U65="INCLUDED",X65&gt;0,EXACT(A65,'AI output'!A65)),1,0)</f>
        <v>1</v>
      </c>
      <c r="X65" s="1">
        <f>65</f>
        <v>65</v>
      </c>
      <c r="Y65" s="1">
        <f>IF(AND(U65="INCLUDED",W65=1),--(NOT(EXACT(A65,'AI output'!A65)))+--(NOT(EXACT(B65,'AI output'!B65)))+--(NOT(EXACT(TEXT(G65,"yyyy-mm-dd"),'AI output'!C65)))+--(NOT(EXACT(H65,'AI output'!D65)))+--(NOT(EXACT(J65,'AI output'!E65)))+--(NOT(EXACT(K65,'AI output'!F65)))+--(N65&lt;&gt;'AI output'!L65)+--(NOT('AI output'!M65)),0)</f>
        <v>0</v>
      </c>
      <c r="Z65" s="1">
        <f t="shared" si="7"/>
        <v>0</v>
      </c>
      <c r="AA65" s="1">
        <f>--EXACT(A65,"L00059")</f>
        <v>1</v>
      </c>
    </row>
    <row r="66" spans="1:27" ht="18.95" customHeight="1">
      <c r="A66" s="1" t="str">
        <f>IF(Raw!A66="","",Raw!A66)</f>
        <v>L00060</v>
      </c>
      <c r="B66" s="1" t="str">
        <f>IF(Raw!B66="","",Raw!B66)</f>
        <v>T00030</v>
      </c>
      <c r="C66" s="1" t="str">
        <f>IF(Raw!C66="","",Raw!C66)</f>
        <v>2026-01-24</v>
      </c>
      <c r="D66" s="1">
        <f t="shared" si="0"/>
        <v>2026</v>
      </c>
      <c r="E66" s="1">
        <f>IFERROR(IF(AND(LEN(C66)=10,MID(C66,5,1)="-",MID(C66,8,1)="-"),VALUE(MID(C66,6,2)),IF(AND(LEN(C66)=11,MID(C66,3,1)="-",MID(C66,7,1)="-"),MATCH(UPPER(MID(C66,4,3)),Guide!$D$7:$D$18,0),0)),0)</f>
        <v>1</v>
      </c>
      <c r="F66" s="1">
        <f t="shared" si="1"/>
        <v>24</v>
      </c>
      <c r="G66" s="9">
        <f t="shared" si="2"/>
        <v>46046</v>
      </c>
      <c r="H66" s="1" t="str">
        <f>IF(Raw!D66="","",Raw!D66)</f>
        <v>P-O</v>
      </c>
      <c r="I66" s="1" t="str">
        <f>IFERROR(IF(EXACT(H66,INDEX(Guide!$A$7:$A$9,MATCH(SUBSTITUTE(SUBSTITUTE(SUBSTITUTE(H66,"~","~~"),"*","~*"),"?","~?"),Guide!$A$7:$A$9,0))),INDEX(Guide!$B$7:$B$9,MATCH(SUBSTITUTE(SUBSTITUTE(SUBSTITUTE(H66,"~","~~"),"*","~*"),"?","~?"),Guide!$A$7:$A$9,0)),""),"")</f>
        <v>Office</v>
      </c>
      <c r="J66" s="1" t="str">
        <f>IF(TRIM(Raw!E66)="",I66,IF(UPPER(TRIM(Raw!E66))=UPPER(I66),I66,""))</f>
        <v>Office</v>
      </c>
      <c r="K66" s="1" t="str">
        <f>IF(Raw!F66="","",Raw!F66)</f>
        <v>sale</v>
      </c>
      <c r="L66" s="1" t="str">
        <f>IF(LEFT(TRIM(Raw!G66),2)="-$","-"&amp;MID(TRIM(Raw!G66),3,99),IF(LEFT(TRIM(Raw!G66),1)="$",MID(TRIM(Raw!G66),2,99),TRIM(Raw!G66)))</f>
        <v>107.28</v>
      </c>
      <c r="M66" s="1">
        <f t="shared" si="3"/>
        <v>107.28</v>
      </c>
      <c r="N66" s="10">
        <f t="shared" si="4"/>
        <v>10728</v>
      </c>
      <c r="O66" s="1" t="b">
        <f>IFERROR(IF(ISNUMBER(Raw!G66),TRUE,OR(EXACT(L66,TEXT(M66,"0.00")),EXACT(L66,TEXT(M66,"#,##0.00")))),FALSE)</f>
        <v>1</v>
      </c>
      <c r="P66" s="1" t="str">
        <f>LEN(IF(Raw!A66="","",Raw!A66))&amp;":"&amp;IF(Raw!A66="","",Raw!A66)&amp;"|"&amp;LEN(IF(Raw!B66="","",Raw!B66))&amp;":"&amp;IF(Raw!B66="","",Raw!B66)&amp;"|"&amp;LEN(IF(Raw!C66="","",Raw!C66))&amp;":"&amp;IF(Raw!C66="","",Raw!C66)&amp;"|"&amp;LEN(IF(Raw!D66="","",Raw!D66))&amp;":"&amp;IF(Raw!D66="","",Raw!D66)&amp;"|"&amp;LEN(IF(Raw!E66="","",Raw!E66))&amp;":"&amp;IF(Raw!E66="","",Raw!E66)&amp;"|"&amp;LEN(IF(Raw!F66="","",Raw!F66))&amp;":"&amp;IF(Raw!F66="","",Raw!F66)&amp;"|"&amp;LEN(IF(Raw!G66="","",Raw!G66))&amp;":"&amp;IF(Raw!G66="","",Raw!G66)</f>
        <v>6:L00060|6:T00030|10:2026-01-24|3:P-O|6:Office|4:sale|6:107.28</v>
      </c>
      <c r="Q66" s="1">
        <f>1</f>
        <v>1</v>
      </c>
      <c r="R66" s="1" t="b">
        <f>FALSE</f>
        <v>0</v>
      </c>
      <c r="S66" s="1">
        <f>1</f>
        <v>1</v>
      </c>
      <c r="T66" s="1" t="str">
        <f>IF(AND(Raw!A66="",Raw!B66="",Raw!C66="",Raw!D66="",Raw!E66="",Raw!F66="",Raw!G66=""),"UNUSED",IF(A66="","missing line ID",IF(B66="","missing transaction ID",IF(G66="",IF(C66="","missing date","invalid date"),IF(I66="","unknown product",IF(J66="","conflicting category",IF(NOT(OR(EXACT(K66,"sale"),EXACT(K66,"refund"))),"unknown event",IF(OR(N66="",NOT(O66)),"invalid amount",IF(OR(AND(K66="sale",N66&lt;=0),AND(K66="refund",N66&gt;=0)),"invalid sign","")))))))))</f>
        <v/>
      </c>
      <c r="U66" s="1" t="str">
        <f t="shared" si="5"/>
        <v>INCLUDED</v>
      </c>
      <c r="V66" s="1" t="str">
        <f t="shared" si="6"/>
        <v>2026-01</v>
      </c>
      <c r="W66" s="1">
        <f>IF(AND(U66="INCLUDED",X66&gt;0,EXACT(A66,'AI output'!A66)),1,0)</f>
        <v>1</v>
      </c>
      <c r="X66" s="1">
        <f>66</f>
        <v>66</v>
      </c>
      <c r="Y66" s="1">
        <f>IF(AND(U66="INCLUDED",W66=1),--(NOT(EXACT(A66,'AI output'!A66)))+--(NOT(EXACT(B66,'AI output'!B66)))+--(NOT(EXACT(TEXT(G66,"yyyy-mm-dd"),'AI output'!C66)))+--(NOT(EXACT(H66,'AI output'!D66)))+--(NOT(EXACT(J66,'AI output'!E66)))+--(NOT(EXACT(K66,'AI output'!F66)))+--(N66&lt;&gt;'AI output'!L66)+--(NOT('AI output'!M66)),0)</f>
        <v>0</v>
      </c>
      <c r="Z66" s="1">
        <f t="shared" si="7"/>
        <v>0</v>
      </c>
      <c r="AA66" s="1">
        <f>--EXACT(A66,"L00060")</f>
        <v>1</v>
      </c>
    </row>
    <row r="67" spans="1:27" ht="18.95" customHeight="1">
      <c r="A67" s="1" t="str">
        <f>IF(Raw!A67="","",Raw!A67)</f>
        <v>L00061</v>
      </c>
      <c r="B67" s="1" t="str">
        <f>IF(Raw!B67="","",Raw!B67)</f>
        <v>T00031</v>
      </c>
      <c r="C67" s="1" t="str">
        <f>IF(Raw!C67="","",Raw!C67)</f>
        <v>2026-01-31</v>
      </c>
      <c r="D67" s="1">
        <f t="shared" si="0"/>
        <v>2026</v>
      </c>
      <c r="E67" s="1">
        <f>IFERROR(IF(AND(LEN(C67)=10,MID(C67,5,1)="-",MID(C67,8,1)="-"),VALUE(MID(C67,6,2)),IF(AND(LEN(C67)=11,MID(C67,3,1)="-",MID(C67,7,1)="-"),MATCH(UPPER(MID(C67,4,3)),Guide!$D$7:$D$18,0),0)),0)</f>
        <v>1</v>
      </c>
      <c r="F67" s="1">
        <f t="shared" si="1"/>
        <v>31</v>
      </c>
      <c r="G67" s="9">
        <f t="shared" si="2"/>
        <v>46053</v>
      </c>
      <c r="H67" s="1" t="str">
        <f>IF(Raw!D67="","",Raw!D67)</f>
        <v>P-A</v>
      </c>
      <c r="I67" s="1" t="str">
        <f>IFERROR(IF(EXACT(H67,INDEX(Guide!$A$7:$A$9,MATCH(SUBSTITUTE(SUBSTITUTE(SUBSTITUTE(H67,"~","~~"),"*","~*"),"?","~?"),Guide!$A$7:$A$9,0))),INDEX(Guide!$B$7:$B$9,MATCH(SUBSTITUTE(SUBSTITUTE(SUBSTITUTE(H67,"~","~~"),"*","~*"),"?","~?"),Guide!$A$7:$A$9,0)),""),"")</f>
        <v>Accessories</v>
      </c>
      <c r="J67" s="1" t="str">
        <f>IF(TRIM(Raw!E67)="",I67,IF(UPPER(TRIM(Raw!E67))=UPPER(I67),I67,""))</f>
        <v>Accessories</v>
      </c>
      <c r="K67" s="1" t="str">
        <f>IF(Raw!F67="","",Raw!F67)</f>
        <v>sale</v>
      </c>
      <c r="L67" s="1" t="str">
        <f>IF(LEFT(TRIM(Raw!G67),2)="-$","-"&amp;MID(TRIM(Raw!G67),3,99),IF(LEFT(TRIM(Raw!G67),1)="$",MID(TRIM(Raw!G67),2,99),TRIM(Raw!G67)))</f>
        <v>27.19</v>
      </c>
      <c r="M67" s="1">
        <f t="shared" si="3"/>
        <v>27.19</v>
      </c>
      <c r="N67" s="10">
        <f t="shared" si="4"/>
        <v>2719</v>
      </c>
      <c r="O67" s="1" t="b">
        <f>IFERROR(IF(ISNUMBER(Raw!G67),TRUE,OR(EXACT(L67,TEXT(M67,"0.00")),EXACT(L67,TEXT(M67,"#,##0.00")))),FALSE)</f>
        <v>1</v>
      </c>
      <c r="P67" s="1" t="str">
        <f>LEN(IF(Raw!A67="","",Raw!A67))&amp;":"&amp;IF(Raw!A67="","",Raw!A67)&amp;"|"&amp;LEN(IF(Raw!B67="","",Raw!B67))&amp;":"&amp;IF(Raw!B67="","",Raw!B67)&amp;"|"&amp;LEN(IF(Raw!C67="","",Raw!C67))&amp;":"&amp;IF(Raw!C67="","",Raw!C67)&amp;"|"&amp;LEN(IF(Raw!D67="","",Raw!D67))&amp;":"&amp;IF(Raw!D67="","",Raw!D67)&amp;"|"&amp;LEN(IF(Raw!E67="","",Raw!E67))&amp;":"&amp;IF(Raw!E67="","",Raw!E67)&amp;"|"&amp;LEN(IF(Raw!F67="","",Raw!F67))&amp;":"&amp;IF(Raw!F67="","",Raw!F67)&amp;"|"&amp;LEN(IF(Raw!G67="","",Raw!G67))&amp;":"&amp;IF(Raw!G67="","",Raw!G67)</f>
        <v>6:L00061|6:T00031|10:2026-01-31|3:P-A|11:Accessories|4:sale|5:27.19</v>
      </c>
      <c r="Q67" s="1">
        <f>1</f>
        <v>1</v>
      </c>
      <c r="R67" s="1" t="b">
        <f>FALSE</f>
        <v>0</v>
      </c>
      <c r="S67" s="1">
        <f>1</f>
        <v>1</v>
      </c>
      <c r="T67" s="1" t="str">
        <f>IF(AND(Raw!A67="",Raw!B67="",Raw!C67="",Raw!D67="",Raw!E67="",Raw!F67="",Raw!G67=""),"UNUSED",IF(A67="","missing line ID",IF(B67="","missing transaction ID",IF(G67="",IF(C67="","missing date","invalid date"),IF(I67="","unknown product",IF(J67="","conflicting category",IF(NOT(OR(EXACT(K67,"sale"),EXACT(K67,"refund"))),"unknown event",IF(OR(N67="",NOT(O67)),"invalid amount",IF(OR(AND(K67="sale",N67&lt;=0),AND(K67="refund",N67&gt;=0)),"invalid sign","")))))))))</f>
        <v/>
      </c>
      <c r="U67" s="1" t="str">
        <f t="shared" si="5"/>
        <v>INCLUDED</v>
      </c>
      <c r="V67" s="1" t="str">
        <f t="shared" si="6"/>
        <v>2026-01</v>
      </c>
      <c r="W67" s="1">
        <f>IF(AND(U67="INCLUDED",X67&gt;0,EXACT(A67,'AI output'!A67)),1,0)</f>
        <v>1</v>
      </c>
      <c r="X67" s="1">
        <f>67</f>
        <v>67</v>
      </c>
      <c r="Y67" s="1">
        <f>IF(AND(U67="INCLUDED",W67=1),--(NOT(EXACT(A67,'AI output'!A67)))+--(NOT(EXACT(B67,'AI output'!B67)))+--(NOT(EXACT(TEXT(G67,"yyyy-mm-dd"),'AI output'!C67)))+--(NOT(EXACT(H67,'AI output'!D67)))+--(NOT(EXACT(J67,'AI output'!E67)))+--(NOT(EXACT(K67,'AI output'!F67)))+--(N67&lt;&gt;'AI output'!L67)+--(NOT('AI output'!M67)),0)</f>
        <v>0</v>
      </c>
      <c r="Z67" s="1">
        <f t="shared" si="7"/>
        <v>0</v>
      </c>
      <c r="AA67" s="1">
        <f>--EXACT(A67,"L00061")</f>
        <v>1</v>
      </c>
    </row>
    <row r="68" spans="1:27" ht="18.95" customHeight="1">
      <c r="A68" s="1" t="str">
        <f>IF(Raw!A68="","",Raw!A68)</f>
        <v>L00062</v>
      </c>
      <c r="B68" s="1" t="str">
        <f>IF(Raw!B68="","",Raw!B68)</f>
        <v>T00031</v>
      </c>
      <c r="C68" s="1" t="str">
        <f>IF(Raw!C68="","",Raw!C68)</f>
        <v>2026-01-31</v>
      </c>
      <c r="D68" s="1">
        <f t="shared" si="0"/>
        <v>2026</v>
      </c>
      <c r="E68" s="1">
        <f>IFERROR(IF(AND(LEN(C68)=10,MID(C68,5,1)="-",MID(C68,8,1)="-"),VALUE(MID(C68,6,2)),IF(AND(LEN(C68)=11,MID(C68,3,1)="-",MID(C68,7,1)="-"),MATCH(UPPER(MID(C68,4,3)),Guide!$D$7:$D$18,0),0)),0)</f>
        <v>1</v>
      </c>
      <c r="F68" s="1">
        <f t="shared" si="1"/>
        <v>31</v>
      </c>
      <c r="G68" s="9">
        <f t="shared" si="2"/>
        <v>46053</v>
      </c>
      <c r="H68" s="1" t="str">
        <f>IF(Raw!D68="","",Raw!D68)</f>
        <v>P-H</v>
      </c>
      <c r="I68" s="1" t="str">
        <f>IFERROR(IF(EXACT(H68,INDEX(Guide!$A$7:$A$9,MATCH(SUBSTITUTE(SUBSTITUTE(SUBSTITUTE(H68,"~","~~"),"*","~*"),"?","~?"),Guide!$A$7:$A$9,0))),INDEX(Guide!$B$7:$B$9,MATCH(SUBSTITUTE(SUBSTITUTE(SUBSTITUTE(H68,"~","~~"),"*","~*"),"?","~?"),Guide!$A$7:$A$9,0)),""),"")</f>
        <v>Home</v>
      </c>
      <c r="J68" s="1" t="str">
        <f>IF(TRIM(Raw!E68)="",I68,IF(UPPER(TRIM(Raw!E68))=UPPER(I68),I68,""))</f>
        <v>Home</v>
      </c>
      <c r="K68" s="1" t="str">
        <f>IF(Raw!F68="","",Raw!F68)</f>
        <v>sale</v>
      </c>
      <c r="L68" s="1" t="str">
        <f>IF(LEFT(TRIM(Raw!G68),2)="-$","-"&amp;MID(TRIM(Raw!G68),3,99),IF(LEFT(TRIM(Raw!G68),1)="$",MID(TRIM(Raw!G68),2,99),TRIM(Raw!G68)))</f>
        <v>82.68</v>
      </c>
      <c r="M68" s="1">
        <f t="shared" si="3"/>
        <v>82.68</v>
      </c>
      <c r="N68" s="10">
        <f t="shared" si="4"/>
        <v>8268</v>
      </c>
      <c r="O68" s="1" t="b">
        <f>IFERROR(IF(ISNUMBER(Raw!G68),TRUE,OR(EXACT(L68,TEXT(M68,"0.00")),EXACT(L68,TEXT(M68,"#,##0.00")))),FALSE)</f>
        <v>1</v>
      </c>
      <c r="P68" s="1" t="str">
        <f>LEN(IF(Raw!A68="","",Raw!A68))&amp;":"&amp;IF(Raw!A68="","",Raw!A68)&amp;"|"&amp;LEN(IF(Raw!B68="","",Raw!B68))&amp;":"&amp;IF(Raw!B68="","",Raw!B68)&amp;"|"&amp;LEN(IF(Raw!C68="","",Raw!C68))&amp;":"&amp;IF(Raw!C68="","",Raw!C68)&amp;"|"&amp;LEN(IF(Raw!D68="","",Raw!D68))&amp;":"&amp;IF(Raw!D68="","",Raw!D68)&amp;"|"&amp;LEN(IF(Raw!E68="","",Raw!E68))&amp;":"&amp;IF(Raw!E68="","",Raw!E68)&amp;"|"&amp;LEN(IF(Raw!F68="","",Raw!F68))&amp;":"&amp;IF(Raw!F68="","",Raw!F68)&amp;"|"&amp;LEN(IF(Raw!G68="","",Raw!G68))&amp;":"&amp;IF(Raw!G68="","",Raw!G68)</f>
        <v>6:L00062|6:T00031|10:2026-01-31|3:P-H|4:Home|4:sale|5:82.68</v>
      </c>
      <c r="Q68" s="1">
        <f>1</f>
        <v>1</v>
      </c>
      <c r="R68" s="1" t="b">
        <f>FALSE</f>
        <v>0</v>
      </c>
      <c r="S68" s="1">
        <f>1</f>
        <v>1</v>
      </c>
      <c r="T68" s="1" t="str">
        <f>IF(AND(Raw!A68="",Raw!B68="",Raw!C68="",Raw!D68="",Raw!E68="",Raw!F68="",Raw!G68=""),"UNUSED",IF(A68="","missing line ID",IF(B68="","missing transaction ID",IF(G68="",IF(C68="","missing date","invalid date"),IF(I68="","unknown product",IF(J68="","conflicting category",IF(NOT(OR(EXACT(K68,"sale"),EXACT(K68,"refund"))),"unknown event",IF(OR(N68="",NOT(O68)),"invalid amount",IF(OR(AND(K68="sale",N68&lt;=0),AND(K68="refund",N68&gt;=0)),"invalid sign","")))))))))</f>
        <v/>
      </c>
      <c r="U68" s="1" t="str">
        <f t="shared" si="5"/>
        <v>INCLUDED</v>
      </c>
      <c r="V68" s="1" t="str">
        <f t="shared" si="6"/>
        <v>2026-01</v>
      </c>
      <c r="W68" s="1">
        <f>IF(AND(U68="INCLUDED",X68&gt;0,EXACT(A68,'AI output'!A68)),1,0)</f>
        <v>1</v>
      </c>
      <c r="X68" s="1">
        <f>68</f>
        <v>68</v>
      </c>
      <c r="Y68" s="1">
        <f>IF(AND(U68="INCLUDED",W68=1),--(NOT(EXACT(A68,'AI output'!A68)))+--(NOT(EXACT(B68,'AI output'!B68)))+--(NOT(EXACT(TEXT(G68,"yyyy-mm-dd"),'AI output'!C68)))+--(NOT(EXACT(H68,'AI output'!D68)))+--(NOT(EXACT(J68,'AI output'!E68)))+--(NOT(EXACT(K68,'AI output'!F68)))+--(N68&lt;&gt;'AI output'!L68)+--(NOT('AI output'!M68)),0)</f>
        <v>0</v>
      </c>
      <c r="Z68" s="1">
        <f t="shared" si="7"/>
        <v>0</v>
      </c>
      <c r="AA68" s="1">
        <f>--EXACT(A68,"L00062")</f>
        <v>1</v>
      </c>
    </row>
    <row r="69" spans="1:27" ht="18.95" customHeight="1">
      <c r="A69" s="1" t="str">
        <f>IF(Raw!A69="","",Raw!A69)</f>
        <v>L00063</v>
      </c>
      <c r="B69" s="1" t="str">
        <f>IF(Raw!B69="","",Raw!B69)</f>
        <v>T00032</v>
      </c>
      <c r="C69" s="1" t="str">
        <f>IF(Raw!C69="","",Raw!C69)</f>
        <v>2026-02-07</v>
      </c>
      <c r="D69" s="1">
        <f t="shared" si="0"/>
        <v>2026</v>
      </c>
      <c r="E69" s="1">
        <f>IFERROR(IF(AND(LEN(C69)=10,MID(C69,5,1)="-",MID(C69,8,1)="-"),VALUE(MID(C69,6,2)),IF(AND(LEN(C69)=11,MID(C69,3,1)="-",MID(C69,7,1)="-"),MATCH(UPPER(MID(C69,4,3)),Guide!$D$7:$D$18,0),0)),0)</f>
        <v>2</v>
      </c>
      <c r="F69" s="1">
        <f t="shared" si="1"/>
        <v>7</v>
      </c>
      <c r="G69" s="9">
        <f t="shared" si="2"/>
        <v>46060</v>
      </c>
      <c r="H69" s="1" t="str">
        <f>IF(Raw!D69="","",Raw!D69)</f>
        <v>P-O</v>
      </c>
      <c r="I69" s="1" t="str">
        <f>IFERROR(IF(EXACT(H69,INDEX(Guide!$A$7:$A$9,MATCH(SUBSTITUTE(SUBSTITUTE(SUBSTITUTE(H69,"~","~~"),"*","~*"),"?","~?"),Guide!$A$7:$A$9,0))),INDEX(Guide!$B$7:$B$9,MATCH(SUBSTITUTE(SUBSTITUTE(SUBSTITUTE(H69,"~","~~"),"*","~*"),"?","~?"),Guide!$A$7:$A$9,0)),""),"")</f>
        <v>Office</v>
      </c>
      <c r="J69" s="1" t="str">
        <f>IF(TRIM(Raw!E69)="",I69,IF(UPPER(TRIM(Raw!E69))=UPPER(I69),I69,""))</f>
        <v>Office</v>
      </c>
      <c r="K69" s="1" t="str">
        <f>IF(Raw!F69="","",Raw!F69)</f>
        <v>sale</v>
      </c>
      <c r="L69" s="1" t="str">
        <f>IF(LEFT(TRIM(Raw!G69),2)="-$","-"&amp;MID(TRIM(Raw!G69),3,99),IF(LEFT(TRIM(Raw!G69),1)="$",MID(TRIM(Raw!G69),2,99),TRIM(Raw!G69)))</f>
        <v>139.65</v>
      </c>
      <c r="M69" s="1">
        <f t="shared" si="3"/>
        <v>139.65</v>
      </c>
      <c r="N69" s="10">
        <f t="shared" si="4"/>
        <v>13965</v>
      </c>
      <c r="O69" s="1" t="b">
        <f>IFERROR(IF(ISNUMBER(Raw!G69),TRUE,OR(EXACT(L69,TEXT(M69,"0.00")),EXACT(L69,TEXT(M69,"#,##0.00")))),FALSE)</f>
        <v>1</v>
      </c>
      <c r="P69" s="1" t="str">
        <f>LEN(IF(Raw!A69="","",Raw!A69))&amp;":"&amp;IF(Raw!A69="","",Raw!A69)&amp;"|"&amp;LEN(IF(Raw!B69="","",Raw!B69))&amp;":"&amp;IF(Raw!B69="","",Raw!B69)&amp;"|"&amp;LEN(IF(Raw!C69="","",Raw!C69))&amp;":"&amp;IF(Raw!C69="","",Raw!C69)&amp;"|"&amp;LEN(IF(Raw!D69="","",Raw!D69))&amp;":"&amp;IF(Raw!D69="","",Raw!D69)&amp;"|"&amp;LEN(IF(Raw!E69="","",Raw!E69))&amp;":"&amp;IF(Raw!E69="","",Raw!E69)&amp;"|"&amp;LEN(IF(Raw!F69="","",Raw!F69))&amp;":"&amp;IF(Raw!F69="","",Raw!F69)&amp;"|"&amp;LEN(IF(Raw!G69="","",Raw!G69))&amp;":"&amp;IF(Raw!G69="","",Raw!G69)</f>
        <v>6:L00063|6:T00032|10:2026-02-07|3:P-O|6:Office|4:sale|6:139.65</v>
      </c>
      <c r="Q69" s="1">
        <f>1</f>
        <v>1</v>
      </c>
      <c r="R69" s="1" t="b">
        <f>FALSE</f>
        <v>0</v>
      </c>
      <c r="S69" s="1">
        <f>1</f>
        <v>1</v>
      </c>
      <c r="T69" s="1" t="str">
        <f>IF(AND(Raw!A69="",Raw!B69="",Raw!C69="",Raw!D69="",Raw!E69="",Raw!F69="",Raw!G69=""),"UNUSED",IF(A69="","missing line ID",IF(B69="","missing transaction ID",IF(G69="",IF(C69="","missing date","invalid date"),IF(I69="","unknown product",IF(J69="","conflicting category",IF(NOT(OR(EXACT(K69,"sale"),EXACT(K69,"refund"))),"unknown event",IF(OR(N69="",NOT(O69)),"invalid amount",IF(OR(AND(K69="sale",N69&lt;=0),AND(K69="refund",N69&gt;=0)),"invalid sign","")))))))))</f>
        <v/>
      </c>
      <c r="U69" s="1" t="str">
        <f t="shared" si="5"/>
        <v>INCLUDED</v>
      </c>
      <c r="V69" s="1" t="str">
        <f t="shared" si="6"/>
        <v>2026-02</v>
      </c>
      <c r="W69" s="1">
        <f>IF(AND(U69="INCLUDED",X69&gt;0,EXACT(A69,'AI output'!A69)),1,0)</f>
        <v>1</v>
      </c>
      <c r="X69" s="1">
        <f>69</f>
        <v>69</v>
      </c>
      <c r="Y69" s="1">
        <f>IF(AND(U69="INCLUDED",W69=1),--(NOT(EXACT(A69,'AI output'!A69)))+--(NOT(EXACT(B69,'AI output'!B69)))+--(NOT(EXACT(TEXT(G69,"yyyy-mm-dd"),'AI output'!C69)))+--(NOT(EXACT(H69,'AI output'!D69)))+--(NOT(EXACT(J69,'AI output'!E69)))+--(NOT(EXACT(K69,'AI output'!F69)))+--(N69&lt;&gt;'AI output'!L69)+--(NOT('AI output'!M69)),0)</f>
        <v>0</v>
      </c>
      <c r="Z69" s="1">
        <f t="shared" si="7"/>
        <v>0</v>
      </c>
      <c r="AA69" s="1">
        <f>--EXACT(A69,"L00063")</f>
        <v>1</v>
      </c>
    </row>
    <row r="70" spans="1:27" ht="18.95" customHeight="1">
      <c r="A70" s="1" t="str">
        <f>IF(Raw!A70="","",Raw!A70)</f>
        <v>L00064</v>
      </c>
      <c r="B70" s="1" t="str">
        <f>IF(Raw!B70="","",Raw!B70)</f>
        <v>T00032</v>
      </c>
      <c r="C70" s="1" t="str">
        <f>IF(Raw!C70="","",Raw!C70)</f>
        <v>2026-02-07</v>
      </c>
      <c r="D70" s="1">
        <f t="shared" si="0"/>
        <v>2026</v>
      </c>
      <c r="E70" s="1">
        <f>IFERROR(IF(AND(LEN(C70)=10,MID(C70,5,1)="-",MID(C70,8,1)="-"),VALUE(MID(C70,6,2)),IF(AND(LEN(C70)=11,MID(C70,3,1)="-",MID(C70,7,1)="-"),MATCH(UPPER(MID(C70,4,3)),Guide!$D$7:$D$18,0),0)),0)</f>
        <v>2</v>
      </c>
      <c r="F70" s="1">
        <f t="shared" si="1"/>
        <v>7</v>
      </c>
      <c r="G70" s="9">
        <f t="shared" si="2"/>
        <v>46060</v>
      </c>
      <c r="H70" s="1" t="str">
        <f>IF(Raw!D70="","",Raw!D70)</f>
        <v>P-A</v>
      </c>
      <c r="I70" s="1" t="str">
        <f>IFERROR(IF(EXACT(H70,INDEX(Guide!$A$7:$A$9,MATCH(SUBSTITUTE(SUBSTITUTE(SUBSTITUTE(H70,"~","~~"),"*","~*"),"?","~?"),Guide!$A$7:$A$9,0))),INDEX(Guide!$B$7:$B$9,MATCH(SUBSTITUTE(SUBSTITUTE(SUBSTITUTE(H70,"~","~~"),"*","~*"),"?","~?"),Guide!$A$7:$A$9,0)),""),"")</f>
        <v>Accessories</v>
      </c>
      <c r="J70" s="1" t="str">
        <f>IF(TRIM(Raw!E70)="",I70,IF(UPPER(TRIM(Raw!E70))=UPPER(I70),I70,""))</f>
        <v>Accessories</v>
      </c>
      <c r="K70" s="1" t="str">
        <f>IF(Raw!F70="","",Raw!F70)</f>
        <v>sale</v>
      </c>
      <c r="L70" s="1" t="str">
        <f>IF(LEFT(TRIM(Raw!G70),2)="-$","-"&amp;MID(TRIM(Raw!G70),3,99),IF(LEFT(TRIM(Raw!G70),1)="$",MID(TRIM(Raw!G70),2,99),TRIM(Raw!G70)))</f>
        <v>56.60</v>
      </c>
      <c r="M70" s="1">
        <f t="shared" si="3"/>
        <v>56.6</v>
      </c>
      <c r="N70" s="10">
        <f t="shared" si="4"/>
        <v>5660</v>
      </c>
      <c r="O70" s="1" t="b">
        <f>IFERROR(IF(ISNUMBER(Raw!G70),TRUE,OR(EXACT(L70,TEXT(M70,"0.00")),EXACT(L70,TEXT(M70,"#,##0.00")))),FALSE)</f>
        <v>1</v>
      </c>
      <c r="P70" s="1" t="str">
        <f>LEN(IF(Raw!A70="","",Raw!A70))&amp;":"&amp;IF(Raw!A70="","",Raw!A70)&amp;"|"&amp;LEN(IF(Raw!B70="","",Raw!B70))&amp;":"&amp;IF(Raw!B70="","",Raw!B70)&amp;"|"&amp;LEN(IF(Raw!C70="","",Raw!C70))&amp;":"&amp;IF(Raw!C70="","",Raw!C70)&amp;"|"&amp;LEN(IF(Raw!D70="","",Raw!D70))&amp;":"&amp;IF(Raw!D70="","",Raw!D70)&amp;"|"&amp;LEN(IF(Raw!E70="","",Raw!E70))&amp;":"&amp;IF(Raw!E70="","",Raw!E70)&amp;"|"&amp;LEN(IF(Raw!F70="","",Raw!F70))&amp;":"&amp;IF(Raw!F70="","",Raw!F70)&amp;"|"&amp;LEN(IF(Raw!G70="","",Raw!G70))&amp;":"&amp;IF(Raw!G70="","",Raw!G70)</f>
        <v>6:L00064|6:T00032|10:2026-02-07|3:P-A|11:Accessories|4:sale|5:56.60</v>
      </c>
      <c r="Q70" s="1">
        <f>1</f>
        <v>1</v>
      </c>
      <c r="R70" s="1" t="b">
        <f>FALSE</f>
        <v>0</v>
      </c>
      <c r="S70" s="1">
        <f>1</f>
        <v>1</v>
      </c>
      <c r="T70" s="1" t="str">
        <f>IF(AND(Raw!A70="",Raw!B70="",Raw!C70="",Raw!D70="",Raw!E70="",Raw!F70="",Raw!G70=""),"UNUSED",IF(A70="","missing line ID",IF(B70="","missing transaction ID",IF(G70="",IF(C70="","missing date","invalid date"),IF(I70="","unknown product",IF(J70="","conflicting category",IF(NOT(OR(EXACT(K70,"sale"),EXACT(K70,"refund"))),"unknown event",IF(OR(N70="",NOT(O70)),"invalid amount",IF(OR(AND(K70="sale",N70&lt;=0),AND(K70="refund",N70&gt;=0)),"invalid sign","")))))))))</f>
        <v/>
      </c>
      <c r="U70" s="1" t="str">
        <f t="shared" si="5"/>
        <v>INCLUDED</v>
      </c>
      <c r="V70" s="1" t="str">
        <f t="shared" si="6"/>
        <v>2026-02</v>
      </c>
      <c r="W70" s="1">
        <f>IF(AND(U70="INCLUDED",X70&gt;0,EXACT(A70,'AI output'!A70)),1,0)</f>
        <v>1</v>
      </c>
      <c r="X70" s="1">
        <f>70</f>
        <v>70</v>
      </c>
      <c r="Y70" s="1">
        <f>IF(AND(U70="INCLUDED",W70=1),--(NOT(EXACT(A70,'AI output'!A70)))+--(NOT(EXACT(B70,'AI output'!B70)))+--(NOT(EXACT(TEXT(G70,"yyyy-mm-dd"),'AI output'!C70)))+--(NOT(EXACT(H70,'AI output'!D70)))+--(NOT(EXACT(J70,'AI output'!E70)))+--(NOT(EXACT(K70,'AI output'!F70)))+--(N70&lt;&gt;'AI output'!L70)+--(NOT('AI output'!M70)),0)</f>
        <v>0</v>
      </c>
      <c r="Z70" s="1">
        <f t="shared" si="7"/>
        <v>0</v>
      </c>
      <c r="AA70" s="1">
        <f>--EXACT(A70,"L00064")</f>
        <v>1</v>
      </c>
    </row>
    <row r="71" spans="1:27" ht="18.95" customHeight="1">
      <c r="A71" s="1" t="str">
        <f>IF(Raw!A71="","",Raw!A71)</f>
        <v>L00065</v>
      </c>
      <c r="B71" s="1" t="str">
        <f>IF(Raw!B71="","",Raw!B71)</f>
        <v>T00033</v>
      </c>
      <c r="C71" s="1" t="str">
        <f>IF(Raw!C71="","",Raw!C71)</f>
        <v>2026-02-14</v>
      </c>
      <c r="D71" s="1">
        <f t="shared" ref="D71:D134" si="8">IFERROR(IF(AND(LEN(C71)=10,MID(C71,5,1)="-",MID(C71,8,1)="-"),VALUE(LEFT(C71,4)),IF(AND(LEN(C71)=11,MID(C71,3,1)="-",MID(C71,7,1)="-"),VALUE(RIGHT(C71,4)),0)),0)</f>
        <v>2026</v>
      </c>
      <c r="E71" s="1">
        <f>IFERROR(IF(AND(LEN(C71)=10,MID(C71,5,1)="-",MID(C71,8,1)="-"),VALUE(MID(C71,6,2)),IF(AND(LEN(C71)=11,MID(C71,3,1)="-",MID(C71,7,1)="-"),MATCH(UPPER(MID(C71,4,3)),Guide!$D$7:$D$18,0),0)),0)</f>
        <v>2</v>
      </c>
      <c r="F71" s="1">
        <f t="shared" ref="F71:F134" si="9">IFERROR(IF(AND(LEN(C71)=10,MID(C71,5,1)="-",MID(C71,8,1)="-"),VALUE(RIGHT(C71,2)),IF(AND(LEN(C71)=11,MID(C71,3,1)="-",MID(C71,7,1)="-"),VALUE(LEFT(C71,2)),0)),0)</f>
        <v>14</v>
      </c>
      <c r="G71" s="9">
        <f t="shared" ref="G71:G134" si="10">IFERROR(IF(AND(D71&gt;=1900,D71&lt;=9999,YEAR(DATE(D71,E71,F71))=D71,MONTH(DATE(D71,E71,F71))=E71,DAY(DATE(D71,E71,F71))=F71),DATE(D71,E71,F71),""),"")</f>
        <v>46067</v>
      </c>
      <c r="H71" s="1" t="str">
        <f>IF(Raw!D71="","",Raw!D71)</f>
        <v>P-H</v>
      </c>
      <c r="I71" s="1" t="str">
        <f>IFERROR(IF(EXACT(H71,INDEX(Guide!$A$7:$A$9,MATCH(SUBSTITUTE(SUBSTITUTE(SUBSTITUTE(H71,"~","~~"),"*","~*"),"?","~?"),Guide!$A$7:$A$9,0))),INDEX(Guide!$B$7:$B$9,MATCH(SUBSTITUTE(SUBSTITUTE(SUBSTITUTE(H71,"~","~~"),"*","~*"),"?","~?"),Guide!$A$7:$A$9,0)),""),"")</f>
        <v>Home</v>
      </c>
      <c r="J71" s="1" t="str">
        <f>IF(TRIM(Raw!E71)="",I71,IF(UPPER(TRIM(Raw!E71))=UPPER(I71),I71,""))</f>
        <v>Home</v>
      </c>
      <c r="K71" s="1" t="str">
        <f>IF(Raw!F71="","",Raw!F71)</f>
        <v>sale</v>
      </c>
      <c r="L71" s="1" t="str">
        <f>IF(LEFT(TRIM(Raw!G71),2)="-$","-"&amp;MID(TRIM(Raw!G71),3,99),IF(LEFT(TRIM(Raw!G71),1)="$",MID(TRIM(Raw!G71),2,99),TRIM(Raw!G71)))</f>
        <v>114.68</v>
      </c>
      <c r="M71" s="1">
        <f t="shared" ref="M71:M134" si="11">IFERROR(VALUE(L71),"")</f>
        <v>114.68</v>
      </c>
      <c r="N71" s="10">
        <f t="shared" ref="N71:N134" si="12">IF(AND(ISNUMBER(M71),ABS(M71*100-ROUND(M71*100,0))&lt;0.0000001),ROUND(M71*100,0),"")</f>
        <v>11468</v>
      </c>
      <c r="O71" s="1" t="b">
        <f>IFERROR(IF(ISNUMBER(Raw!G71),TRUE,OR(EXACT(L71,TEXT(M71,"0.00")),EXACT(L71,TEXT(M71,"#,##0.00")))),FALSE)</f>
        <v>1</v>
      </c>
      <c r="P71" s="1" t="str">
        <f>LEN(IF(Raw!A71="","",Raw!A71))&amp;":"&amp;IF(Raw!A71="","",Raw!A71)&amp;"|"&amp;LEN(IF(Raw!B71="","",Raw!B71))&amp;":"&amp;IF(Raw!B71="","",Raw!B71)&amp;"|"&amp;LEN(IF(Raw!C71="","",Raw!C71))&amp;":"&amp;IF(Raw!C71="","",Raw!C71)&amp;"|"&amp;LEN(IF(Raw!D71="","",Raw!D71))&amp;":"&amp;IF(Raw!D71="","",Raw!D71)&amp;"|"&amp;LEN(IF(Raw!E71="","",Raw!E71))&amp;":"&amp;IF(Raw!E71="","",Raw!E71)&amp;"|"&amp;LEN(IF(Raw!F71="","",Raw!F71))&amp;":"&amp;IF(Raw!F71="","",Raw!F71)&amp;"|"&amp;LEN(IF(Raw!G71="","",Raw!G71))&amp;":"&amp;IF(Raw!G71="","",Raw!G71)</f>
        <v>6:L00065|6:T00033|10:2026-02-14|3:P-H|4:Home|4:sale|6:114.68</v>
      </c>
      <c r="Q71" s="1">
        <f>1</f>
        <v>1</v>
      </c>
      <c r="R71" s="1" t="b">
        <f>FALSE</f>
        <v>0</v>
      </c>
      <c r="S71" s="1">
        <f>1</f>
        <v>1</v>
      </c>
      <c r="T71" s="1" t="str">
        <f>IF(AND(Raw!A71="",Raw!B71="",Raw!C71="",Raw!D71="",Raw!E71="",Raw!F71="",Raw!G71=""),"UNUSED",IF(A71="","missing line ID",IF(B71="","missing transaction ID",IF(G71="",IF(C71="","missing date","invalid date"),IF(I71="","unknown product",IF(J71="","conflicting category",IF(NOT(OR(EXACT(K71,"sale"),EXACT(K71,"refund"))),"unknown event",IF(OR(N71="",NOT(O71)),"invalid amount",IF(OR(AND(K71="sale",N71&lt;=0),AND(K71="refund",N71&gt;=0)),"invalid sign","")))))))))</f>
        <v/>
      </c>
      <c r="U71" s="1" t="str">
        <f t="shared" ref="U71:U134" si="13">IF(T71="UNUSED","UNUSED",IF(R71,"QUARANTINE",IF(S71&gt;1,"DUPLICATE",IF(T71&lt;&gt;"","QUARANTINE","INCLUDED"))))</f>
        <v>INCLUDED</v>
      </c>
      <c r="V71" s="1" t="str">
        <f t="shared" ref="V71:V134" si="14">IF(G71="","",TEXT(G71,"yyyy-mm"))</f>
        <v>2026-02</v>
      </c>
      <c r="W71" s="1">
        <f>IF(AND(U71="INCLUDED",X71&gt;0,EXACT(A71,'AI output'!A71)),1,0)</f>
        <v>1</v>
      </c>
      <c r="X71" s="1">
        <f>71</f>
        <v>71</v>
      </c>
      <c r="Y71" s="1">
        <f>IF(AND(U71="INCLUDED",W71=1),--(NOT(EXACT(A71,'AI output'!A71)))+--(NOT(EXACT(B71,'AI output'!B71)))+--(NOT(EXACT(TEXT(G71,"yyyy-mm-dd"),'AI output'!C71)))+--(NOT(EXACT(H71,'AI output'!D71)))+--(NOT(EXACT(J71,'AI output'!E71)))+--(NOT(EXACT(K71,'AI output'!F71)))+--(N71&lt;&gt;'AI output'!L71)+--(NOT('AI output'!M71)),0)</f>
        <v>0</v>
      </c>
      <c r="Z71" s="1">
        <f t="shared" ref="Z71:Z134" si="15">IF(U71="INCLUDED",IF(OR(W71&lt;&gt;1,Y71&lt;&gt;0),1,0),0)</f>
        <v>0</v>
      </c>
      <c r="AA71" s="1">
        <f>--EXACT(A71,"L00065")</f>
        <v>1</v>
      </c>
    </row>
    <row r="72" spans="1:27" ht="18.95" customHeight="1">
      <c r="A72" s="1" t="str">
        <f>IF(Raw!A72="","",Raw!A72)</f>
        <v>L00066</v>
      </c>
      <c r="B72" s="1" t="str">
        <f>IF(Raw!B72="","",Raw!B72)</f>
        <v>T00033</v>
      </c>
      <c r="C72" s="1" t="str">
        <f>IF(Raw!C72="","",Raw!C72)</f>
        <v>2026-02-14</v>
      </c>
      <c r="D72" s="1">
        <f t="shared" si="8"/>
        <v>2026</v>
      </c>
      <c r="E72" s="1">
        <f>IFERROR(IF(AND(LEN(C72)=10,MID(C72,5,1)="-",MID(C72,8,1)="-"),VALUE(MID(C72,6,2)),IF(AND(LEN(C72)=11,MID(C72,3,1)="-",MID(C72,7,1)="-"),MATCH(UPPER(MID(C72,4,3)),Guide!$D$7:$D$18,0),0)),0)</f>
        <v>2</v>
      </c>
      <c r="F72" s="1">
        <f t="shared" si="9"/>
        <v>14</v>
      </c>
      <c r="G72" s="9">
        <f t="shared" si="10"/>
        <v>46067</v>
      </c>
      <c r="H72" s="1" t="str">
        <f>IF(Raw!D72="","",Raw!D72)</f>
        <v>P-O</v>
      </c>
      <c r="I72" s="1" t="str">
        <f>IFERROR(IF(EXACT(H72,INDEX(Guide!$A$7:$A$9,MATCH(SUBSTITUTE(SUBSTITUTE(SUBSTITUTE(H72,"~","~~"),"*","~*"),"?","~?"),Guide!$A$7:$A$9,0))),INDEX(Guide!$B$7:$B$9,MATCH(SUBSTITUTE(SUBSTITUTE(SUBSTITUTE(H72,"~","~~"),"*","~*"),"?","~?"),Guide!$A$7:$A$9,0)),""),"")</f>
        <v>Office</v>
      </c>
      <c r="J72" s="1" t="str">
        <f>IF(TRIM(Raw!E72)="",I72,IF(UPPER(TRIM(Raw!E72))=UPPER(I72),I72,""))</f>
        <v>Office</v>
      </c>
      <c r="K72" s="1" t="str">
        <f>IF(Raw!F72="","",Raw!F72)</f>
        <v>sale</v>
      </c>
      <c r="L72" s="1" t="str">
        <f>IF(LEFT(TRIM(Raw!G72),2)="-$","-"&amp;MID(TRIM(Raw!G72),3,99),IF(LEFT(TRIM(Raw!G72),1)="$",MID(TRIM(Raw!G72),2,99),TRIM(Raw!G72)))</f>
        <v>29.04</v>
      </c>
      <c r="M72" s="1">
        <f t="shared" si="11"/>
        <v>29.04</v>
      </c>
      <c r="N72" s="10">
        <f t="shared" si="12"/>
        <v>2904</v>
      </c>
      <c r="O72" s="1" t="b">
        <f>IFERROR(IF(ISNUMBER(Raw!G72),TRUE,OR(EXACT(L72,TEXT(M72,"0.00")),EXACT(L72,TEXT(M72,"#,##0.00")))),FALSE)</f>
        <v>1</v>
      </c>
      <c r="P72" s="1" t="str">
        <f>LEN(IF(Raw!A72="","",Raw!A72))&amp;":"&amp;IF(Raw!A72="","",Raw!A72)&amp;"|"&amp;LEN(IF(Raw!B72="","",Raw!B72))&amp;":"&amp;IF(Raw!B72="","",Raw!B72)&amp;"|"&amp;LEN(IF(Raw!C72="","",Raw!C72))&amp;":"&amp;IF(Raw!C72="","",Raw!C72)&amp;"|"&amp;LEN(IF(Raw!D72="","",Raw!D72))&amp;":"&amp;IF(Raw!D72="","",Raw!D72)&amp;"|"&amp;LEN(IF(Raw!E72="","",Raw!E72))&amp;":"&amp;IF(Raw!E72="","",Raw!E72)&amp;"|"&amp;LEN(IF(Raw!F72="","",Raw!F72))&amp;":"&amp;IF(Raw!F72="","",Raw!F72)&amp;"|"&amp;LEN(IF(Raw!G72="","",Raw!G72))&amp;":"&amp;IF(Raw!G72="","",Raw!G72)</f>
        <v>6:L00066|6:T00033|10:2026-02-14|3:P-O|6:Office|4:sale|5:29.04</v>
      </c>
      <c r="Q72" s="1">
        <f>1</f>
        <v>1</v>
      </c>
      <c r="R72" s="1" t="b">
        <f>FALSE</f>
        <v>0</v>
      </c>
      <c r="S72" s="1">
        <f>1</f>
        <v>1</v>
      </c>
      <c r="T72" s="1" t="str">
        <f>IF(AND(Raw!A72="",Raw!B72="",Raw!C72="",Raw!D72="",Raw!E72="",Raw!F72="",Raw!G72=""),"UNUSED",IF(A72="","missing line ID",IF(B72="","missing transaction ID",IF(G72="",IF(C72="","missing date","invalid date"),IF(I72="","unknown product",IF(J72="","conflicting category",IF(NOT(OR(EXACT(K72,"sale"),EXACT(K72,"refund"))),"unknown event",IF(OR(N72="",NOT(O72)),"invalid amount",IF(OR(AND(K72="sale",N72&lt;=0),AND(K72="refund",N72&gt;=0)),"invalid sign","")))))))))</f>
        <v/>
      </c>
      <c r="U72" s="1" t="str">
        <f t="shared" si="13"/>
        <v>INCLUDED</v>
      </c>
      <c r="V72" s="1" t="str">
        <f t="shared" si="14"/>
        <v>2026-02</v>
      </c>
      <c r="W72" s="1">
        <f>IF(AND(U72="INCLUDED",X72&gt;0,EXACT(A72,'AI output'!A72)),1,0)</f>
        <v>1</v>
      </c>
      <c r="X72" s="1">
        <f>72</f>
        <v>72</v>
      </c>
      <c r="Y72" s="1">
        <f>IF(AND(U72="INCLUDED",W72=1),--(NOT(EXACT(A72,'AI output'!A72)))+--(NOT(EXACT(B72,'AI output'!B72)))+--(NOT(EXACT(TEXT(G72,"yyyy-mm-dd"),'AI output'!C72)))+--(NOT(EXACT(H72,'AI output'!D72)))+--(NOT(EXACT(J72,'AI output'!E72)))+--(NOT(EXACT(K72,'AI output'!F72)))+--(N72&lt;&gt;'AI output'!L72)+--(NOT('AI output'!M72)),0)</f>
        <v>0</v>
      </c>
      <c r="Z72" s="1">
        <f t="shared" si="15"/>
        <v>0</v>
      </c>
      <c r="AA72" s="1">
        <f>--EXACT(A72,"L00066")</f>
        <v>1</v>
      </c>
    </row>
    <row r="73" spans="1:27" ht="18.95" customHeight="1">
      <c r="A73" s="1" t="str">
        <f>IF(Raw!A73="","",Raw!A73)</f>
        <v>L00067</v>
      </c>
      <c r="B73" s="1" t="str">
        <f>IF(Raw!B73="","",Raw!B73)</f>
        <v>T00034</v>
      </c>
      <c r="C73" s="1" t="str">
        <f>IF(Raw!C73="","",Raw!C73)</f>
        <v>2026-02-21</v>
      </c>
      <c r="D73" s="1">
        <f t="shared" si="8"/>
        <v>2026</v>
      </c>
      <c r="E73" s="1">
        <f>IFERROR(IF(AND(LEN(C73)=10,MID(C73,5,1)="-",MID(C73,8,1)="-"),VALUE(MID(C73,6,2)),IF(AND(LEN(C73)=11,MID(C73,3,1)="-",MID(C73,7,1)="-"),MATCH(UPPER(MID(C73,4,3)),Guide!$D$7:$D$18,0),0)),0)</f>
        <v>2</v>
      </c>
      <c r="F73" s="1">
        <f t="shared" si="9"/>
        <v>21</v>
      </c>
      <c r="G73" s="9">
        <f t="shared" si="10"/>
        <v>46074</v>
      </c>
      <c r="H73" s="1" t="str">
        <f>IF(Raw!D73="","",Raw!D73)</f>
        <v>P-A</v>
      </c>
      <c r="I73" s="1" t="str">
        <f>IFERROR(IF(EXACT(H73,INDEX(Guide!$A$7:$A$9,MATCH(SUBSTITUTE(SUBSTITUTE(SUBSTITUTE(H73,"~","~~"),"*","~*"),"?","~?"),Guide!$A$7:$A$9,0))),INDEX(Guide!$B$7:$B$9,MATCH(SUBSTITUTE(SUBSTITUTE(SUBSTITUTE(H73,"~","~~"),"*","~*"),"?","~?"),Guide!$A$7:$A$9,0)),""),"")</f>
        <v>Accessories</v>
      </c>
      <c r="J73" s="1" t="str">
        <f>IF(TRIM(Raw!E73)="",I73,IF(UPPER(TRIM(Raw!E73))=UPPER(I73),I73,""))</f>
        <v>Accessories</v>
      </c>
      <c r="K73" s="1" t="str">
        <f>IF(Raw!F73="","",Raw!F73)</f>
        <v>sale</v>
      </c>
      <c r="L73" s="1" t="str">
        <f>IF(LEFT(TRIM(Raw!G73),2)="-$","-"&amp;MID(TRIM(Raw!G73),3,99),IF(LEFT(TRIM(Raw!G73),1)="$",MID(TRIM(Raw!G73),2,99),TRIM(Raw!G73)))</f>
        <v>88.23</v>
      </c>
      <c r="M73" s="1">
        <f t="shared" si="11"/>
        <v>88.23</v>
      </c>
      <c r="N73" s="10">
        <f t="shared" si="12"/>
        <v>8823</v>
      </c>
      <c r="O73" s="1" t="b">
        <f>IFERROR(IF(ISNUMBER(Raw!G73),TRUE,OR(EXACT(L73,TEXT(M73,"0.00")),EXACT(L73,TEXT(M73,"#,##0.00")))),FALSE)</f>
        <v>1</v>
      </c>
      <c r="P73" s="1" t="str">
        <f>LEN(IF(Raw!A73="","",Raw!A73))&amp;":"&amp;IF(Raw!A73="","",Raw!A73)&amp;"|"&amp;LEN(IF(Raw!B73="","",Raw!B73))&amp;":"&amp;IF(Raw!B73="","",Raw!B73)&amp;"|"&amp;LEN(IF(Raw!C73="","",Raw!C73))&amp;":"&amp;IF(Raw!C73="","",Raw!C73)&amp;"|"&amp;LEN(IF(Raw!D73="","",Raw!D73))&amp;":"&amp;IF(Raw!D73="","",Raw!D73)&amp;"|"&amp;LEN(IF(Raw!E73="","",Raw!E73))&amp;":"&amp;IF(Raw!E73="","",Raw!E73)&amp;"|"&amp;LEN(IF(Raw!F73="","",Raw!F73))&amp;":"&amp;IF(Raw!F73="","",Raw!F73)&amp;"|"&amp;LEN(IF(Raw!G73="","",Raw!G73))&amp;":"&amp;IF(Raw!G73="","",Raw!G73)</f>
        <v>6:L00067|6:T00034|10:2026-02-21|3:P-A|11:Accessories|4:sale|5:88.23</v>
      </c>
      <c r="Q73" s="1">
        <f>1</f>
        <v>1</v>
      </c>
      <c r="R73" s="1" t="b">
        <f>FALSE</f>
        <v>0</v>
      </c>
      <c r="S73" s="1">
        <f>1</f>
        <v>1</v>
      </c>
      <c r="T73" s="1" t="str">
        <f>IF(AND(Raw!A73="",Raw!B73="",Raw!C73="",Raw!D73="",Raw!E73="",Raw!F73="",Raw!G73=""),"UNUSED",IF(A73="","missing line ID",IF(B73="","missing transaction ID",IF(G73="",IF(C73="","missing date","invalid date"),IF(I73="","unknown product",IF(J73="","conflicting category",IF(NOT(OR(EXACT(K73,"sale"),EXACT(K73,"refund"))),"unknown event",IF(OR(N73="",NOT(O73)),"invalid amount",IF(OR(AND(K73="sale",N73&lt;=0),AND(K73="refund",N73&gt;=0)),"invalid sign","")))))))))</f>
        <v/>
      </c>
      <c r="U73" s="1" t="str">
        <f t="shared" si="13"/>
        <v>INCLUDED</v>
      </c>
      <c r="V73" s="1" t="str">
        <f t="shared" si="14"/>
        <v>2026-02</v>
      </c>
      <c r="W73" s="1">
        <f>IF(AND(U73="INCLUDED",X73&gt;0,EXACT(A73,'AI output'!A73)),1,0)</f>
        <v>1</v>
      </c>
      <c r="X73" s="1">
        <f>73</f>
        <v>73</v>
      </c>
      <c r="Y73" s="1">
        <f>IF(AND(U73="INCLUDED",W73=1),--(NOT(EXACT(A73,'AI output'!A73)))+--(NOT(EXACT(B73,'AI output'!B73)))+--(NOT(EXACT(TEXT(G73,"yyyy-mm-dd"),'AI output'!C73)))+--(NOT(EXACT(H73,'AI output'!D73)))+--(NOT(EXACT(J73,'AI output'!E73)))+--(NOT(EXACT(K73,'AI output'!F73)))+--(N73&lt;&gt;'AI output'!L73)+--(NOT('AI output'!M73)),0)</f>
        <v>0</v>
      </c>
      <c r="Z73" s="1">
        <f t="shared" si="15"/>
        <v>0</v>
      </c>
      <c r="AA73" s="1">
        <f>--EXACT(A73,"L00067")</f>
        <v>1</v>
      </c>
    </row>
    <row r="74" spans="1:27" ht="18.95" customHeight="1">
      <c r="A74" s="1" t="str">
        <f>IF(Raw!A74="","",Raw!A74)</f>
        <v>L00068</v>
      </c>
      <c r="B74" s="1" t="str">
        <f>IF(Raw!B74="","",Raw!B74)</f>
        <v>T00034</v>
      </c>
      <c r="C74" s="1" t="str">
        <f>IF(Raw!C74="","",Raw!C74)</f>
        <v>2026-02-21</v>
      </c>
      <c r="D74" s="1">
        <f t="shared" si="8"/>
        <v>2026</v>
      </c>
      <c r="E74" s="1">
        <f>IFERROR(IF(AND(LEN(C74)=10,MID(C74,5,1)="-",MID(C74,8,1)="-"),VALUE(MID(C74,6,2)),IF(AND(LEN(C74)=11,MID(C74,3,1)="-",MID(C74,7,1)="-"),MATCH(UPPER(MID(C74,4,3)),Guide!$D$7:$D$18,0),0)),0)</f>
        <v>2</v>
      </c>
      <c r="F74" s="1">
        <f t="shared" si="9"/>
        <v>21</v>
      </c>
      <c r="G74" s="9">
        <f t="shared" si="10"/>
        <v>46074</v>
      </c>
      <c r="H74" s="1" t="str">
        <f>IF(Raw!D74="","",Raw!D74)</f>
        <v>P-H</v>
      </c>
      <c r="I74" s="1" t="str">
        <f>IFERROR(IF(EXACT(H74,INDEX(Guide!$A$7:$A$9,MATCH(SUBSTITUTE(SUBSTITUTE(SUBSTITUTE(H74,"~","~~"),"*","~*"),"?","~?"),Guide!$A$7:$A$9,0))),INDEX(Guide!$B$7:$B$9,MATCH(SUBSTITUTE(SUBSTITUTE(SUBSTITUTE(H74,"~","~~"),"*","~*"),"?","~?"),Guide!$A$7:$A$9,0)),""),"")</f>
        <v>Home</v>
      </c>
      <c r="J74" s="1" t="str">
        <f>IF(TRIM(Raw!E74)="",I74,IF(UPPER(TRIM(Raw!E74))=UPPER(I74),I74,""))</f>
        <v>Home</v>
      </c>
      <c r="K74" s="1" t="str">
        <f>IF(Raw!F74="","",Raw!F74)</f>
        <v>sale</v>
      </c>
      <c r="L74" s="1" t="str">
        <f>IF(LEFT(TRIM(Raw!G74),2)="-$","-"&amp;MID(TRIM(Raw!G74),3,99),IF(LEFT(TRIM(Raw!G74),1)="$",MID(TRIM(Raw!G74),2,99),TRIM(Raw!G74)))</f>
        <v>148.90</v>
      </c>
      <c r="M74" s="1">
        <f t="shared" si="11"/>
        <v>148.9</v>
      </c>
      <c r="N74" s="10">
        <f t="shared" si="12"/>
        <v>14890</v>
      </c>
      <c r="O74" s="1" t="b">
        <f>IFERROR(IF(ISNUMBER(Raw!G74),TRUE,OR(EXACT(L74,TEXT(M74,"0.00")),EXACT(L74,TEXT(M74,"#,##0.00")))),FALSE)</f>
        <v>1</v>
      </c>
      <c r="P74" s="1" t="str">
        <f>LEN(IF(Raw!A74="","",Raw!A74))&amp;":"&amp;IF(Raw!A74="","",Raw!A74)&amp;"|"&amp;LEN(IF(Raw!B74="","",Raw!B74))&amp;":"&amp;IF(Raw!B74="","",Raw!B74)&amp;"|"&amp;LEN(IF(Raw!C74="","",Raw!C74))&amp;":"&amp;IF(Raw!C74="","",Raw!C74)&amp;"|"&amp;LEN(IF(Raw!D74="","",Raw!D74))&amp;":"&amp;IF(Raw!D74="","",Raw!D74)&amp;"|"&amp;LEN(IF(Raw!E74="","",Raw!E74))&amp;":"&amp;IF(Raw!E74="","",Raw!E74)&amp;"|"&amp;LEN(IF(Raw!F74="","",Raw!F74))&amp;":"&amp;IF(Raw!F74="","",Raw!F74)&amp;"|"&amp;LEN(IF(Raw!G74="","",Raw!G74))&amp;":"&amp;IF(Raw!G74="","",Raw!G74)</f>
        <v>6:L00068|6:T00034|10:2026-02-21|3:P-H|4:Home|4:sale|6:148.90</v>
      </c>
      <c r="Q74" s="1">
        <f>1</f>
        <v>1</v>
      </c>
      <c r="R74" s="1" t="b">
        <f>FALSE</f>
        <v>0</v>
      </c>
      <c r="S74" s="1">
        <f>1</f>
        <v>1</v>
      </c>
      <c r="T74" s="1" t="str">
        <f>IF(AND(Raw!A74="",Raw!B74="",Raw!C74="",Raw!D74="",Raw!E74="",Raw!F74="",Raw!G74=""),"UNUSED",IF(A74="","missing line ID",IF(B74="","missing transaction ID",IF(G74="",IF(C74="","missing date","invalid date"),IF(I74="","unknown product",IF(J74="","conflicting category",IF(NOT(OR(EXACT(K74,"sale"),EXACT(K74,"refund"))),"unknown event",IF(OR(N74="",NOT(O74)),"invalid amount",IF(OR(AND(K74="sale",N74&lt;=0),AND(K74="refund",N74&gt;=0)),"invalid sign","")))))))))</f>
        <v/>
      </c>
      <c r="U74" s="1" t="str">
        <f t="shared" si="13"/>
        <v>INCLUDED</v>
      </c>
      <c r="V74" s="1" t="str">
        <f t="shared" si="14"/>
        <v>2026-02</v>
      </c>
      <c r="W74" s="1">
        <f>IF(AND(U74="INCLUDED",X74&gt;0,EXACT(A74,'AI output'!A74)),1,0)</f>
        <v>1</v>
      </c>
      <c r="X74" s="1">
        <f>74</f>
        <v>74</v>
      </c>
      <c r="Y74" s="1">
        <f>IF(AND(U74="INCLUDED",W74=1),--(NOT(EXACT(A74,'AI output'!A74)))+--(NOT(EXACT(B74,'AI output'!B74)))+--(NOT(EXACT(TEXT(G74,"yyyy-mm-dd"),'AI output'!C74)))+--(NOT(EXACT(H74,'AI output'!D74)))+--(NOT(EXACT(J74,'AI output'!E74)))+--(NOT(EXACT(K74,'AI output'!F74)))+--(N74&lt;&gt;'AI output'!L74)+--(NOT('AI output'!M74)),0)</f>
        <v>0</v>
      </c>
      <c r="Z74" s="1">
        <f t="shared" si="15"/>
        <v>0</v>
      </c>
      <c r="AA74" s="1">
        <f>--EXACT(A74,"L00068")</f>
        <v>1</v>
      </c>
    </row>
    <row r="75" spans="1:27" ht="18.95" customHeight="1">
      <c r="A75" s="1" t="str">
        <f>IF(Raw!A75="","",Raw!A75)</f>
        <v>L00069</v>
      </c>
      <c r="B75" s="1" t="str">
        <f>IF(Raw!B75="","",Raw!B75)</f>
        <v>T00035</v>
      </c>
      <c r="C75" s="1" t="str">
        <f>IF(Raw!C75="","",Raw!C75)</f>
        <v>2026-02-28</v>
      </c>
      <c r="D75" s="1">
        <f t="shared" si="8"/>
        <v>2026</v>
      </c>
      <c r="E75" s="1">
        <f>IFERROR(IF(AND(LEN(C75)=10,MID(C75,5,1)="-",MID(C75,8,1)="-"),VALUE(MID(C75,6,2)),IF(AND(LEN(C75)=11,MID(C75,3,1)="-",MID(C75,7,1)="-"),MATCH(UPPER(MID(C75,4,3)),Guide!$D$7:$D$18,0),0)),0)</f>
        <v>2</v>
      </c>
      <c r="F75" s="1">
        <f t="shared" si="9"/>
        <v>28</v>
      </c>
      <c r="G75" s="9">
        <f t="shared" si="10"/>
        <v>46081</v>
      </c>
      <c r="H75" s="1" t="str">
        <f>IF(Raw!D75="","",Raw!D75)</f>
        <v>P-O</v>
      </c>
      <c r="I75" s="1" t="str">
        <f>IFERROR(IF(EXACT(H75,INDEX(Guide!$A$7:$A$9,MATCH(SUBSTITUTE(SUBSTITUTE(SUBSTITUTE(H75,"~","~~"),"*","~*"),"?","~?"),Guide!$A$7:$A$9,0))),INDEX(Guide!$B$7:$B$9,MATCH(SUBSTITUTE(SUBSTITUTE(SUBSTITUTE(H75,"~","~~"),"*","~*"),"?","~?"),Guide!$A$7:$A$9,0)),""),"")</f>
        <v>Office</v>
      </c>
      <c r="J75" s="1" t="str">
        <f>IF(TRIM(Raw!E75)="",I75,IF(UPPER(TRIM(Raw!E75))=UPPER(I75),I75,""))</f>
        <v>Office</v>
      </c>
      <c r="K75" s="1" t="str">
        <f>IF(Raw!F75="","",Raw!F75)</f>
        <v>sale</v>
      </c>
      <c r="L75" s="1" t="str">
        <f>IF(LEFT(TRIM(Raw!G75),2)="-$","-"&amp;MID(TRIM(Raw!G75),3,99),IF(LEFT(TRIM(Raw!G75),1)="$",MID(TRIM(Raw!G75),2,99),TRIM(Raw!G75)))</f>
        <v>60.30</v>
      </c>
      <c r="M75" s="1">
        <f t="shared" si="11"/>
        <v>60.3</v>
      </c>
      <c r="N75" s="10">
        <f t="shared" si="12"/>
        <v>6030</v>
      </c>
      <c r="O75" s="1" t="b">
        <f>IFERROR(IF(ISNUMBER(Raw!G75),TRUE,OR(EXACT(L75,TEXT(M75,"0.00")),EXACT(L75,TEXT(M75,"#,##0.00")))),FALSE)</f>
        <v>1</v>
      </c>
      <c r="P75" s="1" t="str">
        <f>LEN(IF(Raw!A75="","",Raw!A75))&amp;":"&amp;IF(Raw!A75="","",Raw!A75)&amp;"|"&amp;LEN(IF(Raw!B75="","",Raw!B75))&amp;":"&amp;IF(Raw!B75="","",Raw!B75)&amp;"|"&amp;LEN(IF(Raw!C75="","",Raw!C75))&amp;":"&amp;IF(Raw!C75="","",Raw!C75)&amp;"|"&amp;LEN(IF(Raw!D75="","",Raw!D75))&amp;":"&amp;IF(Raw!D75="","",Raw!D75)&amp;"|"&amp;LEN(IF(Raw!E75="","",Raw!E75))&amp;":"&amp;IF(Raw!E75="","",Raw!E75)&amp;"|"&amp;LEN(IF(Raw!F75="","",Raw!F75))&amp;":"&amp;IF(Raw!F75="","",Raw!F75)&amp;"|"&amp;LEN(IF(Raw!G75="","",Raw!G75))&amp;":"&amp;IF(Raw!G75="","",Raw!G75)</f>
        <v>6:L00069|6:T00035|10:2026-02-28|3:P-O|6:Office|4:sale|5:60.30</v>
      </c>
      <c r="Q75" s="1">
        <f>1</f>
        <v>1</v>
      </c>
      <c r="R75" s="1" t="b">
        <f>FALSE</f>
        <v>0</v>
      </c>
      <c r="S75" s="1">
        <f>1</f>
        <v>1</v>
      </c>
      <c r="T75" s="1" t="str">
        <f>IF(AND(Raw!A75="",Raw!B75="",Raw!C75="",Raw!D75="",Raw!E75="",Raw!F75="",Raw!G75=""),"UNUSED",IF(A75="","missing line ID",IF(B75="","missing transaction ID",IF(G75="",IF(C75="","missing date","invalid date"),IF(I75="","unknown product",IF(J75="","conflicting category",IF(NOT(OR(EXACT(K75,"sale"),EXACT(K75,"refund"))),"unknown event",IF(OR(N75="",NOT(O75)),"invalid amount",IF(OR(AND(K75="sale",N75&lt;=0),AND(K75="refund",N75&gt;=0)),"invalid sign","")))))))))</f>
        <v/>
      </c>
      <c r="U75" s="1" t="str">
        <f t="shared" si="13"/>
        <v>INCLUDED</v>
      </c>
      <c r="V75" s="1" t="str">
        <f t="shared" si="14"/>
        <v>2026-02</v>
      </c>
      <c r="W75" s="1">
        <f>IF(AND(U75="INCLUDED",X75&gt;0,EXACT(A75,'AI output'!A75)),1,0)</f>
        <v>1</v>
      </c>
      <c r="X75" s="1">
        <f>75</f>
        <v>75</v>
      </c>
      <c r="Y75" s="1">
        <f>IF(AND(U75="INCLUDED",W75=1),--(NOT(EXACT(A75,'AI output'!A75)))+--(NOT(EXACT(B75,'AI output'!B75)))+--(NOT(EXACT(TEXT(G75,"yyyy-mm-dd"),'AI output'!C75)))+--(NOT(EXACT(H75,'AI output'!D75)))+--(NOT(EXACT(J75,'AI output'!E75)))+--(NOT(EXACT(K75,'AI output'!F75)))+--(N75&lt;&gt;'AI output'!L75)+--(NOT('AI output'!M75)),0)</f>
        <v>0</v>
      </c>
      <c r="Z75" s="1">
        <f t="shared" si="15"/>
        <v>0</v>
      </c>
      <c r="AA75" s="1">
        <f>--EXACT(A75,"L00069")</f>
        <v>1</v>
      </c>
    </row>
    <row r="76" spans="1:27" ht="18.95" customHeight="1">
      <c r="A76" s="1" t="str">
        <f>IF(Raw!A76="","",Raw!A76)</f>
        <v>L00070</v>
      </c>
      <c r="B76" s="1" t="str">
        <f>IF(Raw!B76="","",Raw!B76)</f>
        <v>T00035</v>
      </c>
      <c r="C76" s="1" t="str">
        <f>IF(Raw!C76="","",Raw!C76)</f>
        <v>2026-02-28</v>
      </c>
      <c r="D76" s="1">
        <f t="shared" si="8"/>
        <v>2026</v>
      </c>
      <c r="E76" s="1">
        <f>IFERROR(IF(AND(LEN(C76)=10,MID(C76,5,1)="-",MID(C76,8,1)="-"),VALUE(MID(C76,6,2)),IF(AND(LEN(C76)=11,MID(C76,3,1)="-",MID(C76,7,1)="-"),MATCH(UPPER(MID(C76,4,3)),Guide!$D$7:$D$18,0),0)),0)</f>
        <v>2</v>
      </c>
      <c r="F76" s="1">
        <f t="shared" si="9"/>
        <v>28</v>
      </c>
      <c r="G76" s="9">
        <f t="shared" si="10"/>
        <v>46081</v>
      </c>
      <c r="H76" s="1" t="str">
        <f>IF(Raw!D76="","",Raw!D76)</f>
        <v>P-A</v>
      </c>
      <c r="I76" s="1" t="str">
        <f>IFERROR(IF(EXACT(H76,INDEX(Guide!$A$7:$A$9,MATCH(SUBSTITUTE(SUBSTITUTE(SUBSTITUTE(H76,"~","~~"),"*","~*"),"?","~?"),Guide!$A$7:$A$9,0))),INDEX(Guide!$B$7:$B$9,MATCH(SUBSTITUTE(SUBSTITUTE(SUBSTITUTE(H76,"~","~~"),"*","~*"),"?","~?"),Guide!$A$7:$A$9,0)),""),"")</f>
        <v>Accessories</v>
      </c>
      <c r="J76" s="1" t="str">
        <f>IF(TRIM(Raw!E76)="",I76,IF(UPPER(TRIM(Raw!E76))=UPPER(I76),I76,""))</f>
        <v>Accessories</v>
      </c>
      <c r="K76" s="1" t="str">
        <f>IF(Raw!F76="","",Raw!F76)</f>
        <v>refund</v>
      </c>
      <c r="L76" s="1" t="str">
        <f>IF(LEFT(TRIM(Raw!G76),2)="-$","-"&amp;MID(TRIM(Raw!G76),3,99),IF(LEFT(TRIM(Raw!G76),1)="$",MID(TRIM(Raw!G76),2,99),TRIM(Raw!G76)))</f>
        <v>-122.08</v>
      </c>
      <c r="M76" s="1">
        <f t="shared" si="11"/>
        <v>-122.08</v>
      </c>
      <c r="N76" s="10">
        <f t="shared" si="12"/>
        <v>-12208</v>
      </c>
      <c r="O76" s="1" t="b">
        <f>IFERROR(IF(ISNUMBER(Raw!G76),TRUE,OR(EXACT(L76,TEXT(M76,"0.00")),EXACT(L76,TEXT(M76,"#,##0.00")))),FALSE)</f>
        <v>1</v>
      </c>
      <c r="P76" s="1" t="str">
        <f>LEN(IF(Raw!A76="","",Raw!A76))&amp;":"&amp;IF(Raw!A76="","",Raw!A76)&amp;"|"&amp;LEN(IF(Raw!B76="","",Raw!B76))&amp;":"&amp;IF(Raw!B76="","",Raw!B76)&amp;"|"&amp;LEN(IF(Raw!C76="","",Raw!C76))&amp;":"&amp;IF(Raw!C76="","",Raw!C76)&amp;"|"&amp;LEN(IF(Raw!D76="","",Raw!D76))&amp;":"&amp;IF(Raw!D76="","",Raw!D76)&amp;"|"&amp;LEN(IF(Raw!E76="","",Raw!E76))&amp;":"&amp;IF(Raw!E76="","",Raw!E76)&amp;"|"&amp;LEN(IF(Raw!F76="","",Raw!F76))&amp;":"&amp;IF(Raw!F76="","",Raw!F76)&amp;"|"&amp;LEN(IF(Raw!G76="","",Raw!G76))&amp;":"&amp;IF(Raw!G76="","",Raw!G76)</f>
        <v>6:L00070|6:T00035|10:2026-02-28|3:P-A|11:Accessories|6:refund|7:-122.08</v>
      </c>
      <c r="Q76" s="1">
        <f>1</f>
        <v>1</v>
      </c>
      <c r="R76" s="1" t="b">
        <f>FALSE</f>
        <v>0</v>
      </c>
      <c r="S76" s="1">
        <f>1</f>
        <v>1</v>
      </c>
      <c r="T76" s="1" t="str">
        <f>IF(AND(Raw!A76="",Raw!B76="",Raw!C76="",Raw!D76="",Raw!E76="",Raw!F76="",Raw!G76=""),"UNUSED",IF(A76="","missing line ID",IF(B76="","missing transaction ID",IF(G76="",IF(C76="","missing date","invalid date"),IF(I76="","unknown product",IF(J76="","conflicting category",IF(NOT(OR(EXACT(K76,"sale"),EXACT(K76,"refund"))),"unknown event",IF(OR(N76="",NOT(O76)),"invalid amount",IF(OR(AND(K76="sale",N76&lt;=0),AND(K76="refund",N76&gt;=0)),"invalid sign","")))))))))</f>
        <v/>
      </c>
      <c r="U76" s="1" t="str">
        <f t="shared" si="13"/>
        <v>INCLUDED</v>
      </c>
      <c r="V76" s="1" t="str">
        <f t="shared" si="14"/>
        <v>2026-02</v>
      </c>
      <c r="W76" s="1">
        <f>IF(AND(U76="INCLUDED",X76&gt;0,EXACT(A76,'AI output'!A76)),1,0)</f>
        <v>1</v>
      </c>
      <c r="X76" s="1">
        <f>76</f>
        <v>76</v>
      </c>
      <c r="Y76" s="1">
        <f>IF(AND(U76="INCLUDED",W76=1),--(NOT(EXACT(A76,'AI output'!A76)))+--(NOT(EXACT(B76,'AI output'!B76)))+--(NOT(EXACT(TEXT(G76,"yyyy-mm-dd"),'AI output'!C76)))+--(NOT(EXACT(H76,'AI output'!D76)))+--(NOT(EXACT(J76,'AI output'!E76)))+--(NOT(EXACT(K76,'AI output'!F76)))+--(N76&lt;&gt;'AI output'!L76)+--(NOT('AI output'!M76)),0)</f>
        <v>0</v>
      </c>
      <c r="Z76" s="1">
        <f t="shared" si="15"/>
        <v>0</v>
      </c>
      <c r="AA76" s="1">
        <f>--EXACT(A76,"L00070")</f>
        <v>1</v>
      </c>
    </row>
    <row r="77" spans="1:27" ht="18.95" customHeight="1">
      <c r="A77" s="1" t="str">
        <f>IF(Raw!A77="","",Raw!A77)</f>
        <v>L00071</v>
      </c>
      <c r="B77" s="1" t="str">
        <f>IF(Raw!B77="","",Raw!B77)</f>
        <v>T00036</v>
      </c>
      <c r="C77" s="1" t="str">
        <f>IF(Raw!C77="","",Raw!C77)</f>
        <v>2026-03-07</v>
      </c>
      <c r="D77" s="1">
        <f t="shared" si="8"/>
        <v>2026</v>
      </c>
      <c r="E77" s="1">
        <f>IFERROR(IF(AND(LEN(C77)=10,MID(C77,5,1)="-",MID(C77,8,1)="-"),VALUE(MID(C77,6,2)),IF(AND(LEN(C77)=11,MID(C77,3,1)="-",MID(C77,7,1)="-"),MATCH(UPPER(MID(C77,4,3)),Guide!$D$7:$D$18,0),0)),0)</f>
        <v>3</v>
      </c>
      <c r="F77" s="1">
        <f t="shared" si="9"/>
        <v>7</v>
      </c>
      <c r="G77" s="9">
        <f t="shared" si="10"/>
        <v>46088</v>
      </c>
      <c r="H77" s="1" t="str">
        <f>IF(Raw!D77="","",Raw!D77)</f>
        <v>P-H</v>
      </c>
      <c r="I77" s="1" t="str">
        <f>IFERROR(IF(EXACT(H77,INDEX(Guide!$A$7:$A$9,MATCH(SUBSTITUTE(SUBSTITUTE(SUBSTITUTE(H77,"~","~~"),"*","~*"),"?","~?"),Guide!$A$7:$A$9,0))),INDEX(Guide!$B$7:$B$9,MATCH(SUBSTITUTE(SUBSTITUTE(SUBSTITUTE(H77,"~","~~"),"*","~*"),"?","~?"),Guide!$A$7:$A$9,0)),""),"")</f>
        <v>Home</v>
      </c>
      <c r="J77" s="1" t="str">
        <f>IF(TRIM(Raw!E77)="",I77,IF(UPPER(TRIM(Raw!E77))=UPPER(I77),I77,""))</f>
        <v>Home</v>
      </c>
      <c r="K77" s="1" t="str">
        <f>IF(Raw!F77="","",Raw!F77)</f>
        <v>sale</v>
      </c>
      <c r="L77" s="1" t="str">
        <f>IF(LEFT(TRIM(Raw!G77),2)="-$","-"&amp;MID(TRIM(Raw!G77),3,99),IF(LEFT(TRIM(Raw!G77),1)="$",MID(TRIM(Raw!G77),2,99),TRIM(Raw!G77)))</f>
        <v>30.89</v>
      </c>
      <c r="M77" s="1">
        <f t="shared" si="11"/>
        <v>30.89</v>
      </c>
      <c r="N77" s="10">
        <f t="shared" si="12"/>
        <v>3089</v>
      </c>
      <c r="O77" s="1" t="b">
        <f>IFERROR(IF(ISNUMBER(Raw!G77),TRUE,OR(EXACT(L77,TEXT(M77,"0.00")),EXACT(L77,TEXT(M77,"#,##0.00")))),FALSE)</f>
        <v>1</v>
      </c>
      <c r="P77" s="1" t="str">
        <f>LEN(IF(Raw!A77="","",Raw!A77))&amp;":"&amp;IF(Raw!A77="","",Raw!A77)&amp;"|"&amp;LEN(IF(Raw!B77="","",Raw!B77))&amp;":"&amp;IF(Raw!B77="","",Raw!B77)&amp;"|"&amp;LEN(IF(Raw!C77="","",Raw!C77))&amp;":"&amp;IF(Raw!C77="","",Raw!C77)&amp;"|"&amp;LEN(IF(Raw!D77="","",Raw!D77))&amp;":"&amp;IF(Raw!D77="","",Raw!D77)&amp;"|"&amp;LEN(IF(Raw!E77="","",Raw!E77))&amp;":"&amp;IF(Raw!E77="","",Raw!E77)&amp;"|"&amp;LEN(IF(Raw!F77="","",Raw!F77))&amp;":"&amp;IF(Raw!F77="","",Raw!F77)&amp;"|"&amp;LEN(IF(Raw!G77="","",Raw!G77))&amp;":"&amp;IF(Raw!G77="","",Raw!G77)</f>
        <v>6:L00071|6:T00036|10:2026-03-07|3:P-H|4:Home|4:sale|5:30.89</v>
      </c>
      <c r="Q77" s="1">
        <f>1</f>
        <v>1</v>
      </c>
      <c r="R77" s="1" t="b">
        <f>FALSE</f>
        <v>0</v>
      </c>
      <c r="S77" s="1">
        <f>1</f>
        <v>1</v>
      </c>
      <c r="T77" s="1" t="str">
        <f>IF(AND(Raw!A77="",Raw!B77="",Raw!C77="",Raw!D77="",Raw!E77="",Raw!F77="",Raw!G77=""),"UNUSED",IF(A77="","missing line ID",IF(B77="","missing transaction ID",IF(G77="",IF(C77="","missing date","invalid date"),IF(I77="","unknown product",IF(J77="","conflicting category",IF(NOT(OR(EXACT(K77,"sale"),EXACT(K77,"refund"))),"unknown event",IF(OR(N77="",NOT(O77)),"invalid amount",IF(OR(AND(K77="sale",N77&lt;=0),AND(K77="refund",N77&gt;=0)),"invalid sign","")))))))))</f>
        <v/>
      </c>
      <c r="U77" s="1" t="str">
        <f t="shared" si="13"/>
        <v>INCLUDED</v>
      </c>
      <c r="V77" s="1" t="str">
        <f t="shared" si="14"/>
        <v>2026-03</v>
      </c>
      <c r="W77" s="1">
        <f>IF(AND(U77="INCLUDED",X77&gt;0,EXACT(A77,'AI output'!A77)),1,0)</f>
        <v>1</v>
      </c>
      <c r="X77" s="1">
        <f>77</f>
        <v>77</v>
      </c>
      <c r="Y77" s="1">
        <f>IF(AND(U77="INCLUDED",W77=1),--(NOT(EXACT(A77,'AI output'!A77)))+--(NOT(EXACT(B77,'AI output'!B77)))+--(NOT(EXACT(TEXT(G77,"yyyy-mm-dd"),'AI output'!C77)))+--(NOT(EXACT(H77,'AI output'!D77)))+--(NOT(EXACT(J77,'AI output'!E77)))+--(NOT(EXACT(K77,'AI output'!F77)))+--(N77&lt;&gt;'AI output'!L77)+--(NOT('AI output'!M77)),0)</f>
        <v>0</v>
      </c>
      <c r="Z77" s="1">
        <f t="shared" si="15"/>
        <v>0</v>
      </c>
      <c r="AA77" s="1">
        <f>--EXACT(A77,"L00071")</f>
        <v>1</v>
      </c>
    </row>
    <row r="78" spans="1:27" ht="18.95" customHeight="1">
      <c r="A78" s="1" t="str">
        <f>IF(Raw!A78="","",Raw!A78)</f>
        <v>L00072</v>
      </c>
      <c r="B78" s="1" t="str">
        <f>IF(Raw!B78="","",Raw!B78)</f>
        <v>T00036</v>
      </c>
      <c r="C78" s="1" t="str">
        <f>IF(Raw!C78="","",Raw!C78)</f>
        <v>2026-03-07</v>
      </c>
      <c r="D78" s="1">
        <f t="shared" si="8"/>
        <v>2026</v>
      </c>
      <c r="E78" s="1">
        <f>IFERROR(IF(AND(LEN(C78)=10,MID(C78,5,1)="-",MID(C78,8,1)="-"),VALUE(MID(C78,6,2)),IF(AND(LEN(C78)=11,MID(C78,3,1)="-",MID(C78,7,1)="-"),MATCH(UPPER(MID(C78,4,3)),Guide!$D$7:$D$18,0),0)),0)</f>
        <v>3</v>
      </c>
      <c r="F78" s="1">
        <f t="shared" si="9"/>
        <v>7</v>
      </c>
      <c r="G78" s="9">
        <f t="shared" si="10"/>
        <v>46088</v>
      </c>
      <c r="H78" s="1" t="str">
        <f>IF(Raw!D78="","",Raw!D78)</f>
        <v>P-O</v>
      </c>
      <c r="I78" s="1" t="str">
        <f>IFERROR(IF(EXACT(H78,INDEX(Guide!$A$7:$A$9,MATCH(SUBSTITUTE(SUBSTITUTE(SUBSTITUTE(H78,"~","~~"),"*","~*"),"?","~?"),Guide!$A$7:$A$9,0))),INDEX(Guide!$B$7:$B$9,MATCH(SUBSTITUTE(SUBSTITUTE(SUBSTITUTE(H78,"~","~~"),"*","~*"),"?","~?"),Guide!$A$7:$A$9,0)),""),"")</f>
        <v>Office</v>
      </c>
      <c r="J78" s="1" t="str">
        <f>IF(TRIM(Raw!E78)="",I78,IF(UPPER(TRIM(Raw!E78))=UPPER(I78),I78,""))</f>
        <v>Office</v>
      </c>
      <c r="K78" s="1" t="str">
        <f>IF(Raw!F78="","",Raw!F78)</f>
        <v>sale</v>
      </c>
      <c r="L78" s="1" t="str">
        <f>IF(LEFT(TRIM(Raw!G78),2)="-$","-"&amp;MID(TRIM(Raw!G78),3,99),IF(LEFT(TRIM(Raw!G78),1)="$",MID(TRIM(Raw!G78),2,99),TRIM(Raw!G78)))</f>
        <v>93.78</v>
      </c>
      <c r="M78" s="1">
        <f t="shared" si="11"/>
        <v>93.78</v>
      </c>
      <c r="N78" s="10">
        <f t="shared" si="12"/>
        <v>9378</v>
      </c>
      <c r="O78" s="1" t="b">
        <f>IFERROR(IF(ISNUMBER(Raw!G78),TRUE,OR(EXACT(L78,TEXT(M78,"0.00")),EXACT(L78,TEXT(M78,"#,##0.00")))),FALSE)</f>
        <v>1</v>
      </c>
      <c r="P78" s="1" t="str">
        <f>LEN(IF(Raw!A78="","",Raw!A78))&amp;":"&amp;IF(Raw!A78="","",Raw!A78)&amp;"|"&amp;LEN(IF(Raw!B78="","",Raw!B78))&amp;":"&amp;IF(Raw!B78="","",Raw!B78)&amp;"|"&amp;LEN(IF(Raw!C78="","",Raw!C78))&amp;":"&amp;IF(Raw!C78="","",Raw!C78)&amp;"|"&amp;LEN(IF(Raw!D78="","",Raw!D78))&amp;":"&amp;IF(Raw!D78="","",Raw!D78)&amp;"|"&amp;LEN(IF(Raw!E78="","",Raw!E78))&amp;":"&amp;IF(Raw!E78="","",Raw!E78)&amp;"|"&amp;LEN(IF(Raw!F78="","",Raw!F78))&amp;":"&amp;IF(Raw!F78="","",Raw!F78)&amp;"|"&amp;LEN(IF(Raw!G78="","",Raw!G78))&amp;":"&amp;IF(Raw!G78="","",Raw!G78)</f>
        <v>6:L00072|6:T00036|10:2026-03-07|3:P-O|6:Office|4:sale|5:93.78</v>
      </c>
      <c r="Q78" s="1">
        <f>1</f>
        <v>1</v>
      </c>
      <c r="R78" s="1" t="b">
        <f>FALSE</f>
        <v>0</v>
      </c>
      <c r="S78" s="1">
        <f>1</f>
        <v>1</v>
      </c>
      <c r="T78" s="1" t="str">
        <f>IF(AND(Raw!A78="",Raw!B78="",Raw!C78="",Raw!D78="",Raw!E78="",Raw!F78="",Raw!G78=""),"UNUSED",IF(A78="","missing line ID",IF(B78="","missing transaction ID",IF(G78="",IF(C78="","missing date","invalid date"),IF(I78="","unknown product",IF(J78="","conflicting category",IF(NOT(OR(EXACT(K78,"sale"),EXACT(K78,"refund"))),"unknown event",IF(OR(N78="",NOT(O78)),"invalid amount",IF(OR(AND(K78="sale",N78&lt;=0),AND(K78="refund",N78&gt;=0)),"invalid sign","")))))))))</f>
        <v/>
      </c>
      <c r="U78" s="1" t="str">
        <f t="shared" si="13"/>
        <v>INCLUDED</v>
      </c>
      <c r="V78" s="1" t="str">
        <f t="shared" si="14"/>
        <v>2026-03</v>
      </c>
      <c r="W78" s="1">
        <f>IF(AND(U78="INCLUDED",X78&gt;0,EXACT(A78,'AI output'!A78)),1,0)</f>
        <v>1</v>
      </c>
      <c r="X78" s="1">
        <f>78</f>
        <v>78</v>
      </c>
      <c r="Y78" s="1">
        <f>IF(AND(U78="INCLUDED",W78=1),--(NOT(EXACT(A78,'AI output'!A78)))+--(NOT(EXACT(B78,'AI output'!B78)))+--(NOT(EXACT(TEXT(G78,"yyyy-mm-dd"),'AI output'!C78)))+--(NOT(EXACT(H78,'AI output'!D78)))+--(NOT(EXACT(J78,'AI output'!E78)))+--(NOT(EXACT(K78,'AI output'!F78)))+--(N78&lt;&gt;'AI output'!L78)+--(NOT('AI output'!M78)),0)</f>
        <v>0</v>
      </c>
      <c r="Z78" s="1">
        <f t="shared" si="15"/>
        <v>0</v>
      </c>
      <c r="AA78" s="1">
        <f>--EXACT(A78,"L00072")</f>
        <v>1</v>
      </c>
    </row>
    <row r="79" spans="1:27" ht="18.95" customHeight="1">
      <c r="A79" s="1" t="str">
        <f>IF(Raw!A79="","",Raw!A79)</f>
        <v>L00073</v>
      </c>
      <c r="B79" s="1" t="str">
        <f>IF(Raw!B79="","",Raw!B79)</f>
        <v>T00037</v>
      </c>
      <c r="C79" s="1" t="str">
        <f>IF(Raw!C79="","",Raw!C79)</f>
        <v>2026-03-14</v>
      </c>
      <c r="D79" s="1">
        <f t="shared" si="8"/>
        <v>2026</v>
      </c>
      <c r="E79" s="1">
        <f>IFERROR(IF(AND(LEN(C79)=10,MID(C79,5,1)="-",MID(C79,8,1)="-"),VALUE(MID(C79,6,2)),IF(AND(LEN(C79)=11,MID(C79,3,1)="-",MID(C79,7,1)="-"),MATCH(UPPER(MID(C79,4,3)),Guide!$D$7:$D$18,0),0)),0)</f>
        <v>3</v>
      </c>
      <c r="F79" s="1">
        <f t="shared" si="9"/>
        <v>14</v>
      </c>
      <c r="G79" s="9">
        <f t="shared" si="10"/>
        <v>46095</v>
      </c>
      <c r="H79" s="1" t="str">
        <f>IF(Raw!D79="","",Raw!D79)</f>
        <v>P-A</v>
      </c>
      <c r="I79" s="1" t="str">
        <f>IFERROR(IF(EXACT(H79,INDEX(Guide!$A$7:$A$9,MATCH(SUBSTITUTE(SUBSTITUTE(SUBSTITUTE(H79,"~","~~"),"*","~*"),"?","~?"),Guide!$A$7:$A$9,0))),INDEX(Guide!$B$7:$B$9,MATCH(SUBSTITUTE(SUBSTITUTE(SUBSTITUTE(H79,"~","~~"),"*","~*"),"?","~?"),Guide!$A$7:$A$9,0)),""),"")</f>
        <v>Accessories</v>
      </c>
      <c r="J79" s="1" t="str">
        <f>IF(TRIM(Raw!E79)="",I79,IF(UPPER(TRIM(Raw!E79))=UPPER(I79),I79,""))</f>
        <v>Accessories</v>
      </c>
      <c r="K79" s="1" t="str">
        <f>IF(Raw!F79="","",Raw!F79)</f>
        <v>sale</v>
      </c>
      <c r="L79" s="1" t="str">
        <f>IF(LEFT(TRIM(Raw!G79),2)="-$","-"&amp;MID(TRIM(Raw!G79),3,99),IF(LEFT(TRIM(Raw!G79),1)="$",MID(TRIM(Raw!G79),2,99),TRIM(Raw!G79)))</f>
        <v>158.15</v>
      </c>
      <c r="M79" s="1">
        <f t="shared" si="11"/>
        <v>158.15</v>
      </c>
      <c r="N79" s="10">
        <f t="shared" si="12"/>
        <v>15815</v>
      </c>
      <c r="O79" s="1" t="b">
        <f>IFERROR(IF(ISNUMBER(Raw!G79),TRUE,OR(EXACT(L79,TEXT(M79,"0.00")),EXACT(L79,TEXT(M79,"#,##0.00")))),FALSE)</f>
        <v>1</v>
      </c>
      <c r="P79" s="1" t="str">
        <f>LEN(IF(Raw!A79="","",Raw!A79))&amp;":"&amp;IF(Raw!A79="","",Raw!A79)&amp;"|"&amp;LEN(IF(Raw!B79="","",Raw!B79))&amp;":"&amp;IF(Raw!B79="","",Raw!B79)&amp;"|"&amp;LEN(IF(Raw!C79="","",Raw!C79))&amp;":"&amp;IF(Raw!C79="","",Raw!C79)&amp;"|"&amp;LEN(IF(Raw!D79="","",Raw!D79))&amp;":"&amp;IF(Raw!D79="","",Raw!D79)&amp;"|"&amp;LEN(IF(Raw!E79="","",Raw!E79))&amp;":"&amp;IF(Raw!E79="","",Raw!E79)&amp;"|"&amp;LEN(IF(Raw!F79="","",Raw!F79))&amp;":"&amp;IF(Raw!F79="","",Raw!F79)&amp;"|"&amp;LEN(IF(Raw!G79="","",Raw!G79))&amp;":"&amp;IF(Raw!G79="","",Raw!G79)</f>
        <v>6:L00073|6:T00037|10:2026-03-14|3:P-A|11:Accessories|4:sale|6:158.15</v>
      </c>
      <c r="Q79" s="1">
        <f>1</f>
        <v>1</v>
      </c>
      <c r="R79" s="1" t="b">
        <f>FALSE</f>
        <v>0</v>
      </c>
      <c r="S79" s="1">
        <f>1</f>
        <v>1</v>
      </c>
      <c r="T79" s="1" t="str">
        <f>IF(AND(Raw!A79="",Raw!B79="",Raw!C79="",Raw!D79="",Raw!E79="",Raw!F79="",Raw!G79=""),"UNUSED",IF(A79="","missing line ID",IF(B79="","missing transaction ID",IF(G79="",IF(C79="","missing date","invalid date"),IF(I79="","unknown product",IF(J79="","conflicting category",IF(NOT(OR(EXACT(K79,"sale"),EXACT(K79,"refund"))),"unknown event",IF(OR(N79="",NOT(O79)),"invalid amount",IF(OR(AND(K79="sale",N79&lt;=0),AND(K79="refund",N79&gt;=0)),"invalid sign","")))))))))</f>
        <v/>
      </c>
      <c r="U79" s="1" t="str">
        <f t="shared" si="13"/>
        <v>INCLUDED</v>
      </c>
      <c r="V79" s="1" t="str">
        <f t="shared" si="14"/>
        <v>2026-03</v>
      </c>
      <c r="W79" s="1">
        <f>IF(AND(U79="INCLUDED",X79&gt;0,EXACT(A79,'AI output'!A79)),1,0)</f>
        <v>1</v>
      </c>
      <c r="X79" s="1">
        <f>79</f>
        <v>79</v>
      </c>
      <c r="Y79" s="1">
        <f>IF(AND(U79="INCLUDED",W79=1),--(NOT(EXACT(A79,'AI output'!A79)))+--(NOT(EXACT(B79,'AI output'!B79)))+--(NOT(EXACT(TEXT(G79,"yyyy-mm-dd"),'AI output'!C79)))+--(NOT(EXACT(H79,'AI output'!D79)))+--(NOT(EXACT(J79,'AI output'!E79)))+--(NOT(EXACT(K79,'AI output'!F79)))+--(N79&lt;&gt;'AI output'!L79)+--(NOT('AI output'!M79)),0)</f>
        <v>0</v>
      </c>
      <c r="Z79" s="1">
        <f t="shared" si="15"/>
        <v>0</v>
      </c>
      <c r="AA79" s="1">
        <f>--EXACT(A79,"L00073")</f>
        <v>1</v>
      </c>
    </row>
    <row r="80" spans="1:27" ht="18.95" customHeight="1">
      <c r="A80" s="1" t="str">
        <f>IF(Raw!A80="","",Raw!A80)</f>
        <v>L00074</v>
      </c>
      <c r="B80" s="1" t="str">
        <f>IF(Raw!B80="","",Raw!B80)</f>
        <v>T00037</v>
      </c>
      <c r="C80" s="1" t="str">
        <f>IF(Raw!C80="","",Raw!C80)</f>
        <v>2026-03-14</v>
      </c>
      <c r="D80" s="1">
        <f t="shared" si="8"/>
        <v>2026</v>
      </c>
      <c r="E80" s="1">
        <f>IFERROR(IF(AND(LEN(C80)=10,MID(C80,5,1)="-",MID(C80,8,1)="-"),VALUE(MID(C80,6,2)),IF(AND(LEN(C80)=11,MID(C80,3,1)="-",MID(C80,7,1)="-"),MATCH(UPPER(MID(C80,4,3)),Guide!$D$7:$D$18,0),0)),0)</f>
        <v>3</v>
      </c>
      <c r="F80" s="1">
        <f t="shared" si="9"/>
        <v>14</v>
      </c>
      <c r="G80" s="9">
        <f t="shared" si="10"/>
        <v>46095</v>
      </c>
      <c r="H80" s="1" t="str">
        <f>IF(Raw!D80="","",Raw!D80)</f>
        <v>P-H</v>
      </c>
      <c r="I80" s="1" t="str">
        <f>IFERROR(IF(EXACT(H80,INDEX(Guide!$A$7:$A$9,MATCH(SUBSTITUTE(SUBSTITUTE(SUBSTITUTE(H80,"~","~~"),"*","~*"),"?","~?"),Guide!$A$7:$A$9,0))),INDEX(Guide!$B$7:$B$9,MATCH(SUBSTITUTE(SUBSTITUTE(SUBSTITUTE(H80,"~","~~"),"*","~*"),"?","~?"),Guide!$A$7:$A$9,0)),""),"")</f>
        <v>Home</v>
      </c>
      <c r="J80" s="1" t="str">
        <f>IF(TRIM(Raw!E80)="",I80,IF(UPPER(TRIM(Raw!E80))=UPPER(I80),I80,""))</f>
        <v>Home</v>
      </c>
      <c r="K80" s="1" t="str">
        <f>IF(Raw!F80="","",Raw!F80)</f>
        <v>sale</v>
      </c>
      <c r="L80" s="1" t="str">
        <f>IF(LEFT(TRIM(Raw!G80),2)="-$","-"&amp;MID(TRIM(Raw!G80),3,99),IF(LEFT(TRIM(Raw!G80),1)="$",MID(TRIM(Raw!G80),2,99),TRIM(Raw!G80)))</f>
        <v>64.00</v>
      </c>
      <c r="M80" s="1">
        <f t="shared" si="11"/>
        <v>64</v>
      </c>
      <c r="N80" s="10">
        <f t="shared" si="12"/>
        <v>6400</v>
      </c>
      <c r="O80" s="1" t="b">
        <f>IFERROR(IF(ISNUMBER(Raw!G80),TRUE,OR(EXACT(L80,TEXT(M80,"0.00")),EXACT(L80,TEXT(M80,"#,##0.00")))),FALSE)</f>
        <v>1</v>
      </c>
      <c r="P80" s="1" t="str">
        <f>LEN(IF(Raw!A80="","",Raw!A80))&amp;":"&amp;IF(Raw!A80="","",Raw!A80)&amp;"|"&amp;LEN(IF(Raw!B80="","",Raw!B80))&amp;":"&amp;IF(Raw!B80="","",Raw!B80)&amp;"|"&amp;LEN(IF(Raw!C80="","",Raw!C80))&amp;":"&amp;IF(Raw!C80="","",Raw!C80)&amp;"|"&amp;LEN(IF(Raw!D80="","",Raw!D80))&amp;":"&amp;IF(Raw!D80="","",Raw!D80)&amp;"|"&amp;LEN(IF(Raw!E80="","",Raw!E80))&amp;":"&amp;IF(Raw!E80="","",Raw!E80)&amp;"|"&amp;LEN(IF(Raw!F80="","",Raw!F80))&amp;":"&amp;IF(Raw!F80="","",Raw!F80)&amp;"|"&amp;LEN(IF(Raw!G80="","",Raw!G80))&amp;":"&amp;IF(Raw!G80="","",Raw!G80)</f>
        <v>6:L00074|6:T00037|10:2026-03-14|3:P-H|4:Home|4:sale|5:64.00</v>
      </c>
      <c r="Q80" s="1">
        <f>1</f>
        <v>1</v>
      </c>
      <c r="R80" s="1" t="b">
        <f>FALSE</f>
        <v>0</v>
      </c>
      <c r="S80" s="1">
        <f>1</f>
        <v>1</v>
      </c>
      <c r="T80" s="1" t="str">
        <f>IF(AND(Raw!A80="",Raw!B80="",Raw!C80="",Raw!D80="",Raw!E80="",Raw!F80="",Raw!G80=""),"UNUSED",IF(A80="","missing line ID",IF(B80="","missing transaction ID",IF(G80="",IF(C80="","missing date","invalid date"),IF(I80="","unknown product",IF(J80="","conflicting category",IF(NOT(OR(EXACT(K80,"sale"),EXACT(K80,"refund"))),"unknown event",IF(OR(N80="",NOT(O80)),"invalid amount",IF(OR(AND(K80="sale",N80&lt;=0),AND(K80="refund",N80&gt;=0)),"invalid sign","")))))))))</f>
        <v/>
      </c>
      <c r="U80" s="1" t="str">
        <f t="shared" si="13"/>
        <v>INCLUDED</v>
      </c>
      <c r="V80" s="1" t="str">
        <f t="shared" si="14"/>
        <v>2026-03</v>
      </c>
      <c r="W80" s="1">
        <f>IF(AND(U80="INCLUDED",X80&gt;0,EXACT(A80,'AI output'!A80)),1,0)</f>
        <v>1</v>
      </c>
      <c r="X80" s="1">
        <f>80</f>
        <v>80</v>
      </c>
      <c r="Y80" s="1">
        <f>IF(AND(U80="INCLUDED",W80=1),--(NOT(EXACT(A80,'AI output'!A80)))+--(NOT(EXACT(B80,'AI output'!B80)))+--(NOT(EXACT(TEXT(G80,"yyyy-mm-dd"),'AI output'!C80)))+--(NOT(EXACT(H80,'AI output'!D80)))+--(NOT(EXACT(J80,'AI output'!E80)))+--(NOT(EXACT(K80,'AI output'!F80)))+--(N80&lt;&gt;'AI output'!L80)+--(NOT('AI output'!M80)),0)</f>
        <v>0</v>
      </c>
      <c r="Z80" s="1">
        <f t="shared" si="15"/>
        <v>0</v>
      </c>
      <c r="AA80" s="1">
        <f>--EXACT(A80,"L00074")</f>
        <v>1</v>
      </c>
    </row>
    <row r="81" spans="1:27" ht="18.95" customHeight="1">
      <c r="A81" s="1" t="str">
        <f>IF(Raw!A81="","",Raw!A81)</f>
        <v>L00075</v>
      </c>
      <c r="B81" s="1" t="str">
        <f>IF(Raw!B81="","",Raw!B81)</f>
        <v>T00038</v>
      </c>
      <c r="C81" s="1" t="str">
        <f>IF(Raw!C81="","",Raw!C81)</f>
        <v>2026-03-21</v>
      </c>
      <c r="D81" s="1">
        <f t="shared" si="8"/>
        <v>2026</v>
      </c>
      <c r="E81" s="1">
        <f>IFERROR(IF(AND(LEN(C81)=10,MID(C81,5,1)="-",MID(C81,8,1)="-"),VALUE(MID(C81,6,2)),IF(AND(LEN(C81)=11,MID(C81,3,1)="-",MID(C81,7,1)="-"),MATCH(UPPER(MID(C81,4,3)),Guide!$D$7:$D$18,0),0)),0)</f>
        <v>3</v>
      </c>
      <c r="F81" s="1">
        <f t="shared" si="9"/>
        <v>21</v>
      </c>
      <c r="G81" s="9">
        <f t="shared" si="10"/>
        <v>46102</v>
      </c>
      <c r="H81" s="1" t="str">
        <f>IF(Raw!D81="","",Raw!D81)</f>
        <v>P-O</v>
      </c>
      <c r="I81" s="1" t="str">
        <f>IFERROR(IF(EXACT(H81,INDEX(Guide!$A$7:$A$9,MATCH(SUBSTITUTE(SUBSTITUTE(SUBSTITUTE(H81,"~","~~"),"*","~*"),"?","~?"),Guide!$A$7:$A$9,0))),INDEX(Guide!$B$7:$B$9,MATCH(SUBSTITUTE(SUBSTITUTE(SUBSTITUTE(H81,"~","~~"),"*","~*"),"?","~?"),Guide!$A$7:$A$9,0)),""),"")</f>
        <v>Office</v>
      </c>
      <c r="J81" s="1" t="str">
        <f>IF(TRIM(Raw!E81)="",I81,IF(UPPER(TRIM(Raw!E81))=UPPER(I81),I81,""))</f>
        <v>Office</v>
      </c>
      <c r="K81" s="1" t="str">
        <f>IF(Raw!F81="","",Raw!F81)</f>
        <v>sale</v>
      </c>
      <c r="L81" s="1" t="str">
        <f>IF(LEFT(TRIM(Raw!G81),2)="-$","-"&amp;MID(TRIM(Raw!G81),3,99),IF(LEFT(TRIM(Raw!G81),1)="$",MID(TRIM(Raw!G81),2,99),TRIM(Raw!G81)))</f>
        <v>129.48</v>
      </c>
      <c r="M81" s="1">
        <f t="shared" si="11"/>
        <v>129.47999999999999</v>
      </c>
      <c r="N81" s="10">
        <f t="shared" si="12"/>
        <v>12948</v>
      </c>
      <c r="O81" s="1" t="b">
        <f>IFERROR(IF(ISNUMBER(Raw!G81),TRUE,OR(EXACT(L81,TEXT(M81,"0.00")),EXACT(L81,TEXT(M81,"#,##0.00")))),FALSE)</f>
        <v>1</v>
      </c>
      <c r="P81" s="1" t="str">
        <f>LEN(IF(Raw!A81="","",Raw!A81))&amp;":"&amp;IF(Raw!A81="","",Raw!A81)&amp;"|"&amp;LEN(IF(Raw!B81="","",Raw!B81))&amp;":"&amp;IF(Raw!B81="","",Raw!B81)&amp;"|"&amp;LEN(IF(Raw!C81="","",Raw!C81))&amp;":"&amp;IF(Raw!C81="","",Raw!C81)&amp;"|"&amp;LEN(IF(Raw!D81="","",Raw!D81))&amp;":"&amp;IF(Raw!D81="","",Raw!D81)&amp;"|"&amp;LEN(IF(Raw!E81="","",Raw!E81))&amp;":"&amp;IF(Raw!E81="","",Raw!E81)&amp;"|"&amp;LEN(IF(Raw!F81="","",Raw!F81))&amp;":"&amp;IF(Raw!F81="","",Raw!F81)&amp;"|"&amp;LEN(IF(Raw!G81="","",Raw!G81))&amp;":"&amp;IF(Raw!G81="","",Raw!G81)</f>
        <v>6:L00075|6:T00038|10:2026-03-21|3:P-O|6:Office|4:sale|6:129.48</v>
      </c>
      <c r="Q81" s="1">
        <f>1</f>
        <v>1</v>
      </c>
      <c r="R81" s="1" t="b">
        <f>FALSE</f>
        <v>0</v>
      </c>
      <c r="S81" s="1">
        <f>1</f>
        <v>1</v>
      </c>
      <c r="T81" s="1" t="str">
        <f>IF(AND(Raw!A81="",Raw!B81="",Raw!C81="",Raw!D81="",Raw!E81="",Raw!F81="",Raw!G81=""),"UNUSED",IF(A81="","missing line ID",IF(B81="","missing transaction ID",IF(G81="",IF(C81="","missing date","invalid date"),IF(I81="","unknown product",IF(J81="","conflicting category",IF(NOT(OR(EXACT(K81,"sale"),EXACT(K81,"refund"))),"unknown event",IF(OR(N81="",NOT(O81)),"invalid amount",IF(OR(AND(K81="sale",N81&lt;=0),AND(K81="refund",N81&gt;=0)),"invalid sign","")))))))))</f>
        <v/>
      </c>
      <c r="U81" s="1" t="str">
        <f t="shared" si="13"/>
        <v>INCLUDED</v>
      </c>
      <c r="V81" s="1" t="str">
        <f t="shared" si="14"/>
        <v>2026-03</v>
      </c>
      <c r="W81" s="1">
        <f>IF(AND(U81="INCLUDED",X81&gt;0,EXACT(A81,'AI output'!A81)),1,0)</f>
        <v>1</v>
      </c>
      <c r="X81" s="1">
        <f>81</f>
        <v>81</v>
      </c>
      <c r="Y81" s="1">
        <f>IF(AND(U81="INCLUDED",W81=1),--(NOT(EXACT(A81,'AI output'!A81)))+--(NOT(EXACT(B81,'AI output'!B81)))+--(NOT(EXACT(TEXT(G81,"yyyy-mm-dd"),'AI output'!C81)))+--(NOT(EXACT(H81,'AI output'!D81)))+--(NOT(EXACT(J81,'AI output'!E81)))+--(NOT(EXACT(K81,'AI output'!F81)))+--(N81&lt;&gt;'AI output'!L81)+--(NOT('AI output'!M81)),0)</f>
        <v>0</v>
      </c>
      <c r="Z81" s="1">
        <f t="shared" si="15"/>
        <v>0</v>
      </c>
      <c r="AA81" s="1">
        <f>--EXACT(A81,"L00075")</f>
        <v>1</v>
      </c>
    </row>
    <row r="82" spans="1:27" ht="18.95" customHeight="1">
      <c r="A82" s="1" t="str">
        <f>IF(Raw!A82="","",Raw!A82)</f>
        <v>L00076</v>
      </c>
      <c r="B82" s="1" t="str">
        <f>IF(Raw!B82="","",Raw!B82)</f>
        <v>T00038</v>
      </c>
      <c r="C82" s="1" t="str">
        <f>IF(Raw!C82="","",Raw!C82)</f>
        <v>2026-03-21</v>
      </c>
      <c r="D82" s="1">
        <f t="shared" si="8"/>
        <v>2026</v>
      </c>
      <c r="E82" s="1">
        <f>IFERROR(IF(AND(LEN(C82)=10,MID(C82,5,1)="-",MID(C82,8,1)="-"),VALUE(MID(C82,6,2)),IF(AND(LEN(C82)=11,MID(C82,3,1)="-",MID(C82,7,1)="-"),MATCH(UPPER(MID(C82,4,3)),Guide!$D$7:$D$18,0),0)),0)</f>
        <v>3</v>
      </c>
      <c r="F82" s="1">
        <f t="shared" si="9"/>
        <v>21</v>
      </c>
      <c r="G82" s="9">
        <f t="shared" si="10"/>
        <v>46102</v>
      </c>
      <c r="H82" s="1" t="str">
        <f>IF(Raw!D82="","",Raw!D82)</f>
        <v>P-A</v>
      </c>
      <c r="I82" s="1" t="str">
        <f>IFERROR(IF(EXACT(H82,INDEX(Guide!$A$7:$A$9,MATCH(SUBSTITUTE(SUBSTITUTE(SUBSTITUTE(H82,"~","~~"),"*","~*"),"?","~?"),Guide!$A$7:$A$9,0))),INDEX(Guide!$B$7:$B$9,MATCH(SUBSTITUTE(SUBSTITUTE(SUBSTITUTE(H82,"~","~~"),"*","~*"),"?","~?"),Guide!$A$7:$A$9,0)),""),"")</f>
        <v>Accessories</v>
      </c>
      <c r="J82" s="1" t="str">
        <f>IF(TRIM(Raw!E82)="",I82,IF(UPPER(TRIM(Raw!E82))=UPPER(I82),I82,""))</f>
        <v>Accessories</v>
      </c>
      <c r="K82" s="1" t="str">
        <f>IF(Raw!F82="","",Raw!F82)</f>
        <v>sale</v>
      </c>
      <c r="L82" s="1" t="str">
        <f>IF(LEFT(TRIM(Raw!G82),2)="-$","-"&amp;MID(TRIM(Raw!G82),3,99),IF(LEFT(TRIM(Raw!G82),1)="$",MID(TRIM(Raw!G82),2,99),TRIM(Raw!G82)))</f>
        <v>32.74</v>
      </c>
      <c r="M82" s="1">
        <f t="shared" si="11"/>
        <v>32.74</v>
      </c>
      <c r="N82" s="10">
        <f t="shared" si="12"/>
        <v>3274</v>
      </c>
      <c r="O82" s="1" t="b">
        <f>IFERROR(IF(ISNUMBER(Raw!G82),TRUE,OR(EXACT(L82,TEXT(M82,"0.00")),EXACT(L82,TEXT(M82,"#,##0.00")))),FALSE)</f>
        <v>1</v>
      </c>
      <c r="P82" s="1" t="str">
        <f>LEN(IF(Raw!A82="","",Raw!A82))&amp;":"&amp;IF(Raw!A82="","",Raw!A82)&amp;"|"&amp;LEN(IF(Raw!B82="","",Raw!B82))&amp;":"&amp;IF(Raw!B82="","",Raw!B82)&amp;"|"&amp;LEN(IF(Raw!C82="","",Raw!C82))&amp;":"&amp;IF(Raw!C82="","",Raw!C82)&amp;"|"&amp;LEN(IF(Raw!D82="","",Raw!D82))&amp;":"&amp;IF(Raw!D82="","",Raw!D82)&amp;"|"&amp;LEN(IF(Raw!E82="","",Raw!E82))&amp;":"&amp;IF(Raw!E82="","",Raw!E82)&amp;"|"&amp;LEN(IF(Raw!F82="","",Raw!F82))&amp;":"&amp;IF(Raw!F82="","",Raw!F82)&amp;"|"&amp;LEN(IF(Raw!G82="","",Raw!G82))&amp;":"&amp;IF(Raw!G82="","",Raw!G82)</f>
        <v>6:L00076|6:T00038|10:2026-03-21|3:P-A|11:Accessories|4:sale|5:32.74</v>
      </c>
      <c r="Q82" s="1">
        <f>1</f>
        <v>1</v>
      </c>
      <c r="R82" s="1" t="b">
        <f>FALSE</f>
        <v>0</v>
      </c>
      <c r="S82" s="1">
        <f>1</f>
        <v>1</v>
      </c>
      <c r="T82" s="1" t="str">
        <f>IF(AND(Raw!A82="",Raw!B82="",Raw!C82="",Raw!D82="",Raw!E82="",Raw!F82="",Raw!G82=""),"UNUSED",IF(A82="","missing line ID",IF(B82="","missing transaction ID",IF(G82="",IF(C82="","missing date","invalid date"),IF(I82="","unknown product",IF(J82="","conflicting category",IF(NOT(OR(EXACT(K82,"sale"),EXACT(K82,"refund"))),"unknown event",IF(OR(N82="",NOT(O82)),"invalid amount",IF(OR(AND(K82="sale",N82&lt;=0),AND(K82="refund",N82&gt;=0)),"invalid sign","")))))))))</f>
        <v/>
      </c>
      <c r="U82" s="1" t="str">
        <f t="shared" si="13"/>
        <v>INCLUDED</v>
      </c>
      <c r="V82" s="1" t="str">
        <f t="shared" si="14"/>
        <v>2026-03</v>
      </c>
      <c r="W82" s="1">
        <f>IF(AND(U82="INCLUDED",X82&gt;0,EXACT(A82,'AI output'!A82)),1,0)</f>
        <v>1</v>
      </c>
      <c r="X82" s="1">
        <f>82</f>
        <v>82</v>
      </c>
      <c r="Y82" s="1">
        <f>IF(AND(U82="INCLUDED",W82=1),--(NOT(EXACT(A82,'AI output'!A82)))+--(NOT(EXACT(B82,'AI output'!B82)))+--(NOT(EXACT(TEXT(G82,"yyyy-mm-dd"),'AI output'!C82)))+--(NOT(EXACT(H82,'AI output'!D82)))+--(NOT(EXACT(J82,'AI output'!E82)))+--(NOT(EXACT(K82,'AI output'!F82)))+--(N82&lt;&gt;'AI output'!L82)+--(NOT('AI output'!M82)),0)</f>
        <v>0</v>
      </c>
      <c r="Z82" s="1">
        <f t="shared" si="15"/>
        <v>0</v>
      </c>
      <c r="AA82" s="1">
        <f>--EXACT(A82,"L00076")</f>
        <v>1</v>
      </c>
    </row>
    <row r="83" spans="1:27" ht="18.95" customHeight="1">
      <c r="A83" s="1" t="str">
        <f>IF(Raw!A83="","",Raw!A83)</f>
        <v>L00077</v>
      </c>
      <c r="B83" s="1" t="str">
        <f>IF(Raw!B83="","",Raw!B83)</f>
        <v>T00039</v>
      </c>
      <c r="C83" s="1" t="str">
        <f>IF(Raw!C83="","",Raw!C83)</f>
        <v>2026-03-28</v>
      </c>
      <c r="D83" s="1">
        <f t="shared" si="8"/>
        <v>2026</v>
      </c>
      <c r="E83" s="1">
        <f>IFERROR(IF(AND(LEN(C83)=10,MID(C83,5,1)="-",MID(C83,8,1)="-"),VALUE(MID(C83,6,2)),IF(AND(LEN(C83)=11,MID(C83,3,1)="-",MID(C83,7,1)="-"),MATCH(UPPER(MID(C83,4,3)),Guide!$D$7:$D$18,0),0)),0)</f>
        <v>3</v>
      </c>
      <c r="F83" s="1">
        <f t="shared" si="9"/>
        <v>28</v>
      </c>
      <c r="G83" s="9">
        <f t="shared" si="10"/>
        <v>46109</v>
      </c>
      <c r="H83" s="1" t="str">
        <f>IF(Raw!D83="","",Raw!D83)</f>
        <v>P-H</v>
      </c>
      <c r="I83" s="1" t="str">
        <f>IFERROR(IF(EXACT(H83,INDEX(Guide!$A$7:$A$9,MATCH(SUBSTITUTE(SUBSTITUTE(SUBSTITUTE(H83,"~","~~"),"*","~*"),"?","~?"),Guide!$A$7:$A$9,0))),INDEX(Guide!$B$7:$B$9,MATCH(SUBSTITUTE(SUBSTITUTE(SUBSTITUTE(H83,"~","~~"),"*","~*"),"?","~?"),Guide!$A$7:$A$9,0)),""),"")</f>
        <v>Home</v>
      </c>
      <c r="J83" s="1" t="str">
        <f>IF(TRIM(Raw!E83)="",I83,IF(UPPER(TRIM(Raw!E83))=UPPER(I83),I83,""))</f>
        <v>Home</v>
      </c>
      <c r="K83" s="1" t="str">
        <f>IF(Raw!F83="","",Raw!F83)</f>
        <v>sale</v>
      </c>
      <c r="L83" s="1" t="str">
        <f>IF(LEFT(TRIM(Raw!G83),2)="-$","-"&amp;MID(TRIM(Raw!G83),3,99),IF(LEFT(TRIM(Raw!G83),1)="$",MID(TRIM(Raw!G83),2,99),TRIM(Raw!G83)))</f>
        <v>99.33</v>
      </c>
      <c r="M83" s="1">
        <f t="shared" si="11"/>
        <v>99.33</v>
      </c>
      <c r="N83" s="10">
        <f t="shared" si="12"/>
        <v>9933</v>
      </c>
      <c r="O83" s="1" t="b">
        <f>IFERROR(IF(ISNUMBER(Raw!G83),TRUE,OR(EXACT(L83,TEXT(M83,"0.00")),EXACT(L83,TEXT(M83,"#,##0.00")))),FALSE)</f>
        <v>1</v>
      </c>
      <c r="P83" s="1" t="str">
        <f>LEN(IF(Raw!A83="","",Raw!A83))&amp;":"&amp;IF(Raw!A83="","",Raw!A83)&amp;"|"&amp;LEN(IF(Raw!B83="","",Raw!B83))&amp;":"&amp;IF(Raw!B83="","",Raw!B83)&amp;"|"&amp;LEN(IF(Raw!C83="","",Raw!C83))&amp;":"&amp;IF(Raw!C83="","",Raw!C83)&amp;"|"&amp;LEN(IF(Raw!D83="","",Raw!D83))&amp;":"&amp;IF(Raw!D83="","",Raw!D83)&amp;"|"&amp;LEN(IF(Raw!E83="","",Raw!E83))&amp;":"&amp;IF(Raw!E83="","",Raw!E83)&amp;"|"&amp;LEN(IF(Raw!F83="","",Raw!F83))&amp;":"&amp;IF(Raw!F83="","",Raw!F83)&amp;"|"&amp;LEN(IF(Raw!G83="","",Raw!G83))&amp;":"&amp;IF(Raw!G83="","",Raw!G83)</f>
        <v>6:L00077|6:T00039|10:2026-03-28|3:P-H|4:Home|4:sale|5:99.33</v>
      </c>
      <c r="Q83" s="1">
        <f>1</f>
        <v>1</v>
      </c>
      <c r="R83" s="1" t="b">
        <f>FALSE</f>
        <v>0</v>
      </c>
      <c r="S83" s="1">
        <f>1</f>
        <v>1</v>
      </c>
      <c r="T83" s="1" t="str">
        <f>IF(AND(Raw!A83="",Raw!B83="",Raw!C83="",Raw!D83="",Raw!E83="",Raw!F83="",Raw!G83=""),"UNUSED",IF(A83="","missing line ID",IF(B83="","missing transaction ID",IF(G83="",IF(C83="","missing date","invalid date"),IF(I83="","unknown product",IF(J83="","conflicting category",IF(NOT(OR(EXACT(K83,"sale"),EXACT(K83,"refund"))),"unknown event",IF(OR(N83="",NOT(O83)),"invalid amount",IF(OR(AND(K83="sale",N83&lt;=0),AND(K83="refund",N83&gt;=0)),"invalid sign","")))))))))</f>
        <v/>
      </c>
      <c r="U83" s="1" t="str">
        <f t="shared" si="13"/>
        <v>INCLUDED</v>
      </c>
      <c r="V83" s="1" t="str">
        <f t="shared" si="14"/>
        <v>2026-03</v>
      </c>
      <c r="W83" s="1">
        <f>IF(AND(U83="INCLUDED",X83&gt;0,EXACT(A83,'AI output'!A83)),1,0)</f>
        <v>1</v>
      </c>
      <c r="X83" s="1">
        <f>83</f>
        <v>83</v>
      </c>
      <c r="Y83" s="1">
        <f>IF(AND(U83="INCLUDED",W83=1),--(NOT(EXACT(A83,'AI output'!A83)))+--(NOT(EXACT(B83,'AI output'!B83)))+--(NOT(EXACT(TEXT(G83,"yyyy-mm-dd"),'AI output'!C83)))+--(NOT(EXACT(H83,'AI output'!D83)))+--(NOT(EXACT(J83,'AI output'!E83)))+--(NOT(EXACT(K83,'AI output'!F83)))+--(N83&lt;&gt;'AI output'!L83)+--(NOT('AI output'!M83)),0)</f>
        <v>0</v>
      </c>
      <c r="Z83" s="1">
        <f t="shared" si="15"/>
        <v>0</v>
      </c>
      <c r="AA83" s="1">
        <f>--EXACT(A83,"L00077")</f>
        <v>1</v>
      </c>
    </row>
    <row r="84" spans="1:27" ht="18.95" customHeight="1">
      <c r="A84" s="1" t="str">
        <f>IF(Raw!A84="","",Raw!A84)</f>
        <v>L00078</v>
      </c>
      <c r="B84" s="1" t="str">
        <f>IF(Raw!B84="","",Raw!B84)</f>
        <v>T00039</v>
      </c>
      <c r="C84" s="1" t="str">
        <f>IF(Raw!C84="","",Raw!C84)</f>
        <v>2026-03-28</v>
      </c>
      <c r="D84" s="1">
        <f t="shared" si="8"/>
        <v>2026</v>
      </c>
      <c r="E84" s="1">
        <f>IFERROR(IF(AND(LEN(C84)=10,MID(C84,5,1)="-",MID(C84,8,1)="-"),VALUE(MID(C84,6,2)),IF(AND(LEN(C84)=11,MID(C84,3,1)="-",MID(C84,7,1)="-"),MATCH(UPPER(MID(C84,4,3)),Guide!$D$7:$D$18,0),0)),0)</f>
        <v>3</v>
      </c>
      <c r="F84" s="1">
        <f t="shared" si="9"/>
        <v>28</v>
      </c>
      <c r="G84" s="9">
        <f t="shared" si="10"/>
        <v>46109</v>
      </c>
      <c r="H84" s="1" t="str">
        <f>IF(Raw!D84="","",Raw!D84)</f>
        <v>P-O</v>
      </c>
      <c r="I84" s="1" t="str">
        <f>IFERROR(IF(EXACT(H84,INDEX(Guide!$A$7:$A$9,MATCH(SUBSTITUTE(SUBSTITUTE(SUBSTITUTE(H84,"~","~~"),"*","~*"),"?","~?"),Guide!$A$7:$A$9,0))),INDEX(Guide!$B$7:$B$9,MATCH(SUBSTITUTE(SUBSTITUTE(SUBSTITUTE(H84,"~","~~"),"*","~*"),"?","~?"),Guide!$A$7:$A$9,0)),""),"")</f>
        <v>Office</v>
      </c>
      <c r="J84" s="1" t="str">
        <f>IF(TRIM(Raw!E84)="",I84,IF(UPPER(TRIM(Raw!E84))=UPPER(I84),I84,""))</f>
        <v>Office</v>
      </c>
      <c r="K84" s="1" t="str">
        <f>IF(Raw!F84="","",Raw!F84)</f>
        <v>sale</v>
      </c>
      <c r="L84" s="1" t="str">
        <f>IF(LEFT(TRIM(Raw!G84),2)="-$","-"&amp;MID(TRIM(Raw!G84),3,99),IF(LEFT(TRIM(Raw!G84),1)="$",MID(TRIM(Raw!G84),2,99),TRIM(Raw!G84)))</f>
        <v>167.40</v>
      </c>
      <c r="M84" s="1">
        <f t="shared" si="11"/>
        <v>167.4</v>
      </c>
      <c r="N84" s="10">
        <f t="shared" si="12"/>
        <v>16740</v>
      </c>
      <c r="O84" s="1" t="b">
        <f>IFERROR(IF(ISNUMBER(Raw!G84),TRUE,OR(EXACT(L84,TEXT(M84,"0.00")),EXACT(L84,TEXT(M84,"#,##0.00")))),FALSE)</f>
        <v>1</v>
      </c>
      <c r="P84" s="1" t="str">
        <f>LEN(IF(Raw!A84="","",Raw!A84))&amp;":"&amp;IF(Raw!A84="","",Raw!A84)&amp;"|"&amp;LEN(IF(Raw!B84="","",Raw!B84))&amp;":"&amp;IF(Raw!B84="","",Raw!B84)&amp;"|"&amp;LEN(IF(Raw!C84="","",Raw!C84))&amp;":"&amp;IF(Raw!C84="","",Raw!C84)&amp;"|"&amp;LEN(IF(Raw!D84="","",Raw!D84))&amp;":"&amp;IF(Raw!D84="","",Raw!D84)&amp;"|"&amp;LEN(IF(Raw!E84="","",Raw!E84))&amp;":"&amp;IF(Raw!E84="","",Raw!E84)&amp;"|"&amp;LEN(IF(Raw!F84="","",Raw!F84))&amp;":"&amp;IF(Raw!F84="","",Raw!F84)&amp;"|"&amp;LEN(IF(Raw!G84="","",Raw!G84))&amp;":"&amp;IF(Raw!G84="","",Raw!G84)</f>
        <v>6:L00078|6:T00039|10:2026-03-28|3:P-O|6:Office|4:sale|6:167.40</v>
      </c>
      <c r="Q84" s="1">
        <f>1</f>
        <v>1</v>
      </c>
      <c r="R84" s="1" t="b">
        <f>FALSE</f>
        <v>0</v>
      </c>
      <c r="S84" s="1">
        <f>1</f>
        <v>1</v>
      </c>
      <c r="T84" s="1" t="str">
        <f>IF(AND(Raw!A84="",Raw!B84="",Raw!C84="",Raw!D84="",Raw!E84="",Raw!F84="",Raw!G84=""),"UNUSED",IF(A84="","missing line ID",IF(B84="","missing transaction ID",IF(G84="",IF(C84="","missing date","invalid date"),IF(I84="","unknown product",IF(J84="","conflicting category",IF(NOT(OR(EXACT(K84,"sale"),EXACT(K84,"refund"))),"unknown event",IF(OR(N84="",NOT(O84)),"invalid amount",IF(OR(AND(K84="sale",N84&lt;=0),AND(K84="refund",N84&gt;=0)),"invalid sign","")))))))))</f>
        <v/>
      </c>
      <c r="U84" s="1" t="str">
        <f t="shared" si="13"/>
        <v>INCLUDED</v>
      </c>
      <c r="V84" s="1" t="str">
        <f t="shared" si="14"/>
        <v>2026-03</v>
      </c>
      <c r="W84" s="1">
        <f>IF(AND(U84="INCLUDED",X84&gt;0,EXACT(A84,'AI output'!A84)),1,0)</f>
        <v>1</v>
      </c>
      <c r="X84" s="1">
        <f>84</f>
        <v>84</v>
      </c>
      <c r="Y84" s="1">
        <f>IF(AND(U84="INCLUDED",W84=1),--(NOT(EXACT(A84,'AI output'!A84)))+--(NOT(EXACT(B84,'AI output'!B84)))+--(NOT(EXACT(TEXT(G84,"yyyy-mm-dd"),'AI output'!C84)))+--(NOT(EXACT(H84,'AI output'!D84)))+--(NOT(EXACT(J84,'AI output'!E84)))+--(NOT(EXACT(K84,'AI output'!F84)))+--(N84&lt;&gt;'AI output'!L84)+--(NOT('AI output'!M84)),0)</f>
        <v>0</v>
      </c>
      <c r="Z84" s="1">
        <f t="shared" si="15"/>
        <v>0</v>
      </c>
      <c r="AA84" s="1">
        <f>--EXACT(A84,"L00078")</f>
        <v>1</v>
      </c>
    </row>
    <row r="85" spans="1:27" ht="18.95" customHeight="1">
      <c r="A85" s="1" t="str">
        <f>IF(Raw!A85="","",Raw!A85)</f>
        <v>L00079</v>
      </c>
      <c r="B85" s="1" t="str">
        <f>IF(Raw!B85="","",Raw!B85)</f>
        <v>T00040</v>
      </c>
      <c r="C85" s="1" t="str">
        <f>IF(Raw!C85="","",Raw!C85)</f>
        <v>2026-01-04</v>
      </c>
      <c r="D85" s="1">
        <f t="shared" si="8"/>
        <v>2026</v>
      </c>
      <c r="E85" s="1">
        <f>IFERROR(IF(AND(LEN(C85)=10,MID(C85,5,1)="-",MID(C85,8,1)="-"),VALUE(MID(C85,6,2)),IF(AND(LEN(C85)=11,MID(C85,3,1)="-",MID(C85,7,1)="-"),MATCH(UPPER(MID(C85,4,3)),Guide!$D$7:$D$18,0),0)),0)</f>
        <v>1</v>
      </c>
      <c r="F85" s="1">
        <f t="shared" si="9"/>
        <v>4</v>
      </c>
      <c r="G85" s="9">
        <f t="shared" si="10"/>
        <v>46026</v>
      </c>
      <c r="H85" s="1" t="str">
        <f>IF(Raw!D85="","",Raw!D85)</f>
        <v>P-A</v>
      </c>
      <c r="I85" s="1" t="str">
        <f>IFERROR(IF(EXACT(H85,INDEX(Guide!$A$7:$A$9,MATCH(SUBSTITUTE(SUBSTITUTE(SUBSTITUTE(H85,"~","~~"),"*","~*"),"?","~?"),Guide!$A$7:$A$9,0))),INDEX(Guide!$B$7:$B$9,MATCH(SUBSTITUTE(SUBSTITUTE(SUBSTITUTE(H85,"~","~~"),"*","~*"),"?","~?"),Guide!$A$7:$A$9,0)),""),"")</f>
        <v>Accessories</v>
      </c>
      <c r="J85" s="1" t="str">
        <f>IF(TRIM(Raw!E85)="",I85,IF(UPPER(TRIM(Raw!E85))=UPPER(I85),I85,""))</f>
        <v>Accessories</v>
      </c>
      <c r="K85" s="1" t="str">
        <f>IF(Raw!F85="","",Raw!F85)</f>
        <v>sale</v>
      </c>
      <c r="L85" s="1" t="str">
        <f>IF(LEFT(TRIM(Raw!G85),2)="-$","-"&amp;MID(TRIM(Raw!G85),3,99),IF(LEFT(TRIM(Raw!G85),1)="$",MID(TRIM(Raw!G85),2,99),TRIM(Raw!G85)))</f>
        <v>67.70</v>
      </c>
      <c r="M85" s="1">
        <f t="shared" si="11"/>
        <v>67.7</v>
      </c>
      <c r="N85" s="10">
        <f t="shared" si="12"/>
        <v>6770</v>
      </c>
      <c r="O85" s="1" t="b">
        <f>IFERROR(IF(ISNUMBER(Raw!G85),TRUE,OR(EXACT(L85,TEXT(M85,"0.00")),EXACT(L85,TEXT(M85,"#,##0.00")))),FALSE)</f>
        <v>1</v>
      </c>
      <c r="P85" s="1" t="str">
        <f>LEN(IF(Raw!A85="","",Raw!A85))&amp;":"&amp;IF(Raw!A85="","",Raw!A85)&amp;"|"&amp;LEN(IF(Raw!B85="","",Raw!B85))&amp;":"&amp;IF(Raw!B85="","",Raw!B85)&amp;"|"&amp;LEN(IF(Raw!C85="","",Raw!C85))&amp;":"&amp;IF(Raw!C85="","",Raw!C85)&amp;"|"&amp;LEN(IF(Raw!D85="","",Raw!D85))&amp;":"&amp;IF(Raw!D85="","",Raw!D85)&amp;"|"&amp;LEN(IF(Raw!E85="","",Raw!E85))&amp;":"&amp;IF(Raw!E85="","",Raw!E85)&amp;"|"&amp;LEN(IF(Raw!F85="","",Raw!F85))&amp;":"&amp;IF(Raw!F85="","",Raw!F85)&amp;"|"&amp;LEN(IF(Raw!G85="","",Raw!G85))&amp;":"&amp;IF(Raw!G85="","",Raw!G85)</f>
        <v>6:L00079|6:T00040|10:2026-01-04|3:P-A|11:Accessories|4:sale|5:67.70</v>
      </c>
      <c r="Q85" s="1">
        <f>1</f>
        <v>1</v>
      </c>
      <c r="R85" s="1" t="b">
        <f>FALSE</f>
        <v>0</v>
      </c>
      <c r="S85" s="1">
        <f>1</f>
        <v>1</v>
      </c>
      <c r="T85" s="1" t="str">
        <f>IF(AND(Raw!A85="",Raw!B85="",Raw!C85="",Raw!D85="",Raw!E85="",Raw!F85="",Raw!G85=""),"UNUSED",IF(A85="","missing line ID",IF(B85="","missing transaction ID",IF(G85="",IF(C85="","missing date","invalid date"),IF(I85="","unknown product",IF(J85="","conflicting category",IF(NOT(OR(EXACT(K85,"sale"),EXACT(K85,"refund"))),"unknown event",IF(OR(N85="",NOT(O85)),"invalid amount",IF(OR(AND(K85="sale",N85&lt;=0),AND(K85="refund",N85&gt;=0)),"invalid sign","")))))))))</f>
        <v/>
      </c>
      <c r="U85" s="1" t="str">
        <f t="shared" si="13"/>
        <v>INCLUDED</v>
      </c>
      <c r="V85" s="1" t="str">
        <f t="shared" si="14"/>
        <v>2026-01</v>
      </c>
      <c r="W85" s="1">
        <f>IF(AND(U85="INCLUDED",X85&gt;0,EXACT(A85,'AI output'!A85)),1,0)</f>
        <v>1</v>
      </c>
      <c r="X85" s="1">
        <f>85</f>
        <v>85</v>
      </c>
      <c r="Y85" s="1">
        <f>IF(AND(U85="INCLUDED",W85=1),--(NOT(EXACT(A85,'AI output'!A85)))+--(NOT(EXACT(B85,'AI output'!B85)))+--(NOT(EXACT(TEXT(G85,"yyyy-mm-dd"),'AI output'!C85)))+--(NOT(EXACT(H85,'AI output'!D85)))+--(NOT(EXACT(J85,'AI output'!E85)))+--(NOT(EXACT(K85,'AI output'!F85)))+--(N85&lt;&gt;'AI output'!L85)+--(NOT('AI output'!M85)),0)</f>
        <v>0</v>
      </c>
      <c r="Z85" s="1">
        <f t="shared" si="15"/>
        <v>0</v>
      </c>
      <c r="AA85" s="1">
        <f>--EXACT(A85,"L00079")</f>
        <v>1</v>
      </c>
    </row>
    <row r="86" spans="1:27" ht="18.95" customHeight="1">
      <c r="A86" s="1" t="str">
        <f>IF(Raw!A86="","",Raw!A86)</f>
        <v>L00080</v>
      </c>
      <c r="B86" s="1" t="str">
        <f>IF(Raw!B86="","",Raw!B86)</f>
        <v>T00040</v>
      </c>
      <c r="C86" s="1" t="str">
        <f>IF(Raw!C86="","",Raw!C86)</f>
        <v>2026-01-04</v>
      </c>
      <c r="D86" s="1">
        <f t="shared" si="8"/>
        <v>2026</v>
      </c>
      <c r="E86" s="1">
        <f>IFERROR(IF(AND(LEN(C86)=10,MID(C86,5,1)="-",MID(C86,8,1)="-"),VALUE(MID(C86,6,2)),IF(AND(LEN(C86)=11,MID(C86,3,1)="-",MID(C86,7,1)="-"),MATCH(UPPER(MID(C86,4,3)),Guide!$D$7:$D$18,0),0)),0)</f>
        <v>1</v>
      </c>
      <c r="F86" s="1">
        <f t="shared" si="9"/>
        <v>4</v>
      </c>
      <c r="G86" s="9">
        <f t="shared" si="10"/>
        <v>46026</v>
      </c>
      <c r="H86" s="1" t="str">
        <f>IF(Raw!D86="","",Raw!D86)</f>
        <v>P-H</v>
      </c>
      <c r="I86" s="1" t="str">
        <f>IFERROR(IF(EXACT(H86,INDEX(Guide!$A$7:$A$9,MATCH(SUBSTITUTE(SUBSTITUTE(SUBSTITUTE(H86,"~","~~"),"*","~*"),"?","~?"),Guide!$A$7:$A$9,0))),INDEX(Guide!$B$7:$B$9,MATCH(SUBSTITUTE(SUBSTITUTE(SUBSTITUTE(H86,"~","~~"),"*","~*"),"?","~?"),Guide!$A$7:$A$9,0)),""),"")</f>
        <v>Home</v>
      </c>
      <c r="J86" s="1" t="str">
        <f>IF(TRIM(Raw!E86)="",I86,IF(UPPER(TRIM(Raw!E86))=UPPER(I86),I86,""))</f>
        <v>Home</v>
      </c>
      <c r="K86" s="1" t="str">
        <f>IF(Raw!F86="","",Raw!F86)</f>
        <v>sale</v>
      </c>
      <c r="L86" s="1" t="str">
        <f>IF(LEFT(TRIM(Raw!G86),2)="-$","-"&amp;MID(TRIM(Raw!G86),3,99),IF(LEFT(TRIM(Raw!G86),1)="$",MID(TRIM(Raw!G86),2,99),TRIM(Raw!G86)))</f>
        <v>136.88</v>
      </c>
      <c r="M86" s="1">
        <f t="shared" si="11"/>
        <v>136.88</v>
      </c>
      <c r="N86" s="10">
        <f t="shared" si="12"/>
        <v>13688</v>
      </c>
      <c r="O86" s="1" t="b">
        <f>IFERROR(IF(ISNUMBER(Raw!G86),TRUE,OR(EXACT(L86,TEXT(M86,"0.00")),EXACT(L86,TEXT(M86,"#,##0.00")))),FALSE)</f>
        <v>1</v>
      </c>
      <c r="P86" s="1" t="str">
        <f>LEN(IF(Raw!A86="","",Raw!A86))&amp;":"&amp;IF(Raw!A86="","",Raw!A86)&amp;"|"&amp;LEN(IF(Raw!B86="","",Raw!B86))&amp;":"&amp;IF(Raw!B86="","",Raw!B86)&amp;"|"&amp;LEN(IF(Raw!C86="","",Raw!C86))&amp;":"&amp;IF(Raw!C86="","",Raw!C86)&amp;"|"&amp;LEN(IF(Raw!D86="","",Raw!D86))&amp;":"&amp;IF(Raw!D86="","",Raw!D86)&amp;"|"&amp;LEN(IF(Raw!E86="","",Raw!E86))&amp;":"&amp;IF(Raw!E86="","",Raw!E86)&amp;"|"&amp;LEN(IF(Raw!F86="","",Raw!F86))&amp;":"&amp;IF(Raw!F86="","",Raw!F86)&amp;"|"&amp;LEN(IF(Raw!G86="","",Raw!G86))&amp;":"&amp;IF(Raw!G86="","",Raw!G86)</f>
        <v>6:L00080|6:T00040|10:2026-01-04|3:P-H|4:Home|4:sale|6:136.88</v>
      </c>
      <c r="Q86" s="1">
        <f>1</f>
        <v>1</v>
      </c>
      <c r="R86" s="1" t="b">
        <f>FALSE</f>
        <v>0</v>
      </c>
      <c r="S86" s="1">
        <f>1</f>
        <v>1</v>
      </c>
      <c r="T86" s="1" t="str">
        <f>IF(AND(Raw!A86="",Raw!B86="",Raw!C86="",Raw!D86="",Raw!E86="",Raw!F86="",Raw!G86=""),"UNUSED",IF(A86="","missing line ID",IF(B86="","missing transaction ID",IF(G86="",IF(C86="","missing date","invalid date"),IF(I86="","unknown product",IF(J86="","conflicting category",IF(NOT(OR(EXACT(K86,"sale"),EXACT(K86,"refund"))),"unknown event",IF(OR(N86="",NOT(O86)),"invalid amount",IF(OR(AND(K86="sale",N86&lt;=0),AND(K86="refund",N86&gt;=0)),"invalid sign","")))))))))</f>
        <v/>
      </c>
      <c r="U86" s="1" t="str">
        <f t="shared" si="13"/>
        <v>INCLUDED</v>
      </c>
      <c r="V86" s="1" t="str">
        <f t="shared" si="14"/>
        <v>2026-01</v>
      </c>
      <c r="W86" s="1">
        <f>IF(AND(U86="INCLUDED",X86&gt;0,EXACT(A86,'AI output'!A86)),1,0)</f>
        <v>1</v>
      </c>
      <c r="X86" s="1">
        <f>86</f>
        <v>86</v>
      </c>
      <c r="Y86" s="1">
        <f>IF(AND(U86="INCLUDED",W86=1),--(NOT(EXACT(A86,'AI output'!A86)))+--(NOT(EXACT(B86,'AI output'!B86)))+--(NOT(EXACT(TEXT(G86,"yyyy-mm-dd"),'AI output'!C86)))+--(NOT(EXACT(H86,'AI output'!D86)))+--(NOT(EXACT(J86,'AI output'!E86)))+--(NOT(EXACT(K86,'AI output'!F86)))+--(N86&lt;&gt;'AI output'!L86)+--(NOT('AI output'!M86)),0)</f>
        <v>0</v>
      </c>
      <c r="Z86" s="1">
        <f t="shared" si="15"/>
        <v>0</v>
      </c>
      <c r="AA86" s="1">
        <f>--EXACT(A86,"L00080")</f>
        <v>1</v>
      </c>
    </row>
    <row r="87" spans="1:27" ht="18.95" customHeight="1">
      <c r="A87" s="1" t="str">
        <f>IF(Raw!A87="","",Raw!A87)</f>
        <v>L00081</v>
      </c>
      <c r="B87" s="1" t="str">
        <f>IF(Raw!B87="","",Raw!B87)</f>
        <v>T00041</v>
      </c>
      <c r="C87" s="1" t="str">
        <f>IF(Raw!C87="","",Raw!C87)</f>
        <v>2026-01-11</v>
      </c>
      <c r="D87" s="1">
        <f t="shared" si="8"/>
        <v>2026</v>
      </c>
      <c r="E87" s="1">
        <f>IFERROR(IF(AND(LEN(C87)=10,MID(C87,5,1)="-",MID(C87,8,1)="-"),VALUE(MID(C87,6,2)),IF(AND(LEN(C87)=11,MID(C87,3,1)="-",MID(C87,7,1)="-"),MATCH(UPPER(MID(C87,4,3)),Guide!$D$7:$D$18,0),0)),0)</f>
        <v>1</v>
      </c>
      <c r="F87" s="1">
        <f t="shared" si="9"/>
        <v>11</v>
      </c>
      <c r="G87" s="9">
        <f t="shared" si="10"/>
        <v>46033</v>
      </c>
      <c r="H87" s="1" t="str">
        <f>IF(Raw!D87="","",Raw!D87)</f>
        <v>P-O</v>
      </c>
      <c r="I87" s="1" t="str">
        <f>IFERROR(IF(EXACT(H87,INDEX(Guide!$A$7:$A$9,MATCH(SUBSTITUTE(SUBSTITUTE(SUBSTITUTE(H87,"~","~~"),"*","~*"),"?","~?"),Guide!$A$7:$A$9,0))),INDEX(Guide!$B$7:$B$9,MATCH(SUBSTITUTE(SUBSTITUTE(SUBSTITUTE(H87,"~","~~"),"*","~*"),"?","~?"),Guide!$A$7:$A$9,0)),""),"")</f>
        <v>Office</v>
      </c>
      <c r="J87" s="1" t="str">
        <f>IF(TRIM(Raw!E87)="",I87,IF(UPPER(TRIM(Raw!E87))=UPPER(I87),I87,""))</f>
        <v>Office</v>
      </c>
      <c r="K87" s="1" t="str">
        <f>IF(Raw!F87="","",Raw!F87)</f>
        <v>sale</v>
      </c>
      <c r="L87" s="1" t="str">
        <f>IF(LEFT(TRIM(Raw!G87),2)="-$","-"&amp;MID(TRIM(Raw!G87),3,99),IF(LEFT(TRIM(Raw!G87),1)="$",MID(TRIM(Raw!G87),2,99),TRIM(Raw!G87)))</f>
        <v>34.59</v>
      </c>
      <c r="M87" s="1">
        <f t="shared" si="11"/>
        <v>34.590000000000003</v>
      </c>
      <c r="N87" s="10">
        <f t="shared" si="12"/>
        <v>3459</v>
      </c>
      <c r="O87" s="1" t="b">
        <f>IFERROR(IF(ISNUMBER(Raw!G87),TRUE,OR(EXACT(L87,TEXT(M87,"0.00")),EXACT(L87,TEXT(M87,"#,##0.00")))),FALSE)</f>
        <v>1</v>
      </c>
      <c r="P87" s="1" t="str">
        <f>LEN(IF(Raw!A87="","",Raw!A87))&amp;":"&amp;IF(Raw!A87="","",Raw!A87)&amp;"|"&amp;LEN(IF(Raw!B87="","",Raw!B87))&amp;":"&amp;IF(Raw!B87="","",Raw!B87)&amp;"|"&amp;LEN(IF(Raw!C87="","",Raw!C87))&amp;":"&amp;IF(Raw!C87="","",Raw!C87)&amp;"|"&amp;LEN(IF(Raw!D87="","",Raw!D87))&amp;":"&amp;IF(Raw!D87="","",Raw!D87)&amp;"|"&amp;LEN(IF(Raw!E87="","",Raw!E87))&amp;":"&amp;IF(Raw!E87="","",Raw!E87)&amp;"|"&amp;LEN(IF(Raw!F87="","",Raw!F87))&amp;":"&amp;IF(Raw!F87="","",Raw!F87)&amp;"|"&amp;LEN(IF(Raw!G87="","",Raw!G87))&amp;":"&amp;IF(Raw!G87="","",Raw!G87)</f>
        <v>6:L00081|6:T00041|10:2026-01-11|3:P-O|6:Office|4:sale|5:34.59</v>
      </c>
      <c r="Q87" s="1">
        <f>1</f>
        <v>1</v>
      </c>
      <c r="R87" s="1" t="b">
        <f>FALSE</f>
        <v>0</v>
      </c>
      <c r="S87" s="1">
        <f>1</f>
        <v>1</v>
      </c>
      <c r="T87" s="1" t="str">
        <f>IF(AND(Raw!A87="",Raw!B87="",Raw!C87="",Raw!D87="",Raw!E87="",Raw!F87="",Raw!G87=""),"UNUSED",IF(A87="","missing line ID",IF(B87="","missing transaction ID",IF(G87="",IF(C87="","missing date","invalid date"),IF(I87="","unknown product",IF(J87="","conflicting category",IF(NOT(OR(EXACT(K87,"sale"),EXACT(K87,"refund"))),"unknown event",IF(OR(N87="",NOT(O87)),"invalid amount",IF(OR(AND(K87="sale",N87&lt;=0),AND(K87="refund",N87&gt;=0)),"invalid sign","")))))))))</f>
        <v/>
      </c>
      <c r="U87" s="1" t="str">
        <f t="shared" si="13"/>
        <v>INCLUDED</v>
      </c>
      <c r="V87" s="1" t="str">
        <f t="shared" si="14"/>
        <v>2026-01</v>
      </c>
      <c r="W87" s="1">
        <f>IF(AND(U87="INCLUDED",X87&gt;0,EXACT(A87,'AI output'!A87)),1,0)</f>
        <v>1</v>
      </c>
      <c r="X87" s="1">
        <f>87</f>
        <v>87</v>
      </c>
      <c r="Y87" s="1">
        <f>IF(AND(U87="INCLUDED",W87=1),--(NOT(EXACT(A87,'AI output'!A87)))+--(NOT(EXACT(B87,'AI output'!B87)))+--(NOT(EXACT(TEXT(G87,"yyyy-mm-dd"),'AI output'!C87)))+--(NOT(EXACT(H87,'AI output'!D87)))+--(NOT(EXACT(J87,'AI output'!E87)))+--(NOT(EXACT(K87,'AI output'!F87)))+--(N87&lt;&gt;'AI output'!L87)+--(NOT('AI output'!M87)),0)</f>
        <v>0</v>
      </c>
      <c r="Z87" s="1">
        <f t="shared" si="15"/>
        <v>0</v>
      </c>
      <c r="AA87" s="1">
        <f>--EXACT(A87,"L00081")</f>
        <v>1</v>
      </c>
    </row>
    <row r="88" spans="1:27" ht="18.95" customHeight="1">
      <c r="A88" s="1" t="str">
        <f>IF(Raw!A88="","",Raw!A88)</f>
        <v>L00082</v>
      </c>
      <c r="B88" s="1" t="str">
        <f>IF(Raw!B88="","",Raw!B88)</f>
        <v>T00041</v>
      </c>
      <c r="C88" s="1" t="str">
        <f>IF(Raw!C88="","",Raw!C88)</f>
        <v>2026-01-11</v>
      </c>
      <c r="D88" s="1">
        <f t="shared" si="8"/>
        <v>2026</v>
      </c>
      <c r="E88" s="1">
        <f>IFERROR(IF(AND(LEN(C88)=10,MID(C88,5,1)="-",MID(C88,8,1)="-"),VALUE(MID(C88,6,2)),IF(AND(LEN(C88)=11,MID(C88,3,1)="-",MID(C88,7,1)="-"),MATCH(UPPER(MID(C88,4,3)),Guide!$D$7:$D$18,0),0)),0)</f>
        <v>1</v>
      </c>
      <c r="F88" s="1">
        <f t="shared" si="9"/>
        <v>11</v>
      </c>
      <c r="G88" s="9">
        <f t="shared" si="10"/>
        <v>46033</v>
      </c>
      <c r="H88" s="1" t="str">
        <f>IF(Raw!D88="","",Raw!D88)</f>
        <v>P-A</v>
      </c>
      <c r="I88" s="1" t="str">
        <f>IFERROR(IF(EXACT(H88,INDEX(Guide!$A$7:$A$9,MATCH(SUBSTITUTE(SUBSTITUTE(SUBSTITUTE(H88,"~","~~"),"*","~*"),"?","~?"),Guide!$A$7:$A$9,0))),INDEX(Guide!$B$7:$B$9,MATCH(SUBSTITUTE(SUBSTITUTE(SUBSTITUTE(H88,"~","~~"),"*","~*"),"?","~?"),Guide!$A$7:$A$9,0)),""),"")</f>
        <v>Accessories</v>
      </c>
      <c r="J88" s="1" t="str">
        <f>IF(TRIM(Raw!E88)="",I88,IF(UPPER(TRIM(Raw!E88))=UPPER(I88),I88,""))</f>
        <v>Accessories</v>
      </c>
      <c r="K88" s="1" t="str">
        <f>IF(Raw!F88="","",Raw!F88)</f>
        <v>sale</v>
      </c>
      <c r="L88" s="1" t="str">
        <f>IF(LEFT(TRIM(Raw!G88),2)="-$","-"&amp;MID(TRIM(Raw!G88),3,99),IF(LEFT(TRIM(Raw!G88),1)="$",MID(TRIM(Raw!G88),2,99),TRIM(Raw!G88)))</f>
        <v>104.88</v>
      </c>
      <c r="M88" s="1">
        <f t="shared" si="11"/>
        <v>104.88</v>
      </c>
      <c r="N88" s="10">
        <f t="shared" si="12"/>
        <v>10488</v>
      </c>
      <c r="O88" s="1" t="b">
        <f>IFERROR(IF(ISNUMBER(Raw!G88),TRUE,OR(EXACT(L88,TEXT(M88,"0.00")),EXACT(L88,TEXT(M88,"#,##0.00")))),FALSE)</f>
        <v>1</v>
      </c>
      <c r="P88" s="1" t="str">
        <f>LEN(IF(Raw!A88="","",Raw!A88))&amp;":"&amp;IF(Raw!A88="","",Raw!A88)&amp;"|"&amp;LEN(IF(Raw!B88="","",Raw!B88))&amp;":"&amp;IF(Raw!B88="","",Raw!B88)&amp;"|"&amp;LEN(IF(Raw!C88="","",Raw!C88))&amp;":"&amp;IF(Raw!C88="","",Raw!C88)&amp;"|"&amp;LEN(IF(Raw!D88="","",Raw!D88))&amp;":"&amp;IF(Raw!D88="","",Raw!D88)&amp;"|"&amp;LEN(IF(Raw!E88="","",Raw!E88))&amp;":"&amp;IF(Raw!E88="","",Raw!E88)&amp;"|"&amp;LEN(IF(Raw!F88="","",Raw!F88))&amp;":"&amp;IF(Raw!F88="","",Raw!F88)&amp;"|"&amp;LEN(IF(Raw!G88="","",Raw!G88))&amp;":"&amp;IF(Raw!G88="","",Raw!G88)</f>
        <v>6:L00082|6:T00041|10:2026-01-11|3:P-A|11:Accessories|4:sale|6:104.88</v>
      </c>
      <c r="Q88" s="1">
        <f>1</f>
        <v>1</v>
      </c>
      <c r="R88" s="1" t="b">
        <f>FALSE</f>
        <v>0</v>
      </c>
      <c r="S88" s="1">
        <f>1</f>
        <v>1</v>
      </c>
      <c r="T88" s="1" t="str">
        <f>IF(AND(Raw!A88="",Raw!B88="",Raw!C88="",Raw!D88="",Raw!E88="",Raw!F88="",Raw!G88=""),"UNUSED",IF(A88="","missing line ID",IF(B88="","missing transaction ID",IF(G88="",IF(C88="","missing date","invalid date"),IF(I88="","unknown product",IF(J88="","conflicting category",IF(NOT(OR(EXACT(K88,"sale"),EXACT(K88,"refund"))),"unknown event",IF(OR(N88="",NOT(O88)),"invalid amount",IF(OR(AND(K88="sale",N88&lt;=0),AND(K88="refund",N88&gt;=0)),"invalid sign","")))))))))</f>
        <v/>
      </c>
      <c r="U88" s="1" t="str">
        <f t="shared" si="13"/>
        <v>INCLUDED</v>
      </c>
      <c r="V88" s="1" t="str">
        <f t="shared" si="14"/>
        <v>2026-01</v>
      </c>
      <c r="W88" s="1">
        <f>IF(AND(U88="INCLUDED",X88&gt;0,EXACT(A88,'AI output'!A88)),1,0)</f>
        <v>1</v>
      </c>
      <c r="X88" s="1">
        <f>88</f>
        <v>88</v>
      </c>
      <c r="Y88" s="1">
        <f>IF(AND(U88="INCLUDED",W88=1),--(NOT(EXACT(A88,'AI output'!A88)))+--(NOT(EXACT(B88,'AI output'!B88)))+--(NOT(EXACT(TEXT(G88,"yyyy-mm-dd"),'AI output'!C88)))+--(NOT(EXACT(H88,'AI output'!D88)))+--(NOT(EXACT(J88,'AI output'!E88)))+--(NOT(EXACT(K88,'AI output'!F88)))+--(N88&lt;&gt;'AI output'!L88)+--(NOT('AI output'!M88)),0)</f>
        <v>0</v>
      </c>
      <c r="Z88" s="1">
        <f t="shared" si="15"/>
        <v>0</v>
      </c>
      <c r="AA88" s="1">
        <f>--EXACT(A88,"L00082")</f>
        <v>1</v>
      </c>
    </row>
    <row r="89" spans="1:27" ht="18.95" customHeight="1">
      <c r="A89" s="1" t="str">
        <f>IF(Raw!A89="","",Raw!A89)</f>
        <v>L00083</v>
      </c>
      <c r="B89" s="1" t="str">
        <f>IF(Raw!B89="","",Raw!B89)</f>
        <v>T00042</v>
      </c>
      <c r="C89" s="1" t="str">
        <f>IF(Raw!C89="","",Raw!C89)</f>
        <v>2026-01-18</v>
      </c>
      <c r="D89" s="1">
        <f t="shared" si="8"/>
        <v>2026</v>
      </c>
      <c r="E89" s="1">
        <f>IFERROR(IF(AND(LEN(C89)=10,MID(C89,5,1)="-",MID(C89,8,1)="-"),VALUE(MID(C89,6,2)),IF(AND(LEN(C89)=11,MID(C89,3,1)="-",MID(C89,7,1)="-"),MATCH(UPPER(MID(C89,4,3)),Guide!$D$7:$D$18,0),0)),0)</f>
        <v>1</v>
      </c>
      <c r="F89" s="1">
        <f t="shared" si="9"/>
        <v>18</v>
      </c>
      <c r="G89" s="9">
        <f t="shared" si="10"/>
        <v>46040</v>
      </c>
      <c r="H89" s="1" t="str">
        <f>IF(Raw!D89="","",Raw!D89)</f>
        <v>P-H</v>
      </c>
      <c r="I89" s="1" t="str">
        <f>IFERROR(IF(EXACT(H89,INDEX(Guide!$A$7:$A$9,MATCH(SUBSTITUTE(SUBSTITUTE(SUBSTITUTE(H89,"~","~~"),"*","~*"),"?","~?"),Guide!$A$7:$A$9,0))),INDEX(Guide!$B$7:$B$9,MATCH(SUBSTITUTE(SUBSTITUTE(SUBSTITUTE(H89,"~","~~"),"*","~*"),"?","~?"),Guide!$A$7:$A$9,0)),""),"")</f>
        <v>Home</v>
      </c>
      <c r="J89" s="1" t="str">
        <f>IF(TRIM(Raw!E89)="",I89,IF(UPPER(TRIM(Raw!E89))=UPPER(I89),I89,""))</f>
        <v>Home</v>
      </c>
      <c r="K89" s="1" t="str">
        <f>IF(Raw!F89="","",Raw!F89)</f>
        <v>sale</v>
      </c>
      <c r="L89" s="1" t="str">
        <f>IF(LEFT(TRIM(Raw!G89),2)="-$","-"&amp;MID(TRIM(Raw!G89),3,99),IF(LEFT(TRIM(Raw!G89),1)="$",MID(TRIM(Raw!G89),2,99),TRIM(Raw!G89)))</f>
        <v>176.65</v>
      </c>
      <c r="M89" s="1">
        <f t="shared" si="11"/>
        <v>176.65</v>
      </c>
      <c r="N89" s="10">
        <f t="shared" si="12"/>
        <v>17665</v>
      </c>
      <c r="O89" s="1" t="b">
        <f>IFERROR(IF(ISNUMBER(Raw!G89),TRUE,OR(EXACT(L89,TEXT(M89,"0.00")),EXACT(L89,TEXT(M89,"#,##0.00")))),FALSE)</f>
        <v>1</v>
      </c>
      <c r="P89" s="1" t="str">
        <f>LEN(IF(Raw!A89="","",Raw!A89))&amp;":"&amp;IF(Raw!A89="","",Raw!A89)&amp;"|"&amp;LEN(IF(Raw!B89="","",Raw!B89))&amp;":"&amp;IF(Raw!B89="","",Raw!B89)&amp;"|"&amp;LEN(IF(Raw!C89="","",Raw!C89))&amp;":"&amp;IF(Raw!C89="","",Raw!C89)&amp;"|"&amp;LEN(IF(Raw!D89="","",Raw!D89))&amp;":"&amp;IF(Raw!D89="","",Raw!D89)&amp;"|"&amp;LEN(IF(Raw!E89="","",Raw!E89))&amp;":"&amp;IF(Raw!E89="","",Raw!E89)&amp;"|"&amp;LEN(IF(Raw!F89="","",Raw!F89))&amp;":"&amp;IF(Raw!F89="","",Raw!F89)&amp;"|"&amp;LEN(IF(Raw!G89="","",Raw!G89))&amp;":"&amp;IF(Raw!G89="","",Raw!G89)</f>
        <v>6:L00083|6:T00042|10:2026-01-18|3:P-H|4:Home|4:sale|6:176.65</v>
      </c>
      <c r="Q89" s="1">
        <f>1</f>
        <v>1</v>
      </c>
      <c r="R89" s="1" t="b">
        <f>FALSE</f>
        <v>0</v>
      </c>
      <c r="S89" s="1">
        <f>1</f>
        <v>1</v>
      </c>
      <c r="T89" s="1" t="str">
        <f>IF(AND(Raw!A89="",Raw!B89="",Raw!C89="",Raw!D89="",Raw!E89="",Raw!F89="",Raw!G89=""),"UNUSED",IF(A89="","missing line ID",IF(B89="","missing transaction ID",IF(G89="",IF(C89="","missing date","invalid date"),IF(I89="","unknown product",IF(J89="","conflicting category",IF(NOT(OR(EXACT(K89,"sale"),EXACT(K89,"refund"))),"unknown event",IF(OR(N89="",NOT(O89)),"invalid amount",IF(OR(AND(K89="sale",N89&lt;=0),AND(K89="refund",N89&gt;=0)),"invalid sign","")))))))))</f>
        <v/>
      </c>
      <c r="U89" s="1" t="str">
        <f t="shared" si="13"/>
        <v>INCLUDED</v>
      </c>
      <c r="V89" s="1" t="str">
        <f t="shared" si="14"/>
        <v>2026-01</v>
      </c>
      <c r="W89" s="1">
        <f>IF(AND(U89="INCLUDED",X89&gt;0,EXACT(A89,'AI output'!A89)),1,0)</f>
        <v>1</v>
      </c>
      <c r="X89" s="1">
        <f>89</f>
        <v>89</v>
      </c>
      <c r="Y89" s="1">
        <f>IF(AND(U89="INCLUDED",W89=1),--(NOT(EXACT(A89,'AI output'!A89)))+--(NOT(EXACT(B89,'AI output'!B89)))+--(NOT(EXACT(TEXT(G89,"yyyy-mm-dd"),'AI output'!C89)))+--(NOT(EXACT(H89,'AI output'!D89)))+--(NOT(EXACT(J89,'AI output'!E89)))+--(NOT(EXACT(K89,'AI output'!F89)))+--(N89&lt;&gt;'AI output'!L89)+--(NOT('AI output'!M89)),0)</f>
        <v>0</v>
      </c>
      <c r="Z89" s="1">
        <f t="shared" si="15"/>
        <v>0</v>
      </c>
      <c r="AA89" s="1">
        <f>--EXACT(A89,"L00083")</f>
        <v>1</v>
      </c>
    </row>
    <row r="90" spans="1:27" ht="18.95" customHeight="1">
      <c r="A90" s="1" t="str">
        <f>IF(Raw!A90="","",Raw!A90)</f>
        <v>L00084</v>
      </c>
      <c r="B90" s="1" t="str">
        <f>IF(Raw!B90="","",Raw!B90)</f>
        <v>T00042</v>
      </c>
      <c r="C90" s="1" t="str">
        <f>IF(Raw!C90="","",Raw!C90)</f>
        <v>2026-01-18</v>
      </c>
      <c r="D90" s="1">
        <f t="shared" si="8"/>
        <v>2026</v>
      </c>
      <c r="E90" s="1">
        <f>IFERROR(IF(AND(LEN(C90)=10,MID(C90,5,1)="-",MID(C90,8,1)="-"),VALUE(MID(C90,6,2)),IF(AND(LEN(C90)=11,MID(C90,3,1)="-",MID(C90,7,1)="-"),MATCH(UPPER(MID(C90,4,3)),Guide!$D$7:$D$18,0),0)),0)</f>
        <v>1</v>
      </c>
      <c r="F90" s="1">
        <f t="shared" si="9"/>
        <v>18</v>
      </c>
      <c r="G90" s="9">
        <f t="shared" si="10"/>
        <v>46040</v>
      </c>
      <c r="H90" s="1" t="str">
        <f>IF(Raw!D90="","",Raw!D90)</f>
        <v>P-O</v>
      </c>
      <c r="I90" s="1" t="str">
        <f>IFERROR(IF(EXACT(H90,INDEX(Guide!$A$7:$A$9,MATCH(SUBSTITUTE(SUBSTITUTE(SUBSTITUTE(H90,"~","~~"),"*","~*"),"?","~?"),Guide!$A$7:$A$9,0))),INDEX(Guide!$B$7:$B$9,MATCH(SUBSTITUTE(SUBSTITUTE(SUBSTITUTE(H90,"~","~~"),"*","~*"),"?","~?"),Guide!$A$7:$A$9,0)),""),"")</f>
        <v>Office</v>
      </c>
      <c r="J90" s="1" t="str">
        <f>IF(TRIM(Raw!E90)="",I90,IF(UPPER(TRIM(Raw!E90))=UPPER(I90),I90,""))</f>
        <v>Office</v>
      </c>
      <c r="K90" s="1" t="str">
        <f>IF(Raw!F90="","",Raw!F90)</f>
        <v>sale</v>
      </c>
      <c r="L90" s="1" t="str">
        <f>IF(LEFT(TRIM(Raw!G90),2)="-$","-"&amp;MID(TRIM(Raw!G90),3,99),IF(LEFT(TRIM(Raw!G90),1)="$",MID(TRIM(Raw!G90),2,99),TRIM(Raw!G90)))</f>
        <v>71.40</v>
      </c>
      <c r="M90" s="1">
        <f t="shared" si="11"/>
        <v>71.400000000000006</v>
      </c>
      <c r="N90" s="10">
        <f t="shared" si="12"/>
        <v>7140</v>
      </c>
      <c r="O90" s="1" t="b">
        <f>IFERROR(IF(ISNUMBER(Raw!G90),TRUE,OR(EXACT(L90,TEXT(M90,"0.00")),EXACT(L90,TEXT(M90,"#,##0.00")))),FALSE)</f>
        <v>1</v>
      </c>
      <c r="P90" s="1" t="str">
        <f>LEN(IF(Raw!A90="","",Raw!A90))&amp;":"&amp;IF(Raw!A90="","",Raw!A90)&amp;"|"&amp;LEN(IF(Raw!B90="","",Raw!B90))&amp;":"&amp;IF(Raw!B90="","",Raw!B90)&amp;"|"&amp;LEN(IF(Raw!C90="","",Raw!C90))&amp;":"&amp;IF(Raw!C90="","",Raw!C90)&amp;"|"&amp;LEN(IF(Raw!D90="","",Raw!D90))&amp;":"&amp;IF(Raw!D90="","",Raw!D90)&amp;"|"&amp;LEN(IF(Raw!E90="","",Raw!E90))&amp;":"&amp;IF(Raw!E90="","",Raw!E90)&amp;"|"&amp;LEN(IF(Raw!F90="","",Raw!F90))&amp;":"&amp;IF(Raw!F90="","",Raw!F90)&amp;"|"&amp;LEN(IF(Raw!G90="","",Raw!G90))&amp;":"&amp;IF(Raw!G90="","",Raw!G90)</f>
        <v>6:L00084|6:T00042|10:2026-01-18|3:P-O|6:Office|4:sale|5:71.40</v>
      </c>
      <c r="Q90" s="1">
        <f>1</f>
        <v>1</v>
      </c>
      <c r="R90" s="1" t="b">
        <f>FALSE</f>
        <v>0</v>
      </c>
      <c r="S90" s="1">
        <f>1</f>
        <v>1</v>
      </c>
      <c r="T90" s="1" t="str">
        <f>IF(AND(Raw!A90="",Raw!B90="",Raw!C90="",Raw!D90="",Raw!E90="",Raw!F90="",Raw!G90=""),"UNUSED",IF(A90="","missing line ID",IF(B90="","missing transaction ID",IF(G90="",IF(C90="","missing date","invalid date"),IF(I90="","unknown product",IF(J90="","conflicting category",IF(NOT(OR(EXACT(K90,"sale"),EXACT(K90,"refund"))),"unknown event",IF(OR(N90="",NOT(O90)),"invalid amount",IF(OR(AND(K90="sale",N90&lt;=0),AND(K90="refund",N90&gt;=0)),"invalid sign","")))))))))</f>
        <v/>
      </c>
      <c r="U90" s="1" t="str">
        <f t="shared" si="13"/>
        <v>INCLUDED</v>
      </c>
      <c r="V90" s="1" t="str">
        <f t="shared" si="14"/>
        <v>2026-01</v>
      </c>
      <c r="W90" s="1">
        <f>IF(AND(U90="INCLUDED",X90&gt;0,EXACT(A90,'AI output'!A90)),1,0)</f>
        <v>1</v>
      </c>
      <c r="X90" s="1">
        <f>90</f>
        <v>90</v>
      </c>
      <c r="Y90" s="1">
        <f>IF(AND(U90="INCLUDED",W90=1),--(NOT(EXACT(A90,'AI output'!A90)))+--(NOT(EXACT(B90,'AI output'!B90)))+--(NOT(EXACT(TEXT(G90,"yyyy-mm-dd"),'AI output'!C90)))+--(NOT(EXACT(H90,'AI output'!D90)))+--(NOT(EXACT(J90,'AI output'!E90)))+--(NOT(EXACT(K90,'AI output'!F90)))+--(N90&lt;&gt;'AI output'!L90)+--(NOT('AI output'!M90)),0)</f>
        <v>0</v>
      </c>
      <c r="Z90" s="1">
        <f t="shared" si="15"/>
        <v>0</v>
      </c>
      <c r="AA90" s="1">
        <f>--EXACT(A90,"L00084")</f>
        <v>1</v>
      </c>
    </row>
    <row r="91" spans="1:27" ht="18.95" customHeight="1">
      <c r="A91" s="1" t="str">
        <f>IF(Raw!A91="","",Raw!A91)</f>
        <v>L00085</v>
      </c>
      <c r="B91" s="1" t="str">
        <f>IF(Raw!B91="","",Raw!B91)</f>
        <v>T00043</v>
      </c>
      <c r="C91" s="1" t="str">
        <f>IF(Raw!C91="","",Raw!C91)</f>
        <v>2026-01-25</v>
      </c>
      <c r="D91" s="1">
        <f t="shared" si="8"/>
        <v>2026</v>
      </c>
      <c r="E91" s="1">
        <f>IFERROR(IF(AND(LEN(C91)=10,MID(C91,5,1)="-",MID(C91,8,1)="-"),VALUE(MID(C91,6,2)),IF(AND(LEN(C91)=11,MID(C91,3,1)="-",MID(C91,7,1)="-"),MATCH(UPPER(MID(C91,4,3)),Guide!$D$7:$D$18,0),0)),0)</f>
        <v>1</v>
      </c>
      <c r="F91" s="1">
        <f t="shared" si="9"/>
        <v>25</v>
      </c>
      <c r="G91" s="9">
        <f t="shared" si="10"/>
        <v>46047</v>
      </c>
      <c r="H91" s="1" t="str">
        <f>IF(Raw!D91="","",Raw!D91)</f>
        <v>P-A</v>
      </c>
      <c r="I91" s="1" t="str">
        <f>IFERROR(IF(EXACT(H91,INDEX(Guide!$A$7:$A$9,MATCH(SUBSTITUTE(SUBSTITUTE(SUBSTITUTE(H91,"~","~~"),"*","~*"),"?","~?"),Guide!$A$7:$A$9,0))),INDEX(Guide!$B$7:$B$9,MATCH(SUBSTITUTE(SUBSTITUTE(SUBSTITUTE(H91,"~","~~"),"*","~*"),"?","~?"),Guide!$A$7:$A$9,0)),""),"")</f>
        <v>Accessories</v>
      </c>
      <c r="J91" s="1" t="str">
        <f>IF(TRIM(Raw!E91)="",I91,IF(UPPER(TRIM(Raw!E91))=UPPER(I91),I91,""))</f>
        <v>Accessories</v>
      </c>
      <c r="K91" s="1" t="str">
        <f>IF(Raw!F91="","",Raw!F91)</f>
        <v>sale</v>
      </c>
      <c r="L91" s="1" t="str">
        <f>IF(LEFT(TRIM(Raw!G91),2)="-$","-"&amp;MID(TRIM(Raw!G91),3,99),IF(LEFT(TRIM(Raw!G91),1)="$",MID(TRIM(Raw!G91),2,99),TRIM(Raw!G91)))</f>
        <v>144.28</v>
      </c>
      <c r="M91" s="1">
        <f t="shared" si="11"/>
        <v>144.28</v>
      </c>
      <c r="N91" s="10">
        <f t="shared" si="12"/>
        <v>14428</v>
      </c>
      <c r="O91" s="1" t="b">
        <f>IFERROR(IF(ISNUMBER(Raw!G91),TRUE,OR(EXACT(L91,TEXT(M91,"0.00")),EXACT(L91,TEXT(M91,"#,##0.00")))),FALSE)</f>
        <v>1</v>
      </c>
      <c r="P91" s="1" t="str">
        <f>LEN(IF(Raw!A91="","",Raw!A91))&amp;":"&amp;IF(Raw!A91="","",Raw!A91)&amp;"|"&amp;LEN(IF(Raw!B91="","",Raw!B91))&amp;":"&amp;IF(Raw!B91="","",Raw!B91)&amp;"|"&amp;LEN(IF(Raw!C91="","",Raw!C91))&amp;":"&amp;IF(Raw!C91="","",Raw!C91)&amp;"|"&amp;LEN(IF(Raw!D91="","",Raw!D91))&amp;":"&amp;IF(Raw!D91="","",Raw!D91)&amp;"|"&amp;LEN(IF(Raw!E91="","",Raw!E91))&amp;":"&amp;IF(Raw!E91="","",Raw!E91)&amp;"|"&amp;LEN(IF(Raw!F91="","",Raw!F91))&amp;":"&amp;IF(Raw!F91="","",Raw!F91)&amp;"|"&amp;LEN(IF(Raw!G91="","",Raw!G91))&amp;":"&amp;IF(Raw!G91="","",Raw!G91)</f>
        <v>6:L00085|6:T00043|10:2026-01-25|3:P-A|11:Accessories|4:sale|6:144.28</v>
      </c>
      <c r="Q91" s="1">
        <f>1</f>
        <v>1</v>
      </c>
      <c r="R91" s="1" t="b">
        <f>FALSE</f>
        <v>0</v>
      </c>
      <c r="S91" s="1">
        <f>1</f>
        <v>1</v>
      </c>
      <c r="T91" s="1" t="str">
        <f>IF(AND(Raw!A91="",Raw!B91="",Raw!C91="",Raw!D91="",Raw!E91="",Raw!F91="",Raw!G91=""),"UNUSED",IF(A91="","missing line ID",IF(B91="","missing transaction ID",IF(G91="",IF(C91="","missing date","invalid date"),IF(I91="","unknown product",IF(J91="","conflicting category",IF(NOT(OR(EXACT(K91,"sale"),EXACT(K91,"refund"))),"unknown event",IF(OR(N91="",NOT(O91)),"invalid amount",IF(OR(AND(K91="sale",N91&lt;=0),AND(K91="refund",N91&gt;=0)),"invalid sign","")))))))))</f>
        <v/>
      </c>
      <c r="U91" s="1" t="str">
        <f t="shared" si="13"/>
        <v>INCLUDED</v>
      </c>
      <c r="V91" s="1" t="str">
        <f t="shared" si="14"/>
        <v>2026-01</v>
      </c>
      <c r="W91" s="1">
        <f>IF(AND(U91="INCLUDED",X91&gt;0,EXACT(A91,'AI output'!A91)),1,0)</f>
        <v>1</v>
      </c>
      <c r="X91" s="1">
        <f>91</f>
        <v>91</v>
      </c>
      <c r="Y91" s="1">
        <f>IF(AND(U91="INCLUDED",W91=1),--(NOT(EXACT(A91,'AI output'!A91)))+--(NOT(EXACT(B91,'AI output'!B91)))+--(NOT(EXACT(TEXT(G91,"yyyy-mm-dd"),'AI output'!C91)))+--(NOT(EXACT(H91,'AI output'!D91)))+--(NOT(EXACT(J91,'AI output'!E91)))+--(NOT(EXACT(K91,'AI output'!F91)))+--(N91&lt;&gt;'AI output'!L91)+--(NOT('AI output'!M91)),0)</f>
        <v>0</v>
      </c>
      <c r="Z91" s="1">
        <f t="shared" si="15"/>
        <v>0</v>
      </c>
      <c r="AA91" s="1">
        <f>--EXACT(A91,"L00085")</f>
        <v>1</v>
      </c>
    </row>
    <row r="92" spans="1:27" ht="18.95" customHeight="1">
      <c r="A92" s="1" t="str">
        <f>IF(Raw!A92="","",Raw!A92)</f>
        <v>L00086</v>
      </c>
      <c r="B92" s="1" t="str">
        <f>IF(Raw!B92="","",Raw!B92)</f>
        <v>T00043</v>
      </c>
      <c r="C92" s="1" t="str">
        <f>IF(Raw!C92="","",Raw!C92)</f>
        <v>2026-01-25</v>
      </c>
      <c r="D92" s="1">
        <f t="shared" si="8"/>
        <v>2026</v>
      </c>
      <c r="E92" s="1">
        <f>IFERROR(IF(AND(LEN(C92)=10,MID(C92,5,1)="-",MID(C92,8,1)="-"),VALUE(MID(C92,6,2)),IF(AND(LEN(C92)=11,MID(C92,3,1)="-",MID(C92,7,1)="-"),MATCH(UPPER(MID(C92,4,3)),Guide!$D$7:$D$18,0),0)),0)</f>
        <v>1</v>
      </c>
      <c r="F92" s="1">
        <f t="shared" si="9"/>
        <v>25</v>
      </c>
      <c r="G92" s="9">
        <f t="shared" si="10"/>
        <v>46047</v>
      </c>
      <c r="H92" s="1" t="str">
        <f>IF(Raw!D92="","",Raw!D92)</f>
        <v>P-H</v>
      </c>
      <c r="I92" s="1" t="str">
        <f>IFERROR(IF(EXACT(H92,INDEX(Guide!$A$7:$A$9,MATCH(SUBSTITUTE(SUBSTITUTE(SUBSTITUTE(H92,"~","~~"),"*","~*"),"?","~?"),Guide!$A$7:$A$9,0))),INDEX(Guide!$B$7:$B$9,MATCH(SUBSTITUTE(SUBSTITUTE(SUBSTITUTE(H92,"~","~~"),"*","~*"),"?","~?"),Guide!$A$7:$A$9,0)),""),"")</f>
        <v>Home</v>
      </c>
      <c r="J92" s="1" t="str">
        <f>IF(TRIM(Raw!E92)="",I92,IF(UPPER(TRIM(Raw!E92))=UPPER(I92),I92,""))</f>
        <v>Home</v>
      </c>
      <c r="K92" s="1" t="str">
        <f>IF(Raw!F92="","",Raw!F92)</f>
        <v>sale</v>
      </c>
      <c r="L92" s="1" t="str">
        <f>IF(LEFT(TRIM(Raw!G92),2)="-$","-"&amp;MID(TRIM(Raw!G92),3,99),IF(LEFT(TRIM(Raw!G92),1)="$",MID(TRIM(Raw!G92),2,99),TRIM(Raw!G92)))</f>
        <v>36.44</v>
      </c>
      <c r="M92" s="1">
        <f t="shared" si="11"/>
        <v>36.44</v>
      </c>
      <c r="N92" s="10">
        <f t="shared" si="12"/>
        <v>3644</v>
      </c>
      <c r="O92" s="1" t="b">
        <f>IFERROR(IF(ISNUMBER(Raw!G92),TRUE,OR(EXACT(L92,TEXT(M92,"0.00")),EXACT(L92,TEXT(M92,"#,##0.00")))),FALSE)</f>
        <v>1</v>
      </c>
      <c r="P92" s="1" t="str">
        <f>LEN(IF(Raw!A92="","",Raw!A92))&amp;":"&amp;IF(Raw!A92="","",Raw!A92)&amp;"|"&amp;LEN(IF(Raw!B92="","",Raw!B92))&amp;":"&amp;IF(Raw!B92="","",Raw!B92)&amp;"|"&amp;LEN(IF(Raw!C92="","",Raw!C92))&amp;":"&amp;IF(Raw!C92="","",Raw!C92)&amp;"|"&amp;LEN(IF(Raw!D92="","",Raw!D92))&amp;":"&amp;IF(Raw!D92="","",Raw!D92)&amp;"|"&amp;LEN(IF(Raw!E92="","",Raw!E92))&amp;":"&amp;IF(Raw!E92="","",Raw!E92)&amp;"|"&amp;LEN(IF(Raw!F92="","",Raw!F92))&amp;":"&amp;IF(Raw!F92="","",Raw!F92)&amp;"|"&amp;LEN(IF(Raw!G92="","",Raw!G92))&amp;":"&amp;IF(Raw!G92="","",Raw!G92)</f>
        <v>6:L00086|6:T00043|10:2026-01-25|3:P-H|4:Home|4:sale|5:36.44</v>
      </c>
      <c r="Q92" s="1">
        <f>1</f>
        <v>1</v>
      </c>
      <c r="R92" s="1" t="b">
        <f>FALSE</f>
        <v>0</v>
      </c>
      <c r="S92" s="1">
        <f>1</f>
        <v>1</v>
      </c>
      <c r="T92" s="1" t="str">
        <f>IF(AND(Raw!A92="",Raw!B92="",Raw!C92="",Raw!D92="",Raw!E92="",Raw!F92="",Raw!G92=""),"UNUSED",IF(A92="","missing line ID",IF(B92="","missing transaction ID",IF(G92="",IF(C92="","missing date","invalid date"),IF(I92="","unknown product",IF(J92="","conflicting category",IF(NOT(OR(EXACT(K92,"sale"),EXACT(K92,"refund"))),"unknown event",IF(OR(N92="",NOT(O92)),"invalid amount",IF(OR(AND(K92="sale",N92&lt;=0),AND(K92="refund",N92&gt;=0)),"invalid sign","")))))))))</f>
        <v/>
      </c>
      <c r="U92" s="1" t="str">
        <f t="shared" si="13"/>
        <v>INCLUDED</v>
      </c>
      <c r="V92" s="1" t="str">
        <f t="shared" si="14"/>
        <v>2026-01</v>
      </c>
      <c r="W92" s="1">
        <f>IF(AND(U92="INCLUDED",X92&gt;0,EXACT(A92,'AI output'!A92)),1,0)</f>
        <v>1</v>
      </c>
      <c r="X92" s="1">
        <f>92</f>
        <v>92</v>
      </c>
      <c r="Y92" s="1">
        <f>IF(AND(U92="INCLUDED",W92=1),--(NOT(EXACT(A92,'AI output'!A92)))+--(NOT(EXACT(B92,'AI output'!B92)))+--(NOT(EXACT(TEXT(G92,"yyyy-mm-dd"),'AI output'!C92)))+--(NOT(EXACT(H92,'AI output'!D92)))+--(NOT(EXACT(J92,'AI output'!E92)))+--(NOT(EXACT(K92,'AI output'!F92)))+--(N92&lt;&gt;'AI output'!L92)+--(NOT('AI output'!M92)),0)</f>
        <v>0</v>
      </c>
      <c r="Z92" s="1">
        <f t="shared" si="15"/>
        <v>0</v>
      </c>
      <c r="AA92" s="1">
        <f>--EXACT(A92,"L00086")</f>
        <v>1</v>
      </c>
    </row>
    <row r="93" spans="1:27" ht="18.95" customHeight="1">
      <c r="A93" s="1" t="str">
        <f>IF(Raw!A93="","",Raw!A93)</f>
        <v>L00087</v>
      </c>
      <c r="B93" s="1" t="str">
        <f>IF(Raw!B93="","",Raw!B93)</f>
        <v>T00044</v>
      </c>
      <c r="C93" s="1" t="str">
        <f>IF(Raw!C93="","",Raw!C93)</f>
        <v>2026-02-01</v>
      </c>
      <c r="D93" s="1">
        <f t="shared" si="8"/>
        <v>2026</v>
      </c>
      <c r="E93" s="1">
        <f>IFERROR(IF(AND(LEN(C93)=10,MID(C93,5,1)="-",MID(C93,8,1)="-"),VALUE(MID(C93,6,2)),IF(AND(LEN(C93)=11,MID(C93,3,1)="-",MID(C93,7,1)="-"),MATCH(UPPER(MID(C93,4,3)),Guide!$D$7:$D$18,0),0)),0)</f>
        <v>2</v>
      </c>
      <c r="F93" s="1">
        <f t="shared" si="9"/>
        <v>1</v>
      </c>
      <c r="G93" s="9">
        <f t="shared" si="10"/>
        <v>46054</v>
      </c>
      <c r="H93" s="1" t="str">
        <f>IF(Raw!D93="","",Raw!D93)</f>
        <v>P-O</v>
      </c>
      <c r="I93" s="1" t="str">
        <f>IFERROR(IF(EXACT(H93,INDEX(Guide!$A$7:$A$9,MATCH(SUBSTITUTE(SUBSTITUTE(SUBSTITUTE(H93,"~","~~"),"*","~*"),"?","~?"),Guide!$A$7:$A$9,0))),INDEX(Guide!$B$7:$B$9,MATCH(SUBSTITUTE(SUBSTITUTE(SUBSTITUTE(H93,"~","~~"),"*","~*"),"?","~?"),Guide!$A$7:$A$9,0)),""),"")</f>
        <v>Office</v>
      </c>
      <c r="J93" s="1" t="str">
        <f>IF(TRIM(Raw!E93)="",I93,IF(UPPER(TRIM(Raw!E93))=UPPER(I93),I93,""))</f>
        <v>Office</v>
      </c>
      <c r="K93" s="1" t="str">
        <f>IF(Raw!F93="","",Raw!F93)</f>
        <v>sale</v>
      </c>
      <c r="L93" s="1" t="str">
        <f>IF(LEFT(TRIM(Raw!G93),2)="-$","-"&amp;MID(TRIM(Raw!G93),3,99),IF(LEFT(TRIM(Raw!G93),1)="$",MID(TRIM(Raw!G93),2,99),TRIM(Raw!G93)))</f>
        <v>110.43</v>
      </c>
      <c r="M93" s="1">
        <f t="shared" si="11"/>
        <v>110.43</v>
      </c>
      <c r="N93" s="10">
        <f t="shared" si="12"/>
        <v>11043</v>
      </c>
      <c r="O93" s="1" t="b">
        <f>IFERROR(IF(ISNUMBER(Raw!G93),TRUE,OR(EXACT(L93,TEXT(M93,"0.00")),EXACT(L93,TEXT(M93,"#,##0.00")))),FALSE)</f>
        <v>1</v>
      </c>
      <c r="P93" s="1" t="str">
        <f>LEN(IF(Raw!A93="","",Raw!A93))&amp;":"&amp;IF(Raw!A93="","",Raw!A93)&amp;"|"&amp;LEN(IF(Raw!B93="","",Raw!B93))&amp;":"&amp;IF(Raw!B93="","",Raw!B93)&amp;"|"&amp;LEN(IF(Raw!C93="","",Raw!C93))&amp;":"&amp;IF(Raw!C93="","",Raw!C93)&amp;"|"&amp;LEN(IF(Raw!D93="","",Raw!D93))&amp;":"&amp;IF(Raw!D93="","",Raw!D93)&amp;"|"&amp;LEN(IF(Raw!E93="","",Raw!E93))&amp;":"&amp;IF(Raw!E93="","",Raw!E93)&amp;"|"&amp;LEN(IF(Raw!F93="","",Raw!F93))&amp;":"&amp;IF(Raw!F93="","",Raw!F93)&amp;"|"&amp;LEN(IF(Raw!G93="","",Raw!G93))&amp;":"&amp;IF(Raw!G93="","",Raw!G93)</f>
        <v>6:L00087|6:T00044|10:2026-02-01|3:P-O|6:Office|4:sale|6:110.43</v>
      </c>
      <c r="Q93" s="1">
        <f>1</f>
        <v>1</v>
      </c>
      <c r="R93" s="1" t="b">
        <f>FALSE</f>
        <v>0</v>
      </c>
      <c r="S93" s="1">
        <f>1</f>
        <v>1</v>
      </c>
      <c r="T93" s="1" t="str">
        <f>IF(AND(Raw!A93="",Raw!B93="",Raw!C93="",Raw!D93="",Raw!E93="",Raw!F93="",Raw!G93=""),"UNUSED",IF(A93="","missing line ID",IF(B93="","missing transaction ID",IF(G93="",IF(C93="","missing date","invalid date"),IF(I93="","unknown product",IF(J93="","conflicting category",IF(NOT(OR(EXACT(K93,"sale"),EXACT(K93,"refund"))),"unknown event",IF(OR(N93="",NOT(O93)),"invalid amount",IF(OR(AND(K93="sale",N93&lt;=0),AND(K93="refund",N93&gt;=0)),"invalid sign","")))))))))</f>
        <v/>
      </c>
      <c r="U93" s="1" t="str">
        <f t="shared" si="13"/>
        <v>INCLUDED</v>
      </c>
      <c r="V93" s="1" t="str">
        <f t="shared" si="14"/>
        <v>2026-02</v>
      </c>
      <c r="W93" s="1">
        <f>IF(AND(U93="INCLUDED",X93&gt;0,EXACT(A93,'AI output'!A93)),1,0)</f>
        <v>1</v>
      </c>
      <c r="X93" s="1">
        <f>93</f>
        <v>93</v>
      </c>
      <c r="Y93" s="1">
        <f>IF(AND(U93="INCLUDED",W93=1),--(NOT(EXACT(A93,'AI output'!A93)))+--(NOT(EXACT(B93,'AI output'!B93)))+--(NOT(EXACT(TEXT(G93,"yyyy-mm-dd"),'AI output'!C93)))+--(NOT(EXACT(H93,'AI output'!D93)))+--(NOT(EXACT(J93,'AI output'!E93)))+--(NOT(EXACT(K93,'AI output'!F93)))+--(N93&lt;&gt;'AI output'!L93)+--(NOT('AI output'!M93)),0)</f>
        <v>0</v>
      </c>
      <c r="Z93" s="1">
        <f t="shared" si="15"/>
        <v>0</v>
      </c>
      <c r="AA93" s="1">
        <f>--EXACT(A93,"L00087")</f>
        <v>1</v>
      </c>
    </row>
    <row r="94" spans="1:27" ht="18.95" customHeight="1">
      <c r="A94" s="1" t="str">
        <f>IF(Raw!A94="","",Raw!A94)</f>
        <v>L00088</v>
      </c>
      <c r="B94" s="1" t="str">
        <f>IF(Raw!B94="","",Raw!B94)</f>
        <v>T00044</v>
      </c>
      <c r="C94" s="1" t="str">
        <f>IF(Raw!C94="","",Raw!C94)</f>
        <v>2026-02-01</v>
      </c>
      <c r="D94" s="1">
        <f t="shared" si="8"/>
        <v>2026</v>
      </c>
      <c r="E94" s="1">
        <f>IFERROR(IF(AND(LEN(C94)=10,MID(C94,5,1)="-",MID(C94,8,1)="-"),VALUE(MID(C94,6,2)),IF(AND(LEN(C94)=11,MID(C94,3,1)="-",MID(C94,7,1)="-"),MATCH(UPPER(MID(C94,4,3)),Guide!$D$7:$D$18,0),0)),0)</f>
        <v>2</v>
      </c>
      <c r="F94" s="1">
        <f t="shared" si="9"/>
        <v>1</v>
      </c>
      <c r="G94" s="9">
        <f t="shared" si="10"/>
        <v>46054</v>
      </c>
      <c r="H94" s="1" t="str">
        <f>IF(Raw!D94="","",Raw!D94)</f>
        <v>P-A</v>
      </c>
      <c r="I94" s="1" t="str">
        <f>IFERROR(IF(EXACT(H94,INDEX(Guide!$A$7:$A$9,MATCH(SUBSTITUTE(SUBSTITUTE(SUBSTITUTE(H94,"~","~~"),"*","~*"),"?","~?"),Guide!$A$7:$A$9,0))),INDEX(Guide!$B$7:$B$9,MATCH(SUBSTITUTE(SUBSTITUTE(SUBSTITUTE(H94,"~","~~"),"*","~*"),"?","~?"),Guide!$A$7:$A$9,0)),""),"")</f>
        <v>Accessories</v>
      </c>
      <c r="J94" s="1" t="str">
        <f>IF(TRIM(Raw!E94)="",I94,IF(UPPER(TRIM(Raw!E94))=UPPER(I94),I94,""))</f>
        <v>Accessories</v>
      </c>
      <c r="K94" s="1" t="str">
        <f>IF(Raw!F94="","",Raw!F94)</f>
        <v>sale</v>
      </c>
      <c r="L94" s="1" t="str">
        <f>IF(LEFT(TRIM(Raw!G94),2)="-$","-"&amp;MID(TRIM(Raw!G94),3,99),IF(LEFT(TRIM(Raw!G94),1)="$",MID(TRIM(Raw!G94),2,99),TRIM(Raw!G94)))</f>
        <v>185.90</v>
      </c>
      <c r="M94" s="1">
        <f t="shared" si="11"/>
        <v>185.9</v>
      </c>
      <c r="N94" s="10">
        <f t="shared" si="12"/>
        <v>18590</v>
      </c>
      <c r="O94" s="1" t="b">
        <f>IFERROR(IF(ISNUMBER(Raw!G94),TRUE,OR(EXACT(L94,TEXT(M94,"0.00")),EXACT(L94,TEXT(M94,"#,##0.00")))),FALSE)</f>
        <v>1</v>
      </c>
      <c r="P94" s="1" t="str">
        <f>LEN(IF(Raw!A94="","",Raw!A94))&amp;":"&amp;IF(Raw!A94="","",Raw!A94)&amp;"|"&amp;LEN(IF(Raw!B94="","",Raw!B94))&amp;":"&amp;IF(Raw!B94="","",Raw!B94)&amp;"|"&amp;LEN(IF(Raw!C94="","",Raw!C94))&amp;":"&amp;IF(Raw!C94="","",Raw!C94)&amp;"|"&amp;LEN(IF(Raw!D94="","",Raw!D94))&amp;":"&amp;IF(Raw!D94="","",Raw!D94)&amp;"|"&amp;LEN(IF(Raw!E94="","",Raw!E94))&amp;":"&amp;IF(Raw!E94="","",Raw!E94)&amp;"|"&amp;LEN(IF(Raw!F94="","",Raw!F94))&amp;":"&amp;IF(Raw!F94="","",Raw!F94)&amp;"|"&amp;LEN(IF(Raw!G94="","",Raw!G94))&amp;":"&amp;IF(Raw!G94="","",Raw!G94)</f>
        <v>6:L00088|6:T00044|10:2026-02-01|3:P-A|11:Accessories|4:sale|6:185.90</v>
      </c>
      <c r="Q94" s="1">
        <f>1</f>
        <v>1</v>
      </c>
      <c r="R94" s="1" t="b">
        <f>FALSE</f>
        <v>0</v>
      </c>
      <c r="S94" s="1">
        <f>1</f>
        <v>1</v>
      </c>
      <c r="T94" s="1" t="str">
        <f>IF(AND(Raw!A94="",Raw!B94="",Raw!C94="",Raw!D94="",Raw!E94="",Raw!F94="",Raw!G94=""),"UNUSED",IF(A94="","missing line ID",IF(B94="","missing transaction ID",IF(G94="",IF(C94="","missing date","invalid date"),IF(I94="","unknown product",IF(J94="","conflicting category",IF(NOT(OR(EXACT(K94,"sale"),EXACT(K94,"refund"))),"unknown event",IF(OR(N94="",NOT(O94)),"invalid amount",IF(OR(AND(K94="sale",N94&lt;=0),AND(K94="refund",N94&gt;=0)),"invalid sign","")))))))))</f>
        <v/>
      </c>
      <c r="U94" s="1" t="str">
        <f t="shared" si="13"/>
        <v>INCLUDED</v>
      </c>
      <c r="V94" s="1" t="str">
        <f t="shared" si="14"/>
        <v>2026-02</v>
      </c>
      <c r="W94" s="1">
        <f>IF(AND(U94="INCLUDED",X94&gt;0,EXACT(A94,'AI output'!A94)),1,0)</f>
        <v>1</v>
      </c>
      <c r="X94" s="1">
        <f>94</f>
        <v>94</v>
      </c>
      <c r="Y94" s="1">
        <f>IF(AND(U94="INCLUDED",W94=1),--(NOT(EXACT(A94,'AI output'!A94)))+--(NOT(EXACT(B94,'AI output'!B94)))+--(NOT(EXACT(TEXT(G94,"yyyy-mm-dd"),'AI output'!C94)))+--(NOT(EXACT(H94,'AI output'!D94)))+--(NOT(EXACT(J94,'AI output'!E94)))+--(NOT(EXACT(K94,'AI output'!F94)))+--(N94&lt;&gt;'AI output'!L94)+--(NOT('AI output'!M94)),0)</f>
        <v>0</v>
      </c>
      <c r="Z94" s="1">
        <f t="shared" si="15"/>
        <v>0</v>
      </c>
      <c r="AA94" s="1">
        <f>--EXACT(A94,"L00088")</f>
        <v>1</v>
      </c>
    </row>
    <row r="95" spans="1:27" ht="18.95" customHeight="1">
      <c r="A95" s="1" t="str">
        <f>IF(Raw!A95="","",Raw!A95)</f>
        <v>L00089</v>
      </c>
      <c r="B95" s="1" t="str">
        <f>IF(Raw!B95="","",Raw!B95)</f>
        <v>T00045</v>
      </c>
      <c r="C95" s="1" t="str">
        <f>IF(Raw!C95="","",Raw!C95)</f>
        <v>2026-02-08</v>
      </c>
      <c r="D95" s="1">
        <f t="shared" si="8"/>
        <v>2026</v>
      </c>
      <c r="E95" s="1">
        <f>IFERROR(IF(AND(LEN(C95)=10,MID(C95,5,1)="-",MID(C95,8,1)="-"),VALUE(MID(C95,6,2)),IF(AND(LEN(C95)=11,MID(C95,3,1)="-",MID(C95,7,1)="-"),MATCH(UPPER(MID(C95,4,3)),Guide!$D$7:$D$18,0),0)),0)</f>
        <v>2</v>
      </c>
      <c r="F95" s="1">
        <f t="shared" si="9"/>
        <v>8</v>
      </c>
      <c r="G95" s="9">
        <f t="shared" si="10"/>
        <v>46061</v>
      </c>
      <c r="H95" s="1" t="str">
        <f>IF(Raw!D95="","",Raw!D95)</f>
        <v>P-H</v>
      </c>
      <c r="I95" s="1" t="str">
        <f>IFERROR(IF(EXACT(H95,INDEX(Guide!$A$7:$A$9,MATCH(SUBSTITUTE(SUBSTITUTE(SUBSTITUTE(H95,"~","~~"),"*","~*"),"?","~?"),Guide!$A$7:$A$9,0))),INDEX(Guide!$B$7:$B$9,MATCH(SUBSTITUTE(SUBSTITUTE(SUBSTITUTE(H95,"~","~~"),"*","~*"),"?","~?"),Guide!$A$7:$A$9,0)),""),"")</f>
        <v>Home</v>
      </c>
      <c r="J95" s="1" t="str">
        <f>IF(TRIM(Raw!E95)="",I95,IF(UPPER(TRIM(Raw!E95))=UPPER(I95),I95,""))</f>
        <v>Home</v>
      </c>
      <c r="K95" s="1" t="str">
        <f>IF(Raw!F95="","",Raw!F95)</f>
        <v>sale</v>
      </c>
      <c r="L95" s="1" t="str">
        <f>IF(LEFT(TRIM(Raw!G95),2)="-$","-"&amp;MID(TRIM(Raw!G95),3,99),IF(LEFT(TRIM(Raw!G95),1)="$",MID(TRIM(Raw!G95),2,99),TRIM(Raw!G95)))</f>
        <v>75.10</v>
      </c>
      <c r="M95" s="1">
        <f t="shared" si="11"/>
        <v>75.099999999999994</v>
      </c>
      <c r="N95" s="10">
        <f t="shared" si="12"/>
        <v>7510</v>
      </c>
      <c r="O95" s="1" t="b">
        <f>IFERROR(IF(ISNUMBER(Raw!G95),TRUE,OR(EXACT(L95,TEXT(M95,"0.00")),EXACT(L95,TEXT(M95,"#,##0.00")))),FALSE)</f>
        <v>1</v>
      </c>
      <c r="P95" s="1" t="str">
        <f>LEN(IF(Raw!A95="","",Raw!A95))&amp;":"&amp;IF(Raw!A95="","",Raw!A95)&amp;"|"&amp;LEN(IF(Raw!B95="","",Raw!B95))&amp;":"&amp;IF(Raw!B95="","",Raw!B95)&amp;"|"&amp;LEN(IF(Raw!C95="","",Raw!C95))&amp;":"&amp;IF(Raw!C95="","",Raw!C95)&amp;"|"&amp;LEN(IF(Raw!D95="","",Raw!D95))&amp;":"&amp;IF(Raw!D95="","",Raw!D95)&amp;"|"&amp;LEN(IF(Raw!E95="","",Raw!E95))&amp;":"&amp;IF(Raw!E95="","",Raw!E95)&amp;"|"&amp;LEN(IF(Raw!F95="","",Raw!F95))&amp;":"&amp;IF(Raw!F95="","",Raw!F95)&amp;"|"&amp;LEN(IF(Raw!G95="","",Raw!G95))&amp;":"&amp;IF(Raw!G95="","",Raw!G95)</f>
        <v>6:L00089|6:T00045|10:2026-02-08|3:P-H|4:Home|4:sale|5:75.10</v>
      </c>
      <c r="Q95" s="1">
        <f>1</f>
        <v>1</v>
      </c>
      <c r="R95" s="1" t="b">
        <f>FALSE</f>
        <v>0</v>
      </c>
      <c r="S95" s="1">
        <f>1</f>
        <v>1</v>
      </c>
      <c r="T95" s="1" t="str">
        <f>IF(AND(Raw!A95="",Raw!B95="",Raw!C95="",Raw!D95="",Raw!E95="",Raw!F95="",Raw!G95=""),"UNUSED",IF(A95="","missing line ID",IF(B95="","missing transaction ID",IF(G95="",IF(C95="","missing date","invalid date"),IF(I95="","unknown product",IF(J95="","conflicting category",IF(NOT(OR(EXACT(K95,"sale"),EXACT(K95,"refund"))),"unknown event",IF(OR(N95="",NOT(O95)),"invalid amount",IF(OR(AND(K95="sale",N95&lt;=0),AND(K95="refund",N95&gt;=0)),"invalid sign","")))))))))</f>
        <v/>
      </c>
      <c r="U95" s="1" t="str">
        <f t="shared" si="13"/>
        <v>INCLUDED</v>
      </c>
      <c r="V95" s="1" t="str">
        <f t="shared" si="14"/>
        <v>2026-02</v>
      </c>
      <c r="W95" s="1">
        <f>IF(AND(U95="INCLUDED",X95&gt;0,EXACT(A95,'AI output'!A95)),1,0)</f>
        <v>1</v>
      </c>
      <c r="X95" s="1">
        <f>95</f>
        <v>95</v>
      </c>
      <c r="Y95" s="1">
        <f>IF(AND(U95="INCLUDED",W95=1),--(NOT(EXACT(A95,'AI output'!A95)))+--(NOT(EXACT(B95,'AI output'!B95)))+--(NOT(EXACT(TEXT(G95,"yyyy-mm-dd"),'AI output'!C95)))+--(NOT(EXACT(H95,'AI output'!D95)))+--(NOT(EXACT(J95,'AI output'!E95)))+--(NOT(EXACT(K95,'AI output'!F95)))+--(N95&lt;&gt;'AI output'!L95)+--(NOT('AI output'!M95)),0)</f>
        <v>0</v>
      </c>
      <c r="Z95" s="1">
        <f t="shared" si="15"/>
        <v>0</v>
      </c>
      <c r="AA95" s="1">
        <f>--EXACT(A95,"L00089")</f>
        <v>1</v>
      </c>
    </row>
    <row r="96" spans="1:27" ht="18.95" customHeight="1">
      <c r="A96" s="1" t="str">
        <f>IF(Raw!A96="","",Raw!A96)</f>
        <v>L00090</v>
      </c>
      <c r="B96" s="1" t="str">
        <f>IF(Raw!B96="","",Raw!B96)</f>
        <v>T00045</v>
      </c>
      <c r="C96" s="1" t="str">
        <f>IF(Raw!C96="","",Raw!C96)</f>
        <v>2026-02-08</v>
      </c>
      <c r="D96" s="1">
        <f t="shared" si="8"/>
        <v>2026</v>
      </c>
      <c r="E96" s="1">
        <f>IFERROR(IF(AND(LEN(C96)=10,MID(C96,5,1)="-",MID(C96,8,1)="-"),VALUE(MID(C96,6,2)),IF(AND(LEN(C96)=11,MID(C96,3,1)="-",MID(C96,7,1)="-"),MATCH(UPPER(MID(C96,4,3)),Guide!$D$7:$D$18,0),0)),0)</f>
        <v>2</v>
      </c>
      <c r="F96" s="1">
        <f t="shared" si="9"/>
        <v>8</v>
      </c>
      <c r="G96" s="9">
        <f t="shared" si="10"/>
        <v>46061</v>
      </c>
      <c r="H96" s="1" t="str">
        <f>IF(Raw!D96="","",Raw!D96)</f>
        <v>P-O</v>
      </c>
      <c r="I96" s="1" t="str">
        <f>IFERROR(IF(EXACT(H96,INDEX(Guide!$A$7:$A$9,MATCH(SUBSTITUTE(SUBSTITUTE(SUBSTITUTE(H96,"~","~~"),"*","~*"),"?","~?"),Guide!$A$7:$A$9,0))),INDEX(Guide!$B$7:$B$9,MATCH(SUBSTITUTE(SUBSTITUTE(SUBSTITUTE(H96,"~","~~"),"*","~*"),"?","~?"),Guide!$A$7:$A$9,0)),""),"")</f>
        <v>Office</v>
      </c>
      <c r="J96" s="1" t="str">
        <f>IF(TRIM(Raw!E96)="",I96,IF(UPPER(TRIM(Raw!E96))=UPPER(I96),I96,""))</f>
        <v>Office</v>
      </c>
      <c r="K96" s="1" t="str">
        <f>IF(Raw!F96="","",Raw!F96)</f>
        <v>sale</v>
      </c>
      <c r="L96" s="1" t="str">
        <f>IF(LEFT(TRIM(Raw!G96),2)="-$","-"&amp;MID(TRIM(Raw!G96),3,99),IF(LEFT(TRIM(Raw!G96),1)="$",MID(TRIM(Raw!G96),2,99),TRIM(Raw!G96)))</f>
        <v>151.68</v>
      </c>
      <c r="M96" s="1">
        <f t="shared" si="11"/>
        <v>151.68</v>
      </c>
      <c r="N96" s="10">
        <f t="shared" si="12"/>
        <v>15168</v>
      </c>
      <c r="O96" s="1" t="b">
        <f>IFERROR(IF(ISNUMBER(Raw!G96),TRUE,OR(EXACT(L96,TEXT(M96,"0.00")),EXACT(L96,TEXT(M96,"#,##0.00")))),FALSE)</f>
        <v>1</v>
      </c>
      <c r="P96" s="1" t="str">
        <f>LEN(IF(Raw!A96="","",Raw!A96))&amp;":"&amp;IF(Raw!A96="","",Raw!A96)&amp;"|"&amp;LEN(IF(Raw!B96="","",Raw!B96))&amp;":"&amp;IF(Raw!B96="","",Raw!B96)&amp;"|"&amp;LEN(IF(Raw!C96="","",Raw!C96))&amp;":"&amp;IF(Raw!C96="","",Raw!C96)&amp;"|"&amp;LEN(IF(Raw!D96="","",Raw!D96))&amp;":"&amp;IF(Raw!D96="","",Raw!D96)&amp;"|"&amp;LEN(IF(Raw!E96="","",Raw!E96))&amp;":"&amp;IF(Raw!E96="","",Raw!E96)&amp;"|"&amp;LEN(IF(Raw!F96="","",Raw!F96))&amp;":"&amp;IF(Raw!F96="","",Raw!F96)&amp;"|"&amp;LEN(IF(Raw!G96="","",Raw!G96))&amp;":"&amp;IF(Raw!G96="","",Raw!G96)</f>
        <v>6:L00090|6:T00045|10:2026-02-08|3:P-O|6:Office|4:sale|6:151.68</v>
      </c>
      <c r="Q96" s="1">
        <f>1</f>
        <v>1</v>
      </c>
      <c r="R96" s="1" t="b">
        <f>FALSE</f>
        <v>0</v>
      </c>
      <c r="S96" s="1">
        <f>1</f>
        <v>1</v>
      </c>
      <c r="T96" s="1" t="str">
        <f>IF(AND(Raw!A96="",Raw!B96="",Raw!C96="",Raw!D96="",Raw!E96="",Raw!F96="",Raw!G96=""),"UNUSED",IF(A96="","missing line ID",IF(B96="","missing transaction ID",IF(G96="",IF(C96="","missing date","invalid date"),IF(I96="","unknown product",IF(J96="","conflicting category",IF(NOT(OR(EXACT(K96,"sale"),EXACT(K96,"refund"))),"unknown event",IF(OR(N96="",NOT(O96)),"invalid amount",IF(OR(AND(K96="sale",N96&lt;=0),AND(K96="refund",N96&gt;=0)),"invalid sign","")))))))))</f>
        <v/>
      </c>
      <c r="U96" s="1" t="str">
        <f t="shared" si="13"/>
        <v>INCLUDED</v>
      </c>
      <c r="V96" s="1" t="str">
        <f t="shared" si="14"/>
        <v>2026-02</v>
      </c>
      <c r="W96" s="1">
        <f>IF(AND(U96="INCLUDED",X96&gt;0,EXACT(A96,'AI output'!A96)),1,0)</f>
        <v>1</v>
      </c>
      <c r="X96" s="1">
        <f>96</f>
        <v>96</v>
      </c>
      <c r="Y96" s="1">
        <f>IF(AND(U96="INCLUDED",W96=1),--(NOT(EXACT(A96,'AI output'!A96)))+--(NOT(EXACT(B96,'AI output'!B96)))+--(NOT(EXACT(TEXT(G96,"yyyy-mm-dd"),'AI output'!C96)))+--(NOT(EXACT(H96,'AI output'!D96)))+--(NOT(EXACT(J96,'AI output'!E96)))+--(NOT(EXACT(K96,'AI output'!F96)))+--(N96&lt;&gt;'AI output'!L96)+--(NOT('AI output'!M96)),0)</f>
        <v>0</v>
      </c>
      <c r="Z96" s="1">
        <f t="shared" si="15"/>
        <v>0</v>
      </c>
      <c r="AA96" s="1">
        <f>--EXACT(A96,"L00090")</f>
        <v>1</v>
      </c>
    </row>
    <row r="97" spans="1:27" ht="18.95" customHeight="1">
      <c r="A97" s="1" t="str">
        <f>IF(Raw!A97="","",Raw!A97)</f>
        <v>L00091</v>
      </c>
      <c r="B97" s="1" t="str">
        <f>IF(Raw!B97="","",Raw!B97)</f>
        <v>T00046</v>
      </c>
      <c r="C97" s="1" t="str">
        <f>IF(Raw!C97="","",Raw!C97)</f>
        <v>2026-02-15</v>
      </c>
      <c r="D97" s="1">
        <f t="shared" si="8"/>
        <v>2026</v>
      </c>
      <c r="E97" s="1">
        <f>IFERROR(IF(AND(LEN(C97)=10,MID(C97,5,1)="-",MID(C97,8,1)="-"),VALUE(MID(C97,6,2)),IF(AND(LEN(C97)=11,MID(C97,3,1)="-",MID(C97,7,1)="-"),MATCH(UPPER(MID(C97,4,3)),Guide!$D$7:$D$18,0),0)),0)</f>
        <v>2</v>
      </c>
      <c r="F97" s="1">
        <f t="shared" si="9"/>
        <v>15</v>
      </c>
      <c r="G97" s="9">
        <f t="shared" si="10"/>
        <v>46068</v>
      </c>
      <c r="H97" s="1" t="str">
        <f>IF(Raw!D97="","",Raw!D97)</f>
        <v>P-A</v>
      </c>
      <c r="I97" s="1" t="str">
        <f>IFERROR(IF(EXACT(H97,INDEX(Guide!$A$7:$A$9,MATCH(SUBSTITUTE(SUBSTITUTE(SUBSTITUTE(H97,"~","~~"),"*","~*"),"?","~?"),Guide!$A$7:$A$9,0))),INDEX(Guide!$B$7:$B$9,MATCH(SUBSTITUTE(SUBSTITUTE(SUBSTITUTE(H97,"~","~~"),"*","~*"),"?","~?"),Guide!$A$7:$A$9,0)),""),"")</f>
        <v>Accessories</v>
      </c>
      <c r="J97" s="1" t="str">
        <f>IF(TRIM(Raw!E97)="",I97,IF(UPPER(TRIM(Raw!E97))=UPPER(I97),I97,""))</f>
        <v>Accessories</v>
      </c>
      <c r="K97" s="1" t="str">
        <f>IF(Raw!F97="","",Raw!F97)</f>
        <v>sale</v>
      </c>
      <c r="L97" s="1" t="str">
        <f>IF(LEFT(TRIM(Raw!G97),2)="-$","-"&amp;MID(TRIM(Raw!G97),3,99),IF(LEFT(TRIM(Raw!G97),1)="$",MID(TRIM(Raw!G97),2,99),TRIM(Raw!G97)))</f>
        <v>38.29</v>
      </c>
      <c r="M97" s="1">
        <f t="shared" si="11"/>
        <v>38.29</v>
      </c>
      <c r="N97" s="10">
        <f t="shared" si="12"/>
        <v>3829</v>
      </c>
      <c r="O97" s="1" t="b">
        <f>IFERROR(IF(ISNUMBER(Raw!G97),TRUE,OR(EXACT(L97,TEXT(M97,"0.00")),EXACT(L97,TEXT(M97,"#,##0.00")))),FALSE)</f>
        <v>1</v>
      </c>
      <c r="P97" s="1" t="str">
        <f>LEN(IF(Raw!A97="","",Raw!A97))&amp;":"&amp;IF(Raw!A97="","",Raw!A97)&amp;"|"&amp;LEN(IF(Raw!B97="","",Raw!B97))&amp;":"&amp;IF(Raw!B97="","",Raw!B97)&amp;"|"&amp;LEN(IF(Raw!C97="","",Raw!C97))&amp;":"&amp;IF(Raw!C97="","",Raw!C97)&amp;"|"&amp;LEN(IF(Raw!D97="","",Raw!D97))&amp;":"&amp;IF(Raw!D97="","",Raw!D97)&amp;"|"&amp;LEN(IF(Raw!E97="","",Raw!E97))&amp;":"&amp;IF(Raw!E97="","",Raw!E97)&amp;"|"&amp;LEN(IF(Raw!F97="","",Raw!F97))&amp;":"&amp;IF(Raw!F97="","",Raw!F97)&amp;"|"&amp;LEN(IF(Raw!G97="","",Raw!G97))&amp;":"&amp;IF(Raw!G97="","",Raw!G97)</f>
        <v>6:L00091|6:T00046|10:2026-02-15|3:P-A|11:Accessories|4:sale|5:38.29</v>
      </c>
      <c r="Q97" s="1">
        <f>1</f>
        <v>1</v>
      </c>
      <c r="R97" s="1" t="b">
        <f>FALSE</f>
        <v>0</v>
      </c>
      <c r="S97" s="1">
        <f>1</f>
        <v>1</v>
      </c>
      <c r="T97" s="1" t="str">
        <f>IF(AND(Raw!A97="",Raw!B97="",Raw!C97="",Raw!D97="",Raw!E97="",Raw!F97="",Raw!G97=""),"UNUSED",IF(A97="","missing line ID",IF(B97="","missing transaction ID",IF(G97="",IF(C97="","missing date","invalid date"),IF(I97="","unknown product",IF(J97="","conflicting category",IF(NOT(OR(EXACT(K97,"sale"),EXACT(K97,"refund"))),"unknown event",IF(OR(N97="",NOT(O97)),"invalid amount",IF(OR(AND(K97="sale",N97&lt;=0),AND(K97="refund",N97&gt;=0)),"invalid sign","")))))))))</f>
        <v/>
      </c>
      <c r="U97" s="1" t="str">
        <f t="shared" si="13"/>
        <v>INCLUDED</v>
      </c>
      <c r="V97" s="1" t="str">
        <f t="shared" si="14"/>
        <v>2026-02</v>
      </c>
      <c r="W97" s="1">
        <f>IF(AND(U97="INCLUDED",X97&gt;0,EXACT(A97,'AI output'!A97)),1,0)</f>
        <v>1</v>
      </c>
      <c r="X97" s="1">
        <f>97</f>
        <v>97</v>
      </c>
      <c r="Y97" s="1">
        <f>IF(AND(U97="INCLUDED",W97=1),--(NOT(EXACT(A97,'AI output'!A97)))+--(NOT(EXACT(B97,'AI output'!B97)))+--(NOT(EXACT(TEXT(G97,"yyyy-mm-dd"),'AI output'!C97)))+--(NOT(EXACT(H97,'AI output'!D97)))+--(NOT(EXACT(J97,'AI output'!E97)))+--(NOT(EXACT(K97,'AI output'!F97)))+--(N97&lt;&gt;'AI output'!L97)+--(NOT('AI output'!M97)),0)</f>
        <v>0</v>
      </c>
      <c r="Z97" s="1">
        <f t="shared" si="15"/>
        <v>0</v>
      </c>
      <c r="AA97" s="1">
        <f>--EXACT(A97,"L00091")</f>
        <v>1</v>
      </c>
    </row>
    <row r="98" spans="1:27" ht="18.95" customHeight="1">
      <c r="A98" s="1" t="str">
        <f>IF(Raw!A98="","",Raw!A98)</f>
        <v>L00092</v>
      </c>
      <c r="B98" s="1" t="str">
        <f>IF(Raw!B98="","",Raw!B98)</f>
        <v>T00046</v>
      </c>
      <c r="C98" s="1" t="str">
        <f>IF(Raw!C98="","",Raw!C98)</f>
        <v>2026-02-15</v>
      </c>
      <c r="D98" s="1">
        <f t="shared" si="8"/>
        <v>2026</v>
      </c>
      <c r="E98" s="1">
        <f>IFERROR(IF(AND(LEN(C98)=10,MID(C98,5,1)="-",MID(C98,8,1)="-"),VALUE(MID(C98,6,2)),IF(AND(LEN(C98)=11,MID(C98,3,1)="-",MID(C98,7,1)="-"),MATCH(UPPER(MID(C98,4,3)),Guide!$D$7:$D$18,0),0)),0)</f>
        <v>2</v>
      </c>
      <c r="F98" s="1">
        <f t="shared" si="9"/>
        <v>15</v>
      </c>
      <c r="G98" s="9">
        <f t="shared" si="10"/>
        <v>46068</v>
      </c>
      <c r="H98" s="1" t="str">
        <f>IF(Raw!D98="","",Raw!D98)</f>
        <v>P-H</v>
      </c>
      <c r="I98" s="1" t="str">
        <f>IFERROR(IF(EXACT(H98,INDEX(Guide!$A$7:$A$9,MATCH(SUBSTITUTE(SUBSTITUTE(SUBSTITUTE(H98,"~","~~"),"*","~*"),"?","~?"),Guide!$A$7:$A$9,0))),INDEX(Guide!$B$7:$B$9,MATCH(SUBSTITUTE(SUBSTITUTE(SUBSTITUTE(H98,"~","~~"),"*","~*"),"?","~?"),Guide!$A$7:$A$9,0)),""),"")</f>
        <v>Home</v>
      </c>
      <c r="J98" s="1" t="str">
        <f>IF(TRIM(Raw!E98)="",I98,IF(UPPER(TRIM(Raw!E98))=UPPER(I98),I98,""))</f>
        <v>Home</v>
      </c>
      <c r="K98" s="1" t="str">
        <f>IF(Raw!F98="","",Raw!F98)</f>
        <v>sale</v>
      </c>
      <c r="L98" s="1" t="str">
        <f>IF(LEFT(TRIM(Raw!G98),2)="-$","-"&amp;MID(TRIM(Raw!G98),3,99),IF(LEFT(TRIM(Raw!G98),1)="$",MID(TRIM(Raw!G98),2,99),TRIM(Raw!G98)))</f>
        <v>115.98</v>
      </c>
      <c r="M98" s="1">
        <f t="shared" si="11"/>
        <v>115.98</v>
      </c>
      <c r="N98" s="10">
        <f t="shared" si="12"/>
        <v>11598</v>
      </c>
      <c r="O98" s="1" t="b">
        <f>IFERROR(IF(ISNUMBER(Raw!G98),TRUE,OR(EXACT(L98,TEXT(M98,"0.00")),EXACT(L98,TEXT(M98,"#,##0.00")))),FALSE)</f>
        <v>1</v>
      </c>
      <c r="P98" s="1" t="str">
        <f>LEN(IF(Raw!A98="","",Raw!A98))&amp;":"&amp;IF(Raw!A98="","",Raw!A98)&amp;"|"&amp;LEN(IF(Raw!B98="","",Raw!B98))&amp;":"&amp;IF(Raw!B98="","",Raw!B98)&amp;"|"&amp;LEN(IF(Raw!C98="","",Raw!C98))&amp;":"&amp;IF(Raw!C98="","",Raw!C98)&amp;"|"&amp;LEN(IF(Raw!D98="","",Raw!D98))&amp;":"&amp;IF(Raw!D98="","",Raw!D98)&amp;"|"&amp;LEN(IF(Raw!E98="","",Raw!E98))&amp;":"&amp;IF(Raw!E98="","",Raw!E98)&amp;"|"&amp;LEN(IF(Raw!F98="","",Raw!F98))&amp;":"&amp;IF(Raw!F98="","",Raw!F98)&amp;"|"&amp;LEN(IF(Raw!G98="","",Raw!G98))&amp;":"&amp;IF(Raw!G98="","",Raw!G98)</f>
        <v>6:L00092|6:T00046|10:2026-02-15|3:P-H|4:Home|4:sale|6:115.98</v>
      </c>
      <c r="Q98" s="1">
        <f>1</f>
        <v>1</v>
      </c>
      <c r="R98" s="1" t="b">
        <f>FALSE</f>
        <v>0</v>
      </c>
      <c r="S98" s="1">
        <f>1</f>
        <v>1</v>
      </c>
      <c r="T98" s="1" t="str">
        <f>IF(AND(Raw!A98="",Raw!B98="",Raw!C98="",Raw!D98="",Raw!E98="",Raw!F98="",Raw!G98=""),"UNUSED",IF(A98="","missing line ID",IF(B98="","missing transaction ID",IF(G98="",IF(C98="","missing date","invalid date"),IF(I98="","unknown product",IF(J98="","conflicting category",IF(NOT(OR(EXACT(K98,"sale"),EXACT(K98,"refund"))),"unknown event",IF(OR(N98="",NOT(O98)),"invalid amount",IF(OR(AND(K98="sale",N98&lt;=0),AND(K98="refund",N98&gt;=0)),"invalid sign","")))))))))</f>
        <v/>
      </c>
      <c r="U98" s="1" t="str">
        <f t="shared" si="13"/>
        <v>INCLUDED</v>
      </c>
      <c r="V98" s="1" t="str">
        <f t="shared" si="14"/>
        <v>2026-02</v>
      </c>
      <c r="W98" s="1">
        <f>IF(AND(U98="INCLUDED",X98&gt;0,EXACT(A98,'AI output'!A98)),1,0)</f>
        <v>1</v>
      </c>
      <c r="X98" s="1">
        <f>98</f>
        <v>98</v>
      </c>
      <c r="Y98" s="1">
        <f>IF(AND(U98="INCLUDED",W98=1),--(NOT(EXACT(A98,'AI output'!A98)))+--(NOT(EXACT(B98,'AI output'!B98)))+--(NOT(EXACT(TEXT(G98,"yyyy-mm-dd"),'AI output'!C98)))+--(NOT(EXACT(H98,'AI output'!D98)))+--(NOT(EXACT(J98,'AI output'!E98)))+--(NOT(EXACT(K98,'AI output'!F98)))+--(N98&lt;&gt;'AI output'!L98)+--(NOT('AI output'!M98)),0)</f>
        <v>0</v>
      </c>
      <c r="Z98" s="1">
        <f t="shared" si="15"/>
        <v>0</v>
      </c>
      <c r="AA98" s="1">
        <f>--EXACT(A98,"L00092")</f>
        <v>1</v>
      </c>
    </row>
    <row r="99" spans="1:27" ht="18.95" customHeight="1">
      <c r="A99" s="1" t="str">
        <f>IF(Raw!A99="","",Raw!A99)</f>
        <v>L00093</v>
      </c>
      <c r="B99" s="1" t="str">
        <f>IF(Raw!B99="","",Raw!B99)</f>
        <v>T00047</v>
      </c>
      <c r="C99" s="1" t="str">
        <f>IF(Raw!C99="","",Raw!C99)</f>
        <v>2026-02-22</v>
      </c>
      <c r="D99" s="1">
        <f t="shared" si="8"/>
        <v>2026</v>
      </c>
      <c r="E99" s="1">
        <f>IFERROR(IF(AND(LEN(C99)=10,MID(C99,5,1)="-",MID(C99,8,1)="-"),VALUE(MID(C99,6,2)),IF(AND(LEN(C99)=11,MID(C99,3,1)="-",MID(C99,7,1)="-"),MATCH(UPPER(MID(C99,4,3)),Guide!$D$7:$D$18,0),0)),0)</f>
        <v>2</v>
      </c>
      <c r="F99" s="1">
        <f t="shared" si="9"/>
        <v>22</v>
      </c>
      <c r="G99" s="9">
        <f t="shared" si="10"/>
        <v>46075</v>
      </c>
      <c r="H99" s="1" t="str">
        <f>IF(Raw!D99="","",Raw!D99)</f>
        <v>P-O</v>
      </c>
      <c r="I99" s="1" t="str">
        <f>IFERROR(IF(EXACT(H99,INDEX(Guide!$A$7:$A$9,MATCH(SUBSTITUTE(SUBSTITUTE(SUBSTITUTE(H99,"~","~~"),"*","~*"),"?","~?"),Guide!$A$7:$A$9,0))),INDEX(Guide!$B$7:$B$9,MATCH(SUBSTITUTE(SUBSTITUTE(SUBSTITUTE(H99,"~","~~"),"*","~*"),"?","~?"),Guide!$A$7:$A$9,0)),""),"")</f>
        <v>Office</v>
      </c>
      <c r="J99" s="1" t="str">
        <f>IF(TRIM(Raw!E99)="",I99,IF(UPPER(TRIM(Raw!E99))=UPPER(I99),I99,""))</f>
        <v>Office</v>
      </c>
      <c r="K99" s="1" t="str">
        <f>IF(Raw!F99="","",Raw!F99)</f>
        <v>refund</v>
      </c>
      <c r="L99" s="1" t="str">
        <f>IF(LEFT(TRIM(Raw!G99),2)="-$","-"&amp;MID(TRIM(Raw!G99),3,99),IF(LEFT(TRIM(Raw!G99),1)="$",MID(TRIM(Raw!G99),2,99),TRIM(Raw!G99)))</f>
        <v>-195.15</v>
      </c>
      <c r="M99" s="1">
        <f t="shared" si="11"/>
        <v>-195.15</v>
      </c>
      <c r="N99" s="10">
        <f t="shared" si="12"/>
        <v>-19515</v>
      </c>
      <c r="O99" s="1" t="b">
        <f>IFERROR(IF(ISNUMBER(Raw!G99),TRUE,OR(EXACT(L99,TEXT(M99,"0.00")),EXACT(L99,TEXT(M99,"#,##0.00")))),FALSE)</f>
        <v>1</v>
      </c>
      <c r="P99" s="1" t="str">
        <f>LEN(IF(Raw!A99="","",Raw!A99))&amp;":"&amp;IF(Raw!A99="","",Raw!A99)&amp;"|"&amp;LEN(IF(Raw!B99="","",Raw!B99))&amp;":"&amp;IF(Raw!B99="","",Raw!B99)&amp;"|"&amp;LEN(IF(Raw!C99="","",Raw!C99))&amp;":"&amp;IF(Raw!C99="","",Raw!C99)&amp;"|"&amp;LEN(IF(Raw!D99="","",Raw!D99))&amp;":"&amp;IF(Raw!D99="","",Raw!D99)&amp;"|"&amp;LEN(IF(Raw!E99="","",Raw!E99))&amp;":"&amp;IF(Raw!E99="","",Raw!E99)&amp;"|"&amp;LEN(IF(Raw!F99="","",Raw!F99))&amp;":"&amp;IF(Raw!F99="","",Raw!F99)&amp;"|"&amp;LEN(IF(Raw!G99="","",Raw!G99))&amp;":"&amp;IF(Raw!G99="","",Raw!G99)</f>
        <v>6:L00093|6:T00047|10:2026-02-22|3:P-O|6:Office|6:refund|7:-195.15</v>
      </c>
      <c r="Q99" s="1">
        <f>1</f>
        <v>1</v>
      </c>
      <c r="R99" s="1" t="b">
        <f>FALSE</f>
        <v>0</v>
      </c>
      <c r="S99" s="1">
        <f>1</f>
        <v>1</v>
      </c>
      <c r="T99" s="1" t="str">
        <f>IF(AND(Raw!A99="",Raw!B99="",Raw!C99="",Raw!D99="",Raw!E99="",Raw!F99="",Raw!G99=""),"UNUSED",IF(A99="","missing line ID",IF(B99="","missing transaction ID",IF(G99="",IF(C99="","missing date","invalid date"),IF(I99="","unknown product",IF(J99="","conflicting category",IF(NOT(OR(EXACT(K99,"sale"),EXACT(K99,"refund"))),"unknown event",IF(OR(N99="",NOT(O99)),"invalid amount",IF(OR(AND(K99="sale",N99&lt;=0),AND(K99="refund",N99&gt;=0)),"invalid sign","")))))))))</f>
        <v/>
      </c>
      <c r="U99" s="1" t="str">
        <f t="shared" si="13"/>
        <v>INCLUDED</v>
      </c>
      <c r="V99" s="1" t="str">
        <f t="shared" si="14"/>
        <v>2026-02</v>
      </c>
      <c r="W99" s="1">
        <f>IF(AND(U99="INCLUDED",X99&gt;0,EXACT(A99,'AI output'!A99)),1,0)</f>
        <v>1</v>
      </c>
      <c r="X99" s="1">
        <f>99</f>
        <v>99</v>
      </c>
      <c r="Y99" s="1">
        <f>IF(AND(U99="INCLUDED",W99=1),--(NOT(EXACT(A99,'AI output'!A99)))+--(NOT(EXACT(B99,'AI output'!B99)))+--(NOT(EXACT(TEXT(G99,"yyyy-mm-dd"),'AI output'!C99)))+--(NOT(EXACT(H99,'AI output'!D99)))+--(NOT(EXACT(J99,'AI output'!E99)))+--(NOT(EXACT(K99,'AI output'!F99)))+--(N99&lt;&gt;'AI output'!L99)+--(NOT('AI output'!M99)),0)</f>
        <v>0</v>
      </c>
      <c r="Z99" s="1">
        <f t="shared" si="15"/>
        <v>0</v>
      </c>
      <c r="AA99" s="1">
        <f>--EXACT(A99,"L00093")</f>
        <v>1</v>
      </c>
    </row>
    <row r="100" spans="1:27" ht="18.95" customHeight="1">
      <c r="A100" s="1" t="str">
        <f>IF(Raw!A100="","",Raw!A100)</f>
        <v>L00094</v>
      </c>
      <c r="B100" s="1" t="str">
        <f>IF(Raw!B100="","",Raw!B100)</f>
        <v>T00047</v>
      </c>
      <c r="C100" s="1" t="str">
        <f>IF(Raw!C100="","",Raw!C100)</f>
        <v>2026-02-22</v>
      </c>
      <c r="D100" s="1">
        <f t="shared" si="8"/>
        <v>2026</v>
      </c>
      <c r="E100" s="1">
        <f>IFERROR(IF(AND(LEN(C100)=10,MID(C100,5,1)="-",MID(C100,8,1)="-"),VALUE(MID(C100,6,2)),IF(AND(LEN(C100)=11,MID(C100,3,1)="-",MID(C100,7,1)="-"),MATCH(UPPER(MID(C100,4,3)),Guide!$D$7:$D$18,0),0)),0)</f>
        <v>2</v>
      </c>
      <c r="F100" s="1">
        <f t="shared" si="9"/>
        <v>22</v>
      </c>
      <c r="G100" s="9">
        <f t="shared" si="10"/>
        <v>46075</v>
      </c>
      <c r="H100" s="1" t="str">
        <f>IF(Raw!D100="","",Raw!D100)</f>
        <v>P-A</v>
      </c>
      <c r="I100" s="1" t="str">
        <f>IFERROR(IF(EXACT(H100,INDEX(Guide!$A$7:$A$9,MATCH(SUBSTITUTE(SUBSTITUTE(SUBSTITUTE(H100,"~","~~"),"*","~*"),"?","~?"),Guide!$A$7:$A$9,0))),INDEX(Guide!$B$7:$B$9,MATCH(SUBSTITUTE(SUBSTITUTE(SUBSTITUTE(H100,"~","~~"),"*","~*"),"?","~?"),Guide!$A$7:$A$9,0)),""),"")</f>
        <v>Accessories</v>
      </c>
      <c r="J100" s="1" t="str">
        <f>IF(TRIM(Raw!E100)="",I100,IF(UPPER(TRIM(Raw!E100))=UPPER(I100),I100,""))</f>
        <v>Accessories</v>
      </c>
      <c r="K100" s="1" t="str">
        <f>IF(Raw!F100="","",Raw!F100)</f>
        <v>sale</v>
      </c>
      <c r="L100" s="1" t="str">
        <f>IF(LEFT(TRIM(Raw!G100),2)="-$","-"&amp;MID(TRIM(Raw!G100),3,99),IF(LEFT(TRIM(Raw!G100),1)="$",MID(TRIM(Raw!G100),2,99),TRIM(Raw!G100)))</f>
        <v>78.80</v>
      </c>
      <c r="M100" s="1">
        <f t="shared" si="11"/>
        <v>78.8</v>
      </c>
      <c r="N100" s="10">
        <f t="shared" si="12"/>
        <v>7880</v>
      </c>
      <c r="O100" s="1" t="b">
        <f>IFERROR(IF(ISNUMBER(Raw!G100),TRUE,OR(EXACT(L100,TEXT(M100,"0.00")),EXACT(L100,TEXT(M100,"#,##0.00")))),FALSE)</f>
        <v>1</v>
      </c>
      <c r="P100" s="1" t="str">
        <f>LEN(IF(Raw!A100="","",Raw!A100))&amp;":"&amp;IF(Raw!A100="","",Raw!A100)&amp;"|"&amp;LEN(IF(Raw!B100="","",Raw!B100))&amp;":"&amp;IF(Raw!B100="","",Raw!B100)&amp;"|"&amp;LEN(IF(Raw!C100="","",Raw!C100))&amp;":"&amp;IF(Raw!C100="","",Raw!C100)&amp;"|"&amp;LEN(IF(Raw!D100="","",Raw!D100))&amp;":"&amp;IF(Raw!D100="","",Raw!D100)&amp;"|"&amp;LEN(IF(Raw!E100="","",Raw!E100))&amp;":"&amp;IF(Raw!E100="","",Raw!E100)&amp;"|"&amp;LEN(IF(Raw!F100="","",Raw!F100))&amp;":"&amp;IF(Raw!F100="","",Raw!F100)&amp;"|"&amp;LEN(IF(Raw!G100="","",Raw!G100))&amp;":"&amp;IF(Raw!G100="","",Raw!G100)</f>
        <v>6:L00094|6:T00047|10:2026-02-22|3:P-A|11:Accessories|4:sale|5:78.80</v>
      </c>
      <c r="Q100" s="1">
        <f>1</f>
        <v>1</v>
      </c>
      <c r="R100" s="1" t="b">
        <f>FALSE</f>
        <v>0</v>
      </c>
      <c r="S100" s="1">
        <f>1</f>
        <v>1</v>
      </c>
      <c r="T100" s="1" t="str">
        <f>IF(AND(Raw!A100="",Raw!B100="",Raw!C100="",Raw!D100="",Raw!E100="",Raw!F100="",Raw!G100=""),"UNUSED",IF(A100="","missing line ID",IF(B100="","missing transaction ID",IF(G100="",IF(C100="","missing date","invalid date"),IF(I100="","unknown product",IF(J100="","conflicting category",IF(NOT(OR(EXACT(K100,"sale"),EXACT(K100,"refund"))),"unknown event",IF(OR(N100="",NOT(O100)),"invalid amount",IF(OR(AND(K100="sale",N100&lt;=0),AND(K100="refund",N100&gt;=0)),"invalid sign","")))))))))</f>
        <v/>
      </c>
      <c r="U100" s="1" t="str">
        <f t="shared" si="13"/>
        <v>INCLUDED</v>
      </c>
      <c r="V100" s="1" t="str">
        <f t="shared" si="14"/>
        <v>2026-02</v>
      </c>
      <c r="W100" s="1">
        <f>IF(AND(U100="INCLUDED",X100&gt;0,EXACT(A100,'AI output'!A100)),1,0)</f>
        <v>1</v>
      </c>
      <c r="X100" s="1">
        <f>100</f>
        <v>100</v>
      </c>
      <c r="Y100" s="1">
        <f>IF(AND(U100="INCLUDED",W100=1),--(NOT(EXACT(A100,'AI output'!A100)))+--(NOT(EXACT(B100,'AI output'!B100)))+--(NOT(EXACT(TEXT(G100,"yyyy-mm-dd"),'AI output'!C100)))+--(NOT(EXACT(H100,'AI output'!D100)))+--(NOT(EXACT(J100,'AI output'!E100)))+--(NOT(EXACT(K100,'AI output'!F100)))+--(N100&lt;&gt;'AI output'!L100)+--(NOT('AI output'!M100)),0)</f>
        <v>0</v>
      </c>
      <c r="Z100" s="1">
        <f t="shared" si="15"/>
        <v>0</v>
      </c>
      <c r="AA100" s="1">
        <f>--EXACT(A100,"L00094")</f>
        <v>1</v>
      </c>
    </row>
    <row r="101" spans="1:27" ht="18.95" customHeight="1">
      <c r="A101" s="1" t="str">
        <f>IF(Raw!A101="","",Raw!A101)</f>
        <v>L00095</v>
      </c>
      <c r="B101" s="1" t="str">
        <f>IF(Raw!B101="","",Raw!B101)</f>
        <v>T00048</v>
      </c>
      <c r="C101" s="1" t="str">
        <f>IF(Raw!C101="","",Raw!C101)</f>
        <v>2026-03-01</v>
      </c>
      <c r="D101" s="1">
        <f t="shared" si="8"/>
        <v>2026</v>
      </c>
      <c r="E101" s="1">
        <f>IFERROR(IF(AND(LEN(C101)=10,MID(C101,5,1)="-",MID(C101,8,1)="-"),VALUE(MID(C101,6,2)),IF(AND(LEN(C101)=11,MID(C101,3,1)="-",MID(C101,7,1)="-"),MATCH(UPPER(MID(C101,4,3)),Guide!$D$7:$D$18,0),0)),0)</f>
        <v>3</v>
      </c>
      <c r="F101" s="1">
        <f t="shared" si="9"/>
        <v>1</v>
      </c>
      <c r="G101" s="9">
        <f t="shared" si="10"/>
        <v>46082</v>
      </c>
      <c r="H101" s="1" t="str">
        <f>IF(Raw!D101="","",Raw!D101)</f>
        <v>P-H</v>
      </c>
      <c r="I101" s="1" t="str">
        <f>IFERROR(IF(EXACT(H101,INDEX(Guide!$A$7:$A$9,MATCH(SUBSTITUTE(SUBSTITUTE(SUBSTITUTE(H101,"~","~~"),"*","~*"),"?","~?"),Guide!$A$7:$A$9,0))),INDEX(Guide!$B$7:$B$9,MATCH(SUBSTITUTE(SUBSTITUTE(SUBSTITUTE(H101,"~","~~"),"*","~*"),"?","~?"),Guide!$A$7:$A$9,0)),""),"")</f>
        <v>Home</v>
      </c>
      <c r="J101" s="1" t="str">
        <f>IF(TRIM(Raw!E101)="",I101,IF(UPPER(TRIM(Raw!E101))=UPPER(I101),I101,""))</f>
        <v>Home</v>
      </c>
      <c r="K101" s="1" t="str">
        <f>IF(Raw!F101="","",Raw!F101)</f>
        <v>sale</v>
      </c>
      <c r="L101" s="1" t="str">
        <f>IF(LEFT(TRIM(Raw!G101),2)="-$","-"&amp;MID(TRIM(Raw!G101),3,99),IF(LEFT(TRIM(Raw!G101),1)="$",MID(TRIM(Raw!G101),2,99),TRIM(Raw!G101)))</f>
        <v>159.08</v>
      </c>
      <c r="M101" s="1">
        <f t="shared" si="11"/>
        <v>159.08000000000001</v>
      </c>
      <c r="N101" s="10">
        <f t="shared" si="12"/>
        <v>15908</v>
      </c>
      <c r="O101" s="1" t="b">
        <f>IFERROR(IF(ISNUMBER(Raw!G101),TRUE,OR(EXACT(L101,TEXT(M101,"0.00")),EXACT(L101,TEXT(M101,"#,##0.00")))),FALSE)</f>
        <v>1</v>
      </c>
      <c r="P101" s="1" t="str">
        <f>LEN(IF(Raw!A101="","",Raw!A101))&amp;":"&amp;IF(Raw!A101="","",Raw!A101)&amp;"|"&amp;LEN(IF(Raw!B101="","",Raw!B101))&amp;":"&amp;IF(Raw!B101="","",Raw!B101)&amp;"|"&amp;LEN(IF(Raw!C101="","",Raw!C101))&amp;":"&amp;IF(Raw!C101="","",Raw!C101)&amp;"|"&amp;LEN(IF(Raw!D101="","",Raw!D101))&amp;":"&amp;IF(Raw!D101="","",Raw!D101)&amp;"|"&amp;LEN(IF(Raw!E101="","",Raw!E101))&amp;":"&amp;IF(Raw!E101="","",Raw!E101)&amp;"|"&amp;LEN(IF(Raw!F101="","",Raw!F101))&amp;":"&amp;IF(Raw!F101="","",Raw!F101)&amp;"|"&amp;LEN(IF(Raw!G101="","",Raw!G101))&amp;":"&amp;IF(Raw!G101="","",Raw!G101)</f>
        <v>6:L00095|6:T00048|10:2026-03-01|3:P-H|4:Home|4:sale|6:159.08</v>
      </c>
      <c r="Q101" s="1">
        <f>1</f>
        <v>1</v>
      </c>
      <c r="R101" s="1" t="b">
        <f>FALSE</f>
        <v>0</v>
      </c>
      <c r="S101" s="1">
        <f>1</f>
        <v>1</v>
      </c>
      <c r="T101" s="1" t="str">
        <f>IF(AND(Raw!A101="",Raw!B101="",Raw!C101="",Raw!D101="",Raw!E101="",Raw!F101="",Raw!G101=""),"UNUSED",IF(A101="","missing line ID",IF(B101="","missing transaction ID",IF(G101="",IF(C101="","missing date","invalid date"),IF(I101="","unknown product",IF(J101="","conflicting category",IF(NOT(OR(EXACT(K101,"sale"),EXACT(K101,"refund"))),"unknown event",IF(OR(N101="",NOT(O101)),"invalid amount",IF(OR(AND(K101="sale",N101&lt;=0),AND(K101="refund",N101&gt;=0)),"invalid sign","")))))))))</f>
        <v/>
      </c>
      <c r="U101" s="1" t="str">
        <f t="shared" si="13"/>
        <v>INCLUDED</v>
      </c>
      <c r="V101" s="1" t="str">
        <f t="shared" si="14"/>
        <v>2026-03</v>
      </c>
      <c r="W101" s="1">
        <f>IF(AND(U101="INCLUDED",X101&gt;0,EXACT(A101,'AI output'!A101)),1,0)</f>
        <v>1</v>
      </c>
      <c r="X101" s="1">
        <f>101</f>
        <v>101</v>
      </c>
      <c r="Y101" s="1">
        <f>IF(AND(U101="INCLUDED",W101=1),--(NOT(EXACT(A101,'AI output'!A101)))+--(NOT(EXACT(B101,'AI output'!B101)))+--(NOT(EXACT(TEXT(G101,"yyyy-mm-dd"),'AI output'!C101)))+--(NOT(EXACT(H101,'AI output'!D101)))+--(NOT(EXACT(J101,'AI output'!E101)))+--(NOT(EXACT(K101,'AI output'!F101)))+--(N101&lt;&gt;'AI output'!L101)+--(NOT('AI output'!M101)),0)</f>
        <v>0</v>
      </c>
      <c r="Z101" s="1">
        <f t="shared" si="15"/>
        <v>0</v>
      </c>
      <c r="AA101" s="1">
        <f>--EXACT(A101,"L00095")</f>
        <v>1</v>
      </c>
    </row>
    <row r="102" spans="1:27" ht="18.95" customHeight="1">
      <c r="A102" s="1" t="str">
        <f>IF(Raw!A102="","",Raw!A102)</f>
        <v>L00096</v>
      </c>
      <c r="B102" s="1" t="str">
        <f>IF(Raw!B102="","",Raw!B102)</f>
        <v>T00048</v>
      </c>
      <c r="C102" s="1" t="str">
        <f>IF(Raw!C102="","",Raw!C102)</f>
        <v>2026-03-01</v>
      </c>
      <c r="D102" s="1">
        <f t="shared" si="8"/>
        <v>2026</v>
      </c>
      <c r="E102" s="1">
        <f>IFERROR(IF(AND(LEN(C102)=10,MID(C102,5,1)="-",MID(C102,8,1)="-"),VALUE(MID(C102,6,2)),IF(AND(LEN(C102)=11,MID(C102,3,1)="-",MID(C102,7,1)="-"),MATCH(UPPER(MID(C102,4,3)),Guide!$D$7:$D$18,0),0)),0)</f>
        <v>3</v>
      </c>
      <c r="F102" s="1">
        <f t="shared" si="9"/>
        <v>1</v>
      </c>
      <c r="G102" s="9">
        <f t="shared" si="10"/>
        <v>46082</v>
      </c>
      <c r="H102" s="1" t="str">
        <f>IF(Raw!D102="","",Raw!D102)</f>
        <v>P-O</v>
      </c>
      <c r="I102" s="1" t="str">
        <f>IFERROR(IF(EXACT(H102,INDEX(Guide!$A$7:$A$9,MATCH(SUBSTITUTE(SUBSTITUTE(SUBSTITUTE(H102,"~","~~"),"*","~*"),"?","~?"),Guide!$A$7:$A$9,0))),INDEX(Guide!$B$7:$B$9,MATCH(SUBSTITUTE(SUBSTITUTE(SUBSTITUTE(H102,"~","~~"),"*","~*"),"?","~?"),Guide!$A$7:$A$9,0)),""),"")</f>
        <v>Office</v>
      </c>
      <c r="J102" s="1" t="str">
        <f>IF(TRIM(Raw!E102)="",I102,IF(UPPER(TRIM(Raw!E102))=UPPER(I102),I102,""))</f>
        <v>Office</v>
      </c>
      <c r="K102" s="1" t="str">
        <f>IF(Raw!F102="","",Raw!F102)</f>
        <v>sale</v>
      </c>
      <c r="L102" s="1" t="str">
        <f>IF(LEFT(TRIM(Raw!G102),2)="-$","-"&amp;MID(TRIM(Raw!G102),3,99),IF(LEFT(TRIM(Raw!G102),1)="$",MID(TRIM(Raw!G102),2,99),TRIM(Raw!G102)))</f>
        <v>40.14</v>
      </c>
      <c r="M102" s="1">
        <f t="shared" si="11"/>
        <v>40.14</v>
      </c>
      <c r="N102" s="10">
        <f t="shared" si="12"/>
        <v>4014</v>
      </c>
      <c r="O102" s="1" t="b">
        <f>IFERROR(IF(ISNUMBER(Raw!G102),TRUE,OR(EXACT(L102,TEXT(M102,"0.00")),EXACT(L102,TEXT(M102,"#,##0.00")))),FALSE)</f>
        <v>1</v>
      </c>
      <c r="P102" s="1" t="str">
        <f>LEN(IF(Raw!A102="","",Raw!A102))&amp;":"&amp;IF(Raw!A102="","",Raw!A102)&amp;"|"&amp;LEN(IF(Raw!B102="","",Raw!B102))&amp;":"&amp;IF(Raw!B102="","",Raw!B102)&amp;"|"&amp;LEN(IF(Raw!C102="","",Raw!C102))&amp;":"&amp;IF(Raw!C102="","",Raw!C102)&amp;"|"&amp;LEN(IF(Raw!D102="","",Raw!D102))&amp;":"&amp;IF(Raw!D102="","",Raw!D102)&amp;"|"&amp;LEN(IF(Raw!E102="","",Raw!E102))&amp;":"&amp;IF(Raw!E102="","",Raw!E102)&amp;"|"&amp;LEN(IF(Raw!F102="","",Raw!F102))&amp;":"&amp;IF(Raw!F102="","",Raw!F102)&amp;"|"&amp;LEN(IF(Raw!G102="","",Raw!G102))&amp;":"&amp;IF(Raw!G102="","",Raw!G102)</f>
        <v>6:L00096|6:T00048|10:2026-03-01|3:P-O|6:Office|4:sale|5:40.14</v>
      </c>
      <c r="Q102" s="1">
        <f>1</f>
        <v>1</v>
      </c>
      <c r="R102" s="1" t="b">
        <f>FALSE</f>
        <v>0</v>
      </c>
      <c r="S102" s="1">
        <f>1</f>
        <v>1</v>
      </c>
      <c r="T102" s="1" t="str">
        <f>IF(AND(Raw!A102="",Raw!B102="",Raw!C102="",Raw!D102="",Raw!E102="",Raw!F102="",Raw!G102=""),"UNUSED",IF(A102="","missing line ID",IF(B102="","missing transaction ID",IF(G102="",IF(C102="","missing date","invalid date"),IF(I102="","unknown product",IF(J102="","conflicting category",IF(NOT(OR(EXACT(K102,"sale"),EXACT(K102,"refund"))),"unknown event",IF(OR(N102="",NOT(O102)),"invalid amount",IF(OR(AND(K102="sale",N102&lt;=0),AND(K102="refund",N102&gt;=0)),"invalid sign","")))))))))</f>
        <v/>
      </c>
      <c r="U102" s="1" t="str">
        <f t="shared" si="13"/>
        <v>INCLUDED</v>
      </c>
      <c r="V102" s="1" t="str">
        <f t="shared" si="14"/>
        <v>2026-03</v>
      </c>
      <c r="W102" s="1">
        <f>IF(AND(U102="INCLUDED",X102&gt;0,EXACT(A102,'AI output'!A102)),1,0)</f>
        <v>1</v>
      </c>
      <c r="X102" s="1">
        <f>102</f>
        <v>102</v>
      </c>
      <c r="Y102" s="1">
        <f>IF(AND(U102="INCLUDED",W102=1),--(NOT(EXACT(A102,'AI output'!A102)))+--(NOT(EXACT(B102,'AI output'!B102)))+--(NOT(EXACT(TEXT(G102,"yyyy-mm-dd"),'AI output'!C102)))+--(NOT(EXACT(H102,'AI output'!D102)))+--(NOT(EXACT(J102,'AI output'!E102)))+--(NOT(EXACT(K102,'AI output'!F102)))+--(N102&lt;&gt;'AI output'!L102)+--(NOT('AI output'!M102)),0)</f>
        <v>0</v>
      </c>
      <c r="Z102" s="1">
        <f t="shared" si="15"/>
        <v>0</v>
      </c>
      <c r="AA102" s="1">
        <f>--EXACT(A102,"L00096")</f>
        <v>1</v>
      </c>
    </row>
    <row r="103" spans="1:27" ht="18.95" customHeight="1">
      <c r="A103" s="1" t="str">
        <f>IF(Raw!A103="","",Raw!A103)</f>
        <v>L00097</v>
      </c>
      <c r="B103" s="1" t="str">
        <f>IF(Raw!B103="","",Raw!B103)</f>
        <v>T00049</v>
      </c>
      <c r="C103" s="1" t="str">
        <f>IF(Raw!C103="","",Raw!C103)</f>
        <v>2026-03-08</v>
      </c>
      <c r="D103" s="1">
        <f t="shared" si="8"/>
        <v>2026</v>
      </c>
      <c r="E103" s="1">
        <f>IFERROR(IF(AND(LEN(C103)=10,MID(C103,5,1)="-",MID(C103,8,1)="-"),VALUE(MID(C103,6,2)),IF(AND(LEN(C103)=11,MID(C103,3,1)="-",MID(C103,7,1)="-"),MATCH(UPPER(MID(C103,4,3)),Guide!$D$7:$D$18,0),0)),0)</f>
        <v>3</v>
      </c>
      <c r="F103" s="1">
        <f t="shared" si="9"/>
        <v>8</v>
      </c>
      <c r="G103" s="9">
        <f t="shared" si="10"/>
        <v>46089</v>
      </c>
      <c r="H103" s="1" t="str">
        <f>IF(Raw!D103="","",Raw!D103)</f>
        <v>P-A</v>
      </c>
      <c r="I103" s="1" t="str">
        <f>IFERROR(IF(EXACT(H103,INDEX(Guide!$A$7:$A$9,MATCH(SUBSTITUTE(SUBSTITUTE(SUBSTITUTE(H103,"~","~~"),"*","~*"),"?","~?"),Guide!$A$7:$A$9,0))),INDEX(Guide!$B$7:$B$9,MATCH(SUBSTITUTE(SUBSTITUTE(SUBSTITUTE(H103,"~","~~"),"*","~*"),"?","~?"),Guide!$A$7:$A$9,0)),""),"")</f>
        <v>Accessories</v>
      </c>
      <c r="J103" s="1" t="str">
        <f>IF(TRIM(Raw!E103)="",I103,IF(UPPER(TRIM(Raw!E103))=UPPER(I103),I103,""))</f>
        <v>Accessories</v>
      </c>
      <c r="K103" s="1" t="str">
        <f>IF(Raw!F103="","",Raw!F103)</f>
        <v>sale</v>
      </c>
      <c r="L103" s="1" t="str">
        <f>IF(LEFT(TRIM(Raw!G103),2)="-$","-"&amp;MID(TRIM(Raw!G103),3,99),IF(LEFT(TRIM(Raw!G103),1)="$",MID(TRIM(Raw!G103),2,99),TRIM(Raw!G103)))</f>
        <v>121.53</v>
      </c>
      <c r="M103" s="1">
        <f t="shared" si="11"/>
        <v>121.53</v>
      </c>
      <c r="N103" s="10">
        <f t="shared" si="12"/>
        <v>12153</v>
      </c>
      <c r="O103" s="1" t="b">
        <f>IFERROR(IF(ISNUMBER(Raw!G103),TRUE,OR(EXACT(L103,TEXT(M103,"0.00")),EXACT(L103,TEXT(M103,"#,##0.00")))),FALSE)</f>
        <v>1</v>
      </c>
      <c r="P103" s="1" t="str">
        <f>LEN(IF(Raw!A103="","",Raw!A103))&amp;":"&amp;IF(Raw!A103="","",Raw!A103)&amp;"|"&amp;LEN(IF(Raw!B103="","",Raw!B103))&amp;":"&amp;IF(Raw!B103="","",Raw!B103)&amp;"|"&amp;LEN(IF(Raw!C103="","",Raw!C103))&amp;":"&amp;IF(Raw!C103="","",Raw!C103)&amp;"|"&amp;LEN(IF(Raw!D103="","",Raw!D103))&amp;":"&amp;IF(Raw!D103="","",Raw!D103)&amp;"|"&amp;LEN(IF(Raw!E103="","",Raw!E103))&amp;":"&amp;IF(Raw!E103="","",Raw!E103)&amp;"|"&amp;LEN(IF(Raw!F103="","",Raw!F103))&amp;":"&amp;IF(Raw!F103="","",Raw!F103)&amp;"|"&amp;LEN(IF(Raw!G103="","",Raw!G103))&amp;":"&amp;IF(Raw!G103="","",Raw!G103)</f>
        <v>6:L00097|6:T00049|10:2026-03-08|3:P-A|11:Accessories|4:sale|6:121.53</v>
      </c>
      <c r="Q103" s="1">
        <f>1</f>
        <v>1</v>
      </c>
      <c r="R103" s="1" t="b">
        <f>FALSE</f>
        <v>0</v>
      </c>
      <c r="S103" s="1">
        <f>1</f>
        <v>1</v>
      </c>
      <c r="T103" s="1" t="str">
        <f>IF(AND(Raw!A103="",Raw!B103="",Raw!C103="",Raw!D103="",Raw!E103="",Raw!F103="",Raw!G103=""),"UNUSED",IF(A103="","missing line ID",IF(B103="","missing transaction ID",IF(G103="",IF(C103="","missing date","invalid date"),IF(I103="","unknown product",IF(J103="","conflicting category",IF(NOT(OR(EXACT(K103,"sale"),EXACT(K103,"refund"))),"unknown event",IF(OR(N103="",NOT(O103)),"invalid amount",IF(OR(AND(K103="sale",N103&lt;=0),AND(K103="refund",N103&gt;=0)),"invalid sign","")))))))))</f>
        <v/>
      </c>
      <c r="U103" s="1" t="str">
        <f t="shared" si="13"/>
        <v>INCLUDED</v>
      </c>
      <c r="V103" s="1" t="str">
        <f t="shared" si="14"/>
        <v>2026-03</v>
      </c>
      <c r="W103" s="1">
        <f>IF(AND(U103="INCLUDED",X103&gt;0,EXACT(A103,'AI output'!A103)),1,0)</f>
        <v>1</v>
      </c>
      <c r="X103" s="1">
        <f>103</f>
        <v>103</v>
      </c>
      <c r="Y103" s="1">
        <f>IF(AND(U103="INCLUDED",W103=1),--(NOT(EXACT(A103,'AI output'!A103)))+--(NOT(EXACT(B103,'AI output'!B103)))+--(NOT(EXACT(TEXT(G103,"yyyy-mm-dd"),'AI output'!C103)))+--(NOT(EXACT(H103,'AI output'!D103)))+--(NOT(EXACT(J103,'AI output'!E103)))+--(NOT(EXACT(K103,'AI output'!F103)))+--(N103&lt;&gt;'AI output'!L103)+--(NOT('AI output'!M103)),0)</f>
        <v>0</v>
      </c>
      <c r="Z103" s="1">
        <f t="shared" si="15"/>
        <v>0</v>
      </c>
      <c r="AA103" s="1">
        <f>--EXACT(A103,"L00097")</f>
        <v>1</v>
      </c>
    </row>
    <row r="104" spans="1:27" ht="18.95" customHeight="1">
      <c r="A104" s="1" t="str">
        <f>IF(Raw!A104="","",Raw!A104)</f>
        <v>L00098</v>
      </c>
      <c r="B104" s="1" t="str">
        <f>IF(Raw!B104="","",Raw!B104)</f>
        <v>T00049</v>
      </c>
      <c r="C104" s="1" t="str">
        <f>IF(Raw!C104="","",Raw!C104)</f>
        <v>2026-03-08</v>
      </c>
      <c r="D104" s="1">
        <f t="shared" si="8"/>
        <v>2026</v>
      </c>
      <c r="E104" s="1">
        <f>IFERROR(IF(AND(LEN(C104)=10,MID(C104,5,1)="-",MID(C104,8,1)="-"),VALUE(MID(C104,6,2)),IF(AND(LEN(C104)=11,MID(C104,3,1)="-",MID(C104,7,1)="-"),MATCH(UPPER(MID(C104,4,3)),Guide!$D$7:$D$18,0),0)),0)</f>
        <v>3</v>
      </c>
      <c r="F104" s="1">
        <f t="shared" si="9"/>
        <v>8</v>
      </c>
      <c r="G104" s="9">
        <f t="shared" si="10"/>
        <v>46089</v>
      </c>
      <c r="H104" s="1" t="str">
        <f>IF(Raw!D104="","",Raw!D104)</f>
        <v>P-H</v>
      </c>
      <c r="I104" s="1" t="str">
        <f>IFERROR(IF(EXACT(H104,INDEX(Guide!$A$7:$A$9,MATCH(SUBSTITUTE(SUBSTITUTE(SUBSTITUTE(H104,"~","~~"),"*","~*"),"?","~?"),Guide!$A$7:$A$9,0))),INDEX(Guide!$B$7:$B$9,MATCH(SUBSTITUTE(SUBSTITUTE(SUBSTITUTE(H104,"~","~~"),"*","~*"),"?","~?"),Guide!$A$7:$A$9,0)),""),"")</f>
        <v>Home</v>
      </c>
      <c r="J104" s="1" t="str">
        <f>IF(TRIM(Raw!E104)="",I104,IF(UPPER(TRIM(Raw!E104))=UPPER(I104),I104,""))</f>
        <v>Home</v>
      </c>
      <c r="K104" s="1" t="str">
        <f>IF(Raw!F104="","",Raw!F104)</f>
        <v>sale</v>
      </c>
      <c r="L104" s="1" t="str">
        <f>IF(LEFT(TRIM(Raw!G104),2)="-$","-"&amp;MID(TRIM(Raw!G104),3,99),IF(LEFT(TRIM(Raw!G104),1)="$",MID(TRIM(Raw!G104),2,99),TRIM(Raw!G104)))</f>
        <v>204.40</v>
      </c>
      <c r="M104" s="1">
        <f t="shared" si="11"/>
        <v>204.4</v>
      </c>
      <c r="N104" s="10">
        <f t="shared" si="12"/>
        <v>20440</v>
      </c>
      <c r="O104" s="1" t="b">
        <f>IFERROR(IF(ISNUMBER(Raw!G104),TRUE,OR(EXACT(L104,TEXT(M104,"0.00")),EXACT(L104,TEXT(M104,"#,##0.00")))),FALSE)</f>
        <v>1</v>
      </c>
      <c r="P104" s="1" t="str">
        <f>LEN(IF(Raw!A104="","",Raw!A104))&amp;":"&amp;IF(Raw!A104="","",Raw!A104)&amp;"|"&amp;LEN(IF(Raw!B104="","",Raw!B104))&amp;":"&amp;IF(Raw!B104="","",Raw!B104)&amp;"|"&amp;LEN(IF(Raw!C104="","",Raw!C104))&amp;":"&amp;IF(Raw!C104="","",Raw!C104)&amp;"|"&amp;LEN(IF(Raw!D104="","",Raw!D104))&amp;":"&amp;IF(Raw!D104="","",Raw!D104)&amp;"|"&amp;LEN(IF(Raw!E104="","",Raw!E104))&amp;":"&amp;IF(Raw!E104="","",Raw!E104)&amp;"|"&amp;LEN(IF(Raw!F104="","",Raw!F104))&amp;":"&amp;IF(Raw!F104="","",Raw!F104)&amp;"|"&amp;LEN(IF(Raw!G104="","",Raw!G104))&amp;":"&amp;IF(Raw!G104="","",Raw!G104)</f>
        <v>6:L00098|6:T00049|10:2026-03-08|3:P-H|4:Home|4:sale|6:204.40</v>
      </c>
      <c r="Q104" s="1">
        <f>1</f>
        <v>1</v>
      </c>
      <c r="R104" s="1" t="b">
        <f>FALSE</f>
        <v>0</v>
      </c>
      <c r="S104" s="1">
        <f>1</f>
        <v>1</v>
      </c>
      <c r="T104" s="1" t="str">
        <f>IF(AND(Raw!A104="",Raw!B104="",Raw!C104="",Raw!D104="",Raw!E104="",Raw!F104="",Raw!G104=""),"UNUSED",IF(A104="","missing line ID",IF(B104="","missing transaction ID",IF(G104="",IF(C104="","missing date","invalid date"),IF(I104="","unknown product",IF(J104="","conflicting category",IF(NOT(OR(EXACT(K104,"sale"),EXACT(K104,"refund"))),"unknown event",IF(OR(N104="",NOT(O104)),"invalid amount",IF(OR(AND(K104="sale",N104&lt;=0),AND(K104="refund",N104&gt;=0)),"invalid sign","")))))))))</f>
        <v/>
      </c>
      <c r="U104" s="1" t="str">
        <f t="shared" si="13"/>
        <v>INCLUDED</v>
      </c>
      <c r="V104" s="1" t="str">
        <f t="shared" si="14"/>
        <v>2026-03</v>
      </c>
      <c r="W104" s="1">
        <f>IF(AND(U104="INCLUDED",X104&gt;0,EXACT(A104,'AI output'!A104)),1,0)</f>
        <v>1</v>
      </c>
      <c r="X104" s="1">
        <f>104</f>
        <v>104</v>
      </c>
      <c r="Y104" s="1">
        <f>IF(AND(U104="INCLUDED",W104=1),--(NOT(EXACT(A104,'AI output'!A104)))+--(NOT(EXACT(B104,'AI output'!B104)))+--(NOT(EXACT(TEXT(G104,"yyyy-mm-dd"),'AI output'!C104)))+--(NOT(EXACT(H104,'AI output'!D104)))+--(NOT(EXACT(J104,'AI output'!E104)))+--(NOT(EXACT(K104,'AI output'!F104)))+--(N104&lt;&gt;'AI output'!L104)+--(NOT('AI output'!M104)),0)</f>
        <v>0</v>
      </c>
      <c r="Z104" s="1">
        <f t="shared" si="15"/>
        <v>0</v>
      </c>
      <c r="AA104" s="1">
        <f>--EXACT(A104,"L00098")</f>
        <v>1</v>
      </c>
    </row>
    <row r="105" spans="1:27" ht="18.95" customHeight="1">
      <c r="A105" s="1" t="str">
        <f>IF(Raw!A105="","",Raw!A105)</f>
        <v>L00099</v>
      </c>
      <c r="B105" s="1" t="str">
        <f>IF(Raw!B105="","",Raw!B105)</f>
        <v>T00050</v>
      </c>
      <c r="C105" s="1" t="str">
        <f>IF(Raw!C105="","",Raw!C105)</f>
        <v>2026-03-15</v>
      </c>
      <c r="D105" s="1">
        <f t="shared" si="8"/>
        <v>2026</v>
      </c>
      <c r="E105" s="1">
        <f>IFERROR(IF(AND(LEN(C105)=10,MID(C105,5,1)="-",MID(C105,8,1)="-"),VALUE(MID(C105,6,2)),IF(AND(LEN(C105)=11,MID(C105,3,1)="-",MID(C105,7,1)="-"),MATCH(UPPER(MID(C105,4,3)),Guide!$D$7:$D$18,0),0)),0)</f>
        <v>3</v>
      </c>
      <c r="F105" s="1">
        <f t="shared" si="9"/>
        <v>15</v>
      </c>
      <c r="G105" s="9">
        <f t="shared" si="10"/>
        <v>46096</v>
      </c>
      <c r="H105" s="1" t="str">
        <f>IF(Raw!D105="","",Raw!D105)</f>
        <v>P-O</v>
      </c>
      <c r="I105" s="1" t="str">
        <f>IFERROR(IF(EXACT(H105,INDEX(Guide!$A$7:$A$9,MATCH(SUBSTITUTE(SUBSTITUTE(SUBSTITUTE(H105,"~","~~"),"*","~*"),"?","~?"),Guide!$A$7:$A$9,0))),INDEX(Guide!$B$7:$B$9,MATCH(SUBSTITUTE(SUBSTITUTE(SUBSTITUTE(H105,"~","~~"),"*","~*"),"?","~?"),Guide!$A$7:$A$9,0)),""),"")</f>
        <v>Office</v>
      </c>
      <c r="J105" s="1" t="str">
        <f>IF(TRIM(Raw!E105)="",I105,IF(UPPER(TRIM(Raw!E105))=UPPER(I105),I105,""))</f>
        <v>Office</v>
      </c>
      <c r="K105" s="1" t="str">
        <f>IF(Raw!F105="","",Raw!F105)</f>
        <v>sale</v>
      </c>
      <c r="L105" s="1" t="str">
        <f>IF(LEFT(TRIM(Raw!G105),2)="-$","-"&amp;MID(TRIM(Raw!G105),3,99),IF(LEFT(TRIM(Raw!G105),1)="$",MID(TRIM(Raw!G105),2,99),TRIM(Raw!G105)))</f>
        <v>82.50</v>
      </c>
      <c r="M105" s="1">
        <f t="shared" si="11"/>
        <v>82.5</v>
      </c>
      <c r="N105" s="10">
        <f t="shared" si="12"/>
        <v>8250</v>
      </c>
      <c r="O105" s="1" t="b">
        <f>IFERROR(IF(ISNUMBER(Raw!G105),TRUE,OR(EXACT(L105,TEXT(M105,"0.00")),EXACT(L105,TEXT(M105,"#,##0.00")))),FALSE)</f>
        <v>1</v>
      </c>
      <c r="P105" s="1" t="str">
        <f>LEN(IF(Raw!A105="","",Raw!A105))&amp;":"&amp;IF(Raw!A105="","",Raw!A105)&amp;"|"&amp;LEN(IF(Raw!B105="","",Raw!B105))&amp;":"&amp;IF(Raw!B105="","",Raw!B105)&amp;"|"&amp;LEN(IF(Raw!C105="","",Raw!C105))&amp;":"&amp;IF(Raw!C105="","",Raw!C105)&amp;"|"&amp;LEN(IF(Raw!D105="","",Raw!D105))&amp;":"&amp;IF(Raw!D105="","",Raw!D105)&amp;"|"&amp;LEN(IF(Raw!E105="","",Raw!E105))&amp;":"&amp;IF(Raw!E105="","",Raw!E105)&amp;"|"&amp;LEN(IF(Raw!F105="","",Raw!F105))&amp;":"&amp;IF(Raw!F105="","",Raw!F105)&amp;"|"&amp;LEN(IF(Raw!G105="","",Raw!G105))&amp;":"&amp;IF(Raw!G105="","",Raw!G105)</f>
        <v>6:L00099|6:T00050|10:2026-03-15|3:P-O|6:Office|4:sale|5:82.50</v>
      </c>
      <c r="Q105" s="1">
        <f>2</f>
        <v>2</v>
      </c>
      <c r="R105" s="1" t="b">
        <f>OR(NOT(EXACT(P105,P1988)))</f>
        <v>0</v>
      </c>
      <c r="S105" s="1">
        <f>1</f>
        <v>1</v>
      </c>
      <c r="T105" s="1" t="str">
        <f>IF(AND(Raw!A105="",Raw!B105="",Raw!C105="",Raw!D105="",Raw!E105="",Raw!F105="",Raw!G105=""),"UNUSED",IF(A105="","missing line ID",IF(B105="","missing transaction ID",IF(G105="",IF(C105="","missing date","invalid date"),IF(I105="","unknown product",IF(J105="","conflicting category",IF(NOT(OR(EXACT(K105,"sale"),EXACT(K105,"refund"))),"unknown event",IF(OR(N105="",NOT(O105)),"invalid amount",IF(OR(AND(K105="sale",N105&lt;=0),AND(K105="refund",N105&gt;=0)),"invalid sign","")))))))))</f>
        <v/>
      </c>
      <c r="U105" s="1" t="str">
        <f t="shared" si="13"/>
        <v>INCLUDED</v>
      </c>
      <c r="V105" s="1" t="str">
        <f t="shared" si="14"/>
        <v>2026-03</v>
      </c>
      <c r="W105" s="1">
        <f>IF(AND(U105="INCLUDED",X105&gt;0,EXACT(A105,'AI output'!A105)),1,0)</f>
        <v>1</v>
      </c>
      <c r="X105" s="1">
        <f>105</f>
        <v>105</v>
      </c>
      <c r="Y105" s="1">
        <f>IF(AND(U105="INCLUDED",W105=1),--(NOT(EXACT(A105,'AI output'!A105)))+--(NOT(EXACT(B105,'AI output'!B105)))+--(NOT(EXACT(TEXT(G105,"yyyy-mm-dd"),'AI output'!C105)))+--(NOT(EXACT(H105,'AI output'!D105)))+--(NOT(EXACT(J105,'AI output'!E105)))+--(NOT(EXACT(K105,'AI output'!F105)))+--(N105&lt;&gt;'AI output'!L105)+--(NOT('AI output'!M105)),0)</f>
        <v>0</v>
      </c>
      <c r="Z105" s="1">
        <f t="shared" si="15"/>
        <v>0</v>
      </c>
      <c r="AA105" s="1">
        <f>--EXACT(A105,"L00099")</f>
        <v>1</v>
      </c>
    </row>
    <row r="106" spans="1:27" ht="18.95" customHeight="1">
      <c r="A106" s="1" t="str">
        <f>IF(Raw!A106="","",Raw!A106)</f>
        <v>L00100</v>
      </c>
      <c r="B106" s="1" t="str">
        <f>IF(Raw!B106="","",Raw!B106)</f>
        <v>T00050</v>
      </c>
      <c r="C106" s="1" t="str">
        <f>IF(Raw!C106="","",Raw!C106)</f>
        <v>2026-03-15</v>
      </c>
      <c r="D106" s="1">
        <f t="shared" si="8"/>
        <v>2026</v>
      </c>
      <c r="E106" s="1">
        <f>IFERROR(IF(AND(LEN(C106)=10,MID(C106,5,1)="-",MID(C106,8,1)="-"),VALUE(MID(C106,6,2)),IF(AND(LEN(C106)=11,MID(C106,3,1)="-",MID(C106,7,1)="-"),MATCH(UPPER(MID(C106,4,3)),Guide!$D$7:$D$18,0),0)),0)</f>
        <v>3</v>
      </c>
      <c r="F106" s="1">
        <f t="shared" si="9"/>
        <v>15</v>
      </c>
      <c r="G106" s="9">
        <f t="shared" si="10"/>
        <v>46096</v>
      </c>
      <c r="H106" s="1" t="str">
        <f>IF(Raw!D106="","",Raw!D106)</f>
        <v>P-A</v>
      </c>
      <c r="I106" s="1" t="str">
        <f>IFERROR(IF(EXACT(H106,INDEX(Guide!$A$7:$A$9,MATCH(SUBSTITUTE(SUBSTITUTE(SUBSTITUTE(H106,"~","~~"),"*","~*"),"?","~?"),Guide!$A$7:$A$9,0))),INDEX(Guide!$B$7:$B$9,MATCH(SUBSTITUTE(SUBSTITUTE(SUBSTITUTE(H106,"~","~~"),"*","~*"),"?","~?"),Guide!$A$7:$A$9,0)),""),"")</f>
        <v>Accessories</v>
      </c>
      <c r="J106" s="1" t="str">
        <f>IF(TRIM(Raw!E106)="",I106,IF(UPPER(TRIM(Raw!E106))=UPPER(I106),I106,""))</f>
        <v>Accessories</v>
      </c>
      <c r="K106" s="1" t="str">
        <f>IF(Raw!F106="","",Raw!F106)</f>
        <v>sale</v>
      </c>
      <c r="L106" s="1" t="str">
        <f>IF(LEFT(TRIM(Raw!G106),2)="-$","-"&amp;MID(TRIM(Raw!G106),3,99),IF(LEFT(TRIM(Raw!G106),1)="$",MID(TRIM(Raw!G106),2,99),TRIM(Raw!G106)))</f>
        <v>166.48</v>
      </c>
      <c r="M106" s="1">
        <f t="shared" si="11"/>
        <v>166.48</v>
      </c>
      <c r="N106" s="10">
        <f t="shared" si="12"/>
        <v>16648</v>
      </c>
      <c r="O106" s="1" t="b">
        <f>IFERROR(IF(ISNUMBER(Raw!G106),TRUE,OR(EXACT(L106,TEXT(M106,"0.00")),EXACT(L106,TEXT(M106,"#,##0.00")))),FALSE)</f>
        <v>1</v>
      </c>
      <c r="P106" s="1" t="str">
        <f>LEN(IF(Raw!A106="","",Raw!A106))&amp;":"&amp;IF(Raw!A106="","",Raw!A106)&amp;"|"&amp;LEN(IF(Raw!B106="","",Raw!B106))&amp;":"&amp;IF(Raw!B106="","",Raw!B106)&amp;"|"&amp;LEN(IF(Raw!C106="","",Raw!C106))&amp;":"&amp;IF(Raw!C106="","",Raw!C106)&amp;"|"&amp;LEN(IF(Raw!D106="","",Raw!D106))&amp;":"&amp;IF(Raw!D106="","",Raw!D106)&amp;"|"&amp;LEN(IF(Raw!E106="","",Raw!E106))&amp;":"&amp;IF(Raw!E106="","",Raw!E106)&amp;"|"&amp;LEN(IF(Raw!F106="","",Raw!F106))&amp;":"&amp;IF(Raw!F106="","",Raw!F106)&amp;"|"&amp;LEN(IF(Raw!G106="","",Raw!G106))&amp;":"&amp;IF(Raw!G106="","",Raw!G106)</f>
        <v>6:L00100|6:T00050|10:2026-03-15|3:P-A|11:Accessories|4:sale|6:166.48</v>
      </c>
      <c r="Q106" s="1">
        <f>1</f>
        <v>1</v>
      </c>
      <c r="R106" s="1" t="b">
        <f>FALSE</f>
        <v>0</v>
      </c>
      <c r="S106" s="1">
        <f>1</f>
        <v>1</v>
      </c>
      <c r="T106" s="1" t="str">
        <f>IF(AND(Raw!A106="",Raw!B106="",Raw!C106="",Raw!D106="",Raw!E106="",Raw!F106="",Raw!G106=""),"UNUSED",IF(A106="","missing line ID",IF(B106="","missing transaction ID",IF(G106="",IF(C106="","missing date","invalid date"),IF(I106="","unknown product",IF(J106="","conflicting category",IF(NOT(OR(EXACT(K106,"sale"),EXACT(K106,"refund"))),"unknown event",IF(OR(N106="",NOT(O106)),"invalid amount",IF(OR(AND(K106="sale",N106&lt;=0),AND(K106="refund",N106&gt;=0)),"invalid sign","")))))))))</f>
        <v/>
      </c>
      <c r="U106" s="1" t="str">
        <f t="shared" si="13"/>
        <v>INCLUDED</v>
      </c>
      <c r="V106" s="1" t="str">
        <f t="shared" si="14"/>
        <v>2026-03</v>
      </c>
      <c r="W106" s="1">
        <f>IF(AND(U106="INCLUDED",X106&gt;0,EXACT(A106,'AI output'!A106)),1,0)</f>
        <v>1</v>
      </c>
      <c r="X106" s="1">
        <f>106</f>
        <v>106</v>
      </c>
      <c r="Y106" s="1">
        <f>IF(AND(U106="INCLUDED",W106=1),--(NOT(EXACT(A106,'AI output'!A106)))+--(NOT(EXACT(B106,'AI output'!B106)))+--(NOT(EXACT(TEXT(G106,"yyyy-mm-dd"),'AI output'!C106)))+--(NOT(EXACT(H106,'AI output'!D106)))+--(NOT(EXACT(J106,'AI output'!E106)))+--(NOT(EXACT(K106,'AI output'!F106)))+--(N106&lt;&gt;'AI output'!L106)+--(NOT('AI output'!M106)),0)</f>
        <v>0</v>
      </c>
      <c r="Z106" s="1">
        <f t="shared" si="15"/>
        <v>0</v>
      </c>
      <c r="AA106" s="1">
        <f>--EXACT(A106,"L00100")</f>
        <v>1</v>
      </c>
    </row>
    <row r="107" spans="1:27" ht="18.95" customHeight="1">
      <c r="A107" s="1" t="str">
        <f>IF(Raw!A107="","",Raw!A107)</f>
        <v>L00101</v>
      </c>
      <c r="B107" s="1" t="str">
        <f>IF(Raw!B107="","",Raw!B107)</f>
        <v>T00051</v>
      </c>
      <c r="C107" s="1" t="str">
        <f>IF(Raw!C107="","",Raw!C107)</f>
        <v>2026-03-22</v>
      </c>
      <c r="D107" s="1">
        <f t="shared" si="8"/>
        <v>2026</v>
      </c>
      <c r="E107" s="1">
        <f>IFERROR(IF(AND(LEN(C107)=10,MID(C107,5,1)="-",MID(C107,8,1)="-"),VALUE(MID(C107,6,2)),IF(AND(LEN(C107)=11,MID(C107,3,1)="-",MID(C107,7,1)="-"),MATCH(UPPER(MID(C107,4,3)),Guide!$D$7:$D$18,0),0)),0)</f>
        <v>3</v>
      </c>
      <c r="F107" s="1">
        <f t="shared" si="9"/>
        <v>22</v>
      </c>
      <c r="G107" s="9">
        <f t="shared" si="10"/>
        <v>46103</v>
      </c>
      <c r="H107" s="1" t="str">
        <f>IF(Raw!D107="","",Raw!D107)</f>
        <v>P-H</v>
      </c>
      <c r="I107" s="1" t="str">
        <f>IFERROR(IF(EXACT(H107,INDEX(Guide!$A$7:$A$9,MATCH(SUBSTITUTE(SUBSTITUTE(SUBSTITUTE(H107,"~","~~"),"*","~*"),"?","~?"),Guide!$A$7:$A$9,0))),INDEX(Guide!$B$7:$B$9,MATCH(SUBSTITUTE(SUBSTITUTE(SUBSTITUTE(H107,"~","~~"),"*","~*"),"?","~?"),Guide!$A$7:$A$9,0)),""),"")</f>
        <v>Home</v>
      </c>
      <c r="J107" s="1" t="str">
        <f>IF(TRIM(Raw!E107)="",I107,IF(UPPER(TRIM(Raw!E107))=UPPER(I107),I107,""))</f>
        <v>Home</v>
      </c>
      <c r="K107" s="1" t="str">
        <f>IF(Raw!F107="","",Raw!F107)</f>
        <v>sale</v>
      </c>
      <c r="L107" s="1" t="str">
        <f>IF(LEFT(TRIM(Raw!G107),2)="-$","-"&amp;MID(TRIM(Raw!G107),3,99),IF(LEFT(TRIM(Raw!G107),1)="$",MID(TRIM(Raw!G107),2,99),TRIM(Raw!G107)))</f>
        <v>41.99</v>
      </c>
      <c r="M107" s="1">
        <f t="shared" si="11"/>
        <v>41.99</v>
      </c>
      <c r="N107" s="10">
        <f t="shared" si="12"/>
        <v>4199</v>
      </c>
      <c r="O107" s="1" t="b">
        <f>IFERROR(IF(ISNUMBER(Raw!G107),TRUE,OR(EXACT(L107,TEXT(M107,"0.00")),EXACT(L107,TEXT(M107,"#,##0.00")))),FALSE)</f>
        <v>1</v>
      </c>
      <c r="P107" s="1" t="str">
        <f>LEN(IF(Raw!A107="","",Raw!A107))&amp;":"&amp;IF(Raw!A107="","",Raw!A107)&amp;"|"&amp;LEN(IF(Raw!B107="","",Raw!B107))&amp;":"&amp;IF(Raw!B107="","",Raw!B107)&amp;"|"&amp;LEN(IF(Raw!C107="","",Raw!C107))&amp;":"&amp;IF(Raw!C107="","",Raw!C107)&amp;"|"&amp;LEN(IF(Raw!D107="","",Raw!D107))&amp;":"&amp;IF(Raw!D107="","",Raw!D107)&amp;"|"&amp;LEN(IF(Raw!E107="","",Raw!E107))&amp;":"&amp;IF(Raw!E107="","",Raw!E107)&amp;"|"&amp;LEN(IF(Raw!F107="","",Raw!F107))&amp;":"&amp;IF(Raw!F107="","",Raw!F107)&amp;"|"&amp;LEN(IF(Raw!G107="","",Raw!G107))&amp;":"&amp;IF(Raw!G107="","",Raw!G107)</f>
        <v>6:L00101|6:T00051|10:2026-03-22|3:P-H|0:|4:sale|5:41.99</v>
      </c>
      <c r="Q107" s="1">
        <f>1</f>
        <v>1</v>
      </c>
      <c r="R107" s="1" t="b">
        <f>FALSE</f>
        <v>0</v>
      </c>
      <c r="S107" s="1">
        <f>1</f>
        <v>1</v>
      </c>
      <c r="T107" s="1" t="str">
        <f>IF(AND(Raw!A107="",Raw!B107="",Raw!C107="",Raw!D107="",Raw!E107="",Raw!F107="",Raw!G107=""),"UNUSED",IF(A107="","missing line ID",IF(B107="","missing transaction ID",IF(G107="",IF(C107="","missing date","invalid date"),IF(I107="","unknown product",IF(J107="","conflicting category",IF(NOT(OR(EXACT(K107,"sale"),EXACT(K107,"refund"))),"unknown event",IF(OR(N107="",NOT(O107)),"invalid amount",IF(OR(AND(K107="sale",N107&lt;=0),AND(K107="refund",N107&gt;=0)),"invalid sign","")))))))))</f>
        <v/>
      </c>
      <c r="U107" s="1" t="str">
        <f t="shared" si="13"/>
        <v>INCLUDED</v>
      </c>
      <c r="V107" s="1" t="str">
        <f t="shared" si="14"/>
        <v>2026-03</v>
      </c>
      <c r="W107" s="1">
        <f>IF(AND(U107="INCLUDED",X107&gt;0,EXACT(A107,'AI output'!A107)),1,0)</f>
        <v>1</v>
      </c>
      <c r="X107" s="1">
        <f>107</f>
        <v>107</v>
      </c>
      <c r="Y107" s="1">
        <f>IF(AND(U107="INCLUDED",W107=1),--(NOT(EXACT(A107,'AI output'!A107)))+--(NOT(EXACT(B107,'AI output'!B107)))+--(NOT(EXACT(TEXT(G107,"yyyy-mm-dd"),'AI output'!C107)))+--(NOT(EXACT(H107,'AI output'!D107)))+--(NOT(EXACT(J107,'AI output'!E107)))+--(NOT(EXACT(K107,'AI output'!F107)))+--(N107&lt;&gt;'AI output'!L107)+--(NOT('AI output'!M107)),0)</f>
        <v>0</v>
      </c>
      <c r="Z107" s="1">
        <f t="shared" si="15"/>
        <v>0</v>
      </c>
      <c r="AA107" s="1">
        <f>--EXACT(A107,"L00101")</f>
        <v>1</v>
      </c>
    </row>
    <row r="108" spans="1:27" ht="18.95" customHeight="1">
      <c r="A108" s="1" t="str">
        <f>IF(Raw!A108="","",Raw!A108)</f>
        <v>L00102</v>
      </c>
      <c r="B108" s="1" t="str">
        <f>IF(Raw!B108="","",Raw!B108)</f>
        <v>T00051</v>
      </c>
      <c r="C108" s="1" t="str">
        <f>IF(Raw!C108="","",Raw!C108)</f>
        <v>2026-03-22</v>
      </c>
      <c r="D108" s="1">
        <f t="shared" si="8"/>
        <v>2026</v>
      </c>
      <c r="E108" s="1">
        <f>IFERROR(IF(AND(LEN(C108)=10,MID(C108,5,1)="-",MID(C108,8,1)="-"),VALUE(MID(C108,6,2)),IF(AND(LEN(C108)=11,MID(C108,3,1)="-",MID(C108,7,1)="-"),MATCH(UPPER(MID(C108,4,3)),Guide!$D$7:$D$18,0),0)),0)</f>
        <v>3</v>
      </c>
      <c r="F108" s="1">
        <f t="shared" si="9"/>
        <v>22</v>
      </c>
      <c r="G108" s="9">
        <f t="shared" si="10"/>
        <v>46103</v>
      </c>
      <c r="H108" s="1" t="str">
        <f>IF(Raw!D108="","",Raw!D108)</f>
        <v>P-O</v>
      </c>
      <c r="I108" s="1" t="str">
        <f>IFERROR(IF(EXACT(H108,INDEX(Guide!$A$7:$A$9,MATCH(SUBSTITUTE(SUBSTITUTE(SUBSTITUTE(H108,"~","~~"),"*","~*"),"?","~?"),Guide!$A$7:$A$9,0))),INDEX(Guide!$B$7:$B$9,MATCH(SUBSTITUTE(SUBSTITUTE(SUBSTITUTE(H108,"~","~~"),"*","~*"),"?","~?"),Guide!$A$7:$A$9,0)),""),"")</f>
        <v>Office</v>
      </c>
      <c r="J108" s="1" t="str">
        <f>IF(TRIM(Raw!E108)="",I108,IF(UPPER(TRIM(Raw!E108))=UPPER(I108),I108,""))</f>
        <v>Office</v>
      </c>
      <c r="K108" s="1" t="str">
        <f>IF(Raw!F108="","",Raw!F108)</f>
        <v>sale</v>
      </c>
      <c r="L108" s="1" t="str">
        <f>IF(LEFT(TRIM(Raw!G108),2)="-$","-"&amp;MID(TRIM(Raw!G108),3,99),IF(LEFT(TRIM(Raw!G108),1)="$",MID(TRIM(Raw!G108),2,99),TRIM(Raw!G108)))</f>
        <v>127.08</v>
      </c>
      <c r="M108" s="1">
        <f t="shared" si="11"/>
        <v>127.08</v>
      </c>
      <c r="N108" s="10">
        <f t="shared" si="12"/>
        <v>12708</v>
      </c>
      <c r="O108" s="1" t="b">
        <f>IFERROR(IF(ISNUMBER(Raw!G108),TRUE,OR(EXACT(L108,TEXT(M108,"0.00")),EXACT(L108,TEXT(M108,"#,##0.00")))),FALSE)</f>
        <v>1</v>
      </c>
      <c r="P108" s="1" t="str">
        <f>LEN(IF(Raw!A108="","",Raw!A108))&amp;":"&amp;IF(Raw!A108="","",Raw!A108)&amp;"|"&amp;LEN(IF(Raw!B108="","",Raw!B108))&amp;":"&amp;IF(Raw!B108="","",Raw!B108)&amp;"|"&amp;LEN(IF(Raw!C108="","",Raw!C108))&amp;":"&amp;IF(Raw!C108="","",Raw!C108)&amp;"|"&amp;LEN(IF(Raw!D108="","",Raw!D108))&amp;":"&amp;IF(Raw!D108="","",Raw!D108)&amp;"|"&amp;LEN(IF(Raw!E108="","",Raw!E108))&amp;":"&amp;IF(Raw!E108="","",Raw!E108)&amp;"|"&amp;LEN(IF(Raw!F108="","",Raw!F108))&amp;":"&amp;IF(Raw!F108="","",Raw!F108)&amp;"|"&amp;LEN(IF(Raw!G108="","",Raw!G108))&amp;":"&amp;IF(Raw!G108="","",Raw!G108)</f>
        <v>6:L00102|6:T00051|10:2026-03-22|3:P-O|6:Office|4:sale|6:127.08</v>
      </c>
      <c r="Q108" s="1">
        <f>1</f>
        <v>1</v>
      </c>
      <c r="R108" s="1" t="b">
        <f>FALSE</f>
        <v>0</v>
      </c>
      <c r="S108" s="1">
        <f>1</f>
        <v>1</v>
      </c>
      <c r="T108" s="1" t="str">
        <f>IF(AND(Raw!A108="",Raw!B108="",Raw!C108="",Raw!D108="",Raw!E108="",Raw!F108="",Raw!G108=""),"UNUSED",IF(A108="","missing line ID",IF(B108="","missing transaction ID",IF(G108="",IF(C108="","missing date","invalid date"),IF(I108="","unknown product",IF(J108="","conflicting category",IF(NOT(OR(EXACT(K108,"sale"),EXACT(K108,"refund"))),"unknown event",IF(OR(N108="",NOT(O108)),"invalid amount",IF(OR(AND(K108="sale",N108&lt;=0),AND(K108="refund",N108&gt;=0)),"invalid sign","")))))))))</f>
        <v/>
      </c>
      <c r="U108" s="1" t="str">
        <f t="shared" si="13"/>
        <v>INCLUDED</v>
      </c>
      <c r="V108" s="1" t="str">
        <f t="shared" si="14"/>
        <v>2026-03</v>
      </c>
      <c r="W108" s="1">
        <f>IF(AND(U108="INCLUDED",X108&gt;0,EXACT(A108,'AI output'!A108)),1,0)</f>
        <v>1</v>
      </c>
      <c r="X108" s="1">
        <f>108</f>
        <v>108</v>
      </c>
      <c r="Y108" s="1">
        <f>IF(AND(U108="INCLUDED",W108=1),--(NOT(EXACT(A108,'AI output'!A108)))+--(NOT(EXACT(B108,'AI output'!B108)))+--(NOT(EXACT(TEXT(G108,"yyyy-mm-dd"),'AI output'!C108)))+--(NOT(EXACT(H108,'AI output'!D108)))+--(NOT(EXACT(J108,'AI output'!E108)))+--(NOT(EXACT(K108,'AI output'!F108)))+--(N108&lt;&gt;'AI output'!L108)+--(NOT('AI output'!M108)),0)</f>
        <v>0</v>
      </c>
      <c r="Z108" s="1">
        <f t="shared" si="15"/>
        <v>0</v>
      </c>
      <c r="AA108" s="1">
        <f>--EXACT(A108,"L00102")</f>
        <v>1</v>
      </c>
    </row>
    <row r="109" spans="1:27" ht="18.95" customHeight="1">
      <c r="A109" s="1" t="str">
        <f>IF(Raw!A109="","",Raw!A109)</f>
        <v>L00103</v>
      </c>
      <c r="B109" s="1" t="str">
        <f>IF(Raw!B109="","",Raw!B109)</f>
        <v>T00052</v>
      </c>
      <c r="C109" s="1" t="str">
        <f>IF(Raw!C109="","",Raw!C109)</f>
        <v>2026-03-29</v>
      </c>
      <c r="D109" s="1">
        <f t="shared" si="8"/>
        <v>2026</v>
      </c>
      <c r="E109" s="1">
        <f>IFERROR(IF(AND(LEN(C109)=10,MID(C109,5,1)="-",MID(C109,8,1)="-"),VALUE(MID(C109,6,2)),IF(AND(LEN(C109)=11,MID(C109,3,1)="-",MID(C109,7,1)="-"),MATCH(UPPER(MID(C109,4,3)),Guide!$D$7:$D$18,0),0)),0)</f>
        <v>3</v>
      </c>
      <c r="F109" s="1">
        <f t="shared" si="9"/>
        <v>29</v>
      </c>
      <c r="G109" s="9">
        <f t="shared" si="10"/>
        <v>46110</v>
      </c>
      <c r="H109" s="1" t="str">
        <f>IF(Raw!D109="","",Raw!D109)</f>
        <v>P-A</v>
      </c>
      <c r="I109" s="1" t="str">
        <f>IFERROR(IF(EXACT(H109,INDEX(Guide!$A$7:$A$9,MATCH(SUBSTITUTE(SUBSTITUTE(SUBSTITUTE(H109,"~","~~"),"*","~*"),"?","~?"),Guide!$A$7:$A$9,0))),INDEX(Guide!$B$7:$B$9,MATCH(SUBSTITUTE(SUBSTITUTE(SUBSTITUTE(H109,"~","~~"),"*","~*"),"?","~?"),Guide!$A$7:$A$9,0)),""),"")</f>
        <v>Accessories</v>
      </c>
      <c r="J109" s="1" t="str">
        <f>IF(TRIM(Raw!E109)="",I109,IF(UPPER(TRIM(Raw!E109))=UPPER(I109),I109,""))</f>
        <v>Accessories</v>
      </c>
      <c r="K109" s="1" t="str">
        <f>IF(Raw!F109="","",Raw!F109)</f>
        <v>sale</v>
      </c>
      <c r="L109" s="1" t="str">
        <f>IF(LEFT(TRIM(Raw!G109),2)="-$","-"&amp;MID(TRIM(Raw!G109),3,99),IF(LEFT(TRIM(Raw!G109),1)="$",MID(TRIM(Raw!G109),2,99),TRIM(Raw!G109)))</f>
        <v>213.65</v>
      </c>
      <c r="M109" s="1">
        <f t="shared" si="11"/>
        <v>213.65</v>
      </c>
      <c r="N109" s="10">
        <f t="shared" si="12"/>
        <v>21365</v>
      </c>
      <c r="O109" s="1" t="b">
        <f>IFERROR(IF(ISNUMBER(Raw!G109),TRUE,OR(EXACT(L109,TEXT(M109,"0.00")),EXACT(L109,TEXT(M109,"#,##0.00")))),FALSE)</f>
        <v>1</v>
      </c>
      <c r="P109" s="1" t="str">
        <f>LEN(IF(Raw!A109="","",Raw!A109))&amp;":"&amp;IF(Raw!A109="","",Raw!A109)&amp;"|"&amp;LEN(IF(Raw!B109="","",Raw!B109))&amp;":"&amp;IF(Raw!B109="","",Raw!B109)&amp;"|"&amp;LEN(IF(Raw!C109="","",Raw!C109))&amp;":"&amp;IF(Raw!C109="","",Raw!C109)&amp;"|"&amp;LEN(IF(Raw!D109="","",Raw!D109))&amp;":"&amp;IF(Raw!D109="","",Raw!D109)&amp;"|"&amp;LEN(IF(Raw!E109="","",Raw!E109))&amp;":"&amp;IF(Raw!E109="","",Raw!E109)&amp;"|"&amp;LEN(IF(Raw!F109="","",Raw!F109))&amp;":"&amp;IF(Raw!F109="","",Raw!F109)&amp;"|"&amp;LEN(IF(Raw!G109="","",Raw!G109))&amp;":"&amp;IF(Raw!G109="","",Raw!G109)</f>
        <v>6:L00103|6:T00052|10:2026-03-29|3:P-A|11:Accessories|4:sale|6:213.65</v>
      </c>
      <c r="Q109" s="1">
        <f>1</f>
        <v>1</v>
      </c>
      <c r="R109" s="1" t="b">
        <f>FALSE</f>
        <v>0</v>
      </c>
      <c r="S109" s="1">
        <f>1</f>
        <v>1</v>
      </c>
      <c r="T109" s="1" t="str">
        <f>IF(AND(Raw!A109="",Raw!B109="",Raw!C109="",Raw!D109="",Raw!E109="",Raw!F109="",Raw!G109=""),"UNUSED",IF(A109="","missing line ID",IF(B109="","missing transaction ID",IF(G109="",IF(C109="","missing date","invalid date"),IF(I109="","unknown product",IF(J109="","conflicting category",IF(NOT(OR(EXACT(K109,"sale"),EXACT(K109,"refund"))),"unknown event",IF(OR(N109="",NOT(O109)),"invalid amount",IF(OR(AND(K109="sale",N109&lt;=0),AND(K109="refund",N109&gt;=0)),"invalid sign","")))))))))</f>
        <v/>
      </c>
      <c r="U109" s="1" t="str">
        <f t="shared" si="13"/>
        <v>INCLUDED</v>
      </c>
      <c r="V109" s="1" t="str">
        <f t="shared" si="14"/>
        <v>2026-03</v>
      </c>
      <c r="W109" s="1">
        <f>IF(AND(U109="INCLUDED",X109&gt;0,EXACT(A109,'AI output'!A109)),1,0)</f>
        <v>1</v>
      </c>
      <c r="X109" s="1">
        <f>109</f>
        <v>109</v>
      </c>
      <c r="Y109" s="1">
        <f>IF(AND(U109="INCLUDED",W109=1),--(NOT(EXACT(A109,'AI output'!A109)))+--(NOT(EXACT(B109,'AI output'!B109)))+--(NOT(EXACT(TEXT(G109,"yyyy-mm-dd"),'AI output'!C109)))+--(NOT(EXACT(H109,'AI output'!D109)))+--(NOT(EXACT(J109,'AI output'!E109)))+--(NOT(EXACT(K109,'AI output'!F109)))+--(N109&lt;&gt;'AI output'!L109)+--(NOT('AI output'!M109)),0)</f>
        <v>0</v>
      </c>
      <c r="Z109" s="1">
        <f t="shared" si="15"/>
        <v>0</v>
      </c>
      <c r="AA109" s="1">
        <f>--EXACT(A109,"L00103")</f>
        <v>1</v>
      </c>
    </row>
    <row r="110" spans="1:27" ht="18.95" customHeight="1">
      <c r="A110" s="1" t="str">
        <f>IF(Raw!A110="","",Raw!A110)</f>
        <v>L00104</v>
      </c>
      <c r="B110" s="1" t="str">
        <f>IF(Raw!B110="","",Raw!B110)</f>
        <v>T00052</v>
      </c>
      <c r="C110" s="1" t="str">
        <f>IF(Raw!C110="","",Raw!C110)</f>
        <v>2026-03-29</v>
      </c>
      <c r="D110" s="1">
        <f t="shared" si="8"/>
        <v>2026</v>
      </c>
      <c r="E110" s="1">
        <f>IFERROR(IF(AND(LEN(C110)=10,MID(C110,5,1)="-",MID(C110,8,1)="-"),VALUE(MID(C110,6,2)),IF(AND(LEN(C110)=11,MID(C110,3,1)="-",MID(C110,7,1)="-"),MATCH(UPPER(MID(C110,4,3)),Guide!$D$7:$D$18,0),0)),0)</f>
        <v>3</v>
      </c>
      <c r="F110" s="1">
        <f t="shared" si="9"/>
        <v>29</v>
      </c>
      <c r="G110" s="9">
        <f t="shared" si="10"/>
        <v>46110</v>
      </c>
      <c r="H110" s="1" t="str">
        <f>IF(Raw!D110="","",Raw!D110)</f>
        <v>P-H</v>
      </c>
      <c r="I110" s="1" t="str">
        <f>IFERROR(IF(EXACT(H110,INDEX(Guide!$A$7:$A$9,MATCH(SUBSTITUTE(SUBSTITUTE(SUBSTITUTE(H110,"~","~~"),"*","~*"),"?","~?"),Guide!$A$7:$A$9,0))),INDEX(Guide!$B$7:$B$9,MATCH(SUBSTITUTE(SUBSTITUTE(SUBSTITUTE(H110,"~","~~"),"*","~*"),"?","~?"),Guide!$A$7:$A$9,0)),""),"")</f>
        <v>Home</v>
      </c>
      <c r="J110" s="1" t="str">
        <f>IF(TRIM(Raw!E110)="",I110,IF(UPPER(TRIM(Raw!E110))=UPPER(I110),I110,""))</f>
        <v>Home</v>
      </c>
      <c r="K110" s="1" t="str">
        <f>IF(Raw!F110="","",Raw!F110)</f>
        <v>sale</v>
      </c>
      <c r="L110" s="1" t="str">
        <f>IF(LEFT(TRIM(Raw!G110),2)="-$","-"&amp;MID(TRIM(Raw!G110),3,99),IF(LEFT(TRIM(Raw!G110),1)="$",MID(TRIM(Raw!G110),2,99),TRIM(Raw!G110)))</f>
        <v>86.20</v>
      </c>
      <c r="M110" s="1">
        <f t="shared" si="11"/>
        <v>86.2</v>
      </c>
      <c r="N110" s="10">
        <f t="shared" si="12"/>
        <v>8620</v>
      </c>
      <c r="O110" s="1" t="b">
        <f>IFERROR(IF(ISNUMBER(Raw!G110),TRUE,OR(EXACT(L110,TEXT(M110,"0.00")),EXACT(L110,TEXT(M110,"#,##0.00")))),FALSE)</f>
        <v>1</v>
      </c>
      <c r="P110" s="1" t="str">
        <f>LEN(IF(Raw!A110="","",Raw!A110))&amp;":"&amp;IF(Raw!A110="","",Raw!A110)&amp;"|"&amp;LEN(IF(Raw!B110="","",Raw!B110))&amp;":"&amp;IF(Raw!B110="","",Raw!B110)&amp;"|"&amp;LEN(IF(Raw!C110="","",Raw!C110))&amp;":"&amp;IF(Raw!C110="","",Raw!C110)&amp;"|"&amp;LEN(IF(Raw!D110="","",Raw!D110))&amp;":"&amp;IF(Raw!D110="","",Raw!D110)&amp;"|"&amp;LEN(IF(Raw!E110="","",Raw!E110))&amp;":"&amp;IF(Raw!E110="","",Raw!E110)&amp;"|"&amp;LEN(IF(Raw!F110="","",Raw!F110))&amp;":"&amp;IF(Raw!F110="","",Raw!F110)&amp;"|"&amp;LEN(IF(Raw!G110="","",Raw!G110))&amp;":"&amp;IF(Raw!G110="","",Raw!G110)</f>
        <v>6:L00104|6:T00052|10:2026-03-29|3:P-H|4:Home|4:sale|5:86.20</v>
      </c>
      <c r="Q110" s="1">
        <f>1</f>
        <v>1</v>
      </c>
      <c r="R110" s="1" t="b">
        <f>FALSE</f>
        <v>0</v>
      </c>
      <c r="S110" s="1">
        <f>1</f>
        <v>1</v>
      </c>
      <c r="T110" s="1" t="str">
        <f>IF(AND(Raw!A110="",Raw!B110="",Raw!C110="",Raw!D110="",Raw!E110="",Raw!F110="",Raw!G110=""),"UNUSED",IF(A110="","missing line ID",IF(B110="","missing transaction ID",IF(G110="",IF(C110="","missing date","invalid date"),IF(I110="","unknown product",IF(J110="","conflicting category",IF(NOT(OR(EXACT(K110,"sale"),EXACT(K110,"refund"))),"unknown event",IF(OR(N110="",NOT(O110)),"invalid amount",IF(OR(AND(K110="sale",N110&lt;=0),AND(K110="refund",N110&gt;=0)),"invalid sign","")))))))))</f>
        <v/>
      </c>
      <c r="U110" s="1" t="str">
        <f t="shared" si="13"/>
        <v>INCLUDED</v>
      </c>
      <c r="V110" s="1" t="str">
        <f t="shared" si="14"/>
        <v>2026-03</v>
      </c>
      <c r="W110" s="1">
        <f>IF(AND(U110="INCLUDED",X110&gt;0,EXACT(A110,'AI output'!A110)),1,0)</f>
        <v>1</v>
      </c>
      <c r="X110" s="1">
        <f>110</f>
        <v>110</v>
      </c>
      <c r="Y110" s="1">
        <f>IF(AND(U110="INCLUDED",W110=1),--(NOT(EXACT(A110,'AI output'!A110)))+--(NOT(EXACT(B110,'AI output'!B110)))+--(NOT(EXACT(TEXT(G110,"yyyy-mm-dd"),'AI output'!C110)))+--(NOT(EXACT(H110,'AI output'!D110)))+--(NOT(EXACT(J110,'AI output'!E110)))+--(NOT(EXACT(K110,'AI output'!F110)))+--(N110&lt;&gt;'AI output'!L110)+--(NOT('AI output'!M110)),0)</f>
        <v>0</v>
      </c>
      <c r="Z110" s="1">
        <f t="shared" si="15"/>
        <v>0</v>
      </c>
      <c r="AA110" s="1">
        <f>--EXACT(A110,"L00104")</f>
        <v>1</v>
      </c>
    </row>
    <row r="111" spans="1:27" ht="18.95" customHeight="1">
      <c r="A111" s="1" t="str">
        <f>IF(Raw!A111="","",Raw!A111)</f>
        <v>L00105</v>
      </c>
      <c r="B111" s="1" t="str">
        <f>IF(Raw!B111="","",Raw!B111)</f>
        <v>T00053</v>
      </c>
      <c r="C111" s="1" t="str">
        <f>IF(Raw!C111="","",Raw!C111)</f>
        <v>2026-01-05</v>
      </c>
      <c r="D111" s="1">
        <f t="shared" si="8"/>
        <v>2026</v>
      </c>
      <c r="E111" s="1">
        <f>IFERROR(IF(AND(LEN(C111)=10,MID(C111,5,1)="-",MID(C111,8,1)="-"),VALUE(MID(C111,6,2)),IF(AND(LEN(C111)=11,MID(C111,3,1)="-",MID(C111,7,1)="-"),MATCH(UPPER(MID(C111,4,3)),Guide!$D$7:$D$18,0),0)),0)</f>
        <v>1</v>
      </c>
      <c r="F111" s="1">
        <f t="shared" si="9"/>
        <v>5</v>
      </c>
      <c r="G111" s="9">
        <f t="shared" si="10"/>
        <v>46027</v>
      </c>
      <c r="H111" s="1" t="str">
        <f>IF(Raw!D111="","",Raw!D111)</f>
        <v>P-O</v>
      </c>
      <c r="I111" s="1" t="str">
        <f>IFERROR(IF(EXACT(H111,INDEX(Guide!$A$7:$A$9,MATCH(SUBSTITUTE(SUBSTITUTE(SUBSTITUTE(H111,"~","~~"),"*","~*"),"?","~?"),Guide!$A$7:$A$9,0))),INDEX(Guide!$B$7:$B$9,MATCH(SUBSTITUTE(SUBSTITUTE(SUBSTITUTE(H111,"~","~~"),"*","~*"),"?","~?"),Guide!$A$7:$A$9,0)),""),"")</f>
        <v>Office</v>
      </c>
      <c r="J111" s="1" t="str">
        <f>IF(TRIM(Raw!E111)="",I111,IF(UPPER(TRIM(Raw!E111))=UPPER(I111),I111,""))</f>
        <v>Office</v>
      </c>
      <c r="K111" s="1" t="str">
        <f>IF(Raw!F111="","",Raw!F111)</f>
        <v>sale</v>
      </c>
      <c r="L111" s="1" t="str">
        <f>IF(LEFT(TRIM(Raw!G111),2)="-$","-"&amp;MID(TRIM(Raw!G111),3,99),IF(LEFT(TRIM(Raw!G111),1)="$",MID(TRIM(Raw!G111),2,99),TRIM(Raw!G111)))</f>
        <v>173.88</v>
      </c>
      <c r="M111" s="1">
        <f t="shared" si="11"/>
        <v>173.88</v>
      </c>
      <c r="N111" s="10">
        <f t="shared" si="12"/>
        <v>17388</v>
      </c>
      <c r="O111" s="1" t="b">
        <f>IFERROR(IF(ISNUMBER(Raw!G111),TRUE,OR(EXACT(L111,TEXT(M111,"0.00")),EXACT(L111,TEXT(M111,"#,##0.00")))),FALSE)</f>
        <v>1</v>
      </c>
      <c r="P111" s="1" t="str">
        <f>LEN(IF(Raw!A111="","",Raw!A111))&amp;":"&amp;IF(Raw!A111="","",Raw!A111)&amp;"|"&amp;LEN(IF(Raw!B111="","",Raw!B111))&amp;":"&amp;IF(Raw!B111="","",Raw!B111)&amp;"|"&amp;LEN(IF(Raw!C111="","",Raw!C111))&amp;":"&amp;IF(Raw!C111="","",Raw!C111)&amp;"|"&amp;LEN(IF(Raw!D111="","",Raw!D111))&amp;":"&amp;IF(Raw!D111="","",Raw!D111)&amp;"|"&amp;LEN(IF(Raw!E111="","",Raw!E111))&amp;":"&amp;IF(Raw!E111="","",Raw!E111)&amp;"|"&amp;LEN(IF(Raw!F111="","",Raw!F111))&amp;":"&amp;IF(Raw!F111="","",Raw!F111)&amp;"|"&amp;LEN(IF(Raw!G111="","",Raw!G111))&amp;":"&amp;IF(Raw!G111="","",Raw!G111)</f>
        <v>6:L00105|6:T00053|10:2026-01-05|3:P-O|6:Office|4:sale|6:173.88</v>
      </c>
      <c r="Q111" s="1">
        <f>1</f>
        <v>1</v>
      </c>
      <c r="R111" s="1" t="b">
        <f>FALSE</f>
        <v>0</v>
      </c>
      <c r="S111" s="1">
        <f>1</f>
        <v>1</v>
      </c>
      <c r="T111" s="1" t="str">
        <f>IF(AND(Raw!A111="",Raw!B111="",Raw!C111="",Raw!D111="",Raw!E111="",Raw!F111="",Raw!G111=""),"UNUSED",IF(A111="","missing line ID",IF(B111="","missing transaction ID",IF(G111="",IF(C111="","missing date","invalid date"),IF(I111="","unknown product",IF(J111="","conflicting category",IF(NOT(OR(EXACT(K111,"sale"),EXACT(K111,"refund"))),"unknown event",IF(OR(N111="",NOT(O111)),"invalid amount",IF(OR(AND(K111="sale",N111&lt;=0),AND(K111="refund",N111&gt;=0)),"invalid sign","")))))))))</f>
        <v/>
      </c>
      <c r="U111" s="1" t="str">
        <f t="shared" si="13"/>
        <v>INCLUDED</v>
      </c>
      <c r="V111" s="1" t="str">
        <f t="shared" si="14"/>
        <v>2026-01</v>
      </c>
      <c r="W111" s="1">
        <f>IF(AND(U111="INCLUDED",X111&gt;0,EXACT(A111,'AI output'!A111)),1,0)</f>
        <v>1</v>
      </c>
      <c r="X111" s="1">
        <f>111</f>
        <v>111</v>
      </c>
      <c r="Y111" s="1">
        <f>IF(AND(U111="INCLUDED",W111=1),--(NOT(EXACT(A111,'AI output'!A111)))+--(NOT(EXACT(B111,'AI output'!B111)))+--(NOT(EXACT(TEXT(G111,"yyyy-mm-dd"),'AI output'!C111)))+--(NOT(EXACT(H111,'AI output'!D111)))+--(NOT(EXACT(J111,'AI output'!E111)))+--(NOT(EXACT(K111,'AI output'!F111)))+--(N111&lt;&gt;'AI output'!L111)+--(NOT('AI output'!M111)),0)</f>
        <v>0</v>
      </c>
      <c r="Z111" s="1">
        <f t="shared" si="15"/>
        <v>0</v>
      </c>
      <c r="AA111" s="1">
        <f>--EXACT(A111,"L00105")</f>
        <v>1</v>
      </c>
    </row>
    <row r="112" spans="1:27" ht="18.95" customHeight="1">
      <c r="A112" s="1" t="str">
        <f>IF(Raw!A112="","",Raw!A112)</f>
        <v>L00106</v>
      </c>
      <c r="B112" s="1" t="str">
        <f>IF(Raw!B112="","",Raw!B112)</f>
        <v>T00053</v>
      </c>
      <c r="C112" s="1" t="str">
        <f>IF(Raw!C112="","",Raw!C112)</f>
        <v>2026-01-05</v>
      </c>
      <c r="D112" s="1">
        <f t="shared" si="8"/>
        <v>2026</v>
      </c>
      <c r="E112" s="1">
        <f>IFERROR(IF(AND(LEN(C112)=10,MID(C112,5,1)="-",MID(C112,8,1)="-"),VALUE(MID(C112,6,2)),IF(AND(LEN(C112)=11,MID(C112,3,1)="-",MID(C112,7,1)="-"),MATCH(UPPER(MID(C112,4,3)),Guide!$D$7:$D$18,0),0)),0)</f>
        <v>1</v>
      </c>
      <c r="F112" s="1">
        <f t="shared" si="9"/>
        <v>5</v>
      </c>
      <c r="G112" s="9">
        <f t="shared" si="10"/>
        <v>46027</v>
      </c>
      <c r="H112" s="1" t="str">
        <f>IF(Raw!D112="","",Raw!D112)</f>
        <v>P-A</v>
      </c>
      <c r="I112" s="1" t="str">
        <f>IFERROR(IF(EXACT(H112,INDEX(Guide!$A$7:$A$9,MATCH(SUBSTITUTE(SUBSTITUTE(SUBSTITUTE(H112,"~","~~"),"*","~*"),"?","~?"),Guide!$A$7:$A$9,0))),INDEX(Guide!$B$7:$B$9,MATCH(SUBSTITUTE(SUBSTITUTE(SUBSTITUTE(H112,"~","~~"),"*","~*"),"?","~?"),Guide!$A$7:$A$9,0)),""),"")</f>
        <v>Accessories</v>
      </c>
      <c r="J112" s="1" t="str">
        <f>IF(TRIM(Raw!E112)="",I112,IF(UPPER(TRIM(Raw!E112))=UPPER(I112),I112,""))</f>
        <v>Accessories</v>
      </c>
      <c r="K112" s="1" t="str">
        <f>IF(Raw!F112="","",Raw!F112)</f>
        <v>sale</v>
      </c>
      <c r="L112" s="1" t="str">
        <f>IF(LEFT(TRIM(Raw!G112),2)="-$","-"&amp;MID(TRIM(Raw!G112),3,99),IF(LEFT(TRIM(Raw!G112),1)="$",MID(TRIM(Raw!G112),2,99),TRIM(Raw!G112)))</f>
        <v>43.84</v>
      </c>
      <c r="M112" s="1">
        <f t="shared" si="11"/>
        <v>43.84</v>
      </c>
      <c r="N112" s="10">
        <f t="shared" si="12"/>
        <v>4384</v>
      </c>
      <c r="O112" s="1" t="b">
        <f>IFERROR(IF(ISNUMBER(Raw!G112),TRUE,OR(EXACT(L112,TEXT(M112,"0.00")),EXACT(L112,TEXT(M112,"#,##0.00")))),FALSE)</f>
        <v>1</v>
      </c>
      <c r="P112" s="1" t="str">
        <f>LEN(IF(Raw!A112="","",Raw!A112))&amp;":"&amp;IF(Raw!A112="","",Raw!A112)&amp;"|"&amp;LEN(IF(Raw!B112="","",Raw!B112))&amp;":"&amp;IF(Raw!B112="","",Raw!B112)&amp;"|"&amp;LEN(IF(Raw!C112="","",Raw!C112))&amp;":"&amp;IF(Raw!C112="","",Raw!C112)&amp;"|"&amp;LEN(IF(Raw!D112="","",Raw!D112))&amp;":"&amp;IF(Raw!D112="","",Raw!D112)&amp;"|"&amp;LEN(IF(Raw!E112="","",Raw!E112))&amp;":"&amp;IF(Raw!E112="","",Raw!E112)&amp;"|"&amp;LEN(IF(Raw!F112="","",Raw!F112))&amp;":"&amp;IF(Raw!F112="","",Raw!F112)&amp;"|"&amp;LEN(IF(Raw!G112="","",Raw!G112))&amp;":"&amp;IF(Raw!G112="","",Raw!G112)</f>
        <v>6:L00106|6:T00053|10:2026-01-05|3:P-A|11:Accessories|4:sale|5:43.84</v>
      </c>
      <c r="Q112" s="1">
        <f>1</f>
        <v>1</v>
      </c>
      <c r="R112" s="1" t="b">
        <f>FALSE</f>
        <v>0</v>
      </c>
      <c r="S112" s="1">
        <f>1</f>
        <v>1</v>
      </c>
      <c r="T112" s="1" t="str">
        <f>IF(AND(Raw!A112="",Raw!B112="",Raw!C112="",Raw!D112="",Raw!E112="",Raw!F112="",Raw!G112=""),"UNUSED",IF(A112="","missing line ID",IF(B112="","missing transaction ID",IF(G112="",IF(C112="","missing date","invalid date"),IF(I112="","unknown product",IF(J112="","conflicting category",IF(NOT(OR(EXACT(K112,"sale"),EXACT(K112,"refund"))),"unknown event",IF(OR(N112="",NOT(O112)),"invalid amount",IF(OR(AND(K112="sale",N112&lt;=0),AND(K112="refund",N112&gt;=0)),"invalid sign","")))))))))</f>
        <v/>
      </c>
      <c r="U112" s="1" t="str">
        <f t="shared" si="13"/>
        <v>INCLUDED</v>
      </c>
      <c r="V112" s="1" t="str">
        <f t="shared" si="14"/>
        <v>2026-01</v>
      </c>
      <c r="W112" s="1">
        <f>IF(AND(U112="INCLUDED",X112&gt;0,EXACT(A112,'AI output'!A112)),1,0)</f>
        <v>1</v>
      </c>
      <c r="X112" s="1">
        <f>112</f>
        <v>112</v>
      </c>
      <c r="Y112" s="1">
        <f>IF(AND(U112="INCLUDED",W112=1),--(NOT(EXACT(A112,'AI output'!A112)))+--(NOT(EXACT(B112,'AI output'!B112)))+--(NOT(EXACT(TEXT(G112,"yyyy-mm-dd"),'AI output'!C112)))+--(NOT(EXACT(H112,'AI output'!D112)))+--(NOT(EXACT(J112,'AI output'!E112)))+--(NOT(EXACT(K112,'AI output'!F112)))+--(N112&lt;&gt;'AI output'!L112)+--(NOT('AI output'!M112)),0)</f>
        <v>0</v>
      </c>
      <c r="Z112" s="1">
        <f t="shared" si="15"/>
        <v>0</v>
      </c>
      <c r="AA112" s="1">
        <f>--EXACT(A112,"L00106")</f>
        <v>1</v>
      </c>
    </row>
    <row r="113" spans="1:27" ht="18.95" customHeight="1">
      <c r="A113" s="1" t="str">
        <f>IF(Raw!A113="","",Raw!A113)</f>
        <v>L00107</v>
      </c>
      <c r="B113" s="1" t="str">
        <f>IF(Raw!B113="","",Raw!B113)</f>
        <v>T00054</v>
      </c>
      <c r="C113" s="1" t="str">
        <f>IF(Raw!C113="","",Raw!C113)</f>
        <v>2026-01-12</v>
      </c>
      <c r="D113" s="1">
        <f t="shared" si="8"/>
        <v>2026</v>
      </c>
      <c r="E113" s="1">
        <f>IFERROR(IF(AND(LEN(C113)=10,MID(C113,5,1)="-",MID(C113,8,1)="-"),VALUE(MID(C113,6,2)),IF(AND(LEN(C113)=11,MID(C113,3,1)="-",MID(C113,7,1)="-"),MATCH(UPPER(MID(C113,4,3)),Guide!$D$7:$D$18,0),0)),0)</f>
        <v>1</v>
      </c>
      <c r="F113" s="1">
        <f t="shared" si="9"/>
        <v>12</v>
      </c>
      <c r="G113" s="9">
        <f t="shared" si="10"/>
        <v>46034</v>
      </c>
      <c r="H113" s="1" t="str">
        <f>IF(Raw!D113="","",Raw!D113)</f>
        <v>P-H</v>
      </c>
      <c r="I113" s="1" t="str">
        <f>IFERROR(IF(EXACT(H113,INDEX(Guide!$A$7:$A$9,MATCH(SUBSTITUTE(SUBSTITUTE(SUBSTITUTE(H113,"~","~~"),"*","~*"),"?","~?"),Guide!$A$7:$A$9,0))),INDEX(Guide!$B$7:$B$9,MATCH(SUBSTITUTE(SUBSTITUTE(SUBSTITUTE(H113,"~","~~"),"*","~*"),"?","~?"),Guide!$A$7:$A$9,0)),""),"")</f>
        <v>Home</v>
      </c>
      <c r="J113" s="1" t="str">
        <f>IF(TRIM(Raw!E113)="",I113,IF(UPPER(TRIM(Raw!E113))=UPPER(I113),I113,""))</f>
        <v>Home</v>
      </c>
      <c r="K113" s="1" t="str">
        <f>IF(Raw!F113="","",Raw!F113)</f>
        <v>sale</v>
      </c>
      <c r="L113" s="1" t="str">
        <f>IF(LEFT(TRIM(Raw!G113),2)="-$","-"&amp;MID(TRIM(Raw!G113),3,99),IF(LEFT(TRIM(Raw!G113),1)="$",MID(TRIM(Raw!G113),2,99),TRIM(Raw!G113)))</f>
        <v>132.63</v>
      </c>
      <c r="M113" s="1">
        <f t="shared" si="11"/>
        <v>132.63</v>
      </c>
      <c r="N113" s="10">
        <f t="shared" si="12"/>
        <v>13263</v>
      </c>
      <c r="O113" s="1" t="b">
        <f>IFERROR(IF(ISNUMBER(Raw!G113),TRUE,OR(EXACT(L113,TEXT(M113,"0.00")),EXACT(L113,TEXT(M113,"#,##0.00")))),FALSE)</f>
        <v>1</v>
      </c>
      <c r="P113" s="1" t="str">
        <f>LEN(IF(Raw!A113="","",Raw!A113))&amp;":"&amp;IF(Raw!A113="","",Raw!A113)&amp;"|"&amp;LEN(IF(Raw!B113="","",Raw!B113))&amp;":"&amp;IF(Raw!B113="","",Raw!B113)&amp;"|"&amp;LEN(IF(Raw!C113="","",Raw!C113))&amp;":"&amp;IF(Raw!C113="","",Raw!C113)&amp;"|"&amp;LEN(IF(Raw!D113="","",Raw!D113))&amp;":"&amp;IF(Raw!D113="","",Raw!D113)&amp;"|"&amp;LEN(IF(Raw!E113="","",Raw!E113))&amp;":"&amp;IF(Raw!E113="","",Raw!E113)&amp;"|"&amp;LEN(IF(Raw!F113="","",Raw!F113))&amp;":"&amp;IF(Raw!F113="","",Raw!F113)&amp;"|"&amp;LEN(IF(Raw!G113="","",Raw!G113))&amp;":"&amp;IF(Raw!G113="","",Raw!G113)</f>
        <v>6:L00107|6:T00054|10:2026-01-12|3:P-H|4:Home|4:sale|6:132.63</v>
      </c>
      <c r="Q113" s="1">
        <f>1</f>
        <v>1</v>
      </c>
      <c r="R113" s="1" t="b">
        <f>FALSE</f>
        <v>0</v>
      </c>
      <c r="S113" s="1">
        <f>1</f>
        <v>1</v>
      </c>
      <c r="T113" s="1" t="str">
        <f>IF(AND(Raw!A113="",Raw!B113="",Raw!C113="",Raw!D113="",Raw!E113="",Raw!F113="",Raw!G113=""),"UNUSED",IF(A113="","missing line ID",IF(B113="","missing transaction ID",IF(G113="",IF(C113="","missing date","invalid date"),IF(I113="","unknown product",IF(J113="","conflicting category",IF(NOT(OR(EXACT(K113,"sale"),EXACT(K113,"refund"))),"unknown event",IF(OR(N113="",NOT(O113)),"invalid amount",IF(OR(AND(K113="sale",N113&lt;=0),AND(K113="refund",N113&gt;=0)),"invalid sign","")))))))))</f>
        <v/>
      </c>
      <c r="U113" s="1" t="str">
        <f t="shared" si="13"/>
        <v>INCLUDED</v>
      </c>
      <c r="V113" s="1" t="str">
        <f t="shared" si="14"/>
        <v>2026-01</v>
      </c>
      <c r="W113" s="1">
        <f>IF(AND(U113="INCLUDED",X113&gt;0,EXACT(A113,'AI output'!A113)),1,0)</f>
        <v>1</v>
      </c>
      <c r="X113" s="1">
        <f>113</f>
        <v>113</v>
      </c>
      <c r="Y113" s="1">
        <f>IF(AND(U113="INCLUDED",W113=1),--(NOT(EXACT(A113,'AI output'!A113)))+--(NOT(EXACT(B113,'AI output'!B113)))+--(NOT(EXACT(TEXT(G113,"yyyy-mm-dd"),'AI output'!C113)))+--(NOT(EXACT(H113,'AI output'!D113)))+--(NOT(EXACT(J113,'AI output'!E113)))+--(NOT(EXACT(K113,'AI output'!F113)))+--(N113&lt;&gt;'AI output'!L113)+--(NOT('AI output'!M113)),0)</f>
        <v>0</v>
      </c>
      <c r="Z113" s="1">
        <f t="shared" si="15"/>
        <v>0</v>
      </c>
      <c r="AA113" s="1">
        <f>--EXACT(A113,"L00107")</f>
        <v>1</v>
      </c>
    </row>
    <row r="114" spans="1:27" ht="18.95" customHeight="1">
      <c r="A114" s="1" t="str">
        <f>IF(Raw!A114="","",Raw!A114)</f>
        <v>L00108</v>
      </c>
      <c r="B114" s="1" t="str">
        <f>IF(Raw!B114="","",Raw!B114)</f>
        <v>T00054</v>
      </c>
      <c r="C114" s="1" t="str">
        <f>IF(Raw!C114="","",Raw!C114)</f>
        <v>2026-01-12</v>
      </c>
      <c r="D114" s="1">
        <f t="shared" si="8"/>
        <v>2026</v>
      </c>
      <c r="E114" s="1">
        <f>IFERROR(IF(AND(LEN(C114)=10,MID(C114,5,1)="-",MID(C114,8,1)="-"),VALUE(MID(C114,6,2)),IF(AND(LEN(C114)=11,MID(C114,3,1)="-",MID(C114,7,1)="-"),MATCH(UPPER(MID(C114,4,3)),Guide!$D$7:$D$18,0),0)),0)</f>
        <v>1</v>
      </c>
      <c r="F114" s="1">
        <f t="shared" si="9"/>
        <v>12</v>
      </c>
      <c r="G114" s="9">
        <f t="shared" si="10"/>
        <v>46034</v>
      </c>
      <c r="H114" s="1" t="str">
        <f>IF(Raw!D114="","",Raw!D114)</f>
        <v>P-O</v>
      </c>
      <c r="I114" s="1" t="str">
        <f>IFERROR(IF(EXACT(H114,INDEX(Guide!$A$7:$A$9,MATCH(SUBSTITUTE(SUBSTITUTE(SUBSTITUTE(H114,"~","~~"),"*","~*"),"?","~?"),Guide!$A$7:$A$9,0))),INDEX(Guide!$B$7:$B$9,MATCH(SUBSTITUTE(SUBSTITUTE(SUBSTITUTE(H114,"~","~~"),"*","~*"),"?","~?"),Guide!$A$7:$A$9,0)),""),"")</f>
        <v>Office</v>
      </c>
      <c r="J114" s="1" t="str">
        <f>IF(TRIM(Raw!E114)="",I114,IF(UPPER(TRIM(Raw!E114))=UPPER(I114),I114,""))</f>
        <v>Office</v>
      </c>
      <c r="K114" s="1" t="str">
        <f>IF(Raw!F114="","",Raw!F114)</f>
        <v>sale</v>
      </c>
      <c r="L114" s="1" t="str">
        <f>IF(LEFT(TRIM(Raw!G114),2)="-$","-"&amp;MID(TRIM(Raw!G114),3,99),IF(LEFT(TRIM(Raw!G114),1)="$",MID(TRIM(Raw!G114),2,99),TRIM(Raw!G114)))</f>
        <v>222.90</v>
      </c>
      <c r="M114" s="1">
        <f t="shared" si="11"/>
        <v>222.9</v>
      </c>
      <c r="N114" s="10">
        <f t="shared" si="12"/>
        <v>22290</v>
      </c>
      <c r="O114" s="1" t="b">
        <f>IFERROR(IF(ISNUMBER(Raw!G114),TRUE,OR(EXACT(L114,TEXT(M114,"0.00")),EXACT(L114,TEXT(M114,"#,##0.00")))),FALSE)</f>
        <v>1</v>
      </c>
      <c r="P114" s="1" t="str">
        <f>LEN(IF(Raw!A114="","",Raw!A114))&amp;":"&amp;IF(Raw!A114="","",Raw!A114)&amp;"|"&amp;LEN(IF(Raw!B114="","",Raw!B114))&amp;":"&amp;IF(Raw!B114="","",Raw!B114)&amp;"|"&amp;LEN(IF(Raw!C114="","",Raw!C114))&amp;":"&amp;IF(Raw!C114="","",Raw!C114)&amp;"|"&amp;LEN(IF(Raw!D114="","",Raw!D114))&amp;":"&amp;IF(Raw!D114="","",Raw!D114)&amp;"|"&amp;LEN(IF(Raw!E114="","",Raw!E114))&amp;":"&amp;IF(Raw!E114="","",Raw!E114)&amp;"|"&amp;LEN(IF(Raw!F114="","",Raw!F114))&amp;":"&amp;IF(Raw!F114="","",Raw!F114)&amp;"|"&amp;LEN(IF(Raw!G114="","",Raw!G114))&amp;":"&amp;IF(Raw!G114="","",Raw!G114)</f>
        <v>6:L00108|6:T00054|10:2026-01-12|3:P-O|10:  office  |4:sale|6:222.90</v>
      </c>
      <c r="Q114" s="1">
        <f>1</f>
        <v>1</v>
      </c>
      <c r="R114" s="1" t="b">
        <f>FALSE</f>
        <v>0</v>
      </c>
      <c r="S114" s="1">
        <f>1</f>
        <v>1</v>
      </c>
      <c r="T114" s="1" t="str">
        <f>IF(AND(Raw!A114="",Raw!B114="",Raw!C114="",Raw!D114="",Raw!E114="",Raw!F114="",Raw!G114=""),"UNUSED",IF(A114="","missing line ID",IF(B114="","missing transaction ID",IF(G114="",IF(C114="","missing date","invalid date"),IF(I114="","unknown product",IF(J114="","conflicting category",IF(NOT(OR(EXACT(K114,"sale"),EXACT(K114,"refund"))),"unknown event",IF(OR(N114="",NOT(O114)),"invalid amount",IF(OR(AND(K114="sale",N114&lt;=0),AND(K114="refund",N114&gt;=0)),"invalid sign","")))))))))</f>
        <v/>
      </c>
      <c r="U114" s="1" t="str">
        <f t="shared" si="13"/>
        <v>INCLUDED</v>
      </c>
      <c r="V114" s="1" t="str">
        <f t="shared" si="14"/>
        <v>2026-01</v>
      </c>
      <c r="W114" s="1">
        <f>IF(AND(U114="INCLUDED",X114&gt;0,EXACT(A114,'AI output'!A114)),1,0)</f>
        <v>1</v>
      </c>
      <c r="X114" s="1">
        <f>114</f>
        <v>114</v>
      </c>
      <c r="Y114" s="1">
        <f>IF(AND(U114="INCLUDED",W114=1),--(NOT(EXACT(A114,'AI output'!A114)))+--(NOT(EXACT(B114,'AI output'!B114)))+--(NOT(EXACT(TEXT(G114,"yyyy-mm-dd"),'AI output'!C114)))+--(NOT(EXACT(H114,'AI output'!D114)))+--(NOT(EXACT(J114,'AI output'!E114)))+--(NOT(EXACT(K114,'AI output'!F114)))+--(N114&lt;&gt;'AI output'!L114)+--(NOT('AI output'!M114)),0)</f>
        <v>0</v>
      </c>
      <c r="Z114" s="1">
        <f t="shared" si="15"/>
        <v>0</v>
      </c>
      <c r="AA114" s="1">
        <f>--EXACT(A114,"L00108")</f>
        <v>1</v>
      </c>
    </row>
    <row r="115" spans="1:27" ht="18.95" customHeight="1">
      <c r="A115" s="1" t="str">
        <f>IF(Raw!A115="","",Raw!A115)</f>
        <v>L00109</v>
      </c>
      <c r="B115" s="1" t="str">
        <f>IF(Raw!B115="","",Raw!B115)</f>
        <v>T00055</v>
      </c>
      <c r="C115" s="1" t="str">
        <f>IF(Raw!C115="","",Raw!C115)</f>
        <v>2026-01-19</v>
      </c>
      <c r="D115" s="1">
        <f t="shared" si="8"/>
        <v>2026</v>
      </c>
      <c r="E115" s="1">
        <f>IFERROR(IF(AND(LEN(C115)=10,MID(C115,5,1)="-",MID(C115,8,1)="-"),VALUE(MID(C115,6,2)),IF(AND(LEN(C115)=11,MID(C115,3,1)="-",MID(C115,7,1)="-"),MATCH(UPPER(MID(C115,4,3)),Guide!$D$7:$D$18,0),0)),0)</f>
        <v>1</v>
      </c>
      <c r="F115" s="1">
        <f t="shared" si="9"/>
        <v>19</v>
      </c>
      <c r="G115" s="9">
        <f t="shared" si="10"/>
        <v>46041</v>
      </c>
      <c r="H115" s="1" t="str">
        <f>IF(Raw!D115="","",Raw!D115)</f>
        <v>P-A</v>
      </c>
      <c r="I115" s="1" t="str">
        <f>IFERROR(IF(EXACT(H115,INDEX(Guide!$A$7:$A$9,MATCH(SUBSTITUTE(SUBSTITUTE(SUBSTITUTE(H115,"~","~~"),"*","~*"),"?","~?"),Guide!$A$7:$A$9,0))),INDEX(Guide!$B$7:$B$9,MATCH(SUBSTITUTE(SUBSTITUTE(SUBSTITUTE(H115,"~","~~"),"*","~*"),"?","~?"),Guide!$A$7:$A$9,0)),""),"")</f>
        <v>Accessories</v>
      </c>
      <c r="J115" s="1" t="str">
        <f>IF(TRIM(Raw!E115)="",I115,IF(UPPER(TRIM(Raw!E115))=UPPER(I115),I115,""))</f>
        <v>Accessories</v>
      </c>
      <c r="K115" s="1" t="str">
        <f>IF(Raw!F115="","",Raw!F115)</f>
        <v>sale</v>
      </c>
      <c r="L115" s="1" t="str">
        <f>IF(LEFT(TRIM(Raw!G115),2)="-$","-"&amp;MID(TRIM(Raw!G115),3,99),IF(LEFT(TRIM(Raw!G115),1)="$",MID(TRIM(Raw!G115),2,99),TRIM(Raw!G115)))</f>
        <v>89.90</v>
      </c>
      <c r="M115" s="1">
        <f t="shared" si="11"/>
        <v>89.9</v>
      </c>
      <c r="N115" s="10">
        <f t="shared" si="12"/>
        <v>8990</v>
      </c>
      <c r="O115" s="1" t="b">
        <f>IFERROR(IF(ISNUMBER(Raw!G115),TRUE,OR(EXACT(L115,TEXT(M115,"0.00")),EXACT(L115,TEXT(M115,"#,##0.00")))),FALSE)</f>
        <v>1</v>
      </c>
      <c r="P115" s="1" t="str">
        <f>LEN(IF(Raw!A115="","",Raw!A115))&amp;":"&amp;IF(Raw!A115="","",Raw!A115)&amp;"|"&amp;LEN(IF(Raw!B115="","",Raw!B115))&amp;":"&amp;IF(Raw!B115="","",Raw!B115)&amp;"|"&amp;LEN(IF(Raw!C115="","",Raw!C115))&amp;":"&amp;IF(Raw!C115="","",Raw!C115)&amp;"|"&amp;LEN(IF(Raw!D115="","",Raw!D115))&amp;":"&amp;IF(Raw!D115="","",Raw!D115)&amp;"|"&amp;LEN(IF(Raw!E115="","",Raw!E115))&amp;":"&amp;IF(Raw!E115="","",Raw!E115)&amp;"|"&amp;LEN(IF(Raw!F115="","",Raw!F115))&amp;":"&amp;IF(Raw!F115="","",Raw!F115)&amp;"|"&amp;LEN(IF(Raw!G115="","",Raw!G115))&amp;":"&amp;IF(Raw!G115="","",Raw!G115)</f>
        <v>6:L00109|6:T00055|10:2026-01-19|3:P-A|11:Accessories|4:sale|5:89.90</v>
      </c>
      <c r="Q115" s="1">
        <f>1</f>
        <v>1</v>
      </c>
      <c r="R115" s="1" t="b">
        <f>FALSE</f>
        <v>0</v>
      </c>
      <c r="S115" s="1">
        <f>1</f>
        <v>1</v>
      </c>
      <c r="T115" s="1" t="str">
        <f>IF(AND(Raw!A115="",Raw!B115="",Raw!C115="",Raw!D115="",Raw!E115="",Raw!F115="",Raw!G115=""),"UNUSED",IF(A115="","missing line ID",IF(B115="","missing transaction ID",IF(G115="",IF(C115="","missing date","invalid date"),IF(I115="","unknown product",IF(J115="","conflicting category",IF(NOT(OR(EXACT(K115,"sale"),EXACT(K115,"refund"))),"unknown event",IF(OR(N115="",NOT(O115)),"invalid amount",IF(OR(AND(K115="sale",N115&lt;=0),AND(K115="refund",N115&gt;=0)),"invalid sign","")))))))))</f>
        <v/>
      </c>
      <c r="U115" s="1" t="str">
        <f t="shared" si="13"/>
        <v>INCLUDED</v>
      </c>
      <c r="V115" s="1" t="str">
        <f t="shared" si="14"/>
        <v>2026-01</v>
      </c>
      <c r="W115" s="1">
        <f>IF(AND(U115="INCLUDED",X115&gt;0,EXACT(A115,'AI output'!A115)),1,0)</f>
        <v>1</v>
      </c>
      <c r="X115" s="1">
        <f>115</f>
        <v>115</v>
      </c>
      <c r="Y115" s="1">
        <f>IF(AND(U115="INCLUDED",W115=1),--(NOT(EXACT(A115,'AI output'!A115)))+--(NOT(EXACT(B115,'AI output'!B115)))+--(NOT(EXACT(TEXT(G115,"yyyy-mm-dd"),'AI output'!C115)))+--(NOT(EXACT(H115,'AI output'!D115)))+--(NOT(EXACT(J115,'AI output'!E115)))+--(NOT(EXACT(K115,'AI output'!F115)))+--(N115&lt;&gt;'AI output'!L115)+--(NOT('AI output'!M115)),0)</f>
        <v>0</v>
      </c>
      <c r="Z115" s="1">
        <f t="shared" si="15"/>
        <v>0</v>
      </c>
      <c r="AA115" s="1">
        <f>--EXACT(A115,"L00109")</f>
        <v>1</v>
      </c>
    </row>
    <row r="116" spans="1:27" ht="18.95" customHeight="1">
      <c r="A116" s="1" t="str">
        <f>IF(Raw!A116="","",Raw!A116)</f>
        <v>L00110</v>
      </c>
      <c r="B116" s="1" t="str">
        <f>IF(Raw!B116="","",Raw!B116)</f>
        <v>T00055</v>
      </c>
      <c r="C116" s="1" t="str">
        <f>IF(Raw!C116="","",Raw!C116)</f>
        <v>2026-01-19</v>
      </c>
      <c r="D116" s="1">
        <f t="shared" si="8"/>
        <v>2026</v>
      </c>
      <c r="E116" s="1">
        <f>IFERROR(IF(AND(LEN(C116)=10,MID(C116,5,1)="-",MID(C116,8,1)="-"),VALUE(MID(C116,6,2)),IF(AND(LEN(C116)=11,MID(C116,3,1)="-",MID(C116,7,1)="-"),MATCH(UPPER(MID(C116,4,3)),Guide!$D$7:$D$18,0),0)),0)</f>
        <v>1</v>
      </c>
      <c r="F116" s="1">
        <f t="shared" si="9"/>
        <v>19</v>
      </c>
      <c r="G116" s="9">
        <f t="shared" si="10"/>
        <v>46041</v>
      </c>
      <c r="H116" s="1" t="str">
        <f>IF(Raw!D116="","",Raw!D116)</f>
        <v>P-H</v>
      </c>
      <c r="I116" s="1" t="str">
        <f>IFERROR(IF(EXACT(H116,INDEX(Guide!$A$7:$A$9,MATCH(SUBSTITUTE(SUBSTITUTE(SUBSTITUTE(H116,"~","~~"),"*","~*"),"?","~?"),Guide!$A$7:$A$9,0))),INDEX(Guide!$B$7:$B$9,MATCH(SUBSTITUTE(SUBSTITUTE(SUBSTITUTE(H116,"~","~~"),"*","~*"),"?","~?"),Guide!$A$7:$A$9,0)),""),"")</f>
        <v>Home</v>
      </c>
      <c r="J116" s="1" t="str">
        <f>IF(TRIM(Raw!E116)="",I116,IF(UPPER(TRIM(Raw!E116))=UPPER(I116),I116,""))</f>
        <v>Home</v>
      </c>
      <c r="K116" s="1" t="str">
        <f>IF(Raw!F116="","",Raw!F116)</f>
        <v>sale</v>
      </c>
      <c r="L116" s="1" t="str">
        <f>IF(LEFT(TRIM(Raw!G116),2)="-$","-"&amp;MID(TRIM(Raw!G116),3,99),IF(LEFT(TRIM(Raw!G116),1)="$",MID(TRIM(Raw!G116),2,99),TRIM(Raw!G116)))</f>
        <v>181.28</v>
      </c>
      <c r="M116" s="1">
        <f t="shared" si="11"/>
        <v>181.28</v>
      </c>
      <c r="N116" s="10">
        <f t="shared" si="12"/>
        <v>18128</v>
      </c>
      <c r="O116" s="1" t="b">
        <f>IFERROR(IF(ISNUMBER(Raw!G116),TRUE,OR(EXACT(L116,TEXT(M116,"0.00")),EXACT(L116,TEXT(M116,"#,##0.00")))),FALSE)</f>
        <v>1</v>
      </c>
      <c r="P116" s="1" t="str">
        <f>LEN(IF(Raw!A116="","",Raw!A116))&amp;":"&amp;IF(Raw!A116="","",Raw!A116)&amp;"|"&amp;LEN(IF(Raw!B116="","",Raw!B116))&amp;":"&amp;IF(Raw!B116="","",Raw!B116)&amp;"|"&amp;LEN(IF(Raw!C116="","",Raw!C116))&amp;":"&amp;IF(Raw!C116="","",Raw!C116)&amp;"|"&amp;LEN(IF(Raw!D116="","",Raw!D116))&amp;":"&amp;IF(Raw!D116="","",Raw!D116)&amp;"|"&amp;LEN(IF(Raw!E116="","",Raw!E116))&amp;":"&amp;IF(Raw!E116="","",Raw!E116)&amp;"|"&amp;LEN(IF(Raw!F116="","",Raw!F116))&amp;":"&amp;IF(Raw!F116="","",Raw!F116)&amp;"|"&amp;LEN(IF(Raw!G116="","",Raw!G116))&amp;":"&amp;IF(Raw!G116="","",Raw!G116)</f>
        <v>6:L00110|6:T00055|10:2026-01-19|3:P-H|4:Home|4:sale|6:181.28</v>
      </c>
      <c r="Q116" s="1">
        <f>1</f>
        <v>1</v>
      </c>
      <c r="R116" s="1" t="b">
        <f>FALSE</f>
        <v>0</v>
      </c>
      <c r="S116" s="1">
        <f>1</f>
        <v>1</v>
      </c>
      <c r="T116" s="1" t="str">
        <f>IF(AND(Raw!A116="",Raw!B116="",Raw!C116="",Raw!D116="",Raw!E116="",Raw!F116="",Raw!G116=""),"UNUSED",IF(A116="","missing line ID",IF(B116="","missing transaction ID",IF(G116="",IF(C116="","missing date","invalid date"),IF(I116="","unknown product",IF(J116="","conflicting category",IF(NOT(OR(EXACT(K116,"sale"),EXACT(K116,"refund"))),"unknown event",IF(OR(N116="",NOT(O116)),"invalid amount",IF(OR(AND(K116="sale",N116&lt;=0),AND(K116="refund",N116&gt;=0)),"invalid sign","")))))))))</f>
        <v/>
      </c>
      <c r="U116" s="1" t="str">
        <f t="shared" si="13"/>
        <v>INCLUDED</v>
      </c>
      <c r="V116" s="1" t="str">
        <f t="shared" si="14"/>
        <v>2026-01</v>
      </c>
      <c r="W116" s="1">
        <f>IF(AND(U116="INCLUDED",X116&gt;0,EXACT(A116,'AI output'!A116)),1,0)</f>
        <v>1</v>
      </c>
      <c r="X116" s="1">
        <f>116</f>
        <v>116</v>
      </c>
      <c r="Y116" s="1">
        <f>IF(AND(U116="INCLUDED",W116=1),--(NOT(EXACT(A116,'AI output'!A116)))+--(NOT(EXACT(B116,'AI output'!B116)))+--(NOT(EXACT(TEXT(G116,"yyyy-mm-dd"),'AI output'!C116)))+--(NOT(EXACT(H116,'AI output'!D116)))+--(NOT(EXACT(J116,'AI output'!E116)))+--(NOT(EXACT(K116,'AI output'!F116)))+--(N116&lt;&gt;'AI output'!L116)+--(NOT('AI output'!M116)),0)</f>
        <v>0</v>
      </c>
      <c r="Z116" s="1">
        <f t="shared" si="15"/>
        <v>0</v>
      </c>
      <c r="AA116" s="1">
        <f>--EXACT(A116,"L00110")</f>
        <v>1</v>
      </c>
    </row>
    <row r="117" spans="1:27" ht="18.95" customHeight="1">
      <c r="A117" s="1" t="str">
        <f>IF(Raw!A117="","",Raw!A117)</f>
        <v>L00111</v>
      </c>
      <c r="B117" s="1" t="str">
        <f>IF(Raw!B117="","",Raw!B117)</f>
        <v>T00056</v>
      </c>
      <c r="C117" s="1" t="str">
        <f>IF(Raw!C117="","",Raw!C117)</f>
        <v>2026-01-26</v>
      </c>
      <c r="D117" s="1">
        <f t="shared" si="8"/>
        <v>2026</v>
      </c>
      <c r="E117" s="1">
        <f>IFERROR(IF(AND(LEN(C117)=10,MID(C117,5,1)="-",MID(C117,8,1)="-"),VALUE(MID(C117,6,2)),IF(AND(LEN(C117)=11,MID(C117,3,1)="-",MID(C117,7,1)="-"),MATCH(UPPER(MID(C117,4,3)),Guide!$D$7:$D$18,0),0)),0)</f>
        <v>1</v>
      </c>
      <c r="F117" s="1">
        <f t="shared" si="9"/>
        <v>26</v>
      </c>
      <c r="G117" s="9">
        <f t="shared" si="10"/>
        <v>46048</v>
      </c>
      <c r="H117" s="1" t="str">
        <f>IF(Raw!D117="","",Raw!D117)</f>
        <v>P-O</v>
      </c>
      <c r="I117" s="1" t="str">
        <f>IFERROR(IF(EXACT(H117,INDEX(Guide!$A$7:$A$9,MATCH(SUBSTITUTE(SUBSTITUTE(SUBSTITUTE(H117,"~","~~"),"*","~*"),"?","~?"),Guide!$A$7:$A$9,0))),INDEX(Guide!$B$7:$B$9,MATCH(SUBSTITUTE(SUBSTITUTE(SUBSTITUTE(H117,"~","~~"),"*","~*"),"?","~?"),Guide!$A$7:$A$9,0)),""),"")</f>
        <v>Office</v>
      </c>
      <c r="J117" s="1" t="str">
        <f>IF(TRIM(Raw!E117)="",I117,IF(UPPER(TRIM(Raw!E117))=UPPER(I117),I117,""))</f>
        <v>Office</v>
      </c>
      <c r="K117" s="1" t="str">
        <f>IF(Raw!F117="","",Raw!F117)</f>
        <v>sale</v>
      </c>
      <c r="L117" s="1" t="str">
        <f>IF(LEFT(TRIM(Raw!G117),2)="-$","-"&amp;MID(TRIM(Raw!G117),3,99),IF(LEFT(TRIM(Raw!G117),1)="$",MID(TRIM(Raw!G117),2,99),TRIM(Raw!G117)))</f>
        <v>45.69</v>
      </c>
      <c r="M117" s="1">
        <f t="shared" si="11"/>
        <v>45.69</v>
      </c>
      <c r="N117" s="10">
        <f t="shared" si="12"/>
        <v>4569</v>
      </c>
      <c r="O117" s="1" t="b">
        <f>IFERROR(IF(ISNUMBER(Raw!G117),TRUE,OR(EXACT(L117,TEXT(M117,"0.00")),EXACT(L117,TEXT(M117,"#,##0.00")))),FALSE)</f>
        <v>1</v>
      </c>
      <c r="P117" s="1" t="str">
        <f>LEN(IF(Raw!A117="","",Raw!A117))&amp;":"&amp;IF(Raw!A117="","",Raw!A117)&amp;"|"&amp;LEN(IF(Raw!B117="","",Raw!B117))&amp;":"&amp;IF(Raw!B117="","",Raw!B117)&amp;"|"&amp;LEN(IF(Raw!C117="","",Raw!C117))&amp;":"&amp;IF(Raw!C117="","",Raw!C117)&amp;"|"&amp;LEN(IF(Raw!D117="","",Raw!D117))&amp;":"&amp;IF(Raw!D117="","",Raw!D117)&amp;"|"&amp;LEN(IF(Raw!E117="","",Raw!E117))&amp;":"&amp;IF(Raw!E117="","",Raw!E117)&amp;"|"&amp;LEN(IF(Raw!F117="","",Raw!F117))&amp;":"&amp;IF(Raw!F117="","",Raw!F117)&amp;"|"&amp;LEN(IF(Raw!G117="","",Raw!G117))&amp;":"&amp;IF(Raw!G117="","",Raw!G117)</f>
        <v>6:L00111|6:T00056|10:2026-01-26|3:P-O|6:Office|4:sale|5:45.69</v>
      </c>
      <c r="Q117" s="1">
        <f>1</f>
        <v>1</v>
      </c>
      <c r="R117" s="1" t="b">
        <f>FALSE</f>
        <v>0</v>
      </c>
      <c r="S117" s="1">
        <f>1</f>
        <v>1</v>
      </c>
      <c r="T117" s="1" t="str">
        <f>IF(AND(Raw!A117="",Raw!B117="",Raw!C117="",Raw!D117="",Raw!E117="",Raw!F117="",Raw!G117=""),"UNUSED",IF(A117="","missing line ID",IF(B117="","missing transaction ID",IF(G117="",IF(C117="","missing date","invalid date"),IF(I117="","unknown product",IF(J117="","conflicting category",IF(NOT(OR(EXACT(K117,"sale"),EXACT(K117,"refund"))),"unknown event",IF(OR(N117="",NOT(O117)),"invalid amount",IF(OR(AND(K117="sale",N117&lt;=0),AND(K117="refund",N117&gt;=0)),"invalid sign","")))))))))</f>
        <v/>
      </c>
      <c r="U117" s="1" t="str">
        <f t="shared" si="13"/>
        <v>INCLUDED</v>
      </c>
      <c r="V117" s="1" t="str">
        <f t="shared" si="14"/>
        <v>2026-01</v>
      </c>
      <c r="W117" s="1">
        <f>IF(AND(U117="INCLUDED",X117&gt;0,EXACT(A117,'AI output'!A117)),1,0)</f>
        <v>1</v>
      </c>
      <c r="X117" s="1">
        <f>117</f>
        <v>117</v>
      </c>
      <c r="Y117" s="1">
        <f>IF(AND(U117="INCLUDED",W117=1),--(NOT(EXACT(A117,'AI output'!A117)))+--(NOT(EXACT(B117,'AI output'!B117)))+--(NOT(EXACT(TEXT(G117,"yyyy-mm-dd"),'AI output'!C117)))+--(NOT(EXACT(H117,'AI output'!D117)))+--(NOT(EXACT(J117,'AI output'!E117)))+--(NOT(EXACT(K117,'AI output'!F117)))+--(N117&lt;&gt;'AI output'!L117)+--(NOT('AI output'!M117)),0)</f>
        <v>0</v>
      </c>
      <c r="Z117" s="1">
        <f t="shared" si="15"/>
        <v>0</v>
      </c>
      <c r="AA117" s="1">
        <f>--EXACT(A117,"L00111")</f>
        <v>1</v>
      </c>
    </row>
    <row r="118" spans="1:27" ht="18.95" customHeight="1">
      <c r="A118" s="1" t="str">
        <f>IF(Raw!A118="","",Raw!A118)</f>
        <v>L00112</v>
      </c>
      <c r="B118" s="1" t="str">
        <f>IF(Raw!B118="","",Raw!B118)</f>
        <v>T00056</v>
      </c>
      <c r="C118" s="1" t="str">
        <f>IF(Raw!C118="","",Raw!C118)</f>
        <v>2026-01-26</v>
      </c>
      <c r="D118" s="1">
        <f t="shared" si="8"/>
        <v>2026</v>
      </c>
      <c r="E118" s="1">
        <f>IFERROR(IF(AND(LEN(C118)=10,MID(C118,5,1)="-",MID(C118,8,1)="-"),VALUE(MID(C118,6,2)),IF(AND(LEN(C118)=11,MID(C118,3,1)="-",MID(C118,7,1)="-"),MATCH(UPPER(MID(C118,4,3)),Guide!$D$7:$D$18,0),0)),0)</f>
        <v>1</v>
      </c>
      <c r="F118" s="1">
        <f t="shared" si="9"/>
        <v>26</v>
      </c>
      <c r="G118" s="9">
        <f t="shared" si="10"/>
        <v>46048</v>
      </c>
      <c r="H118" s="1" t="str">
        <f>IF(Raw!D118="","",Raw!D118)</f>
        <v>P-A</v>
      </c>
      <c r="I118" s="1" t="str">
        <f>IFERROR(IF(EXACT(H118,INDEX(Guide!$A$7:$A$9,MATCH(SUBSTITUTE(SUBSTITUTE(SUBSTITUTE(H118,"~","~~"),"*","~*"),"?","~?"),Guide!$A$7:$A$9,0))),INDEX(Guide!$B$7:$B$9,MATCH(SUBSTITUTE(SUBSTITUTE(SUBSTITUTE(H118,"~","~~"),"*","~*"),"?","~?"),Guide!$A$7:$A$9,0)),""),"")</f>
        <v>Accessories</v>
      </c>
      <c r="J118" s="1" t="str">
        <f>IF(TRIM(Raw!E118)="",I118,IF(UPPER(TRIM(Raw!E118))=UPPER(I118),I118,""))</f>
        <v>Accessories</v>
      </c>
      <c r="K118" s="1" t="str">
        <f>IF(Raw!F118="","",Raw!F118)</f>
        <v>sale</v>
      </c>
      <c r="L118" s="1" t="str">
        <f>IF(LEFT(TRIM(Raw!G118),2)="-$","-"&amp;MID(TRIM(Raw!G118),3,99),IF(LEFT(TRIM(Raw!G118),1)="$",MID(TRIM(Raw!G118),2,99),TRIM(Raw!G118)))</f>
        <v>138.18</v>
      </c>
      <c r="M118" s="1">
        <f t="shared" si="11"/>
        <v>138.18</v>
      </c>
      <c r="N118" s="10">
        <f t="shared" si="12"/>
        <v>13818</v>
      </c>
      <c r="O118" s="1" t="b">
        <f>IFERROR(IF(ISNUMBER(Raw!G118),TRUE,OR(EXACT(L118,TEXT(M118,"0.00")),EXACT(L118,TEXT(M118,"#,##0.00")))),FALSE)</f>
        <v>1</v>
      </c>
      <c r="P118" s="1" t="str">
        <f>LEN(IF(Raw!A118="","",Raw!A118))&amp;":"&amp;IF(Raw!A118="","",Raw!A118)&amp;"|"&amp;LEN(IF(Raw!B118="","",Raw!B118))&amp;":"&amp;IF(Raw!B118="","",Raw!B118)&amp;"|"&amp;LEN(IF(Raw!C118="","",Raw!C118))&amp;":"&amp;IF(Raw!C118="","",Raw!C118)&amp;"|"&amp;LEN(IF(Raw!D118="","",Raw!D118))&amp;":"&amp;IF(Raw!D118="","",Raw!D118)&amp;"|"&amp;LEN(IF(Raw!E118="","",Raw!E118))&amp;":"&amp;IF(Raw!E118="","",Raw!E118)&amp;"|"&amp;LEN(IF(Raw!F118="","",Raw!F118))&amp;":"&amp;IF(Raw!F118="","",Raw!F118)&amp;"|"&amp;LEN(IF(Raw!G118="","",Raw!G118))&amp;":"&amp;IF(Raw!G118="","",Raw!G118)</f>
        <v>6:L00112|6:T00056|10:2026-01-26|3:P-A|11:Accessories|4:sale|6:138.18</v>
      </c>
      <c r="Q118" s="1">
        <f>1</f>
        <v>1</v>
      </c>
      <c r="R118" s="1" t="b">
        <f>FALSE</f>
        <v>0</v>
      </c>
      <c r="S118" s="1">
        <f>1</f>
        <v>1</v>
      </c>
      <c r="T118" s="1" t="str">
        <f>IF(AND(Raw!A118="",Raw!B118="",Raw!C118="",Raw!D118="",Raw!E118="",Raw!F118="",Raw!G118=""),"UNUSED",IF(A118="","missing line ID",IF(B118="","missing transaction ID",IF(G118="",IF(C118="","missing date","invalid date"),IF(I118="","unknown product",IF(J118="","conflicting category",IF(NOT(OR(EXACT(K118,"sale"),EXACT(K118,"refund"))),"unknown event",IF(OR(N118="",NOT(O118)),"invalid amount",IF(OR(AND(K118="sale",N118&lt;=0),AND(K118="refund",N118&gt;=0)),"invalid sign","")))))))))</f>
        <v/>
      </c>
      <c r="U118" s="1" t="str">
        <f t="shared" si="13"/>
        <v>INCLUDED</v>
      </c>
      <c r="V118" s="1" t="str">
        <f t="shared" si="14"/>
        <v>2026-01</v>
      </c>
      <c r="W118" s="1">
        <f>IF(AND(U118="INCLUDED",X118&gt;0,EXACT(A118,'AI output'!A118)),1,0)</f>
        <v>1</v>
      </c>
      <c r="X118" s="1">
        <f>118</f>
        <v>118</v>
      </c>
      <c r="Y118" s="1">
        <f>IF(AND(U118="INCLUDED",W118=1),--(NOT(EXACT(A118,'AI output'!A118)))+--(NOT(EXACT(B118,'AI output'!B118)))+--(NOT(EXACT(TEXT(G118,"yyyy-mm-dd"),'AI output'!C118)))+--(NOT(EXACT(H118,'AI output'!D118)))+--(NOT(EXACT(J118,'AI output'!E118)))+--(NOT(EXACT(K118,'AI output'!F118)))+--(N118&lt;&gt;'AI output'!L118)+--(NOT('AI output'!M118)),0)</f>
        <v>0</v>
      </c>
      <c r="Z118" s="1">
        <f t="shared" si="15"/>
        <v>0</v>
      </c>
      <c r="AA118" s="1">
        <f>--EXACT(A118,"L00112")</f>
        <v>1</v>
      </c>
    </row>
    <row r="119" spans="1:27" ht="18.95" customHeight="1">
      <c r="A119" s="1" t="str">
        <f>IF(Raw!A119="","",Raw!A119)</f>
        <v>L00113</v>
      </c>
      <c r="B119" s="1" t="str">
        <f>IF(Raw!B119="","",Raw!B119)</f>
        <v>T00057</v>
      </c>
      <c r="C119" s="1" t="str">
        <f>IF(Raw!C119="","",Raw!C119)</f>
        <v>2026-02-02</v>
      </c>
      <c r="D119" s="1">
        <f t="shared" si="8"/>
        <v>2026</v>
      </c>
      <c r="E119" s="1">
        <f>IFERROR(IF(AND(LEN(C119)=10,MID(C119,5,1)="-",MID(C119,8,1)="-"),VALUE(MID(C119,6,2)),IF(AND(LEN(C119)=11,MID(C119,3,1)="-",MID(C119,7,1)="-"),MATCH(UPPER(MID(C119,4,3)),Guide!$D$7:$D$18,0),0)),0)</f>
        <v>2</v>
      </c>
      <c r="F119" s="1">
        <f t="shared" si="9"/>
        <v>2</v>
      </c>
      <c r="G119" s="9">
        <f t="shared" si="10"/>
        <v>46055</v>
      </c>
      <c r="H119" s="1" t="str">
        <f>IF(Raw!D119="","",Raw!D119)</f>
        <v>P-H</v>
      </c>
      <c r="I119" s="1" t="str">
        <f>IFERROR(IF(EXACT(H119,INDEX(Guide!$A$7:$A$9,MATCH(SUBSTITUTE(SUBSTITUTE(SUBSTITUTE(H119,"~","~~"),"*","~*"),"?","~?"),Guide!$A$7:$A$9,0))),INDEX(Guide!$B$7:$B$9,MATCH(SUBSTITUTE(SUBSTITUTE(SUBSTITUTE(H119,"~","~~"),"*","~*"),"?","~?"),Guide!$A$7:$A$9,0)),""),"")</f>
        <v>Home</v>
      </c>
      <c r="J119" s="1" t="str">
        <f>IF(TRIM(Raw!E119)="",I119,IF(UPPER(TRIM(Raw!E119))=UPPER(I119),I119,""))</f>
        <v>Home</v>
      </c>
      <c r="K119" s="1" t="str">
        <f>IF(Raw!F119="","",Raw!F119)</f>
        <v>sale</v>
      </c>
      <c r="L119" s="1" t="str">
        <f>IF(LEFT(TRIM(Raw!G119),2)="-$","-"&amp;MID(TRIM(Raw!G119),3,99),IF(LEFT(TRIM(Raw!G119),1)="$",MID(TRIM(Raw!G119),2,99),TRIM(Raw!G119)))</f>
        <v>232.15</v>
      </c>
      <c r="M119" s="1">
        <f t="shared" si="11"/>
        <v>232.15</v>
      </c>
      <c r="N119" s="10">
        <f t="shared" si="12"/>
        <v>23215</v>
      </c>
      <c r="O119" s="1" t="b">
        <f>IFERROR(IF(ISNUMBER(Raw!G119),TRUE,OR(EXACT(L119,TEXT(M119,"0.00")),EXACT(L119,TEXT(M119,"#,##0.00")))),FALSE)</f>
        <v>1</v>
      </c>
      <c r="P119" s="1" t="str">
        <f>LEN(IF(Raw!A119="","",Raw!A119))&amp;":"&amp;IF(Raw!A119="","",Raw!A119)&amp;"|"&amp;LEN(IF(Raw!B119="","",Raw!B119))&amp;":"&amp;IF(Raw!B119="","",Raw!B119)&amp;"|"&amp;LEN(IF(Raw!C119="","",Raw!C119))&amp;":"&amp;IF(Raw!C119="","",Raw!C119)&amp;"|"&amp;LEN(IF(Raw!D119="","",Raw!D119))&amp;":"&amp;IF(Raw!D119="","",Raw!D119)&amp;"|"&amp;LEN(IF(Raw!E119="","",Raw!E119))&amp;":"&amp;IF(Raw!E119="","",Raw!E119)&amp;"|"&amp;LEN(IF(Raw!F119="","",Raw!F119))&amp;":"&amp;IF(Raw!F119="","",Raw!F119)&amp;"|"&amp;LEN(IF(Raw!G119="","",Raw!G119))&amp;":"&amp;IF(Raw!G119="","",Raw!G119)</f>
        <v>6:L00113|6:T00057|10:2026-02-02|3:P-H|4:Home|4:sale|6:232.15</v>
      </c>
      <c r="Q119" s="1">
        <f>1</f>
        <v>1</v>
      </c>
      <c r="R119" s="1" t="b">
        <f>FALSE</f>
        <v>0</v>
      </c>
      <c r="S119" s="1">
        <f>1</f>
        <v>1</v>
      </c>
      <c r="T119" s="1" t="str">
        <f>IF(AND(Raw!A119="",Raw!B119="",Raw!C119="",Raw!D119="",Raw!E119="",Raw!F119="",Raw!G119=""),"UNUSED",IF(A119="","missing line ID",IF(B119="","missing transaction ID",IF(G119="",IF(C119="","missing date","invalid date"),IF(I119="","unknown product",IF(J119="","conflicting category",IF(NOT(OR(EXACT(K119,"sale"),EXACT(K119,"refund"))),"unknown event",IF(OR(N119="",NOT(O119)),"invalid amount",IF(OR(AND(K119="sale",N119&lt;=0),AND(K119="refund",N119&gt;=0)),"invalid sign","")))))))))</f>
        <v/>
      </c>
      <c r="U119" s="1" t="str">
        <f t="shared" si="13"/>
        <v>INCLUDED</v>
      </c>
      <c r="V119" s="1" t="str">
        <f t="shared" si="14"/>
        <v>2026-02</v>
      </c>
      <c r="W119" s="1">
        <f>IF(AND(U119="INCLUDED",X119&gt;0,EXACT(A119,'AI output'!A119)),1,0)</f>
        <v>1</v>
      </c>
      <c r="X119" s="1">
        <f>119</f>
        <v>119</v>
      </c>
      <c r="Y119" s="1">
        <f>IF(AND(U119="INCLUDED",W119=1),--(NOT(EXACT(A119,'AI output'!A119)))+--(NOT(EXACT(B119,'AI output'!B119)))+--(NOT(EXACT(TEXT(G119,"yyyy-mm-dd"),'AI output'!C119)))+--(NOT(EXACT(H119,'AI output'!D119)))+--(NOT(EXACT(J119,'AI output'!E119)))+--(NOT(EXACT(K119,'AI output'!F119)))+--(N119&lt;&gt;'AI output'!L119)+--(NOT('AI output'!M119)),0)</f>
        <v>0</v>
      </c>
      <c r="Z119" s="1">
        <f t="shared" si="15"/>
        <v>0</v>
      </c>
      <c r="AA119" s="1">
        <f>--EXACT(A119,"L00113")</f>
        <v>1</v>
      </c>
    </row>
    <row r="120" spans="1:27" ht="18.95" customHeight="1">
      <c r="A120" s="1" t="str">
        <f>IF(Raw!A120="","",Raw!A120)</f>
        <v>L00114</v>
      </c>
      <c r="B120" s="1" t="str">
        <f>IF(Raw!B120="","",Raw!B120)</f>
        <v>T00057</v>
      </c>
      <c r="C120" s="1" t="str">
        <f>IF(Raw!C120="","",Raw!C120)</f>
        <v>2026-02-02</v>
      </c>
      <c r="D120" s="1">
        <f t="shared" si="8"/>
        <v>2026</v>
      </c>
      <c r="E120" s="1">
        <f>IFERROR(IF(AND(LEN(C120)=10,MID(C120,5,1)="-",MID(C120,8,1)="-"),VALUE(MID(C120,6,2)),IF(AND(LEN(C120)=11,MID(C120,3,1)="-",MID(C120,7,1)="-"),MATCH(UPPER(MID(C120,4,3)),Guide!$D$7:$D$18,0),0)),0)</f>
        <v>2</v>
      </c>
      <c r="F120" s="1">
        <f t="shared" si="9"/>
        <v>2</v>
      </c>
      <c r="G120" s="9">
        <f t="shared" si="10"/>
        <v>46055</v>
      </c>
      <c r="H120" s="1" t="str">
        <f>IF(Raw!D120="","",Raw!D120)</f>
        <v>P-O</v>
      </c>
      <c r="I120" s="1" t="str">
        <f>IFERROR(IF(EXACT(H120,INDEX(Guide!$A$7:$A$9,MATCH(SUBSTITUTE(SUBSTITUTE(SUBSTITUTE(H120,"~","~~"),"*","~*"),"?","~?"),Guide!$A$7:$A$9,0))),INDEX(Guide!$B$7:$B$9,MATCH(SUBSTITUTE(SUBSTITUTE(SUBSTITUTE(H120,"~","~~"),"*","~*"),"?","~?"),Guide!$A$7:$A$9,0)),""),"")</f>
        <v>Office</v>
      </c>
      <c r="J120" s="1" t="str">
        <f>IF(TRIM(Raw!E120)="",I120,IF(UPPER(TRIM(Raw!E120))=UPPER(I120),I120,""))</f>
        <v>Office</v>
      </c>
      <c r="K120" s="1" t="str">
        <f>IF(Raw!F120="","",Raw!F120)</f>
        <v>sale</v>
      </c>
      <c r="L120" s="1" t="str">
        <f>IF(LEFT(TRIM(Raw!G120),2)="-$","-"&amp;MID(TRIM(Raw!G120),3,99),IF(LEFT(TRIM(Raw!G120),1)="$",MID(TRIM(Raw!G120),2,99),TRIM(Raw!G120)))</f>
        <v>93.60</v>
      </c>
      <c r="M120" s="1">
        <f t="shared" si="11"/>
        <v>93.6</v>
      </c>
      <c r="N120" s="10">
        <f t="shared" si="12"/>
        <v>9360</v>
      </c>
      <c r="O120" s="1" t="b">
        <f>IFERROR(IF(ISNUMBER(Raw!G120),TRUE,OR(EXACT(L120,TEXT(M120,"0.00")),EXACT(L120,TEXT(M120,"#,##0.00")))),FALSE)</f>
        <v>1</v>
      </c>
      <c r="P120" s="1" t="str">
        <f>LEN(IF(Raw!A120="","",Raw!A120))&amp;":"&amp;IF(Raw!A120="","",Raw!A120)&amp;"|"&amp;LEN(IF(Raw!B120="","",Raw!B120))&amp;":"&amp;IF(Raw!B120="","",Raw!B120)&amp;"|"&amp;LEN(IF(Raw!C120="","",Raw!C120))&amp;":"&amp;IF(Raw!C120="","",Raw!C120)&amp;"|"&amp;LEN(IF(Raw!D120="","",Raw!D120))&amp;":"&amp;IF(Raw!D120="","",Raw!D120)&amp;"|"&amp;LEN(IF(Raw!E120="","",Raw!E120))&amp;":"&amp;IF(Raw!E120="","",Raw!E120)&amp;"|"&amp;LEN(IF(Raw!F120="","",Raw!F120))&amp;":"&amp;IF(Raw!F120="","",Raw!F120)&amp;"|"&amp;LEN(IF(Raw!G120="","",Raw!G120))&amp;":"&amp;IF(Raw!G120="","",Raw!G120)</f>
        <v>6:L00114|6:T00057|10:2026-02-02|3:P-O|6:Office|4:sale|5:93.60</v>
      </c>
      <c r="Q120" s="1">
        <f>1</f>
        <v>1</v>
      </c>
      <c r="R120" s="1" t="b">
        <f>FALSE</f>
        <v>0</v>
      </c>
      <c r="S120" s="1">
        <f>1</f>
        <v>1</v>
      </c>
      <c r="T120" s="1" t="str">
        <f>IF(AND(Raw!A120="",Raw!B120="",Raw!C120="",Raw!D120="",Raw!E120="",Raw!F120="",Raw!G120=""),"UNUSED",IF(A120="","missing line ID",IF(B120="","missing transaction ID",IF(G120="",IF(C120="","missing date","invalid date"),IF(I120="","unknown product",IF(J120="","conflicting category",IF(NOT(OR(EXACT(K120,"sale"),EXACT(K120,"refund"))),"unknown event",IF(OR(N120="",NOT(O120)),"invalid amount",IF(OR(AND(K120="sale",N120&lt;=0),AND(K120="refund",N120&gt;=0)),"invalid sign","")))))))))</f>
        <v/>
      </c>
      <c r="U120" s="1" t="str">
        <f t="shared" si="13"/>
        <v>INCLUDED</v>
      </c>
      <c r="V120" s="1" t="str">
        <f t="shared" si="14"/>
        <v>2026-02</v>
      </c>
      <c r="W120" s="1">
        <f>IF(AND(U120="INCLUDED",X120&gt;0,EXACT(A120,'AI output'!A120)),1,0)</f>
        <v>1</v>
      </c>
      <c r="X120" s="1">
        <f>120</f>
        <v>120</v>
      </c>
      <c r="Y120" s="1">
        <f>IF(AND(U120="INCLUDED",W120=1),--(NOT(EXACT(A120,'AI output'!A120)))+--(NOT(EXACT(B120,'AI output'!B120)))+--(NOT(EXACT(TEXT(G120,"yyyy-mm-dd"),'AI output'!C120)))+--(NOT(EXACT(H120,'AI output'!D120)))+--(NOT(EXACT(J120,'AI output'!E120)))+--(NOT(EXACT(K120,'AI output'!F120)))+--(N120&lt;&gt;'AI output'!L120)+--(NOT('AI output'!M120)),0)</f>
        <v>0</v>
      </c>
      <c r="Z120" s="1">
        <f t="shared" si="15"/>
        <v>0</v>
      </c>
      <c r="AA120" s="1">
        <f>--EXACT(A120,"L00114")</f>
        <v>1</v>
      </c>
    </row>
    <row r="121" spans="1:27" ht="18.95" customHeight="1">
      <c r="A121" s="1" t="str">
        <f>IF(Raw!A121="","",Raw!A121)</f>
        <v>L00115</v>
      </c>
      <c r="B121" s="1" t="str">
        <f>IF(Raw!B121="","",Raw!B121)</f>
        <v>T00058</v>
      </c>
      <c r="C121" s="1" t="str">
        <f>IF(Raw!C121="","",Raw!C121)</f>
        <v>2026-02-09</v>
      </c>
      <c r="D121" s="1">
        <f t="shared" si="8"/>
        <v>2026</v>
      </c>
      <c r="E121" s="1">
        <f>IFERROR(IF(AND(LEN(C121)=10,MID(C121,5,1)="-",MID(C121,8,1)="-"),VALUE(MID(C121,6,2)),IF(AND(LEN(C121)=11,MID(C121,3,1)="-",MID(C121,7,1)="-"),MATCH(UPPER(MID(C121,4,3)),Guide!$D$7:$D$18,0),0)),0)</f>
        <v>2</v>
      </c>
      <c r="F121" s="1">
        <f t="shared" si="9"/>
        <v>9</v>
      </c>
      <c r="G121" s="9">
        <f t="shared" si="10"/>
        <v>46062</v>
      </c>
      <c r="H121" s="1" t="str">
        <f>IF(Raw!D121="","",Raw!D121)</f>
        <v>P-A</v>
      </c>
      <c r="I121" s="1" t="str">
        <f>IFERROR(IF(EXACT(H121,INDEX(Guide!$A$7:$A$9,MATCH(SUBSTITUTE(SUBSTITUTE(SUBSTITUTE(H121,"~","~~"),"*","~*"),"?","~?"),Guide!$A$7:$A$9,0))),INDEX(Guide!$B$7:$B$9,MATCH(SUBSTITUTE(SUBSTITUTE(SUBSTITUTE(H121,"~","~~"),"*","~*"),"?","~?"),Guide!$A$7:$A$9,0)),""),"")</f>
        <v>Accessories</v>
      </c>
      <c r="J121" s="1" t="str">
        <f>IF(TRIM(Raw!E121)="",I121,IF(UPPER(TRIM(Raw!E121))=UPPER(I121),I121,""))</f>
        <v>Accessories</v>
      </c>
      <c r="K121" s="1" t="str">
        <f>IF(Raw!F121="","",Raw!F121)</f>
        <v>sale</v>
      </c>
      <c r="L121" s="1" t="str">
        <f>IF(LEFT(TRIM(Raw!G121),2)="-$","-"&amp;MID(TRIM(Raw!G121),3,99),IF(LEFT(TRIM(Raw!G121),1)="$",MID(TRIM(Raw!G121),2,99),TRIM(Raw!G121)))</f>
        <v>188.68</v>
      </c>
      <c r="M121" s="1">
        <f t="shared" si="11"/>
        <v>188.68</v>
      </c>
      <c r="N121" s="10">
        <f t="shared" si="12"/>
        <v>18868</v>
      </c>
      <c r="O121" s="1" t="b">
        <f>IFERROR(IF(ISNUMBER(Raw!G121),TRUE,OR(EXACT(L121,TEXT(M121,"0.00")),EXACT(L121,TEXT(M121,"#,##0.00")))),FALSE)</f>
        <v>1</v>
      </c>
      <c r="P121" s="1" t="str">
        <f>LEN(IF(Raw!A121="","",Raw!A121))&amp;":"&amp;IF(Raw!A121="","",Raw!A121)&amp;"|"&amp;LEN(IF(Raw!B121="","",Raw!B121))&amp;":"&amp;IF(Raw!B121="","",Raw!B121)&amp;"|"&amp;LEN(IF(Raw!C121="","",Raw!C121))&amp;":"&amp;IF(Raw!C121="","",Raw!C121)&amp;"|"&amp;LEN(IF(Raw!D121="","",Raw!D121))&amp;":"&amp;IF(Raw!D121="","",Raw!D121)&amp;"|"&amp;LEN(IF(Raw!E121="","",Raw!E121))&amp;":"&amp;IF(Raw!E121="","",Raw!E121)&amp;"|"&amp;LEN(IF(Raw!F121="","",Raw!F121))&amp;":"&amp;IF(Raw!F121="","",Raw!F121)&amp;"|"&amp;LEN(IF(Raw!G121="","",Raw!G121))&amp;":"&amp;IF(Raw!G121="","",Raw!G121)</f>
        <v>6:L00115|6:T00058|10:2026-02-09|3:P-A|11:Accessories|4:sale|6:188.68</v>
      </c>
      <c r="Q121" s="1">
        <f>1</f>
        <v>1</v>
      </c>
      <c r="R121" s="1" t="b">
        <f>FALSE</f>
        <v>0</v>
      </c>
      <c r="S121" s="1">
        <f>1</f>
        <v>1</v>
      </c>
      <c r="T121" s="1" t="str">
        <f>IF(AND(Raw!A121="",Raw!B121="",Raw!C121="",Raw!D121="",Raw!E121="",Raw!F121="",Raw!G121=""),"UNUSED",IF(A121="","missing line ID",IF(B121="","missing transaction ID",IF(G121="",IF(C121="","missing date","invalid date"),IF(I121="","unknown product",IF(J121="","conflicting category",IF(NOT(OR(EXACT(K121,"sale"),EXACT(K121,"refund"))),"unknown event",IF(OR(N121="",NOT(O121)),"invalid amount",IF(OR(AND(K121="sale",N121&lt;=0),AND(K121="refund",N121&gt;=0)),"invalid sign","")))))))))</f>
        <v/>
      </c>
      <c r="U121" s="1" t="str">
        <f t="shared" si="13"/>
        <v>INCLUDED</v>
      </c>
      <c r="V121" s="1" t="str">
        <f t="shared" si="14"/>
        <v>2026-02</v>
      </c>
      <c r="W121" s="1">
        <f>IF(AND(U121="INCLUDED",X121&gt;0,EXACT(A121,'AI output'!A121)),1,0)</f>
        <v>1</v>
      </c>
      <c r="X121" s="1">
        <f>121</f>
        <v>121</v>
      </c>
      <c r="Y121" s="1">
        <f>IF(AND(U121="INCLUDED",W121=1),--(NOT(EXACT(A121,'AI output'!A121)))+--(NOT(EXACT(B121,'AI output'!B121)))+--(NOT(EXACT(TEXT(G121,"yyyy-mm-dd"),'AI output'!C121)))+--(NOT(EXACT(H121,'AI output'!D121)))+--(NOT(EXACT(J121,'AI output'!E121)))+--(NOT(EXACT(K121,'AI output'!F121)))+--(N121&lt;&gt;'AI output'!L121)+--(NOT('AI output'!M121)),0)</f>
        <v>0</v>
      </c>
      <c r="Z121" s="1">
        <f t="shared" si="15"/>
        <v>0</v>
      </c>
      <c r="AA121" s="1">
        <f>--EXACT(A121,"L00115")</f>
        <v>1</v>
      </c>
    </row>
    <row r="122" spans="1:27" ht="18.95" customHeight="1">
      <c r="A122" s="1" t="str">
        <f>IF(Raw!A122="","",Raw!A122)</f>
        <v>L00116</v>
      </c>
      <c r="B122" s="1" t="str">
        <f>IF(Raw!B122="","",Raw!B122)</f>
        <v>T00058</v>
      </c>
      <c r="C122" s="1" t="str">
        <f>IF(Raw!C122="","",Raw!C122)</f>
        <v>2026-02-09</v>
      </c>
      <c r="D122" s="1">
        <f t="shared" si="8"/>
        <v>2026</v>
      </c>
      <c r="E122" s="1">
        <f>IFERROR(IF(AND(LEN(C122)=10,MID(C122,5,1)="-",MID(C122,8,1)="-"),VALUE(MID(C122,6,2)),IF(AND(LEN(C122)=11,MID(C122,3,1)="-",MID(C122,7,1)="-"),MATCH(UPPER(MID(C122,4,3)),Guide!$D$7:$D$18,0),0)),0)</f>
        <v>2</v>
      </c>
      <c r="F122" s="1">
        <f t="shared" si="9"/>
        <v>9</v>
      </c>
      <c r="G122" s="9">
        <f t="shared" si="10"/>
        <v>46062</v>
      </c>
      <c r="H122" s="1" t="str">
        <f>IF(Raw!D122="","",Raw!D122)</f>
        <v>P-H</v>
      </c>
      <c r="I122" s="1" t="str">
        <f>IFERROR(IF(EXACT(H122,INDEX(Guide!$A$7:$A$9,MATCH(SUBSTITUTE(SUBSTITUTE(SUBSTITUTE(H122,"~","~~"),"*","~*"),"?","~?"),Guide!$A$7:$A$9,0))),INDEX(Guide!$B$7:$B$9,MATCH(SUBSTITUTE(SUBSTITUTE(SUBSTITUTE(H122,"~","~~"),"*","~*"),"?","~?"),Guide!$A$7:$A$9,0)),""),"")</f>
        <v>Home</v>
      </c>
      <c r="J122" s="1" t="str">
        <f>IF(TRIM(Raw!E122)="",I122,IF(UPPER(TRIM(Raw!E122))=UPPER(I122),I122,""))</f>
        <v>Home</v>
      </c>
      <c r="K122" s="1" t="str">
        <f>IF(Raw!F122="","",Raw!F122)</f>
        <v>refund</v>
      </c>
      <c r="L122" s="1" t="str">
        <f>IF(LEFT(TRIM(Raw!G122),2)="-$","-"&amp;MID(TRIM(Raw!G122),3,99),IF(LEFT(TRIM(Raw!G122),1)="$",MID(TRIM(Raw!G122),2,99),TRIM(Raw!G122)))</f>
        <v>-47.54</v>
      </c>
      <c r="M122" s="1">
        <f t="shared" si="11"/>
        <v>-47.54</v>
      </c>
      <c r="N122" s="10">
        <f t="shared" si="12"/>
        <v>-4754</v>
      </c>
      <c r="O122" s="1" t="b">
        <f>IFERROR(IF(ISNUMBER(Raw!G122),TRUE,OR(EXACT(L122,TEXT(M122,"0.00")),EXACT(L122,TEXT(M122,"#,##0.00")))),FALSE)</f>
        <v>1</v>
      </c>
      <c r="P122" s="1" t="str">
        <f>LEN(IF(Raw!A122="","",Raw!A122))&amp;":"&amp;IF(Raw!A122="","",Raw!A122)&amp;"|"&amp;LEN(IF(Raw!B122="","",Raw!B122))&amp;":"&amp;IF(Raw!B122="","",Raw!B122)&amp;"|"&amp;LEN(IF(Raw!C122="","",Raw!C122))&amp;":"&amp;IF(Raw!C122="","",Raw!C122)&amp;"|"&amp;LEN(IF(Raw!D122="","",Raw!D122))&amp;":"&amp;IF(Raw!D122="","",Raw!D122)&amp;"|"&amp;LEN(IF(Raw!E122="","",Raw!E122))&amp;":"&amp;IF(Raw!E122="","",Raw!E122)&amp;"|"&amp;LEN(IF(Raw!F122="","",Raw!F122))&amp;":"&amp;IF(Raw!F122="","",Raw!F122)&amp;"|"&amp;LEN(IF(Raw!G122="","",Raw!G122))&amp;":"&amp;IF(Raw!G122="","",Raw!G122)</f>
        <v>6:L00116|6:T00058|10:2026-02-09|3:P-H|4:Home|6:refund|6:-47.54</v>
      </c>
      <c r="Q122" s="1">
        <f>1</f>
        <v>1</v>
      </c>
      <c r="R122" s="1" t="b">
        <f>FALSE</f>
        <v>0</v>
      </c>
      <c r="S122" s="1">
        <f>1</f>
        <v>1</v>
      </c>
      <c r="T122" s="1" t="str">
        <f>IF(AND(Raw!A122="",Raw!B122="",Raw!C122="",Raw!D122="",Raw!E122="",Raw!F122="",Raw!G122=""),"UNUSED",IF(A122="","missing line ID",IF(B122="","missing transaction ID",IF(G122="",IF(C122="","missing date","invalid date"),IF(I122="","unknown product",IF(J122="","conflicting category",IF(NOT(OR(EXACT(K122,"sale"),EXACT(K122,"refund"))),"unknown event",IF(OR(N122="",NOT(O122)),"invalid amount",IF(OR(AND(K122="sale",N122&lt;=0),AND(K122="refund",N122&gt;=0)),"invalid sign","")))))))))</f>
        <v/>
      </c>
      <c r="U122" s="1" t="str">
        <f t="shared" si="13"/>
        <v>INCLUDED</v>
      </c>
      <c r="V122" s="1" t="str">
        <f t="shared" si="14"/>
        <v>2026-02</v>
      </c>
      <c r="W122" s="1">
        <f>IF(AND(U122="INCLUDED",X122&gt;0,EXACT(A122,'AI output'!A122)),1,0)</f>
        <v>1</v>
      </c>
      <c r="X122" s="1">
        <f>122</f>
        <v>122</v>
      </c>
      <c r="Y122" s="1">
        <f>IF(AND(U122="INCLUDED",W122=1),--(NOT(EXACT(A122,'AI output'!A122)))+--(NOT(EXACT(B122,'AI output'!B122)))+--(NOT(EXACT(TEXT(G122,"yyyy-mm-dd"),'AI output'!C122)))+--(NOT(EXACT(H122,'AI output'!D122)))+--(NOT(EXACT(J122,'AI output'!E122)))+--(NOT(EXACT(K122,'AI output'!F122)))+--(N122&lt;&gt;'AI output'!L122)+--(NOT('AI output'!M122)),0)</f>
        <v>0</v>
      </c>
      <c r="Z122" s="1">
        <f t="shared" si="15"/>
        <v>0</v>
      </c>
      <c r="AA122" s="1">
        <f>--EXACT(A122,"L00116")</f>
        <v>1</v>
      </c>
    </row>
    <row r="123" spans="1:27" ht="18.95" customHeight="1">
      <c r="A123" s="1" t="str">
        <f>IF(Raw!A123="","",Raw!A123)</f>
        <v>L00117</v>
      </c>
      <c r="B123" s="1" t="str">
        <f>IF(Raw!B123="","",Raw!B123)</f>
        <v>T00059</v>
      </c>
      <c r="C123" s="1" t="str">
        <f>IF(Raw!C123="","",Raw!C123)</f>
        <v>2026-02-16</v>
      </c>
      <c r="D123" s="1">
        <f t="shared" si="8"/>
        <v>2026</v>
      </c>
      <c r="E123" s="1">
        <f>IFERROR(IF(AND(LEN(C123)=10,MID(C123,5,1)="-",MID(C123,8,1)="-"),VALUE(MID(C123,6,2)),IF(AND(LEN(C123)=11,MID(C123,3,1)="-",MID(C123,7,1)="-"),MATCH(UPPER(MID(C123,4,3)),Guide!$D$7:$D$18,0),0)),0)</f>
        <v>2</v>
      </c>
      <c r="F123" s="1">
        <f t="shared" si="9"/>
        <v>16</v>
      </c>
      <c r="G123" s="9">
        <f t="shared" si="10"/>
        <v>46069</v>
      </c>
      <c r="H123" s="1" t="str">
        <f>IF(Raw!D123="","",Raw!D123)</f>
        <v>P-O</v>
      </c>
      <c r="I123" s="1" t="str">
        <f>IFERROR(IF(EXACT(H123,INDEX(Guide!$A$7:$A$9,MATCH(SUBSTITUTE(SUBSTITUTE(SUBSTITUTE(H123,"~","~~"),"*","~*"),"?","~?"),Guide!$A$7:$A$9,0))),INDEX(Guide!$B$7:$B$9,MATCH(SUBSTITUTE(SUBSTITUTE(SUBSTITUTE(H123,"~","~~"),"*","~*"),"?","~?"),Guide!$A$7:$A$9,0)),""),"")</f>
        <v>Office</v>
      </c>
      <c r="J123" s="1" t="str">
        <f>IF(TRIM(Raw!E123)="",I123,IF(UPPER(TRIM(Raw!E123))=UPPER(I123),I123,""))</f>
        <v>Office</v>
      </c>
      <c r="K123" s="1" t="str">
        <f>IF(Raw!F123="","",Raw!F123)</f>
        <v>sale</v>
      </c>
      <c r="L123" s="1" t="str">
        <f>IF(LEFT(TRIM(Raw!G123),2)="-$","-"&amp;MID(TRIM(Raw!G123),3,99),IF(LEFT(TRIM(Raw!G123),1)="$",MID(TRIM(Raw!G123),2,99),TRIM(Raw!G123)))</f>
        <v>143.73</v>
      </c>
      <c r="M123" s="1">
        <f t="shared" si="11"/>
        <v>143.72999999999999</v>
      </c>
      <c r="N123" s="10">
        <f t="shared" si="12"/>
        <v>14373</v>
      </c>
      <c r="O123" s="1" t="b">
        <f>IFERROR(IF(ISNUMBER(Raw!G123),TRUE,OR(EXACT(L123,TEXT(M123,"0.00")),EXACT(L123,TEXT(M123,"#,##0.00")))),FALSE)</f>
        <v>1</v>
      </c>
      <c r="P123" s="1" t="str">
        <f>LEN(IF(Raw!A123="","",Raw!A123))&amp;":"&amp;IF(Raw!A123="","",Raw!A123)&amp;"|"&amp;LEN(IF(Raw!B123="","",Raw!B123))&amp;":"&amp;IF(Raw!B123="","",Raw!B123)&amp;"|"&amp;LEN(IF(Raw!C123="","",Raw!C123))&amp;":"&amp;IF(Raw!C123="","",Raw!C123)&amp;"|"&amp;LEN(IF(Raw!D123="","",Raw!D123))&amp;":"&amp;IF(Raw!D123="","",Raw!D123)&amp;"|"&amp;LEN(IF(Raw!E123="","",Raw!E123))&amp;":"&amp;IF(Raw!E123="","",Raw!E123)&amp;"|"&amp;LEN(IF(Raw!F123="","",Raw!F123))&amp;":"&amp;IF(Raw!F123="","",Raw!F123)&amp;"|"&amp;LEN(IF(Raw!G123="","",Raw!G123))&amp;":"&amp;IF(Raw!G123="","",Raw!G123)</f>
        <v>6:L00117|6:T00059|10:2026-02-16|3:P-O|6:Office|4:sale|6:143.73</v>
      </c>
      <c r="Q123" s="1">
        <f>1</f>
        <v>1</v>
      </c>
      <c r="R123" s="1" t="b">
        <f>FALSE</f>
        <v>0</v>
      </c>
      <c r="S123" s="1">
        <f>1</f>
        <v>1</v>
      </c>
      <c r="T123" s="1" t="str">
        <f>IF(AND(Raw!A123="",Raw!B123="",Raw!C123="",Raw!D123="",Raw!E123="",Raw!F123="",Raw!G123=""),"UNUSED",IF(A123="","missing line ID",IF(B123="","missing transaction ID",IF(G123="",IF(C123="","missing date","invalid date"),IF(I123="","unknown product",IF(J123="","conflicting category",IF(NOT(OR(EXACT(K123,"sale"),EXACT(K123,"refund"))),"unknown event",IF(OR(N123="",NOT(O123)),"invalid amount",IF(OR(AND(K123="sale",N123&lt;=0),AND(K123="refund",N123&gt;=0)),"invalid sign","")))))))))</f>
        <v/>
      </c>
      <c r="U123" s="1" t="str">
        <f t="shared" si="13"/>
        <v>INCLUDED</v>
      </c>
      <c r="V123" s="1" t="str">
        <f t="shared" si="14"/>
        <v>2026-02</v>
      </c>
      <c r="W123" s="1">
        <f>IF(AND(U123="INCLUDED",X123&gt;0,EXACT(A123,'AI output'!A123)),1,0)</f>
        <v>1</v>
      </c>
      <c r="X123" s="1">
        <f>123</f>
        <v>123</v>
      </c>
      <c r="Y123" s="1">
        <f>IF(AND(U123="INCLUDED",W123=1),--(NOT(EXACT(A123,'AI output'!A123)))+--(NOT(EXACT(B123,'AI output'!B123)))+--(NOT(EXACT(TEXT(G123,"yyyy-mm-dd"),'AI output'!C123)))+--(NOT(EXACT(H123,'AI output'!D123)))+--(NOT(EXACT(J123,'AI output'!E123)))+--(NOT(EXACT(K123,'AI output'!F123)))+--(N123&lt;&gt;'AI output'!L123)+--(NOT('AI output'!M123)),0)</f>
        <v>0</v>
      </c>
      <c r="Z123" s="1">
        <f t="shared" si="15"/>
        <v>0</v>
      </c>
      <c r="AA123" s="1">
        <f>--EXACT(A123,"L00117")</f>
        <v>1</v>
      </c>
    </row>
    <row r="124" spans="1:27" ht="18.95" customHeight="1">
      <c r="A124" s="1" t="str">
        <f>IF(Raw!A124="","",Raw!A124)</f>
        <v>L00118</v>
      </c>
      <c r="B124" s="1" t="str">
        <f>IF(Raw!B124="","",Raw!B124)</f>
        <v>T00059</v>
      </c>
      <c r="C124" s="1" t="str">
        <f>IF(Raw!C124="","",Raw!C124)</f>
        <v>2026-02-16</v>
      </c>
      <c r="D124" s="1">
        <f t="shared" si="8"/>
        <v>2026</v>
      </c>
      <c r="E124" s="1">
        <f>IFERROR(IF(AND(LEN(C124)=10,MID(C124,5,1)="-",MID(C124,8,1)="-"),VALUE(MID(C124,6,2)),IF(AND(LEN(C124)=11,MID(C124,3,1)="-",MID(C124,7,1)="-"),MATCH(UPPER(MID(C124,4,3)),Guide!$D$7:$D$18,0),0)),0)</f>
        <v>2</v>
      </c>
      <c r="F124" s="1">
        <f t="shared" si="9"/>
        <v>16</v>
      </c>
      <c r="G124" s="9">
        <f t="shared" si="10"/>
        <v>46069</v>
      </c>
      <c r="H124" s="1" t="str">
        <f>IF(Raw!D124="","",Raw!D124)</f>
        <v>P-A</v>
      </c>
      <c r="I124" s="1" t="str">
        <f>IFERROR(IF(EXACT(H124,INDEX(Guide!$A$7:$A$9,MATCH(SUBSTITUTE(SUBSTITUTE(SUBSTITUTE(H124,"~","~~"),"*","~*"),"?","~?"),Guide!$A$7:$A$9,0))),INDEX(Guide!$B$7:$B$9,MATCH(SUBSTITUTE(SUBSTITUTE(SUBSTITUTE(H124,"~","~~"),"*","~*"),"?","~?"),Guide!$A$7:$A$9,0)),""),"")</f>
        <v>Accessories</v>
      </c>
      <c r="J124" s="1" t="str">
        <f>IF(TRIM(Raw!E124)="",I124,IF(UPPER(TRIM(Raw!E124))=UPPER(I124),I124,""))</f>
        <v>Accessories</v>
      </c>
      <c r="K124" s="1" t="str">
        <f>IF(Raw!F124="","",Raw!F124)</f>
        <v>sale</v>
      </c>
      <c r="L124" s="1" t="str">
        <f>IF(LEFT(TRIM(Raw!G124),2)="-$","-"&amp;MID(TRIM(Raw!G124),3,99),IF(LEFT(TRIM(Raw!G124),1)="$",MID(TRIM(Raw!G124),2,99),TRIM(Raw!G124)))</f>
        <v>241.40</v>
      </c>
      <c r="M124" s="1">
        <f t="shared" si="11"/>
        <v>241.4</v>
      </c>
      <c r="N124" s="10">
        <f t="shared" si="12"/>
        <v>24140</v>
      </c>
      <c r="O124" s="1" t="b">
        <f>IFERROR(IF(ISNUMBER(Raw!G124),TRUE,OR(EXACT(L124,TEXT(M124,"0.00")),EXACT(L124,TEXT(M124,"#,##0.00")))),FALSE)</f>
        <v>1</v>
      </c>
      <c r="P124" s="1" t="str">
        <f>LEN(IF(Raw!A124="","",Raw!A124))&amp;":"&amp;IF(Raw!A124="","",Raw!A124)&amp;"|"&amp;LEN(IF(Raw!B124="","",Raw!B124))&amp;":"&amp;IF(Raw!B124="","",Raw!B124)&amp;"|"&amp;LEN(IF(Raw!C124="","",Raw!C124))&amp;":"&amp;IF(Raw!C124="","",Raw!C124)&amp;"|"&amp;LEN(IF(Raw!D124="","",Raw!D124))&amp;":"&amp;IF(Raw!D124="","",Raw!D124)&amp;"|"&amp;LEN(IF(Raw!E124="","",Raw!E124))&amp;":"&amp;IF(Raw!E124="","",Raw!E124)&amp;"|"&amp;LEN(IF(Raw!F124="","",Raw!F124))&amp;":"&amp;IF(Raw!F124="","",Raw!F124)&amp;"|"&amp;LEN(IF(Raw!G124="","",Raw!G124))&amp;":"&amp;IF(Raw!G124="","",Raw!G124)</f>
        <v>6:L00118|6:T00059|10:2026-02-16|3:P-A|11:Accessories|4:sale|6:241.40</v>
      </c>
      <c r="Q124" s="1">
        <f>1</f>
        <v>1</v>
      </c>
      <c r="R124" s="1" t="b">
        <f>FALSE</f>
        <v>0</v>
      </c>
      <c r="S124" s="1">
        <f>1</f>
        <v>1</v>
      </c>
      <c r="T124" s="1" t="str">
        <f>IF(AND(Raw!A124="",Raw!B124="",Raw!C124="",Raw!D124="",Raw!E124="",Raw!F124="",Raw!G124=""),"UNUSED",IF(A124="","missing line ID",IF(B124="","missing transaction ID",IF(G124="",IF(C124="","missing date","invalid date"),IF(I124="","unknown product",IF(J124="","conflicting category",IF(NOT(OR(EXACT(K124,"sale"),EXACT(K124,"refund"))),"unknown event",IF(OR(N124="",NOT(O124)),"invalid amount",IF(OR(AND(K124="sale",N124&lt;=0),AND(K124="refund",N124&gt;=0)),"invalid sign","")))))))))</f>
        <v/>
      </c>
      <c r="U124" s="1" t="str">
        <f t="shared" si="13"/>
        <v>INCLUDED</v>
      </c>
      <c r="V124" s="1" t="str">
        <f t="shared" si="14"/>
        <v>2026-02</v>
      </c>
      <c r="W124" s="1">
        <f>IF(AND(U124="INCLUDED",X124&gt;0,EXACT(A124,'AI output'!A124)),1,0)</f>
        <v>1</v>
      </c>
      <c r="X124" s="1">
        <f>124</f>
        <v>124</v>
      </c>
      <c r="Y124" s="1">
        <f>IF(AND(U124="INCLUDED",W124=1),--(NOT(EXACT(A124,'AI output'!A124)))+--(NOT(EXACT(B124,'AI output'!B124)))+--(NOT(EXACT(TEXT(G124,"yyyy-mm-dd"),'AI output'!C124)))+--(NOT(EXACT(H124,'AI output'!D124)))+--(NOT(EXACT(J124,'AI output'!E124)))+--(NOT(EXACT(K124,'AI output'!F124)))+--(N124&lt;&gt;'AI output'!L124)+--(NOT('AI output'!M124)),0)</f>
        <v>0</v>
      </c>
      <c r="Z124" s="1">
        <f t="shared" si="15"/>
        <v>0</v>
      </c>
      <c r="AA124" s="1">
        <f>--EXACT(A124,"L00118")</f>
        <v>1</v>
      </c>
    </row>
    <row r="125" spans="1:27" ht="18.95" customHeight="1">
      <c r="A125" s="1" t="str">
        <f>IF(Raw!A125="","",Raw!A125)</f>
        <v>L00119</v>
      </c>
      <c r="B125" s="1" t="str">
        <f>IF(Raw!B125="","",Raw!B125)</f>
        <v>T00060</v>
      </c>
      <c r="C125" s="1" t="str">
        <f>IF(Raw!C125="","",Raw!C125)</f>
        <v>2026-02-23</v>
      </c>
      <c r="D125" s="1">
        <f t="shared" si="8"/>
        <v>2026</v>
      </c>
      <c r="E125" s="1">
        <f>IFERROR(IF(AND(LEN(C125)=10,MID(C125,5,1)="-",MID(C125,8,1)="-"),VALUE(MID(C125,6,2)),IF(AND(LEN(C125)=11,MID(C125,3,1)="-",MID(C125,7,1)="-"),MATCH(UPPER(MID(C125,4,3)),Guide!$D$7:$D$18,0),0)),0)</f>
        <v>2</v>
      </c>
      <c r="F125" s="1">
        <f t="shared" si="9"/>
        <v>23</v>
      </c>
      <c r="G125" s="9">
        <f t="shared" si="10"/>
        <v>46076</v>
      </c>
      <c r="H125" s="1" t="str">
        <f>IF(Raw!D125="","",Raw!D125)</f>
        <v>P-H</v>
      </c>
      <c r="I125" s="1" t="str">
        <f>IFERROR(IF(EXACT(H125,INDEX(Guide!$A$7:$A$9,MATCH(SUBSTITUTE(SUBSTITUTE(SUBSTITUTE(H125,"~","~~"),"*","~*"),"?","~?"),Guide!$A$7:$A$9,0))),INDEX(Guide!$B$7:$B$9,MATCH(SUBSTITUTE(SUBSTITUTE(SUBSTITUTE(H125,"~","~~"),"*","~*"),"?","~?"),Guide!$A$7:$A$9,0)),""),"")</f>
        <v>Home</v>
      </c>
      <c r="J125" s="1" t="str">
        <f>IF(TRIM(Raw!E125)="",I125,IF(UPPER(TRIM(Raw!E125))=UPPER(I125),I125,""))</f>
        <v>Home</v>
      </c>
      <c r="K125" s="1" t="str">
        <f>IF(Raw!F125="","",Raw!F125)</f>
        <v>sale</v>
      </c>
      <c r="L125" s="1" t="str">
        <f>IF(LEFT(TRIM(Raw!G125),2)="-$","-"&amp;MID(TRIM(Raw!G125),3,99),IF(LEFT(TRIM(Raw!G125),1)="$",MID(TRIM(Raw!G125),2,99),TRIM(Raw!G125)))</f>
        <v>97.30</v>
      </c>
      <c r="M125" s="1">
        <f t="shared" si="11"/>
        <v>97.3</v>
      </c>
      <c r="N125" s="10">
        <f t="shared" si="12"/>
        <v>9730</v>
      </c>
      <c r="O125" s="1" t="b">
        <f>IFERROR(IF(ISNUMBER(Raw!G125),TRUE,OR(EXACT(L125,TEXT(M125,"0.00")),EXACT(L125,TEXT(M125,"#,##0.00")))),FALSE)</f>
        <v>1</v>
      </c>
      <c r="P125" s="1" t="str">
        <f>LEN(IF(Raw!A125="","",Raw!A125))&amp;":"&amp;IF(Raw!A125="","",Raw!A125)&amp;"|"&amp;LEN(IF(Raw!B125="","",Raw!B125))&amp;":"&amp;IF(Raw!B125="","",Raw!B125)&amp;"|"&amp;LEN(IF(Raw!C125="","",Raw!C125))&amp;":"&amp;IF(Raw!C125="","",Raw!C125)&amp;"|"&amp;LEN(IF(Raw!D125="","",Raw!D125))&amp;":"&amp;IF(Raw!D125="","",Raw!D125)&amp;"|"&amp;LEN(IF(Raw!E125="","",Raw!E125))&amp;":"&amp;IF(Raw!E125="","",Raw!E125)&amp;"|"&amp;LEN(IF(Raw!F125="","",Raw!F125))&amp;":"&amp;IF(Raw!F125="","",Raw!F125)&amp;"|"&amp;LEN(IF(Raw!G125="","",Raw!G125))&amp;":"&amp;IF(Raw!G125="","",Raw!G125)</f>
        <v>6:L00119|6:T00060|10:2026-02-23|3:P-H|4:Home|4:sale|5:97.30</v>
      </c>
      <c r="Q125" s="1">
        <f>1</f>
        <v>1</v>
      </c>
      <c r="R125" s="1" t="b">
        <f>FALSE</f>
        <v>0</v>
      </c>
      <c r="S125" s="1">
        <f>1</f>
        <v>1</v>
      </c>
      <c r="T125" s="1" t="str">
        <f>IF(AND(Raw!A125="",Raw!B125="",Raw!C125="",Raw!D125="",Raw!E125="",Raw!F125="",Raw!G125=""),"UNUSED",IF(A125="","missing line ID",IF(B125="","missing transaction ID",IF(G125="",IF(C125="","missing date","invalid date"),IF(I125="","unknown product",IF(J125="","conflicting category",IF(NOT(OR(EXACT(K125,"sale"),EXACT(K125,"refund"))),"unknown event",IF(OR(N125="",NOT(O125)),"invalid amount",IF(OR(AND(K125="sale",N125&lt;=0),AND(K125="refund",N125&gt;=0)),"invalid sign","")))))))))</f>
        <v/>
      </c>
      <c r="U125" s="1" t="str">
        <f t="shared" si="13"/>
        <v>INCLUDED</v>
      </c>
      <c r="V125" s="1" t="str">
        <f t="shared" si="14"/>
        <v>2026-02</v>
      </c>
      <c r="W125" s="1">
        <f>IF(AND(U125="INCLUDED",X125&gt;0,EXACT(A125,'AI output'!A125)),1,0)</f>
        <v>1</v>
      </c>
      <c r="X125" s="1">
        <f>125</f>
        <v>125</v>
      </c>
      <c r="Y125" s="1">
        <f>IF(AND(U125="INCLUDED",W125=1),--(NOT(EXACT(A125,'AI output'!A125)))+--(NOT(EXACT(B125,'AI output'!B125)))+--(NOT(EXACT(TEXT(G125,"yyyy-mm-dd"),'AI output'!C125)))+--(NOT(EXACT(H125,'AI output'!D125)))+--(NOT(EXACT(J125,'AI output'!E125)))+--(NOT(EXACT(K125,'AI output'!F125)))+--(N125&lt;&gt;'AI output'!L125)+--(NOT('AI output'!M125)),0)</f>
        <v>0</v>
      </c>
      <c r="Z125" s="1">
        <f t="shared" si="15"/>
        <v>0</v>
      </c>
      <c r="AA125" s="1">
        <f>--EXACT(A125,"L00119")</f>
        <v>1</v>
      </c>
    </row>
    <row r="126" spans="1:27" ht="18.95" customHeight="1">
      <c r="A126" s="1" t="str">
        <f>IF(Raw!A126="","",Raw!A126)</f>
        <v>L00120</v>
      </c>
      <c r="B126" s="1" t="str">
        <f>IF(Raw!B126="","",Raw!B126)</f>
        <v>T00060</v>
      </c>
      <c r="C126" s="1" t="str">
        <f>IF(Raw!C126="","",Raw!C126)</f>
        <v>2026-02-23</v>
      </c>
      <c r="D126" s="1">
        <f t="shared" si="8"/>
        <v>2026</v>
      </c>
      <c r="E126" s="1">
        <f>IFERROR(IF(AND(LEN(C126)=10,MID(C126,5,1)="-",MID(C126,8,1)="-"),VALUE(MID(C126,6,2)),IF(AND(LEN(C126)=11,MID(C126,3,1)="-",MID(C126,7,1)="-"),MATCH(UPPER(MID(C126,4,3)),Guide!$D$7:$D$18,0),0)),0)</f>
        <v>2</v>
      </c>
      <c r="F126" s="1">
        <f t="shared" si="9"/>
        <v>23</v>
      </c>
      <c r="G126" s="9">
        <f t="shared" si="10"/>
        <v>46076</v>
      </c>
      <c r="H126" s="1" t="str">
        <f>IF(Raw!D126="","",Raw!D126)</f>
        <v>P-O</v>
      </c>
      <c r="I126" s="1" t="str">
        <f>IFERROR(IF(EXACT(H126,INDEX(Guide!$A$7:$A$9,MATCH(SUBSTITUTE(SUBSTITUTE(SUBSTITUTE(H126,"~","~~"),"*","~*"),"?","~?"),Guide!$A$7:$A$9,0))),INDEX(Guide!$B$7:$B$9,MATCH(SUBSTITUTE(SUBSTITUTE(SUBSTITUTE(H126,"~","~~"),"*","~*"),"?","~?"),Guide!$A$7:$A$9,0)),""),"")</f>
        <v>Office</v>
      </c>
      <c r="J126" s="1" t="str">
        <f>IF(TRIM(Raw!E126)="",I126,IF(UPPER(TRIM(Raw!E126))=UPPER(I126),I126,""))</f>
        <v>Office</v>
      </c>
      <c r="K126" s="1" t="str">
        <f>IF(Raw!F126="","",Raw!F126)</f>
        <v>sale</v>
      </c>
      <c r="L126" s="1" t="str">
        <f>IF(LEFT(TRIM(Raw!G126),2)="-$","-"&amp;MID(TRIM(Raw!G126),3,99),IF(LEFT(TRIM(Raw!G126),1)="$",MID(TRIM(Raw!G126),2,99),TRIM(Raw!G126)))</f>
        <v>196.08</v>
      </c>
      <c r="M126" s="1">
        <f t="shared" si="11"/>
        <v>196.08</v>
      </c>
      <c r="N126" s="10">
        <f t="shared" si="12"/>
        <v>19608</v>
      </c>
      <c r="O126" s="1" t="b">
        <f>IFERROR(IF(ISNUMBER(Raw!G126),TRUE,OR(EXACT(L126,TEXT(M126,"0.00")),EXACT(L126,TEXT(M126,"#,##0.00")))),FALSE)</f>
        <v>1</v>
      </c>
      <c r="P126" s="1" t="str">
        <f>LEN(IF(Raw!A126="","",Raw!A126))&amp;":"&amp;IF(Raw!A126="","",Raw!A126)&amp;"|"&amp;LEN(IF(Raw!B126="","",Raw!B126))&amp;":"&amp;IF(Raw!B126="","",Raw!B126)&amp;"|"&amp;LEN(IF(Raw!C126="","",Raw!C126))&amp;":"&amp;IF(Raw!C126="","",Raw!C126)&amp;"|"&amp;LEN(IF(Raw!D126="","",Raw!D126))&amp;":"&amp;IF(Raw!D126="","",Raw!D126)&amp;"|"&amp;LEN(IF(Raw!E126="","",Raw!E126))&amp;":"&amp;IF(Raw!E126="","",Raw!E126)&amp;"|"&amp;LEN(IF(Raw!F126="","",Raw!F126))&amp;":"&amp;IF(Raw!F126="","",Raw!F126)&amp;"|"&amp;LEN(IF(Raw!G126="","",Raw!G126))&amp;":"&amp;IF(Raw!G126="","",Raw!G126)</f>
        <v>6:L00120|6:T00060|10:2026-02-23|3:P-O|6:Office|4:sale|6:196.08</v>
      </c>
      <c r="Q126" s="1">
        <f>1</f>
        <v>1</v>
      </c>
      <c r="R126" s="1" t="b">
        <f>FALSE</f>
        <v>0</v>
      </c>
      <c r="S126" s="1">
        <f>1</f>
        <v>1</v>
      </c>
      <c r="T126" s="1" t="str">
        <f>IF(AND(Raw!A126="",Raw!B126="",Raw!C126="",Raw!D126="",Raw!E126="",Raw!F126="",Raw!G126=""),"UNUSED",IF(A126="","missing line ID",IF(B126="","missing transaction ID",IF(G126="",IF(C126="","missing date","invalid date"),IF(I126="","unknown product",IF(J126="","conflicting category",IF(NOT(OR(EXACT(K126,"sale"),EXACT(K126,"refund"))),"unknown event",IF(OR(N126="",NOT(O126)),"invalid amount",IF(OR(AND(K126="sale",N126&lt;=0),AND(K126="refund",N126&gt;=0)),"invalid sign","")))))))))</f>
        <v/>
      </c>
      <c r="U126" s="1" t="str">
        <f t="shared" si="13"/>
        <v>INCLUDED</v>
      </c>
      <c r="V126" s="1" t="str">
        <f t="shared" si="14"/>
        <v>2026-02</v>
      </c>
      <c r="W126" s="1">
        <f>IF(AND(U126="INCLUDED",X126&gt;0,EXACT(A126,'AI output'!A126)),1,0)</f>
        <v>1</v>
      </c>
      <c r="X126" s="1">
        <f>126</f>
        <v>126</v>
      </c>
      <c r="Y126" s="1">
        <f>IF(AND(U126="INCLUDED",W126=1),--(NOT(EXACT(A126,'AI output'!A126)))+--(NOT(EXACT(B126,'AI output'!B126)))+--(NOT(EXACT(TEXT(G126,"yyyy-mm-dd"),'AI output'!C126)))+--(NOT(EXACT(H126,'AI output'!D126)))+--(NOT(EXACT(J126,'AI output'!E126)))+--(NOT(EXACT(K126,'AI output'!F126)))+--(N126&lt;&gt;'AI output'!L126)+--(NOT('AI output'!M126)),0)</f>
        <v>0</v>
      </c>
      <c r="Z126" s="1">
        <f t="shared" si="15"/>
        <v>0</v>
      </c>
      <c r="AA126" s="1">
        <f>--EXACT(A126,"L00120")</f>
        <v>1</v>
      </c>
    </row>
    <row r="127" spans="1:27" ht="18.95" customHeight="1">
      <c r="A127" s="1" t="str">
        <f>IF(Raw!A127="","",Raw!A127)</f>
        <v>L00121</v>
      </c>
      <c r="B127" s="1" t="str">
        <f>IF(Raw!B127="","",Raw!B127)</f>
        <v>T00061</v>
      </c>
      <c r="C127" s="1" t="str">
        <f>IF(Raw!C127="","",Raw!C127)</f>
        <v>2026-03-02</v>
      </c>
      <c r="D127" s="1">
        <f t="shared" si="8"/>
        <v>2026</v>
      </c>
      <c r="E127" s="1">
        <f>IFERROR(IF(AND(LEN(C127)=10,MID(C127,5,1)="-",MID(C127,8,1)="-"),VALUE(MID(C127,6,2)),IF(AND(LEN(C127)=11,MID(C127,3,1)="-",MID(C127,7,1)="-"),MATCH(UPPER(MID(C127,4,3)),Guide!$D$7:$D$18,0),0)),0)</f>
        <v>3</v>
      </c>
      <c r="F127" s="1">
        <f t="shared" si="9"/>
        <v>2</v>
      </c>
      <c r="G127" s="9">
        <f t="shared" si="10"/>
        <v>46083</v>
      </c>
      <c r="H127" s="1" t="str">
        <f>IF(Raw!D127="","",Raw!D127)</f>
        <v>P-A</v>
      </c>
      <c r="I127" s="1" t="str">
        <f>IFERROR(IF(EXACT(H127,INDEX(Guide!$A$7:$A$9,MATCH(SUBSTITUTE(SUBSTITUTE(SUBSTITUTE(H127,"~","~~"),"*","~*"),"?","~?"),Guide!$A$7:$A$9,0))),INDEX(Guide!$B$7:$B$9,MATCH(SUBSTITUTE(SUBSTITUTE(SUBSTITUTE(H127,"~","~~"),"*","~*"),"?","~?"),Guide!$A$7:$A$9,0)),""),"")</f>
        <v>Accessories</v>
      </c>
      <c r="J127" s="1" t="str">
        <f>IF(TRIM(Raw!E127)="",I127,IF(UPPER(TRIM(Raw!E127))=UPPER(I127),I127,""))</f>
        <v>Accessories</v>
      </c>
      <c r="K127" s="1" t="str">
        <f>IF(Raw!F127="","",Raw!F127)</f>
        <v>sale</v>
      </c>
      <c r="L127" s="1" t="str">
        <f>IF(LEFT(TRIM(Raw!G127),2)="-$","-"&amp;MID(TRIM(Raw!G127),3,99),IF(LEFT(TRIM(Raw!G127),1)="$",MID(TRIM(Raw!G127),2,99),TRIM(Raw!G127)))</f>
        <v>49.39</v>
      </c>
      <c r="M127" s="1">
        <f t="shared" si="11"/>
        <v>49.39</v>
      </c>
      <c r="N127" s="10">
        <f t="shared" si="12"/>
        <v>4939</v>
      </c>
      <c r="O127" s="1" t="b">
        <f>IFERROR(IF(ISNUMBER(Raw!G127),TRUE,OR(EXACT(L127,TEXT(M127,"0.00")),EXACT(L127,TEXT(M127,"#,##0.00")))),FALSE)</f>
        <v>1</v>
      </c>
      <c r="P127" s="1" t="str">
        <f>LEN(IF(Raw!A127="","",Raw!A127))&amp;":"&amp;IF(Raw!A127="","",Raw!A127)&amp;"|"&amp;LEN(IF(Raw!B127="","",Raw!B127))&amp;":"&amp;IF(Raw!B127="","",Raw!B127)&amp;"|"&amp;LEN(IF(Raw!C127="","",Raw!C127))&amp;":"&amp;IF(Raw!C127="","",Raw!C127)&amp;"|"&amp;LEN(IF(Raw!D127="","",Raw!D127))&amp;":"&amp;IF(Raw!D127="","",Raw!D127)&amp;"|"&amp;LEN(IF(Raw!E127="","",Raw!E127))&amp;":"&amp;IF(Raw!E127="","",Raw!E127)&amp;"|"&amp;LEN(IF(Raw!F127="","",Raw!F127))&amp;":"&amp;IF(Raw!F127="","",Raw!F127)&amp;"|"&amp;LEN(IF(Raw!G127="","",Raw!G127))&amp;":"&amp;IF(Raw!G127="","",Raw!G127)</f>
        <v>6:L00121|6:T00061|10:2026-03-02|3:P-A|11:Accessories|4:sale|5:49.39</v>
      </c>
      <c r="Q127" s="1">
        <f>1</f>
        <v>1</v>
      </c>
      <c r="R127" s="1" t="b">
        <f>FALSE</f>
        <v>0</v>
      </c>
      <c r="S127" s="1">
        <f>1</f>
        <v>1</v>
      </c>
      <c r="T127" s="1" t="str">
        <f>IF(AND(Raw!A127="",Raw!B127="",Raw!C127="",Raw!D127="",Raw!E127="",Raw!F127="",Raw!G127=""),"UNUSED",IF(A127="","missing line ID",IF(B127="","missing transaction ID",IF(G127="",IF(C127="","missing date","invalid date"),IF(I127="","unknown product",IF(J127="","conflicting category",IF(NOT(OR(EXACT(K127,"sale"),EXACT(K127,"refund"))),"unknown event",IF(OR(N127="",NOT(O127)),"invalid amount",IF(OR(AND(K127="sale",N127&lt;=0),AND(K127="refund",N127&gt;=0)),"invalid sign","")))))))))</f>
        <v/>
      </c>
      <c r="U127" s="1" t="str">
        <f t="shared" si="13"/>
        <v>INCLUDED</v>
      </c>
      <c r="V127" s="1" t="str">
        <f t="shared" si="14"/>
        <v>2026-03</v>
      </c>
      <c r="W127" s="1">
        <f>IF(AND(U127="INCLUDED",X127&gt;0,EXACT(A127,'AI output'!A127)),1,0)</f>
        <v>1</v>
      </c>
      <c r="X127" s="1">
        <f>127</f>
        <v>127</v>
      </c>
      <c r="Y127" s="1">
        <f>IF(AND(U127="INCLUDED",W127=1),--(NOT(EXACT(A127,'AI output'!A127)))+--(NOT(EXACT(B127,'AI output'!B127)))+--(NOT(EXACT(TEXT(G127,"yyyy-mm-dd"),'AI output'!C127)))+--(NOT(EXACT(H127,'AI output'!D127)))+--(NOT(EXACT(J127,'AI output'!E127)))+--(NOT(EXACT(K127,'AI output'!F127)))+--(N127&lt;&gt;'AI output'!L127)+--(NOT('AI output'!M127)),0)</f>
        <v>0</v>
      </c>
      <c r="Z127" s="1">
        <f t="shared" si="15"/>
        <v>0</v>
      </c>
      <c r="AA127" s="1">
        <f>--EXACT(A127,"L00121")</f>
        <v>1</v>
      </c>
    </row>
    <row r="128" spans="1:27" ht="18.95" customHeight="1">
      <c r="A128" s="1" t="str">
        <f>IF(Raw!A128="","",Raw!A128)</f>
        <v>L00122</v>
      </c>
      <c r="B128" s="1" t="str">
        <f>IF(Raw!B128="","",Raw!B128)</f>
        <v>T00061</v>
      </c>
      <c r="C128" s="1" t="str">
        <f>IF(Raw!C128="","",Raw!C128)</f>
        <v>2026-03-02</v>
      </c>
      <c r="D128" s="1">
        <f t="shared" si="8"/>
        <v>2026</v>
      </c>
      <c r="E128" s="1">
        <f>IFERROR(IF(AND(LEN(C128)=10,MID(C128,5,1)="-",MID(C128,8,1)="-"),VALUE(MID(C128,6,2)),IF(AND(LEN(C128)=11,MID(C128,3,1)="-",MID(C128,7,1)="-"),MATCH(UPPER(MID(C128,4,3)),Guide!$D$7:$D$18,0),0)),0)</f>
        <v>3</v>
      </c>
      <c r="F128" s="1">
        <f t="shared" si="9"/>
        <v>2</v>
      </c>
      <c r="G128" s="9">
        <f t="shared" si="10"/>
        <v>46083</v>
      </c>
      <c r="H128" s="1" t="str">
        <f>IF(Raw!D128="","",Raw!D128)</f>
        <v>P-H</v>
      </c>
      <c r="I128" s="1" t="str">
        <f>IFERROR(IF(EXACT(H128,INDEX(Guide!$A$7:$A$9,MATCH(SUBSTITUTE(SUBSTITUTE(SUBSTITUTE(H128,"~","~~"),"*","~*"),"?","~?"),Guide!$A$7:$A$9,0))),INDEX(Guide!$B$7:$B$9,MATCH(SUBSTITUTE(SUBSTITUTE(SUBSTITUTE(H128,"~","~~"),"*","~*"),"?","~?"),Guide!$A$7:$A$9,0)),""),"")</f>
        <v>Home</v>
      </c>
      <c r="J128" s="1" t="str">
        <f>IF(TRIM(Raw!E128)="",I128,IF(UPPER(TRIM(Raw!E128))=UPPER(I128),I128,""))</f>
        <v>Home</v>
      </c>
      <c r="K128" s="1" t="str">
        <f>IF(Raw!F128="","",Raw!F128)</f>
        <v>sale</v>
      </c>
      <c r="L128" s="1" t="str">
        <f>IF(LEFT(TRIM(Raw!G128),2)="-$","-"&amp;MID(TRIM(Raw!G128),3,99),IF(LEFT(TRIM(Raw!G128),1)="$",MID(TRIM(Raw!G128),2,99),TRIM(Raw!G128)))</f>
        <v>149.28</v>
      </c>
      <c r="M128" s="1">
        <f t="shared" si="11"/>
        <v>149.28</v>
      </c>
      <c r="N128" s="10">
        <f t="shared" si="12"/>
        <v>14928</v>
      </c>
      <c r="O128" s="1" t="b">
        <f>IFERROR(IF(ISNUMBER(Raw!G128),TRUE,OR(EXACT(L128,TEXT(M128,"0.00")),EXACT(L128,TEXT(M128,"#,##0.00")))),FALSE)</f>
        <v>1</v>
      </c>
      <c r="P128" s="1" t="str">
        <f>LEN(IF(Raw!A128="","",Raw!A128))&amp;":"&amp;IF(Raw!A128="","",Raw!A128)&amp;"|"&amp;LEN(IF(Raw!B128="","",Raw!B128))&amp;":"&amp;IF(Raw!B128="","",Raw!B128)&amp;"|"&amp;LEN(IF(Raw!C128="","",Raw!C128))&amp;":"&amp;IF(Raw!C128="","",Raw!C128)&amp;"|"&amp;LEN(IF(Raw!D128="","",Raw!D128))&amp;":"&amp;IF(Raw!D128="","",Raw!D128)&amp;"|"&amp;LEN(IF(Raw!E128="","",Raw!E128))&amp;":"&amp;IF(Raw!E128="","",Raw!E128)&amp;"|"&amp;LEN(IF(Raw!F128="","",Raw!F128))&amp;":"&amp;IF(Raw!F128="","",Raw!F128)&amp;"|"&amp;LEN(IF(Raw!G128="","",Raw!G128))&amp;":"&amp;IF(Raw!G128="","",Raw!G128)</f>
        <v>6:L00122|6:T00061|10:2026-03-02|3:P-H|4:Home|4:sale|6:149.28</v>
      </c>
      <c r="Q128" s="1">
        <f>1</f>
        <v>1</v>
      </c>
      <c r="R128" s="1" t="b">
        <f>FALSE</f>
        <v>0</v>
      </c>
      <c r="S128" s="1">
        <f>1</f>
        <v>1</v>
      </c>
      <c r="T128" s="1" t="str">
        <f>IF(AND(Raw!A128="",Raw!B128="",Raw!C128="",Raw!D128="",Raw!E128="",Raw!F128="",Raw!G128=""),"UNUSED",IF(A128="","missing line ID",IF(B128="","missing transaction ID",IF(G128="",IF(C128="","missing date","invalid date"),IF(I128="","unknown product",IF(J128="","conflicting category",IF(NOT(OR(EXACT(K128,"sale"),EXACT(K128,"refund"))),"unknown event",IF(OR(N128="",NOT(O128)),"invalid amount",IF(OR(AND(K128="sale",N128&lt;=0),AND(K128="refund",N128&gt;=0)),"invalid sign","")))))))))</f>
        <v/>
      </c>
      <c r="U128" s="1" t="str">
        <f t="shared" si="13"/>
        <v>INCLUDED</v>
      </c>
      <c r="V128" s="1" t="str">
        <f t="shared" si="14"/>
        <v>2026-03</v>
      </c>
      <c r="W128" s="1">
        <f>IF(AND(U128="INCLUDED",X128&gt;0,EXACT(A128,'AI output'!A128)),1,0)</f>
        <v>1</v>
      </c>
      <c r="X128" s="1">
        <f>128</f>
        <v>128</v>
      </c>
      <c r="Y128" s="1">
        <f>IF(AND(U128="INCLUDED",W128=1),--(NOT(EXACT(A128,'AI output'!A128)))+--(NOT(EXACT(B128,'AI output'!B128)))+--(NOT(EXACT(TEXT(G128,"yyyy-mm-dd"),'AI output'!C128)))+--(NOT(EXACT(H128,'AI output'!D128)))+--(NOT(EXACT(J128,'AI output'!E128)))+--(NOT(EXACT(K128,'AI output'!F128)))+--(N128&lt;&gt;'AI output'!L128)+--(NOT('AI output'!M128)),0)</f>
        <v>0</v>
      </c>
      <c r="Z128" s="1">
        <f t="shared" si="15"/>
        <v>0</v>
      </c>
      <c r="AA128" s="1">
        <f>--EXACT(A128,"L00122")</f>
        <v>1</v>
      </c>
    </row>
    <row r="129" spans="1:27" ht="18.95" customHeight="1">
      <c r="A129" s="1" t="str">
        <f>IF(Raw!A129="","",Raw!A129)</f>
        <v>L00123</v>
      </c>
      <c r="B129" s="1" t="str">
        <f>IF(Raw!B129="","",Raw!B129)</f>
        <v>T00062</v>
      </c>
      <c r="C129" s="1" t="str">
        <f>IF(Raw!C129="","",Raw!C129)</f>
        <v>2026-03-09</v>
      </c>
      <c r="D129" s="1">
        <f t="shared" si="8"/>
        <v>2026</v>
      </c>
      <c r="E129" s="1">
        <f>IFERROR(IF(AND(LEN(C129)=10,MID(C129,5,1)="-",MID(C129,8,1)="-"),VALUE(MID(C129,6,2)),IF(AND(LEN(C129)=11,MID(C129,3,1)="-",MID(C129,7,1)="-"),MATCH(UPPER(MID(C129,4,3)),Guide!$D$7:$D$18,0),0)),0)</f>
        <v>3</v>
      </c>
      <c r="F129" s="1">
        <f t="shared" si="9"/>
        <v>9</v>
      </c>
      <c r="G129" s="9">
        <f t="shared" si="10"/>
        <v>46090</v>
      </c>
      <c r="H129" s="1" t="str">
        <f>IF(Raw!D129="","",Raw!D129)</f>
        <v>P-O</v>
      </c>
      <c r="I129" s="1" t="str">
        <f>IFERROR(IF(EXACT(H129,INDEX(Guide!$A$7:$A$9,MATCH(SUBSTITUTE(SUBSTITUTE(SUBSTITUTE(H129,"~","~~"),"*","~*"),"?","~?"),Guide!$A$7:$A$9,0))),INDEX(Guide!$B$7:$B$9,MATCH(SUBSTITUTE(SUBSTITUTE(SUBSTITUTE(H129,"~","~~"),"*","~*"),"?","~?"),Guide!$A$7:$A$9,0)),""),"")</f>
        <v>Office</v>
      </c>
      <c r="J129" s="1" t="str">
        <f>IF(TRIM(Raw!E129)="",I129,IF(UPPER(TRIM(Raw!E129))=UPPER(I129),I129,""))</f>
        <v>Office</v>
      </c>
      <c r="K129" s="1" t="str">
        <f>IF(Raw!F129="","",Raw!F129)</f>
        <v>sale</v>
      </c>
      <c r="L129" s="1" t="str">
        <f>IF(LEFT(TRIM(Raw!G129),2)="-$","-"&amp;MID(TRIM(Raw!G129),3,99),IF(LEFT(TRIM(Raw!G129),1)="$",MID(TRIM(Raw!G129),2,99),TRIM(Raw!G129)))</f>
        <v>250.65</v>
      </c>
      <c r="M129" s="1">
        <f t="shared" si="11"/>
        <v>250.65</v>
      </c>
      <c r="N129" s="10">
        <f t="shared" si="12"/>
        <v>25065</v>
      </c>
      <c r="O129" s="1" t="b">
        <f>IFERROR(IF(ISNUMBER(Raw!G129),TRUE,OR(EXACT(L129,TEXT(M129,"0.00")),EXACT(L129,TEXT(M129,"#,##0.00")))),FALSE)</f>
        <v>1</v>
      </c>
      <c r="P129" s="1" t="str">
        <f>LEN(IF(Raw!A129="","",Raw!A129))&amp;":"&amp;IF(Raw!A129="","",Raw!A129)&amp;"|"&amp;LEN(IF(Raw!B129="","",Raw!B129))&amp;":"&amp;IF(Raw!B129="","",Raw!B129)&amp;"|"&amp;LEN(IF(Raw!C129="","",Raw!C129))&amp;":"&amp;IF(Raw!C129="","",Raw!C129)&amp;"|"&amp;LEN(IF(Raw!D129="","",Raw!D129))&amp;":"&amp;IF(Raw!D129="","",Raw!D129)&amp;"|"&amp;LEN(IF(Raw!E129="","",Raw!E129))&amp;":"&amp;IF(Raw!E129="","",Raw!E129)&amp;"|"&amp;LEN(IF(Raw!F129="","",Raw!F129))&amp;":"&amp;IF(Raw!F129="","",Raw!F129)&amp;"|"&amp;LEN(IF(Raw!G129="","",Raw!G129))&amp;":"&amp;IF(Raw!G129="","",Raw!G129)</f>
        <v>6:L00123|6:T00062|10:2026-03-09|3:P-O|6:Office|4:sale|6:250.65</v>
      </c>
      <c r="Q129" s="1">
        <f>1</f>
        <v>1</v>
      </c>
      <c r="R129" s="1" t="b">
        <f>FALSE</f>
        <v>0</v>
      </c>
      <c r="S129" s="1">
        <f>1</f>
        <v>1</v>
      </c>
      <c r="T129" s="1" t="str">
        <f>IF(AND(Raw!A129="",Raw!B129="",Raw!C129="",Raw!D129="",Raw!E129="",Raw!F129="",Raw!G129=""),"UNUSED",IF(A129="","missing line ID",IF(B129="","missing transaction ID",IF(G129="",IF(C129="","missing date","invalid date"),IF(I129="","unknown product",IF(J129="","conflicting category",IF(NOT(OR(EXACT(K129,"sale"),EXACT(K129,"refund"))),"unknown event",IF(OR(N129="",NOT(O129)),"invalid amount",IF(OR(AND(K129="sale",N129&lt;=0),AND(K129="refund",N129&gt;=0)),"invalid sign","")))))))))</f>
        <v/>
      </c>
      <c r="U129" s="1" t="str">
        <f t="shared" si="13"/>
        <v>INCLUDED</v>
      </c>
      <c r="V129" s="1" t="str">
        <f t="shared" si="14"/>
        <v>2026-03</v>
      </c>
      <c r="W129" s="1">
        <f>IF(AND(U129="INCLUDED",X129&gt;0,EXACT(A129,'AI output'!A129)),1,0)</f>
        <v>1</v>
      </c>
      <c r="X129" s="1">
        <f>129</f>
        <v>129</v>
      </c>
      <c r="Y129" s="1">
        <f>IF(AND(U129="INCLUDED",W129=1),--(NOT(EXACT(A129,'AI output'!A129)))+--(NOT(EXACT(B129,'AI output'!B129)))+--(NOT(EXACT(TEXT(G129,"yyyy-mm-dd"),'AI output'!C129)))+--(NOT(EXACT(H129,'AI output'!D129)))+--(NOT(EXACT(J129,'AI output'!E129)))+--(NOT(EXACT(K129,'AI output'!F129)))+--(N129&lt;&gt;'AI output'!L129)+--(NOT('AI output'!M129)),0)</f>
        <v>0</v>
      </c>
      <c r="Z129" s="1">
        <f t="shared" si="15"/>
        <v>0</v>
      </c>
      <c r="AA129" s="1">
        <f>--EXACT(A129,"L00123")</f>
        <v>1</v>
      </c>
    </row>
    <row r="130" spans="1:27" ht="18.95" customHeight="1">
      <c r="A130" s="1" t="str">
        <f>IF(Raw!A130="","",Raw!A130)</f>
        <v>L00124</v>
      </c>
      <c r="B130" s="1" t="str">
        <f>IF(Raw!B130="","",Raw!B130)</f>
        <v>T00062</v>
      </c>
      <c r="C130" s="1" t="str">
        <f>IF(Raw!C130="","",Raw!C130)</f>
        <v>2026-03-09</v>
      </c>
      <c r="D130" s="1">
        <f t="shared" si="8"/>
        <v>2026</v>
      </c>
      <c r="E130" s="1">
        <f>IFERROR(IF(AND(LEN(C130)=10,MID(C130,5,1)="-",MID(C130,8,1)="-"),VALUE(MID(C130,6,2)),IF(AND(LEN(C130)=11,MID(C130,3,1)="-",MID(C130,7,1)="-"),MATCH(UPPER(MID(C130,4,3)),Guide!$D$7:$D$18,0),0)),0)</f>
        <v>3</v>
      </c>
      <c r="F130" s="1">
        <f t="shared" si="9"/>
        <v>9</v>
      </c>
      <c r="G130" s="9">
        <f t="shared" si="10"/>
        <v>46090</v>
      </c>
      <c r="H130" s="1" t="str">
        <f>IF(Raw!D130="","",Raw!D130)</f>
        <v>P-A</v>
      </c>
      <c r="I130" s="1" t="str">
        <f>IFERROR(IF(EXACT(H130,INDEX(Guide!$A$7:$A$9,MATCH(SUBSTITUTE(SUBSTITUTE(SUBSTITUTE(H130,"~","~~"),"*","~*"),"?","~?"),Guide!$A$7:$A$9,0))),INDEX(Guide!$B$7:$B$9,MATCH(SUBSTITUTE(SUBSTITUTE(SUBSTITUTE(H130,"~","~~"),"*","~*"),"?","~?"),Guide!$A$7:$A$9,0)),""),"")</f>
        <v>Accessories</v>
      </c>
      <c r="J130" s="1" t="str">
        <f>IF(TRIM(Raw!E130)="",I130,IF(UPPER(TRIM(Raw!E130))=UPPER(I130),I130,""))</f>
        <v>Accessories</v>
      </c>
      <c r="K130" s="1" t="str">
        <f>IF(Raw!F130="","",Raw!F130)</f>
        <v>sale</v>
      </c>
      <c r="L130" s="1" t="str">
        <f>IF(LEFT(TRIM(Raw!G130),2)="-$","-"&amp;MID(TRIM(Raw!G130),3,99),IF(LEFT(TRIM(Raw!G130),1)="$",MID(TRIM(Raw!G130),2,99),TRIM(Raw!G130)))</f>
        <v>101.00</v>
      </c>
      <c r="M130" s="1">
        <f t="shared" si="11"/>
        <v>101</v>
      </c>
      <c r="N130" s="10">
        <f t="shared" si="12"/>
        <v>10100</v>
      </c>
      <c r="O130" s="1" t="b">
        <f>IFERROR(IF(ISNUMBER(Raw!G130),TRUE,OR(EXACT(L130,TEXT(M130,"0.00")),EXACT(L130,TEXT(M130,"#,##0.00")))),FALSE)</f>
        <v>1</v>
      </c>
      <c r="P130" s="1" t="str">
        <f>LEN(IF(Raw!A130="","",Raw!A130))&amp;":"&amp;IF(Raw!A130="","",Raw!A130)&amp;"|"&amp;LEN(IF(Raw!B130="","",Raw!B130))&amp;":"&amp;IF(Raw!B130="","",Raw!B130)&amp;"|"&amp;LEN(IF(Raw!C130="","",Raw!C130))&amp;":"&amp;IF(Raw!C130="","",Raw!C130)&amp;"|"&amp;LEN(IF(Raw!D130="","",Raw!D130))&amp;":"&amp;IF(Raw!D130="","",Raw!D130)&amp;"|"&amp;LEN(IF(Raw!E130="","",Raw!E130))&amp;":"&amp;IF(Raw!E130="","",Raw!E130)&amp;"|"&amp;LEN(IF(Raw!F130="","",Raw!F130))&amp;":"&amp;IF(Raw!F130="","",Raw!F130)&amp;"|"&amp;LEN(IF(Raw!G130="","",Raw!G130))&amp;":"&amp;IF(Raw!G130="","",Raw!G130)</f>
        <v>6:L00124|6:T00062|10:2026-03-09|3:P-A|11:Accessories|4:sale|6:101.00</v>
      </c>
      <c r="Q130" s="1">
        <f>1</f>
        <v>1</v>
      </c>
      <c r="R130" s="1" t="b">
        <f>FALSE</f>
        <v>0</v>
      </c>
      <c r="S130" s="1">
        <f>1</f>
        <v>1</v>
      </c>
      <c r="T130" s="1" t="str">
        <f>IF(AND(Raw!A130="",Raw!B130="",Raw!C130="",Raw!D130="",Raw!E130="",Raw!F130="",Raw!G130=""),"UNUSED",IF(A130="","missing line ID",IF(B130="","missing transaction ID",IF(G130="",IF(C130="","missing date","invalid date"),IF(I130="","unknown product",IF(J130="","conflicting category",IF(NOT(OR(EXACT(K130,"sale"),EXACT(K130,"refund"))),"unknown event",IF(OR(N130="",NOT(O130)),"invalid amount",IF(OR(AND(K130="sale",N130&lt;=0),AND(K130="refund",N130&gt;=0)),"invalid sign","")))))))))</f>
        <v/>
      </c>
      <c r="U130" s="1" t="str">
        <f t="shared" si="13"/>
        <v>INCLUDED</v>
      </c>
      <c r="V130" s="1" t="str">
        <f t="shared" si="14"/>
        <v>2026-03</v>
      </c>
      <c r="W130" s="1">
        <f>IF(AND(U130="INCLUDED",X130&gt;0,EXACT(A130,'AI output'!A130)),1,0)</f>
        <v>1</v>
      </c>
      <c r="X130" s="1">
        <f>130</f>
        <v>130</v>
      </c>
      <c r="Y130" s="1">
        <f>IF(AND(U130="INCLUDED",W130=1),--(NOT(EXACT(A130,'AI output'!A130)))+--(NOT(EXACT(B130,'AI output'!B130)))+--(NOT(EXACT(TEXT(G130,"yyyy-mm-dd"),'AI output'!C130)))+--(NOT(EXACT(H130,'AI output'!D130)))+--(NOT(EXACT(J130,'AI output'!E130)))+--(NOT(EXACT(K130,'AI output'!F130)))+--(N130&lt;&gt;'AI output'!L130)+--(NOT('AI output'!M130)),0)</f>
        <v>0</v>
      </c>
      <c r="Z130" s="1">
        <f t="shared" si="15"/>
        <v>0</v>
      </c>
      <c r="AA130" s="1">
        <f>--EXACT(A130,"L00124")</f>
        <v>1</v>
      </c>
    </row>
    <row r="131" spans="1:27" ht="18.95" customHeight="1">
      <c r="A131" s="1" t="str">
        <f>IF(Raw!A131="","",Raw!A131)</f>
        <v>L00125</v>
      </c>
      <c r="B131" s="1" t="str">
        <f>IF(Raw!B131="","",Raw!B131)</f>
        <v>T00063</v>
      </c>
      <c r="C131" s="1" t="str">
        <f>IF(Raw!C131="","",Raw!C131)</f>
        <v>2026-03-16</v>
      </c>
      <c r="D131" s="1">
        <f t="shared" si="8"/>
        <v>2026</v>
      </c>
      <c r="E131" s="1">
        <f>IFERROR(IF(AND(LEN(C131)=10,MID(C131,5,1)="-",MID(C131,8,1)="-"),VALUE(MID(C131,6,2)),IF(AND(LEN(C131)=11,MID(C131,3,1)="-",MID(C131,7,1)="-"),MATCH(UPPER(MID(C131,4,3)),Guide!$D$7:$D$18,0),0)),0)</f>
        <v>3</v>
      </c>
      <c r="F131" s="1">
        <f t="shared" si="9"/>
        <v>16</v>
      </c>
      <c r="G131" s="9">
        <f t="shared" si="10"/>
        <v>46097</v>
      </c>
      <c r="H131" s="1" t="str">
        <f>IF(Raw!D131="","",Raw!D131)</f>
        <v>P-H</v>
      </c>
      <c r="I131" s="1" t="str">
        <f>IFERROR(IF(EXACT(H131,INDEX(Guide!$A$7:$A$9,MATCH(SUBSTITUTE(SUBSTITUTE(SUBSTITUTE(H131,"~","~~"),"*","~*"),"?","~?"),Guide!$A$7:$A$9,0))),INDEX(Guide!$B$7:$B$9,MATCH(SUBSTITUTE(SUBSTITUTE(SUBSTITUTE(H131,"~","~~"),"*","~*"),"?","~?"),Guide!$A$7:$A$9,0)),""),"")</f>
        <v>Home</v>
      </c>
      <c r="J131" s="1" t="str">
        <f>IF(TRIM(Raw!E131)="",I131,IF(UPPER(TRIM(Raw!E131))=UPPER(I131),I131,""))</f>
        <v>Home</v>
      </c>
      <c r="K131" s="1" t="str">
        <f>IF(Raw!F131="","",Raw!F131)</f>
        <v>sale</v>
      </c>
      <c r="L131" s="1" t="str">
        <f>IF(LEFT(TRIM(Raw!G131),2)="-$","-"&amp;MID(TRIM(Raw!G131),3,99),IF(LEFT(TRIM(Raw!G131),1)="$",MID(TRIM(Raw!G131),2,99),TRIM(Raw!G131)))</f>
        <v>203.48</v>
      </c>
      <c r="M131" s="1">
        <f t="shared" si="11"/>
        <v>203.48</v>
      </c>
      <c r="N131" s="10">
        <f t="shared" si="12"/>
        <v>20348</v>
      </c>
      <c r="O131" s="1" t="b">
        <f>IFERROR(IF(ISNUMBER(Raw!G131),TRUE,OR(EXACT(L131,TEXT(M131,"0.00")),EXACT(L131,TEXT(M131,"#,##0.00")))),FALSE)</f>
        <v>1</v>
      </c>
      <c r="P131" s="1" t="str">
        <f>LEN(IF(Raw!A131="","",Raw!A131))&amp;":"&amp;IF(Raw!A131="","",Raw!A131)&amp;"|"&amp;LEN(IF(Raw!B131="","",Raw!B131))&amp;":"&amp;IF(Raw!B131="","",Raw!B131)&amp;"|"&amp;LEN(IF(Raw!C131="","",Raw!C131))&amp;":"&amp;IF(Raw!C131="","",Raw!C131)&amp;"|"&amp;LEN(IF(Raw!D131="","",Raw!D131))&amp;":"&amp;IF(Raw!D131="","",Raw!D131)&amp;"|"&amp;LEN(IF(Raw!E131="","",Raw!E131))&amp;":"&amp;IF(Raw!E131="","",Raw!E131)&amp;"|"&amp;LEN(IF(Raw!F131="","",Raw!F131))&amp;":"&amp;IF(Raw!F131="","",Raw!F131)&amp;"|"&amp;LEN(IF(Raw!G131="","",Raw!G131))&amp;":"&amp;IF(Raw!G131="","",Raw!G131)</f>
        <v>6:L00125|6:T00063|10:2026-03-16|3:P-H|4:Home|4:sale|6:203.48</v>
      </c>
      <c r="Q131" s="1">
        <f>1</f>
        <v>1</v>
      </c>
      <c r="R131" s="1" t="b">
        <f>FALSE</f>
        <v>0</v>
      </c>
      <c r="S131" s="1">
        <f>1</f>
        <v>1</v>
      </c>
      <c r="T131" s="1" t="str">
        <f>IF(AND(Raw!A131="",Raw!B131="",Raw!C131="",Raw!D131="",Raw!E131="",Raw!F131="",Raw!G131=""),"UNUSED",IF(A131="","missing line ID",IF(B131="","missing transaction ID",IF(G131="",IF(C131="","missing date","invalid date"),IF(I131="","unknown product",IF(J131="","conflicting category",IF(NOT(OR(EXACT(K131,"sale"),EXACT(K131,"refund"))),"unknown event",IF(OR(N131="",NOT(O131)),"invalid amount",IF(OR(AND(K131="sale",N131&lt;=0),AND(K131="refund",N131&gt;=0)),"invalid sign","")))))))))</f>
        <v/>
      </c>
      <c r="U131" s="1" t="str">
        <f t="shared" si="13"/>
        <v>INCLUDED</v>
      </c>
      <c r="V131" s="1" t="str">
        <f t="shared" si="14"/>
        <v>2026-03</v>
      </c>
      <c r="W131" s="1">
        <f>IF(AND(U131="INCLUDED",X131&gt;0,EXACT(A131,'AI output'!A131)),1,0)</f>
        <v>1</v>
      </c>
      <c r="X131" s="1">
        <f>131</f>
        <v>131</v>
      </c>
      <c r="Y131" s="1">
        <f>IF(AND(U131="INCLUDED",W131=1),--(NOT(EXACT(A131,'AI output'!A131)))+--(NOT(EXACT(B131,'AI output'!B131)))+--(NOT(EXACT(TEXT(G131,"yyyy-mm-dd"),'AI output'!C131)))+--(NOT(EXACT(H131,'AI output'!D131)))+--(NOT(EXACT(J131,'AI output'!E131)))+--(NOT(EXACT(K131,'AI output'!F131)))+--(N131&lt;&gt;'AI output'!L131)+--(NOT('AI output'!M131)),0)</f>
        <v>0</v>
      </c>
      <c r="Z131" s="1">
        <f t="shared" si="15"/>
        <v>0</v>
      </c>
      <c r="AA131" s="1">
        <f>--EXACT(A131,"L00125")</f>
        <v>1</v>
      </c>
    </row>
    <row r="132" spans="1:27" ht="18.95" customHeight="1">
      <c r="A132" s="1" t="str">
        <f>IF(Raw!A132="","",Raw!A132)</f>
        <v>L00126</v>
      </c>
      <c r="B132" s="1" t="str">
        <f>IF(Raw!B132="","",Raw!B132)</f>
        <v>T00063</v>
      </c>
      <c r="C132" s="1" t="str">
        <f>IF(Raw!C132="","",Raw!C132)</f>
        <v>2026-03-16</v>
      </c>
      <c r="D132" s="1">
        <f t="shared" si="8"/>
        <v>2026</v>
      </c>
      <c r="E132" s="1">
        <f>IFERROR(IF(AND(LEN(C132)=10,MID(C132,5,1)="-",MID(C132,8,1)="-"),VALUE(MID(C132,6,2)),IF(AND(LEN(C132)=11,MID(C132,3,1)="-",MID(C132,7,1)="-"),MATCH(UPPER(MID(C132,4,3)),Guide!$D$7:$D$18,0),0)),0)</f>
        <v>3</v>
      </c>
      <c r="F132" s="1">
        <f t="shared" si="9"/>
        <v>16</v>
      </c>
      <c r="G132" s="9">
        <f t="shared" si="10"/>
        <v>46097</v>
      </c>
      <c r="H132" s="1" t="str">
        <f>IF(Raw!D132="","",Raw!D132)</f>
        <v>P-O</v>
      </c>
      <c r="I132" s="1" t="str">
        <f>IFERROR(IF(EXACT(H132,INDEX(Guide!$A$7:$A$9,MATCH(SUBSTITUTE(SUBSTITUTE(SUBSTITUTE(H132,"~","~~"),"*","~*"),"?","~?"),Guide!$A$7:$A$9,0))),INDEX(Guide!$B$7:$B$9,MATCH(SUBSTITUTE(SUBSTITUTE(SUBSTITUTE(H132,"~","~~"),"*","~*"),"?","~?"),Guide!$A$7:$A$9,0)),""),"")</f>
        <v>Office</v>
      </c>
      <c r="J132" s="1" t="str">
        <f>IF(TRIM(Raw!E132)="",I132,IF(UPPER(TRIM(Raw!E132))=UPPER(I132),I132,""))</f>
        <v>Office</v>
      </c>
      <c r="K132" s="1" t="str">
        <f>IF(Raw!F132="","",Raw!F132)</f>
        <v>sale</v>
      </c>
      <c r="L132" s="1" t="str">
        <f>IF(LEFT(TRIM(Raw!G132),2)="-$","-"&amp;MID(TRIM(Raw!G132),3,99),IF(LEFT(TRIM(Raw!G132),1)="$",MID(TRIM(Raw!G132),2,99),TRIM(Raw!G132)))</f>
        <v>51.24</v>
      </c>
      <c r="M132" s="1">
        <f t="shared" si="11"/>
        <v>51.24</v>
      </c>
      <c r="N132" s="10">
        <f t="shared" si="12"/>
        <v>5124</v>
      </c>
      <c r="O132" s="1" t="b">
        <f>IFERROR(IF(ISNUMBER(Raw!G132),TRUE,OR(EXACT(L132,TEXT(M132,"0.00")),EXACT(L132,TEXT(M132,"#,##0.00")))),FALSE)</f>
        <v>1</v>
      </c>
      <c r="P132" s="1" t="str">
        <f>LEN(IF(Raw!A132="","",Raw!A132))&amp;":"&amp;IF(Raw!A132="","",Raw!A132)&amp;"|"&amp;LEN(IF(Raw!B132="","",Raw!B132))&amp;":"&amp;IF(Raw!B132="","",Raw!B132)&amp;"|"&amp;LEN(IF(Raw!C132="","",Raw!C132))&amp;":"&amp;IF(Raw!C132="","",Raw!C132)&amp;"|"&amp;LEN(IF(Raw!D132="","",Raw!D132))&amp;":"&amp;IF(Raw!D132="","",Raw!D132)&amp;"|"&amp;LEN(IF(Raw!E132="","",Raw!E132))&amp;":"&amp;IF(Raw!E132="","",Raw!E132)&amp;"|"&amp;LEN(IF(Raw!F132="","",Raw!F132))&amp;":"&amp;IF(Raw!F132="","",Raw!F132)&amp;"|"&amp;LEN(IF(Raw!G132="","",Raw!G132))&amp;":"&amp;IF(Raw!G132="","",Raw!G132)</f>
        <v>6:L00126|6:T00063|10:2026-03-16|3:P-O|6:Office|4:sale|6:$51.24</v>
      </c>
      <c r="Q132" s="1">
        <f>1</f>
        <v>1</v>
      </c>
      <c r="R132" s="1" t="b">
        <f>FALSE</f>
        <v>0</v>
      </c>
      <c r="S132" s="1">
        <f>1</f>
        <v>1</v>
      </c>
      <c r="T132" s="1" t="str">
        <f>IF(AND(Raw!A132="",Raw!B132="",Raw!C132="",Raw!D132="",Raw!E132="",Raw!F132="",Raw!G132=""),"UNUSED",IF(A132="","missing line ID",IF(B132="","missing transaction ID",IF(G132="",IF(C132="","missing date","invalid date"),IF(I132="","unknown product",IF(J132="","conflicting category",IF(NOT(OR(EXACT(K132,"sale"),EXACT(K132,"refund"))),"unknown event",IF(OR(N132="",NOT(O132)),"invalid amount",IF(OR(AND(K132="sale",N132&lt;=0),AND(K132="refund",N132&gt;=0)),"invalid sign","")))))))))</f>
        <v/>
      </c>
      <c r="U132" s="1" t="str">
        <f t="shared" si="13"/>
        <v>INCLUDED</v>
      </c>
      <c r="V132" s="1" t="str">
        <f t="shared" si="14"/>
        <v>2026-03</v>
      </c>
      <c r="W132" s="1">
        <f>IF(AND(U132="INCLUDED",X132&gt;0,EXACT(A132,'AI output'!A132)),1,0)</f>
        <v>1</v>
      </c>
      <c r="X132" s="1">
        <f>132</f>
        <v>132</v>
      </c>
      <c r="Y132" s="1">
        <f>IF(AND(U132="INCLUDED",W132=1),--(NOT(EXACT(A132,'AI output'!A132)))+--(NOT(EXACT(B132,'AI output'!B132)))+--(NOT(EXACT(TEXT(G132,"yyyy-mm-dd"),'AI output'!C132)))+--(NOT(EXACT(H132,'AI output'!D132)))+--(NOT(EXACT(J132,'AI output'!E132)))+--(NOT(EXACT(K132,'AI output'!F132)))+--(N132&lt;&gt;'AI output'!L132)+--(NOT('AI output'!M132)),0)</f>
        <v>0</v>
      </c>
      <c r="Z132" s="1">
        <f t="shared" si="15"/>
        <v>0</v>
      </c>
      <c r="AA132" s="1">
        <f>--EXACT(A132,"L00126")</f>
        <v>1</v>
      </c>
    </row>
    <row r="133" spans="1:27" ht="18.95" customHeight="1">
      <c r="A133" s="1" t="str">
        <f>IF(Raw!A133="","",Raw!A133)</f>
        <v>L00127</v>
      </c>
      <c r="B133" s="1" t="str">
        <f>IF(Raw!B133="","",Raw!B133)</f>
        <v>T00064</v>
      </c>
      <c r="C133" s="1" t="str">
        <f>IF(Raw!C133="","",Raw!C133)</f>
        <v>2026-03-23</v>
      </c>
      <c r="D133" s="1">
        <f t="shared" si="8"/>
        <v>2026</v>
      </c>
      <c r="E133" s="1">
        <f>IFERROR(IF(AND(LEN(C133)=10,MID(C133,5,1)="-",MID(C133,8,1)="-"),VALUE(MID(C133,6,2)),IF(AND(LEN(C133)=11,MID(C133,3,1)="-",MID(C133,7,1)="-"),MATCH(UPPER(MID(C133,4,3)),Guide!$D$7:$D$18,0),0)),0)</f>
        <v>3</v>
      </c>
      <c r="F133" s="1">
        <f t="shared" si="9"/>
        <v>23</v>
      </c>
      <c r="G133" s="9">
        <f t="shared" si="10"/>
        <v>46104</v>
      </c>
      <c r="H133" s="1" t="str">
        <f>IF(Raw!D133="","",Raw!D133)</f>
        <v>P-A</v>
      </c>
      <c r="I133" s="1" t="str">
        <f>IFERROR(IF(EXACT(H133,INDEX(Guide!$A$7:$A$9,MATCH(SUBSTITUTE(SUBSTITUTE(SUBSTITUTE(H133,"~","~~"),"*","~*"),"?","~?"),Guide!$A$7:$A$9,0))),INDEX(Guide!$B$7:$B$9,MATCH(SUBSTITUTE(SUBSTITUTE(SUBSTITUTE(H133,"~","~~"),"*","~*"),"?","~?"),Guide!$A$7:$A$9,0)),""),"")</f>
        <v>Accessories</v>
      </c>
      <c r="J133" s="1" t="str">
        <f>IF(TRIM(Raw!E133)="",I133,IF(UPPER(TRIM(Raw!E133))=UPPER(I133),I133,""))</f>
        <v>Accessories</v>
      </c>
      <c r="K133" s="1" t="str">
        <f>IF(Raw!F133="","",Raw!F133)</f>
        <v>sale</v>
      </c>
      <c r="L133" s="1" t="str">
        <f>IF(LEFT(TRIM(Raw!G133),2)="-$","-"&amp;MID(TRIM(Raw!G133),3,99),IF(LEFT(TRIM(Raw!G133),1)="$",MID(TRIM(Raw!G133),2,99),TRIM(Raw!G133)))</f>
        <v>154.83</v>
      </c>
      <c r="M133" s="1">
        <f t="shared" si="11"/>
        <v>154.83000000000001</v>
      </c>
      <c r="N133" s="10">
        <f t="shared" si="12"/>
        <v>15483</v>
      </c>
      <c r="O133" s="1" t="b">
        <f>IFERROR(IF(ISNUMBER(Raw!G133),TRUE,OR(EXACT(L133,TEXT(M133,"0.00")),EXACT(L133,TEXT(M133,"#,##0.00")))),FALSE)</f>
        <v>1</v>
      </c>
      <c r="P133" s="1" t="str">
        <f>LEN(IF(Raw!A133="","",Raw!A133))&amp;":"&amp;IF(Raw!A133="","",Raw!A133)&amp;"|"&amp;LEN(IF(Raw!B133="","",Raw!B133))&amp;":"&amp;IF(Raw!B133="","",Raw!B133)&amp;"|"&amp;LEN(IF(Raw!C133="","",Raw!C133))&amp;":"&amp;IF(Raw!C133="","",Raw!C133)&amp;"|"&amp;LEN(IF(Raw!D133="","",Raw!D133))&amp;":"&amp;IF(Raw!D133="","",Raw!D133)&amp;"|"&amp;LEN(IF(Raw!E133="","",Raw!E133))&amp;":"&amp;IF(Raw!E133="","",Raw!E133)&amp;"|"&amp;LEN(IF(Raw!F133="","",Raw!F133))&amp;":"&amp;IF(Raw!F133="","",Raw!F133)&amp;"|"&amp;LEN(IF(Raw!G133="","",Raw!G133))&amp;":"&amp;IF(Raw!G133="","",Raw!G133)</f>
        <v>6:L00127|6:T00064|10:2026-03-23|3:P-A|11:Accessories|4:sale|6:154.83</v>
      </c>
      <c r="Q133" s="1">
        <f>1</f>
        <v>1</v>
      </c>
      <c r="R133" s="1" t="b">
        <f>FALSE</f>
        <v>0</v>
      </c>
      <c r="S133" s="1">
        <f>1</f>
        <v>1</v>
      </c>
      <c r="T133" s="1" t="str">
        <f>IF(AND(Raw!A133="",Raw!B133="",Raw!C133="",Raw!D133="",Raw!E133="",Raw!F133="",Raw!G133=""),"UNUSED",IF(A133="","missing line ID",IF(B133="","missing transaction ID",IF(G133="",IF(C133="","missing date","invalid date"),IF(I133="","unknown product",IF(J133="","conflicting category",IF(NOT(OR(EXACT(K133,"sale"),EXACT(K133,"refund"))),"unknown event",IF(OR(N133="",NOT(O133)),"invalid amount",IF(OR(AND(K133="sale",N133&lt;=0),AND(K133="refund",N133&gt;=0)),"invalid sign","")))))))))</f>
        <v/>
      </c>
      <c r="U133" s="1" t="str">
        <f t="shared" si="13"/>
        <v>INCLUDED</v>
      </c>
      <c r="V133" s="1" t="str">
        <f t="shared" si="14"/>
        <v>2026-03</v>
      </c>
      <c r="W133" s="1">
        <f>IF(AND(U133="INCLUDED",X133&gt;0,EXACT(A133,'AI output'!A133)),1,0)</f>
        <v>1</v>
      </c>
      <c r="X133" s="1">
        <f>133</f>
        <v>133</v>
      </c>
      <c r="Y133" s="1">
        <f>IF(AND(U133="INCLUDED",W133=1),--(NOT(EXACT(A133,'AI output'!A133)))+--(NOT(EXACT(B133,'AI output'!B133)))+--(NOT(EXACT(TEXT(G133,"yyyy-mm-dd"),'AI output'!C133)))+--(NOT(EXACT(H133,'AI output'!D133)))+--(NOT(EXACT(J133,'AI output'!E133)))+--(NOT(EXACT(K133,'AI output'!F133)))+--(N133&lt;&gt;'AI output'!L133)+--(NOT('AI output'!M133)),0)</f>
        <v>0</v>
      </c>
      <c r="Z133" s="1">
        <f t="shared" si="15"/>
        <v>0</v>
      </c>
      <c r="AA133" s="1">
        <f>--EXACT(A133,"L00127")</f>
        <v>1</v>
      </c>
    </row>
    <row r="134" spans="1:27" ht="18.95" customHeight="1">
      <c r="A134" s="1" t="str">
        <f>IF(Raw!A134="","",Raw!A134)</f>
        <v>L00128</v>
      </c>
      <c r="B134" s="1" t="str">
        <f>IF(Raw!B134="","",Raw!B134)</f>
        <v>T00064</v>
      </c>
      <c r="C134" s="1" t="str">
        <f>IF(Raw!C134="","",Raw!C134)</f>
        <v>2026-03-23</v>
      </c>
      <c r="D134" s="1">
        <f t="shared" si="8"/>
        <v>2026</v>
      </c>
      <c r="E134" s="1">
        <f>IFERROR(IF(AND(LEN(C134)=10,MID(C134,5,1)="-",MID(C134,8,1)="-"),VALUE(MID(C134,6,2)),IF(AND(LEN(C134)=11,MID(C134,3,1)="-",MID(C134,7,1)="-"),MATCH(UPPER(MID(C134,4,3)),Guide!$D$7:$D$18,0),0)),0)</f>
        <v>3</v>
      </c>
      <c r="F134" s="1">
        <f t="shared" si="9"/>
        <v>23</v>
      </c>
      <c r="G134" s="9">
        <f t="shared" si="10"/>
        <v>46104</v>
      </c>
      <c r="H134" s="1" t="str">
        <f>IF(Raw!D134="","",Raw!D134)</f>
        <v>P-H</v>
      </c>
      <c r="I134" s="1" t="str">
        <f>IFERROR(IF(EXACT(H134,INDEX(Guide!$A$7:$A$9,MATCH(SUBSTITUTE(SUBSTITUTE(SUBSTITUTE(H134,"~","~~"),"*","~*"),"?","~?"),Guide!$A$7:$A$9,0))),INDEX(Guide!$B$7:$B$9,MATCH(SUBSTITUTE(SUBSTITUTE(SUBSTITUTE(H134,"~","~~"),"*","~*"),"?","~?"),Guide!$A$7:$A$9,0)),""),"")</f>
        <v>Home</v>
      </c>
      <c r="J134" s="1" t="str">
        <f>IF(TRIM(Raw!E134)="",I134,IF(UPPER(TRIM(Raw!E134))=UPPER(I134),I134,""))</f>
        <v>Home</v>
      </c>
      <c r="K134" s="1" t="str">
        <f>IF(Raw!F134="","",Raw!F134)</f>
        <v>sale</v>
      </c>
      <c r="L134" s="1" t="str">
        <f>IF(LEFT(TRIM(Raw!G134),2)="-$","-"&amp;MID(TRIM(Raw!G134),3,99),IF(LEFT(TRIM(Raw!G134),1)="$",MID(TRIM(Raw!G134),2,99),TRIM(Raw!G134)))</f>
        <v>259.90</v>
      </c>
      <c r="M134" s="1">
        <f t="shared" si="11"/>
        <v>259.89999999999998</v>
      </c>
      <c r="N134" s="10">
        <f t="shared" si="12"/>
        <v>25990</v>
      </c>
      <c r="O134" s="1" t="b">
        <f>IFERROR(IF(ISNUMBER(Raw!G134),TRUE,OR(EXACT(L134,TEXT(M134,"0.00")),EXACT(L134,TEXT(M134,"#,##0.00")))),FALSE)</f>
        <v>1</v>
      </c>
      <c r="P134" s="1" t="str">
        <f>LEN(IF(Raw!A134="","",Raw!A134))&amp;":"&amp;IF(Raw!A134="","",Raw!A134)&amp;"|"&amp;LEN(IF(Raw!B134="","",Raw!B134))&amp;":"&amp;IF(Raw!B134="","",Raw!B134)&amp;"|"&amp;LEN(IF(Raw!C134="","",Raw!C134))&amp;":"&amp;IF(Raw!C134="","",Raw!C134)&amp;"|"&amp;LEN(IF(Raw!D134="","",Raw!D134))&amp;":"&amp;IF(Raw!D134="","",Raw!D134)&amp;"|"&amp;LEN(IF(Raw!E134="","",Raw!E134))&amp;":"&amp;IF(Raw!E134="","",Raw!E134)&amp;"|"&amp;LEN(IF(Raw!F134="","",Raw!F134))&amp;":"&amp;IF(Raw!F134="","",Raw!F134)&amp;"|"&amp;LEN(IF(Raw!G134="","",Raw!G134))&amp;":"&amp;IF(Raw!G134="","",Raw!G134)</f>
        <v>6:L00128|6:T00064|10:2026-03-23|3:P-H|4:Home|4:sale|6:259.90</v>
      </c>
      <c r="Q134" s="1">
        <f>1</f>
        <v>1</v>
      </c>
      <c r="R134" s="1" t="b">
        <f>FALSE</f>
        <v>0</v>
      </c>
      <c r="S134" s="1">
        <f>1</f>
        <v>1</v>
      </c>
      <c r="T134" s="1" t="str">
        <f>IF(AND(Raw!A134="",Raw!B134="",Raw!C134="",Raw!D134="",Raw!E134="",Raw!F134="",Raw!G134=""),"UNUSED",IF(A134="","missing line ID",IF(B134="","missing transaction ID",IF(G134="",IF(C134="","missing date","invalid date"),IF(I134="","unknown product",IF(J134="","conflicting category",IF(NOT(OR(EXACT(K134,"sale"),EXACT(K134,"refund"))),"unknown event",IF(OR(N134="",NOT(O134)),"invalid amount",IF(OR(AND(K134="sale",N134&lt;=0),AND(K134="refund",N134&gt;=0)),"invalid sign","")))))))))</f>
        <v/>
      </c>
      <c r="U134" s="1" t="str">
        <f t="shared" si="13"/>
        <v>INCLUDED</v>
      </c>
      <c r="V134" s="1" t="str">
        <f t="shared" si="14"/>
        <v>2026-03</v>
      </c>
      <c r="W134" s="1">
        <f>IF(AND(U134="INCLUDED",X134&gt;0,EXACT(A134,'AI output'!A134)),1,0)</f>
        <v>1</v>
      </c>
      <c r="X134" s="1">
        <f>134</f>
        <v>134</v>
      </c>
      <c r="Y134" s="1">
        <f>IF(AND(U134="INCLUDED",W134=1),--(NOT(EXACT(A134,'AI output'!A134)))+--(NOT(EXACT(B134,'AI output'!B134)))+--(NOT(EXACT(TEXT(G134,"yyyy-mm-dd"),'AI output'!C134)))+--(NOT(EXACT(H134,'AI output'!D134)))+--(NOT(EXACT(J134,'AI output'!E134)))+--(NOT(EXACT(K134,'AI output'!F134)))+--(N134&lt;&gt;'AI output'!L134)+--(NOT('AI output'!M134)),0)</f>
        <v>0</v>
      </c>
      <c r="Z134" s="1">
        <f t="shared" si="15"/>
        <v>0</v>
      </c>
      <c r="AA134" s="1">
        <f>--EXACT(A134,"L00128")</f>
        <v>1</v>
      </c>
    </row>
    <row r="135" spans="1:27" ht="18.95" customHeight="1">
      <c r="A135" s="1" t="str">
        <f>IF(Raw!A135="","",Raw!A135)</f>
        <v>L00129</v>
      </c>
      <c r="B135" s="1" t="str">
        <f>IF(Raw!B135="","",Raw!B135)</f>
        <v>T00065</v>
      </c>
      <c r="C135" s="1" t="str">
        <f>IF(Raw!C135="","",Raw!C135)</f>
        <v>2026-03-30</v>
      </c>
      <c r="D135" s="1">
        <f t="shared" ref="D135:D198" si="16">IFERROR(IF(AND(LEN(C135)=10,MID(C135,5,1)="-",MID(C135,8,1)="-"),VALUE(LEFT(C135,4)),IF(AND(LEN(C135)=11,MID(C135,3,1)="-",MID(C135,7,1)="-"),VALUE(RIGHT(C135,4)),0)),0)</f>
        <v>2026</v>
      </c>
      <c r="E135" s="1">
        <f>IFERROR(IF(AND(LEN(C135)=10,MID(C135,5,1)="-",MID(C135,8,1)="-"),VALUE(MID(C135,6,2)),IF(AND(LEN(C135)=11,MID(C135,3,1)="-",MID(C135,7,1)="-"),MATCH(UPPER(MID(C135,4,3)),Guide!$D$7:$D$18,0),0)),0)</f>
        <v>3</v>
      </c>
      <c r="F135" s="1">
        <f t="shared" ref="F135:F198" si="17">IFERROR(IF(AND(LEN(C135)=10,MID(C135,5,1)="-",MID(C135,8,1)="-"),VALUE(RIGHT(C135,2)),IF(AND(LEN(C135)=11,MID(C135,3,1)="-",MID(C135,7,1)="-"),VALUE(LEFT(C135,2)),0)),0)</f>
        <v>30</v>
      </c>
      <c r="G135" s="9">
        <f t="shared" ref="G135:G198" si="18">IFERROR(IF(AND(D135&gt;=1900,D135&lt;=9999,YEAR(DATE(D135,E135,F135))=D135,MONTH(DATE(D135,E135,F135))=E135,DAY(DATE(D135,E135,F135))=F135),DATE(D135,E135,F135),""),"")</f>
        <v>46111</v>
      </c>
      <c r="H135" s="1" t="str">
        <f>IF(Raw!D135="","",Raw!D135)</f>
        <v>P-O</v>
      </c>
      <c r="I135" s="1" t="str">
        <f>IFERROR(IF(EXACT(H135,INDEX(Guide!$A$7:$A$9,MATCH(SUBSTITUTE(SUBSTITUTE(SUBSTITUTE(H135,"~","~~"),"*","~*"),"?","~?"),Guide!$A$7:$A$9,0))),INDEX(Guide!$B$7:$B$9,MATCH(SUBSTITUTE(SUBSTITUTE(SUBSTITUTE(H135,"~","~~"),"*","~*"),"?","~?"),Guide!$A$7:$A$9,0)),""),"")</f>
        <v>Office</v>
      </c>
      <c r="J135" s="1" t="str">
        <f>IF(TRIM(Raw!E135)="",I135,IF(UPPER(TRIM(Raw!E135))=UPPER(I135),I135,""))</f>
        <v>Office</v>
      </c>
      <c r="K135" s="1" t="str">
        <f>IF(Raw!F135="","",Raw!F135)</f>
        <v>sale</v>
      </c>
      <c r="L135" s="1" t="str">
        <f>IF(LEFT(TRIM(Raw!G135),2)="-$","-"&amp;MID(TRIM(Raw!G135),3,99),IF(LEFT(TRIM(Raw!G135),1)="$",MID(TRIM(Raw!G135),2,99),TRIM(Raw!G135)))</f>
        <v>104.70</v>
      </c>
      <c r="M135" s="1">
        <f t="shared" ref="M135:M198" si="19">IFERROR(VALUE(L135),"")</f>
        <v>104.7</v>
      </c>
      <c r="N135" s="10">
        <f t="shared" ref="N135:N198" si="20">IF(AND(ISNUMBER(M135),ABS(M135*100-ROUND(M135*100,0))&lt;0.0000001),ROUND(M135*100,0),"")</f>
        <v>10470</v>
      </c>
      <c r="O135" s="1" t="b">
        <f>IFERROR(IF(ISNUMBER(Raw!G135),TRUE,OR(EXACT(L135,TEXT(M135,"0.00")),EXACT(L135,TEXT(M135,"#,##0.00")))),FALSE)</f>
        <v>1</v>
      </c>
      <c r="P135" s="1" t="str">
        <f>LEN(IF(Raw!A135="","",Raw!A135))&amp;":"&amp;IF(Raw!A135="","",Raw!A135)&amp;"|"&amp;LEN(IF(Raw!B135="","",Raw!B135))&amp;":"&amp;IF(Raw!B135="","",Raw!B135)&amp;"|"&amp;LEN(IF(Raw!C135="","",Raw!C135))&amp;":"&amp;IF(Raw!C135="","",Raw!C135)&amp;"|"&amp;LEN(IF(Raw!D135="","",Raw!D135))&amp;":"&amp;IF(Raw!D135="","",Raw!D135)&amp;"|"&amp;LEN(IF(Raw!E135="","",Raw!E135))&amp;":"&amp;IF(Raw!E135="","",Raw!E135)&amp;"|"&amp;LEN(IF(Raw!F135="","",Raw!F135))&amp;":"&amp;IF(Raw!F135="","",Raw!F135)&amp;"|"&amp;LEN(IF(Raw!G135="","",Raw!G135))&amp;":"&amp;IF(Raw!G135="","",Raw!G135)</f>
        <v>6:L00129|6:T00065|10:2026-03-30|3:P-O|6:Office|4:sale|6:104.70</v>
      </c>
      <c r="Q135" s="1">
        <f>1</f>
        <v>1</v>
      </c>
      <c r="R135" s="1" t="b">
        <f>FALSE</f>
        <v>0</v>
      </c>
      <c r="S135" s="1">
        <f>1</f>
        <v>1</v>
      </c>
      <c r="T135" s="1" t="str">
        <f>IF(AND(Raw!A135="",Raw!B135="",Raw!C135="",Raw!D135="",Raw!E135="",Raw!F135="",Raw!G135=""),"UNUSED",IF(A135="","missing line ID",IF(B135="","missing transaction ID",IF(G135="",IF(C135="","missing date","invalid date"),IF(I135="","unknown product",IF(J135="","conflicting category",IF(NOT(OR(EXACT(K135,"sale"),EXACT(K135,"refund"))),"unknown event",IF(OR(N135="",NOT(O135)),"invalid amount",IF(OR(AND(K135="sale",N135&lt;=0),AND(K135="refund",N135&gt;=0)),"invalid sign","")))))))))</f>
        <v/>
      </c>
      <c r="U135" s="1" t="str">
        <f t="shared" ref="U135:U198" si="21">IF(T135="UNUSED","UNUSED",IF(R135,"QUARANTINE",IF(S135&gt;1,"DUPLICATE",IF(T135&lt;&gt;"","QUARANTINE","INCLUDED"))))</f>
        <v>INCLUDED</v>
      </c>
      <c r="V135" s="1" t="str">
        <f t="shared" ref="V135:V198" si="22">IF(G135="","",TEXT(G135,"yyyy-mm"))</f>
        <v>2026-03</v>
      </c>
      <c r="W135" s="1">
        <f>IF(AND(U135="INCLUDED",X135&gt;0,EXACT(A135,'AI output'!A135)),1,0)</f>
        <v>1</v>
      </c>
      <c r="X135" s="1">
        <f>135</f>
        <v>135</v>
      </c>
      <c r="Y135" s="1">
        <f>IF(AND(U135="INCLUDED",W135=1),--(NOT(EXACT(A135,'AI output'!A135)))+--(NOT(EXACT(B135,'AI output'!B135)))+--(NOT(EXACT(TEXT(G135,"yyyy-mm-dd"),'AI output'!C135)))+--(NOT(EXACT(H135,'AI output'!D135)))+--(NOT(EXACT(J135,'AI output'!E135)))+--(NOT(EXACT(K135,'AI output'!F135)))+--(N135&lt;&gt;'AI output'!L135)+--(NOT('AI output'!M135)),0)</f>
        <v>0</v>
      </c>
      <c r="Z135" s="1">
        <f t="shared" ref="Z135:Z198" si="23">IF(U135="INCLUDED",IF(OR(W135&lt;&gt;1,Y135&lt;&gt;0),1,0),0)</f>
        <v>0</v>
      </c>
      <c r="AA135" s="1">
        <f>--EXACT(A135,"L00129")</f>
        <v>1</v>
      </c>
    </row>
    <row r="136" spans="1:27" ht="18.95" customHeight="1">
      <c r="A136" s="1" t="str">
        <f>IF(Raw!A136="","",Raw!A136)</f>
        <v>L00130</v>
      </c>
      <c r="B136" s="1" t="str">
        <f>IF(Raw!B136="","",Raw!B136)</f>
        <v>T00065</v>
      </c>
      <c r="C136" s="1" t="str">
        <f>IF(Raw!C136="","",Raw!C136)</f>
        <v>2026-03-30</v>
      </c>
      <c r="D136" s="1">
        <f t="shared" si="16"/>
        <v>2026</v>
      </c>
      <c r="E136" s="1">
        <f>IFERROR(IF(AND(LEN(C136)=10,MID(C136,5,1)="-",MID(C136,8,1)="-"),VALUE(MID(C136,6,2)),IF(AND(LEN(C136)=11,MID(C136,3,1)="-",MID(C136,7,1)="-"),MATCH(UPPER(MID(C136,4,3)),Guide!$D$7:$D$18,0),0)),0)</f>
        <v>3</v>
      </c>
      <c r="F136" s="1">
        <f t="shared" si="17"/>
        <v>30</v>
      </c>
      <c r="G136" s="9">
        <f t="shared" si="18"/>
        <v>46111</v>
      </c>
      <c r="H136" s="1" t="str">
        <f>IF(Raw!D136="","",Raw!D136)</f>
        <v>P-A</v>
      </c>
      <c r="I136" s="1" t="str">
        <f>IFERROR(IF(EXACT(H136,INDEX(Guide!$A$7:$A$9,MATCH(SUBSTITUTE(SUBSTITUTE(SUBSTITUTE(H136,"~","~~"),"*","~*"),"?","~?"),Guide!$A$7:$A$9,0))),INDEX(Guide!$B$7:$B$9,MATCH(SUBSTITUTE(SUBSTITUTE(SUBSTITUTE(H136,"~","~~"),"*","~*"),"?","~?"),Guide!$A$7:$A$9,0)),""),"")</f>
        <v>Accessories</v>
      </c>
      <c r="J136" s="1" t="str">
        <f>IF(TRIM(Raw!E136)="",I136,IF(UPPER(TRIM(Raw!E136))=UPPER(I136),I136,""))</f>
        <v>Accessories</v>
      </c>
      <c r="K136" s="1" t="str">
        <f>IF(Raw!F136="","",Raw!F136)</f>
        <v>sale</v>
      </c>
      <c r="L136" s="1" t="str">
        <f>IF(LEFT(TRIM(Raw!G136),2)="-$","-"&amp;MID(TRIM(Raw!G136),3,99),IF(LEFT(TRIM(Raw!G136),1)="$",MID(TRIM(Raw!G136),2,99),TRIM(Raw!G136)))</f>
        <v>210.88</v>
      </c>
      <c r="M136" s="1">
        <f t="shared" si="19"/>
        <v>210.88</v>
      </c>
      <c r="N136" s="10">
        <f t="shared" si="20"/>
        <v>21088</v>
      </c>
      <c r="O136" s="1" t="b">
        <f>IFERROR(IF(ISNUMBER(Raw!G136),TRUE,OR(EXACT(L136,TEXT(M136,"0.00")),EXACT(L136,TEXT(M136,"#,##0.00")))),FALSE)</f>
        <v>1</v>
      </c>
      <c r="P136" s="1" t="str">
        <f>LEN(IF(Raw!A136="","",Raw!A136))&amp;":"&amp;IF(Raw!A136="","",Raw!A136)&amp;"|"&amp;LEN(IF(Raw!B136="","",Raw!B136))&amp;":"&amp;IF(Raw!B136="","",Raw!B136)&amp;"|"&amp;LEN(IF(Raw!C136="","",Raw!C136))&amp;":"&amp;IF(Raw!C136="","",Raw!C136)&amp;"|"&amp;LEN(IF(Raw!D136="","",Raw!D136))&amp;":"&amp;IF(Raw!D136="","",Raw!D136)&amp;"|"&amp;LEN(IF(Raw!E136="","",Raw!E136))&amp;":"&amp;IF(Raw!E136="","",Raw!E136)&amp;"|"&amp;LEN(IF(Raw!F136="","",Raw!F136))&amp;":"&amp;IF(Raw!F136="","",Raw!F136)&amp;"|"&amp;LEN(IF(Raw!G136="","",Raw!G136))&amp;":"&amp;IF(Raw!G136="","",Raw!G136)</f>
        <v>6:L00130|6:T00065|10:2026-03-30|3:P-A|11:Accessories|4:sale|6:210.88</v>
      </c>
      <c r="Q136" s="1">
        <f>1</f>
        <v>1</v>
      </c>
      <c r="R136" s="1" t="b">
        <f>FALSE</f>
        <v>0</v>
      </c>
      <c r="S136" s="1">
        <f>1</f>
        <v>1</v>
      </c>
      <c r="T136" s="1" t="str">
        <f>IF(AND(Raw!A136="",Raw!B136="",Raw!C136="",Raw!D136="",Raw!E136="",Raw!F136="",Raw!G136=""),"UNUSED",IF(A136="","missing line ID",IF(B136="","missing transaction ID",IF(G136="",IF(C136="","missing date","invalid date"),IF(I136="","unknown product",IF(J136="","conflicting category",IF(NOT(OR(EXACT(K136,"sale"),EXACT(K136,"refund"))),"unknown event",IF(OR(N136="",NOT(O136)),"invalid amount",IF(OR(AND(K136="sale",N136&lt;=0),AND(K136="refund",N136&gt;=0)),"invalid sign","")))))))))</f>
        <v/>
      </c>
      <c r="U136" s="1" t="str">
        <f t="shared" si="21"/>
        <v>INCLUDED</v>
      </c>
      <c r="V136" s="1" t="str">
        <f t="shared" si="22"/>
        <v>2026-03</v>
      </c>
      <c r="W136" s="1">
        <f>IF(AND(U136="INCLUDED",X136&gt;0,EXACT(A136,'AI output'!A136)),1,0)</f>
        <v>1</v>
      </c>
      <c r="X136" s="1">
        <f>136</f>
        <v>136</v>
      </c>
      <c r="Y136" s="1">
        <f>IF(AND(U136="INCLUDED",W136=1),--(NOT(EXACT(A136,'AI output'!A136)))+--(NOT(EXACT(B136,'AI output'!B136)))+--(NOT(EXACT(TEXT(G136,"yyyy-mm-dd"),'AI output'!C136)))+--(NOT(EXACT(H136,'AI output'!D136)))+--(NOT(EXACT(J136,'AI output'!E136)))+--(NOT(EXACT(K136,'AI output'!F136)))+--(N136&lt;&gt;'AI output'!L136)+--(NOT('AI output'!M136)),0)</f>
        <v>0</v>
      </c>
      <c r="Z136" s="1">
        <f t="shared" si="23"/>
        <v>0</v>
      </c>
      <c r="AA136" s="1">
        <f>--EXACT(A136,"L00130")</f>
        <v>1</v>
      </c>
    </row>
    <row r="137" spans="1:27" ht="18.95" customHeight="1">
      <c r="A137" s="1" t="str">
        <f>IF(Raw!A137="","",Raw!A137)</f>
        <v>L00131</v>
      </c>
      <c r="B137" s="1" t="str">
        <f>IF(Raw!B137="","",Raw!B137)</f>
        <v>T00066</v>
      </c>
      <c r="C137" s="1" t="str">
        <f>IF(Raw!C137="","",Raw!C137)</f>
        <v>2026-01-06</v>
      </c>
      <c r="D137" s="1">
        <f t="shared" si="16"/>
        <v>2026</v>
      </c>
      <c r="E137" s="1">
        <f>IFERROR(IF(AND(LEN(C137)=10,MID(C137,5,1)="-",MID(C137,8,1)="-"),VALUE(MID(C137,6,2)),IF(AND(LEN(C137)=11,MID(C137,3,1)="-",MID(C137,7,1)="-"),MATCH(UPPER(MID(C137,4,3)),Guide!$D$7:$D$18,0),0)),0)</f>
        <v>1</v>
      </c>
      <c r="F137" s="1">
        <f t="shared" si="17"/>
        <v>6</v>
      </c>
      <c r="G137" s="9">
        <f t="shared" si="18"/>
        <v>46028</v>
      </c>
      <c r="H137" s="1" t="str">
        <f>IF(Raw!D137="","",Raw!D137)</f>
        <v>P-H</v>
      </c>
      <c r="I137" s="1" t="str">
        <f>IFERROR(IF(EXACT(H137,INDEX(Guide!$A$7:$A$9,MATCH(SUBSTITUTE(SUBSTITUTE(SUBSTITUTE(H137,"~","~~"),"*","~*"),"?","~?"),Guide!$A$7:$A$9,0))),INDEX(Guide!$B$7:$B$9,MATCH(SUBSTITUTE(SUBSTITUTE(SUBSTITUTE(H137,"~","~~"),"*","~*"),"?","~?"),Guide!$A$7:$A$9,0)),""),"")</f>
        <v>Home</v>
      </c>
      <c r="J137" s="1" t="str">
        <f>IF(TRIM(Raw!E137)="",I137,IF(UPPER(TRIM(Raw!E137))=UPPER(I137),I137,""))</f>
        <v>Home</v>
      </c>
      <c r="K137" s="1" t="str">
        <f>IF(Raw!F137="","",Raw!F137)</f>
        <v>sale</v>
      </c>
      <c r="L137" s="1" t="str">
        <f>IF(LEFT(TRIM(Raw!G137),2)="-$","-"&amp;MID(TRIM(Raw!G137),3,99),IF(LEFT(TRIM(Raw!G137),1)="$",MID(TRIM(Raw!G137),2,99),TRIM(Raw!G137)))</f>
        <v>53.09</v>
      </c>
      <c r="M137" s="1">
        <f t="shared" si="19"/>
        <v>53.09</v>
      </c>
      <c r="N137" s="10">
        <f t="shared" si="20"/>
        <v>5309</v>
      </c>
      <c r="O137" s="1" t="b">
        <f>IFERROR(IF(ISNUMBER(Raw!G137),TRUE,OR(EXACT(L137,TEXT(M137,"0.00")),EXACT(L137,TEXT(M137,"#,##0.00")))),FALSE)</f>
        <v>1</v>
      </c>
      <c r="P137" s="1" t="str">
        <f>LEN(IF(Raw!A137="","",Raw!A137))&amp;":"&amp;IF(Raw!A137="","",Raw!A137)&amp;"|"&amp;LEN(IF(Raw!B137="","",Raw!B137))&amp;":"&amp;IF(Raw!B137="","",Raw!B137)&amp;"|"&amp;LEN(IF(Raw!C137="","",Raw!C137))&amp;":"&amp;IF(Raw!C137="","",Raw!C137)&amp;"|"&amp;LEN(IF(Raw!D137="","",Raw!D137))&amp;":"&amp;IF(Raw!D137="","",Raw!D137)&amp;"|"&amp;LEN(IF(Raw!E137="","",Raw!E137))&amp;":"&amp;IF(Raw!E137="","",Raw!E137)&amp;"|"&amp;LEN(IF(Raw!F137="","",Raw!F137))&amp;":"&amp;IF(Raw!F137="","",Raw!F137)&amp;"|"&amp;LEN(IF(Raw!G137="","",Raw!G137))&amp;":"&amp;IF(Raw!G137="","",Raw!G137)</f>
        <v>6:L00131|6:T00066|10:2026-01-06|3:P-H|4:Home|4:sale|5:53.09</v>
      </c>
      <c r="Q137" s="1">
        <f>1</f>
        <v>1</v>
      </c>
      <c r="R137" s="1" t="b">
        <f>FALSE</f>
        <v>0</v>
      </c>
      <c r="S137" s="1">
        <f>1</f>
        <v>1</v>
      </c>
      <c r="T137" s="1" t="str">
        <f>IF(AND(Raw!A137="",Raw!B137="",Raw!C137="",Raw!D137="",Raw!E137="",Raw!F137="",Raw!G137=""),"UNUSED",IF(A137="","missing line ID",IF(B137="","missing transaction ID",IF(G137="",IF(C137="","missing date","invalid date"),IF(I137="","unknown product",IF(J137="","conflicting category",IF(NOT(OR(EXACT(K137,"sale"),EXACT(K137,"refund"))),"unknown event",IF(OR(N137="",NOT(O137)),"invalid amount",IF(OR(AND(K137="sale",N137&lt;=0),AND(K137="refund",N137&gt;=0)),"invalid sign","")))))))))</f>
        <v/>
      </c>
      <c r="U137" s="1" t="str">
        <f t="shared" si="21"/>
        <v>INCLUDED</v>
      </c>
      <c r="V137" s="1" t="str">
        <f t="shared" si="22"/>
        <v>2026-01</v>
      </c>
      <c r="W137" s="1">
        <f>IF(AND(U137="INCLUDED",X137&gt;0,EXACT(A137,'AI output'!A137)),1,0)</f>
        <v>1</v>
      </c>
      <c r="X137" s="1">
        <f>137</f>
        <v>137</v>
      </c>
      <c r="Y137" s="1">
        <f>IF(AND(U137="INCLUDED",W137=1),--(NOT(EXACT(A137,'AI output'!A137)))+--(NOT(EXACT(B137,'AI output'!B137)))+--(NOT(EXACT(TEXT(G137,"yyyy-mm-dd"),'AI output'!C137)))+--(NOT(EXACT(H137,'AI output'!D137)))+--(NOT(EXACT(J137,'AI output'!E137)))+--(NOT(EXACT(K137,'AI output'!F137)))+--(N137&lt;&gt;'AI output'!L137)+--(NOT('AI output'!M137)),0)</f>
        <v>0</v>
      </c>
      <c r="Z137" s="1">
        <f t="shared" si="23"/>
        <v>0</v>
      </c>
      <c r="AA137" s="1">
        <f>--EXACT(A137,"L00131")</f>
        <v>1</v>
      </c>
    </row>
    <row r="138" spans="1:27" ht="18.95" customHeight="1">
      <c r="A138" s="1" t="str">
        <f>IF(Raw!A138="","",Raw!A138)</f>
        <v>L00132</v>
      </c>
      <c r="B138" s="1" t="str">
        <f>IF(Raw!B138="","",Raw!B138)</f>
        <v>T00066</v>
      </c>
      <c r="C138" s="1" t="str">
        <f>IF(Raw!C138="","",Raw!C138)</f>
        <v>2026-01-06</v>
      </c>
      <c r="D138" s="1">
        <f t="shared" si="16"/>
        <v>2026</v>
      </c>
      <c r="E138" s="1">
        <f>IFERROR(IF(AND(LEN(C138)=10,MID(C138,5,1)="-",MID(C138,8,1)="-"),VALUE(MID(C138,6,2)),IF(AND(LEN(C138)=11,MID(C138,3,1)="-",MID(C138,7,1)="-"),MATCH(UPPER(MID(C138,4,3)),Guide!$D$7:$D$18,0),0)),0)</f>
        <v>1</v>
      </c>
      <c r="F138" s="1">
        <f t="shared" si="17"/>
        <v>6</v>
      </c>
      <c r="G138" s="9">
        <f t="shared" si="18"/>
        <v>46028</v>
      </c>
      <c r="H138" s="1" t="str">
        <f>IF(Raw!D138="","",Raw!D138)</f>
        <v>P-O</v>
      </c>
      <c r="I138" s="1" t="str">
        <f>IFERROR(IF(EXACT(H138,INDEX(Guide!$A$7:$A$9,MATCH(SUBSTITUTE(SUBSTITUTE(SUBSTITUTE(H138,"~","~~"),"*","~*"),"?","~?"),Guide!$A$7:$A$9,0))),INDEX(Guide!$B$7:$B$9,MATCH(SUBSTITUTE(SUBSTITUTE(SUBSTITUTE(H138,"~","~~"),"*","~*"),"?","~?"),Guide!$A$7:$A$9,0)),""),"")</f>
        <v>Office</v>
      </c>
      <c r="J138" s="1" t="str">
        <f>IF(TRIM(Raw!E138)="",I138,IF(UPPER(TRIM(Raw!E138))=UPPER(I138),I138,""))</f>
        <v>Office</v>
      </c>
      <c r="K138" s="1" t="str">
        <f>IF(Raw!F138="","",Raw!F138)</f>
        <v>sale</v>
      </c>
      <c r="L138" s="1" t="str">
        <f>IF(LEFT(TRIM(Raw!G138),2)="-$","-"&amp;MID(TRIM(Raw!G138),3,99),IF(LEFT(TRIM(Raw!G138),1)="$",MID(TRIM(Raw!G138),2,99),TRIM(Raw!G138)))</f>
        <v>160.38</v>
      </c>
      <c r="M138" s="1">
        <f t="shared" si="19"/>
        <v>160.38</v>
      </c>
      <c r="N138" s="10">
        <f t="shared" si="20"/>
        <v>16038</v>
      </c>
      <c r="O138" s="1" t="b">
        <f>IFERROR(IF(ISNUMBER(Raw!G138),TRUE,OR(EXACT(L138,TEXT(M138,"0.00")),EXACT(L138,TEXT(M138,"#,##0.00")))),FALSE)</f>
        <v>1</v>
      </c>
      <c r="P138" s="1" t="str">
        <f>LEN(IF(Raw!A138="","",Raw!A138))&amp;":"&amp;IF(Raw!A138="","",Raw!A138)&amp;"|"&amp;LEN(IF(Raw!B138="","",Raw!B138))&amp;":"&amp;IF(Raw!B138="","",Raw!B138)&amp;"|"&amp;LEN(IF(Raw!C138="","",Raw!C138))&amp;":"&amp;IF(Raw!C138="","",Raw!C138)&amp;"|"&amp;LEN(IF(Raw!D138="","",Raw!D138))&amp;":"&amp;IF(Raw!D138="","",Raw!D138)&amp;"|"&amp;LEN(IF(Raw!E138="","",Raw!E138))&amp;":"&amp;IF(Raw!E138="","",Raw!E138)&amp;"|"&amp;LEN(IF(Raw!F138="","",Raw!F138))&amp;":"&amp;IF(Raw!F138="","",Raw!F138)&amp;"|"&amp;LEN(IF(Raw!G138="","",Raw!G138))&amp;":"&amp;IF(Raw!G138="","",Raw!G138)</f>
        <v>6:L00132|6:T00066|10:2026-01-06|3:P-O|6:Office|4:sale|6:160.38</v>
      </c>
      <c r="Q138" s="1">
        <f>1</f>
        <v>1</v>
      </c>
      <c r="R138" s="1" t="b">
        <f>FALSE</f>
        <v>0</v>
      </c>
      <c r="S138" s="1">
        <f>1</f>
        <v>1</v>
      </c>
      <c r="T138" s="1" t="str">
        <f>IF(AND(Raw!A138="",Raw!B138="",Raw!C138="",Raw!D138="",Raw!E138="",Raw!F138="",Raw!G138=""),"UNUSED",IF(A138="","missing line ID",IF(B138="","missing transaction ID",IF(G138="",IF(C138="","missing date","invalid date"),IF(I138="","unknown product",IF(J138="","conflicting category",IF(NOT(OR(EXACT(K138,"sale"),EXACT(K138,"refund"))),"unknown event",IF(OR(N138="",NOT(O138)),"invalid amount",IF(OR(AND(K138="sale",N138&lt;=0),AND(K138="refund",N138&gt;=0)),"invalid sign","")))))))))</f>
        <v/>
      </c>
      <c r="U138" s="1" t="str">
        <f t="shared" si="21"/>
        <v>INCLUDED</v>
      </c>
      <c r="V138" s="1" t="str">
        <f t="shared" si="22"/>
        <v>2026-01</v>
      </c>
      <c r="W138" s="1">
        <f>IF(AND(U138="INCLUDED",X138&gt;0,EXACT(A138,'AI output'!A138)),1,0)</f>
        <v>1</v>
      </c>
      <c r="X138" s="1">
        <f>138</f>
        <v>138</v>
      </c>
      <c r="Y138" s="1">
        <f>IF(AND(U138="INCLUDED",W138=1),--(NOT(EXACT(A138,'AI output'!A138)))+--(NOT(EXACT(B138,'AI output'!B138)))+--(NOT(EXACT(TEXT(G138,"yyyy-mm-dd"),'AI output'!C138)))+--(NOT(EXACT(H138,'AI output'!D138)))+--(NOT(EXACT(J138,'AI output'!E138)))+--(NOT(EXACT(K138,'AI output'!F138)))+--(N138&lt;&gt;'AI output'!L138)+--(NOT('AI output'!M138)),0)</f>
        <v>0</v>
      </c>
      <c r="Z138" s="1">
        <f t="shared" si="23"/>
        <v>0</v>
      </c>
      <c r="AA138" s="1">
        <f>--EXACT(A138,"L00132")</f>
        <v>1</v>
      </c>
    </row>
    <row r="139" spans="1:27" ht="18.95" customHeight="1">
      <c r="A139" s="1" t="str">
        <f>IF(Raw!A139="","",Raw!A139)</f>
        <v>L00133</v>
      </c>
      <c r="B139" s="1" t="str">
        <f>IF(Raw!B139="","",Raw!B139)</f>
        <v>T00067</v>
      </c>
      <c r="C139" s="1" t="str">
        <f>IF(Raw!C139="","",Raw!C139)</f>
        <v>2026-01-13</v>
      </c>
      <c r="D139" s="1">
        <f t="shared" si="16"/>
        <v>2026</v>
      </c>
      <c r="E139" s="1">
        <f>IFERROR(IF(AND(LEN(C139)=10,MID(C139,5,1)="-",MID(C139,8,1)="-"),VALUE(MID(C139,6,2)),IF(AND(LEN(C139)=11,MID(C139,3,1)="-",MID(C139,7,1)="-"),MATCH(UPPER(MID(C139,4,3)),Guide!$D$7:$D$18,0),0)),0)</f>
        <v>1</v>
      </c>
      <c r="F139" s="1">
        <f t="shared" si="17"/>
        <v>13</v>
      </c>
      <c r="G139" s="9">
        <f t="shared" si="18"/>
        <v>46035</v>
      </c>
      <c r="H139" s="1" t="str">
        <f>IF(Raw!D139="","",Raw!D139)</f>
        <v>P-A</v>
      </c>
      <c r="I139" s="1" t="str">
        <f>IFERROR(IF(EXACT(H139,INDEX(Guide!$A$7:$A$9,MATCH(SUBSTITUTE(SUBSTITUTE(SUBSTITUTE(H139,"~","~~"),"*","~*"),"?","~?"),Guide!$A$7:$A$9,0))),INDEX(Guide!$B$7:$B$9,MATCH(SUBSTITUTE(SUBSTITUTE(SUBSTITUTE(H139,"~","~~"),"*","~*"),"?","~?"),Guide!$A$7:$A$9,0)),""),"")</f>
        <v>Accessories</v>
      </c>
      <c r="J139" s="1" t="str">
        <f>IF(TRIM(Raw!E139)="",I139,IF(UPPER(TRIM(Raw!E139))=UPPER(I139),I139,""))</f>
        <v>Accessories</v>
      </c>
      <c r="K139" s="1" t="str">
        <f>IF(Raw!F139="","",Raw!F139)</f>
        <v>sale</v>
      </c>
      <c r="L139" s="1" t="str">
        <f>IF(LEFT(TRIM(Raw!G139),2)="-$","-"&amp;MID(TRIM(Raw!G139),3,99),IF(LEFT(TRIM(Raw!G139),1)="$",MID(TRIM(Raw!G139),2,99),TRIM(Raw!G139)))</f>
        <v>269.15</v>
      </c>
      <c r="M139" s="1">
        <f t="shared" si="19"/>
        <v>269.14999999999998</v>
      </c>
      <c r="N139" s="10">
        <f t="shared" si="20"/>
        <v>26915</v>
      </c>
      <c r="O139" s="1" t="b">
        <f>IFERROR(IF(ISNUMBER(Raw!G139),TRUE,OR(EXACT(L139,TEXT(M139,"0.00")),EXACT(L139,TEXT(M139,"#,##0.00")))),FALSE)</f>
        <v>1</v>
      </c>
      <c r="P139" s="1" t="str">
        <f>LEN(IF(Raw!A139="","",Raw!A139))&amp;":"&amp;IF(Raw!A139="","",Raw!A139)&amp;"|"&amp;LEN(IF(Raw!B139="","",Raw!B139))&amp;":"&amp;IF(Raw!B139="","",Raw!B139)&amp;"|"&amp;LEN(IF(Raw!C139="","",Raw!C139))&amp;":"&amp;IF(Raw!C139="","",Raw!C139)&amp;"|"&amp;LEN(IF(Raw!D139="","",Raw!D139))&amp;":"&amp;IF(Raw!D139="","",Raw!D139)&amp;"|"&amp;LEN(IF(Raw!E139="","",Raw!E139))&amp;":"&amp;IF(Raw!E139="","",Raw!E139)&amp;"|"&amp;LEN(IF(Raw!F139="","",Raw!F139))&amp;":"&amp;IF(Raw!F139="","",Raw!F139)&amp;"|"&amp;LEN(IF(Raw!G139="","",Raw!G139))&amp;":"&amp;IF(Raw!G139="","",Raw!G139)</f>
        <v>6:L00133|6:T00067|10:2026-01-13|3:P-A|11:Accessories|4:sale|6:269.15</v>
      </c>
      <c r="Q139" s="1">
        <f>1</f>
        <v>1</v>
      </c>
      <c r="R139" s="1" t="b">
        <f>FALSE</f>
        <v>0</v>
      </c>
      <c r="S139" s="1">
        <f>1</f>
        <v>1</v>
      </c>
      <c r="T139" s="1" t="str">
        <f>IF(AND(Raw!A139="",Raw!B139="",Raw!C139="",Raw!D139="",Raw!E139="",Raw!F139="",Raw!G139=""),"UNUSED",IF(A139="","missing line ID",IF(B139="","missing transaction ID",IF(G139="",IF(C139="","missing date","invalid date"),IF(I139="","unknown product",IF(J139="","conflicting category",IF(NOT(OR(EXACT(K139,"sale"),EXACT(K139,"refund"))),"unknown event",IF(OR(N139="",NOT(O139)),"invalid amount",IF(OR(AND(K139="sale",N139&lt;=0),AND(K139="refund",N139&gt;=0)),"invalid sign","")))))))))</f>
        <v/>
      </c>
      <c r="U139" s="1" t="str">
        <f t="shared" si="21"/>
        <v>INCLUDED</v>
      </c>
      <c r="V139" s="1" t="str">
        <f t="shared" si="22"/>
        <v>2026-01</v>
      </c>
      <c r="W139" s="1">
        <f>IF(AND(U139="INCLUDED",X139&gt;0,EXACT(A139,'AI output'!A139)),1,0)</f>
        <v>1</v>
      </c>
      <c r="X139" s="1">
        <f>139</f>
        <v>139</v>
      </c>
      <c r="Y139" s="1">
        <f>IF(AND(U139="INCLUDED",W139=1),--(NOT(EXACT(A139,'AI output'!A139)))+--(NOT(EXACT(B139,'AI output'!B139)))+--(NOT(EXACT(TEXT(G139,"yyyy-mm-dd"),'AI output'!C139)))+--(NOT(EXACT(H139,'AI output'!D139)))+--(NOT(EXACT(J139,'AI output'!E139)))+--(NOT(EXACT(K139,'AI output'!F139)))+--(N139&lt;&gt;'AI output'!L139)+--(NOT('AI output'!M139)),0)</f>
        <v>0</v>
      </c>
      <c r="Z139" s="1">
        <f t="shared" si="23"/>
        <v>0</v>
      </c>
      <c r="AA139" s="1">
        <f>--EXACT(A139,"L00133")</f>
        <v>1</v>
      </c>
    </row>
    <row r="140" spans="1:27" ht="18.95" customHeight="1">
      <c r="A140" s="1" t="str">
        <f>IF(Raw!A140="","",Raw!A140)</f>
        <v>L00134</v>
      </c>
      <c r="B140" s="1" t="str">
        <f>IF(Raw!B140="","",Raw!B140)</f>
        <v>T00067</v>
      </c>
      <c r="C140" s="1" t="str">
        <f>IF(Raw!C140="","",Raw!C140)</f>
        <v>2026-01-13</v>
      </c>
      <c r="D140" s="1">
        <f t="shared" si="16"/>
        <v>2026</v>
      </c>
      <c r="E140" s="1">
        <f>IFERROR(IF(AND(LEN(C140)=10,MID(C140,5,1)="-",MID(C140,8,1)="-"),VALUE(MID(C140,6,2)),IF(AND(LEN(C140)=11,MID(C140,3,1)="-",MID(C140,7,1)="-"),MATCH(UPPER(MID(C140,4,3)),Guide!$D$7:$D$18,0),0)),0)</f>
        <v>1</v>
      </c>
      <c r="F140" s="1">
        <f t="shared" si="17"/>
        <v>13</v>
      </c>
      <c r="G140" s="9">
        <f t="shared" si="18"/>
        <v>46035</v>
      </c>
      <c r="H140" s="1" t="str">
        <f>IF(Raw!D140="","",Raw!D140)</f>
        <v>P-H</v>
      </c>
      <c r="I140" s="1" t="str">
        <f>IFERROR(IF(EXACT(H140,INDEX(Guide!$A$7:$A$9,MATCH(SUBSTITUTE(SUBSTITUTE(SUBSTITUTE(H140,"~","~~"),"*","~*"),"?","~?"),Guide!$A$7:$A$9,0))),INDEX(Guide!$B$7:$B$9,MATCH(SUBSTITUTE(SUBSTITUTE(SUBSTITUTE(H140,"~","~~"),"*","~*"),"?","~?"),Guide!$A$7:$A$9,0)),""),"")</f>
        <v>Home</v>
      </c>
      <c r="J140" s="1" t="str">
        <f>IF(TRIM(Raw!E140)="",I140,IF(UPPER(TRIM(Raw!E140))=UPPER(I140),I140,""))</f>
        <v>Home</v>
      </c>
      <c r="K140" s="1" t="str">
        <f>IF(Raw!F140="","",Raw!F140)</f>
        <v>sale</v>
      </c>
      <c r="L140" s="1" t="str">
        <f>IF(LEFT(TRIM(Raw!G140),2)="-$","-"&amp;MID(TRIM(Raw!G140),3,99),IF(LEFT(TRIM(Raw!G140),1)="$",MID(TRIM(Raw!G140),2,99),TRIM(Raw!G140)))</f>
        <v>108.40</v>
      </c>
      <c r="M140" s="1">
        <f t="shared" si="19"/>
        <v>108.4</v>
      </c>
      <c r="N140" s="10">
        <f t="shared" si="20"/>
        <v>10840</v>
      </c>
      <c r="O140" s="1" t="b">
        <f>IFERROR(IF(ISNUMBER(Raw!G140),TRUE,OR(EXACT(L140,TEXT(M140,"0.00")),EXACT(L140,TEXT(M140,"#,##0.00")))),FALSE)</f>
        <v>1</v>
      </c>
      <c r="P140" s="1" t="str">
        <f>LEN(IF(Raw!A140="","",Raw!A140))&amp;":"&amp;IF(Raw!A140="","",Raw!A140)&amp;"|"&amp;LEN(IF(Raw!B140="","",Raw!B140))&amp;":"&amp;IF(Raw!B140="","",Raw!B140)&amp;"|"&amp;LEN(IF(Raw!C140="","",Raw!C140))&amp;":"&amp;IF(Raw!C140="","",Raw!C140)&amp;"|"&amp;LEN(IF(Raw!D140="","",Raw!D140))&amp;":"&amp;IF(Raw!D140="","",Raw!D140)&amp;"|"&amp;LEN(IF(Raw!E140="","",Raw!E140))&amp;":"&amp;IF(Raw!E140="","",Raw!E140)&amp;"|"&amp;LEN(IF(Raw!F140="","",Raw!F140))&amp;":"&amp;IF(Raw!F140="","",Raw!F140)&amp;"|"&amp;LEN(IF(Raw!G140="","",Raw!G140))&amp;":"&amp;IF(Raw!G140="","",Raw!G140)</f>
        <v>6:L00134|6:T00067|10:2026-01-13|3:P-H|4:Home|4:sale|6:108.40</v>
      </c>
      <c r="Q140" s="1">
        <f>1</f>
        <v>1</v>
      </c>
      <c r="R140" s="1" t="b">
        <f>FALSE</f>
        <v>0</v>
      </c>
      <c r="S140" s="1">
        <f>1</f>
        <v>1</v>
      </c>
      <c r="T140" s="1" t="str">
        <f>IF(AND(Raw!A140="",Raw!B140="",Raw!C140="",Raw!D140="",Raw!E140="",Raw!F140="",Raw!G140=""),"UNUSED",IF(A140="","missing line ID",IF(B140="","missing transaction ID",IF(G140="",IF(C140="","missing date","invalid date"),IF(I140="","unknown product",IF(J140="","conflicting category",IF(NOT(OR(EXACT(K140,"sale"),EXACT(K140,"refund"))),"unknown event",IF(OR(N140="",NOT(O140)),"invalid amount",IF(OR(AND(K140="sale",N140&lt;=0),AND(K140="refund",N140&gt;=0)),"invalid sign","")))))))))</f>
        <v/>
      </c>
      <c r="U140" s="1" t="str">
        <f t="shared" si="21"/>
        <v>INCLUDED</v>
      </c>
      <c r="V140" s="1" t="str">
        <f t="shared" si="22"/>
        <v>2026-01</v>
      </c>
      <c r="W140" s="1">
        <f>IF(AND(U140="INCLUDED",X140&gt;0,EXACT(A140,'AI output'!A140)),1,0)</f>
        <v>1</v>
      </c>
      <c r="X140" s="1">
        <f>140</f>
        <v>140</v>
      </c>
      <c r="Y140" s="1">
        <f>IF(AND(U140="INCLUDED",W140=1),--(NOT(EXACT(A140,'AI output'!A140)))+--(NOT(EXACT(B140,'AI output'!B140)))+--(NOT(EXACT(TEXT(G140,"yyyy-mm-dd"),'AI output'!C140)))+--(NOT(EXACT(H140,'AI output'!D140)))+--(NOT(EXACT(J140,'AI output'!E140)))+--(NOT(EXACT(K140,'AI output'!F140)))+--(N140&lt;&gt;'AI output'!L140)+--(NOT('AI output'!M140)),0)</f>
        <v>0</v>
      </c>
      <c r="Z140" s="1">
        <f t="shared" si="23"/>
        <v>0</v>
      </c>
      <c r="AA140" s="1">
        <f>--EXACT(A140,"L00134")</f>
        <v>1</v>
      </c>
    </row>
    <row r="141" spans="1:27" ht="18.95" customHeight="1">
      <c r="A141" s="1" t="str">
        <f>IF(Raw!A141="","",Raw!A141)</f>
        <v>L00135</v>
      </c>
      <c r="B141" s="1" t="str">
        <f>IF(Raw!B141="","",Raw!B141)</f>
        <v>T00068</v>
      </c>
      <c r="C141" s="1" t="str">
        <f>IF(Raw!C141="","",Raw!C141)</f>
        <v>2026-01-20</v>
      </c>
      <c r="D141" s="1">
        <f t="shared" si="16"/>
        <v>2026</v>
      </c>
      <c r="E141" s="1">
        <f>IFERROR(IF(AND(LEN(C141)=10,MID(C141,5,1)="-",MID(C141,8,1)="-"),VALUE(MID(C141,6,2)),IF(AND(LEN(C141)=11,MID(C141,3,1)="-",MID(C141,7,1)="-"),MATCH(UPPER(MID(C141,4,3)),Guide!$D$7:$D$18,0),0)),0)</f>
        <v>1</v>
      </c>
      <c r="F141" s="1">
        <f t="shared" si="17"/>
        <v>20</v>
      </c>
      <c r="G141" s="9">
        <f t="shared" si="18"/>
        <v>46042</v>
      </c>
      <c r="H141" s="1" t="str">
        <f>IF(Raw!D141="","",Raw!D141)</f>
        <v>P-O</v>
      </c>
      <c r="I141" s="1" t="str">
        <f>IFERROR(IF(EXACT(H141,INDEX(Guide!$A$7:$A$9,MATCH(SUBSTITUTE(SUBSTITUTE(SUBSTITUTE(H141,"~","~~"),"*","~*"),"?","~?"),Guide!$A$7:$A$9,0))),INDEX(Guide!$B$7:$B$9,MATCH(SUBSTITUTE(SUBSTITUTE(SUBSTITUTE(H141,"~","~~"),"*","~*"),"?","~?"),Guide!$A$7:$A$9,0)),""),"")</f>
        <v>Office</v>
      </c>
      <c r="J141" s="1" t="str">
        <f>IF(TRIM(Raw!E141)="",I141,IF(UPPER(TRIM(Raw!E141))=UPPER(I141),I141,""))</f>
        <v>Office</v>
      </c>
      <c r="K141" s="1" t="str">
        <f>IF(Raw!F141="","",Raw!F141)</f>
        <v>sale</v>
      </c>
      <c r="L141" s="1" t="str">
        <f>IF(LEFT(TRIM(Raw!G141),2)="-$","-"&amp;MID(TRIM(Raw!G141),3,99),IF(LEFT(TRIM(Raw!G141),1)="$",MID(TRIM(Raw!G141),2,99),TRIM(Raw!G141)))</f>
        <v>218.28</v>
      </c>
      <c r="M141" s="1">
        <f t="shared" si="19"/>
        <v>218.28</v>
      </c>
      <c r="N141" s="10">
        <f t="shared" si="20"/>
        <v>21828</v>
      </c>
      <c r="O141" s="1" t="b">
        <f>IFERROR(IF(ISNUMBER(Raw!G141),TRUE,OR(EXACT(L141,TEXT(M141,"0.00")),EXACT(L141,TEXT(M141,"#,##0.00")))),FALSE)</f>
        <v>1</v>
      </c>
      <c r="P141" s="1" t="str">
        <f>LEN(IF(Raw!A141="","",Raw!A141))&amp;":"&amp;IF(Raw!A141="","",Raw!A141)&amp;"|"&amp;LEN(IF(Raw!B141="","",Raw!B141))&amp;":"&amp;IF(Raw!B141="","",Raw!B141)&amp;"|"&amp;LEN(IF(Raw!C141="","",Raw!C141))&amp;":"&amp;IF(Raw!C141="","",Raw!C141)&amp;"|"&amp;LEN(IF(Raw!D141="","",Raw!D141))&amp;":"&amp;IF(Raw!D141="","",Raw!D141)&amp;"|"&amp;LEN(IF(Raw!E141="","",Raw!E141))&amp;":"&amp;IF(Raw!E141="","",Raw!E141)&amp;"|"&amp;LEN(IF(Raw!F141="","",Raw!F141))&amp;":"&amp;IF(Raw!F141="","",Raw!F141)&amp;"|"&amp;LEN(IF(Raw!G141="","",Raw!G141))&amp;":"&amp;IF(Raw!G141="","",Raw!G141)</f>
        <v>6:L00135|6:T00068|10:2026-01-20|3:P-O|6:Office|4:sale|6:218.28</v>
      </c>
      <c r="Q141" s="1">
        <f>1</f>
        <v>1</v>
      </c>
      <c r="R141" s="1" t="b">
        <f>FALSE</f>
        <v>0</v>
      </c>
      <c r="S141" s="1">
        <f>1</f>
        <v>1</v>
      </c>
      <c r="T141" s="1" t="str">
        <f>IF(AND(Raw!A141="",Raw!B141="",Raw!C141="",Raw!D141="",Raw!E141="",Raw!F141="",Raw!G141=""),"UNUSED",IF(A141="","missing line ID",IF(B141="","missing transaction ID",IF(G141="",IF(C141="","missing date","invalid date"),IF(I141="","unknown product",IF(J141="","conflicting category",IF(NOT(OR(EXACT(K141,"sale"),EXACT(K141,"refund"))),"unknown event",IF(OR(N141="",NOT(O141)),"invalid amount",IF(OR(AND(K141="sale",N141&lt;=0),AND(K141="refund",N141&gt;=0)),"invalid sign","")))))))))</f>
        <v/>
      </c>
      <c r="U141" s="1" t="str">
        <f t="shared" si="21"/>
        <v>INCLUDED</v>
      </c>
      <c r="V141" s="1" t="str">
        <f t="shared" si="22"/>
        <v>2026-01</v>
      </c>
      <c r="W141" s="1">
        <f>IF(AND(U141="INCLUDED",X141&gt;0,EXACT(A141,'AI output'!A141)),1,0)</f>
        <v>1</v>
      </c>
      <c r="X141" s="1">
        <f>141</f>
        <v>141</v>
      </c>
      <c r="Y141" s="1">
        <f>IF(AND(U141="INCLUDED",W141=1),--(NOT(EXACT(A141,'AI output'!A141)))+--(NOT(EXACT(B141,'AI output'!B141)))+--(NOT(EXACT(TEXT(G141,"yyyy-mm-dd"),'AI output'!C141)))+--(NOT(EXACT(H141,'AI output'!D141)))+--(NOT(EXACT(J141,'AI output'!E141)))+--(NOT(EXACT(K141,'AI output'!F141)))+--(N141&lt;&gt;'AI output'!L141)+--(NOT('AI output'!M141)),0)</f>
        <v>0</v>
      </c>
      <c r="Z141" s="1">
        <f t="shared" si="23"/>
        <v>0</v>
      </c>
      <c r="AA141" s="1">
        <f>--EXACT(A141,"L00135")</f>
        <v>1</v>
      </c>
    </row>
    <row r="142" spans="1:27" ht="18.95" customHeight="1">
      <c r="A142" s="1" t="str">
        <f>IF(Raw!A142="","",Raw!A142)</f>
        <v>L00136</v>
      </c>
      <c r="B142" s="1" t="str">
        <f>IF(Raw!B142="","",Raw!B142)</f>
        <v>T00068</v>
      </c>
      <c r="C142" s="1" t="str">
        <f>IF(Raw!C142="","",Raw!C142)</f>
        <v>2026-01-20</v>
      </c>
      <c r="D142" s="1">
        <f t="shared" si="16"/>
        <v>2026</v>
      </c>
      <c r="E142" s="1">
        <f>IFERROR(IF(AND(LEN(C142)=10,MID(C142,5,1)="-",MID(C142,8,1)="-"),VALUE(MID(C142,6,2)),IF(AND(LEN(C142)=11,MID(C142,3,1)="-",MID(C142,7,1)="-"),MATCH(UPPER(MID(C142,4,3)),Guide!$D$7:$D$18,0),0)),0)</f>
        <v>1</v>
      </c>
      <c r="F142" s="1">
        <f t="shared" si="17"/>
        <v>20</v>
      </c>
      <c r="G142" s="9">
        <f t="shared" si="18"/>
        <v>46042</v>
      </c>
      <c r="H142" s="1" t="str">
        <f>IF(Raw!D142="","",Raw!D142)</f>
        <v>P-A</v>
      </c>
      <c r="I142" s="1" t="str">
        <f>IFERROR(IF(EXACT(H142,INDEX(Guide!$A$7:$A$9,MATCH(SUBSTITUTE(SUBSTITUTE(SUBSTITUTE(H142,"~","~~"),"*","~*"),"?","~?"),Guide!$A$7:$A$9,0))),INDEX(Guide!$B$7:$B$9,MATCH(SUBSTITUTE(SUBSTITUTE(SUBSTITUTE(H142,"~","~~"),"*","~*"),"?","~?"),Guide!$A$7:$A$9,0)),""),"")</f>
        <v>Accessories</v>
      </c>
      <c r="J142" s="1" t="str">
        <f>IF(TRIM(Raw!E142)="",I142,IF(UPPER(TRIM(Raw!E142))=UPPER(I142),I142,""))</f>
        <v>Accessories</v>
      </c>
      <c r="K142" s="1" t="str">
        <f>IF(Raw!F142="","",Raw!F142)</f>
        <v>sale</v>
      </c>
      <c r="L142" s="1" t="str">
        <f>IF(LEFT(TRIM(Raw!G142),2)="-$","-"&amp;MID(TRIM(Raw!G142),3,99),IF(LEFT(TRIM(Raw!G142),1)="$",MID(TRIM(Raw!G142),2,99),TRIM(Raw!G142)))</f>
        <v>54.94</v>
      </c>
      <c r="M142" s="1">
        <f t="shared" si="19"/>
        <v>54.94</v>
      </c>
      <c r="N142" s="10">
        <f t="shared" si="20"/>
        <v>5494</v>
      </c>
      <c r="O142" s="1" t="b">
        <f>IFERROR(IF(ISNUMBER(Raw!G142),TRUE,OR(EXACT(L142,TEXT(M142,"0.00")),EXACT(L142,TEXT(M142,"#,##0.00")))),FALSE)</f>
        <v>1</v>
      </c>
      <c r="P142" s="1" t="str">
        <f>LEN(IF(Raw!A142="","",Raw!A142))&amp;":"&amp;IF(Raw!A142="","",Raw!A142)&amp;"|"&amp;LEN(IF(Raw!B142="","",Raw!B142))&amp;":"&amp;IF(Raw!B142="","",Raw!B142)&amp;"|"&amp;LEN(IF(Raw!C142="","",Raw!C142))&amp;":"&amp;IF(Raw!C142="","",Raw!C142)&amp;"|"&amp;LEN(IF(Raw!D142="","",Raw!D142))&amp;":"&amp;IF(Raw!D142="","",Raw!D142)&amp;"|"&amp;LEN(IF(Raw!E142="","",Raw!E142))&amp;":"&amp;IF(Raw!E142="","",Raw!E142)&amp;"|"&amp;LEN(IF(Raw!F142="","",Raw!F142))&amp;":"&amp;IF(Raw!F142="","",Raw!F142)&amp;"|"&amp;LEN(IF(Raw!G142="","",Raw!G142))&amp;":"&amp;IF(Raw!G142="","",Raw!G142)</f>
        <v>6:L00136|6:T00068|10:2026-01-20|3:P-A|11:Accessories|4:sale|5:54.94</v>
      </c>
      <c r="Q142" s="1">
        <f>1</f>
        <v>1</v>
      </c>
      <c r="R142" s="1" t="b">
        <f>FALSE</f>
        <v>0</v>
      </c>
      <c r="S142" s="1">
        <f>1</f>
        <v>1</v>
      </c>
      <c r="T142" s="1" t="str">
        <f>IF(AND(Raw!A142="",Raw!B142="",Raw!C142="",Raw!D142="",Raw!E142="",Raw!F142="",Raw!G142=""),"UNUSED",IF(A142="","missing line ID",IF(B142="","missing transaction ID",IF(G142="",IF(C142="","missing date","invalid date"),IF(I142="","unknown product",IF(J142="","conflicting category",IF(NOT(OR(EXACT(K142,"sale"),EXACT(K142,"refund"))),"unknown event",IF(OR(N142="",NOT(O142)),"invalid amount",IF(OR(AND(K142="sale",N142&lt;=0),AND(K142="refund",N142&gt;=0)),"invalid sign","")))))))))</f>
        <v/>
      </c>
      <c r="U142" s="1" t="str">
        <f t="shared" si="21"/>
        <v>INCLUDED</v>
      </c>
      <c r="V142" s="1" t="str">
        <f t="shared" si="22"/>
        <v>2026-01</v>
      </c>
      <c r="W142" s="1">
        <f>IF(AND(U142="INCLUDED",X142&gt;0,EXACT(A142,'AI output'!A142)),1,0)</f>
        <v>1</v>
      </c>
      <c r="X142" s="1">
        <f>142</f>
        <v>142</v>
      </c>
      <c r="Y142" s="1">
        <f>IF(AND(U142="INCLUDED",W142=1),--(NOT(EXACT(A142,'AI output'!A142)))+--(NOT(EXACT(B142,'AI output'!B142)))+--(NOT(EXACT(TEXT(G142,"yyyy-mm-dd"),'AI output'!C142)))+--(NOT(EXACT(H142,'AI output'!D142)))+--(NOT(EXACT(J142,'AI output'!E142)))+--(NOT(EXACT(K142,'AI output'!F142)))+--(N142&lt;&gt;'AI output'!L142)+--(NOT('AI output'!M142)),0)</f>
        <v>0</v>
      </c>
      <c r="Z142" s="1">
        <f t="shared" si="23"/>
        <v>0</v>
      </c>
      <c r="AA142" s="1">
        <f>--EXACT(A142,"L00136")</f>
        <v>1</v>
      </c>
    </row>
    <row r="143" spans="1:27" ht="18.95" customHeight="1">
      <c r="A143" s="1" t="str">
        <f>IF(Raw!A143="","",Raw!A143)</f>
        <v>L00137</v>
      </c>
      <c r="B143" s="1" t="str">
        <f>IF(Raw!B143="","",Raw!B143)</f>
        <v>T00069</v>
      </c>
      <c r="C143" s="1" t="str">
        <f>IF(Raw!C143="","",Raw!C143)</f>
        <v>2026-01-27</v>
      </c>
      <c r="D143" s="1">
        <f t="shared" si="16"/>
        <v>2026</v>
      </c>
      <c r="E143" s="1">
        <f>IFERROR(IF(AND(LEN(C143)=10,MID(C143,5,1)="-",MID(C143,8,1)="-"),VALUE(MID(C143,6,2)),IF(AND(LEN(C143)=11,MID(C143,3,1)="-",MID(C143,7,1)="-"),MATCH(UPPER(MID(C143,4,3)),Guide!$D$7:$D$18,0),0)),0)</f>
        <v>1</v>
      </c>
      <c r="F143" s="1">
        <f t="shared" si="17"/>
        <v>27</v>
      </c>
      <c r="G143" s="9">
        <f t="shared" si="18"/>
        <v>46049</v>
      </c>
      <c r="H143" s="1" t="str">
        <f>IF(Raw!D143="","",Raw!D143)</f>
        <v>P-H</v>
      </c>
      <c r="I143" s="1" t="str">
        <f>IFERROR(IF(EXACT(H143,INDEX(Guide!$A$7:$A$9,MATCH(SUBSTITUTE(SUBSTITUTE(SUBSTITUTE(H143,"~","~~"),"*","~*"),"?","~?"),Guide!$A$7:$A$9,0))),INDEX(Guide!$B$7:$B$9,MATCH(SUBSTITUTE(SUBSTITUTE(SUBSTITUTE(H143,"~","~~"),"*","~*"),"?","~?"),Guide!$A$7:$A$9,0)),""),"")</f>
        <v>Home</v>
      </c>
      <c r="J143" s="1" t="str">
        <f>IF(TRIM(Raw!E143)="",I143,IF(UPPER(TRIM(Raw!E143))=UPPER(I143),I143,""))</f>
        <v>Home</v>
      </c>
      <c r="K143" s="1" t="str">
        <f>IF(Raw!F143="","",Raw!F143)</f>
        <v>sale</v>
      </c>
      <c r="L143" s="1" t="str">
        <f>IF(LEFT(TRIM(Raw!G143),2)="-$","-"&amp;MID(TRIM(Raw!G143),3,99),IF(LEFT(TRIM(Raw!G143),1)="$",MID(TRIM(Raw!G143),2,99),TRIM(Raw!G143)))</f>
        <v>165.93</v>
      </c>
      <c r="M143" s="1">
        <f t="shared" si="19"/>
        <v>165.93</v>
      </c>
      <c r="N143" s="10">
        <f t="shared" si="20"/>
        <v>16593</v>
      </c>
      <c r="O143" s="1" t="b">
        <f>IFERROR(IF(ISNUMBER(Raw!G143),TRUE,OR(EXACT(L143,TEXT(M143,"0.00")),EXACT(L143,TEXT(M143,"#,##0.00")))),FALSE)</f>
        <v>1</v>
      </c>
      <c r="P143" s="1" t="str">
        <f>LEN(IF(Raw!A143="","",Raw!A143))&amp;":"&amp;IF(Raw!A143="","",Raw!A143)&amp;"|"&amp;LEN(IF(Raw!B143="","",Raw!B143))&amp;":"&amp;IF(Raw!B143="","",Raw!B143)&amp;"|"&amp;LEN(IF(Raw!C143="","",Raw!C143))&amp;":"&amp;IF(Raw!C143="","",Raw!C143)&amp;"|"&amp;LEN(IF(Raw!D143="","",Raw!D143))&amp;":"&amp;IF(Raw!D143="","",Raw!D143)&amp;"|"&amp;LEN(IF(Raw!E143="","",Raw!E143))&amp;":"&amp;IF(Raw!E143="","",Raw!E143)&amp;"|"&amp;LEN(IF(Raw!F143="","",Raw!F143))&amp;":"&amp;IF(Raw!F143="","",Raw!F143)&amp;"|"&amp;LEN(IF(Raw!G143="","",Raw!G143))&amp;":"&amp;IF(Raw!G143="","",Raw!G143)</f>
        <v>6:L00137|6:T00069|10:2026-01-27|3:P-H|4:Home|4:sale|6:165.93</v>
      </c>
      <c r="Q143" s="1">
        <f>1</f>
        <v>1</v>
      </c>
      <c r="R143" s="1" t="b">
        <f>FALSE</f>
        <v>0</v>
      </c>
      <c r="S143" s="1">
        <f>1</f>
        <v>1</v>
      </c>
      <c r="T143" s="1" t="str">
        <f>IF(AND(Raw!A143="",Raw!B143="",Raw!C143="",Raw!D143="",Raw!E143="",Raw!F143="",Raw!G143=""),"UNUSED",IF(A143="","missing line ID",IF(B143="","missing transaction ID",IF(G143="",IF(C143="","missing date","invalid date"),IF(I143="","unknown product",IF(J143="","conflicting category",IF(NOT(OR(EXACT(K143,"sale"),EXACT(K143,"refund"))),"unknown event",IF(OR(N143="",NOT(O143)),"invalid amount",IF(OR(AND(K143="sale",N143&lt;=0),AND(K143="refund",N143&gt;=0)),"invalid sign","")))))))))</f>
        <v/>
      </c>
      <c r="U143" s="1" t="str">
        <f t="shared" si="21"/>
        <v>INCLUDED</v>
      </c>
      <c r="V143" s="1" t="str">
        <f t="shared" si="22"/>
        <v>2026-01</v>
      </c>
      <c r="W143" s="1">
        <f>IF(AND(U143="INCLUDED",X143&gt;0,EXACT(A143,'AI output'!A143)),1,0)</f>
        <v>1</v>
      </c>
      <c r="X143" s="1">
        <f>143</f>
        <v>143</v>
      </c>
      <c r="Y143" s="1">
        <f>IF(AND(U143="INCLUDED",W143=1),--(NOT(EXACT(A143,'AI output'!A143)))+--(NOT(EXACT(B143,'AI output'!B143)))+--(NOT(EXACT(TEXT(G143,"yyyy-mm-dd"),'AI output'!C143)))+--(NOT(EXACT(H143,'AI output'!D143)))+--(NOT(EXACT(J143,'AI output'!E143)))+--(NOT(EXACT(K143,'AI output'!F143)))+--(N143&lt;&gt;'AI output'!L143)+--(NOT('AI output'!M143)),0)</f>
        <v>0</v>
      </c>
      <c r="Z143" s="1">
        <f t="shared" si="23"/>
        <v>0</v>
      </c>
      <c r="AA143" s="1">
        <f>--EXACT(A143,"L00137")</f>
        <v>1</v>
      </c>
    </row>
    <row r="144" spans="1:27" ht="18.95" customHeight="1">
      <c r="A144" s="1" t="str">
        <f>IF(Raw!A144="","",Raw!A144)</f>
        <v>L00138</v>
      </c>
      <c r="B144" s="1" t="str">
        <f>IF(Raw!B144="","",Raw!B144)</f>
        <v>T00069</v>
      </c>
      <c r="C144" s="1" t="str">
        <f>IF(Raw!C144="","",Raw!C144)</f>
        <v>2026-01-27</v>
      </c>
      <c r="D144" s="1">
        <f t="shared" si="16"/>
        <v>2026</v>
      </c>
      <c r="E144" s="1">
        <f>IFERROR(IF(AND(LEN(C144)=10,MID(C144,5,1)="-",MID(C144,8,1)="-"),VALUE(MID(C144,6,2)),IF(AND(LEN(C144)=11,MID(C144,3,1)="-",MID(C144,7,1)="-"),MATCH(UPPER(MID(C144,4,3)),Guide!$D$7:$D$18,0),0)),0)</f>
        <v>1</v>
      </c>
      <c r="F144" s="1">
        <f t="shared" si="17"/>
        <v>27</v>
      </c>
      <c r="G144" s="9">
        <f t="shared" si="18"/>
        <v>46049</v>
      </c>
      <c r="H144" s="1" t="str">
        <f>IF(Raw!D144="","",Raw!D144)</f>
        <v>P-O</v>
      </c>
      <c r="I144" s="1" t="str">
        <f>IFERROR(IF(EXACT(H144,INDEX(Guide!$A$7:$A$9,MATCH(SUBSTITUTE(SUBSTITUTE(SUBSTITUTE(H144,"~","~~"),"*","~*"),"?","~?"),Guide!$A$7:$A$9,0))),INDEX(Guide!$B$7:$B$9,MATCH(SUBSTITUTE(SUBSTITUTE(SUBSTITUTE(H144,"~","~~"),"*","~*"),"?","~?"),Guide!$A$7:$A$9,0)),""),"")</f>
        <v>Office</v>
      </c>
      <c r="J144" s="1" t="str">
        <f>IF(TRIM(Raw!E144)="",I144,IF(UPPER(TRIM(Raw!E144))=UPPER(I144),I144,""))</f>
        <v>Office</v>
      </c>
      <c r="K144" s="1" t="str">
        <f>IF(Raw!F144="","",Raw!F144)</f>
        <v>sale</v>
      </c>
      <c r="L144" s="1" t="str">
        <f>IF(LEFT(TRIM(Raw!G144),2)="-$","-"&amp;MID(TRIM(Raw!G144),3,99),IF(LEFT(TRIM(Raw!G144),1)="$",MID(TRIM(Raw!G144),2,99),TRIM(Raw!G144)))</f>
        <v>278.40</v>
      </c>
      <c r="M144" s="1">
        <f t="shared" si="19"/>
        <v>278.39999999999998</v>
      </c>
      <c r="N144" s="10">
        <f t="shared" si="20"/>
        <v>27840</v>
      </c>
      <c r="O144" s="1" t="b">
        <f>IFERROR(IF(ISNUMBER(Raw!G144),TRUE,OR(EXACT(L144,TEXT(M144,"0.00")),EXACT(L144,TEXT(M144,"#,##0.00")))),FALSE)</f>
        <v>1</v>
      </c>
      <c r="P144" s="1" t="str">
        <f>LEN(IF(Raw!A144="","",Raw!A144))&amp;":"&amp;IF(Raw!A144="","",Raw!A144)&amp;"|"&amp;LEN(IF(Raw!B144="","",Raw!B144))&amp;":"&amp;IF(Raw!B144="","",Raw!B144)&amp;"|"&amp;LEN(IF(Raw!C144="","",Raw!C144))&amp;":"&amp;IF(Raw!C144="","",Raw!C144)&amp;"|"&amp;LEN(IF(Raw!D144="","",Raw!D144))&amp;":"&amp;IF(Raw!D144="","",Raw!D144)&amp;"|"&amp;LEN(IF(Raw!E144="","",Raw!E144))&amp;":"&amp;IF(Raw!E144="","",Raw!E144)&amp;"|"&amp;LEN(IF(Raw!F144="","",Raw!F144))&amp;":"&amp;IF(Raw!F144="","",Raw!F144)&amp;"|"&amp;LEN(IF(Raw!G144="","",Raw!G144))&amp;":"&amp;IF(Raw!G144="","",Raw!G144)</f>
        <v>6:L00138|6:T00069|10:2026-01-27|3:P-O|6:Office|4:sale|6:278.40</v>
      </c>
      <c r="Q144" s="1">
        <f>1</f>
        <v>1</v>
      </c>
      <c r="R144" s="1" t="b">
        <f>FALSE</f>
        <v>0</v>
      </c>
      <c r="S144" s="1">
        <f>1</f>
        <v>1</v>
      </c>
      <c r="T144" s="1" t="str">
        <f>IF(AND(Raw!A144="",Raw!B144="",Raw!C144="",Raw!D144="",Raw!E144="",Raw!F144="",Raw!G144=""),"UNUSED",IF(A144="","missing line ID",IF(B144="","missing transaction ID",IF(G144="",IF(C144="","missing date","invalid date"),IF(I144="","unknown product",IF(J144="","conflicting category",IF(NOT(OR(EXACT(K144,"sale"),EXACT(K144,"refund"))),"unknown event",IF(OR(N144="",NOT(O144)),"invalid amount",IF(OR(AND(K144="sale",N144&lt;=0),AND(K144="refund",N144&gt;=0)),"invalid sign","")))))))))</f>
        <v/>
      </c>
      <c r="U144" s="1" t="str">
        <f t="shared" si="21"/>
        <v>INCLUDED</v>
      </c>
      <c r="V144" s="1" t="str">
        <f t="shared" si="22"/>
        <v>2026-01</v>
      </c>
      <c r="W144" s="1">
        <f>IF(AND(U144="INCLUDED",X144&gt;0,EXACT(A144,'AI output'!A144)),1,0)</f>
        <v>1</v>
      </c>
      <c r="X144" s="1">
        <f>144</f>
        <v>144</v>
      </c>
      <c r="Y144" s="1">
        <f>IF(AND(U144="INCLUDED",W144=1),--(NOT(EXACT(A144,'AI output'!A144)))+--(NOT(EXACT(B144,'AI output'!B144)))+--(NOT(EXACT(TEXT(G144,"yyyy-mm-dd"),'AI output'!C144)))+--(NOT(EXACT(H144,'AI output'!D144)))+--(NOT(EXACT(J144,'AI output'!E144)))+--(NOT(EXACT(K144,'AI output'!F144)))+--(N144&lt;&gt;'AI output'!L144)+--(NOT('AI output'!M144)),0)</f>
        <v>0</v>
      </c>
      <c r="Z144" s="1">
        <f t="shared" si="23"/>
        <v>0</v>
      </c>
      <c r="AA144" s="1">
        <f>--EXACT(A144,"L00138")</f>
        <v>1</v>
      </c>
    </row>
    <row r="145" spans="1:27" ht="18.95" customHeight="1">
      <c r="A145" s="1" t="str">
        <f>IF(Raw!A145="","",Raw!A145)</f>
        <v>L00139</v>
      </c>
      <c r="B145" s="1" t="str">
        <f>IF(Raw!B145="","",Raw!B145)</f>
        <v>T00070</v>
      </c>
      <c r="C145" s="1" t="str">
        <f>IF(Raw!C145="","",Raw!C145)</f>
        <v>2026-02-03</v>
      </c>
      <c r="D145" s="1">
        <f t="shared" si="16"/>
        <v>2026</v>
      </c>
      <c r="E145" s="1">
        <f>IFERROR(IF(AND(LEN(C145)=10,MID(C145,5,1)="-",MID(C145,8,1)="-"),VALUE(MID(C145,6,2)),IF(AND(LEN(C145)=11,MID(C145,3,1)="-",MID(C145,7,1)="-"),MATCH(UPPER(MID(C145,4,3)),Guide!$D$7:$D$18,0),0)),0)</f>
        <v>2</v>
      </c>
      <c r="F145" s="1">
        <f t="shared" si="17"/>
        <v>3</v>
      </c>
      <c r="G145" s="9">
        <f t="shared" si="18"/>
        <v>46056</v>
      </c>
      <c r="H145" s="1" t="str">
        <f>IF(Raw!D145="","",Raw!D145)</f>
        <v>P-A</v>
      </c>
      <c r="I145" s="1" t="str">
        <f>IFERROR(IF(EXACT(H145,INDEX(Guide!$A$7:$A$9,MATCH(SUBSTITUTE(SUBSTITUTE(SUBSTITUTE(H145,"~","~~"),"*","~*"),"?","~?"),Guide!$A$7:$A$9,0))),INDEX(Guide!$B$7:$B$9,MATCH(SUBSTITUTE(SUBSTITUTE(SUBSTITUTE(H145,"~","~~"),"*","~*"),"?","~?"),Guide!$A$7:$A$9,0)),""),"")</f>
        <v>Accessories</v>
      </c>
      <c r="J145" s="1" t="str">
        <f>IF(TRIM(Raw!E145)="",I145,IF(UPPER(TRIM(Raw!E145))=UPPER(I145),I145,""))</f>
        <v>Accessories</v>
      </c>
      <c r="K145" s="1" t="str">
        <f>IF(Raw!F145="","",Raw!F145)</f>
        <v>refund</v>
      </c>
      <c r="L145" s="1" t="str">
        <f>IF(LEFT(TRIM(Raw!G145),2)="-$","-"&amp;MID(TRIM(Raw!G145),3,99),IF(LEFT(TRIM(Raw!G145),1)="$",MID(TRIM(Raw!G145),2,99),TRIM(Raw!G145)))</f>
        <v>-112.10</v>
      </c>
      <c r="M145" s="1">
        <f t="shared" si="19"/>
        <v>-112.1</v>
      </c>
      <c r="N145" s="10">
        <f t="shared" si="20"/>
        <v>-11210</v>
      </c>
      <c r="O145" s="1" t="b">
        <f>IFERROR(IF(ISNUMBER(Raw!G145),TRUE,OR(EXACT(L145,TEXT(M145,"0.00")),EXACT(L145,TEXT(M145,"#,##0.00")))),FALSE)</f>
        <v>1</v>
      </c>
      <c r="P145" s="1" t="str">
        <f>LEN(IF(Raw!A145="","",Raw!A145))&amp;":"&amp;IF(Raw!A145="","",Raw!A145)&amp;"|"&amp;LEN(IF(Raw!B145="","",Raw!B145))&amp;":"&amp;IF(Raw!B145="","",Raw!B145)&amp;"|"&amp;LEN(IF(Raw!C145="","",Raw!C145))&amp;":"&amp;IF(Raw!C145="","",Raw!C145)&amp;"|"&amp;LEN(IF(Raw!D145="","",Raw!D145))&amp;":"&amp;IF(Raw!D145="","",Raw!D145)&amp;"|"&amp;LEN(IF(Raw!E145="","",Raw!E145))&amp;":"&amp;IF(Raw!E145="","",Raw!E145)&amp;"|"&amp;LEN(IF(Raw!F145="","",Raw!F145))&amp;":"&amp;IF(Raw!F145="","",Raw!F145)&amp;"|"&amp;LEN(IF(Raw!G145="","",Raw!G145))&amp;":"&amp;IF(Raw!G145="","",Raw!G145)</f>
        <v>6:L00139|6:T00070|10:2026-02-03|3:P-A|11:Accessories|6:refund|7:-112.10</v>
      </c>
      <c r="Q145" s="1">
        <f>1</f>
        <v>1</v>
      </c>
      <c r="R145" s="1" t="b">
        <f>FALSE</f>
        <v>0</v>
      </c>
      <c r="S145" s="1">
        <f>1</f>
        <v>1</v>
      </c>
      <c r="T145" s="1" t="str">
        <f>IF(AND(Raw!A145="",Raw!B145="",Raw!C145="",Raw!D145="",Raw!E145="",Raw!F145="",Raw!G145=""),"UNUSED",IF(A145="","missing line ID",IF(B145="","missing transaction ID",IF(G145="",IF(C145="","missing date","invalid date"),IF(I145="","unknown product",IF(J145="","conflicting category",IF(NOT(OR(EXACT(K145,"sale"),EXACT(K145,"refund"))),"unknown event",IF(OR(N145="",NOT(O145)),"invalid amount",IF(OR(AND(K145="sale",N145&lt;=0),AND(K145="refund",N145&gt;=0)),"invalid sign","")))))))))</f>
        <v/>
      </c>
      <c r="U145" s="1" t="str">
        <f t="shared" si="21"/>
        <v>INCLUDED</v>
      </c>
      <c r="V145" s="1" t="str">
        <f t="shared" si="22"/>
        <v>2026-02</v>
      </c>
      <c r="W145" s="1">
        <f>IF(AND(U145="INCLUDED",X145&gt;0,EXACT(A145,'AI output'!A145)),1,0)</f>
        <v>1</v>
      </c>
      <c r="X145" s="1">
        <f>145</f>
        <v>145</v>
      </c>
      <c r="Y145" s="1">
        <f>IF(AND(U145="INCLUDED",W145=1),--(NOT(EXACT(A145,'AI output'!A145)))+--(NOT(EXACT(B145,'AI output'!B145)))+--(NOT(EXACT(TEXT(G145,"yyyy-mm-dd"),'AI output'!C145)))+--(NOT(EXACT(H145,'AI output'!D145)))+--(NOT(EXACT(J145,'AI output'!E145)))+--(NOT(EXACT(K145,'AI output'!F145)))+--(N145&lt;&gt;'AI output'!L145)+--(NOT('AI output'!M145)),0)</f>
        <v>0</v>
      </c>
      <c r="Z145" s="1">
        <f t="shared" si="23"/>
        <v>0</v>
      </c>
      <c r="AA145" s="1">
        <f>--EXACT(A145,"L00139")</f>
        <v>1</v>
      </c>
    </row>
    <row r="146" spans="1:27" ht="18.95" customHeight="1">
      <c r="A146" s="1" t="str">
        <f>IF(Raw!A146="","",Raw!A146)</f>
        <v>L00140</v>
      </c>
      <c r="B146" s="1" t="str">
        <f>IF(Raw!B146="","",Raw!B146)</f>
        <v>T00070</v>
      </c>
      <c r="C146" s="1" t="str">
        <f>IF(Raw!C146="","",Raw!C146)</f>
        <v>2026-02-03</v>
      </c>
      <c r="D146" s="1">
        <f t="shared" si="16"/>
        <v>2026</v>
      </c>
      <c r="E146" s="1">
        <f>IFERROR(IF(AND(LEN(C146)=10,MID(C146,5,1)="-",MID(C146,8,1)="-"),VALUE(MID(C146,6,2)),IF(AND(LEN(C146)=11,MID(C146,3,1)="-",MID(C146,7,1)="-"),MATCH(UPPER(MID(C146,4,3)),Guide!$D$7:$D$18,0),0)),0)</f>
        <v>2</v>
      </c>
      <c r="F146" s="1">
        <f t="shared" si="17"/>
        <v>3</v>
      </c>
      <c r="G146" s="9">
        <f t="shared" si="18"/>
        <v>46056</v>
      </c>
      <c r="H146" s="1" t="str">
        <f>IF(Raw!D146="","",Raw!D146)</f>
        <v>P-H</v>
      </c>
      <c r="I146" s="1" t="str">
        <f>IFERROR(IF(EXACT(H146,INDEX(Guide!$A$7:$A$9,MATCH(SUBSTITUTE(SUBSTITUTE(SUBSTITUTE(H146,"~","~~"),"*","~*"),"?","~?"),Guide!$A$7:$A$9,0))),INDEX(Guide!$B$7:$B$9,MATCH(SUBSTITUTE(SUBSTITUTE(SUBSTITUTE(H146,"~","~~"),"*","~*"),"?","~?"),Guide!$A$7:$A$9,0)),""),"")</f>
        <v>Home</v>
      </c>
      <c r="J146" s="1" t="str">
        <f>IF(TRIM(Raw!E146)="",I146,IF(UPPER(TRIM(Raw!E146))=UPPER(I146),I146,""))</f>
        <v>Home</v>
      </c>
      <c r="K146" s="1" t="str">
        <f>IF(Raw!F146="","",Raw!F146)</f>
        <v>sale</v>
      </c>
      <c r="L146" s="1" t="str">
        <f>IF(LEFT(TRIM(Raw!G146),2)="-$","-"&amp;MID(TRIM(Raw!G146),3,99),IF(LEFT(TRIM(Raw!G146),1)="$",MID(TRIM(Raw!G146),2,99),TRIM(Raw!G146)))</f>
        <v>225.68</v>
      </c>
      <c r="M146" s="1">
        <f t="shared" si="19"/>
        <v>225.68</v>
      </c>
      <c r="N146" s="10">
        <f t="shared" si="20"/>
        <v>22568</v>
      </c>
      <c r="O146" s="1" t="b">
        <f>IFERROR(IF(ISNUMBER(Raw!G146),TRUE,OR(EXACT(L146,TEXT(M146,"0.00")),EXACT(L146,TEXT(M146,"#,##0.00")))),FALSE)</f>
        <v>1</v>
      </c>
      <c r="P146" s="1" t="str">
        <f>LEN(IF(Raw!A146="","",Raw!A146))&amp;":"&amp;IF(Raw!A146="","",Raw!A146)&amp;"|"&amp;LEN(IF(Raw!B146="","",Raw!B146))&amp;":"&amp;IF(Raw!B146="","",Raw!B146)&amp;"|"&amp;LEN(IF(Raw!C146="","",Raw!C146))&amp;":"&amp;IF(Raw!C146="","",Raw!C146)&amp;"|"&amp;LEN(IF(Raw!D146="","",Raw!D146))&amp;":"&amp;IF(Raw!D146="","",Raw!D146)&amp;"|"&amp;LEN(IF(Raw!E146="","",Raw!E146))&amp;":"&amp;IF(Raw!E146="","",Raw!E146)&amp;"|"&amp;LEN(IF(Raw!F146="","",Raw!F146))&amp;":"&amp;IF(Raw!F146="","",Raw!F146)&amp;"|"&amp;LEN(IF(Raw!G146="","",Raw!G146))&amp;":"&amp;IF(Raw!G146="","",Raw!G146)</f>
        <v>6:L00140|6:T00070|10:2026-02-03|3:P-H|4:Home|4:sale|6:225.68</v>
      </c>
      <c r="Q146" s="1">
        <f>1</f>
        <v>1</v>
      </c>
      <c r="R146" s="1" t="b">
        <f>FALSE</f>
        <v>0</v>
      </c>
      <c r="S146" s="1">
        <f>1</f>
        <v>1</v>
      </c>
      <c r="T146" s="1" t="str">
        <f>IF(AND(Raw!A146="",Raw!B146="",Raw!C146="",Raw!D146="",Raw!E146="",Raw!F146="",Raw!G146=""),"UNUSED",IF(A146="","missing line ID",IF(B146="","missing transaction ID",IF(G146="",IF(C146="","missing date","invalid date"),IF(I146="","unknown product",IF(J146="","conflicting category",IF(NOT(OR(EXACT(K146,"sale"),EXACT(K146,"refund"))),"unknown event",IF(OR(N146="",NOT(O146)),"invalid amount",IF(OR(AND(K146="sale",N146&lt;=0),AND(K146="refund",N146&gt;=0)),"invalid sign","")))))))))</f>
        <v/>
      </c>
      <c r="U146" s="1" t="str">
        <f t="shared" si="21"/>
        <v>INCLUDED</v>
      </c>
      <c r="V146" s="1" t="str">
        <f t="shared" si="22"/>
        <v>2026-02</v>
      </c>
      <c r="W146" s="1">
        <f>IF(AND(U146="INCLUDED",X146&gt;0,EXACT(A146,'AI output'!A146)),1,0)</f>
        <v>1</v>
      </c>
      <c r="X146" s="1">
        <f>146</f>
        <v>146</v>
      </c>
      <c r="Y146" s="1">
        <f>IF(AND(U146="INCLUDED",W146=1),--(NOT(EXACT(A146,'AI output'!A146)))+--(NOT(EXACT(B146,'AI output'!B146)))+--(NOT(EXACT(TEXT(G146,"yyyy-mm-dd"),'AI output'!C146)))+--(NOT(EXACT(H146,'AI output'!D146)))+--(NOT(EXACT(J146,'AI output'!E146)))+--(NOT(EXACT(K146,'AI output'!F146)))+--(N146&lt;&gt;'AI output'!L146)+--(NOT('AI output'!M146)),0)</f>
        <v>0</v>
      </c>
      <c r="Z146" s="1">
        <f t="shared" si="23"/>
        <v>0</v>
      </c>
      <c r="AA146" s="1">
        <f>--EXACT(A146,"L00140")</f>
        <v>1</v>
      </c>
    </row>
    <row r="147" spans="1:27" ht="18.95" customHeight="1">
      <c r="A147" s="1" t="str">
        <f>IF(Raw!A147="","",Raw!A147)</f>
        <v>L00141</v>
      </c>
      <c r="B147" s="1" t="str">
        <f>IF(Raw!B147="","",Raw!B147)</f>
        <v>T00071</v>
      </c>
      <c r="C147" s="1" t="str">
        <f>IF(Raw!C147="","",Raw!C147)</f>
        <v>2026-02-10</v>
      </c>
      <c r="D147" s="1">
        <f t="shared" si="16"/>
        <v>2026</v>
      </c>
      <c r="E147" s="1">
        <f>IFERROR(IF(AND(LEN(C147)=10,MID(C147,5,1)="-",MID(C147,8,1)="-"),VALUE(MID(C147,6,2)),IF(AND(LEN(C147)=11,MID(C147,3,1)="-",MID(C147,7,1)="-"),MATCH(UPPER(MID(C147,4,3)),Guide!$D$7:$D$18,0),0)),0)</f>
        <v>2</v>
      </c>
      <c r="F147" s="1">
        <f t="shared" si="17"/>
        <v>10</v>
      </c>
      <c r="G147" s="9">
        <f t="shared" si="18"/>
        <v>46063</v>
      </c>
      <c r="H147" s="1" t="str">
        <f>IF(Raw!D147="","",Raw!D147)</f>
        <v>P-O</v>
      </c>
      <c r="I147" s="1" t="str">
        <f>IFERROR(IF(EXACT(H147,INDEX(Guide!$A$7:$A$9,MATCH(SUBSTITUTE(SUBSTITUTE(SUBSTITUTE(H147,"~","~~"),"*","~*"),"?","~?"),Guide!$A$7:$A$9,0))),INDEX(Guide!$B$7:$B$9,MATCH(SUBSTITUTE(SUBSTITUTE(SUBSTITUTE(H147,"~","~~"),"*","~*"),"?","~?"),Guide!$A$7:$A$9,0)),""),"")</f>
        <v>Office</v>
      </c>
      <c r="J147" s="1" t="str">
        <f>IF(TRIM(Raw!E147)="",I147,IF(UPPER(TRIM(Raw!E147))=UPPER(I147),I147,""))</f>
        <v>Office</v>
      </c>
      <c r="K147" s="1" t="str">
        <f>IF(Raw!F147="","",Raw!F147)</f>
        <v>sale</v>
      </c>
      <c r="L147" s="1" t="str">
        <f>IF(LEFT(TRIM(Raw!G147),2)="-$","-"&amp;MID(TRIM(Raw!G147),3,99),IF(LEFT(TRIM(Raw!G147),1)="$",MID(TRIM(Raw!G147),2,99),TRIM(Raw!G147)))</f>
        <v>56.79</v>
      </c>
      <c r="M147" s="1">
        <f t="shared" si="19"/>
        <v>56.79</v>
      </c>
      <c r="N147" s="10">
        <f t="shared" si="20"/>
        <v>5679</v>
      </c>
      <c r="O147" s="1" t="b">
        <f>IFERROR(IF(ISNUMBER(Raw!G147),TRUE,OR(EXACT(L147,TEXT(M147,"0.00")),EXACT(L147,TEXT(M147,"#,##0.00")))),FALSE)</f>
        <v>1</v>
      </c>
      <c r="P147" s="1" t="str">
        <f>LEN(IF(Raw!A147="","",Raw!A147))&amp;":"&amp;IF(Raw!A147="","",Raw!A147)&amp;"|"&amp;LEN(IF(Raw!B147="","",Raw!B147))&amp;":"&amp;IF(Raw!B147="","",Raw!B147)&amp;"|"&amp;LEN(IF(Raw!C147="","",Raw!C147))&amp;":"&amp;IF(Raw!C147="","",Raw!C147)&amp;"|"&amp;LEN(IF(Raw!D147="","",Raw!D147))&amp;":"&amp;IF(Raw!D147="","",Raw!D147)&amp;"|"&amp;LEN(IF(Raw!E147="","",Raw!E147))&amp;":"&amp;IF(Raw!E147="","",Raw!E147)&amp;"|"&amp;LEN(IF(Raw!F147="","",Raw!F147))&amp;":"&amp;IF(Raw!F147="","",Raw!F147)&amp;"|"&amp;LEN(IF(Raw!G147="","",Raw!G147))&amp;":"&amp;IF(Raw!G147="","",Raw!G147)</f>
        <v>6:L00141|6:T00071|10:2026-02-10|3:P-O|6:Office|4:sale|5:56.79</v>
      </c>
      <c r="Q147" s="1">
        <f>1</f>
        <v>1</v>
      </c>
      <c r="R147" s="1" t="b">
        <f>FALSE</f>
        <v>0</v>
      </c>
      <c r="S147" s="1">
        <f>1</f>
        <v>1</v>
      </c>
      <c r="T147" s="1" t="str">
        <f>IF(AND(Raw!A147="",Raw!B147="",Raw!C147="",Raw!D147="",Raw!E147="",Raw!F147="",Raw!G147=""),"UNUSED",IF(A147="","missing line ID",IF(B147="","missing transaction ID",IF(G147="",IF(C147="","missing date","invalid date"),IF(I147="","unknown product",IF(J147="","conflicting category",IF(NOT(OR(EXACT(K147,"sale"),EXACT(K147,"refund"))),"unknown event",IF(OR(N147="",NOT(O147)),"invalid amount",IF(OR(AND(K147="sale",N147&lt;=0),AND(K147="refund",N147&gt;=0)),"invalid sign","")))))))))</f>
        <v/>
      </c>
      <c r="U147" s="1" t="str">
        <f t="shared" si="21"/>
        <v>INCLUDED</v>
      </c>
      <c r="V147" s="1" t="str">
        <f t="shared" si="22"/>
        <v>2026-02</v>
      </c>
      <c r="W147" s="1">
        <f>IF(AND(U147="INCLUDED",X147&gt;0,EXACT(A147,'AI output'!A147)),1,0)</f>
        <v>1</v>
      </c>
      <c r="X147" s="1">
        <f>147</f>
        <v>147</v>
      </c>
      <c r="Y147" s="1">
        <f>IF(AND(U147="INCLUDED",W147=1),--(NOT(EXACT(A147,'AI output'!A147)))+--(NOT(EXACT(B147,'AI output'!B147)))+--(NOT(EXACT(TEXT(G147,"yyyy-mm-dd"),'AI output'!C147)))+--(NOT(EXACT(H147,'AI output'!D147)))+--(NOT(EXACT(J147,'AI output'!E147)))+--(NOT(EXACT(K147,'AI output'!F147)))+--(N147&lt;&gt;'AI output'!L147)+--(NOT('AI output'!M147)),0)</f>
        <v>0</v>
      </c>
      <c r="Z147" s="1">
        <f t="shared" si="23"/>
        <v>0</v>
      </c>
      <c r="AA147" s="1">
        <f>--EXACT(A147,"L00141")</f>
        <v>1</v>
      </c>
    </row>
    <row r="148" spans="1:27" ht="18.95" customHeight="1">
      <c r="A148" s="1" t="str">
        <f>IF(Raw!A148="","",Raw!A148)</f>
        <v>L00142</v>
      </c>
      <c r="B148" s="1" t="str">
        <f>IF(Raw!B148="","",Raw!B148)</f>
        <v>T00071</v>
      </c>
      <c r="C148" s="1" t="str">
        <f>IF(Raw!C148="","",Raw!C148)</f>
        <v>2026-02-10</v>
      </c>
      <c r="D148" s="1">
        <f t="shared" si="16"/>
        <v>2026</v>
      </c>
      <c r="E148" s="1">
        <f>IFERROR(IF(AND(LEN(C148)=10,MID(C148,5,1)="-",MID(C148,8,1)="-"),VALUE(MID(C148,6,2)),IF(AND(LEN(C148)=11,MID(C148,3,1)="-",MID(C148,7,1)="-"),MATCH(UPPER(MID(C148,4,3)),Guide!$D$7:$D$18,0),0)),0)</f>
        <v>2</v>
      </c>
      <c r="F148" s="1">
        <f t="shared" si="17"/>
        <v>10</v>
      </c>
      <c r="G148" s="9">
        <f t="shared" si="18"/>
        <v>46063</v>
      </c>
      <c r="H148" s="1" t="str">
        <f>IF(Raw!D148="","",Raw!D148)</f>
        <v>P-A</v>
      </c>
      <c r="I148" s="1" t="str">
        <f>IFERROR(IF(EXACT(H148,INDEX(Guide!$A$7:$A$9,MATCH(SUBSTITUTE(SUBSTITUTE(SUBSTITUTE(H148,"~","~~"),"*","~*"),"?","~?"),Guide!$A$7:$A$9,0))),INDEX(Guide!$B$7:$B$9,MATCH(SUBSTITUTE(SUBSTITUTE(SUBSTITUTE(H148,"~","~~"),"*","~*"),"?","~?"),Guide!$A$7:$A$9,0)),""),"")</f>
        <v>Accessories</v>
      </c>
      <c r="J148" s="1" t="str">
        <f>IF(TRIM(Raw!E148)="",I148,IF(UPPER(TRIM(Raw!E148))=UPPER(I148),I148,""))</f>
        <v>Accessories</v>
      </c>
      <c r="K148" s="1" t="str">
        <f>IF(Raw!F148="","",Raw!F148)</f>
        <v>sale</v>
      </c>
      <c r="L148" s="1" t="str">
        <f>IF(LEFT(TRIM(Raw!G148),2)="-$","-"&amp;MID(TRIM(Raw!G148),3,99),IF(LEFT(TRIM(Raw!G148),1)="$",MID(TRIM(Raw!G148),2,99),TRIM(Raw!G148)))</f>
        <v>171.48</v>
      </c>
      <c r="M148" s="1">
        <f t="shared" si="19"/>
        <v>171.48</v>
      </c>
      <c r="N148" s="10">
        <f t="shared" si="20"/>
        <v>17148</v>
      </c>
      <c r="O148" s="1" t="b">
        <f>IFERROR(IF(ISNUMBER(Raw!G148),TRUE,OR(EXACT(L148,TEXT(M148,"0.00")),EXACT(L148,TEXT(M148,"#,##0.00")))),FALSE)</f>
        <v>1</v>
      </c>
      <c r="P148" s="1" t="str">
        <f>LEN(IF(Raw!A148="","",Raw!A148))&amp;":"&amp;IF(Raw!A148="","",Raw!A148)&amp;"|"&amp;LEN(IF(Raw!B148="","",Raw!B148))&amp;":"&amp;IF(Raw!B148="","",Raw!B148)&amp;"|"&amp;LEN(IF(Raw!C148="","",Raw!C148))&amp;":"&amp;IF(Raw!C148="","",Raw!C148)&amp;"|"&amp;LEN(IF(Raw!D148="","",Raw!D148))&amp;":"&amp;IF(Raw!D148="","",Raw!D148)&amp;"|"&amp;LEN(IF(Raw!E148="","",Raw!E148))&amp;":"&amp;IF(Raw!E148="","",Raw!E148)&amp;"|"&amp;LEN(IF(Raw!F148="","",Raw!F148))&amp;":"&amp;IF(Raw!F148="","",Raw!F148)&amp;"|"&amp;LEN(IF(Raw!G148="","",Raw!G148))&amp;":"&amp;IF(Raw!G148="","",Raw!G148)</f>
        <v>6:L00142|6:T00071|10:2026-02-10|3:P-A|11:Accessories|4:sale|6:171.48</v>
      </c>
      <c r="Q148" s="1">
        <f>1</f>
        <v>1</v>
      </c>
      <c r="R148" s="1" t="b">
        <f>FALSE</f>
        <v>0</v>
      </c>
      <c r="S148" s="1">
        <f>1</f>
        <v>1</v>
      </c>
      <c r="T148" s="1" t="str">
        <f>IF(AND(Raw!A148="",Raw!B148="",Raw!C148="",Raw!D148="",Raw!E148="",Raw!F148="",Raw!G148=""),"UNUSED",IF(A148="","missing line ID",IF(B148="","missing transaction ID",IF(G148="",IF(C148="","missing date","invalid date"),IF(I148="","unknown product",IF(J148="","conflicting category",IF(NOT(OR(EXACT(K148,"sale"),EXACT(K148,"refund"))),"unknown event",IF(OR(N148="",NOT(O148)),"invalid amount",IF(OR(AND(K148="sale",N148&lt;=0),AND(K148="refund",N148&gt;=0)),"invalid sign","")))))))))</f>
        <v/>
      </c>
      <c r="U148" s="1" t="str">
        <f t="shared" si="21"/>
        <v>INCLUDED</v>
      </c>
      <c r="V148" s="1" t="str">
        <f t="shared" si="22"/>
        <v>2026-02</v>
      </c>
      <c r="W148" s="1">
        <f>IF(AND(U148="INCLUDED",X148&gt;0,EXACT(A148,'AI output'!A148)),1,0)</f>
        <v>1</v>
      </c>
      <c r="X148" s="1">
        <f>148</f>
        <v>148</v>
      </c>
      <c r="Y148" s="1">
        <f>IF(AND(U148="INCLUDED",W148=1),--(NOT(EXACT(A148,'AI output'!A148)))+--(NOT(EXACT(B148,'AI output'!B148)))+--(NOT(EXACT(TEXT(G148,"yyyy-mm-dd"),'AI output'!C148)))+--(NOT(EXACT(H148,'AI output'!D148)))+--(NOT(EXACT(J148,'AI output'!E148)))+--(NOT(EXACT(K148,'AI output'!F148)))+--(N148&lt;&gt;'AI output'!L148)+--(NOT('AI output'!M148)),0)</f>
        <v>0</v>
      </c>
      <c r="Z148" s="1">
        <f t="shared" si="23"/>
        <v>0</v>
      </c>
      <c r="AA148" s="1">
        <f>--EXACT(A148,"L00142")</f>
        <v>1</v>
      </c>
    </row>
    <row r="149" spans="1:27" ht="18.95" customHeight="1">
      <c r="A149" s="1" t="str">
        <f>IF(Raw!A149="","",Raw!A149)</f>
        <v>L00143</v>
      </c>
      <c r="B149" s="1" t="str">
        <f>IF(Raw!B149="","",Raw!B149)</f>
        <v>T00072</v>
      </c>
      <c r="C149" s="1" t="str">
        <f>IF(Raw!C149="","",Raw!C149)</f>
        <v>2026-02-17</v>
      </c>
      <c r="D149" s="1">
        <f t="shared" si="16"/>
        <v>2026</v>
      </c>
      <c r="E149" s="1">
        <f>IFERROR(IF(AND(LEN(C149)=10,MID(C149,5,1)="-",MID(C149,8,1)="-"),VALUE(MID(C149,6,2)),IF(AND(LEN(C149)=11,MID(C149,3,1)="-",MID(C149,7,1)="-"),MATCH(UPPER(MID(C149,4,3)),Guide!$D$7:$D$18,0),0)),0)</f>
        <v>2</v>
      </c>
      <c r="F149" s="1">
        <f t="shared" si="17"/>
        <v>17</v>
      </c>
      <c r="G149" s="9">
        <f t="shared" si="18"/>
        <v>46070</v>
      </c>
      <c r="H149" s="1" t="str">
        <f>IF(Raw!D149="","",Raw!D149)</f>
        <v>P-H</v>
      </c>
      <c r="I149" s="1" t="str">
        <f>IFERROR(IF(EXACT(H149,INDEX(Guide!$A$7:$A$9,MATCH(SUBSTITUTE(SUBSTITUTE(SUBSTITUTE(H149,"~","~~"),"*","~*"),"?","~?"),Guide!$A$7:$A$9,0))),INDEX(Guide!$B$7:$B$9,MATCH(SUBSTITUTE(SUBSTITUTE(SUBSTITUTE(H149,"~","~~"),"*","~*"),"?","~?"),Guide!$A$7:$A$9,0)),""),"")</f>
        <v>Home</v>
      </c>
      <c r="J149" s="1" t="str">
        <f>IF(TRIM(Raw!E149)="",I149,IF(UPPER(TRIM(Raw!E149))=UPPER(I149),I149,""))</f>
        <v>Home</v>
      </c>
      <c r="K149" s="1" t="str">
        <f>IF(Raw!F149="","",Raw!F149)</f>
        <v>sale</v>
      </c>
      <c r="L149" s="1" t="str">
        <f>IF(LEFT(TRIM(Raw!G149),2)="-$","-"&amp;MID(TRIM(Raw!G149),3,99),IF(LEFT(TRIM(Raw!G149),1)="$",MID(TRIM(Raw!G149),2,99),TRIM(Raw!G149)))</f>
        <v>287.65</v>
      </c>
      <c r="M149" s="1">
        <f t="shared" si="19"/>
        <v>287.64999999999998</v>
      </c>
      <c r="N149" s="10">
        <f t="shared" si="20"/>
        <v>28765</v>
      </c>
      <c r="O149" s="1" t="b">
        <f>IFERROR(IF(ISNUMBER(Raw!G149),TRUE,OR(EXACT(L149,TEXT(M149,"0.00")),EXACT(L149,TEXT(M149,"#,##0.00")))),FALSE)</f>
        <v>1</v>
      </c>
      <c r="P149" s="1" t="str">
        <f>LEN(IF(Raw!A149="","",Raw!A149))&amp;":"&amp;IF(Raw!A149="","",Raw!A149)&amp;"|"&amp;LEN(IF(Raw!B149="","",Raw!B149))&amp;":"&amp;IF(Raw!B149="","",Raw!B149)&amp;"|"&amp;LEN(IF(Raw!C149="","",Raw!C149))&amp;":"&amp;IF(Raw!C149="","",Raw!C149)&amp;"|"&amp;LEN(IF(Raw!D149="","",Raw!D149))&amp;":"&amp;IF(Raw!D149="","",Raw!D149)&amp;"|"&amp;LEN(IF(Raw!E149="","",Raw!E149))&amp;":"&amp;IF(Raw!E149="","",Raw!E149)&amp;"|"&amp;LEN(IF(Raw!F149="","",Raw!F149))&amp;":"&amp;IF(Raw!F149="","",Raw!F149)&amp;"|"&amp;LEN(IF(Raw!G149="","",Raw!G149))&amp;":"&amp;IF(Raw!G149="","",Raw!G149)</f>
        <v>6:L00143|6:T00072|10:2026-02-17|3:P-H|4:Home|4:sale|6:287.65</v>
      </c>
      <c r="Q149" s="1">
        <f>1</f>
        <v>1</v>
      </c>
      <c r="R149" s="1" t="b">
        <f>FALSE</f>
        <v>0</v>
      </c>
      <c r="S149" s="1">
        <f>1</f>
        <v>1</v>
      </c>
      <c r="T149" s="1" t="str">
        <f>IF(AND(Raw!A149="",Raw!B149="",Raw!C149="",Raw!D149="",Raw!E149="",Raw!F149="",Raw!G149=""),"UNUSED",IF(A149="","missing line ID",IF(B149="","missing transaction ID",IF(G149="",IF(C149="","missing date","invalid date"),IF(I149="","unknown product",IF(J149="","conflicting category",IF(NOT(OR(EXACT(K149,"sale"),EXACT(K149,"refund"))),"unknown event",IF(OR(N149="",NOT(O149)),"invalid amount",IF(OR(AND(K149="sale",N149&lt;=0),AND(K149="refund",N149&gt;=0)),"invalid sign","")))))))))</f>
        <v/>
      </c>
      <c r="U149" s="1" t="str">
        <f t="shared" si="21"/>
        <v>INCLUDED</v>
      </c>
      <c r="V149" s="1" t="str">
        <f t="shared" si="22"/>
        <v>2026-02</v>
      </c>
      <c r="W149" s="1">
        <f>IF(AND(U149="INCLUDED",X149&gt;0,EXACT(A149,'AI output'!A149)),1,0)</f>
        <v>1</v>
      </c>
      <c r="X149" s="1">
        <f>149</f>
        <v>149</v>
      </c>
      <c r="Y149" s="1">
        <f>IF(AND(U149="INCLUDED",W149=1),--(NOT(EXACT(A149,'AI output'!A149)))+--(NOT(EXACT(B149,'AI output'!B149)))+--(NOT(EXACT(TEXT(G149,"yyyy-mm-dd"),'AI output'!C149)))+--(NOT(EXACT(H149,'AI output'!D149)))+--(NOT(EXACT(J149,'AI output'!E149)))+--(NOT(EXACT(K149,'AI output'!F149)))+--(N149&lt;&gt;'AI output'!L149)+--(NOT('AI output'!M149)),0)</f>
        <v>0</v>
      </c>
      <c r="Z149" s="1">
        <f t="shared" si="23"/>
        <v>0</v>
      </c>
      <c r="AA149" s="1">
        <f>--EXACT(A149,"L00143")</f>
        <v>1</v>
      </c>
    </row>
    <row r="150" spans="1:27" ht="18.95" customHeight="1">
      <c r="A150" s="1" t="str">
        <f>IF(Raw!A150="","",Raw!A150)</f>
        <v>L00144</v>
      </c>
      <c r="B150" s="1" t="str">
        <f>IF(Raw!B150="","",Raw!B150)</f>
        <v>T00072</v>
      </c>
      <c r="C150" s="1" t="str">
        <f>IF(Raw!C150="","",Raw!C150)</f>
        <v>2026-02-17</v>
      </c>
      <c r="D150" s="1">
        <f t="shared" si="16"/>
        <v>2026</v>
      </c>
      <c r="E150" s="1">
        <f>IFERROR(IF(AND(LEN(C150)=10,MID(C150,5,1)="-",MID(C150,8,1)="-"),VALUE(MID(C150,6,2)),IF(AND(LEN(C150)=11,MID(C150,3,1)="-",MID(C150,7,1)="-"),MATCH(UPPER(MID(C150,4,3)),Guide!$D$7:$D$18,0),0)),0)</f>
        <v>2</v>
      </c>
      <c r="F150" s="1">
        <f t="shared" si="17"/>
        <v>17</v>
      </c>
      <c r="G150" s="9">
        <f t="shared" si="18"/>
        <v>46070</v>
      </c>
      <c r="H150" s="1" t="str">
        <f>IF(Raw!D150="","",Raw!D150)</f>
        <v>P-O</v>
      </c>
      <c r="I150" s="1" t="str">
        <f>IFERROR(IF(EXACT(H150,INDEX(Guide!$A$7:$A$9,MATCH(SUBSTITUTE(SUBSTITUTE(SUBSTITUTE(H150,"~","~~"),"*","~*"),"?","~?"),Guide!$A$7:$A$9,0))),INDEX(Guide!$B$7:$B$9,MATCH(SUBSTITUTE(SUBSTITUTE(SUBSTITUTE(H150,"~","~~"),"*","~*"),"?","~?"),Guide!$A$7:$A$9,0)),""),"")</f>
        <v>Office</v>
      </c>
      <c r="J150" s="1" t="str">
        <f>IF(TRIM(Raw!E150)="",I150,IF(UPPER(TRIM(Raw!E150))=UPPER(I150),I150,""))</f>
        <v>Office</v>
      </c>
      <c r="K150" s="1" t="str">
        <f>IF(Raw!F150="","",Raw!F150)</f>
        <v>sale</v>
      </c>
      <c r="L150" s="1" t="str">
        <f>IF(LEFT(TRIM(Raw!G150),2)="-$","-"&amp;MID(TRIM(Raw!G150),3,99),IF(LEFT(TRIM(Raw!G150),1)="$",MID(TRIM(Raw!G150),2,99),TRIM(Raw!G150)))</f>
        <v>115.80</v>
      </c>
      <c r="M150" s="1">
        <f t="shared" si="19"/>
        <v>115.8</v>
      </c>
      <c r="N150" s="10">
        <f t="shared" si="20"/>
        <v>11580</v>
      </c>
      <c r="O150" s="1" t="b">
        <f>IFERROR(IF(ISNUMBER(Raw!G150),TRUE,OR(EXACT(L150,TEXT(M150,"0.00")),EXACT(L150,TEXT(M150,"#,##0.00")))),FALSE)</f>
        <v>1</v>
      </c>
      <c r="P150" s="1" t="str">
        <f>LEN(IF(Raw!A150="","",Raw!A150))&amp;":"&amp;IF(Raw!A150="","",Raw!A150)&amp;"|"&amp;LEN(IF(Raw!B150="","",Raw!B150))&amp;":"&amp;IF(Raw!B150="","",Raw!B150)&amp;"|"&amp;LEN(IF(Raw!C150="","",Raw!C150))&amp;":"&amp;IF(Raw!C150="","",Raw!C150)&amp;"|"&amp;LEN(IF(Raw!D150="","",Raw!D150))&amp;":"&amp;IF(Raw!D150="","",Raw!D150)&amp;"|"&amp;LEN(IF(Raw!E150="","",Raw!E150))&amp;":"&amp;IF(Raw!E150="","",Raw!E150)&amp;"|"&amp;LEN(IF(Raw!F150="","",Raw!F150))&amp;":"&amp;IF(Raw!F150="","",Raw!F150)&amp;"|"&amp;LEN(IF(Raw!G150="","",Raw!G150))&amp;":"&amp;IF(Raw!G150="","",Raw!G150)</f>
        <v>6:L00144|6:T00072|10:2026-02-17|3:P-O|6:Office|4:sale|6:115.80</v>
      </c>
      <c r="Q150" s="1">
        <f>1</f>
        <v>1</v>
      </c>
      <c r="R150" s="1" t="b">
        <f>FALSE</f>
        <v>0</v>
      </c>
      <c r="S150" s="1">
        <f>1</f>
        <v>1</v>
      </c>
      <c r="T150" s="1" t="str">
        <f>IF(AND(Raw!A150="",Raw!B150="",Raw!C150="",Raw!D150="",Raw!E150="",Raw!F150="",Raw!G150=""),"UNUSED",IF(A150="","missing line ID",IF(B150="","missing transaction ID",IF(G150="",IF(C150="","missing date","invalid date"),IF(I150="","unknown product",IF(J150="","conflicting category",IF(NOT(OR(EXACT(K150,"sale"),EXACT(K150,"refund"))),"unknown event",IF(OR(N150="",NOT(O150)),"invalid amount",IF(OR(AND(K150="sale",N150&lt;=0),AND(K150="refund",N150&gt;=0)),"invalid sign","")))))))))</f>
        <v/>
      </c>
      <c r="U150" s="1" t="str">
        <f t="shared" si="21"/>
        <v>INCLUDED</v>
      </c>
      <c r="V150" s="1" t="str">
        <f t="shared" si="22"/>
        <v>2026-02</v>
      </c>
      <c r="W150" s="1">
        <f>IF(AND(U150="INCLUDED",X150&gt;0,EXACT(A150,'AI output'!A150)),1,0)</f>
        <v>1</v>
      </c>
      <c r="X150" s="1">
        <f>150</f>
        <v>150</v>
      </c>
      <c r="Y150" s="1">
        <f>IF(AND(U150="INCLUDED",W150=1),--(NOT(EXACT(A150,'AI output'!A150)))+--(NOT(EXACT(B150,'AI output'!B150)))+--(NOT(EXACT(TEXT(G150,"yyyy-mm-dd"),'AI output'!C150)))+--(NOT(EXACT(H150,'AI output'!D150)))+--(NOT(EXACT(J150,'AI output'!E150)))+--(NOT(EXACT(K150,'AI output'!F150)))+--(N150&lt;&gt;'AI output'!L150)+--(NOT('AI output'!M150)),0)</f>
        <v>0</v>
      </c>
      <c r="Z150" s="1">
        <f t="shared" si="23"/>
        <v>0</v>
      </c>
      <c r="AA150" s="1">
        <f>--EXACT(A150,"L00144")</f>
        <v>1</v>
      </c>
    </row>
    <row r="151" spans="1:27" ht="18.95" customHeight="1">
      <c r="A151" s="1" t="str">
        <f>IF(Raw!A151="","",Raw!A151)</f>
        <v>L00145</v>
      </c>
      <c r="B151" s="1" t="str">
        <f>IF(Raw!B151="","",Raw!B151)</f>
        <v>T00073</v>
      </c>
      <c r="C151" s="1" t="str">
        <f>IF(Raw!C151="","",Raw!C151)</f>
        <v>2026-02-24</v>
      </c>
      <c r="D151" s="1">
        <f t="shared" si="16"/>
        <v>2026</v>
      </c>
      <c r="E151" s="1">
        <f>IFERROR(IF(AND(LEN(C151)=10,MID(C151,5,1)="-",MID(C151,8,1)="-"),VALUE(MID(C151,6,2)),IF(AND(LEN(C151)=11,MID(C151,3,1)="-",MID(C151,7,1)="-"),MATCH(UPPER(MID(C151,4,3)),Guide!$D$7:$D$18,0),0)),0)</f>
        <v>2</v>
      </c>
      <c r="F151" s="1">
        <f t="shared" si="17"/>
        <v>24</v>
      </c>
      <c r="G151" s="9">
        <f t="shared" si="18"/>
        <v>46077</v>
      </c>
      <c r="H151" s="1" t="str">
        <f>IF(Raw!D151="","",Raw!D151)</f>
        <v>P-A</v>
      </c>
      <c r="I151" s="1" t="str">
        <f>IFERROR(IF(EXACT(H151,INDEX(Guide!$A$7:$A$9,MATCH(SUBSTITUTE(SUBSTITUTE(SUBSTITUTE(H151,"~","~~"),"*","~*"),"?","~?"),Guide!$A$7:$A$9,0))),INDEX(Guide!$B$7:$B$9,MATCH(SUBSTITUTE(SUBSTITUTE(SUBSTITUTE(H151,"~","~~"),"*","~*"),"?","~?"),Guide!$A$7:$A$9,0)),""),"")</f>
        <v>Accessories</v>
      </c>
      <c r="J151" s="1" t="str">
        <f>IF(TRIM(Raw!E151)="",I151,IF(UPPER(TRIM(Raw!E151))=UPPER(I151),I151,""))</f>
        <v>Accessories</v>
      </c>
      <c r="K151" s="1" t="str">
        <f>IF(Raw!F151="","",Raw!F151)</f>
        <v>sale</v>
      </c>
      <c r="L151" s="1" t="str">
        <f>IF(LEFT(TRIM(Raw!G151),2)="-$","-"&amp;MID(TRIM(Raw!G151),3,99),IF(LEFT(TRIM(Raw!G151),1)="$",MID(TRIM(Raw!G151),2,99),TRIM(Raw!G151)))</f>
        <v>233.08</v>
      </c>
      <c r="M151" s="1">
        <f t="shared" si="19"/>
        <v>233.08</v>
      </c>
      <c r="N151" s="10">
        <f t="shared" si="20"/>
        <v>23308</v>
      </c>
      <c r="O151" s="1" t="b">
        <f>IFERROR(IF(ISNUMBER(Raw!G151),TRUE,OR(EXACT(L151,TEXT(M151,"0.00")),EXACT(L151,TEXT(M151,"#,##0.00")))),FALSE)</f>
        <v>1</v>
      </c>
      <c r="P151" s="1" t="str">
        <f>LEN(IF(Raw!A151="","",Raw!A151))&amp;":"&amp;IF(Raw!A151="","",Raw!A151)&amp;"|"&amp;LEN(IF(Raw!B151="","",Raw!B151))&amp;":"&amp;IF(Raw!B151="","",Raw!B151)&amp;"|"&amp;LEN(IF(Raw!C151="","",Raw!C151))&amp;":"&amp;IF(Raw!C151="","",Raw!C151)&amp;"|"&amp;LEN(IF(Raw!D151="","",Raw!D151))&amp;":"&amp;IF(Raw!D151="","",Raw!D151)&amp;"|"&amp;LEN(IF(Raw!E151="","",Raw!E151))&amp;":"&amp;IF(Raw!E151="","",Raw!E151)&amp;"|"&amp;LEN(IF(Raw!F151="","",Raw!F151))&amp;":"&amp;IF(Raw!F151="","",Raw!F151)&amp;"|"&amp;LEN(IF(Raw!G151="","",Raw!G151))&amp;":"&amp;IF(Raw!G151="","",Raw!G151)</f>
        <v>6:L00145|6:T00073|10:2026-02-24|3:P-A|11:Accessories|4:sale|6:233.08</v>
      </c>
      <c r="Q151" s="1">
        <f>1</f>
        <v>1</v>
      </c>
      <c r="R151" s="1" t="b">
        <f>FALSE</f>
        <v>0</v>
      </c>
      <c r="S151" s="1">
        <f>1</f>
        <v>1</v>
      </c>
      <c r="T151" s="1" t="str">
        <f>IF(AND(Raw!A151="",Raw!B151="",Raw!C151="",Raw!D151="",Raw!E151="",Raw!F151="",Raw!G151=""),"UNUSED",IF(A151="","missing line ID",IF(B151="","missing transaction ID",IF(G151="",IF(C151="","missing date","invalid date"),IF(I151="","unknown product",IF(J151="","conflicting category",IF(NOT(OR(EXACT(K151,"sale"),EXACT(K151,"refund"))),"unknown event",IF(OR(N151="",NOT(O151)),"invalid amount",IF(OR(AND(K151="sale",N151&lt;=0),AND(K151="refund",N151&gt;=0)),"invalid sign","")))))))))</f>
        <v/>
      </c>
      <c r="U151" s="1" t="str">
        <f t="shared" si="21"/>
        <v>INCLUDED</v>
      </c>
      <c r="V151" s="1" t="str">
        <f t="shared" si="22"/>
        <v>2026-02</v>
      </c>
      <c r="W151" s="1">
        <f>IF(AND(U151="INCLUDED",X151&gt;0,EXACT(A151,'AI output'!A151)),1,0)</f>
        <v>1</v>
      </c>
      <c r="X151" s="1">
        <f>151</f>
        <v>151</v>
      </c>
      <c r="Y151" s="1">
        <f>IF(AND(U151="INCLUDED",W151=1),--(NOT(EXACT(A151,'AI output'!A151)))+--(NOT(EXACT(B151,'AI output'!B151)))+--(NOT(EXACT(TEXT(G151,"yyyy-mm-dd"),'AI output'!C151)))+--(NOT(EXACT(H151,'AI output'!D151)))+--(NOT(EXACT(J151,'AI output'!E151)))+--(NOT(EXACT(K151,'AI output'!F151)))+--(N151&lt;&gt;'AI output'!L151)+--(NOT('AI output'!M151)),0)</f>
        <v>0</v>
      </c>
      <c r="Z151" s="1">
        <f t="shared" si="23"/>
        <v>0</v>
      </c>
      <c r="AA151" s="1">
        <f>--EXACT(A151,"L00145")</f>
        <v>1</v>
      </c>
    </row>
    <row r="152" spans="1:27" ht="18.95" customHeight="1">
      <c r="A152" s="1" t="str">
        <f>IF(Raw!A152="","",Raw!A152)</f>
        <v>L00146</v>
      </c>
      <c r="B152" s="1" t="str">
        <f>IF(Raw!B152="","",Raw!B152)</f>
        <v>T00073</v>
      </c>
      <c r="C152" s="1" t="str">
        <f>IF(Raw!C152="","",Raw!C152)</f>
        <v>2026-02-24</v>
      </c>
      <c r="D152" s="1">
        <f t="shared" si="16"/>
        <v>2026</v>
      </c>
      <c r="E152" s="1">
        <f>IFERROR(IF(AND(LEN(C152)=10,MID(C152,5,1)="-",MID(C152,8,1)="-"),VALUE(MID(C152,6,2)),IF(AND(LEN(C152)=11,MID(C152,3,1)="-",MID(C152,7,1)="-"),MATCH(UPPER(MID(C152,4,3)),Guide!$D$7:$D$18,0),0)),0)</f>
        <v>2</v>
      </c>
      <c r="F152" s="1">
        <f t="shared" si="17"/>
        <v>24</v>
      </c>
      <c r="G152" s="9">
        <f t="shared" si="18"/>
        <v>46077</v>
      </c>
      <c r="H152" s="1" t="str">
        <f>IF(Raw!D152="","",Raw!D152)</f>
        <v>P-H</v>
      </c>
      <c r="I152" s="1" t="str">
        <f>IFERROR(IF(EXACT(H152,INDEX(Guide!$A$7:$A$9,MATCH(SUBSTITUTE(SUBSTITUTE(SUBSTITUTE(H152,"~","~~"),"*","~*"),"?","~?"),Guide!$A$7:$A$9,0))),INDEX(Guide!$B$7:$B$9,MATCH(SUBSTITUTE(SUBSTITUTE(SUBSTITUTE(H152,"~","~~"),"*","~*"),"?","~?"),Guide!$A$7:$A$9,0)),""),"")</f>
        <v>Home</v>
      </c>
      <c r="J152" s="1" t="str">
        <f>IF(TRIM(Raw!E152)="",I152,IF(UPPER(TRIM(Raw!E152))=UPPER(I152),I152,""))</f>
        <v>Home</v>
      </c>
      <c r="K152" s="1" t="str">
        <f>IF(Raw!F152="","",Raw!F152)</f>
        <v>sale</v>
      </c>
      <c r="L152" s="1" t="str">
        <f>IF(LEFT(TRIM(Raw!G152),2)="-$","-"&amp;MID(TRIM(Raw!G152),3,99),IF(LEFT(TRIM(Raw!G152),1)="$",MID(TRIM(Raw!G152),2,99),TRIM(Raw!G152)))</f>
        <v>58.64</v>
      </c>
      <c r="M152" s="1">
        <f t="shared" si="19"/>
        <v>58.64</v>
      </c>
      <c r="N152" s="10">
        <f t="shared" si="20"/>
        <v>5864</v>
      </c>
      <c r="O152" s="1" t="b">
        <f>IFERROR(IF(ISNUMBER(Raw!G152),TRUE,OR(EXACT(L152,TEXT(M152,"0.00")),EXACT(L152,TEXT(M152,"#,##0.00")))),FALSE)</f>
        <v>1</v>
      </c>
      <c r="P152" s="1" t="str">
        <f>LEN(IF(Raw!A152="","",Raw!A152))&amp;":"&amp;IF(Raw!A152="","",Raw!A152)&amp;"|"&amp;LEN(IF(Raw!B152="","",Raw!B152))&amp;":"&amp;IF(Raw!B152="","",Raw!B152)&amp;"|"&amp;LEN(IF(Raw!C152="","",Raw!C152))&amp;":"&amp;IF(Raw!C152="","",Raw!C152)&amp;"|"&amp;LEN(IF(Raw!D152="","",Raw!D152))&amp;":"&amp;IF(Raw!D152="","",Raw!D152)&amp;"|"&amp;LEN(IF(Raw!E152="","",Raw!E152))&amp;":"&amp;IF(Raw!E152="","",Raw!E152)&amp;"|"&amp;LEN(IF(Raw!F152="","",Raw!F152))&amp;":"&amp;IF(Raw!F152="","",Raw!F152)&amp;"|"&amp;LEN(IF(Raw!G152="","",Raw!G152))&amp;":"&amp;IF(Raw!G152="","",Raw!G152)</f>
        <v>6:L00146|6:T00073|10:2026-02-24|3:P-H|4:Home|4:sale|5:58.64</v>
      </c>
      <c r="Q152" s="1">
        <f>1</f>
        <v>1</v>
      </c>
      <c r="R152" s="1" t="b">
        <f>FALSE</f>
        <v>0</v>
      </c>
      <c r="S152" s="1">
        <f>1</f>
        <v>1</v>
      </c>
      <c r="T152" s="1" t="str">
        <f>IF(AND(Raw!A152="",Raw!B152="",Raw!C152="",Raw!D152="",Raw!E152="",Raw!F152="",Raw!G152=""),"UNUSED",IF(A152="","missing line ID",IF(B152="","missing transaction ID",IF(G152="",IF(C152="","missing date","invalid date"),IF(I152="","unknown product",IF(J152="","conflicting category",IF(NOT(OR(EXACT(K152,"sale"),EXACT(K152,"refund"))),"unknown event",IF(OR(N152="",NOT(O152)),"invalid amount",IF(OR(AND(K152="sale",N152&lt;=0),AND(K152="refund",N152&gt;=0)),"invalid sign","")))))))))</f>
        <v/>
      </c>
      <c r="U152" s="1" t="str">
        <f t="shared" si="21"/>
        <v>INCLUDED</v>
      </c>
      <c r="V152" s="1" t="str">
        <f t="shared" si="22"/>
        <v>2026-02</v>
      </c>
      <c r="W152" s="1">
        <f>IF(AND(U152="INCLUDED",X152&gt;0,EXACT(A152,'AI output'!A152)),1,0)</f>
        <v>1</v>
      </c>
      <c r="X152" s="1">
        <f>152</f>
        <v>152</v>
      </c>
      <c r="Y152" s="1">
        <f>IF(AND(U152="INCLUDED",W152=1),--(NOT(EXACT(A152,'AI output'!A152)))+--(NOT(EXACT(B152,'AI output'!B152)))+--(NOT(EXACT(TEXT(G152,"yyyy-mm-dd"),'AI output'!C152)))+--(NOT(EXACT(H152,'AI output'!D152)))+--(NOT(EXACT(J152,'AI output'!E152)))+--(NOT(EXACT(K152,'AI output'!F152)))+--(N152&lt;&gt;'AI output'!L152)+--(NOT('AI output'!M152)),0)</f>
        <v>0</v>
      </c>
      <c r="Z152" s="1">
        <f t="shared" si="23"/>
        <v>0</v>
      </c>
      <c r="AA152" s="1">
        <f>--EXACT(A152,"L00146")</f>
        <v>1</v>
      </c>
    </row>
    <row r="153" spans="1:27" ht="18.95" customHeight="1">
      <c r="A153" s="1" t="str">
        <f>IF(Raw!A153="","",Raw!A153)</f>
        <v>L00147</v>
      </c>
      <c r="B153" s="1" t="str">
        <f>IF(Raw!B153="","",Raw!B153)</f>
        <v>T00074</v>
      </c>
      <c r="C153" s="1" t="str">
        <f>IF(Raw!C153="","",Raw!C153)</f>
        <v>2026-03-03</v>
      </c>
      <c r="D153" s="1">
        <f t="shared" si="16"/>
        <v>2026</v>
      </c>
      <c r="E153" s="1">
        <f>IFERROR(IF(AND(LEN(C153)=10,MID(C153,5,1)="-",MID(C153,8,1)="-"),VALUE(MID(C153,6,2)),IF(AND(LEN(C153)=11,MID(C153,3,1)="-",MID(C153,7,1)="-"),MATCH(UPPER(MID(C153,4,3)),Guide!$D$7:$D$18,0),0)),0)</f>
        <v>3</v>
      </c>
      <c r="F153" s="1">
        <f t="shared" si="17"/>
        <v>3</v>
      </c>
      <c r="G153" s="9">
        <f t="shared" si="18"/>
        <v>46084</v>
      </c>
      <c r="H153" s="1" t="str">
        <f>IF(Raw!D153="","",Raw!D153)</f>
        <v>P-O</v>
      </c>
      <c r="I153" s="1" t="str">
        <f>IFERROR(IF(EXACT(H153,INDEX(Guide!$A$7:$A$9,MATCH(SUBSTITUTE(SUBSTITUTE(SUBSTITUTE(H153,"~","~~"),"*","~*"),"?","~?"),Guide!$A$7:$A$9,0))),INDEX(Guide!$B$7:$B$9,MATCH(SUBSTITUTE(SUBSTITUTE(SUBSTITUTE(H153,"~","~~"),"*","~*"),"?","~?"),Guide!$A$7:$A$9,0)),""),"")</f>
        <v>Office</v>
      </c>
      <c r="J153" s="1" t="str">
        <f>IF(TRIM(Raw!E153)="",I153,IF(UPPER(TRIM(Raw!E153))=UPPER(I153),I153,""))</f>
        <v>Office</v>
      </c>
      <c r="K153" s="1" t="str">
        <f>IF(Raw!F153="","",Raw!F153)</f>
        <v>sale</v>
      </c>
      <c r="L153" s="1" t="str">
        <f>IF(LEFT(TRIM(Raw!G153),2)="-$","-"&amp;MID(TRIM(Raw!G153),3,99),IF(LEFT(TRIM(Raw!G153),1)="$",MID(TRIM(Raw!G153),2,99),TRIM(Raw!G153)))</f>
        <v>177.03</v>
      </c>
      <c r="M153" s="1">
        <f t="shared" si="19"/>
        <v>177.03</v>
      </c>
      <c r="N153" s="10">
        <f t="shared" si="20"/>
        <v>17703</v>
      </c>
      <c r="O153" s="1" t="b">
        <f>IFERROR(IF(ISNUMBER(Raw!G153),TRUE,OR(EXACT(L153,TEXT(M153,"0.00")),EXACT(L153,TEXT(M153,"#,##0.00")))),FALSE)</f>
        <v>1</v>
      </c>
      <c r="P153" s="1" t="str">
        <f>LEN(IF(Raw!A153="","",Raw!A153))&amp;":"&amp;IF(Raw!A153="","",Raw!A153)&amp;"|"&amp;LEN(IF(Raw!B153="","",Raw!B153))&amp;":"&amp;IF(Raw!B153="","",Raw!B153)&amp;"|"&amp;LEN(IF(Raw!C153="","",Raw!C153))&amp;":"&amp;IF(Raw!C153="","",Raw!C153)&amp;"|"&amp;LEN(IF(Raw!D153="","",Raw!D153))&amp;":"&amp;IF(Raw!D153="","",Raw!D153)&amp;"|"&amp;LEN(IF(Raw!E153="","",Raw!E153))&amp;":"&amp;IF(Raw!E153="","",Raw!E153)&amp;"|"&amp;LEN(IF(Raw!F153="","",Raw!F153))&amp;":"&amp;IF(Raw!F153="","",Raw!F153)&amp;"|"&amp;LEN(IF(Raw!G153="","",Raw!G153))&amp;":"&amp;IF(Raw!G153="","",Raw!G153)</f>
        <v>6:L00147|6:T00074|10:2026-03-03|3:P-O|6:Office|4:sale|6:177.03</v>
      </c>
      <c r="Q153" s="1">
        <f>1</f>
        <v>1</v>
      </c>
      <c r="R153" s="1" t="b">
        <f>FALSE</f>
        <v>0</v>
      </c>
      <c r="S153" s="1">
        <f>1</f>
        <v>1</v>
      </c>
      <c r="T153" s="1" t="str">
        <f>IF(AND(Raw!A153="",Raw!B153="",Raw!C153="",Raw!D153="",Raw!E153="",Raw!F153="",Raw!G153=""),"UNUSED",IF(A153="","missing line ID",IF(B153="","missing transaction ID",IF(G153="",IF(C153="","missing date","invalid date"),IF(I153="","unknown product",IF(J153="","conflicting category",IF(NOT(OR(EXACT(K153,"sale"),EXACT(K153,"refund"))),"unknown event",IF(OR(N153="",NOT(O153)),"invalid amount",IF(OR(AND(K153="sale",N153&lt;=0),AND(K153="refund",N153&gt;=0)),"invalid sign","")))))))))</f>
        <v/>
      </c>
      <c r="U153" s="1" t="str">
        <f t="shared" si="21"/>
        <v>INCLUDED</v>
      </c>
      <c r="V153" s="1" t="str">
        <f t="shared" si="22"/>
        <v>2026-03</v>
      </c>
      <c r="W153" s="1">
        <f>IF(AND(U153="INCLUDED",X153&gt;0,EXACT(A153,'AI output'!A153)),1,0)</f>
        <v>1</v>
      </c>
      <c r="X153" s="1">
        <f>153</f>
        <v>153</v>
      </c>
      <c r="Y153" s="1">
        <f>IF(AND(U153="INCLUDED",W153=1),--(NOT(EXACT(A153,'AI output'!A153)))+--(NOT(EXACT(B153,'AI output'!B153)))+--(NOT(EXACT(TEXT(G153,"yyyy-mm-dd"),'AI output'!C153)))+--(NOT(EXACT(H153,'AI output'!D153)))+--(NOT(EXACT(J153,'AI output'!E153)))+--(NOT(EXACT(K153,'AI output'!F153)))+--(N153&lt;&gt;'AI output'!L153)+--(NOT('AI output'!M153)),0)</f>
        <v>0</v>
      </c>
      <c r="Z153" s="1">
        <f t="shared" si="23"/>
        <v>0</v>
      </c>
      <c r="AA153" s="1">
        <f>--EXACT(A153,"L00147")</f>
        <v>1</v>
      </c>
    </row>
    <row r="154" spans="1:27" ht="18.95" customHeight="1">
      <c r="A154" s="1" t="str">
        <f>IF(Raw!A154="","",Raw!A154)</f>
        <v>L00148</v>
      </c>
      <c r="B154" s="1" t="str">
        <f>IF(Raw!B154="","",Raw!B154)</f>
        <v>T00074</v>
      </c>
      <c r="C154" s="1" t="str">
        <f>IF(Raw!C154="","",Raw!C154)</f>
        <v>2026-03-03</v>
      </c>
      <c r="D154" s="1">
        <f t="shared" si="16"/>
        <v>2026</v>
      </c>
      <c r="E154" s="1">
        <f>IFERROR(IF(AND(LEN(C154)=10,MID(C154,5,1)="-",MID(C154,8,1)="-"),VALUE(MID(C154,6,2)),IF(AND(LEN(C154)=11,MID(C154,3,1)="-",MID(C154,7,1)="-"),MATCH(UPPER(MID(C154,4,3)),Guide!$D$7:$D$18,0),0)),0)</f>
        <v>3</v>
      </c>
      <c r="F154" s="1">
        <f t="shared" si="17"/>
        <v>3</v>
      </c>
      <c r="G154" s="9">
        <f t="shared" si="18"/>
        <v>46084</v>
      </c>
      <c r="H154" s="1" t="str">
        <f>IF(Raw!D154="","",Raw!D154)</f>
        <v>P-A</v>
      </c>
      <c r="I154" s="1" t="str">
        <f>IFERROR(IF(EXACT(H154,INDEX(Guide!$A$7:$A$9,MATCH(SUBSTITUTE(SUBSTITUTE(SUBSTITUTE(H154,"~","~~"),"*","~*"),"?","~?"),Guide!$A$7:$A$9,0))),INDEX(Guide!$B$7:$B$9,MATCH(SUBSTITUTE(SUBSTITUTE(SUBSTITUTE(H154,"~","~~"),"*","~*"),"?","~?"),Guide!$A$7:$A$9,0)),""),"")</f>
        <v>Accessories</v>
      </c>
      <c r="J154" s="1" t="str">
        <f>IF(TRIM(Raw!E154)="",I154,IF(UPPER(TRIM(Raw!E154))=UPPER(I154),I154,""))</f>
        <v>Accessories</v>
      </c>
      <c r="K154" s="1" t="str">
        <f>IF(Raw!F154="","",Raw!F154)</f>
        <v>sale</v>
      </c>
      <c r="L154" s="1" t="str">
        <f>IF(LEFT(TRIM(Raw!G154),2)="-$","-"&amp;MID(TRIM(Raw!G154),3,99),IF(LEFT(TRIM(Raw!G154),1)="$",MID(TRIM(Raw!G154),2,99),TRIM(Raw!G154)))</f>
        <v>296.90</v>
      </c>
      <c r="M154" s="1">
        <f t="shared" si="19"/>
        <v>296.89999999999998</v>
      </c>
      <c r="N154" s="10">
        <f t="shared" si="20"/>
        <v>29690</v>
      </c>
      <c r="O154" s="1" t="b">
        <f>IFERROR(IF(ISNUMBER(Raw!G154),TRUE,OR(EXACT(L154,TEXT(M154,"0.00")),EXACT(L154,TEXT(M154,"#,##0.00")))),FALSE)</f>
        <v>1</v>
      </c>
      <c r="P154" s="1" t="str">
        <f>LEN(IF(Raw!A154="","",Raw!A154))&amp;":"&amp;IF(Raw!A154="","",Raw!A154)&amp;"|"&amp;LEN(IF(Raw!B154="","",Raw!B154))&amp;":"&amp;IF(Raw!B154="","",Raw!B154)&amp;"|"&amp;LEN(IF(Raw!C154="","",Raw!C154))&amp;":"&amp;IF(Raw!C154="","",Raw!C154)&amp;"|"&amp;LEN(IF(Raw!D154="","",Raw!D154))&amp;":"&amp;IF(Raw!D154="","",Raw!D154)&amp;"|"&amp;LEN(IF(Raw!E154="","",Raw!E154))&amp;":"&amp;IF(Raw!E154="","",Raw!E154)&amp;"|"&amp;LEN(IF(Raw!F154="","",Raw!F154))&amp;":"&amp;IF(Raw!F154="","",Raw!F154)&amp;"|"&amp;LEN(IF(Raw!G154="","",Raw!G154))&amp;":"&amp;IF(Raw!G154="","",Raw!G154)</f>
        <v>6:L00148|6:T00074|10:2026-03-03|3:P-A|11:Accessories|4:sale|6:296.90</v>
      </c>
      <c r="Q154" s="1">
        <f>1</f>
        <v>1</v>
      </c>
      <c r="R154" s="1" t="b">
        <f>FALSE</f>
        <v>0</v>
      </c>
      <c r="S154" s="1">
        <f>1</f>
        <v>1</v>
      </c>
      <c r="T154" s="1" t="str">
        <f>IF(AND(Raw!A154="",Raw!B154="",Raw!C154="",Raw!D154="",Raw!E154="",Raw!F154="",Raw!G154=""),"UNUSED",IF(A154="","missing line ID",IF(B154="","missing transaction ID",IF(G154="",IF(C154="","missing date","invalid date"),IF(I154="","unknown product",IF(J154="","conflicting category",IF(NOT(OR(EXACT(K154,"sale"),EXACT(K154,"refund"))),"unknown event",IF(OR(N154="",NOT(O154)),"invalid amount",IF(OR(AND(K154="sale",N154&lt;=0),AND(K154="refund",N154&gt;=0)),"invalid sign","")))))))))</f>
        <v/>
      </c>
      <c r="U154" s="1" t="str">
        <f t="shared" si="21"/>
        <v>INCLUDED</v>
      </c>
      <c r="V154" s="1" t="str">
        <f t="shared" si="22"/>
        <v>2026-03</v>
      </c>
      <c r="W154" s="1">
        <f>IF(AND(U154="INCLUDED",X154&gt;0,EXACT(A154,'AI output'!A154)),1,0)</f>
        <v>1</v>
      </c>
      <c r="X154" s="1">
        <f>154</f>
        <v>154</v>
      </c>
      <c r="Y154" s="1">
        <f>IF(AND(U154="INCLUDED",W154=1),--(NOT(EXACT(A154,'AI output'!A154)))+--(NOT(EXACT(B154,'AI output'!B154)))+--(NOT(EXACT(TEXT(G154,"yyyy-mm-dd"),'AI output'!C154)))+--(NOT(EXACT(H154,'AI output'!D154)))+--(NOT(EXACT(J154,'AI output'!E154)))+--(NOT(EXACT(K154,'AI output'!F154)))+--(N154&lt;&gt;'AI output'!L154)+--(NOT('AI output'!M154)),0)</f>
        <v>0</v>
      </c>
      <c r="Z154" s="1">
        <f t="shared" si="23"/>
        <v>0</v>
      </c>
      <c r="AA154" s="1">
        <f>--EXACT(A154,"L00148")</f>
        <v>1</v>
      </c>
    </row>
    <row r="155" spans="1:27" ht="18.95" customHeight="1">
      <c r="A155" s="1" t="str">
        <f>IF(Raw!A155="","",Raw!A155)</f>
        <v>L00149</v>
      </c>
      <c r="B155" s="1" t="str">
        <f>IF(Raw!B155="","",Raw!B155)</f>
        <v>T00075</v>
      </c>
      <c r="C155" s="1" t="str">
        <f>IF(Raw!C155="","",Raw!C155)</f>
        <v>2026-03-10</v>
      </c>
      <c r="D155" s="1">
        <f t="shared" si="16"/>
        <v>2026</v>
      </c>
      <c r="E155" s="1">
        <f>IFERROR(IF(AND(LEN(C155)=10,MID(C155,5,1)="-",MID(C155,8,1)="-"),VALUE(MID(C155,6,2)),IF(AND(LEN(C155)=11,MID(C155,3,1)="-",MID(C155,7,1)="-"),MATCH(UPPER(MID(C155,4,3)),Guide!$D$7:$D$18,0),0)),0)</f>
        <v>3</v>
      </c>
      <c r="F155" s="1">
        <f t="shared" si="17"/>
        <v>10</v>
      </c>
      <c r="G155" s="9">
        <f t="shared" si="18"/>
        <v>46091</v>
      </c>
      <c r="H155" s="1" t="str">
        <f>IF(Raw!D155="","",Raw!D155)</f>
        <v>P-H</v>
      </c>
      <c r="I155" s="1" t="str">
        <f>IFERROR(IF(EXACT(H155,INDEX(Guide!$A$7:$A$9,MATCH(SUBSTITUTE(SUBSTITUTE(SUBSTITUTE(H155,"~","~~"),"*","~*"),"?","~?"),Guide!$A$7:$A$9,0))),INDEX(Guide!$B$7:$B$9,MATCH(SUBSTITUTE(SUBSTITUTE(SUBSTITUTE(H155,"~","~~"),"*","~*"),"?","~?"),Guide!$A$7:$A$9,0)),""),"")</f>
        <v>Home</v>
      </c>
      <c r="J155" s="1" t="str">
        <f>IF(TRIM(Raw!E155)="",I155,IF(UPPER(TRIM(Raw!E155))=UPPER(I155),I155,""))</f>
        <v>Home</v>
      </c>
      <c r="K155" s="1" t="str">
        <f>IF(Raw!F155="","",Raw!F155)</f>
        <v>sale</v>
      </c>
      <c r="L155" s="1" t="str">
        <f>IF(LEFT(TRIM(Raw!G155),2)="-$","-"&amp;MID(TRIM(Raw!G155),3,99),IF(LEFT(TRIM(Raw!G155),1)="$",MID(TRIM(Raw!G155),2,99),TRIM(Raw!G155)))</f>
        <v>119.50</v>
      </c>
      <c r="M155" s="1">
        <f t="shared" si="19"/>
        <v>119.5</v>
      </c>
      <c r="N155" s="10">
        <f t="shared" si="20"/>
        <v>11950</v>
      </c>
      <c r="O155" s="1" t="b">
        <f>IFERROR(IF(ISNUMBER(Raw!G155),TRUE,OR(EXACT(L155,TEXT(M155,"0.00")),EXACT(L155,TEXT(M155,"#,##0.00")))),FALSE)</f>
        <v>1</v>
      </c>
      <c r="P155" s="1" t="str">
        <f>LEN(IF(Raw!A155="","",Raw!A155))&amp;":"&amp;IF(Raw!A155="","",Raw!A155)&amp;"|"&amp;LEN(IF(Raw!B155="","",Raw!B155))&amp;":"&amp;IF(Raw!B155="","",Raw!B155)&amp;"|"&amp;LEN(IF(Raw!C155="","",Raw!C155))&amp;":"&amp;IF(Raw!C155="","",Raw!C155)&amp;"|"&amp;LEN(IF(Raw!D155="","",Raw!D155))&amp;":"&amp;IF(Raw!D155="","",Raw!D155)&amp;"|"&amp;LEN(IF(Raw!E155="","",Raw!E155))&amp;":"&amp;IF(Raw!E155="","",Raw!E155)&amp;"|"&amp;LEN(IF(Raw!F155="","",Raw!F155))&amp;":"&amp;IF(Raw!F155="","",Raw!F155)&amp;"|"&amp;LEN(IF(Raw!G155="","",Raw!G155))&amp;":"&amp;IF(Raw!G155="","",Raw!G155)</f>
        <v>6:L00149|6:T00075|10:2026-03-10|3:P-H|4:Home|4:sale|6:119.50</v>
      </c>
      <c r="Q155" s="1">
        <f>1</f>
        <v>1</v>
      </c>
      <c r="R155" s="1" t="b">
        <f>FALSE</f>
        <v>0</v>
      </c>
      <c r="S155" s="1">
        <f>1</f>
        <v>1</v>
      </c>
      <c r="T155" s="1" t="str">
        <f>IF(AND(Raw!A155="",Raw!B155="",Raw!C155="",Raw!D155="",Raw!E155="",Raw!F155="",Raw!G155=""),"UNUSED",IF(A155="","missing line ID",IF(B155="","missing transaction ID",IF(G155="",IF(C155="","missing date","invalid date"),IF(I155="","unknown product",IF(J155="","conflicting category",IF(NOT(OR(EXACT(K155,"sale"),EXACT(K155,"refund"))),"unknown event",IF(OR(N155="",NOT(O155)),"invalid amount",IF(OR(AND(K155="sale",N155&lt;=0),AND(K155="refund",N155&gt;=0)),"invalid sign","")))))))))</f>
        <v/>
      </c>
      <c r="U155" s="1" t="str">
        <f t="shared" si="21"/>
        <v>INCLUDED</v>
      </c>
      <c r="V155" s="1" t="str">
        <f t="shared" si="22"/>
        <v>2026-03</v>
      </c>
      <c r="W155" s="1">
        <f>IF(AND(U155="INCLUDED",X155&gt;0,EXACT(A155,'AI output'!A155)),1,0)</f>
        <v>1</v>
      </c>
      <c r="X155" s="1">
        <f>155</f>
        <v>155</v>
      </c>
      <c r="Y155" s="1">
        <f>IF(AND(U155="INCLUDED",W155=1),--(NOT(EXACT(A155,'AI output'!A155)))+--(NOT(EXACT(B155,'AI output'!B155)))+--(NOT(EXACT(TEXT(G155,"yyyy-mm-dd"),'AI output'!C155)))+--(NOT(EXACT(H155,'AI output'!D155)))+--(NOT(EXACT(J155,'AI output'!E155)))+--(NOT(EXACT(K155,'AI output'!F155)))+--(N155&lt;&gt;'AI output'!L155)+--(NOT('AI output'!M155)),0)</f>
        <v>0</v>
      </c>
      <c r="Z155" s="1">
        <f t="shared" si="23"/>
        <v>0</v>
      </c>
      <c r="AA155" s="1">
        <f>--EXACT(A155,"L00149")</f>
        <v>1</v>
      </c>
    </row>
    <row r="156" spans="1:27" ht="18.95" customHeight="1">
      <c r="A156" s="1" t="str">
        <f>IF(Raw!A156="","",Raw!A156)</f>
        <v>L00150</v>
      </c>
      <c r="B156" s="1" t="str">
        <f>IF(Raw!B156="","",Raw!B156)</f>
        <v>T00075</v>
      </c>
      <c r="C156" s="1" t="str">
        <f>IF(Raw!C156="","",Raw!C156)</f>
        <v>2026-03-10</v>
      </c>
      <c r="D156" s="1">
        <f t="shared" si="16"/>
        <v>2026</v>
      </c>
      <c r="E156" s="1">
        <f>IFERROR(IF(AND(LEN(C156)=10,MID(C156,5,1)="-",MID(C156,8,1)="-"),VALUE(MID(C156,6,2)),IF(AND(LEN(C156)=11,MID(C156,3,1)="-",MID(C156,7,1)="-"),MATCH(UPPER(MID(C156,4,3)),Guide!$D$7:$D$18,0),0)),0)</f>
        <v>3</v>
      </c>
      <c r="F156" s="1">
        <f t="shared" si="17"/>
        <v>10</v>
      </c>
      <c r="G156" s="9">
        <f t="shared" si="18"/>
        <v>46091</v>
      </c>
      <c r="H156" s="1" t="str">
        <f>IF(Raw!D156="","",Raw!D156)</f>
        <v>P-O</v>
      </c>
      <c r="I156" s="1" t="str">
        <f>IFERROR(IF(EXACT(H156,INDEX(Guide!$A$7:$A$9,MATCH(SUBSTITUTE(SUBSTITUTE(SUBSTITUTE(H156,"~","~~"),"*","~*"),"?","~?"),Guide!$A$7:$A$9,0))),INDEX(Guide!$B$7:$B$9,MATCH(SUBSTITUTE(SUBSTITUTE(SUBSTITUTE(H156,"~","~~"),"*","~*"),"?","~?"),Guide!$A$7:$A$9,0)),""),"")</f>
        <v>Office</v>
      </c>
      <c r="J156" s="1" t="str">
        <f>IF(TRIM(Raw!E156)="",I156,IF(UPPER(TRIM(Raw!E156))=UPPER(I156),I156,""))</f>
        <v>Office</v>
      </c>
      <c r="K156" s="1" t="str">
        <f>IF(Raw!F156="","",Raw!F156)</f>
        <v>sale</v>
      </c>
      <c r="L156" s="1" t="str">
        <f>IF(LEFT(TRIM(Raw!G156),2)="-$","-"&amp;MID(TRIM(Raw!G156),3,99),IF(LEFT(TRIM(Raw!G156),1)="$",MID(TRIM(Raw!G156),2,99),TRIM(Raw!G156)))</f>
        <v>240.48</v>
      </c>
      <c r="M156" s="1">
        <f t="shared" si="19"/>
        <v>240.48</v>
      </c>
      <c r="N156" s="10">
        <f t="shared" si="20"/>
        <v>24048</v>
      </c>
      <c r="O156" s="1" t="b">
        <f>IFERROR(IF(ISNUMBER(Raw!G156),TRUE,OR(EXACT(L156,TEXT(M156,"0.00")),EXACT(L156,TEXT(M156,"#,##0.00")))),FALSE)</f>
        <v>1</v>
      </c>
      <c r="P156" s="1" t="str">
        <f>LEN(IF(Raw!A156="","",Raw!A156))&amp;":"&amp;IF(Raw!A156="","",Raw!A156)&amp;"|"&amp;LEN(IF(Raw!B156="","",Raw!B156))&amp;":"&amp;IF(Raw!B156="","",Raw!B156)&amp;"|"&amp;LEN(IF(Raw!C156="","",Raw!C156))&amp;":"&amp;IF(Raw!C156="","",Raw!C156)&amp;"|"&amp;LEN(IF(Raw!D156="","",Raw!D156))&amp;":"&amp;IF(Raw!D156="","",Raw!D156)&amp;"|"&amp;LEN(IF(Raw!E156="","",Raw!E156))&amp;":"&amp;IF(Raw!E156="","",Raw!E156)&amp;"|"&amp;LEN(IF(Raw!F156="","",Raw!F156))&amp;":"&amp;IF(Raw!F156="","",Raw!F156)&amp;"|"&amp;LEN(IF(Raw!G156="","",Raw!G156))&amp;":"&amp;IF(Raw!G156="","",Raw!G156)</f>
        <v>6:L00150|6:T00075|10:2026-03-10|3:P-O|6:Office|4:sale|6:240.48</v>
      </c>
      <c r="Q156" s="1">
        <f>1</f>
        <v>1</v>
      </c>
      <c r="R156" s="1" t="b">
        <f>FALSE</f>
        <v>0</v>
      </c>
      <c r="S156" s="1">
        <f>1</f>
        <v>1</v>
      </c>
      <c r="T156" s="1" t="str">
        <f>IF(AND(Raw!A156="",Raw!B156="",Raw!C156="",Raw!D156="",Raw!E156="",Raw!F156="",Raw!G156=""),"UNUSED",IF(A156="","missing line ID",IF(B156="","missing transaction ID",IF(G156="",IF(C156="","missing date","invalid date"),IF(I156="","unknown product",IF(J156="","conflicting category",IF(NOT(OR(EXACT(K156,"sale"),EXACT(K156,"refund"))),"unknown event",IF(OR(N156="",NOT(O156)),"invalid amount",IF(OR(AND(K156="sale",N156&lt;=0),AND(K156="refund",N156&gt;=0)),"invalid sign","")))))))))</f>
        <v/>
      </c>
      <c r="U156" s="1" t="str">
        <f t="shared" si="21"/>
        <v>INCLUDED</v>
      </c>
      <c r="V156" s="1" t="str">
        <f t="shared" si="22"/>
        <v>2026-03</v>
      </c>
      <c r="W156" s="1">
        <f>IF(AND(U156="INCLUDED",X156&gt;0,EXACT(A156,'AI output'!A156)),1,0)</f>
        <v>1</v>
      </c>
      <c r="X156" s="1">
        <f>156</f>
        <v>156</v>
      </c>
      <c r="Y156" s="1">
        <f>IF(AND(U156="INCLUDED",W156=1),--(NOT(EXACT(A156,'AI output'!A156)))+--(NOT(EXACT(B156,'AI output'!B156)))+--(NOT(EXACT(TEXT(G156,"yyyy-mm-dd"),'AI output'!C156)))+--(NOT(EXACT(H156,'AI output'!D156)))+--(NOT(EXACT(J156,'AI output'!E156)))+--(NOT(EXACT(K156,'AI output'!F156)))+--(N156&lt;&gt;'AI output'!L156)+--(NOT('AI output'!M156)),0)</f>
        <v>0</v>
      </c>
      <c r="Z156" s="1">
        <f t="shared" si="23"/>
        <v>0</v>
      </c>
      <c r="AA156" s="1">
        <f>--EXACT(A156,"L00150")</f>
        <v>1</v>
      </c>
    </row>
    <row r="157" spans="1:27" ht="18.95" customHeight="1">
      <c r="A157" s="1" t="str">
        <f>IF(Raw!A157="","",Raw!A157)</f>
        <v>L00151</v>
      </c>
      <c r="B157" s="1" t="str">
        <f>IF(Raw!B157="","",Raw!B157)</f>
        <v>T00076</v>
      </c>
      <c r="C157" s="1" t="str">
        <f>IF(Raw!C157="","",Raw!C157)</f>
        <v>2026-03-17</v>
      </c>
      <c r="D157" s="1">
        <f t="shared" si="16"/>
        <v>2026</v>
      </c>
      <c r="E157" s="1">
        <f>IFERROR(IF(AND(LEN(C157)=10,MID(C157,5,1)="-",MID(C157,8,1)="-"),VALUE(MID(C157,6,2)),IF(AND(LEN(C157)=11,MID(C157,3,1)="-",MID(C157,7,1)="-"),MATCH(UPPER(MID(C157,4,3)),Guide!$D$7:$D$18,0),0)),0)</f>
        <v>3</v>
      </c>
      <c r="F157" s="1">
        <f t="shared" si="17"/>
        <v>17</v>
      </c>
      <c r="G157" s="9">
        <f t="shared" si="18"/>
        <v>46098</v>
      </c>
      <c r="H157" s="1" t="str">
        <f>IF(Raw!D157="","",Raw!D157)</f>
        <v>P-A</v>
      </c>
      <c r="I157" s="1" t="str">
        <f>IFERROR(IF(EXACT(H157,INDEX(Guide!$A$7:$A$9,MATCH(SUBSTITUTE(SUBSTITUTE(SUBSTITUTE(H157,"~","~~"),"*","~*"),"?","~?"),Guide!$A$7:$A$9,0))),INDEX(Guide!$B$7:$B$9,MATCH(SUBSTITUTE(SUBSTITUTE(SUBSTITUTE(H157,"~","~~"),"*","~*"),"?","~?"),Guide!$A$7:$A$9,0)),""),"")</f>
        <v>Accessories</v>
      </c>
      <c r="J157" s="1" t="str">
        <f>IF(TRIM(Raw!E157)="",I157,IF(UPPER(TRIM(Raw!E157))=UPPER(I157),I157,""))</f>
        <v>Accessories</v>
      </c>
      <c r="K157" s="1" t="str">
        <f>IF(Raw!F157="","",Raw!F157)</f>
        <v>sale</v>
      </c>
      <c r="L157" s="1" t="str">
        <f>IF(LEFT(TRIM(Raw!G157),2)="-$","-"&amp;MID(TRIM(Raw!G157),3,99),IF(LEFT(TRIM(Raw!G157),1)="$",MID(TRIM(Raw!G157),2,99),TRIM(Raw!G157)))</f>
        <v>60.49</v>
      </c>
      <c r="M157" s="1">
        <f t="shared" si="19"/>
        <v>60.49</v>
      </c>
      <c r="N157" s="10">
        <f t="shared" si="20"/>
        <v>6049</v>
      </c>
      <c r="O157" s="1" t="b">
        <f>IFERROR(IF(ISNUMBER(Raw!G157),TRUE,OR(EXACT(L157,TEXT(M157,"0.00")),EXACT(L157,TEXT(M157,"#,##0.00")))),FALSE)</f>
        <v>1</v>
      </c>
      <c r="P157" s="1" t="str">
        <f>LEN(IF(Raw!A157="","",Raw!A157))&amp;":"&amp;IF(Raw!A157="","",Raw!A157)&amp;"|"&amp;LEN(IF(Raw!B157="","",Raw!B157))&amp;":"&amp;IF(Raw!B157="","",Raw!B157)&amp;"|"&amp;LEN(IF(Raw!C157="","",Raw!C157))&amp;":"&amp;IF(Raw!C157="","",Raw!C157)&amp;"|"&amp;LEN(IF(Raw!D157="","",Raw!D157))&amp;":"&amp;IF(Raw!D157="","",Raw!D157)&amp;"|"&amp;LEN(IF(Raw!E157="","",Raw!E157))&amp;":"&amp;IF(Raw!E157="","",Raw!E157)&amp;"|"&amp;LEN(IF(Raw!F157="","",Raw!F157))&amp;":"&amp;IF(Raw!F157="","",Raw!F157)&amp;"|"&amp;LEN(IF(Raw!G157="","",Raw!G157))&amp;":"&amp;IF(Raw!G157="","",Raw!G157)</f>
        <v>6:L00151|6:T00076|10:2026-03-17|3:P-A|11:Accessories|4:sale|5:60.49</v>
      </c>
      <c r="Q157" s="1">
        <f>1</f>
        <v>1</v>
      </c>
      <c r="R157" s="1" t="b">
        <f>FALSE</f>
        <v>0</v>
      </c>
      <c r="S157" s="1">
        <f>1</f>
        <v>1</v>
      </c>
      <c r="T157" s="1" t="str">
        <f>IF(AND(Raw!A157="",Raw!B157="",Raw!C157="",Raw!D157="",Raw!E157="",Raw!F157="",Raw!G157=""),"UNUSED",IF(A157="","missing line ID",IF(B157="","missing transaction ID",IF(G157="",IF(C157="","missing date","invalid date"),IF(I157="","unknown product",IF(J157="","conflicting category",IF(NOT(OR(EXACT(K157,"sale"),EXACT(K157,"refund"))),"unknown event",IF(OR(N157="",NOT(O157)),"invalid amount",IF(OR(AND(K157="sale",N157&lt;=0),AND(K157="refund",N157&gt;=0)),"invalid sign","")))))))))</f>
        <v/>
      </c>
      <c r="U157" s="1" t="str">
        <f t="shared" si="21"/>
        <v>INCLUDED</v>
      </c>
      <c r="V157" s="1" t="str">
        <f t="shared" si="22"/>
        <v>2026-03</v>
      </c>
      <c r="W157" s="1">
        <f>IF(AND(U157="INCLUDED",X157&gt;0,EXACT(A157,'AI output'!A157)),1,0)</f>
        <v>1</v>
      </c>
      <c r="X157" s="1">
        <f>157</f>
        <v>157</v>
      </c>
      <c r="Y157" s="1">
        <f>IF(AND(U157="INCLUDED",W157=1),--(NOT(EXACT(A157,'AI output'!A157)))+--(NOT(EXACT(B157,'AI output'!B157)))+--(NOT(EXACT(TEXT(G157,"yyyy-mm-dd"),'AI output'!C157)))+--(NOT(EXACT(H157,'AI output'!D157)))+--(NOT(EXACT(J157,'AI output'!E157)))+--(NOT(EXACT(K157,'AI output'!F157)))+--(N157&lt;&gt;'AI output'!L157)+--(NOT('AI output'!M157)),0)</f>
        <v>0</v>
      </c>
      <c r="Z157" s="1">
        <f t="shared" si="23"/>
        <v>0</v>
      </c>
      <c r="AA157" s="1">
        <f>--EXACT(A157,"L00151")</f>
        <v>1</v>
      </c>
    </row>
    <row r="158" spans="1:27" ht="18.95" customHeight="1">
      <c r="A158" s="1" t="str">
        <f>IF(Raw!A158="","",Raw!A158)</f>
        <v>L00152</v>
      </c>
      <c r="B158" s="1" t="str">
        <f>IF(Raw!B158="","",Raw!B158)</f>
        <v>T00076</v>
      </c>
      <c r="C158" s="1" t="str">
        <f>IF(Raw!C158="","",Raw!C158)</f>
        <v>2026-03-17</v>
      </c>
      <c r="D158" s="1">
        <f t="shared" si="16"/>
        <v>2026</v>
      </c>
      <c r="E158" s="1">
        <f>IFERROR(IF(AND(LEN(C158)=10,MID(C158,5,1)="-",MID(C158,8,1)="-"),VALUE(MID(C158,6,2)),IF(AND(LEN(C158)=11,MID(C158,3,1)="-",MID(C158,7,1)="-"),MATCH(UPPER(MID(C158,4,3)),Guide!$D$7:$D$18,0),0)),0)</f>
        <v>3</v>
      </c>
      <c r="F158" s="1">
        <f t="shared" si="17"/>
        <v>17</v>
      </c>
      <c r="G158" s="9">
        <f t="shared" si="18"/>
        <v>46098</v>
      </c>
      <c r="H158" s="1" t="str">
        <f>IF(Raw!D158="","",Raw!D158)</f>
        <v>P-H</v>
      </c>
      <c r="I158" s="1" t="str">
        <f>IFERROR(IF(EXACT(H158,INDEX(Guide!$A$7:$A$9,MATCH(SUBSTITUTE(SUBSTITUTE(SUBSTITUTE(H158,"~","~~"),"*","~*"),"?","~?"),Guide!$A$7:$A$9,0))),INDEX(Guide!$B$7:$B$9,MATCH(SUBSTITUTE(SUBSTITUTE(SUBSTITUTE(H158,"~","~~"),"*","~*"),"?","~?"),Guide!$A$7:$A$9,0)),""),"")</f>
        <v>Home</v>
      </c>
      <c r="J158" s="1" t="str">
        <f>IF(TRIM(Raw!E158)="",I158,IF(UPPER(TRIM(Raw!E158))=UPPER(I158),I158,""))</f>
        <v>Home</v>
      </c>
      <c r="K158" s="1" t="str">
        <f>IF(Raw!F158="","",Raw!F158)</f>
        <v>sale</v>
      </c>
      <c r="L158" s="1" t="str">
        <f>IF(LEFT(TRIM(Raw!G158),2)="-$","-"&amp;MID(TRIM(Raw!G158),3,99),IF(LEFT(TRIM(Raw!G158),1)="$",MID(TRIM(Raw!G158),2,99),TRIM(Raw!G158)))</f>
        <v>182.58</v>
      </c>
      <c r="M158" s="1">
        <f t="shared" si="19"/>
        <v>182.58</v>
      </c>
      <c r="N158" s="10">
        <f t="shared" si="20"/>
        <v>18258</v>
      </c>
      <c r="O158" s="1" t="b">
        <f>IFERROR(IF(ISNUMBER(Raw!G158),TRUE,OR(EXACT(L158,TEXT(M158,"0.00")),EXACT(L158,TEXT(M158,"#,##0.00")))),FALSE)</f>
        <v>1</v>
      </c>
      <c r="P158" s="1" t="str">
        <f>LEN(IF(Raw!A158="","",Raw!A158))&amp;":"&amp;IF(Raw!A158="","",Raw!A158)&amp;"|"&amp;LEN(IF(Raw!B158="","",Raw!B158))&amp;":"&amp;IF(Raw!B158="","",Raw!B158)&amp;"|"&amp;LEN(IF(Raw!C158="","",Raw!C158))&amp;":"&amp;IF(Raw!C158="","",Raw!C158)&amp;"|"&amp;LEN(IF(Raw!D158="","",Raw!D158))&amp;":"&amp;IF(Raw!D158="","",Raw!D158)&amp;"|"&amp;LEN(IF(Raw!E158="","",Raw!E158))&amp;":"&amp;IF(Raw!E158="","",Raw!E158)&amp;"|"&amp;LEN(IF(Raw!F158="","",Raw!F158))&amp;":"&amp;IF(Raw!F158="","",Raw!F158)&amp;"|"&amp;LEN(IF(Raw!G158="","",Raw!G158))&amp;":"&amp;IF(Raw!G158="","",Raw!G158)</f>
        <v>6:L00152|6:T00076|10:2026-03-17|3:P-H|4:Home|4:sale|6:182.58</v>
      </c>
      <c r="Q158" s="1">
        <f>1</f>
        <v>1</v>
      </c>
      <c r="R158" s="1" t="b">
        <f>FALSE</f>
        <v>0</v>
      </c>
      <c r="S158" s="1">
        <f>1</f>
        <v>1</v>
      </c>
      <c r="T158" s="1" t="str">
        <f>IF(AND(Raw!A158="",Raw!B158="",Raw!C158="",Raw!D158="",Raw!E158="",Raw!F158="",Raw!G158=""),"UNUSED",IF(A158="","missing line ID",IF(B158="","missing transaction ID",IF(G158="",IF(C158="","missing date","invalid date"),IF(I158="","unknown product",IF(J158="","conflicting category",IF(NOT(OR(EXACT(K158,"sale"),EXACT(K158,"refund"))),"unknown event",IF(OR(N158="",NOT(O158)),"invalid amount",IF(OR(AND(K158="sale",N158&lt;=0),AND(K158="refund",N158&gt;=0)),"invalid sign","")))))))))</f>
        <v/>
      </c>
      <c r="U158" s="1" t="str">
        <f t="shared" si="21"/>
        <v>INCLUDED</v>
      </c>
      <c r="V158" s="1" t="str">
        <f t="shared" si="22"/>
        <v>2026-03</v>
      </c>
      <c r="W158" s="1">
        <f>IF(AND(U158="INCLUDED",X158&gt;0,EXACT(A158,'AI output'!A158)),1,0)</f>
        <v>1</v>
      </c>
      <c r="X158" s="1">
        <f>158</f>
        <v>158</v>
      </c>
      <c r="Y158" s="1">
        <f>IF(AND(U158="INCLUDED",W158=1),--(NOT(EXACT(A158,'AI output'!A158)))+--(NOT(EXACT(B158,'AI output'!B158)))+--(NOT(EXACT(TEXT(G158,"yyyy-mm-dd"),'AI output'!C158)))+--(NOT(EXACT(H158,'AI output'!D158)))+--(NOT(EXACT(J158,'AI output'!E158)))+--(NOT(EXACT(K158,'AI output'!F158)))+--(N158&lt;&gt;'AI output'!L158)+--(NOT('AI output'!M158)),0)</f>
        <v>0</v>
      </c>
      <c r="Z158" s="1">
        <f t="shared" si="23"/>
        <v>0</v>
      </c>
      <c r="AA158" s="1">
        <f>--EXACT(A158,"L00152")</f>
        <v>1</v>
      </c>
    </row>
    <row r="159" spans="1:27" ht="18.95" customHeight="1">
      <c r="A159" s="1" t="str">
        <f>IF(Raw!A159="","",Raw!A159)</f>
        <v>L00153</v>
      </c>
      <c r="B159" s="1" t="str">
        <f>IF(Raw!B159="","",Raw!B159)</f>
        <v>T00077</v>
      </c>
      <c r="C159" s="1" t="str">
        <f>IF(Raw!C159="","",Raw!C159)</f>
        <v>2026-03-24</v>
      </c>
      <c r="D159" s="1">
        <f t="shared" si="16"/>
        <v>2026</v>
      </c>
      <c r="E159" s="1">
        <f>IFERROR(IF(AND(LEN(C159)=10,MID(C159,5,1)="-",MID(C159,8,1)="-"),VALUE(MID(C159,6,2)),IF(AND(LEN(C159)=11,MID(C159,3,1)="-",MID(C159,7,1)="-"),MATCH(UPPER(MID(C159,4,3)),Guide!$D$7:$D$18,0),0)),0)</f>
        <v>3</v>
      </c>
      <c r="F159" s="1">
        <f t="shared" si="17"/>
        <v>24</v>
      </c>
      <c r="G159" s="9">
        <f t="shared" si="18"/>
        <v>46105</v>
      </c>
      <c r="H159" s="1" t="str">
        <f>IF(Raw!D159="","",Raw!D159)</f>
        <v>P-O</v>
      </c>
      <c r="I159" s="1" t="str">
        <f>IFERROR(IF(EXACT(H159,INDEX(Guide!$A$7:$A$9,MATCH(SUBSTITUTE(SUBSTITUTE(SUBSTITUTE(H159,"~","~~"),"*","~*"),"?","~?"),Guide!$A$7:$A$9,0))),INDEX(Guide!$B$7:$B$9,MATCH(SUBSTITUTE(SUBSTITUTE(SUBSTITUTE(H159,"~","~~"),"*","~*"),"?","~?"),Guide!$A$7:$A$9,0)),""),"")</f>
        <v>Office</v>
      </c>
      <c r="J159" s="1" t="str">
        <f>IF(TRIM(Raw!E159)="",I159,IF(UPPER(TRIM(Raw!E159))=UPPER(I159),I159,""))</f>
        <v>Office</v>
      </c>
      <c r="K159" s="1" t="str">
        <f>IF(Raw!F159="","",Raw!F159)</f>
        <v>sale</v>
      </c>
      <c r="L159" s="1" t="str">
        <f>IF(LEFT(TRIM(Raw!G159),2)="-$","-"&amp;MID(TRIM(Raw!G159),3,99),IF(LEFT(TRIM(Raw!G159),1)="$",MID(TRIM(Raw!G159),2,99),TRIM(Raw!G159)))</f>
        <v>306.15</v>
      </c>
      <c r="M159" s="1">
        <f t="shared" si="19"/>
        <v>306.14999999999998</v>
      </c>
      <c r="N159" s="10">
        <f t="shared" si="20"/>
        <v>30615</v>
      </c>
      <c r="O159" s="1" t="b">
        <f>IFERROR(IF(ISNUMBER(Raw!G159),TRUE,OR(EXACT(L159,TEXT(M159,"0.00")),EXACT(L159,TEXT(M159,"#,##0.00")))),FALSE)</f>
        <v>1</v>
      </c>
      <c r="P159" s="1" t="str">
        <f>LEN(IF(Raw!A159="","",Raw!A159))&amp;":"&amp;IF(Raw!A159="","",Raw!A159)&amp;"|"&amp;LEN(IF(Raw!B159="","",Raw!B159))&amp;":"&amp;IF(Raw!B159="","",Raw!B159)&amp;"|"&amp;LEN(IF(Raw!C159="","",Raw!C159))&amp;":"&amp;IF(Raw!C159="","",Raw!C159)&amp;"|"&amp;LEN(IF(Raw!D159="","",Raw!D159))&amp;":"&amp;IF(Raw!D159="","",Raw!D159)&amp;"|"&amp;LEN(IF(Raw!E159="","",Raw!E159))&amp;":"&amp;IF(Raw!E159="","",Raw!E159)&amp;"|"&amp;LEN(IF(Raw!F159="","",Raw!F159))&amp;":"&amp;IF(Raw!F159="","",Raw!F159)&amp;"|"&amp;LEN(IF(Raw!G159="","",Raw!G159))&amp;":"&amp;IF(Raw!G159="","",Raw!G159)</f>
        <v>6:L00153|6:T00077|10:2026-03-24|3:P-O|6:Office|4:sale|6:306.15</v>
      </c>
      <c r="Q159" s="1">
        <f>1</f>
        <v>1</v>
      </c>
      <c r="R159" s="1" t="b">
        <f>FALSE</f>
        <v>0</v>
      </c>
      <c r="S159" s="1">
        <f>1</f>
        <v>1</v>
      </c>
      <c r="T159" s="1" t="str">
        <f>IF(AND(Raw!A159="",Raw!B159="",Raw!C159="",Raw!D159="",Raw!E159="",Raw!F159="",Raw!G159=""),"UNUSED",IF(A159="","missing line ID",IF(B159="","missing transaction ID",IF(G159="",IF(C159="","missing date","invalid date"),IF(I159="","unknown product",IF(J159="","conflicting category",IF(NOT(OR(EXACT(K159,"sale"),EXACT(K159,"refund"))),"unknown event",IF(OR(N159="",NOT(O159)),"invalid amount",IF(OR(AND(K159="sale",N159&lt;=0),AND(K159="refund",N159&gt;=0)),"invalid sign","")))))))))</f>
        <v/>
      </c>
      <c r="U159" s="1" t="str">
        <f t="shared" si="21"/>
        <v>INCLUDED</v>
      </c>
      <c r="V159" s="1" t="str">
        <f t="shared" si="22"/>
        <v>2026-03</v>
      </c>
      <c r="W159" s="1">
        <f>IF(AND(U159="INCLUDED",X159&gt;0,EXACT(A159,'AI output'!A159)),1,0)</f>
        <v>1</v>
      </c>
      <c r="X159" s="1">
        <f>159</f>
        <v>159</v>
      </c>
      <c r="Y159" s="1">
        <f>IF(AND(U159="INCLUDED",W159=1),--(NOT(EXACT(A159,'AI output'!A159)))+--(NOT(EXACT(B159,'AI output'!B159)))+--(NOT(EXACT(TEXT(G159,"yyyy-mm-dd"),'AI output'!C159)))+--(NOT(EXACT(H159,'AI output'!D159)))+--(NOT(EXACT(J159,'AI output'!E159)))+--(NOT(EXACT(K159,'AI output'!F159)))+--(N159&lt;&gt;'AI output'!L159)+--(NOT('AI output'!M159)),0)</f>
        <v>0</v>
      </c>
      <c r="Z159" s="1">
        <f t="shared" si="23"/>
        <v>0</v>
      </c>
      <c r="AA159" s="1">
        <f>--EXACT(A159,"L00153")</f>
        <v>1</v>
      </c>
    </row>
    <row r="160" spans="1:27" ht="18.95" customHeight="1">
      <c r="A160" s="1" t="str">
        <f>IF(Raw!A160="","",Raw!A160)</f>
        <v>L00154</v>
      </c>
      <c r="B160" s="1" t="str">
        <f>IF(Raw!B160="","",Raw!B160)</f>
        <v>T00077</v>
      </c>
      <c r="C160" s="1" t="str">
        <f>IF(Raw!C160="","",Raw!C160)</f>
        <v>2026-03-24</v>
      </c>
      <c r="D160" s="1">
        <f t="shared" si="16"/>
        <v>2026</v>
      </c>
      <c r="E160" s="1">
        <f>IFERROR(IF(AND(LEN(C160)=10,MID(C160,5,1)="-",MID(C160,8,1)="-"),VALUE(MID(C160,6,2)),IF(AND(LEN(C160)=11,MID(C160,3,1)="-",MID(C160,7,1)="-"),MATCH(UPPER(MID(C160,4,3)),Guide!$D$7:$D$18,0),0)),0)</f>
        <v>3</v>
      </c>
      <c r="F160" s="1">
        <f t="shared" si="17"/>
        <v>24</v>
      </c>
      <c r="G160" s="9">
        <f t="shared" si="18"/>
        <v>46105</v>
      </c>
      <c r="H160" s="1" t="str">
        <f>IF(Raw!D160="","",Raw!D160)</f>
        <v>P-A</v>
      </c>
      <c r="I160" s="1" t="str">
        <f>IFERROR(IF(EXACT(H160,INDEX(Guide!$A$7:$A$9,MATCH(SUBSTITUTE(SUBSTITUTE(SUBSTITUTE(H160,"~","~~"),"*","~*"),"?","~?"),Guide!$A$7:$A$9,0))),INDEX(Guide!$B$7:$B$9,MATCH(SUBSTITUTE(SUBSTITUTE(SUBSTITUTE(H160,"~","~~"),"*","~*"),"?","~?"),Guide!$A$7:$A$9,0)),""),"")</f>
        <v>Accessories</v>
      </c>
      <c r="J160" s="1" t="str">
        <f>IF(TRIM(Raw!E160)="",I160,IF(UPPER(TRIM(Raw!E160))=UPPER(I160),I160,""))</f>
        <v>Accessories</v>
      </c>
      <c r="K160" s="1" t="str">
        <f>IF(Raw!F160="","",Raw!F160)</f>
        <v>sale</v>
      </c>
      <c r="L160" s="1" t="str">
        <f>IF(LEFT(TRIM(Raw!G160),2)="-$","-"&amp;MID(TRIM(Raw!G160),3,99),IF(LEFT(TRIM(Raw!G160),1)="$",MID(TRIM(Raw!G160),2,99),TRIM(Raw!G160)))</f>
        <v>123.20</v>
      </c>
      <c r="M160" s="1">
        <f t="shared" si="19"/>
        <v>123.2</v>
      </c>
      <c r="N160" s="10">
        <f t="shared" si="20"/>
        <v>12320</v>
      </c>
      <c r="O160" s="1" t="b">
        <f>IFERROR(IF(ISNUMBER(Raw!G160),TRUE,OR(EXACT(L160,TEXT(M160,"0.00")),EXACT(L160,TEXT(M160,"#,##0.00")))),FALSE)</f>
        <v>1</v>
      </c>
      <c r="P160" s="1" t="str">
        <f>LEN(IF(Raw!A160="","",Raw!A160))&amp;":"&amp;IF(Raw!A160="","",Raw!A160)&amp;"|"&amp;LEN(IF(Raw!B160="","",Raw!B160))&amp;":"&amp;IF(Raw!B160="","",Raw!B160)&amp;"|"&amp;LEN(IF(Raw!C160="","",Raw!C160))&amp;":"&amp;IF(Raw!C160="","",Raw!C160)&amp;"|"&amp;LEN(IF(Raw!D160="","",Raw!D160))&amp;":"&amp;IF(Raw!D160="","",Raw!D160)&amp;"|"&amp;LEN(IF(Raw!E160="","",Raw!E160))&amp;":"&amp;IF(Raw!E160="","",Raw!E160)&amp;"|"&amp;LEN(IF(Raw!F160="","",Raw!F160))&amp;":"&amp;IF(Raw!F160="","",Raw!F160)&amp;"|"&amp;LEN(IF(Raw!G160="","",Raw!G160))&amp;":"&amp;IF(Raw!G160="","",Raw!G160)</f>
        <v>6:L00154|6:T00077|10:2026-03-24|3:P-A|11:Accessories|4:sale|6:123.20</v>
      </c>
      <c r="Q160" s="1">
        <f>1</f>
        <v>1</v>
      </c>
      <c r="R160" s="1" t="b">
        <f>FALSE</f>
        <v>0</v>
      </c>
      <c r="S160" s="1">
        <f>1</f>
        <v>1</v>
      </c>
      <c r="T160" s="1" t="str">
        <f>IF(AND(Raw!A160="",Raw!B160="",Raw!C160="",Raw!D160="",Raw!E160="",Raw!F160="",Raw!G160=""),"UNUSED",IF(A160="","missing line ID",IF(B160="","missing transaction ID",IF(G160="",IF(C160="","missing date","invalid date"),IF(I160="","unknown product",IF(J160="","conflicting category",IF(NOT(OR(EXACT(K160,"sale"),EXACT(K160,"refund"))),"unknown event",IF(OR(N160="",NOT(O160)),"invalid amount",IF(OR(AND(K160="sale",N160&lt;=0),AND(K160="refund",N160&gt;=0)),"invalid sign","")))))))))</f>
        <v/>
      </c>
      <c r="U160" s="1" t="str">
        <f t="shared" si="21"/>
        <v>INCLUDED</v>
      </c>
      <c r="V160" s="1" t="str">
        <f t="shared" si="22"/>
        <v>2026-03</v>
      </c>
      <c r="W160" s="1">
        <f>IF(AND(U160="INCLUDED",X160&gt;0,EXACT(A160,'AI output'!A160)),1,0)</f>
        <v>1</v>
      </c>
      <c r="X160" s="1">
        <f>160</f>
        <v>160</v>
      </c>
      <c r="Y160" s="1">
        <f>IF(AND(U160="INCLUDED",W160=1),--(NOT(EXACT(A160,'AI output'!A160)))+--(NOT(EXACT(B160,'AI output'!B160)))+--(NOT(EXACT(TEXT(G160,"yyyy-mm-dd"),'AI output'!C160)))+--(NOT(EXACT(H160,'AI output'!D160)))+--(NOT(EXACT(J160,'AI output'!E160)))+--(NOT(EXACT(K160,'AI output'!F160)))+--(N160&lt;&gt;'AI output'!L160)+--(NOT('AI output'!M160)),0)</f>
        <v>0</v>
      </c>
      <c r="Z160" s="1">
        <f t="shared" si="23"/>
        <v>0</v>
      </c>
      <c r="AA160" s="1">
        <f>--EXACT(A160,"L00154")</f>
        <v>1</v>
      </c>
    </row>
    <row r="161" spans="1:27" ht="18.95" customHeight="1">
      <c r="A161" s="1" t="str">
        <f>IF(Raw!A161="","",Raw!A161)</f>
        <v>L00155</v>
      </c>
      <c r="B161" s="1" t="str">
        <f>IF(Raw!B161="","",Raw!B161)</f>
        <v>T00078</v>
      </c>
      <c r="C161" s="1" t="str">
        <f>IF(Raw!C161="","",Raw!C161)</f>
        <v>2026-03-31</v>
      </c>
      <c r="D161" s="1">
        <f t="shared" si="16"/>
        <v>2026</v>
      </c>
      <c r="E161" s="1">
        <f>IFERROR(IF(AND(LEN(C161)=10,MID(C161,5,1)="-",MID(C161,8,1)="-"),VALUE(MID(C161,6,2)),IF(AND(LEN(C161)=11,MID(C161,3,1)="-",MID(C161,7,1)="-"),MATCH(UPPER(MID(C161,4,3)),Guide!$D$7:$D$18,0),0)),0)</f>
        <v>3</v>
      </c>
      <c r="F161" s="1">
        <f t="shared" si="17"/>
        <v>31</v>
      </c>
      <c r="G161" s="9">
        <f t="shared" si="18"/>
        <v>46112</v>
      </c>
      <c r="H161" s="1" t="str">
        <f>IF(Raw!D161="","",Raw!D161)</f>
        <v>P-H</v>
      </c>
      <c r="I161" s="1" t="str">
        <f>IFERROR(IF(EXACT(H161,INDEX(Guide!$A$7:$A$9,MATCH(SUBSTITUTE(SUBSTITUTE(SUBSTITUTE(H161,"~","~~"),"*","~*"),"?","~?"),Guide!$A$7:$A$9,0))),INDEX(Guide!$B$7:$B$9,MATCH(SUBSTITUTE(SUBSTITUTE(SUBSTITUTE(H161,"~","~~"),"*","~*"),"?","~?"),Guide!$A$7:$A$9,0)),""),"")</f>
        <v>Home</v>
      </c>
      <c r="J161" s="1" t="str">
        <f>IF(TRIM(Raw!E161)="",I161,IF(UPPER(TRIM(Raw!E161))=UPPER(I161),I161,""))</f>
        <v>Home</v>
      </c>
      <c r="K161" s="1" t="str">
        <f>IF(Raw!F161="","",Raw!F161)</f>
        <v>sale</v>
      </c>
      <c r="L161" s="1" t="str">
        <f>IF(LEFT(TRIM(Raw!G161),2)="-$","-"&amp;MID(TRIM(Raw!G161),3,99),IF(LEFT(TRIM(Raw!G161),1)="$",MID(TRIM(Raw!G161),2,99),TRIM(Raw!G161)))</f>
        <v>247.88</v>
      </c>
      <c r="M161" s="1">
        <f t="shared" si="19"/>
        <v>247.88</v>
      </c>
      <c r="N161" s="10">
        <f t="shared" si="20"/>
        <v>24788</v>
      </c>
      <c r="O161" s="1" t="b">
        <f>IFERROR(IF(ISNUMBER(Raw!G161),TRUE,OR(EXACT(L161,TEXT(M161,"0.00")),EXACT(L161,TEXT(M161,"#,##0.00")))),FALSE)</f>
        <v>1</v>
      </c>
      <c r="P161" s="1" t="str">
        <f>LEN(IF(Raw!A161="","",Raw!A161))&amp;":"&amp;IF(Raw!A161="","",Raw!A161)&amp;"|"&amp;LEN(IF(Raw!B161="","",Raw!B161))&amp;":"&amp;IF(Raw!B161="","",Raw!B161)&amp;"|"&amp;LEN(IF(Raw!C161="","",Raw!C161))&amp;":"&amp;IF(Raw!C161="","",Raw!C161)&amp;"|"&amp;LEN(IF(Raw!D161="","",Raw!D161))&amp;":"&amp;IF(Raw!D161="","",Raw!D161)&amp;"|"&amp;LEN(IF(Raw!E161="","",Raw!E161))&amp;":"&amp;IF(Raw!E161="","",Raw!E161)&amp;"|"&amp;LEN(IF(Raw!F161="","",Raw!F161))&amp;":"&amp;IF(Raw!F161="","",Raw!F161)&amp;"|"&amp;LEN(IF(Raw!G161="","",Raw!G161))&amp;":"&amp;IF(Raw!G161="","",Raw!G161)</f>
        <v>6:L00155|6:T00078|10:2026-03-31|3:P-H|4:Home|4:sale|6:247.88</v>
      </c>
      <c r="Q161" s="1">
        <f>1</f>
        <v>1</v>
      </c>
      <c r="R161" s="1" t="b">
        <f>FALSE</f>
        <v>0</v>
      </c>
      <c r="S161" s="1">
        <f>1</f>
        <v>1</v>
      </c>
      <c r="T161" s="1" t="str">
        <f>IF(AND(Raw!A161="",Raw!B161="",Raw!C161="",Raw!D161="",Raw!E161="",Raw!F161="",Raw!G161=""),"UNUSED",IF(A161="","missing line ID",IF(B161="","missing transaction ID",IF(G161="",IF(C161="","missing date","invalid date"),IF(I161="","unknown product",IF(J161="","conflicting category",IF(NOT(OR(EXACT(K161,"sale"),EXACT(K161,"refund"))),"unknown event",IF(OR(N161="",NOT(O161)),"invalid amount",IF(OR(AND(K161="sale",N161&lt;=0),AND(K161="refund",N161&gt;=0)),"invalid sign","")))))))))</f>
        <v/>
      </c>
      <c r="U161" s="1" t="str">
        <f t="shared" si="21"/>
        <v>INCLUDED</v>
      </c>
      <c r="V161" s="1" t="str">
        <f t="shared" si="22"/>
        <v>2026-03</v>
      </c>
      <c r="W161" s="1">
        <f>IF(AND(U161="INCLUDED",X161&gt;0,EXACT(A161,'AI output'!A161)),1,0)</f>
        <v>1</v>
      </c>
      <c r="X161" s="1">
        <f>161</f>
        <v>161</v>
      </c>
      <c r="Y161" s="1">
        <f>IF(AND(U161="INCLUDED",W161=1),--(NOT(EXACT(A161,'AI output'!A161)))+--(NOT(EXACT(B161,'AI output'!B161)))+--(NOT(EXACT(TEXT(G161,"yyyy-mm-dd"),'AI output'!C161)))+--(NOT(EXACT(H161,'AI output'!D161)))+--(NOT(EXACT(J161,'AI output'!E161)))+--(NOT(EXACT(K161,'AI output'!F161)))+--(N161&lt;&gt;'AI output'!L161)+--(NOT('AI output'!M161)),0)</f>
        <v>0</v>
      </c>
      <c r="Z161" s="1">
        <f t="shared" si="23"/>
        <v>0</v>
      </c>
      <c r="AA161" s="1">
        <f>--EXACT(A161,"L00155")</f>
        <v>1</v>
      </c>
    </row>
    <row r="162" spans="1:27" ht="18.95" customHeight="1">
      <c r="A162" s="1" t="str">
        <f>IF(Raw!A162="","",Raw!A162)</f>
        <v>L00156</v>
      </c>
      <c r="B162" s="1" t="str">
        <f>IF(Raw!B162="","",Raw!B162)</f>
        <v>T00078</v>
      </c>
      <c r="C162" s="1" t="str">
        <f>IF(Raw!C162="","",Raw!C162)</f>
        <v>2026-03-31</v>
      </c>
      <c r="D162" s="1">
        <f t="shared" si="16"/>
        <v>2026</v>
      </c>
      <c r="E162" s="1">
        <f>IFERROR(IF(AND(LEN(C162)=10,MID(C162,5,1)="-",MID(C162,8,1)="-"),VALUE(MID(C162,6,2)),IF(AND(LEN(C162)=11,MID(C162,3,1)="-",MID(C162,7,1)="-"),MATCH(UPPER(MID(C162,4,3)),Guide!$D$7:$D$18,0),0)),0)</f>
        <v>3</v>
      </c>
      <c r="F162" s="1">
        <f t="shared" si="17"/>
        <v>31</v>
      </c>
      <c r="G162" s="9">
        <f t="shared" si="18"/>
        <v>46112</v>
      </c>
      <c r="H162" s="1" t="str">
        <f>IF(Raw!D162="","",Raw!D162)</f>
        <v>P-O</v>
      </c>
      <c r="I162" s="1" t="str">
        <f>IFERROR(IF(EXACT(H162,INDEX(Guide!$A$7:$A$9,MATCH(SUBSTITUTE(SUBSTITUTE(SUBSTITUTE(H162,"~","~~"),"*","~*"),"?","~?"),Guide!$A$7:$A$9,0))),INDEX(Guide!$B$7:$B$9,MATCH(SUBSTITUTE(SUBSTITUTE(SUBSTITUTE(H162,"~","~~"),"*","~*"),"?","~?"),Guide!$A$7:$A$9,0)),""),"")</f>
        <v>Office</v>
      </c>
      <c r="J162" s="1" t="str">
        <f>IF(TRIM(Raw!E162)="",I162,IF(UPPER(TRIM(Raw!E162))=UPPER(I162),I162,""))</f>
        <v>Office</v>
      </c>
      <c r="K162" s="1" t="str">
        <f>IF(Raw!F162="","",Raw!F162)</f>
        <v>sale</v>
      </c>
      <c r="L162" s="1" t="str">
        <f>IF(LEFT(TRIM(Raw!G162),2)="-$","-"&amp;MID(TRIM(Raw!G162),3,99),IF(LEFT(TRIM(Raw!G162),1)="$",MID(TRIM(Raw!G162),2,99),TRIM(Raw!G162)))</f>
        <v>62.34</v>
      </c>
      <c r="M162" s="1">
        <f t="shared" si="19"/>
        <v>62.34</v>
      </c>
      <c r="N162" s="10">
        <f t="shared" si="20"/>
        <v>6234</v>
      </c>
      <c r="O162" s="1" t="b">
        <f>IFERROR(IF(ISNUMBER(Raw!G162),TRUE,OR(EXACT(L162,TEXT(M162,"0.00")),EXACT(L162,TEXT(M162,"#,##0.00")))),FALSE)</f>
        <v>1</v>
      </c>
      <c r="P162" s="1" t="str">
        <f>LEN(IF(Raw!A162="","",Raw!A162))&amp;":"&amp;IF(Raw!A162="","",Raw!A162)&amp;"|"&amp;LEN(IF(Raw!B162="","",Raw!B162))&amp;":"&amp;IF(Raw!B162="","",Raw!B162)&amp;"|"&amp;LEN(IF(Raw!C162="","",Raw!C162))&amp;":"&amp;IF(Raw!C162="","",Raw!C162)&amp;"|"&amp;LEN(IF(Raw!D162="","",Raw!D162))&amp;":"&amp;IF(Raw!D162="","",Raw!D162)&amp;"|"&amp;LEN(IF(Raw!E162="","",Raw!E162))&amp;":"&amp;IF(Raw!E162="","",Raw!E162)&amp;"|"&amp;LEN(IF(Raw!F162="","",Raw!F162))&amp;":"&amp;IF(Raw!F162="","",Raw!F162)&amp;"|"&amp;LEN(IF(Raw!G162="","",Raw!G162))&amp;":"&amp;IF(Raw!G162="","",Raw!G162)</f>
        <v>6:L00156|6:T00078|10:2026-03-31|3:P-O|6:Office|4:sale|5:62.34</v>
      </c>
      <c r="Q162" s="1">
        <f>1</f>
        <v>1</v>
      </c>
      <c r="R162" s="1" t="b">
        <f>FALSE</f>
        <v>0</v>
      </c>
      <c r="S162" s="1">
        <f>1</f>
        <v>1</v>
      </c>
      <c r="T162" s="1" t="str">
        <f>IF(AND(Raw!A162="",Raw!B162="",Raw!C162="",Raw!D162="",Raw!E162="",Raw!F162="",Raw!G162=""),"UNUSED",IF(A162="","missing line ID",IF(B162="","missing transaction ID",IF(G162="",IF(C162="","missing date","invalid date"),IF(I162="","unknown product",IF(J162="","conflicting category",IF(NOT(OR(EXACT(K162,"sale"),EXACT(K162,"refund"))),"unknown event",IF(OR(N162="",NOT(O162)),"invalid amount",IF(OR(AND(K162="sale",N162&lt;=0),AND(K162="refund",N162&gt;=0)),"invalid sign","")))))))))</f>
        <v/>
      </c>
      <c r="U162" s="1" t="str">
        <f t="shared" si="21"/>
        <v>INCLUDED</v>
      </c>
      <c r="V162" s="1" t="str">
        <f t="shared" si="22"/>
        <v>2026-03</v>
      </c>
      <c r="W162" s="1">
        <f>IF(AND(U162="INCLUDED",X162&gt;0,EXACT(A162,'AI output'!A162)),1,0)</f>
        <v>1</v>
      </c>
      <c r="X162" s="1">
        <f>162</f>
        <v>162</v>
      </c>
      <c r="Y162" s="1">
        <f>IF(AND(U162="INCLUDED",W162=1),--(NOT(EXACT(A162,'AI output'!A162)))+--(NOT(EXACT(B162,'AI output'!B162)))+--(NOT(EXACT(TEXT(G162,"yyyy-mm-dd"),'AI output'!C162)))+--(NOT(EXACT(H162,'AI output'!D162)))+--(NOT(EXACT(J162,'AI output'!E162)))+--(NOT(EXACT(K162,'AI output'!F162)))+--(N162&lt;&gt;'AI output'!L162)+--(NOT('AI output'!M162)),0)</f>
        <v>0</v>
      </c>
      <c r="Z162" s="1">
        <f t="shared" si="23"/>
        <v>0</v>
      </c>
      <c r="AA162" s="1">
        <f>--EXACT(A162,"L00156")</f>
        <v>1</v>
      </c>
    </row>
    <row r="163" spans="1:27" ht="18.95" customHeight="1">
      <c r="A163" s="1" t="str">
        <f>IF(Raw!A163="","",Raw!A163)</f>
        <v>L00157</v>
      </c>
      <c r="B163" s="1" t="str">
        <f>IF(Raw!B163="","",Raw!B163)</f>
        <v>T00079</v>
      </c>
      <c r="C163" s="1" t="str">
        <f>IF(Raw!C163="","",Raw!C163)</f>
        <v>2026-01-07</v>
      </c>
      <c r="D163" s="1">
        <f t="shared" si="16"/>
        <v>2026</v>
      </c>
      <c r="E163" s="1">
        <f>IFERROR(IF(AND(LEN(C163)=10,MID(C163,5,1)="-",MID(C163,8,1)="-"),VALUE(MID(C163,6,2)),IF(AND(LEN(C163)=11,MID(C163,3,1)="-",MID(C163,7,1)="-"),MATCH(UPPER(MID(C163,4,3)),Guide!$D$7:$D$18,0),0)),0)</f>
        <v>1</v>
      </c>
      <c r="F163" s="1">
        <f t="shared" si="17"/>
        <v>7</v>
      </c>
      <c r="G163" s="9">
        <f t="shared" si="18"/>
        <v>46029</v>
      </c>
      <c r="H163" s="1" t="str">
        <f>IF(Raw!D163="","",Raw!D163)</f>
        <v>P-A</v>
      </c>
      <c r="I163" s="1" t="str">
        <f>IFERROR(IF(EXACT(H163,INDEX(Guide!$A$7:$A$9,MATCH(SUBSTITUTE(SUBSTITUTE(SUBSTITUTE(H163,"~","~~"),"*","~*"),"?","~?"),Guide!$A$7:$A$9,0))),INDEX(Guide!$B$7:$B$9,MATCH(SUBSTITUTE(SUBSTITUTE(SUBSTITUTE(H163,"~","~~"),"*","~*"),"?","~?"),Guide!$A$7:$A$9,0)),""),"")</f>
        <v>Accessories</v>
      </c>
      <c r="J163" s="1" t="str">
        <f>IF(TRIM(Raw!E163)="",I163,IF(UPPER(TRIM(Raw!E163))=UPPER(I163),I163,""))</f>
        <v>Accessories</v>
      </c>
      <c r="K163" s="1" t="str">
        <f>IF(Raw!F163="","",Raw!F163)</f>
        <v>sale</v>
      </c>
      <c r="L163" s="1" t="str">
        <f>IF(LEFT(TRIM(Raw!G163),2)="-$","-"&amp;MID(TRIM(Raw!G163),3,99),IF(LEFT(TRIM(Raw!G163),1)="$",MID(TRIM(Raw!G163),2,99),TRIM(Raw!G163)))</f>
        <v>188.13</v>
      </c>
      <c r="M163" s="1">
        <f t="shared" si="19"/>
        <v>188.13</v>
      </c>
      <c r="N163" s="10">
        <f t="shared" si="20"/>
        <v>18813</v>
      </c>
      <c r="O163" s="1" t="b">
        <f>IFERROR(IF(ISNUMBER(Raw!G163),TRUE,OR(EXACT(L163,TEXT(M163,"0.00")),EXACT(L163,TEXT(M163,"#,##0.00")))),FALSE)</f>
        <v>1</v>
      </c>
      <c r="P163" s="1" t="str">
        <f>LEN(IF(Raw!A163="","",Raw!A163))&amp;":"&amp;IF(Raw!A163="","",Raw!A163)&amp;"|"&amp;LEN(IF(Raw!B163="","",Raw!B163))&amp;":"&amp;IF(Raw!B163="","",Raw!B163)&amp;"|"&amp;LEN(IF(Raw!C163="","",Raw!C163))&amp;":"&amp;IF(Raw!C163="","",Raw!C163)&amp;"|"&amp;LEN(IF(Raw!D163="","",Raw!D163))&amp;":"&amp;IF(Raw!D163="","",Raw!D163)&amp;"|"&amp;LEN(IF(Raw!E163="","",Raw!E163))&amp;":"&amp;IF(Raw!E163="","",Raw!E163)&amp;"|"&amp;LEN(IF(Raw!F163="","",Raw!F163))&amp;":"&amp;IF(Raw!F163="","",Raw!F163)&amp;"|"&amp;LEN(IF(Raw!G163="","",Raw!G163))&amp;":"&amp;IF(Raw!G163="","",Raw!G163)</f>
        <v>6:L00157|6:T00079|10:2026-01-07|3:P-A|11:Accessories|4:sale|6:188.13</v>
      </c>
      <c r="Q163" s="1">
        <f>1</f>
        <v>1</v>
      </c>
      <c r="R163" s="1" t="b">
        <f>FALSE</f>
        <v>0</v>
      </c>
      <c r="S163" s="1">
        <f>1</f>
        <v>1</v>
      </c>
      <c r="T163" s="1" t="str">
        <f>IF(AND(Raw!A163="",Raw!B163="",Raw!C163="",Raw!D163="",Raw!E163="",Raw!F163="",Raw!G163=""),"UNUSED",IF(A163="","missing line ID",IF(B163="","missing transaction ID",IF(G163="",IF(C163="","missing date","invalid date"),IF(I163="","unknown product",IF(J163="","conflicting category",IF(NOT(OR(EXACT(K163,"sale"),EXACT(K163,"refund"))),"unknown event",IF(OR(N163="",NOT(O163)),"invalid amount",IF(OR(AND(K163="sale",N163&lt;=0),AND(K163="refund",N163&gt;=0)),"invalid sign","")))))))))</f>
        <v/>
      </c>
      <c r="U163" s="1" t="str">
        <f t="shared" si="21"/>
        <v>INCLUDED</v>
      </c>
      <c r="V163" s="1" t="str">
        <f t="shared" si="22"/>
        <v>2026-01</v>
      </c>
      <c r="W163" s="1">
        <f>IF(AND(U163="INCLUDED",X163&gt;0,EXACT(A163,'AI output'!A163)),1,0)</f>
        <v>1</v>
      </c>
      <c r="X163" s="1">
        <f>163</f>
        <v>163</v>
      </c>
      <c r="Y163" s="1">
        <f>IF(AND(U163="INCLUDED",W163=1),--(NOT(EXACT(A163,'AI output'!A163)))+--(NOT(EXACT(B163,'AI output'!B163)))+--(NOT(EXACT(TEXT(G163,"yyyy-mm-dd"),'AI output'!C163)))+--(NOT(EXACT(H163,'AI output'!D163)))+--(NOT(EXACT(J163,'AI output'!E163)))+--(NOT(EXACT(K163,'AI output'!F163)))+--(N163&lt;&gt;'AI output'!L163)+--(NOT('AI output'!M163)),0)</f>
        <v>0</v>
      </c>
      <c r="Z163" s="1">
        <f t="shared" si="23"/>
        <v>0</v>
      </c>
      <c r="AA163" s="1">
        <f>--EXACT(A163,"L00157")</f>
        <v>1</v>
      </c>
    </row>
    <row r="164" spans="1:27" ht="18.95" customHeight="1">
      <c r="A164" s="1" t="str">
        <f>IF(Raw!A164="","",Raw!A164)</f>
        <v>L00158</v>
      </c>
      <c r="B164" s="1" t="str">
        <f>IF(Raw!B164="","",Raw!B164)</f>
        <v>T00079</v>
      </c>
      <c r="C164" s="1" t="str">
        <f>IF(Raw!C164="","",Raw!C164)</f>
        <v>2026-01-07</v>
      </c>
      <c r="D164" s="1">
        <f t="shared" si="16"/>
        <v>2026</v>
      </c>
      <c r="E164" s="1">
        <f>IFERROR(IF(AND(LEN(C164)=10,MID(C164,5,1)="-",MID(C164,8,1)="-"),VALUE(MID(C164,6,2)),IF(AND(LEN(C164)=11,MID(C164,3,1)="-",MID(C164,7,1)="-"),MATCH(UPPER(MID(C164,4,3)),Guide!$D$7:$D$18,0),0)),0)</f>
        <v>1</v>
      </c>
      <c r="F164" s="1">
        <f t="shared" si="17"/>
        <v>7</v>
      </c>
      <c r="G164" s="9">
        <f t="shared" si="18"/>
        <v>46029</v>
      </c>
      <c r="H164" s="1" t="str">
        <f>IF(Raw!D164="","",Raw!D164)</f>
        <v>P-H</v>
      </c>
      <c r="I164" s="1" t="str">
        <f>IFERROR(IF(EXACT(H164,INDEX(Guide!$A$7:$A$9,MATCH(SUBSTITUTE(SUBSTITUTE(SUBSTITUTE(H164,"~","~~"),"*","~*"),"?","~?"),Guide!$A$7:$A$9,0))),INDEX(Guide!$B$7:$B$9,MATCH(SUBSTITUTE(SUBSTITUTE(SUBSTITUTE(H164,"~","~~"),"*","~*"),"?","~?"),Guide!$A$7:$A$9,0)),""),"")</f>
        <v>Home</v>
      </c>
      <c r="J164" s="1" t="str">
        <f>IF(TRIM(Raw!E164)="",I164,IF(UPPER(TRIM(Raw!E164))=UPPER(I164),I164,""))</f>
        <v>Home</v>
      </c>
      <c r="K164" s="1" t="str">
        <f>IF(Raw!F164="","",Raw!F164)</f>
        <v>sale</v>
      </c>
      <c r="L164" s="1" t="str">
        <f>IF(LEFT(TRIM(Raw!G164),2)="-$","-"&amp;MID(TRIM(Raw!G164),3,99),IF(LEFT(TRIM(Raw!G164),1)="$",MID(TRIM(Raw!G164),2,99),TRIM(Raw!G164)))</f>
        <v>315.40</v>
      </c>
      <c r="M164" s="1">
        <f t="shared" si="19"/>
        <v>315.39999999999998</v>
      </c>
      <c r="N164" s="10">
        <f t="shared" si="20"/>
        <v>31540</v>
      </c>
      <c r="O164" s="1" t="b">
        <f>IFERROR(IF(ISNUMBER(Raw!G164),TRUE,OR(EXACT(L164,TEXT(M164,"0.00")),EXACT(L164,TEXT(M164,"#,##0.00")))),FALSE)</f>
        <v>1</v>
      </c>
      <c r="P164" s="1" t="str">
        <f>LEN(IF(Raw!A164="","",Raw!A164))&amp;":"&amp;IF(Raw!A164="","",Raw!A164)&amp;"|"&amp;LEN(IF(Raw!B164="","",Raw!B164))&amp;":"&amp;IF(Raw!B164="","",Raw!B164)&amp;"|"&amp;LEN(IF(Raw!C164="","",Raw!C164))&amp;":"&amp;IF(Raw!C164="","",Raw!C164)&amp;"|"&amp;LEN(IF(Raw!D164="","",Raw!D164))&amp;":"&amp;IF(Raw!D164="","",Raw!D164)&amp;"|"&amp;LEN(IF(Raw!E164="","",Raw!E164))&amp;":"&amp;IF(Raw!E164="","",Raw!E164)&amp;"|"&amp;LEN(IF(Raw!F164="","",Raw!F164))&amp;":"&amp;IF(Raw!F164="","",Raw!F164)&amp;"|"&amp;LEN(IF(Raw!G164="","",Raw!G164))&amp;":"&amp;IF(Raw!G164="","",Raw!G164)</f>
        <v>6:L00158|6:T00079|10:2026-01-07|3:P-H|4:Home|4:sale|6:315.40</v>
      </c>
      <c r="Q164" s="1">
        <f>1</f>
        <v>1</v>
      </c>
      <c r="R164" s="1" t="b">
        <f>FALSE</f>
        <v>0</v>
      </c>
      <c r="S164" s="1">
        <f>1</f>
        <v>1</v>
      </c>
      <c r="T164" s="1" t="str">
        <f>IF(AND(Raw!A164="",Raw!B164="",Raw!C164="",Raw!D164="",Raw!E164="",Raw!F164="",Raw!G164=""),"UNUSED",IF(A164="","missing line ID",IF(B164="","missing transaction ID",IF(G164="",IF(C164="","missing date","invalid date"),IF(I164="","unknown product",IF(J164="","conflicting category",IF(NOT(OR(EXACT(K164,"sale"),EXACT(K164,"refund"))),"unknown event",IF(OR(N164="",NOT(O164)),"invalid amount",IF(OR(AND(K164="sale",N164&lt;=0),AND(K164="refund",N164&gt;=0)),"invalid sign","")))))))))</f>
        <v/>
      </c>
      <c r="U164" s="1" t="str">
        <f t="shared" si="21"/>
        <v>INCLUDED</v>
      </c>
      <c r="V164" s="1" t="str">
        <f t="shared" si="22"/>
        <v>2026-01</v>
      </c>
      <c r="W164" s="1">
        <f>IF(AND(U164="INCLUDED",X164&gt;0,EXACT(A164,'AI output'!A164)),1,0)</f>
        <v>1</v>
      </c>
      <c r="X164" s="1">
        <f>164</f>
        <v>164</v>
      </c>
      <c r="Y164" s="1">
        <f>IF(AND(U164="INCLUDED",W164=1),--(NOT(EXACT(A164,'AI output'!A164)))+--(NOT(EXACT(B164,'AI output'!B164)))+--(NOT(EXACT(TEXT(G164,"yyyy-mm-dd"),'AI output'!C164)))+--(NOT(EXACT(H164,'AI output'!D164)))+--(NOT(EXACT(J164,'AI output'!E164)))+--(NOT(EXACT(K164,'AI output'!F164)))+--(N164&lt;&gt;'AI output'!L164)+--(NOT('AI output'!M164)),0)</f>
        <v>0</v>
      </c>
      <c r="Z164" s="1">
        <f t="shared" si="23"/>
        <v>0</v>
      </c>
      <c r="AA164" s="1">
        <f>--EXACT(A164,"L00158")</f>
        <v>1</v>
      </c>
    </row>
    <row r="165" spans="1:27" ht="18.95" customHeight="1">
      <c r="A165" s="1" t="str">
        <f>IF(Raw!A165="","",Raw!A165)</f>
        <v>L00159</v>
      </c>
      <c r="B165" s="1" t="str">
        <f>IF(Raw!B165="","",Raw!B165)</f>
        <v>T00080</v>
      </c>
      <c r="C165" s="1" t="str">
        <f>IF(Raw!C165="","",Raw!C165)</f>
        <v>2026-01-14</v>
      </c>
      <c r="D165" s="1">
        <f t="shared" si="16"/>
        <v>2026</v>
      </c>
      <c r="E165" s="1">
        <f>IFERROR(IF(AND(LEN(C165)=10,MID(C165,5,1)="-",MID(C165,8,1)="-"),VALUE(MID(C165,6,2)),IF(AND(LEN(C165)=11,MID(C165,3,1)="-",MID(C165,7,1)="-"),MATCH(UPPER(MID(C165,4,3)),Guide!$D$7:$D$18,0),0)),0)</f>
        <v>1</v>
      </c>
      <c r="F165" s="1">
        <f t="shared" si="17"/>
        <v>14</v>
      </c>
      <c r="G165" s="9">
        <f t="shared" si="18"/>
        <v>46036</v>
      </c>
      <c r="H165" s="1" t="str">
        <f>IF(Raw!D165="","",Raw!D165)</f>
        <v>P-O</v>
      </c>
      <c r="I165" s="1" t="str">
        <f>IFERROR(IF(EXACT(H165,INDEX(Guide!$A$7:$A$9,MATCH(SUBSTITUTE(SUBSTITUTE(SUBSTITUTE(H165,"~","~~"),"*","~*"),"?","~?"),Guide!$A$7:$A$9,0))),INDEX(Guide!$B$7:$B$9,MATCH(SUBSTITUTE(SUBSTITUTE(SUBSTITUTE(H165,"~","~~"),"*","~*"),"?","~?"),Guide!$A$7:$A$9,0)),""),"")</f>
        <v>Office</v>
      </c>
      <c r="J165" s="1" t="str">
        <f>IF(TRIM(Raw!E165)="",I165,IF(UPPER(TRIM(Raw!E165))=UPPER(I165),I165,""))</f>
        <v>Office</v>
      </c>
      <c r="K165" s="1" t="str">
        <f>IF(Raw!F165="","",Raw!F165)</f>
        <v>sale</v>
      </c>
      <c r="L165" s="1" t="str">
        <f>IF(LEFT(TRIM(Raw!G165),2)="-$","-"&amp;MID(TRIM(Raw!G165),3,99),IF(LEFT(TRIM(Raw!G165),1)="$",MID(TRIM(Raw!G165),2,99),TRIM(Raw!G165)))</f>
        <v>126.90</v>
      </c>
      <c r="M165" s="1">
        <f t="shared" si="19"/>
        <v>126.9</v>
      </c>
      <c r="N165" s="10">
        <f t="shared" si="20"/>
        <v>12690</v>
      </c>
      <c r="O165" s="1" t="b">
        <f>IFERROR(IF(ISNUMBER(Raw!G165),TRUE,OR(EXACT(L165,TEXT(M165,"0.00")),EXACT(L165,TEXT(M165,"#,##0.00")))),FALSE)</f>
        <v>1</v>
      </c>
      <c r="P165" s="1" t="str">
        <f>LEN(IF(Raw!A165="","",Raw!A165))&amp;":"&amp;IF(Raw!A165="","",Raw!A165)&amp;"|"&amp;LEN(IF(Raw!B165="","",Raw!B165))&amp;":"&amp;IF(Raw!B165="","",Raw!B165)&amp;"|"&amp;LEN(IF(Raw!C165="","",Raw!C165))&amp;":"&amp;IF(Raw!C165="","",Raw!C165)&amp;"|"&amp;LEN(IF(Raw!D165="","",Raw!D165))&amp;":"&amp;IF(Raw!D165="","",Raw!D165)&amp;"|"&amp;LEN(IF(Raw!E165="","",Raw!E165))&amp;":"&amp;IF(Raw!E165="","",Raw!E165)&amp;"|"&amp;LEN(IF(Raw!F165="","",Raw!F165))&amp;":"&amp;IF(Raw!F165="","",Raw!F165)&amp;"|"&amp;LEN(IF(Raw!G165="","",Raw!G165))&amp;":"&amp;IF(Raw!G165="","",Raw!G165)</f>
        <v>6:L00159|6:T00080|10:2026-01-14|3:P-O|6:Office|4:sale|6:126.90</v>
      </c>
      <c r="Q165" s="1">
        <f>1</f>
        <v>1</v>
      </c>
      <c r="R165" s="1" t="b">
        <f>FALSE</f>
        <v>0</v>
      </c>
      <c r="S165" s="1">
        <f>1</f>
        <v>1</v>
      </c>
      <c r="T165" s="1" t="str">
        <f>IF(AND(Raw!A165="",Raw!B165="",Raw!C165="",Raw!D165="",Raw!E165="",Raw!F165="",Raw!G165=""),"UNUSED",IF(A165="","missing line ID",IF(B165="","missing transaction ID",IF(G165="",IF(C165="","missing date","invalid date"),IF(I165="","unknown product",IF(J165="","conflicting category",IF(NOT(OR(EXACT(K165,"sale"),EXACT(K165,"refund"))),"unknown event",IF(OR(N165="",NOT(O165)),"invalid amount",IF(OR(AND(K165="sale",N165&lt;=0),AND(K165="refund",N165&gt;=0)),"invalid sign","")))))))))</f>
        <v/>
      </c>
      <c r="U165" s="1" t="str">
        <f t="shared" si="21"/>
        <v>INCLUDED</v>
      </c>
      <c r="V165" s="1" t="str">
        <f t="shared" si="22"/>
        <v>2026-01</v>
      </c>
      <c r="W165" s="1">
        <f>IF(AND(U165="INCLUDED",X165&gt;0,EXACT(A165,'AI output'!A165)),1,0)</f>
        <v>1</v>
      </c>
      <c r="X165" s="1">
        <f>165</f>
        <v>165</v>
      </c>
      <c r="Y165" s="1">
        <f>IF(AND(U165="INCLUDED",W165=1),--(NOT(EXACT(A165,'AI output'!A165)))+--(NOT(EXACT(B165,'AI output'!B165)))+--(NOT(EXACT(TEXT(G165,"yyyy-mm-dd"),'AI output'!C165)))+--(NOT(EXACT(H165,'AI output'!D165)))+--(NOT(EXACT(J165,'AI output'!E165)))+--(NOT(EXACT(K165,'AI output'!F165)))+--(N165&lt;&gt;'AI output'!L165)+--(NOT('AI output'!M165)),0)</f>
        <v>0</v>
      </c>
      <c r="Z165" s="1">
        <f t="shared" si="23"/>
        <v>0</v>
      </c>
      <c r="AA165" s="1">
        <f>--EXACT(A165,"L00159")</f>
        <v>1</v>
      </c>
    </row>
    <row r="166" spans="1:27" ht="18.95" customHeight="1">
      <c r="A166" s="1" t="str">
        <f>IF(Raw!A166="","",Raw!A166)</f>
        <v>L00160</v>
      </c>
      <c r="B166" s="1" t="str">
        <f>IF(Raw!B166="","",Raw!B166)</f>
        <v>T00080</v>
      </c>
      <c r="C166" s="1" t="str">
        <f>IF(Raw!C166="","",Raw!C166)</f>
        <v>2026-01-14</v>
      </c>
      <c r="D166" s="1">
        <f t="shared" si="16"/>
        <v>2026</v>
      </c>
      <c r="E166" s="1">
        <f>IFERROR(IF(AND(LEN(C166)=10,MID(C166,5,1)="-",MID(C166,8,1)="-"),VALUE(MID(C166,6,2)),IF(AND(LEN(C166)=11,MID(C166,3,1)="-",MID(C166,7,1)="-"),MATCH(UPPER(MID(C166,4,3)),Guide!$D$7:$D$18,0),0)),0)</f>
        <v>1</v>
      </c>
      <c r="F166" s="1">
        <f t="shared" si="17"/>
        <v>14</v>
      </c>
      <c r="G166" s="9">
        <f t="shared" si="18"/>
        <v>46036</v>
      </c>
      <c r="H166" s="1" t="str">
        <f>IF(Raw!D166="","",Raw!D166)</f>
        <v>P-A</v>
      </c>
      <c r="I166" s="1" t="str">
        <f>IFERROR(IF(EXACT(H166,INDEX(Guide!$A$7:$A$9,MATCH(SUBSTITUTE(SUBSTITUTE(SUBSTITUTE(H166,"~","~~"),"*","~*"),"?","~?"),Guide!$A$7:$A$9,0))),INDEX(Guide!$B$7:$B$9,MATCH(SUBSTITUTE(SUBSTITUTE(SUBSTITUTE(H166,"~","~~"),"*","~*"),"?","~?"),Guide!$A$7:$A$9,0)),""),"")</f>
        <v>Accessories</v>
      </c>
      <c r="J166" s="1" t="str">
        <f>IF(TRIM(Raw!E166)="",I166,IF(UPPER(TRIM(Raw!E166))=UPPER(I166),I166,""))</f>
        <v>Accessories</v>
      </c>
      <c r="K166" s="1" t="str">
        <f>IF(Raw!F166="","",Raw!F166)</f>
        <v>sale</v>
      </c>
      <c r="L166" s="1" t="str">
        <f>IF(LEFT(TRIM(Raw!G166),2)="-$","-"&amp;MID(TRIM(Raw!G166),3,99),IF(LEFT(TRIM(Raw!G166),1)="$",MID(TRIM(Raw!G166),2,99),TRIM(Raw!G166)))</f>
        <v>255.28</v>
      </c>
      <c r="M166" s="1">
        <f t="shared" si="19"/>
        <v>255.28</v>
      </c>
      <c r="N166" s="10">
        <f t="shared" si="20"/>
        <v>25528</v>
      </c>
      <c r="O166" s="1" t="b">
        <f>IFERROR(IF(ISNUMBER(Raw!G166),TRUE,OR(EXACT(L166,TEXT(M166,"0.00")),EXACT(L166,TEXT(M166,"#,##0.00")))),FALSE)</f>
        <v>1</v>
      </c>
      <c r="P166" s="1" t="str">
        <f>LEN(IF(Raw!A166="","",Raw!A166))&amp;":"&amp;IF(Raw!A166="","",Raw!A166)&amp;"|"&amp;LEN(IF(Raw!B166="","",Raw!B166))&amp;":"&amp;IF(Raw!B166="","",Raw!B166)&amp;"|"&amp;LEN(IF(Raw!C166="","",Raw!C166))&amp;":"&amp;IF(Raw!C166="","",Raw!C166)&amp;"|"&amp;LEN(IF(Raw!D166="","",Raw!D166))&amp;":"&amp;IF(Raw!D166="","",Raw!D166)&amp;"|"&amp;LEN(IF(Raw!E166="","",Raw!E166))&amp;":"&amp;IF(Raw!E166="","",Raw!E166)&amp;"|"&amp;LEN(IF(Raw!F166="","",Raw!F166))&amp;":"&amp;IF(Raw!F166="","",Raw!F166)&amp;"|"&amp;LEN(IF(Raw!G166="","",Raw!G166))&amp;":"&amp;IF(Raw!G166="","",Raw!G166)</f>
        <v>6:L00160|6:T00080|10:2026-01-14|3:P-A|11:Accessories|4:sale|6:255.28</v>
      </c>
      <c r="Q166" s="1">
        <f>1</f>
        <v>1</v>
      </c>
      <c r="R166" s="1" t="b">
        <f>FALSE</f>
        <v>0</v>
      </c>
      <c r="S166" s="1">
        <f>1</f>
        <v>1</v>
      </c>
      <c r="T166" s="1" t="str">
        <f>IF(AND(Raw!A166="",Raw!B166="",Raw!C166="",Raw!D166="",Raw!E166="",Raw!F166="",Raw!G166=""),"UNUSED",IF(A166="","missing line ID",IF(B166="","missing transaction ID",IF(G166="",IF(C166="","missing date","invalid date"),IF(I166="","unknown product",IF(J166="","conflicting category",IF(NOT(OR(EXACT(K166,"sale"),EXACT(K166,"refund"))),"unknown event",IF(OR(N166="",NOT(O166)),"invalid amount",IF(OR(AND(K166="sale",N166&lt;=0),AND(K166="refund",N166&gt;=0)),"invalid sign","")))))))))</f>
        <v/>
      </c>
      <c r="U166" s="1" t="str">
        <f t="shared" si="21"/>
        <v>INCLUDED</v>
      </c>
      <c r="V166" s="1" t="str">
        <f t="shared" si="22"/>
        <v>2026-01</v>
      </c>
      <c r="W166" s="1">
        <f>IF(AND(U166="INCLUDED",X166&gt;0,EXACT(A166,'AI output'!A166)),1,0)</f>
        <v>1</v>
      </c>
      <c r="X166" s="1">
        <f>166</f>
        <v>166</v>
      </c>
      <c r="Y166" s="1">
        <f>IF(AND(U166="INCLUDED",W166=1),--(NOT(EXACT(A166,'AI output'!A166)))+--(NOT(EXACT(B166,'AI output'!B166)))+--(NOT(EXACT(TEXT(G166,"yyyy-mm-dd"),'AI output'!C166)))+--(NOT(EXACT(H166,'AI output'!D166)))+--(NOT(EXACT(J166,'AI output'!E166)))+--(NOT(EXACT(K166,'AI output'!F166)))+--(N166&lt;&gt;'AI output'!L166)+--(NOT('AI output'!M166)),0)</f>
        <v>0</v>
      </c>
      <c r="Z166" s="1">
        <f t="shared" si="23"/>
        <v>0</v>
      </c>
      <c r="AA166" s="1">
        <f>--EXACT(A166,"L00160")</f>
        <v>1</v>
      </c>
    </row>
    <row r="167" spans="1:27" ht="18.95" customHeight="1">
      <c r="A167" s="1" t="str">
        <f>IF(Raw!A167="","",Raw!A167)</f>
        <v>L00161</v>
      </c>
      <c r="B167" s="1" t="str">
        <f>IF(Raw!B167="","",Raw!B167)</f>
        <v>T00081</v>
      </c>
      <c r="C167" s="1" t="str">
        <f>IF(Raw!C167="","",Raw!C167)</f>
        <v>2026-01-21</v>
      </c>
      <c r="D167" s="1">
        <f t="shared" si="16"/>
        <v>2026</v>
      </c>
      <c r="E167" s="1">
        <f>IFERROR(IF(AND(LEN(C167)=10,MID(C167,5,1)="-",MID(C167,8,1)="-"),VALUE(MID(C167,6,2)),IF(AND(LEN(C167)=11,MID(C167,3,1)="-",MID(C167,7,1)="-"),MATCH(UPPER(MID(C167,4,3)),Guide!$D$7:$D$18,0),0)),0)</f>
        <v>1</v>
      </c>
      <c r="F167" s="1">
        <f t="shared" si="17"/>
        <v>21</v>
      </c>
      <c r="G167" s="9">
        <f t="shared" si="18"/>
        <v>46043</v>
      </c>
      <c r="H167" s="1" t="str">
        <f>IF(Raw!D167="","",Raw!D167)</f>
        <v>P-H</v>
      </c>
      <c r="I167" s="1" t="str">
        <f>IFERROR(IF(EXACT(H167,INDEX(Guide!$A$7:$A$9,MATCH(SUBSTITUTE(SUBSTITUTE(SUBSTITUTE(H167,"~","~~"),"*","~*"),"?","~?"),Guide!$A$7:$A$9,0))),INDEX(Guide!$B$7:$B$9,MATCH(SUBSTITUTE(SUBSTITUTE(SUBSTITUTE(H167,"~","~~"),"*","~*"),"?","~?"),Guide!$A$7:$A$9,0)),""),"")</f>
        <v>Home</v>
      </c>
      <c r="J167" s="1" t="str">
        <f>IF(TRIM(Raw!E167)="",I167,IF(UPPER(TRIM(Raw!E167))=UPPER(I167),I167,""))</f>
        <v>Home</v>
      </c>
      <c r="K167" s="1" t="str">
        <f>IF(Raw!F167="","",Raw!F167)</f>
        <v>sale</v>
      </c>
      <c r="L167" s="1" t="str">
        <f>IF(LEFT(TRIM(Raw!G167),2)="-$","-"&amp;MID(TRIM(Raw!G167),3,99),IF(LEFT(TRIM(Raw!G167),1)="$",MID(TRIM(Raw!G167),2,99),TRIM(Raw!G167)))</f>
        <v>64.19</v>
      </c>
      <c r="M167" s="1">
        <f t="shared" si="19"/>
        <v>64.19</v>
      </c>
      <c r="N167" s="10">
        <f t="shared" si="20"/>
        <v>6419</v>
      </c>
      <c r="O167" s="1" t="b">
        <f>IFERROR(IF(ISNUMBER(Raw!G167),TRUE,OR(EXACT(L167,TEXT(M167,"0.00")),EXACT(L167,TEXT(M167,"#,##0.00")))),FALSE)</f>
        <v>1</v>
      </c>
      <c r="P167" s="1" t="str">
        <f>LEN(IF(Raw!A167="","",Raw!A167))&amp;":"&amp;IF(Raw!A167="","",Raw!A167)&amp;"|"&amp;LEN(IF(Raw!B167="","",Raw!B167))&amp;":"&amp;IF(Raw!B167="","",Raw!B167)&amp;"|"&amp;LEN(IF(Raw!C167="","",Raw!C167))&amp;":"&amp;IF(Raw!C167="","",Raw!C167)&amp;"|"&amp;LEN(IF(Raw!D167="","",Raw!D167))&amp;":"&amp;IF(Raw!D167="","",Raw!D167)&amp;"|"&amp;LEN(IF(Raw!E167="","",Raw!E167))&amp;":"&amp;IF(Raw!E167="","",Raw!E167)&amp;"|"&amp;LEN(IF(Raw!F167="","",Raw!F167))&amp;":"&amp;IF(Raw!F167="","",Raw!F167)&amp;"|"&amp;LEN(IF(Raw!G167="","",Raw!G167))&amp;":"&amp;IF(Raw!G167="","",Raw!G167)</f>
        <v>6:L00161|6:T00081|10:2026-01-21|3:P-H|4:Home|4:sale|5:64.19</v>
      </c>
      <c r="Q167" s="1">
        <f>1</f>
        <v>1</v>
      </c>
      <c r="R167" s="1" t="b">
        <f>FALSE</f>
        <v>0</v>
      </c>
      <c r="S167" s="1">
        <f>1</f>
        <v>1</v>
      </c>
      <c r="T167" s="1" t="str">
        <f>IF(AND(Raw!A167="",Raw!B167="",Raw!C167="",Raw!D167="",Raw!E167="",Raw!F167="",Raw!G167=""),"UNUSED",IF(A167="","missing line ID",IF(B167="","missing transaction ID",IF(G167="",IF(C167="","missing date","invalid date"),IF(I167="","unknown product",IF(J167="","conflicting category",IF(NOT(OR(EXACT(K167,"sale"),EXACT(K167,"refund"))),"unknown event",IF(OR(N167="",NOT(O167)),"invalid amount",IF(OR(AND(K167="sale",N167&lt;=0),AND(K167="refund",N167&gt;=0)),"invalid sign","")))))))))</f>
        <v/>
      </c>
      <c r="U167" s="1" t="str">
        <f t="shared" si="21"/>
        <v>INCLUDED</v>
      </c>
      <c r="V167" s="1" t="str">
        <f t="shared" si="22"/>
        <v>2026-01</v>
      </c>
      <c r="W167" s="1">
        <f>IF(AND(U167="INCLUDED",X167&gt;0,EXACT(A167,'AI output'!A167)),1,0)</f>
        <v>1</v>
      </c>
      <c r="X167" s="1">
        <f>167</f>
        <v>167</v>
      </c>
      <c r="Y167" s="1">
        <f>IF(AND(U167="INCLUDED",W167=1),--(NOT(EXACT(A167,'AI output'!A167)))+--(NOT(EXACT(B167,'AI output'!B167)))+--(NOT(EXACT(TEXT(G167,"yyyy-mm-dd"),'AI output'!C167)))+--(NOT(EXACT(H167,'AI output'!D167)))+--(NOT(EXACT(J167,'AI output'!E167)))+--(NOT(EXACT(K167,'AI output'!F167)))+--(N167&lt;&gt;'AI output'!L167)+--(NOT('AI output'!M167)),0)</f>
        <v>0</v>
      </c>
      <c r="Z167" s="1">
        <f t="shared" si="23"/>
        <v>0</v>
      </c>
      <c r="AA167" s="1">
        <f>--EXACT(A167,"L00161")</f>
        <v>1</v>
      </c>
    </row>
    <row r="168" spans="1:27" ht="18.95" customHeight="1">
      <c r="A168" s="1" t="str">
        <f>IF(Raw!A168="","",Raw!A168)</f>
        <v>L00162</v>
      </c>
      <c r="B168" s="1" t="str">
        <f>IF(Raw!B168="","",Raw!B168)</f>
        <v>T00081</v>
      </c>
      <c r="C168" s="1" t="str">
        <f>IF(Raw!C168="","",Raw!C168)</f>
        <v>2026-01-21</v>
      </c>
      <c r="D168" s="1">
        <f t="shared" si="16"/>
        <v>2026</v>
      </c>
      <c r="E168" s="1">
        <f>IFERROR(IF(AND(LEN(C168)=10,MID(C168,5,1)="-",MID(C168,8,1)="-"),VALUE(MID(C168,6,2)),IF(AND(LEN(C168)=11,MID(C168,3,1)="-",MID(C168,7,1)="-"),MATCH(UPPER(MID(C168,4,3)),Guide!$D$7:$D$18,0),0)),0)</f>
        <v>1</v>
      </c>
      <c r="F168" s="1">
        <f t="shared" si="17"/>
        <v>21</v>
      </c>
      <c r="G168" s="9">
        <f t="shared" si="18"/>
        <v>46043</v>
      </c>
      <c r="H168" s="1" t="str">
        <f>IF(Raw!D168="","",Raw!D168)</f>
        <v>P-O</v>
      </c>
      <c r="I168" s="1" t="str">
        <f>IFERROR(IF(EXACT(H168,INDEX(Guide!$A$7:$A$9,MATCH(SUBSTITUTE(SUBSTITUTE(SUBSTITUTE(H168,"~","~~"),"*","~*"),"?","~?"),Guide!$A$7:$A$9,0))),INDEX(Guide!$B$7:$B$9,MATCH(SUBSTITUTE(SUBSTITUTE(SUBSTITUTE(H168,"~","~~"),"*","~*"),"?","~?"),Guide!$A$7:$A$9,0)),""),"")</f>
        <v>Office</v>
      </c>
      <c r="J168" s="1" t="str">
        <f>IF(TRIM(Raw!E168)="",I168,IF(UPPER(TRIM(Raw!E168))=UPPER(I168),I168,""))</f>
        <v>Office</v>
      </c>
      <c r="K168" s="1" t="str">
        <f>IF(Raw!F168="","",Raw!F168)</f>
        <v>refund</v>
      </c>
      <c r="L168" s="1" t="str">
        <f>IF(LEFT(TRIM(Raw!G168),2)="-$","-"&amp;MID(TRIM(Raw!G168),3,99),IF(LEFT(TRIM(Raw!G168),1)="$",MID(TRIM(Raw!G168),2,99),TRIM(Raw!G168)))</f>
        <v>-193.68</v>
      </c>
      <c r="M168" s="1">
        <f t="shared" si="19"/>
        <v>-193.68</v>
      </c>
      <c r="N168" s="10">
        <f t="shared" si="20"/>
        <v>-19368</v>
      </c>
      <c r="O168" s="1" t="b">
        <f>IFERROR(IF(ISNUMBER(Raw!G168),TRUE,OR(EXACT(L168,TEXT(M168,"0.00")),EXACT(L168,TEXT(M168,"#,##0.00")))),FALSE)</f>
        <v>1</v>
      </c>
      <c r="P168" s="1" t="str">
        <f>LEN(IF(Raw!A168="","",Raw!A168))&amp;":"&amp;IF(Raw!A168="","",Raw!A168)&amp;"|"&amp;LEN(IF(Raw!B168="","",Raw!B168))&amp;":"&amp;IF(Raw!B168="","",Raw!B168)&amp;"|"&amp;LEN(IF(Raw!C168="","",Raw!C168))&amp;":"&amp;IF(Raw!C168="","",Raw!C168)&amp;"|"&amp;LEN(IF(Raw!D168="","",Raw!D168))&amp;":"&amp;IF(Raw!D168="","",Raw!D168)&amp;"|"&amp;LEN(IF(Raw!E168="","",Raw!E168))&amp;":"&amp;IF(Raw!E168="","",Raw!E168)&amp;"|"&amp;LEN(IF(Raw!F168="","",Raw!F168))&amp;":"&amp;IF(Raw!F168="","",Raw!F168)&amp;"|"&amp;LEN(IF(Raw!G168="","",Raw!G168))&amp;":"&amp;IF(Raw!G168="","",Raw!G168)</f>
        <v>6:L00162|6:T00081|10:2026-01-21|3:P-O|6:Office|6:refund|7:-193.68</v>
      </c>
      <c r="Q168" s="1">
        <f>1</f>
        <v>1</v>
      </c>
      <c r="R168" s="1" t="b">
        <f>FALSE</f>
        <v>0</v>
      </c>
      <c r="S168" s="1">
        <f>1</f>
        <v>1</v>
      </c>
      <c r="T168" s="1" t="str">
        <f>IF(AND(Raw!A168="",Raw!B168="",Raw!C168="",Raw!D168="",Raw!E168="",Raw!F168="",Raw!G168=""),"UNUSED",IF(A168="","missing line ID",IF(B168="","missing transaction ID",IF(G168="",IF(C168="","missing date","invalid date"),IF(I168="","unknown product",IF(J168="","conflicting category",IF(NOT(OR(EXACT(K168,"sale"),EXACT(K168,"refund"))),"unknown event",IF(OR(N168="",NOT(O168)),"invalid amount",IF(OR(AND(K168="sale",N168&lt;=0),AND(K168="refund",N168&gt;=0)),"invalid sign","")))))))))</f>
        <v/>
      </c>
      <c r="U168" s="1" t="str">
        <f t="shared" si="21"/>
        <v>INCLUDED</v>
      </c>
      <c r="V168" s="1" t="str">
        <f t="shared" si="22"/>
        <v>2026-01</v>
      </c>
      <c r="W168" s="1">
        <f>IF(AND(U168="INCLUDED",X168&gt;0,EXACT(A168,'AI output'!A168)),1,0)</f>
        <v>1</v>
      </c>
      <c r="X168" s="1">
        <f>168</f>
        <v>168</v>
      </c>
      <c r="Y168" s="1">
        <f>IF(AND(U168="INCLUDED",W168=1),--(NOT(EXACT(A168,'AI output'!A168)))+--(NOT(EXACT(B168,'AI output'!B168)))+--(NOT(EXACT(TEXT(G168,"yyyy-mm-dd"),'AI output'!C168)))+--(NOT(EXACT(H168,'AI output'!D168)))+--(NOT(EXACT(J168,'AI output'!E168)))+--(NOT(EXACT(K168,'AI output'!F168)))+--(N168&lt;&gt;'AI output'!L168)+--(NOT('AI output'!M168)),0)</f>
        <v>0</v>
      </c>
      <c r="Z168" s="1">
        <f t="shared" si="23"/>
        <v>0</v>
      </c>
      <c r="AA168" s="1">
        <f>--EXACT(A168,"L00162")</f>
        <v>1</v>
      </c>
    </row>
    <row r="169" spans="1:27" ht="18.95" customHeight="1">
      <c r="A169" s="1" t="str">
        <f>IF(Raw!A169="","",Raw!A169)</f>
        <v>L00163</v>
      </c>
      <c r="B169" s="1" t="str">
        <f>IF(Raw!B169="","",Raw!B169)</f>
        <v>T00082</v>
      </c>
      <c r="C169" s="1" t="str">
        <f>IF(Raw!C169="","",Raw!C169)</f>
        <v>2026-01-28</v>
      </c>
      <c r="D169" s="1">
        <f t="shared" si="16"/>
        <v>2026</v>
      </c>
      <c r="E169" s="1">
        <f>IFERROR(IF(AND(LEN(C169)=10,MID(C169,5,1)="-",MID(C169,8,1)="-"),VALUE(MID(C169,6,2)),IF(AND(LEN(C169)=11,MID(C169,3,1)="-",MID(C169,7,1)="-"),MATCH(UPPER(MID(C169,4,3)),Guide!$D$7:$D$18,0),0)),0)</f>
        <v>1</v>
      </c>
      <c r="F169" s="1">
        <f t="shared" si="17"/>
        <v>28</v>
      </c>
      <c r="G169" s="9">
        <f t="shared" si="18"/>
        <v>46050</v>
      </c>
      <c r="H169" s="1" t="str">
        <f>IF(Raw!D169="","",Raw!D169)</f>
        <v>P-A</v>
      </c>
      <c r="I169" s="1" t="str">
        <f>IFERROR(IF(EXACT(H169,INDEX(Guide!$A$7:$A$9,MATCH(SUBSTITUTE(SUBSTITUTE(SUBSTITUTE(H169,"~","~~"),"*","~*"),"?","~?"),Guide!$A$7:$A$9,0))),INDEX(Guide!$B$7:$B$9,MATCH(SUBSTITUTE(SUBSTITUTE(SUBSTITUTE(H169,"~","~~"),"*","~*"),"?","~?"),Guide!$A$7:$A$9,0)),""),"")</f>
        <v>Accessories</v>
      </c>
      <c r="J169" s="1" t="str">
        <f>IF(TRIM(Raw!E169)="",I169,IF(UPPER(TRIM(Raw!E169))=UPPER(I169),I169,""))</f>
        <v>Accessories</v>
      </c>
      <c r="K169" s="1" t="str">
        <f>IF(Raw!F169="","",Raw!F169)</f>
        <v>sale</v>
      </c>
      <c r="L169" s="1" t="str">
        <f>IF(LEFT(TRIM(Raw!G169),2)="-$","-"&amp;MID(TRIM(Raw!G169),3,99),IF(LEFT(TRIM(Raw!G169),1)="$",MID(TRIM(Raw!G169),2,99),TRIM(Raw!G169)))</f>
        <v>324.65</v>
      </c>
      <c r="M169" s="1">
        <f t="shared" si="19"/>
        <v>324.64999999999998</v>
      </c>
      <c r="N169" s="10">
        <f t="shared" si="20"/>
        <v>32465</v>
      </c>
      <c r="O169" s="1" t="b">
        <f>IFERROR(IF(ISNUMBER(Raw!G169),TRUE,OR(EXACT(L169,TEXT(M169,"0.00")),EXACT(L169,TEXT(M169,"#,##0.00")))),FALSE)</f>
        <v>1</v>
      </c>
      <c r="P169" s="1" t="str">
        <f>LEN(IF(Raw!A169="","",Raw!A169))&amp;":"&amp;IF(Raw!A169="","",Raw!A169)&amp;"|"&amp;LEN(IF(Raw!B169="","",Raw!B169))&amp;":"&amp;IF(Raw!B169="","",Raw!B169)&amp;"|"&amp;LEN(IF(Raw!C169="","",Raw!C169))&amp;":"&amp;IF(Raw!C169="","",Raw!C169)&amp;"|"&amp;LEN(IF(Raw!D169="","",Raw!D169))&amp;":"&amp;IF(Raw!D169="","",Raw!D169)&amp;"|"&amp;LEN(IF(Raw!E169="","",Raw!E169))&amp;":"&amp;IF(Raw!E169="","",Raw!E169)&amp;"|"&amp;LEN(IF(Raw!F169="","",Raw!F169))&amp;":"&amp;IF(Raw!F169="","",Raw!F169)&amp;"|"&amp;LEN(IF(Raw!G169="","",Raw!G169))&amp;":"&amp;IF(Raw!G169="","",Raw!G169)</f>
        <v>6:L00163|6:T00082|10:2026-01-28|3:P-A|11:Accessories|4:sale|6:324.65</v>
      </c>
      <c r="Q169" s="1">
        <f>1</f>
        <v>1</v>
      </c>
      <c r="R169" s="1" t="b">
        <f>FALSE</f>
        <v>0</v>
      </c>
      <c r="S169" s="1">
        <f>1</f>
        <v>1</v>
      </c>
      <c r="T169" s="1" t="str">
        <f>IF(AND(Raw!A169="",Raw!B169="",Raw!C169="",Raw!D169="",Raw!E169="",Raw!F169="",Raw!G169=""),"UNUSED",IF(A169="","missing line ID",IF(B169="","missing transaction ID",IF(G169="",IF(C169="","missing date","invalid date"),IF(I169="","unknown product",IF(J169="","conflicting category",IF(NOT(OR(EXACT(K169,"sale"),EXACT(K169,"refund"))),"unknown event",IF(OR(N169="",NOT(O169)),"invalid amount",IF(OR(AND(K169="sale",N169&lt;=0),AND(K169="refund",N169&gt;=0)),"invalid sign","")))))))))</f>
        <v/>
      </c>
      <c r="U169" s="1" t="str">
        <f t="shared" si="21"/>
        <v>INCLUDED</v>
      </c>
      <c r="V169" s="1" t="str">
        <f t="shared" si="22"/>
        <v>2026-01</v>
      </c>
      <c r="W169" s="1">
        <f>IF(AND(U169="INCLUDED",X169&gt;0,EXACT(A169,'AI output'!A169)),1,0)</f>
        <v>1</v>
      </c>
      <c r="X169" s="1">
        <f>169</f>
        <v>169</v>
      </c>
      <c r="Y169" s="1">
        <f>IF(AND(U169="INCLUDED",W169=1),--(NOT(EXACT(A169,'AI output'!A169)))+--(NOT(EXACT(B169,'AI output'!B169)))+--(NOT(EXACT(TEXT(G169,"yyyy-mm-dd"),'AI output'!C169)))+--(NOT(EXACT(H169,'AI output'!D169)))+--(NOT(EXACT(J169,'AI output'!E169)))+--(NOT(EXACT(K169,'AI output'!F169)))+--(N169&lt;&gt;'AI output'!L169)+--(NOT('AI output'!M169)),0)</f>
        <v>0</v>
      </c>
      <c r="Z169" s="1">
        <f t="shared" si="23"/>
        <v>0</v>
      </c>
      <c r="AA169" s="1">
        <f>--EXACT(A169,"L00163")</f>
        <v>1</v>
      </c>
    </row>
    <row r="170" spans="1:27" ht="18.95" customHeight="1">
      <c r="A170" s="1" t="str">
        <f>IF(Raw!A170="","",Raw!A170)</f>
        <v>L00164</v>
      </c>
      <c r="B170" s="1" t="str">
        <f>IF(Raw!B170="","",Raw!B170)</f>
        <v>T00082</v>
      </c>
      <c r="C170" s="1" t="str">
        <f>IF(Raw!C170="","",Raw!C170)</f>
        <v>2026-01-28</v>
      </c>
      <c r="D170" s="1">
        <f t="shared" si="16"/>
        <v>2026</v>
      </c>
      <c r="E170" s="1">
        <f>IFERROR(IF(AND(LEN(C170)=10,MID(C170,5,1)="-",MID(C170,8,1)="-"),VALUE(MID(C170,6,2)),IF(AND(LEN(C170)=11,MID(C170,3,1)="-",MID(C170,7,1)="-"),MATCH(UPPER(MID(C170,4,3)),Guide!$D$7:$D$18,0),0)),0)</f>
        <v>1</v>
      </c>
      <c r="F170" s="1">
        <f t="shared" si="17"/>
        <v>28</v>
      </c>
      <c r="G170" s="9">
        <f t="shared" si="18"/>
        <v>46050</v>
      </c>
      <c r="H170" s="1" t="str">
        <f>IF(Raw!D170="","",Raw!D170)</f>
        <v>P-H</v>
      </c>
      <c r="I170" s="1" t="str">
        <f>IFERROR(IF(EXACT(H170,INDEX(Guide!$A$7:$A$9,MATCH(SUBSTITUTE(SUBSTITUTE(SUBSTITUTE(H170,"~","~~"),"*","~*"),"?","~?"),Guide!$A$7:$A$9,0))),INDEX(Guide!$B$7:$B$9,MATCH(SUBSTITUTE(SUBSTITUTE(SUBSTITUTE(H170,"~","~~"),"*","~*"),"?","~?"),Guide!$A$7:$A$9,0)),""),"")</f>
        <v>Home</v>
      </c>
      <c r="J170" s="1" t="str">
        <f>IF(TRIM(Raw!E170)="",I170,IF(UPPER(TRIM(Raw!E170))=UPPER(I170),I170,""))</f>
        <v>Home</v>
      </c>
      <c r="K170" s="1" t="str">
        <f>IF(Raw!F170="","",Raw!F170)</f>
        <v>sale</v>
      </c>
      <c r="L170" s="1" t="str">
        <f>IF(LEFT(TRIM(Raw!G170),2)="-$","-"&amp;MID(TRIM(Raw!G170),3,99),IF(LEFT(TRIM(Raw!G170),1)="$",MID(TRIM(Raw!G170),2,99),TRIM(Raw!G170)))</f>
        <v>130.60</v>
      </c>
      <c r="M170" s="1">
        <f t="shared" si="19"/>
        <v>130.6</v>
      </c>
      <c r="N170" s="10">
        <f t="shared" si="20"/>
        <v>13060</v>
      </c>
      <c r="O170" s="1" t="b">
        <f>IFERROR(IF(ISNUMBER(Raw!G170),TRUE,OR(EXACT(L170,TEXT(M170,"0.00")),EXACT(L170,TEXT(M170,"#,##0.00")))),FALSE)</f>
        <v>1</v>
      </c>
      <c r="P170" s="1" t="str">
        <f>LEN(IF(Raw!A170="","",Raw!A170))&amp;":"&amp;IF(Raw!A170="","",Raw!A170)&amp;"|"&amp;LEN(IF(Raw!B170="","",Raw!B170))&amp;":"&amp;IF(Raw!B170="","",Raw!B170)&amp;"|"&amp;LEN(IF(Raw!C170="","",Raw!C170))&amp;":"&amp;IF(Raw!C170="","",Raw!C170)&amp;"|"&amp;LEN(IF(Raw!D170="","",Raw!D170))&amp;":"&amp;IF(Raw!D170="","",Raw!D170)&amp;"|"&amp;LEN(IF(Raw!E170="","",Raw!E170))&amp;":"&amp;IF(Raw!E170="","",Raw!E170)&amp;"|"&amp;LEN(IF(Raw!F170="","",Raw!F170))&amp;":"&amp;IF(Raw!F170="","",Raw!F170)&amp;"|"&amp;LEN(IF(Raw!G170="","",Raw!G170))&amp;":"&amp;IF(Raw!G170="","",Raw!G170)</f>
        <v>6:L00164|6:T00082|10:2026-01-28|3:P-H|4:Home|4:sale|6:130.60</v>
      </c>
      <c r="Q170" s="1">
        <f>1</f>
        <v>1</v>
      </c>
      <c r="R170" s="1" t="b">
        <f>FALSE</f>
        <v>0</v>
      </c>
      <c r="S170" s="1">
        <f>1</f>
        <v>1</v>
      </c>
      <c r="T170" s="1" t="str">
        <f>IF(AND(Raw!A170="",Raw!B170="",Raw!C170="",Raw!D170="",Raw!E170="",Raw!F170="",Raw!G170=""),"UNUSED",IF(A170="","missing line ID",IF(B170="","missing transaction ID",IF(G170="",IF(C170="","missing date","invalid date"),IF(I170="","unknown product",IF(J170="","conflicting category",IF(NOT(OR(EXACT(K170,"sale"),EXACT(K170,"refund"))),"unknown event",IF(OR(N170="",NOT(O170)),"invalid amount",IF(OR(AND(K170="sale",N170&lt;=0),AND(K170="refund",N170&gt;=0)),"invalid sign","")))))))))</f>
        <v/>
      </c>
      <c r="U170" s="1" t="str">
        <f t="shared" si="21"/>
        <v>INCLUDED</v>
      </c>
      <c r="V170" s="1" t="str">
        <f t="shared" si="22"/>
        <v>2026-01</v>
      </c>
      <c r="W170" s="1">
        <f>IF(AND(U170="INCLUDED",X170&gt;0,EXACT(A170,'AI output'!A170)),1,0)</f>
        <v>1</v>
      </c>
      <c r="X170" s="1">
        <f>170</f>
        <v>170</v>
      </c>
      <c r="Y170" s="1">
        <f>IF(AND(U170="INCLUDED",W170=1),--(NOT(EXACT(A170,'AI output'!A170)))+--(NOT(EXACT(B170,'AI output'!B170)))+--(NOT(EXACT(TEXT(G170,"yyyy-mm-dd"),'AI output'!C170)))+--(NOT(EXACT(H170,'AI output'!D170)))+--(NOT(EXACT(J170,'AI output'!E170)))+--(NOT(EXACT(K170,'AI output'!F170)))+--(N170&lt;&gt;'AI output'!L170)+--(NOT('AI output'!M170)),0)</f>
        <v>0</v>
      </c>
      <c r="Z170" s="1">
        <f t="shared" si="23"/>
        <v>0</v>
      </c>
      <c r="AA170" s="1">
        <f>--EXACT(A170,"L00164")</f>
        <v>1</v>
      </c>
    </row>
    <row r="171" spans="1:27" ht="18.95" customHeight="1">
      <c r="A171" s="1" t="str">
        <f>IF(Raw!A171="","",Raw!A171)</f>
        <v>L00165</v>
      </c>
      <c r="B171" s="1" t="str">
        <f>IF(Raw!B171="","",Raw!B171)</f>
        <v>T00083</v>
      </c>
      <c r="C171" s="1" t="str">
        <f>IF(Raw!C171="","",Raw!C171)</f>
        <v>2026-02-04</v>
      </c>
      <c r="D171" s="1">
        <f t="shared" si="16"/>
        <v>2026</v>
      </c>
      <c r="E171" s="1">
        <f>IFERROR(IF(AND(LEN(C171)=10,MID(C171,5,1)="-",MID(C171,8,1)="-"),VALUE(MID(C171,6,2)),IF(AND(LEN(C171)=11,MID(C171,3,1)="-",MID(C171,7,1)="-"),MATCH(UPPER(MID(C171,4,3)),Guide!$D$7:$D$18,0),0)),0)</f>
        <v>2</v>
      </c>
      <c r="F171" s="1">
        <f t="shared" si="17"/>
        <v>4</v>
      </c>
      <c r="G171" s="9">
        <f t="shared" si="18"/>
        <v>46057</v>
      </c>
      <c r="H171" s="1" t="str">
        <f>IF(Raw!D171="","",Raw!D171)</f>
        <v>P-O</v>
      </c>
      <c r="I171" s="1" t="str">
        <f>IFERROR(IF(EXACT(H171,INDEX(Guide!$A$7:$A$9,MATCH(SUBSTITUTE(SUBSTITUTE(SUBSTITUTE(H171,"~","~~"),"*","~*"),"?","~?"),Guide!$A$7:$A$9,0))),INDEX(Guide!$B$7:$B$9,MATCH(SUBSTITUTE(SUBSTITUTE(SUBSTITUTE(H171,"~","~~"),"*","~*"),"?","~?"),Guide!$A$7:$A$9,0)),""),"")</f>
        <v>Office</v>
      </c>
      <c r="J171" s="1" t="str">
        <f>IF(TRIM(Raw!E171)="",I171,IF(UPPER(TRIM(Raw!E171))=UPPER(I171),I171,""))</f>
        <v>Office</v>
      </c>
      <c r="K171" s="1" t="str">
        <f>IF(Raw!F171="","",Raw!F171)</f>
        <v>sale</v>
      </c>
      <c r="L171" s="1" t="str">
        <f>IF(LEFT(TRIM(Raw!G171),2)="-$","-"&amp;MID(TRIM(Raw!G171),3,99),IF(LEFT(TRIM(Raw!G171),1)="$",MID(TRIM(Raw!G171),2,99),TRIM(Raw!G171)))</f>
        <v>262.68</v>
      </c>
      <c r="M171" s="1">
        <f t="shared" si="19"/>
        <v>262.68</v>
      </c>
      <c r="N171" s="10">
        <f t="shared" si="20"/>
        <v>26268</v>
      </c>
      <c r="O171" s="1" t="b">
        <f>IFERROR(IF(ISNUMBER(Raw!G171),TRUE,OR(EXACT(L171,TEXT(M171,"0.00")),EXACT(L171,TEXT(M171,"#,##0.00")))),FALSE)</f>
        <v>1</v>
      </c>
      <c r="P171" s="1" t="str">
        <f>LEN(IF(Raw!A171="","",Raw!A171))&amp;":"&amp;IF(Raw!A171="","",Raw!A171)&amp;"|"&amp;LEN(IF(Raw!B171="","",Raw!B171))&amp;":"&amp;IF(Raw!B171="","",Raw!B171)&amp;"|"&amp;LEN(IF(Raw!C171="","",Raw!C171))&amp;":"&amp;IF(Raw!C171="","",Raw!C171)&amp;"|"&amp;LEN(IF(Raw!D171="","",Raw!D171))&amp;":"&amp;IF(Raw!D171="","",Raw!D171)&amp;"|"&amp;LEN(IF(Raw!E171="","",Raw!E171))&amp;":"&amp;IF(Raw!E171="","",Raw!E171)&amp;"|"&amp;LEN(IF(Raw!F171="","",Raw!F171))&amp;":"&amp;IF(Raw!F171="","",Raw!F171)&amp;"|"&amp;LEN(IF(Raw!G171="","",Raw!G171))&amp;":"&amp;IF(Raw!G171="","",Raw!G171)</f>
        <v>6:L00165|6:T00083|10:2026-02-04|3:P-O|6:Office|4:sale|6:262.68</v>
      </c>
      <c r="Q171" s="1">
        <f>1</f>
        <v>1</v>
      </c>
      <c r="R171" s="1" t="b">
        <f>FALSE</f>
        <v>0</v>
      </c>
      <c r="S171" s="1">
        <f>1</f>
        <v>1</v>
      </c>
      <c r="T171" s="1" t="str">
        <f>IF(AND(Raw!A171="",Raw!B171="",Raw!C171="",Raw!D171="",Raw!E171="",Raw!F171="",Raw!G171=""),"UNUSED",IF(A171="","missing line ID",IF(B171="","missing transaction ID",IF(G171="",IF(C171="","missing date","invalid date"),IF(I171="","unknown product",IF(J171="","conflicting category",IF(NOT(OR(EXACT(K171,"sale"),EXACT(K171,"refund"))),"unknown event",IF(OR(N171="",NOT(O171)),"invalid amount",IF(OR(AND(K171="sale",N171&lt;=0),AND(K171="refund",N171&gt;=0)),"invalid sign","")))))))))</f>
        <v/>
      </c>
      <c r="U171" s="1" t="str">
        <f t="shared" si="21"/>
        <v>INCLUDED</v>
      </c>
      <c r="V171" s="1" t="str">
        <f t="shared" si="22"/>
        <v>2026-02</v>
      </c>
      <c r="W171" s="1">
        <f>IF(AND(U171="INCLUDED",X171&gt;0,EXACT(A171,'AI output'!A171)),1,0)</f>
        <v>1</v>
      </c>
      <c r="X171" s="1">
        <f>171</f>
        <v>171</v>
      </c>
      <c r="Y171" s="1">
        <f>IF(AND(U171="INCLUDED",W171=1),--(NOT(EXACT(A171,'AI output'!A171)))+--(NOT(EXACT(B171,'AI output'!B171)))+--(NOT(EXACT(TEXT(G171,"yyyy-mm-dd"),'AI output'!C171)))+--(NOT(EXACT(H171,'AI output'!D171)))+--(NOT(EXACT(J171,'AI output'!E171)))+--(NOT(EXACT(K171,'AI output'!F171)))+--(N171&lt;&gt;'AI output'!L171)+--(NOT('AI output'!M171)),0)</f>
        <v>0</v>
      </c>
      <c r="Z171" s="1">
        <f t="shared" si="23"/>
        <v>0</v>
      </c>
      <c r="AA171" s="1">
        <f>--EXACT(A171,"L00165")</f>
        <v>1</v>
      </c>
    </row>
    <row r="172" spans="1:27" ht="18.95" customHeight="1">
      <c r="A172" s="1" t="str">
        <f>IF(Raw!A172="","",Raw!A172)</f>
        <v>L00166</v>
      </c>
      <c r="B172" s="1" t="str">
        <f>IF(Raw!B172="","",Raw!B172)</f>
        <v>T00083</v>
      </c>
      <c r="C172" s="1" t="str">
        <f>IF(Raw!C172="","",Raw!C172)</f>
        <v>2026-02-04</v>
      </c>
      <c r="D172" s="1">
        <f t="shared" si="16"/>
        <v>2026</v>
      </c>
      <c r="E172" s="1">
        <f>IFERROR(IF(AND(LEN(C172)=10,MID(C172,5,1)="-",MID(C172,8,1)="-"),VALUE(MID(C172,6,2)),IF(AND(LEN(C172)=11,MID(C172,3,1)="-",MID(C172,7,1)="-"),MATCH(UPPER(MID(C172,4,3)),Guide!$D$7:$D$18,0),0)),0)</f>
        <v>2</v>
      </c>
      <c r="F172" s="1">
        <f t="shared" si="17"/>
        <v>4</v>
      </c>
      <c r="G172" s="9">
        <f t="shared" si="18"/>
        <v>46057</v>
      </c>
      <c r="H172" s="1" t="str">
        <f>IF(Raw!D172="","",Raw!D172)</f>
        <v>P-A</v>
      </c>
      <c r="I172" s="1" t="str">
        <f>IFERROR(IF(EXACT(H172,INDEX(Guide!$A$7:$A$9,MATCH(SUBSTITUTE(SUBSTITUTE(SUBSTITUTE(H172,"~","~~"),"*","~*"),"?","~?"),Guide!$A$7:$A$9,0))),INDEX(Guide!$B$7:$B$9,MATCH(SUBSTITUTE(SUBSTITUTE(SUBSTITUTE(H172,"~","~~"),"*","~*"),"?","~?"),Guide!$A$7:$A$9,0)),""),"")</f>
        <v>Accessories</v>
      </c>
      <c r="J172" s="1" t="str">
        <f>IF(TRIM(Raw!E172)="",I172,IF(UPPER(TRIM(Raw!E172))=UPPER(I172),I172,""))</f>
        <v>Accessories</v>
      </c>
      <c r="K172" s="1" t="str">
        <f>IF(Raw!F172="","",Raw!F172)</f>
        <v>sale</v>
      </c>
      <c r="L172" s="1" t="str">
        <f>IF(LEFT(TRIM(Raw!G172),2)="-$","-"&amp;MID(TRIM(Raw!G172),3,99),IF(LEFT(TRIM(Raw!G172),1)="$",MID(TRIM(Raw!G172),2,99),TRIM(Raw!G172)))</f>
        <v>66.04</v>
      </c>
      <c r="M172" s="1">
        <f t="shared" si="19"/>
        <v>66.040000000000006</v>
      </c>
      <c r="N172" s="10">
        <f t="shared" si="20"/>
        <v>6604</v>
      </c>
      <c r="O172" s="1" t="b">
        <f>IFERROR(IF(ISNUMBER(Raw!G172),TRUE,OR(EXACT(L172,TEXT(M172,"0.00")),EXACT(L172,TEXT(M172,"#,##0.00")))),FALSE)</f>
        <v>1</v>
      </c>
      <c r="P172" s="1" t="str">
        <f>LEN(IF(Raw!A172="","",Raw!A172))&amp;":"&amp;IF(Raw!A172="","",Raw!A172)&amp;"|"&amp;LEN(IF(Raw!B172="","",Raw!B172))&amp;":"&amp;IF(Raw!B172="","",Raw!B172)&amp;"|"&amp;LEN(IF(Raw!C172="","",Raw!C172))&amp;":"&amp;IF(Raw!C172="","",Raw!C172)&amp;"|"&amp;LEN(IF(Raw!D172="","",Raw!D172))&amp;":"&amp;IF(Raw!D172="","",Raw!D172)&amp;"|"&amp;LEN(IF(Raw!E172="","",Raw!E172))&amp;":"&amp;IF(Raw!E172="","",Raw!E172)&amp;"|"&amp;LEN(IF(Raw!F172="","",Raw!F172))&amp;":"&amp;IF(Raw!F172="","",Raw!F172)&amp;"|"&amp;LEN(IF(Raw!G172="","",Raw!G172))&amp;":"&amp;IF(Raw!G172="","",Raw!G172)</f>
        <v>6:L00166|6:T00083|10:2026-02-04|3:P-A|11:Accessories|4:sale|5:66.04</v>
      </c>
      <c r="Q172" s="1">
        <f>1</f>
        <v>1</v>
      </c>
      <c r="R172" s="1" t="b">
        <f>FALSE</f>
        <v>0</v>
      </c>
      <c r="S172" s="1">
        <f>1</f>
        <v>1</v>
      </c>
      <c r="T172" s="1" t="str">
        <f>IF(AND(Raw!A172="",Raw!B172="",Raw!C172="",Raw!D172="",Raw!E172="",Raw!F172="",Raw!G172=""),"UNUSED",IF(A172="","missing line ID",IF(B172="","missing transaction ID",IF(G172="",IF(C172="","missing date","invalid date"),IF(I172="","unknown product",IF(J172="","conflicting category",IF(NOT(OR(EXACT(K172,"sale"),EXACT(K172,"refund"))),"unknown event",IF(OR(N172="",NOT(O172)),"invalid amount",IF(OR(AND(K172="sale",N172&lt;=0),AND(K172="refund",N172&gt;=0)),"invalid sign","")))))))))</f>
        <v/>
      </c>
      <c r="U172" s="1" t="str">
        <f t="shared" si="21"/>
        <v>INCLUDED</v>
      </c>
      <c r="V172" s="1" t="str">
        <f t="shared" si="22"/>
        <v>2026-02</v>
      </c>
      <c r="W172" s="1">
        <f>IF(AND(U172="INCLUDED",X172&gt;0,EXACT(A172,'AI output'!A172)),1,0)</f>
        <v>1</v>
      </c>
      <c r="X172" s="1">
        <f>172</f>
        <v>172</v>
      </c>
      <c r="Y172" s="1">
        <f>IF(AND(U172="INCLUDED",W172=1),--(NOT(EXACT(A172,'AI output'!A172)))+--(NOT(EXACT(B172,'AI output'!B172)))+--(NOT(EXACT(TEXT(G172,"yyyy-mm-dd"),'AI output'!C172)))+--(NOT(EXACT(H172,'AI output'!D172)))+--(NOT(EXACT(J172,'AI output'!E172)))+--(NOT(EXACT(K172,'AI output'!F172)))+--(N172&lt;&gt;'AI output'!L172)+--(NOT('AI output'!M172)),0)</f>
        <v>0</v>
      </c>
      <c r="Z172" s="1">
        <f t="shared" si="23"/>
        <v>0</v>
      </c>
      <c r="AA172" s="1">
        <f>--EXACT(A172,"L00166")</f>
        <v>1</v>
      </c>
    </row>
    <row r="173" spans="1:27" ht="18.95" customHeight="1">
      <c r="A173" s="1" t="str">
        <f>IF(Raw!A173="","",Raw!A173)</f>
        <v>L00167</v>
      </c>
      <c r="B173" s="1" t="str">
        <f>IF(Raw!B173="","",Raw!B173)</f>
        <v>T00084</v>
      </c>
      <c r="C173" s="1" t="str">
        <f>IF(Raw!C173="","",Raw!C173)</f>
        <v>2026-02-11</v>
      </c>
      <c r="D173" s="1">
        <f t="shared" si="16"/>
        <v>2026</v>
      </c>
      <c r="E173" s="1">
        <f>IFERROR(IF(AND(LEN(C173)=10,MID(C173,5,1)="-",MID(C173,8,1)="-"),VALUE(MID(C173,6,2)),IF(AND(LEN(C173)=11,MID(C173,3,1)="-",MID(C173,7,1)="-"),MATCH(UPPER(MID(C173,4,3)),Guide!$D$7:$D$18,0),0)),0)</f>
        <v>2</v>
      </c>
      <c r="F173" s="1">
        <f t="shared" si="17"/>
        <v>11</v>
      </c>
      <c r="G173" s="9">
        <f t="shared" si="18"/>
        <v>46064</v>
      </c>
      <c r="H173" s="1" t="str">
        <f>IF(Raw!D173="","",Raw!D173)</f>
        <v>P-H</v>
      </c>
      <c r="I173" s="1" t="str">
        <f>IFERROR(IF(EXACT(H173,INDEX(Guide!$A$7:$A$9,MATCH(SUBSTITUTE(SUBSTITUTE(SUBSTITUTE(H173,"~","~~"),"*","~*"),"?","~?"),Guide!$A$7:$A$9,0))),INDEX(Guide!$B$7:$B$9,MATCH(SUBSTITUTE(SUBSTITUTE(SUBSTITUTE(H173,"~","~~"),"*","~*"),"?","~?"),Guide!$A$7:$A$9,0)),""),"")</f>
        <v>Home</v>
      </c>
      <c r="J173" s="1" t="str">
        <f>IF(TRIM(Raw!E173)="",I173,IF(UPPER(TRIM(Raw!E173))=UPPER(I173),I173,""))</f>
        <v>Home</v>
      </c>
      <c r="K173" s="1" t="str">
        <f>IF(Raw!F173="","",Raw!F173)</f>
        <v>sale</v>
      </c>
      <c r="L173" s="1" t="str">
        <f>IF(LEFT(TRIM(Raw!G173),2)="-$","-"&amp;MID(TRIM(Raw!G173),3,99),IF(LEFT(TRIM(Raw!G173),1)="$",MID(TRIM(Raw!G173),2,99),TRIM(Raw!G173)))</f>
        <v>199.23</v>
      </c>
      <c r="M173" s="1">
        <f t="shared" si="19"/>
        <v>199.23</v>
      </c>
      <c r="N173" s="10">
        <f t="shared" si="20"/>
        <v>19923</v>
      </c>
      <c r="O173" s="1" t="b">
        <f>IFERROR(IF(ISNUMBER(Raw!G173),TRUE,OR(EXACT(L173,TEXT(M173,"0.00")),EXACT(L173,TEXT(M173,"#,##0.00")))),FALSE)</f>
        <v>1</v>
      </c>
      <c r="P173" s="1" t="str">
        <f>LEN(IF(Raw!A173="","",Raw!A173))&amp;":"&amp;IF(Raw!A173="","",Raw!A173)&amp;"|"&amp;LEN(IF(Raw!B173="","",Raw!B173))&amp;":"&amp;IF(Raw!B173="","",Raw!B173)&amp;"|"&amp;LEN(IF(Raw!C173="","",Raw!C173))&amp;":"&amp;IF(Raw!C173="","",Raw!C173)&amp;"|"&amp;LEN(IF(Raw!D173="","",Raw!D173))&amp;":"&amp;IF(Raw!D173="","",Raw!D173)&amp;"|"&amp;LEN(IF(Raw!E173="","",Raw!E173))&amp;":"&amp;IF(Raw!E173="","",Raw!E173)&amp;"|"&amp;LEN(IF(Raw!F173="","",Raw!F173))&amp;":"&amp;IF(Raw!F173="","",Raw!F173)&amp;"|"&amp;LEN(IF(Raw!G173="","",Raw!G173))&amp;":"&amp;IF(Raw!G173="","",Raw!G173)</f>
        <v>6:L00167|6:T00084|10:2026-02-11|3:P-H|4:Home|4:sale|6:199.23</v>
      </c>
      <c r="Q173" s="1">
        <f>1</f>
        <v>1</v>
      </c>
      <c r="R173" s="1" t="b">
        <f>FALSE</f>
        <v>0</v>
      </c>
      <c r="S173" s="1">
        <f>1</f>
        <v>1</v>
      </c>
      <c r="T173" s="1" t="str">
        <f>IF(AND(Raw!A173="",Raw!B173="",Raw!C173="",Raw!D173="",Raw!E173="",Raw!F173="",Raw!G173=""),"UNUSED",IF(A173="","missing line ID",IF(B173="","missing transaction ID",IF(G173="",IF(C173="","missing date","invalid date"),IF(I173="","unknown product",IF(J173="","conflicting category",IF(NOT(OR(EXACT(K173,"sale"),EXACT(K173,"refund"))),"unknown event",IF(OR(N173="",NOT(O173)),"invalid amount",IF(OR(AND(K173="sale",N173&lt;=0),AND(K173="refund",N173&gt;=0)),"invalid sign","")))))))))</f>
        <v/>
      </c>
      <c r="U173" s="1" t="str">
        <f t="shared" si="21"/>
        <v>INCLUDED</v>
      </c>
      <c r="V173" s="1" t="str">
        <f t="shared" si="22"/>
        <v>2026-02</v>
      </c>
      <c r="W173" s="1">
        <f>IF(AND(U173="INCLUDED",X173&gt;0,EXACT(A173,'AI output'!A173)),1,0)</f>
        <v>1</v>
      </c>
      <c r="X173" s="1">
        <f>173</f>
        <v>173</v>
      </c>
      <c r="Y173" s="1">
        <f>IF(AND(U173="INCLUDED",W173=1),--(NOT(EXACT(A173,'AI output'!A173)))+--(NOT(EXACT(B173,'AI output'!B173)))+--(NOT(EXACT(TEXT(G173,"yyyy-mm-dd"),'AI output'!C173)))+--(NOT(EXACT(H173,'AI output'!D173)))+--(NOT(EXACT(J173,'AI output'!E173)))+--(NOT(EXACT(K173,'AI output'!F173)))+--(N173&lt;&gt;'AI output'!L173)+--(NOT('AI output'!M173)),0)</f>
        <v>0</v>
      </c>
      <c r="Z173" s="1">
        <f t="shared" si="23"/>
        <v>0</v>
      </c>
      <c r="AA173" s="1">
        <f>--EXACT(A173,"L00167")</f>
        <v>1</v>
      </c>
    </row>
    <row r="174" spans="1:27" ht="18.95" customHeight="1">
      <c r="A174" s="1" t="str">
        <f>IF(Raw!A174="","",Raw!A174)</f>
        <v>L00168</v>
      </c>
      <c r="B174" s="1" t="str">
        <f>IF(Raw!B174="","",Raw!B174)</f>
        <v>T00084</v>
      </c>
      <c r="C174" s="1" t="str">
        <f>IF(Raw!C174="","",Raw!C174)</f>
        <v>2026-02-11</v>
      </c>
      <c r="D174" s="1">
        <f t="shared" si="16"/>
        <v>2026</v>
      </c>
      <c r="E174" s="1">
        <f>IFERROR(IF(AND(LEN(C174)=10,MID(C174,5,1)="-",MID(C174,8,1)="-"),VALUE(MID(C174,6,2)),IF(AND(LEN(C174)=11,MID(C174,3,1)="-",MID(C174,7,1)="-"),MATCH(UPPER(MID(C174,4,3)),Guide!$D$7:$D$18,0),0)),0)</f>
        <v>2</v>
      </c>
      <c r="F174" s="1">
        <f t="shared" si="17"/>
        <v>11</v>
      </c>
      <c r="G174" s="9">
        <f t="shared" si="18"/>
        <v>46064</v>
      </c>
      <c r="H174" s="1" t="str">
        <f>IF(Raw!D174="","",Raw!D174)</f>
        <v>P-O</v>
      </c>
      <c r="I174" s="1" t="str">
        <f>IFERROR(IF(EXACT(H174,INDEX(Guide!$A$7:$A$9,MATCH(SUBSTITUTE(SUBSTITUTE(SUBSTITUTE(H174,"~","~~"),"*","~*"),"?","~?"),Guide!$A$7:$A$9,0))),INDEX(Guide!$B$7:$B$9,MATCH(SUBSTITUTE(SUBSTITUTE(SUBSTITUTE(H174,"~","~~"),"*","~*"),"?","~?"),Guide!$A$7:$A$9,0)),""),"")</f>
        <v>Office</v>
      </c>
      <c r="J174" s="1" t="str">
        <f>IF(TRIM(Raw!E174)="",I174,IF(UPPER(TRIM(Raw!E174))=UPPER(I174),I174,""))</f>
        <v>Office</v>
      </c>
      <c r="K174" s="1" t="str">
        <f>IF(Raw!F174="","",Raw!F174)</f>
        <v>sale</v>
      </c>
      <c r="L174" s="1" t="str">
        <f>IF(LEFT(TRIM(Raw!G174),2)="-$","-"&amp;MID(TRIM(Raw!G174),3,99),IF(LEFT(TRIM(Raw!G174),1)="$",MID(TRIM(Raw!G174),2,99),TRIM(Raw!G174)))</f>
        <v>333.90</v>
      </c>
      <c r="M174" s="1">
        <f t="shared" si="19"/>
        <v>333.9</v>
      </c>
      <c r="N174" s="10">
        <f t="shared" si="20"/>
        <v>33390</v>
      </c>
      <c r="O174" s="1" t="b">
        <f>IFERROR(IF(ISNUMBER(Raw!G174),TRUE,OR(EXACT(L174,TEXT(M174,"0.00")),EXACT(L174,TEXT(M174,"#,##0.00")))),FALSE)</f>
        <v>1</v>
      </c>
      <c r="P174" s="1" t="str">
        <f>LEN(IF(Raw!A174="","",Raw!A174))&amp;":"&amp;IF(Raw!A174="","",Raw!A174)&amp;"|"&amp;LEN(IF(Raw!B174="","",Raw!B174))&amp;":"&amp;IF(Raw!B174="","",Raw!B174)&amp;"|"&amp;LEN(IF(Raw!C174="","",Raw!C174))&amp;":"&amp;IF(Raw!C174="","",Raw!C174)&amp;"|"&amp;LEN(IF(Raw!D174="","",Raw!D174))&amp;":"&amp;IF(Raw!D174="","",Raw!D174)&amp;"|"&amp;LEN(IF(Raw!E174="","",Raw!E174))&amp;":"&amp;IF(Raw!E174="","",Raw!E174)&amp;"|"&amp;LEN(IF(Raw!F174="","",Raw!F174))&amp;":"&amp;IF(Raw!F174="","",Raw!F174)&amp;"|"&amp;LEN(IF(Raw!G174="","",Raw!G174))&amp;":"&amp;IF(Raw!G174="","",Raw!G174)</f>
        <v>6:L00168|6:T00084|10:2026-02-11|3:P-O|6:Office|4:sale|6:333.90</v>
      </c>
      <c r="Q174" s="1">
        <f>1</f>
        <v>1</v>
      </c>
      <c r="R174" s="1" t="b">
        <f>FALSE</f>
        <v>0</v>
      </c>
      <c r="S174" s="1">
        <f>1</f>
        <v>1</v>
      </c>
      <c r="T174" s="1" t="str">
        <f>IF(AND(Raw!A174="",Raw!B174="",Raw!C174="",Raw!D174="",Raw!E174="",Raw!F174="",Raw!G174=""),"UNUSED",IF(A174="","missing line ID",IF(B174="","missing transaction ID",IF(G174="",IF(C174="","missing date","invalid date"),IF(I174="","unknown product",IF(J174="","conflicting category",IF(NOT(OR(EXACT(K174,"sale"),EXACT(K174,"refund"))),"unknown event",IF(OR(N174="",NOT(O174)),"invalid amount",IF(OR(AND(K174="sale",N174&lt;=0),AND(K174="refund",N174&gt;=0)),"invalid sign","")))))))))</f>
        <v/>
      </c>
      <c r="U174" s="1" t="str">
        <f t="shared" si="21"/>
        <v>INCLUDED</v>
      </c>
      <c r="V174" s="1" t="str">
        <f t="shared" si="22"/>
        <v>2026-02</v>
      </c>
      <c r="W174" s="1">
        <f>IF(AND(U174="INCLUDED",X174&gt;0,EXACT(A174,'AI output'!A174)),1,0)</f>
        <v>1</v>
      </c>
      <c r="X174" s="1">
        <f>174</f>
        <v>174</v>
      </c>
      <c r="Y174" s="1">
        <f>IF(AND(U174="INCLUDED",W174=1),--(NOT(EXACT(A174,'AI output'!A174)))+--(NOT(EXACT(B174,'AI output'!B174)))+--(NOT(EXACT(TEXT(G174,"yyyy-mm-dd"),'AI output'!C174)))+--(NOT(EXACT(H174,'AI output'!D174)))+--(NOT(EXACT(J174,'AI output'!E174)))+--(NOT(EXACT(K174,'AI output'!F174)))+--(N174&lt;&gt;'AI output'!L174)+--(NOT('AI output'!M174)),0)</f>
        <v>0</v>
      </c>
      <c r="Z174" s="1">
        <f t="shared" si="23"/>
        <v>0</v>
      </c>
      <c r="AA174" s="1">
        <f>--EXACT(A174,"L00168")</f>
        <v>1</v>
      </c>
    </row>
    <row r="175" spans="1:27" ht="18.95" customHeight="1">
      <c r="A175" s="1" t="str">
        <f>IF(Raw!A175="","",Raw!A175)</f>
        <v>L00169</v>
      </c>
      <c r="B175" s="1" t="str">
        <f>IF(Raw!B175="","",Raw!B175)</f>
        <v>T00085</v>
      </c>
      <c r="C175" s="1" t="str">
        <f>IF(Raw!C175="","",Raw!C175)</f>
        <v>2026-02-18</v>
      </c>
      <c r="D175" s="1">
        <f t="shared" si="16"/>
        <v>2026</v>
      </c>
      <c r="E175" s="1">
        <f>IFERROR(IF(AND(LEN(C175)=10,MID(C175,5,1)="-",MID(C175,8,1)="-"),VALUE(MID(C175,6,2)),IF(AND(LEN(C175)=11,MID(C175,3,1)="-",MID(C175,7,1)="-"),MATCH(UPPER(MID(C175,4,3)),Guide!$D$7:$D$18,0),0)),0)</f>
        <v>2</v>
      </c>
      <c r="F175" s="1">
        <f t="shared" si="17"/>
        <v>18</v>
      </c>
      <c r="G175" s="9">
        <f t="shared" si="18"/>
        <v>46071</v>
      </c>
      <c r="H175" s="1" t="str">
        <f>IF(Raw!D175="","",Raw!D175)</f>
        <v>P-A</v>
      </c>
      <c r="I175" s="1" t="str">
        <f>IFERROR(IF(EXACT(H175,INDEX(Guide!$A$7:$A$9,MATCH(SUBSTITUTE(SUBSTITUTE(SUBSTITUTE(H175,"~","~~"),"*","~*"),"?","~?"),Guide!$A$7:$A$9,0))),INDEX(Guide!$B$7:$B$9,MATCH(SUBSTITUTE(SUBSTITUTE(SUBSTITUTE(H175,"~","~~"),"*","~*"),"?","~?"),Guide!$A$7:$A$9,0)),""),"")</f>
        <v>Accessories</v>
      </c>
      <c r="J175" s="1" t="str">
        <f>IF(TRIM(Raw!E175)="",I175,IF(UPPER(TRIM(Raw!E175))=UPPER(I175),I175,""))</f>
        <v>Accessories</v>
      </c>
      <c r="K175" s="1" t="str">
        <f>IF(Raw!F175="","",Raw!F175)</f>
        <v>sale</v>
      </c>
      <c r="L175" s="1" t="str">
        <f>IF(LEFT(TRIM(Raw!G175),2)="-$","-"&amp;MID(TRIM(Raw!G175),3,99),IF(LEFT(TRIM(Raw!G175),1)="$",MID(TRIM(Raw!G175),2,99),TRIM(Raw!G175)))</f>
        <v>134.30</v>
      </c>
      <c r="M175" s="1">
        <f t="shared" si="19"/>
        <v>134.30000000000001</v>
      </c>
      <c r="N175" s="10">
        <f t="shared" si="20"/>
        <v>13430</v>
      </c>
      <c r="O175" s="1" t="b">
        <f>IFERROR(IF(ISNUMBER(Raw!G175),TRUE,OR(EXACT(L175,TEXT(M175,"0.00")),EXACT(L175,TEXT(M175,"#,##0.00")))),FALSE)</f>
        <v>1</v>
      </c>
      <c r="P175" s="1" t="str">
        <f>LEN(IF(Raw!A175="","",Raw!A175))&amp;":"&amp;IF(Raw!A175="","",Raw!A175)&amp;"|"&amp;LEN(IF(Raw!B175="","",Raw!B175))&amp;":"&amp;IF(Raw!B175="","",Raw!B175)&amp;"|"&amp;LEN(IF(Raw!C175="","",Raw!C175))&amp;":"&amp;IF(Raw!C175="","",Raw!C175)&amp;"|"&amp;LEN(IF(Raw!D175="","",Raw!D175))&amp;":"&amp;IF(Raw!D175="","",Raw!D175)&amp;"|"&amp;LEN(IF(Raw!E175="","",Raw!E175))&amp;":"&amp;IF(Raw!E175="","",Raw!E175)&amp;"|"&amp;LEN(IF(Raw!F175="","",Raw!F175))&amp;":"&amp;IF(Raw!F175="","",Raw!F175)&amp;"|"&amp;LEN(IF(Raw!G175="","",Raw!G175))&amp;":"&amp;IF(Raw!G175="","",Raw!G175)</f>
        <v>6:L00169|6:T00085|10:2026-02-18|3:P-A|11:Accessories|4:sale|6:134.30</v>
      </c>
      <c r="Q175" s="1">
        <f>1</f>
        <v>1</v>
      </c>
      <c r="R175" s="1" t="b">
        <f>FALSE</f>
        <v>0</v>
      </c>
      <c r="S175" s="1">
        <f>1</f>
        <v>1</v>
      </c>
      <c r="T175" s="1" t="str">
        <f>IF(AND(Raw!A175="",Raw!B175="",Raw!C175="",Raw!D175="",Raw!E175="",Raw!F175="",Raw!G175=""),"UNUSED",IF(A175="","missing line ID",IF(B175="","missing transaction ID",IF(G175="",IF(C175="","missing date","invalid date"),IF(I175="","unknown product",IF(J175="","conflicting category",IF(NOT(OR(EXACT(K175,"sale"),EXACT(K175,"refund"))),"unknown event",IF(OR(N175="",NOT(O175)),"invalid amount",IF(OR(AND(K175="sale",N175&lt;=0),AND(K175="refund",N175&gt;=0)),"invalid sign","")))))))))</f>
        <v/>
      </c>
      <c r="U175" s="1" t="str">
        <f t="shared" si="21"/>
        <v>INCLUDED</v>
      </c>
      <c r="V175" s="1" t="str">
        <f t="shared" si="22"/>
        <v>2026-02</v>
      </c>
      <c r="W175" s="1">
        <f>IF(AND(U175="INCLUDED",X175&gt;0,EXACT(A175,'AI output'!A175)),1,0)</f>
        <v>1</v>
      </c>
      <c r="X175" s="1">
        <f>175</f>
        <v>175</v>
      </c>
      <c r="Y175" s="1">
        <f>IF(AND(U175="INCLUDED",W175=1),--(NOT(EXACT(A175,'AI output'!A175)))+--(NOT(EXACT(B175,'AI output'!B175)))+--(NOT(EXACT(TEXT(G175,"yyyy-mm-dd"),'AI output'!C175)))+--(NOT(EXACT(H175,'AI output'!D175)))+--(NOT(EXACT(J175,'AI output'!E175)))+--(NOT(EXACT(K175,'AI output'!F175)))+--(N175&lt;&gt;'AI output'!L175)+--(NOT('AI output'!M175)),0)</f>
        <v>0</v>
      </c>
      <c r="Z175" s="1">
        <f t="shared" si="23"/>
        <v>0</v>
      </c>
      <c r="AA175" s="1">
        <f>--EXACT(A175,"L00169")</f>
        <v>1</v>
      </c>
    </row>
    <row r="176" spans="1:27" ht="18.95" customHeight="1">
      <c r="A176" s="1" t="str">
        <f>IF(Raw!A176="","",Raw!A176)</f>
        <v>L00170</v>
      </c>
      <c r="B176" s="1" t="str">
        <f>IF(Raw!B176="","",Raw!B176)</f>
        <v>T00085</v>
      </c>
      <c r="C176" s="1" t="str">
        <f>IF(Raw!C176="","",Raw!C176)</f>
        <v>2026-02-18</v>
      </c>
      <c r="D176" s="1">
        <f t="shared" si="16"/>
        <v>2026</v>
      </c>
      <c r="E176" s="1">
        <f>IFERROR(IF(AND(LEN(C176)=10,MID(C176,5,1)="-",MID(C176,8,1)="-"),VALUE(MID(C176,6,2)),IF(AND(LEN(C176)=11,MID(C176,3,1)="-",MID(C176,7,1)="-"),MATCH(UPPER(MID(C176,4,3)),Guide!$D$7:$D$18,0),0)),0)</f>
        <v>2</v>
      </c>
      <c r="F176" s="1">
        <f t="shared" si="17"/>
        <v>18</v>
      </c>
      <c r="G176" s="9">
        <f t="shared" si="18"/>
        <v>46071</v>
      </c>
      <c r="H176" s="1" t="str">
        <f>IF(Raw!D176="","",Raw!D176)</f>
        <v>P-H</v>
      </c>
      <c r="I176" s="1" t="str">
        <f>IFERROR(IF(EXACT(H176,INDEX(Guide!$A$7:$A$9,MATCH(SUBSTITUTE(SUBSTITUTE(SUBSTITUTE(H176,"~","~~"),"*","~*"),"?","~?"),Guide!$A$7:$A$9,0))),INDEX(Guide!$B$7:$B$9,MATCH(SUBSTITUTE(SUBSTITUTE(SUBSTITUTE(H176,"~","~~"),"*","~*"),"?","~?"),Guide!$A$7:$A$9,0)),""),"")</f>
        <v>Home</v>
      </c>
      <c r="J176" s="1" t="str">
        <f>IF(TRIM(Raw!E176)="",I176,IF(UPPER(TRIM(Raw!E176))=UPPER(I176),I176,""))</f>
        <v>Home</v>
      </c>
      <c r="K176" s="1" t="str">
        <f>IF(Raw!F176="","",Raw!F176)</f>
        <v>sale</v>
      </c>
      <c r="L176" s="1" t="str">
        <f>IF(LEFT(TRIM(Raw!G176),2)="-$","-"&amp;MID(TRIM(Raw!G176),3,99),IF(LEFT(TRIM(Raw!G176),1)="$",MID(TRIM(Raw!G176),2,99),TRIM(Raw!G176)))</f>
        <v>270.08</v>
      </c>
      <c r="M176" s="1">
        <f t="shared" si="19"/>
        <v>270.08</v>
      </c>
      <c r="N176" s="10">
        <f t="shared" si="20"/>
        <v>27008</v>
      </c>
      <c r="O176" s="1" t="b">
        <f>IFERROR(IF(ISNUMBER(Raw!G176),TRUE,OR(EXACT(L176,TEXT(M176,"0.00")),EXACT(L176,TEXT(M176,"#,##0.00")))),FALSE)</f>
        <v>1</v>
      </c>
      <c r="P176" s="1" t="str">
        <f>LEN(IF(Raw!A176="","",Raw!A176))&amp;":"&amp;IF(Raw!A176="","",Raw!A176)&amp;"|"&amp;LEN(IF(Raw!B176="","",Raw!B176))&amp;":"&amp;IF(Raw!B176="","",Raw!B176)&amp;"|"&amp;LEN(IF(Raw!C176="","",Raw!C176))&amp;":"&amp;IF(Raw!C176="","",Raw!C176)&amp;"|"&amp;LEN(IF(Raw!D176="","",Raw!D176))&amp;":"&amp;IF(Raw!D176="","",Raw!D176)&amp;"|"&amp;LEN(IF(Raw!E176="","",Raw!E176))&amp;":"&amp;IF(Raw!E176="","",Raw!E176)&amp;"|"&amp;LEN(IF(Raw!F176="","",Raw!F176))&amp;":"&amp;IF(Raw!F176="","",Raw!F176)&amp;"|"&amp;LEN(IF(Raw!G176="","",Raw!G176))&amp;":"&amp;IF(Raw!G176="","",Raw!G176)</f>
        <v>6:L00170|6:T00085|10:2026-02-18|3:P-H|4:Home|4:sale|6:270.08</v>
      </c>
      <c r="Q176" s="1">
        <f>1</f>
        <v>1</v>
      </c>
      <c r="R176" s="1" t="b">
        <f>FALSE</f>
        <v>0</v>
      </c>
      <c r="S176" s="1">
        <f>1</f>
        <v>1</v>
      </c>
      <c r="T176" s="1" t="str">
        <f>IF(AND(Raw!A176="",Raw!B176="",Raw!C176="",Raw!D176="",Raw!E176="",Raw!F176="",Raw!G176=""),"UNUSED",IF(A176="","missing line ID",IF(B176="","missing transaction ID",IF(G176="",IF(C176="","missing date","invalid date"),IF(I176="","unknown product",IF(J176="","conflicting category",IF(NOT(OR(EXACT(K176,"sale"),EXACT(K176,"refund"))),"unknown event",IF(OR(N176="",NOT(O176)),"invalid amount",IF(OR(AND(K176="sale",N176&lt;=0),AND(K176="refund",N176&gt;=0)),"invalid sign","")))))))))</f>
        <v/>
      </c>
      <c r="U176" s="1" t="str">
        <f t="shared" si="21"/>
        <v>INCLUDED</v>
      </c>
      <c r="V176" s="1" t="str">
        <f t="shared" si="22"/>
        <v>2026-02</v>
      </c>
      <c r="W176" s="1">
        <f>IF(AND(U176="INCLUDED",X176&gt;0,EXACT(A176,'AI output'!A176)),1,0)</f>
        <v>1</v>
      </c>
      <c r="X176" s="1">
        <f>176</f>
        <v>176</v>
      </c>
      <c r="Y176" s="1">
        <f>IF(AND(U176="INCLUDED",W176=1),--(NOT(EXACT(A176,'AI output'!A176)))+--(NOT(EXACT(B176,'AI output'!B176)))+--(NOT(EXACT(TEXT(G176,"yyyy-mm-dd"),'AI output'!C176)))+--(NOT(EXACT(H176,'AI output'!D176)))+--(NOT(EXACT(J176,'AI output'!E176)))+--(NOT(EXACT(K176,'AI output'!F176)))+--(N176&lt;&gt;'AI output'!L176)+--(NOT('AI output'!M176)),0)</f>
        <v>0</v>
      </c>
      <c r="Z176" s="1">
        <f t="shared" si="23"/>
        <v>0</v>
      </c>
      <c r="AA176" s="1">
        <f>--EXACT(A176,"L00170")</f>
        <v>1</v>
      </c>
    </row>
    <row r="177" spans="1:27" ht="18.95" customHeight="1">
      <c r="A177" s="1" t="str">
        <f>IF(Raw!A177="","",Raw!A177)</f>
        <v>L00171</v>
      </c>
      <c r="B177" s="1" t="str">
        <f>IF(Raw!B177="","",Raw!B177)</f>
        <v>T00086</v>
      </c>
      <c r="C177" s="1" t="str">
        <f>IF(Raw!C177="","",Raw!C177)</f>
        <v>25-Feb-2026</v>
      </c>
      <c r="D177" s="1">
        <f t="shared" si="16"/>
        <v>2026</v>
      </c>
      <c r="E177" s="1">
        <f>IFERROR(IF(AND(LEN(C177)=10,MID(C177,5,1)="-",MID(C177,8,1)="-"),VALUE(MID(C177,6,2)),IF(AND(LEN(C177)=11,MID(C177,3,1)="-",MID(C177,7,1)="-"),MATCH(UPPER(MID(C177,4,3)),Guide!$D$7:$D$18,0),0)),0)</f>
        <v>2</v>
      </c>
      <c r="F177" s="1">
        <f t="shared" si="17"/>
        <v>25</v>
      </c>
      <c r="G177" s="9">
        <f t="shared" si="18"/>
        <v>46078</v>
      </c>
      <c r="H177" s="1" t="str">
        <f>IF(Raw!D177="","",Raw!D177)</f>
        <v>P-O</v>
      </c>
      <c r="I177" s="1" t="str">
        <f>IFERROR(IF(EXACT(H177,INDEX(Guide!$A$7:$A$9,MATCH(SUBSTITUTE(SUBSTITUTE(SUBSTITUTE(H177,"~","~~"),"*","~*"),"?","~?"),Guide!$A$7:$A$9,0))),INDEX(Guide!$B$7:$B$9,MATCH(SUBSTITUTE(SUBSTITUTE(SUBSTITUTE(H177,"~","~~"),"*","~*"),"?","~?"),Guide!$A$7:$A$9,0)),""),"")</f>
        <v>Office</v>
      </c>
      <c r="J177" s="1" t="str">
        <f>IF(TRIM(Raw!E177)="",I177,IF(UPPER(TRIM(Raw!E177))=UPPER(I177),I177,""))</f>
        <v>Office</v>
      </c>
      <c r="K177" s="1" t="str">
        <f>IF(Raw!F177="","",Raw!F177)</f>
        <v>sale</v>
      </c>
      <c r="L177" s="1" t="str">
        <f>IF(LEFT(TRIM(Raw!G177),2)="-$","-"&amp;MID(TRIM(Raw!G177),3,99),IF(LEFT(TRIM(Raw!G177),1)="$",MID(TRIM(Raw!G177),2,99),TRIM(Raw!G177)))</f>
        <v>67.89</v>
      </c>
      <c r="M177" s="1">
        <f t="shared" si="19"/>
        <v>67.89</v>
      </c>
      <c r="N177" s="10">
        <f t="shared" si="20"/>
        <v>6789</v>
      </c>
      <c r="O177" s="1" t="b">
        <f>IFERROR(IF(ISNUMBER(Raw!G177),TRUE,OR(EXACT(L177,TEXT(M177,"0.00")),EXACT(L177,TEXT(M177,"#,##0.00")))),FALSE)</f>
        <v>1</v>
      </c>
      <c r="P177" s="1" t="str">
        <f>LEN(IF(Raw!A177="","",Raw!A177))&amp;":"&amp;IF(Raw!A177="","",Raw!A177)&amp;"|"&amp;LEN(IF(Raw!B177="","",Raw!B177))&amp;":"&amp;IF(Raw!B177="","",Raw!B177)&amp;"|"&amp;LEN(IF(Raw!C177="","",Raw!C177))&amp;":"&amp;IF(Raw!C177="","",Raw!C177)&amp;"|"&amp;LEN(IF(Raw!D177="","",Raw!D177))&amp;":"&amp;IF(Raw!D177="","",Raw!D177)&amp;"|"&amp;LEN(IF(Raw!E177="","",Raw!E177))&amp;":"&amp;IF(Raw!E177="","",Raw!E177)&amp;"|"&amp;LEN(IF(Raw!F177="","",Raw!F177))&amp;":"&amp;IF(Raw!F177="","",Raw!F177)&amp;"|"&amp;LEN(IF(Raw!G177="","",Raw!G177))&amp;":"&amp;IF(Raw!G177="","",Raw!G177)</f>
        <v>6:L00171|6:T00086|11:25-Feb-2026|3:P-O|10:  office  |4:sale|5:67.89</v>
      </c>
      <c r="Q177" s="1">
        <f>1</f>
        <v>1</v>
      </c>
      <c r="R177" s="1" t="b">
        <f>FALSE</f>
        <v>0</v>
      </c>
      <c r="S177" s="1">
        <f>1</f>
        <v>1</v>
      </c>
      <c r="T177" s="1" t="str">
        <f>IF(AND(Raw!A177="",Raw!B177="",Raw!C177="",Raw!D177="",Raw!E177="",Raw!F177="",Raw!G177=""),"UNUSED",IF(A177="","missing line ID",IF(B177="","missing transaction ID",IF(G177="",IF(C177="","missing date","invalid date"),IF(I177="","unknown product",IF(J177="","conflicting category",IF(NOT(OR(EXACT(K177,"sale"),EXACT(K177,"refund"))),"unknown event",IF(OR(N177="",NOT(O177)),"invalid amount",IF(OR(AND(K177="sale",N177&lt;=0),AND(K177="refund",N177&gt;=0)),"invalid sign","")))))))))</f>
        <v/>
      </c>
      <c r="U177" s="1" t="str">
        <f t="shared" si="21"/>
        <v>INCLUDED</v>
      </c>
      <c r="V177" s="1" t="str">
        <f t="shared" si="22"/>
        <v>2026-02</v>
      </c>
      <c r="W177" s="1">
        <f>IF(AND(U177="INCLUDED",X177&gt;0,EXACT(A177,'AI output'!A177)),1,0)</f>
        <v>1</v>
      </c>
      <c r="X177" s="1">
        <f>177</f>
        <v>177</v>
      </c>
      <c r="Y177" s="1">
        <f>IF(AND(U177="INCLUDED",W177=1),--(NOT(EXACT(A177,'AI output'!A177)))+--(NOT(EXACT(B177,'AI output'!B177)))+--(NOT(EXACT(TEXT(G177,"yyyy-mm-dd"),'AI output'!C177)))+--(NOT(EXACT(H177,'AI output'!D177)))+--(NOT(EXACT(J177,'AI output'!E177)))+--(NOT(EXACT(K177,'AI output'!F177)))+--(N177&lt;&gt;'AI output'!L177)+--(NOT('AI output'!M177)),0)</f>
        <v>0</v>
      </c>
      <c r="Z177" s="1">
        <f t="shared" si="23"/>
        <v>0</v>
      </c>
      <c r="AA177" s="1">
        <f>--EXACT(A177,"L00171")</f>
        <v>1</v>
      </c>
    </row>
    <row r="178" spans="1:27" ht="18.95" customHeight="1">
      <c r="A178" s="1" t="str">
        <f>IF(Raw!A178="","",Raw!A178)</f>
        <v>L00172</v>
      </c>
      <c r="B178" s="1" t="str">
        <f>IF(Raw!B178="","",Raw!B178)</f>
        <v>T00086</v>
      </c>
      <c r="C178" s="1" t="str">
        <f>IF(Raw!C178="","",Raw!C178)</f>
        <v>2026-02-25</v>
      </c>
      <c r="D178" s="1">
        <f t="shared" si="16"/>
        <v>2026</v>
      </c>
      <c r="E178" s="1">
        <f>IFERROR(IF(AND(LEN(C178)=10,MID(C178,5,1)="-",MID(C178,8,1)="-"),VALUE(MID(C178,6,2)),IF(AND(LEN(C178)=11,MID(C178,3,1)="-",MID(C178,7,1)="-"),MATCH(UPPER(MID(C178,4,3)),Guide!$D$7:$D$18,0),0)),0)</f>
        <v>2</v>
      </c>
      <c r="F178" s="1">
        <f t="shared" si="17"/>
        <v>25</v>
      </c>
      <c r="G178" s="9">
        <f t="shared" si="18"/>
        <v>46078</v>
      </c>
      <c r="H178" s="1" t="str">
        <f>IF(Raw!D178="","",Raw!D178)</f>
        <v>P-A</v>
      </c>
      <c r="I178" s="1" t="str">
        <f>IFERROR(IF(EXACT(H178,INDEX(Guide!$A$7:$A$9,MATCH(SUBSTITUTE(SUBSTITUTE(SUBSTITUTE(H178,"~","~~"),"*","~*"),"?","~?"),Guide!$A$7:$A$9,0))),INDEX(Guide!$B$7:$B$9,MATCH(SUBSTITUTE(SUBSTITUTE(SUBSTITUTE(H178,"~","~~"),"*","~*"),"?","~?"),Guide!$A$7:$A$9,0)),""),"")</f>
        <v>Accessories</v>
      </c>
      <c r="J178" s="1" t="str">
        <f>IF(TRIM(Raw!E178)="",I178,IF(UPPER(TRIM(Raw!E178))=UPPER(I178),I178,""))</f>
        <v>Accessories</v>
      </c>
      <c r="K178" s="1" t="str">
        <f>IF(Raw!F178="","",Raw!F178)</f>
        <v>sale</v>
      </c>
      <c r="L178" s="1" t="str">
        <f>IF(LEFT(TRIM(Raw!G178),2)="-$","-"&amp;MID(TRIM(Raw!G178),3,99),IF(LEFT(TRIM(Raw!G178),1)="$",MID(TRIM(Raw!G178),2,99),TRIM(Raw!G178)))</f>
        <v>204.78</v>
      </c>
      <c r="M178" s="1">
        <f t="shared" si="19"/>
        <v>204.78</v>
      </c>
      <c r="N178" s="10">
        <f t="shared" si="20"/>
        <v>20478</v>
      </c>
      <c r="O178" s="1" t="b">
        <f>IFERROR(IF(ISNUMBER(Raw!G178),TRUE,OR(EXACT(L178,TEXT(M178,"0.00")),EXACT(L178,TEXT(M178,"#,##0.00")))),FALSE)</f>
        <v>1</v>
      </c>
      <c r="P178" s="1" t="str">
        <f>LEN(IF(Raw!A178="","",Raw!A178))&amp;":"&amp;IF(Raw!A178="","",Raw!A178)&amp;"|"&amp;LEN(IF(Raw!B178="","",Raw!B178))&amp;":"&amp;IF(Raw!B178="","",Raw!B178)&amp;"|"&amp;LEN(IF(Raw!C178="","",Raw!C178))&amp;":"&amp;IF(Raw!C178="","",Raw!C178)&amp;"|"&amp;LEN(IF(Raw!D178="","",Raw!D178))&amp;":"&amp;IF(Raw!D178="","",Raw!D178)&amp;"|"&amp;LEN(IF(Raw!E178="","",Raw!E178))&amp;":"&amp;IF(Raw!E178="","",Raw!E178)&amp;"|"&amp;LEN(IF(Raw!F178="","",Raw!F178))&amp;":"&amp;IF(Raw!F178="","",Raw!F178)&amp;"|"&amp;LEN(IF(Raw!G178="","",Raw!G178))&amp;":"&amp;IF(Raw!G178="","",Raw!G178)</f>
        <v>6:L00172|6:T00086|10:2026-02-25|3:P-A|11:Accessories|4:sale|6:204.78</v>
      </c>
      <c r="Q178" s="1">
        <f>1</f>
        <v>1</v>
      </c>
      <c r="R178" s="1" t="b">
        <f>FALSE</f>
        <v>0</v>
      </c>
      <c r="S178" s="1">
        <f>1</f>
        <v>1</v>
      </c>
      <c r="T178" s="1" t="str">
        <f>IF(AND(Raw!A178="",Raw!B178="",Raw!C178="",Raw!D178="",Raw!E178="",Raw!F178="",Raw!G178=""),"UNUSED",IF(A178="","missing line ID",IF(B178="","missing transaction ID",IF(G178="",IF(C178="","missing date","invalid date"),IF(I178="","unknown product",IF(J178="","conflicting category",IF(NOT(OR(EXACT(K178,"sale"),EXACT(K178,"refund"))),"unknown event",IF(OR(N178="",NOT(O178)),"invalid amount",IF(OR(AND(K178="sale",N178&lt;=0),AND(K178="refund",N178&gt;=0)),"invalid sign","")))))))))</f>
        <v/>
      </c>
      <c r="U178" s="1" t="str">
        <f t="shared" si="21"/>
        <v>INCLUDED</v>
      </c>
      <c r="V178" s="1" t="str">
        <f t="shared" si="22"/>
        <v>2026-02</v>
      </c>
      <c r="W178" s="1">
        <f>IF(AND(U178="INCLUDED",X178&gt;0,EXACT(A178,'AI output'!A178)),1,0)</f>
        <v>1</v>
      </c>
      <c r="X178" s="1">
        <f>178</f>
        <v>178</v>
      </c>
      <c r="Y178" s="1">
        <f>IF(AND(U178="INCLUDED",W178=1),--(NOT(EXACT(A178,'AI output'!A178)))+--(NOT(EXACT(B178,'AI output'!B178)))+--(NOT(EXACT(TEXT(G178,"yyyy-mm-dd"),'AI output'!C178)))+--(NOT(EXACT(H178,'AI output'!D178)))+--(NOT(EXACT(J178,'AI output'!E178)))+--(NOT(EXACT(K178,'AI output'!F178)))+--(N178&lt;&gt;'AI output'!L178)+--(NOT('AI output'!M178)),0)</f>
        <v>0</v>
      </c>
      <c r="Z178" s="1">
        <f t="shared" si="23"/>
        <v>0</v>
      </c>
      <c r="AA178" s="1">
        <f>--EXACT(A178,"L00172")</f>
        <v>1</v>
      </c>
    </row>
    <row r="179" spans="1:27" ht="18.95" customHeight="1">
      <c r="A179" s="1" t="str">
        <f>IF(Raw!A179="","",Raw!A179)</f>
        <v>L00173</v>
      </c>
      <c r="B179" s="1" t="str">
        <f>IF(Raw!B179="","",Raw!B179)</f>
        <v>T00087</v>
      </c>
      <c r="C179" s="1" t="str">
        <f>IF(Raw!C179="","",Raw!C179)</f>
        <v>2026-03-04</v>
      </c>
      <c r="D179" s="1">
        <f t="shared" si="16"/>
        <v>2026</v>
      </c>
      <c r="E179" s="1">
        <f>IFERROR(IF(AND(LEN(C179)=10,MID(C179,5,1)="-",MID(C179,8,1)="-"),VALUE(MID(C179,6,2)),IF(AND(LEN(C179)=11,MID(C179,3,1)="-",MID(C179,7,1)="-"),MATCH(UPPER(MID(C179,4,3)),Guide!$D$7:$D$18,0),0)),0)</f>
        <v>3</v>
      </c>
      <c r="F179" s="1">
        <f t="shared" si="17"/>
        <v>4</v>
      </c>
      <c r="G179" s="9">
        <f t="shared" si="18"/>
        <v>46085</v>
      </c>
      <c r="H179" s="1" t="str">
        <f>IF(Raw!D179="","",Raw!D179)</f>
        <v>P-H</v>
      </c>
      <c r="I179" s="1" t="str">
        <f>IFERROR(IF(EXACT(H179,INDEX(Guide!$A$7:$A$9,MATCH(SUBSTITUTE(SUBSTITUTE(SUBSTITUTE(H179,"~","~~"),"*","~*"),"?","~?"),Guide!$A$7:$A$9,0))),INDEX(Guide!$B$7:$B$9,MATCH(SUBSTITUTE(SUBSTITUTE(SUBSTITUTE(H179,"~","~~"),"*","~*"),"?","~?"),Guide!$A$7:$A$9,0)),""),"")</f>
        <v>Home</v>
      </c>
      <c r="J179" s="1" t="str">
        <f>IF(TRIM(Raw!E179)="",I179,IF(UPPER(TRIM(Raw!E179))=UPPER(I179),I179,""))</f>
        <v>Home</v>
      </c>
      <c r="K179" s="1" t="str">
        <f>IF(Raw!F179="","",Raw!F179)</f>
        <v>sale</v>
      </c>
      <c r="L179" s="1" t="str">
        <f>IF(LEFT(TRIM(Raw!G179),2)="-$","-"&amp;MID(TRIM(Raw!G179),3,99),IF(LEFT(TRIM(Raw!G179),1)="$",MID(TRIM(Raw!G179),2,99),TRIM(Raw!G179)))</f>
        <v>343.15</v>
      </c>
      <c r="M179" s="1">
        <f t="shared" si="19"/>
        <v>343.15</v>
      </c>
      <c r="N179" s="10">
        <f t="shared" si="20"/>
        <v>34315</v>
      </c>
      <c r="O179" s="1" t="b">
        <f>IFERROR(IF(ISNUMBER(Raw!G179),TRUE,OR(EXACT(L179,TEXT(M179,"0.00")),EXACT(L179,TEXT(M179,"#,##0.00")))),FALSE)</f>
        <v>1</v>
      </c>
      <c r="P179" s="1" t="str">
        <f>LEN(IF(Raw!A179="","",Raw!A179))&amp;":"&amp;IF(Raw!A179="","",Raw!A179)&amp;"|"&amp;LEN(IF(Raw!B179="","",Raw!B179))&amp;":"&amp;IF(Raw!B179="","",Raw!B179)&amp;"|"&amp;LEN(IF(Raw!C179="","",Raw!C179))&amp;":"&amp;IF(Raw!C179="","",Raw!C179)&amp;"|"&amp;LEN(IF(Raw!D179="","",Raw!D179))&amp;":"&amp;IF(Raw!D179="","",Raw!D179)&amp;"|"&amp;LEN(IF(Raw!E179="","",Raw!E179))&amp;":"&amp;IF(Raw!E179="","",Raw!E179)&amp;"|"&amp;LEN(IF(Raw!F179="","",Raw!F179))&amp;":"&amp;IF(Raw!F179="","",Raw!F179)&amp;"|"&amp;LEN(IF(Raw!G179="","",Raw!G179))&amp;":"&amp;IF(Raw!G179="","",Raw!G179)</f>
        <v>6:L00173|6:T00087|10:2026-03-04|3:P-H|4:Home|4:sale|6:343.15</v>
      </c>
      <c r="Q179" s="1">
        <f>1</f>
        <v>1</v>
      </c>
      <c r="R179" s="1" t="b">
        <f>FALSE</f>
        <v>0</v>
      </c>
      <c r="S179" s="1">
        <f>1</f>
        <v>1</v>
      </c>
      <c r="T179" s="1" t="str">
        <f>IF(AND(Raw!A179="",Raw!B179="",Raw!C179="",Raw!D179="",Raw!E179="",Raw!F179="",Raw!G179=""),"UNUSED",IF(A179="","missing line ID",IF(B179="","missing transaction ID",IF(G179="",IF(C179="","missing date","invalid date"),IF(I179="","unknown product",IF(J179="","conflicting category",IF(NOT(OR(EXACT(K179,"sale"),EXACT(K179,"refund"))),"unknown event",IF(OR(N179="",NOT(O179)),"invalid amount",IF(OR(AND(K179="sale",N179&lt;=0),AND(K179="refund",N179&gt;=0)),"invalid sign","")))))))))</f>
        <v/>
      </c>
      <c r="U179" s="1" t="str">
        <f t="shared" si="21"/>
        <v>INCLUDED</v>
      </c>
      <c r="V179" s="1" t="str">
        <f t="shared" si="22"/>
        <v>2026-03</v>
      </c>
      <c r="W179" s="1">
        <f>IF(AND(U179="INCLUDED",X179&gt;0,EXACT(A179,'AI output'!A179)),1,0)</f>
        <v>1</v>
      </c>
      <c r="X179" s="1">
        <f>179</f>
        <v>179</v>
      </c>
      <c r="Y179" s="1">
        <f>IF(AND(U179="INCLUDED",W179=1),--(NOT(EXACT(A179,'AI output'!A179)))+--(NOT(EXACT(B179,'AI output'!B179)))+--(NOT(EXACT(TEXT(G179,"yyyy-mm-dd"),'AI output'!C179)))+--(NOT(EXACT(H179,'AI output'!D179)))+--(NOT(EXACT(J179,'AI output'!E179)))+--(NOT(EXACT(K179,'AI output'!F179)))+--(N179&lt;&gt;'AI output'!L179)+--(NOT('AI output'!M179)),0)</f>
        <v>0</v>
      </c>
      <c r="Z179" s="1">
        <f t="shared" si="23"/>
        <v>0</v>
      </c>
      <c r="AA179" s="1">
        <f>--EXACT(A179,"L00173")</f>
        <v>1</v>
      </c>
    </row>
    <row r="180" spans="1:27" ht="18.95" customHeight="1">
      <c r="A180" s="1" t="str">
        <f>IF(Raw!A180="","",Raw!A180)</f>
        <v>L00174</v>
      </c>
      <c r="B180" s="1" t="str">
        <f>IF(Raw!B180="","",Raw!B180)</f>
        <v>T00087</v>
      </c>
      <c r="C180" s="1" t="str">
        <f>IF(Raw!C180="","",Raw!C180)</f>
        <v>2026-03-04</v>
      </c>
      <c r="D180" s="1">
        <f t="shared" si="16"/>
        <v>2026</v>
      </c>
      <c r="E180" s="1">
        <f>IFERROR(IF(AND(LEN(C180)=10,MID(C180,5,1)="-",MID(C180,8,1)="-"),VALUE(MID(C180,6,2)),IF(AND(LEN(C180)=11,MID(C180,3,1)="-",MID(C180,7,1)="-"),MATCH(UPPER(MID(C180,4,3)),Guide!$D$7:$D$18,0),0)),0)</f>
        <v>3</v>
      </c>
      <c r="F180" s="1">
        <f t="shared" si="17"/>
        <v>4</v>
      </c>
      <c r="G180" s="9">
        <f t="shared" si="18"/>
        <v>46085</v>
      </c>
      <c r="H180" s="1" t="str">
        <f>IF(Raw!D180="","",Raw!D180)</f>
        <v>P-O</v>
      </c>
      <c r="I180" s="1" t="str">
        <f>IFERROR(IF(EXACT(H180,INDEX(Guide!$A$7:$A$9,MATCH(SUBSTITUTE(SUBSTITUTE(SUBSTITUTE(H180,"~","~~"),"*","~*"),"?","~?"),Guide!$A$7:$A$9,0))),INDEX(Guide!$B$7:$B$9,MATCH(SUBSTITUTE(SUBSTITUTE(SUBSTITUTE(H180,"~","~~"),"*","~*"),"?","~?"),Guide!$A$7:$A$9,0)),""),"")</f>
        <v>Office</v>
      </c>
      <c r="J180" s="1" t="str">
        <f>IF(TRIM(Raw!E180)="",I180,IF(UPPER(TRIM(Raw!E180))=UPPER(I180),I180,""))</f>
        <v>Office</v>
      </c>
      <c r="K180" s="1" t="str">
        <f>IF(Raw!F180="","",Raw!F180)</f>
        <v>sale</v>
      </c>
      <c r="L180" s="1" t="str">
        <f>IF(LEFT(TRIM(Raw!G180),2)="-$","-"&amp;MID(TRIM(Raw!G180),3,99),IF(LEFT(TRIM(Raw!G180),1)="$",MID(TRIM(Raw!G180),2,99),TRIM(Raw!G180)))</f>
        <v>138.00</v>
      </c>
      <c r="M180" s="1">
        <f t="shared" si="19"/>
        <v>138</v>
      </c>
      <c r="N180" s="10">
        <f t="shared" si="20"/>
        <v>13800</v>
      </c>
      <c r="O180" s="1" t="b">
        <f>IFERROR(IF(ISNUMBER(Raw!G180),TRUE,OR(EXACT(L180,TEXT(M180,"0.00")),EXACT(L180,TEXT(M180,"#,##0.00")))),FALSE)</f>
        <v>1</v>
      </c>
      <c r="P180" s="1" t="str">
        <f>LEN(IF(Raw!A180="","",Raw!A180))&amp;":"&amp;IF(Raw!A180="","",Raw!A180)&amp;"|"&amp;LEN(IF(Raw!B180="","",Raw!B180))&amp;":"&amp;IF(Raw!B180="","",Raw!B180)&amp;"|"&amp;LEN(IF(Raw!C180="","",Raw!C180))&amp;":"&amp;IF(Raw!C180="","",Raw!C180)&amp;"|"&amp;LEN(IF(Raw!D180="","",Raw!D180))&amp;":"&amp;IF(Raw!D180="","",Raw!D180)&amp;"|"&amp;LEN(IF(Raw!E180="","",Raw!E180))&amp;":"&amp;IF(Raw!E180="","",Raw!E180)&amp;"|"&amp;LEN(IF(Raw!F180="","",Raw!F180))&amp;":"&amp;IF(Raw!F180="","",Raw!F180)&amp;"|"&amp;LEN(IF(Raw!G180="","",Raw!G180))&amp;":"&amp;IF(Raw!G180="","",Raw!G180)</f>
        <v>6:L00174|6:T00087|10:2026-03-04|3:P-O|6:Office|4:sale|6:138.00</v>
      </c>
      <c r="Q180" s="1">
        <f>1</f>
        <v>1</v>
      </c>
      <c r="R180" s="1" t="b">
        <f>FALSE</f>
        <v>0</v>
      </c>
      <c r="S180" s="1">
        <f>1</f>
        <v>1</v>
      </c>
      <c r="T180" s="1" t="str">
        <f>IF(AND(Raw!A180="",Raw!B180="",Raw!C180="",Raw!D180="",Raw!E180="",Raw!F180="",Raw!G180=""),"UNUSED",IF(A180="","missing line ID",IF(B180="","missing transaction ID",IF(G180="",IF(C180="","missing date","invalid date"),IF(I180="","unknown product",IF(J180="","conflicting category",IF(NOT(OR(EXACT(K180,"sale"),EXACT(K180,"refund"))),"unknown event",IF(OR(N180="",NOT(O180)),"invalid amount",IF(OR(AND(K180="sale",N180&lt;=0),AND(K180="refund",N180&gt;=0)),"invalid sign","")))))))))</f>
        <v/>
      </c>
      <c r="U180" s="1" t="str">
        <f t="shared" si="21"/>
        <v>INCLUDED</v>
      </c>
      <c r="V180" s="1" t="str">
        <f t="shared" si="22"/>
        <v>2026-03</v>
      </c>
      <c r="W180" s="1">
        <f>IF(AND(U180="INCLUDED",X180&gt;0,EXACT(A180,'AI output'!A180)),1,0)</f>
        <v>1</v>
      </c>
      <c r="X180" s="1">
        <f>180</f>
        <v>180</v>
      </c>
      <c r="Y180" s="1">
        <f>IF(AND(U180="INCLUDED",W180=1),--(NOT(EXACT(A180,'AI output'!A180)))+--(NOT(EXACT(B180,'AI output'!B180)))+--(NOT(EXACT(TEXT(G180,"yyyy-mm-dd"),'AI output'!C180)))+--(NOT(EXACT(H180,'AI output'!D180)))+--(NOT(EXACT(J180,'AI output'!E180)))+--(NOT(EXACT(K180,'AI output'!F180)))+--(N180&lt;&gt;'AI output'!L180)+--(NOT('AI output'!M180)),0)</f>
        <v>0</v>
      </c>
      <c r="Z180" s="1">
        <f t="shared" si="23"/>
        <v>0</v>
      </c>
      <c r="AA180" s="1">
        <f>--EXACT(A180,"L00174")</f>
        <v>1</v>
      </c>
    </row>
    <row r="181" spans="1:27" ht="18.95" customHeight="1">
      <c r="A181" s="1" t="str">
        <f>IF(Raw!A181="","",Raw!A181)</f>
        <v>L00175</v>
      </c>
      <c r="B181" s="1" t="str">
        <f>IF(Raw!B181="","",Raw!B181)</f>
        <v>T00088</v>
      </c>
      <c r="C181" s="1" t="str">
        <f>IF(Raw!C181="","",Raw!C181)</f>
        <v>2026-03-11</v>
      </c>
      <c r="D181" s="1">
        <f t="shared" si="16"/>
        <v>2026</v>
      </c>
      <c r="E181" s="1">
        <f>IFERROR(IF(AND(LEN(C181)=10,MID(C181,5,1)="-",MID(C181,8,1)="-"),VALUE(MID(C181,6,2)),IF(AND(LEN(C181)=11,MID(C181,3,1)="-",MID(C181,7,1)="-"),MATCH(UPPER(MID(C181,4,3)),Guide!$D$7:$D$18,0),0)),0)</f>
        <v>3</v>
      </c>
      <c r="F181" s="1">
        <f t="shared" si="17"/>
        <v>11</v>
      </c>
      <c r="G181" s="9">
        <f t="shared" si="18"/>
        <v>46092</v>
      </c>
      <c r="H181" s="1" t="str">
        <f>IF(Raw!D181="","",Raw!D181)</f>
        <v>P-A</v>
      </c>
      <c r="I181" s="1" t="str">
        <f>IFERROR(IF(EXACT(H181,INDEX(Guide!$A$7:$A$9,MATCH(SUBSTITUTE(SUBSTITUTE(SUBSTITUTE(H181,"~","~~"),"*","~*"),"?","~?"),Guide!$A$7:$A$9,0))),INDEX(Guide!$B$7:$B$9,MATCH(SUBSTITUTE(SUBSTITUTE(SUBSTITUTE(H181,"~","~~"),"*","~*"),"?","~?"),Guide!$A$7:$A$9,0)),""),"")</f>
        <v>Accessories</v>
      </c>
      <c r="J181" s="1" t="str">
        <f>IF(TRIM(Raw!E181)="",I181,IF(UPPER(TRIM(Raw!E181))=UPPER(I181),I181,""))</f>
        <v>Accessories</v>
      </c>
      <c r="K181" s="1" t="str">
        <f>IF(Raw!F181="","",Raw!F181)</f>
        <v>sale</v>
      </c>
      <c r="L181" s="1" t="str">
        <f>IF(LEFT(TRIM(Raw!G181),2)="-$","-"&amp;MID(TRIM(Raw!G181),3,99),IF(LEFT(TRIM(Raw!G181),1)="$",MID(TRIM(Raw!G181),2,99),TRIM(Raw!G181)))</f>
        <v>277.48</v>
      </c>
      <c r="M181" s="1">
        <f t="shared" si="19"/>
        <v>277.48</v>
      </c>
      <c r="N181" s="10">
        <f t="shared" si="20"/>
        <v>27748</v>
      </c>
      <c r="O181" s="1" t="b">
        <f>IFERROR(IF(ISNUMBER(Raw!G181),TRUE,OR(EXACT(L181,TEXT(M181,"0.00")),EXACT(L181,TEXT(M181,"#,##0.00")))),FALSE)</f>
        <v>1</v>
      </c>
      <c r="P181" s="1" t="str">
        <f>LEN(IF(Raw!A181="","",Raw!A181))&amp;":"&amp;IF(Raw!A181="","",Raw!A181)&amp;"|"&amp;LEN(IF(Raw!B181="","",Raw!B181))&amp;":"&amp;IF(Raw!B181="","",Raw!B181)&amp;"|"&amp;LEN(IF(Raw!C181="","",Raw!C181))&amp;":"&amp;IF(Raw!C181="","",Raw!C181)&amp;"|"&amp;LEN(IF(Raw!D181="","",Raw!D181))&amp;":"&amp;IF(Raw!D181="","",Raw!D181)&amp;"|"&amp;LEN(IF(Raw!E181="","",Raw!E181))&amp;":"&amp;IF(Raw!E181="","",Raw!E181)&amp;"|"&amp;LEN(IF(Raw!F181="","",Raw!F181))&amp;":"&amp;IF(Raw!F181="","",Raw!F181)&amp;"|"&amp;LEN(IF(Raw!G181="","",Raw!G181))&amp;":"&amp;IF(Raw!G181="","",Raw!G181)</f>
        <v>6:L00175|6:T00088|10:2026-03-11|3:P-A|11:Accessories|4:sale|6:277.48</v>
      </c>
      <c r="Q181" s="1">
        <f>1</f>
        <v>1</v>
      </c>
      <c r="R181" s="1" t="b">
        <f>FALSE</f>
        <v>0</v>
      </c>
      <c r="S181" s="1">
        <f>1</f>
        <v>1</v>
      </c>
      <c r="T181" s="1" t="str">
        <f>IF(AND(Raw!A181="",Raw!B181="",Raw!C181="",Raw!D181="",Raw!E181="",Raw!F181="",Raw!G181=""),"UNUSED",IF(A181="","missing line ID",IF(B181="","missing transaction ID",IF(G181="",IF(C181="","missing date","invalid date"),IF(I181="","unknown product",IF(J181="","conflicting category",IF(NOT(OR(EXACT(K181,"sale"),EXACT(K181,"refund"))),"unknown event",IF(OR(N181="",NOT(O181)),"invalid amount",IF(OR(AND(K181="sale",N181&lt;=0),AND(K181="refund",N181&gt;=0)),"invalid sign","")))))))))</f>
        <v/>
      </c>
      <c r="U181" s="1" t="str">
        <f t="shared" si="21"/>
        <v>INCLUDED</v>
      </c>
      <c r="V181" s="1" t="str">
        <f t="shared" si="22"/>
        <v>2026-03</v>
      </c>
      <c r="W181" s="1">
        <f>IF(AND(U181="INCLUDED",X181&gt;0,EXACT(A181,'AI output'!A181)),1,0)</f>
        <v>1</v>
      </c>
      <c r="X181" s="1">
        <f>181</f>
        <v>181</v>
      </c>
      <c r="Y181" s="1">
        <f>IF(AND(U181="INCLUDED",W181=1),--(NOT(EXACT(A181,'AI output'!A181)))+--(NOT(EXACT(B181,'AI output'!B181)))+--(NOT(EXACT(TEXT(G181,"yyyy-mm-dd"),'AI output'!C181)))+--(NOT(EXACT(H181,'AI output'!D181)))+--(NOT(EXACT(J181,'AI output'!E181)))+--(NOT(EXACT(K181,'AI output'!F181)))+--(N181&lt;&gt;'AI output'!L181)+--(NOT('AI output'!M181)),0)</f>
        <v>0</v>
      </c>
      <c r="Z181" s="1">
        <f t="shared" si="23"/>
        <v>0</v>
      </c>
      <c r="AA181" s="1">
        <f>--EXACT(A181,"L00175")</f>
        <v>1</v>
      </c>
    </row>
    <row r="182" spans="1:27" ht="18.95" customHeight="1">
      <c r="A182" s="1" t="str">
        <f>IF(Raw!A182="","",Raw!A182)</f>
        <v>L00176</v>
      </c>
      <c r="B182" s="1" t="str">
        <f>IF(Raw!B182="","",Raw!B182)</f>
        <v>T00088</v>
      </c>
      <c r="C182" s="1" t="str">
        <f>IF(Raw!C182="","",Raw!C182)</f>
        <v>2026-03-11</v>
      </c>
      <c r="D182" s="1">
        <f t="shared" si="16"/>
        <v>2026</v>
      </c>
      <c r="E182" s="1">
        <f>IFERROR(IF(AND(LEN(C182)=10,MID(C182,5,1)="-",MID(C182,8,1)="-"),VALUE(MID(C182,6,2)),IF(AND(LEN(C182)=11,MID(C182,3,1)="-",MID(C182,7,1)="-"),MATCH(UPPER(MID(C182,4,3)),Guide!$D$7:$D$18,0),0)),0)</f>
        <v>3</v>
      </c>
      <c r="F182" s="1">
        <f t="shared" si="17"/>
        <v>11</v>
      </c>
      <c r="G182" s="9">
        <f t="shared" si="18"/>
        <v>46092</v>
      </c>
      <c r="H182" s="1" t="str">
        <f>IF(Raw!D182="","",Raw!D182)</f>
        <v>P-H</v>
      </c>
      <c r="I182" s="1" t="str">
        <f>IFERROR(IF(EXACT(H182,INDEX(Guide!$A$7:$A$9,MATCH(SUBSTITUTE(SUBSTITUTE(SUBSTITUTE(H182,"~","~~"),"*","~*"),"?","~?"),Guide!$A$7:$A$9,0))),INDEX(Guide!$B$7:$B$9,MATCH(SUBSTITUTE(SUBSTITUTE(SUBSTITUTE(H182,"~","~~"),"*","~*"),"?","~?"),Guide!$A$7:$A$9,0)),""),"")</f>
        <v>Home</v>
      </c>
      <c r="J182" s="1" t="str">
        <f>IF(TRIM(Raw!E182)="",I182,IF(UPPER(TRIM(Raw!E182))=UPPER(I182),I182,""))</f>
        <v>Home</v>
      </c>
      <c r="K182" s="1" t="str">
        <f>IF(Raw!F182="","",Raw!F182)</f>
        <v>sale</v>
      </c>
      <c r="L182" s="1" t="str">
        <f>IF(LEFT(TRIM(Raw!G182),2)="-$","-"&amp;MID(TRIM(Raw!G182),3,99),IF(LEFT(TRIM(Raw!G182),1)="$",MID(TRIM(Raw!G182),2,99),TRIM(Raw!G182)))</f>
        <v>69.74</v>
      </c>
      <c r="M182" s="1">
        <f t="shared" si="19"/>
        <v>69.739999999999995</v>
      </c>
      <c r="N182" s="10">
        <f t="shared" si="20"/>
        <v>6974</v>
      </c>
      <c r="O182" s="1" t="b">
        <f>IFERROR(IF(ISNUMBER(Raw!G182),TRUE,OR(EXACT(L182,TEXT(M182,"0.00")),EXACT(L182,TEXT(M182,"#,##0.00")))),FALSE)</f>
        <v>1</v>
      </c>
      <c r="P182" s="1" t="str">
        <f>LEN(IF(Raw!A182="","",Raw!A182))&amp;":"&amp;IF(Raw!A182="","",Raw!A182)&amp;"|"&amp;LEN(IF(Raw!B182="","",Raw!B182))&amp;":"&amp;IF(Raw!B182="","",Raw!B182)&amp;"|"&amp;LEN(IF(Raw!C182="","",Raw!C182))&amp;":"&amp;IF(Raw!C182="","",Raw!C182)&amp;"|"&amp;LEN(IF(Raw!D182="","",Raw!D182))&amp;":"&amp;IF(Raw!D182="","",Raw!D182)&amp;"|"&amp;LEN(IF(Raw!E182="","",Raw!E182))&amp;":"&amp;IF(Raw!E182="","",Raw!E182)&amp;"|"&amp;LEN(IF(Raw!F182="","",Raw!F182))&amp;":"&amp;IF(Raw!F182="","",Raw!F182)&amp;"|"&amp;LEN(IF(Raw!G182="","",Raw!G182))&amp;":"&amp;IF(Raw!G182="","",Raw!G182)</f>
        <v>6:L00176|6:T00088|10:2026-03-11|3:P-H|4:Home|4:sale|5:69.74</v>
      </c>
      <c r="Q182" s="1">
        <f>1</f>
        <v>1</v>
      </c>
      <c r="R182" s="1" t="b">
        <f>FALSE</f>
        <v>0</v>
      </c>
      <c r="S182" s="1">
        <f>1</f>
        <v>1</v>
      </c>
      <c r="T182" s="1" t="str">
        <f>IF(AND(Raw!A182="",Raw!B182="",Raw!C182="",Raw!D182="",Raw!E182="",Raw!F182="",Raw!G182=""),"UNUSED",IF(A182="","missing line ID",IF(B182="","missing transaction ID",IF(G182="",IF(C182="","missing date","invalid date"),IF(I182="","unknown product",IF(J182="","conflicting category",IF(NOT(OR(EXACT(K182,"sale"),EXACT(K182,"refund"))),"unknown event",IF(OR(N182="",NOT(O182)),"invalid amount",IF(OR(AND(K182="sale",N182&lt;=0),AND(K182="refund",N182&gt;=0)),"invalid sign","")))))))))</f>
        <v/>
      </c>
      <c r="U182" s="1" t="str">
        <f t="shared" si="21"/>
        <v>INCLUDED</v>
      </c>
      <c r="V182" s="1" t="str">
        <f t="shared" si="22"/>
        <v>2026-03</v>
      </c>
      <c r="W182" s="1">
        <f>IF(AND(U182="INCLUDED",X182&gt;0,EXACT(A182,'AI output'!A182)),1,0)</f>
        <v>1</v>
      </c>
      <c r="X182" s="1">
        <f>182</f>
        <v>182</v>
      </c>
      <c r="Y182" s="1">
        <f>IF(AND(U182="INCLUDED",W182=1),--(NOT(EXACT(A182,'AI output'!A182)))+--(NOT(EXACT(B182,'AI output'!B182)))+--(NOT(EXACT(TEXT(G182,"yyyy-mm-dd"),'AI output'!C182)))+--(NOT(EXACT(H182,'AI output'!D182)))+--(NOT(EXACT(J182,'AI output'!E182)))+--(NOT(EXACT(K182,'AI output'!F182)))+--(N182&lt;&gt;'AI output'!L182)+--(NOT('AI output'!M182)),0)</f>
        <v>0</v>
      </c>
      <c r="Z182" s="1">
        <f t="shared" si="23"/>
        <v>0</v>
      </c>
      <c r="AA182" s="1">
        <f>--EXACT(A182,"L00176")</f>
        <v>1</v>
      </c>
    </row>
    <row r="183" spans="1:27" ht="18.95" customHeight="1">
      <c r="A183" s="1" t="str">
        <f>IF(Raw!A183="","",Raw!A183)</f>
        <v>L00177</v>
      </c>
      <c r="B183" s="1" t="str">
        <f>IF(Raw!B183="","",Raw!B183)</f>
        <v>T00089</v>
      </c>
      <c r="C183" s="1" t="str">
        <f>IF(Raw!C183="","",Raw!C183)</f>
        <v>2026-03-18</v>
      </c>
      <c r="D183" s="1">
        <f t="shared" si="16"/>
        <v>2026</v>
      </c>
      <c r="E183" s="1">
        <f>IFERROR(IF(AND(LEN(C183)=10,MID(C183,5,1)="-",MID(C183,8,1)="-"),VALUE(MID(C183,6,2)),IF(AND(LEN(C183)=11,MID(C183,3,1)="-",MID(C183,7,1)="-"),MATCH(UPPER(MID(C183,4,3)),Guide!$D$7:$D$18,0),0)),0)</f>
        <v>3</v>
      </c>
      <c r="F183" s="1">
        <f t="shared" si="17"/>
        <v>18</v>
      </c>
      <c r="G183" s="9">
        <f t="shared" si="18"/>
        <v>46099</v>
      </c>
      <c r="H183" s="1" t="str">
        <f>IF(Raw!D183="","",Raw!D183)</f>
        <v>P-O</v>
      </c>
      <c r="I183" s="1" t="str">
        <f>IFERROR(IF(EXACT(H183,INDEX(Guide!$A$7:$A$9,MATCH(SUBSTITUTE(SUBSTITUTE(SUBSTITUTE(H183,"~","~~"),"*","~*"),"?","~?"),Guide!$A$7:$A$9,0))),INDEX(Guide!$B$7:$B$9,MATCH(SUBSTITUTE(SUBSTITUTE(SUBSTITUTE(H183,"~","~~"),"*","~*"),"?","~?"),Guide!$A$7:$A$9,0)),""),"")</f>
        <v>Office</v>
      </c>
      <c r="J183" s="1" t="str">
        <f>IF(TRIM(Raw!E183)="",I183,IF(UPPER(TRIM(Raw!E183))=UPPER(I183),I183,""))</f>
        <v>Office</v>
      </c>
      <c r="K183" s="1" t="str">
        <f>IF(Raw!F183="","",Raw!F183)</f>
        <v>sale</v>
      </c>
      <c r="L183" s="1" t="str">
        <f>IF(LEFT(TRIM(Raw!G183),2)="-$","-"&amp;MID(TRIM(Raw!G183),3,99),IF(LEFT(TRIM(Raw!G183),1)="$",MID(TRIM(Raw!G183),2,99),TRIM(Raw!G183)))</f>
        <v>210.33</v>
      </c>
      <c r="M183" s="1">
        <f t="shared" si="19"/>
        <v>210.33</v>
      </c>
      <c r="N183" s="10">
        <f t="shared" si="20"/>
        <v>21033</v>
      </c>
      <c r="O183" s="1" t="b">
        <f>IFERROR(IF(ISNUMBER(Raw!G183),TRUE,OR(EXACT(L183,TEXT(M183,"0.00")),EXACT(L183,TEXT(M183,"#,##0.00")))),FALSE)</f>
        <v>1</v>
      </c>
      <c r="P183" s="1" t="str">
        <f>LEN(IF(Raw!A183="","",Raw!A183))&amp;":"&amp;IF(Raw!A183="","",Raw!A183)&amp;"|"&amp;LEN(IF(Raw!B183="","",Raw!B183))&amp;":"&amp;IF(Raw!B183="","",Raw!B183)&amp;"|"&amp;LEN(IF(Raw!C183="","",Raw!C183))&amp;":"&amp;IF(Raw!C183="","",Raw!C183)&amp;"|"&amp;LEN(IF(Raw!D183="","",Raw!D183))&amp;":"&amp;IF(Raw!D183="","",Raw!D183)&amp;"|"&amp;LEN(IF(Raw!E183="","",Raw!E183))&amp;":"&amp;IF(Raw!E183="","",Raw!E183)&amp;"|"&amp;LEN(IF(Raw!F183="","",Raw!F183))&amp;":"&amp;IF(Raw!F183="","",Raw!F183)&amp;"|"&amp;LEN(IF(Raw!G183="","",Raw!G183))&amp;":"&amp;IF(Raw!G183="","",Raw!G183)</f>
        <v>6:L00177|6:T00089|10:2026-03-18|3:P-O|6:Office|4:sale|6:210.33</v>
      </c>
      <c r="Q183" s="1">
        <f>1</f>
        <v>1</v>
      </c>
      <c r="R183" s="1" t="b">
        <f>FALSE</f>
        <v>0</v>
      </c>
      <c r="S183" s="1">
        <f>1</f>
        <v>1</v>
      </c>
      <c r="T183" s="1" t="str">
        <f>IF(AND(Raw!A183="",Raw!B183="",Raw!C183="",Raw!D183="",Raw!E183="",Raw!F183="",Raw!G183=""),"UNUSED",IF(A183="","missing line ID",IF(B183="","missing transaction ID",IF(G183="",IF(C183="","missing date","invalid date"),IF(I183="","unknown product",IF(J183="","conflicting category",IF(NOT(OR(EXACT(K183,"sale"),EXACT(K183,"refund"))),"unknown event",IF(OR(N183="",NOT(O183)),"invalid amount",IF(OR(AND(K183="sale",N183&lt;=0),AND(K183="refund",N183&gt;=0)),"invalid sign","")))))))))</f>
        <v/>
      </c>
      <c r="U183" s="1" t="str">
        <f t="shared" si="21"/>
        <v>INCLUDED</v>
      </c>
      <c r="V183" s="1" t="str">
        <f t="shared" si="22"/>
        <v>2026-03</v>
      </c>
      <c r="W183" s="1">
        <f>IF(AND(U183="INCLUDED",X183&gt;0,EXACT(A183,'AI output'!A183)),1,0)</f>
        <v>1</v>
      </c>
      <c r="X183" s="1">
        <f>183</f>
        <v>183</v>
      </c>
      <c r="Y183" s="1">
        <f>IF(AND(U183="INCLUDED",W183=1),--(NOT(EXACT(A183,'AI output'!A183)))+--(NOT(EXACT(B183,'AI output'!B183)))+--(NOT(EXACT(TEXT(G183,"yyyy-mm-dd"),'AI output'!C183)))+--(NOT(EXACT(H183,'AI output'!D183)))+--(NOT(EXACT(J183,'AI output'!E183)))+--(NOT(EXACT(K183,'AI output'!F183)))+--(N183&lt;&gt;'AI output'!L183)+--(NOT('AI output'!M183)),0)</f>
        <v>0</v>
      </c>
      <c r="Z183" s="1">
        <f t="shared" si="23"/>
        <v>0</v>
      </c>
      <c r="AA183" s="1">
        <f>--EXACT(A183,"L00177")</f>
        <v>1</v>
      </c>
    </row>
    <row r="184" spans="1:27" ht="18.95" customHeight="1">
      <c r="A184" s="1" t="str">
        <f>IF(Raw!A184="","",Raw!A184)</f>
        <v>L00178</v>
      </c>
      <c r="B184" s="1" t="str">
        <f>IF(Raw!B184="","",Raw!B184)</f>
        <v>T00089</v>
      </c>
      <c r="C184" s="1" t="str">
        <f>IF(Raw!C184="","",Raw!C184)</f>
        <v>2026-03-18</v>
      </c>
      <c r="D184" s="1">
        <f t="shared" si="16"/>
        <v>2026</v>
      </c>
      <c r="E184" s="1">
        <f>IFERROR(IF(AND(LEN(C184)=10,MID(C184,5,1)="-",MID(C184,8,1)="-"),VALUE(MID(C184,6,2)),IF(AND(LEN(C184)=11,MID(C184,3,1)="-",MID(C184,7,1)="-"),MATCH(UPPER(MID(C184,4,3)),Guide!$D$7:$D$18,0),0)),0)</f>
        <v>3</v>
      </c>
      <c r="F184" s="1">
        <f t="shared" si="17"/>
        <v>18</v>
      </c>
      <c r="G184" s="9">
        <f t="shared" si="18"/>
        <v>46099</v>
      </c>
      <c r="H184" s="1" t="str">
        <f>IF(Raw!D184="","",Raw!D184)</f>
        <v>P-A</v>
      </c>
      <c r="I184" s="1" t="str">
        <f>IFERROR(IF(EXACT(H184,INDEX(Guide!$A$7:$A$9,MATCH(SUBSTITUTE(SUBSTITUTE(SUBSTITUTE(H184,"~","~~"),"*","~*"),"?","~?"),Guide!$A$7:$A$9,0))),INDEX(Guide!$B$7:$B$9,MATCH(SUBSTITUTE(SUBSTITUTE(SUBSTITUTE(H184,"~","~~"),"*","~*"),"?","~?"),Guide!$A$7:$A$9,0)),""),"")</f>
        <v>Accessories</v>
      </c>
      <c r="J184" s="1" t="str">
        <f>IF(TRIM(Raw!E184)="",I184,IF(UPPER(TRIM(Raw!E184))=UPPER(I184),I184,""))</f>
        <v>Accessories</v>
      </c>
      <c r="K184" s="1" t="str">
        <f>IF(Raw!F184="","",Raw!F184)</f>
        <v>sale</v>
      </c>
      <c r="L184" s="1" t="str">
        <f>IF(LEFT(TRIM(Raw!G184),2)="-$","-"&amp;MID(TRIM(Raw!G184),3,99),IF(LEFT(TRIM(Raw!G184),1)="$",MID(TRIM(Raw!G184),2,99),TRIM(Raw!G184)))</f>
        <v>352.40</v>
      </c>
      <c r="M184" s="1">
        <f t="shared" si="19"/>
        <v>352.4</v>
      </c>
      <c r="N184" s="10">
        <f t="shared" si="20"/>
        <v>35240</v>
      </c>
      <c r="O184" s="1" t="b">
        <f>IFERROR(IF(ISNUMBER(Raw!G184),TRUE,OR(EXACT(L184,TEXT(M184,"0.00")),EXACT(L184,TEXT(M184,"#,##0.00")))),FALSE)</f>
        <v>1</v>
      </c>
      <c r="P184" s="1" t="str">
        <f>LEN(IF(Raw!A184="","",Raw!A184))&amp;":"&amp;IF(Raw!A184="","",Raw!A184)&amp;"|"&amp;LEN(IF(Raw!B184="","",Raw!B184))&amp;":"&amp;IF(Raw!B184="","",Raw!B184)&amp;"|"&amp;LEN(IF(Raw!C184="","",Raw!C184))&amp;":"&amp;IF(Raw!C184="","",Raw!C184)&amp;"|"&amp;LEN(IF(Raw!D184="","",Raw!D184))&amp;":"&amp;IF(Raw!D184="","",Raw!D184)&amp;"|"&amp;LEN(IF(Raw!E184="","",Raw!E184))&amp;":"&amp;IF(Raw!E184="","",Raw!E184)&amp;"|"&amp;LEN(IF(Raw!F184="","",Raw!F184))&amp;":"&amp;IF(Raw!F184="","",Raw!F184)&amp;"|"&amp;LEN(IF(Raw!G184="","",Raw!G184))&amp;":"&amp;IF(Raw!G184="","",Raw!G184)</f>
        <v>6:L00178|6:T00089|10:2026-03-18|3:P-A|11:Accessories|4:sale|6:352.40</v>
      </c>
      <c r="Q184" s="1">
        <f>1</f>
        <v>1</v>
      </c>
      <c r="R184" s="1" t="b">
        <f>FALSE</f>
        <v>0</v>
      </c>
      <c r="S184" s="1">
        <f>1</f>
        <v>1</v>
      </c>
      <c r="T184" s="1" t="str">
        <f>IF(AND(Raw!A184="",Raw!B184="",Raw!C184="",Raw!D184="",Raw!E184="",Raw!F184="",Raw!G184=""),"UNUSED",IF(A184="","missing line ID",IF(B184="","missing transaction ID",IF(G184="",IF(C184="","missing date","invalid date"),IF(I184="","unknown product",IF(J184="","conflicting category",IF(NOT(OR(EXACT(K184,"sale"),EXACT(K184,"refund"))),"unknown event",IF(OR(N184="",NOT(O184)),"invalid amount",IF(OR(AND(K184="sale",N184&lt;=0),AND(K184="refund",N184&gt;=0)),"invalid sign","")))))))))</f>
        <v/>
      </c>
      <c r="U184" s="1" t="str">
        <f t="shared" si="21"/>
        <v>INCLUDED</v>
      </c>
      <c r="V184" s="1" t="str">
        <f t="shared" si="22"/>
        <v>2026-03</v>
      </c>
      <c r="W184" s="1">
        <f>IF(AND(U184="INCLUDED",X184&gt;0,EXACT(A184,'AI output'!A184)),1,0)</f>
        <v>1</v>
      </c>
      <c r="X184" s="1">
        <f>184</f>
        <v>184</v>
      </c>
      <c r="Y184" s="1">
        <f>IF(AND(U184="INCLUDED",W184=1),--(NOT(EXACT(A184,'AI output'!A184)))+--(NOT(EXACT(B184,'AI output'!B184)))+--(NOT(EXACT(TEXT(G184,"yyyy-mm-dd"),'AI output'!C184)))+--(NOT(EXACT(H184,'AI output'!D184)))+--(NOT(EXACT(J184,'AI output'!E184)))+--(NOT(EXACT(K184,'AI output'!F184)))+--(N184&lt;&gt;'AI output'!L184)+--(NOT('AI output'!M184)),0)</f>
        <v>0</v>
      </c>
      <c r="Z184" s="1">
        <f t="shared" si="23"/>
        <v>0</v>
      </c>
      <c r="AA184" s="1">
        <f>--EXACT(A184,"L00178")</f>
        <v>1</v>
      </c>
    </row>
    <row r="185" spans="1:27" ht="18.95" customHeight="1">
      <c r="A185" s="1" t="str">
        <f>IF(Raw!A185="","",Raw!A185)</f>
        <v>L00179</v>
      </c>
      <c r="B185" s="1" t="str">
        <f>IF(Raw!B185="","",Raw!B185)</f>
        <v>T00090</v>
      </c>
      <c r="C185" s="1" t="str">
        <f>IF(Raw!C185="","",Raw!C185)</f>
        <v>2026-03-25</v>
      </c>
      <c r="D185" s="1">
        <f t="shared" si="16"/>
        <v>2026</v>
      </c>
      <c r="E185" s="1">
        <f>IFERROR(IF(AND(LEN(C185)=10,MID(C185,5,1)="-",MID(C185,8,1)="-"),VALUE(MID(C185,6,2)),IF(AND(LEN(C185)=11,MID(C185,3,1)="-",MID(C185,7,1)="-"),MATCH(UPPER(MID(C185,4,3)),Guide!$D$7:$D$18,0),0)),0)</f>
        <v>3</v>
      </c>
      <c r="F185" s="1">
        <f t="shared" si="17"/>
        <v>25</v>
      </c>
      <c r="G185" s="9">
        <f t="shared" si="18"/>
        <v>46106</v>
      </c>
      <c r="H185" s="1" t="str">
        <f>IF(Raw!D185="","",Raw!D185)</f>
        <v>P-H</v>
      </c>
      <c r="I185" s="1" t="str">
        <f>IFERROR(IF(EXACT(H185,INDEX(Guide!$A$7:$A$9,MATCH(SUBSTITUTE(SUBSTITUTE(SUBSTITUTE(H185,"~","~~"),"*","~*"),"?","~?"),Guide!$A$7:$A$9,0))),INDEX(Guide!$B$7:$B$9,MATCH(SUBSTITUTE(SUBSTITUTE(SUBSTITUTE(H185,"~","~~"),"*","~*"),"?","~?"),Guide!$A$7:$A$9,0)),""),"")</f>
        <v>Home</v>
      </c>
      <c r="J185" s="1" t="str">
        <f>IF(TRIM(Raw!E185)="",I185,IF(UPPER(TRIM(Raw!E185))=UPPER(I185),I185,""))</f>
        <v>Home</v>
      </c>
      <c r="K185" s="1" t="str">
        <f>IF(Raw!F185="","",Raw!F185)</f>
        <v>sale</v>
      </c>
      <c r="L185" s="1" t="str">
        <f>IF(LEFT(TRIM(Raw!G185),2)="-$","-"&amp;MID(TRIM(Raw!G185),3,99),IF(LEFT(TRIM(Raw!G185),1)="$",MID(TRIM(Raw!G185),2,99),TRIM(Raw!G185)))</f>
        <v>141.70</v>
      </c>
      <c r="M185" s="1">
        <f t="shared" si="19"/>
        <v>141.69999999999999</v>
      </c>
      <c r="N185" s="10">
        <f t="shared" si="20"/>
        <v>14170</v>
      </c>
      <c r="O185" s="1" t="b">
        <f>IFERROR(IF(ISNUMBER(Raw!G185),TRUE,OR(EXACT(L185,TEXT(M185,"0.00")),EXACT(L185,TEXT(M185,"#,##0.00")))),FALSE)</f>
        <v>1</v>
      </c>
      <c r="P185" s="1" t="str">
        <f>LEN(IF(Raw!A185="","",Raw!A185))&amp;":"&amp;IF(Raw!A185="","",Raw!A185)&amp;"|"&amp;LEN(IF(Raw!B185="","",Raw!B185))&amp;":"&amp;IF(Raw!B185="","",Raw!B185)&amp;"|"&amp;LEN(IF(Raw!C185="","",Raw!C185))&amp;":"&amp;IF(Raw!C185="","",Raw!C185)&amp;"|"&amp;LEN(IF(Raw!D185="","",Raw!D185))&amp;":"&amp;IF(Raw!D185="","",Raw!D185)&amp;"|"&amp;LEN(IF(Raw!E185="","",Raw!E185))&amp;":"&amp;IF(Raw!E185="","",Raw!E185)&amp;"|"&amp;LEN(IF(Raw!F185="","",Raw!F185))&amp;":"&amp;IF(Raw!F185="","",Raw!F185)&amp;"|"&amp;LEN(IF(Raw!G185="","",Raw!G185))&amp;":"&amp;IF(Raw!G185="","",Raw!G185)</f>
        <v>6:L00179|6:T00090|10:2026-03-25|3:P-H|4:Home|4:sale|6:141.70</v>
      </c>
      <c r="Q185" s="1">
        <f>1</f>
        <v>1</v>
      </c>
      <c r="R185" s="1" t="b">
        <f>FALSE</f>
        <v>0</v>
      </c>
      <c r="S185" s="1">
        <f>1</f>
        <v>1</v>
      </c>
      <c r="T185" s="1" t="str">
        <f>IF(AND(Raw!A185="",Raw!B185="",Raw!C185="",Raw!D185="",Raw!E185="",Raw!F185="",Raw!G185=""),"UNUSED",IF(A185="","missing line ID",IF(B185="","missing transaction ID",IF(G185="",IF(C185="","missing date","invalid date"),IF(I185="","unknown product",IF(J185="","conflicting category",IF(NOT(OR(EXACT(K185,"sale"),EXACT(K185,"refund"))),"unknown event",IF(OR(N185="",NOT(O185)),"invalid amount",IF(OR(AND(K185="sale",N185&lt;=0),AND(K185="refund",N185&gt;=0)),"invalid sign","")))))))))</f>
        <v/>
      </c>
      <c r="U185" s="1" t="str">
        <f t="shared" si="21"/>
        <v>INCLUDED</v>
      </c>
      <c r="V185" s="1" t="str">
        <f t="shared" si="22"/>
        <v>2026-03</v>
      </c>
      <c r="W185" s="1">
        <f>IF(AND(U185="INCLUDED",X185&gt;0,EXACT(A185,'AI output'!A185)),1,0)</f>
        <v>1</v>
      </c>
      <c r="X185" s="1">
        <f>185</f>
        <v>185</v>
      </c>
      <c r="Y185" s="1">
        <f>IF(AND(U185="INCLUDED",W185=1),--(NOT(EXACT(A185,'AI output'!A185)))+--(NOT(EXACT(B185,'AI output'!B185)))+--(NOT(EXACT(TEXT(G185,"yyyy-mm-dd"),'AI output'!C185)))+--(NOT(EXACT(H185,'AI output'!D185)))+--(NOT(EXACT(J185,'AI output'!E185)))+--(NOT(EXACT(K185,'AI output'!F185)))+--(N185&lt;&gt;'AI output'!L185)+--(NOT('AI output'!M185)),0)</f>
        <v>0</v>
      </c>
      <c r="Z185" s="1">
        <f t="shared" si="23"/>
        <v>0</v>
      </c>
      <c r="AA185" s="1">
        <f>--EXACT(A185,"L00179")</f>
        <v>1</v>
      </c>
    </row>
    <row r="186" spans="1:27" ht="18.95" customHeight="1">
      <c r="A186" s="1" t="str">
        <f>IF(Raw!A186="","",Raw!A186)</f>
        <v>L00180</v>
      </c>
      <c r="B186" s="1" t="str">
        <f>IF(Raw!B186="","",Raw!B186)</f>
        <v>T00090</v>
      </c>
      <c r="C186" s="1" t="str">
        <f>IF(Raw!C186="","",Raw!C186)</f>
        <v>2026-03-25</v>
      </c>
      <c r="D186" s="1">
        <f t="shared" si="16"/>
        <v>2026</v>
      </c>
      <c r="E186" s="1">
        <f>IFERROR(IF(AND(LEN(C186)=10,MID(C186,5,1)="-",MID(C186,8,1)="-"),VALUE(MID(C186,6,2)),IF(AND(LEN(C186)=11,MID(C186,3,1)="-",MID(C186,7,1)="-"),MATCH(UPPER(MID(C186,4,3)),Guide!$D$7:$D$18,0),0)),0)</f>
        <v>3</v>
      </c>
      <c r="F186" s="1">
        <f t="shared" si="17"/>
        <v>25</v>
      </c>
      <c r="G186" s="9">
        <f t="shared" si="18"/>
        <v>46106</v>
      </c>
      <c r="H186" s="1" t="str">
        <f>IF(Raw!D186="","",Raw!D186)</f>
        <v>P-O</v>
      </c>
      <c r="I186" s="1" t="str">
        <f>IFERROR(IF(EXACT(H186,INDEX(Guide!$A$7:$A$9,MATCH(SUBSTITUTE(SUBSTITUTE(SUBSTITUTE(H186,"~","~~"),"*","~*"),"?","~?"),Guide!$A$7:$A$9,0))),INDEX(Guide!$B$7:$B$9,MATCH(SUBSTITUTE(SUBSTITUTE(SUBSTITUTE(H186,"~","~~"),"*","~*"),"?","~?"),Guide!$A$7:$A$9,0)),""),"")</f>
        <v>Office</v>
      </c>
      <c r="J186" s="1" t="str">
        <f>IF(TRIM(Raw!E186)="",I186,IF(UPPER(TRIM(Raw!E186))=UPPER(I186),I186,""))</f>
        <v>Office</v>
      </c>
      <c r="K186" s="1" t="str">
        <f>IF(Raw!F186="","",Raw!F186)</f>
        <v>sale</v>
      </c>
      <c r="L186" s="1" t="str">
        <f>IF(LEFT(TRIM(Raw!G186),2)="-$","-"&amp;MID(TRIM(Raw!G186),3,99),IF(LEFT(TRIM(Raw!G186),1)="$",MID(TRIM(Raw!G186),2,99),TRIM(Raw!G186)))</f>
        <v>284.88</v>
      </c>
      <c r="M186" s="1">
        <f t="shared" si="19"/>
        <v>284.88</v>
      </c>
      <c r="N186" s="10">
        <f t="shared" si="20"/>
        <v>28488</v>
      </c>
      <c r="O186" s="1" t="b">
        <f>IFERROR(IF(ISNUMBER(Raw!G186),TRUE,OR(EXACT(L186,TEXT(M186,"0.00")),EXACT(L186,TEXT(M186,"#,##0.00")))),FALSE)</f>
        <v>1</v>
      </c>
      <c r="P186" s="1" t="str">
        <f>LEN(IF(Raw!A186="","",Raw!A186))&amp;":"&amp;IF(Raw!A186="","",Raw!A186)&amp;"|"&amp;LEN(IF(Raw!B186="","",Raw!B186))&amp;":"&amp;IF(Raw!B186="","",Raw!B186)&amp;"|"&amp;LEN(IF(Raw!C186="","",Raw!C186))&amp;":"&amp;IF(Raw!C186="","",Raw!C186)&amp;"|"&amp;LEN(IF(Raw!D186="","",Raw!D186))&amp;":"&amp;IF(Raw!D186="","",Raw!D186)&amp;"|"&amp;LEN(IF(Raw!E186="","",Raw!E186))&amp;":"&amp;IF(Raw!E186="","",Raw!E186)&amp;"|"&amp;LEN(IF(Raw!F186="","",Raw!F186))&amp;":"&amp;IF(Raw!F186="","",Raw!F186)&amp;"|"&amp;LEN(IF(Raw!G186="","",Raw!G186))&amp;":"&amp;IF(Raw!G186="","",Raw!G186)</f>
        <v>6:L00180|6:T00090|10:2026-03-25|3:P-O|6:Office|4:sale|6:284.88</v>
      </c>
      <c r="Q186" s="1">
        <f>1</f>
        <v>1</v>
      </c>
      <c r="R186" s="1" t="b">
        <f>FALSE</f>
        <v>0</v>
      </c>
      <c r="S186" s="1">
        <f>1</f>
        <v>1</v>
      </c>
      <c r="T186" s="1" t="str">
        <f>IF(AND(Raw!A186="",Raw!B186="",Raw!C186="",Raw!D186="",Raw!E186="",Raw!F186="",Raw!G186=""),"UNUSED",IF(A186="","missing line ID",IF(B186="","missing transaction ID",IF(G186="",IF(C186="","missing date","invalid date"),IF(I186="","unknown product",IF(J186="","conflicting category",IF(NOT(OR(EXACT(K186,"sale"),EXACT(K186,"refund"))),"unknown event",IF(OR(N186="",NOT(O186)),"invalid amount",IF(OR(AND(K186="sale",N186&lt;=0),AND(K186="refund",N186&gt;=0)),"invalid sign","")))))))))</f>
        <v/>
      </c>
      <c r="U186" s="1" t="str">
        <f t="shared" si="21"/>
        <v>INCLUDED</v>
      </c>
      <c r="V186" s="1" t="str">
        <f t="shared" si="22"/>
        <v>2026-03</v>
      </c>
      <c r="W186" s="1">
        <f>IF(AND(U186="INCLUDED",X186&gt;0,EXACT(A186,'AI output'!A186)),1,0)</f>
        <v>1</v>
      </c>
      <c r="X186" s="1">
        <f>186</f>
        <v>186</v>
      </c>
      <c r="Y186" s="1">
        <f>IF(AND(U186="INCLUDED",W186=1),--(NOT(EXACT(A186,'AI output'!A186)))+--(NOT(EXACT(B186,'AI output'!B186)))+--(NOT(EXACT(TEXT(G186,"yyyy-mm-dd"),'AI output'!C186)))+--(NOT(EXACT(H186,'AI output'!D186)))+--(NOT(EXACT(J186,'AI output'!E186)))+--(NOT(EXACT(K186,'AI output'!F186)))+--(N186&lt;&gt;'AI output'!L186)+--(NOT('AI output'!M186)),0)</f>
        <v>0</v>
      </c>
      <c r="Z186" s="1">
        <f t="shared" si="23"/>
        <v>0</v>
      </c>
      <c r="AA186" s="1">
        <f>--EXACT(A186,"L00180")</f>
        <v>1</v>
      </c>
    </row>
    <row r="187" spans="1:27" ht="18.95" customHeight="1">
      <c r="A187" s="1" t="str">
        <f>IF(Raw!A187="","",Raw!A187)</f>
        <v>L00181</v>
      </c>
      <c r="B187" s="1" t="str">
        <f>IF(Raw!B187="","",Raw!B187)</f>
        <v>T00091</v>
      </c>
      <c r="C187" s="1" t="str">
        <f>IF(Raw!C187="","",Raw!C187)</f>
        <v>2026-01-01</v>
      </c>
      <c r="D187" s="1">
        <f t="shared" si="16"/>
        <v>2026</v>
      </c>
      <c r="E187" s="1">
        <f>IFERROR(IF(AND(LEN(C187)=10,MID(C187,5,1)="-",MID(C187,8,1)="-"),VALUE(MID(C187,6,2)),IF(AND(LEN(C187)=11,MID(C187,3,1)="-",MID(C187,7,1)="-"),MATCH(UPPER(MID(C187,4,3)),Guide!$D$7:$D$18,0),0)),0)</f>
        <v>1</v>
      </c>
      <c r="F187" s="1">
        <f t="shared" si="17"/>
        <v>1</v>
      </c>
      <c r="G187" s="9">
        <f t="shared" si="18"/>
        <v>46023</v>
      </c>
      <c r="H187" s="1" t="str">
        <f>IF(Raw!D187="","",Raw!D187)</f>
        <v>P-A</v>
      </c>
      <c r="I187" s="1" t="str">
        <f>IFERROR(IF(EXACT(H187,INDEX(Guide!$A$7:$A$9,MATCH(SUBSTITUTE(SUBSTITUTE(SUBSTITUTE(H187,"~","~~"),"*","~*"),"?","~?"),Guide!$A$7:$A$9,0))),INDEX(Guide!$B$7:$B$9,MATCH(SUBSTITUTE(SUBSTITUTE(SUBSTITUTE(H187,"~","~~"),"*","~*"),"?","~?"),Guide!$A$7:$A$9,0)),""),"")</f>
        <v>Accessories</v>
      </c>
      <c r="J187" s="1" t="str">
        <f>IF(TRIM(Raw!E187)="",I187,IF(UPPER(TRIM(Raw!E187))=UPPER(I187),I187,""))</f>
        <v>Accessories</v>
      </c>
      <c r="K187" s="1" t="str">
        <f>IF(Raw!F187="","",Raw!F187)</f>
        <v>sale</v>
      </c>
      <c r="L187" s="1" t="str">
        <f>IF(LEFT(TRIM(Raw!G187),2)="-$","-"&amp;MID(TRIM(Raw!G187),3,99),IF(LEFT(TRIM(Raw!G187),1)="$",MID(TRIM(Raw!G187),2,99),TRIM(Raw!G187)))</f>
        <v>71.59</v>
      </c>
      <c r="M187" s="1">
        <f t="shared" si="19"/>
        <v>71.59</v>
      </c>
      <c r="N187" s="10">
        <f t="shared" si="20"/>
        <v>7159</v>
      </c>
      <c r="O187" s="1" t="b">
        <f>IFERROR(IF(ISNUMBER(Raw!G187),TRUE,OR(EXACT(L187,TEXT(M187,"0.00")),EXACT(L187,TEXT(M187,"#,##0.00")))),FALSE)</f>
        <v>1</v>
      </c>
      <c r="P187" s="1" t="str">
        <f>LEN(IF(Raw!A187="","",Raw!A187))&amp;":"&amp;IF(Raw!A187="","",Raw!A187)&amp;"|"&amp;LEN(IF(Raw!B187="","",Raw!B187))&amp;":"&amp;IF(Raw!B187="","",Raw!B187)&amp;"|"&amp;LEN(IF(Raw!C187="","",Raw!C187))&amp;":"&amp;IF(Raw!C187="","",Raw!C187)&amp;"|"&amp;LEN(IF(Raw!D187="","",Raw!D187))&amp;":"&amp;IF(Raw!D187="","",Raw!D187)&amp;"|"&amp;LEN(IF(Raw!E187="","",Raw!E187))&amp;":"&amp;IF(Raw!E187="","",Raw!E187)&amp;"|"&amp;LEN(IF(Raw!F187="","",Raw!F187))&amp;":"&amp;IF(Raw!F187="","",Raw!F187)&amp;"|"&amp;LEN(IF(Raw!G187="","",Raw!G187))&amp;":"&amp;IF(Raw!G187="","",Raw!G187)</f>
        <v>6:L00181|6:T00091|10:2026-01-01|3:P-A|11:Accessories|4:sale|5:71.59</v>
      </c>
      <c r="Q187" s="1">
        <f>1</f>
        <v>1</v>
      </c>
      <c r="R187" s="1" t="b">
        <f>FALSE</f>
        <v>0</v>
      </c>
      <c r="S187" s="1">
        <f>1</f>
        <v>1</v>
      </c>
      <c r="T187" s="1" t="str">
        <f>IF(AND(Raw!A187="",Raw!B187="",Raw!C187="",Raw!D187="",Raw!E187="",Raw!F187="",Raw!G187=""),"UNUSED",IF(A187="","missing line ID",IF(B187="","missing transaction ID",IF(G187="",IF(C187="","missing date","invalid date"),IF(I187="","unknown product",IF(J187="","conflicting category",IF(NOT(OR(EXACT(K187,"sale"),EXACT(K187,"refund"))),"unknown event",IF(OR(N187="",NOT(O187)),"invalid amount",IF(OR(AND(K187="sale",N187&lt;=0),AND(K187="refund",N187&gt;=0)),"invalid sign","")))))))))</f>
        <v/>
      </c>
      <c r="U187" s="1" t="str">
        <f t="shared" si="21"/>
        <v>INCLUDED</v>
      </c>
      <c r="V187" s="1" t="str">
        <f t="shared" si="22"/>
        <v>2026-01</v>
      </c>
      <c r="W187" s="1">
        <f>IF(AND(U187="INCLUDED",X187&gt;0,EXACT(A187,'AI output'!A187)),1,0)</f>
        <v>1</v>
      </c>
      <c r="X187" s="1">
        <f>187</f>
        <v>187</v>
      </c>
      <c r="Y187" s="1">
        <f>IF(AND(U187="INCLUDED",W187=1),--(NOT(EXACT(A187,'AI output'!A187)))+--(NOT(EXACT(B187,'AI output'!B187)))+--(NOT(EXACT(TEXT(G187,"yyyy-mm-dd"),'AI output'!C187)))+--(NOT(EXACT(H187,'AI output'!D187)))+--(NOT(EXACT(J187,'AI output'!E187)))+--(NOT(EXACT(K187,'AI output'!F187)))+--(N187&lt;&gt;'AI output'!L187)+--(NOT('AI output'!M187)),0)</f>
        <v>0</v>
      </c>
      <c r="Z187" s="1">
        <f t="shared" si="23"/>
        <v>0</v>
      </c>
      <c r="AA187" s="1">
        <f>--EXACT(A187,"L00181")</f>
        <v>1</v>
      </c>
    </row>
    <row r="188" spans="1:27" ht="18.95" customHeight="1">
      <c r="A188" s="1" t="str">
        <f>IF(Raw!A188="","",Raw!A188)</f>
        <v>L00182</v>
      </c>
      <c r="B188" s="1" t="str">
        <f>IF(Raw!B188="","",Raw!B188)</f>
        <v>T00091</v>
      </c>
      <c r="C188" s="1" t="str">
        <f>IF(Raw!C188="","",Raw!C188)</f>
        <v>2026-01-01</v>
      </c>
      <c r="D188" s="1">
        <f t="shared" si="16"/>
        <v>2026</v>
      </c>
      <c r="E188" s="1">
        <f>IFERROR(IF(AND(LEN(C188)=10,MID(C188,5,1)="-",MID(C188,8,1)="-"),VALUE(MID(C188,6,2)),IF(AND(LEN(C188)=11,MID(C188,3,1)="-",MID(C188,7,1)="-"),MATCH(UPPER(MID(C188,4,3)),Guide!$D$7:$D$18,0),0)),0)</f>
        <v>1</v>
      </c>
      <c r="F188" s="1">
        <f t="shared" si="17"/>
        <v>1</v>
      </c>
      <c r="G188" s="9">
        <f t="shared" si="18"/>
        <v>46023</v>
      </c>
      <c r="H188" s="1" t="str">
        <f>IF(Raw!D188="","",Raw!D188)</f>
        <v>P-H</v>
      </c>
      <c r="I188" s="1" t="str">
        <f>IFERROR(IF(EXACT(H188,INDEX(Guide!$A$7:$A$9,MATCH(SUBSTITUTE(SUBSTITUTE(SUBSTITUTE(H188,"~","~~"),"*","~*"),"?","~?"),Guide!$A$7:$A$9,0))),INDEX(Guide!$B$7:$B$9,MATCH(SUBSTITUTE(SUBSTITUTE(SUBSTITUTE(H188,"~","~~"),"*","~*"),"?","~?"),Guide!$A$7:$A$9,0)),""),"")</f>
        <v>Home</v>
      </c>
      <c r="J188" s="1" t="str">
        <f>IF(TRIM(Raw!E188)="",I188,IF(UPPER(TRIM(Raw!E188))=UPPER(I188),I188,""))</f>
        <v>Home</v>
      </c>
      <c r="K188" s="1" t="str">
        <f>IF(Raw!F188="","",Raw!F188)</f>
        <v>sale</v>
      </c>
      <c r="L188" s="1" t="str">
        <f>IF(LEFT(TRIM(Raw!G188),2)="-$","-"&amp;MID(TRIM(Raw!G188),3,99),IF(LEFT(TRIM(Raw!G188),1)="$",MID(TRIM(Raw!G188),2,99),TRIM(Raw!G188)))</f>
        <v>215.88</v>
      </c>
      <c r="M188" s="1">
        <f t="shared" si="19"/>
        <v>215.88</v>
      </c>
      <c r="N188" s="10">
        <f t="shared" si="20"/>
        <v>21588</v>
      </c>
      <c r="O188" s="1" t="b">
        <f>IFERROR(IF(ISNUMBER(Raw!G188),TRUE,OR(EXACT(L188,TEXT(M188,"0.00")),EXACT(L188,TEXT(M188,"#,##0.00")))),FALSE)</f>
        <v>1</v>
      </c>
      <c r="P188" s="1" t="str">
        <f>LEN(IF(Raw!A188="","",Raw!A188))&amp;":"&amp;IF(Raw!A188="","",Raw!A188)&amp;"|"&amp;LEN(IF(Raw!B188="","",Raw!B188))&amp;":"&amp;IF(Raw!B188="","",Raw!B188)&amp;"|"&amp;LEN(IF(Raw!C188="","",Raw!C188))&amp;":"&amp;IF(Raw!C188="","",Raw!C188)&amp;"|"&amp;LEN(IF(Raw!D188="","",Raw!D188))&amp;":"&amp;IF(Raw!D188="","",Raw!D188)&amp;"|"&amp;LEN(IF(Raw!E188="","",Raw!E188))&amp;":"&amp;IF(Raw!E188="","",Raw!E188)&amp;"|"&amp;LEN(IF(Raw!F188="","",Raw!F188))&amp;":"&amp;IF(Raw!F188="","",Raw!F188)&amp;"|"&amp;LEN(IF(Raw!G188="","",Raw!G188))&amp;":"&amp;IF(Raw!G188="","",Raw!G188)</f>
        <v>6:L00182|6:T00091|10:2026-01-01|3:P-H|4:Home|4:sale|6:215.88</v>
      </c>
      <c r="Q188" s="1">
        <f>1</f>
        <v>1</v>
      </c>
      <c r="R188" s="1" t="b">
        <f>FALSE</f>
        <v>0</v>
      </c>
      <c r="S188" s="1">
        <f>1</f>
        <v>1</v>
      </c>
      <c r="T188" s="1" t="str">
        <f>IF(AND(Raw!A188="",Raw!B188="",Raw!C188="",Raw!D188="",Raw!E188="",Raw!F188="",Raw!G188=""),"UNUSED",IF(A188="","missing line ID",IF(B188="","missing transaction ID",IF(G188="",IF(C188="","missing date","invalid date"),IF(I188="","unknown product",IF(J188="","conflicting category",IF(NOT(OR(EXACT(K188,"sale"),EXACT(K188,"refund"))),"unknown event",IF(OR(N188="",NOT(O188)),"invalid amount",IF(OR(AND(K188="sale",N188&lt;=0),AND(K188="refund",N188&gt;=0)),"invalid sign","")))))))))</f>
        <v/>
      </c>
      <c r="U188" s="1" t="str">
        <f t="shared" si="21"/>
        <v>INCLUDED</v>
      </c>
      <c r="V188" s="1" t="str">
        <f t="shared" si="22"/>
        <v>2026-01</v>
      </c>
      <c r="W188" s="1">
        <f>IF(AND(U188="INCLUDED",X188&gt;0,EXACT(A188,'AI output'!A188)),1,0)</f>
        <v>1</v>
      </c>
      <c r="X188" s="1">
        <f>188</f>
        <v>188</v>
      </c>
      <c r="Y188" s="1">
        <f>IF(AND(U188="INCLUDED",W188=1),--(NOT(EXACT(A188,'AI output'!A188)))+--(NOT(EXACT(B188,'AI output'!B188)))+--(NOT(EXACT(TEXT(G188,"yyyy-mm-dd"),'AI output'!C188)))+--(NOT(EXACT(H188,'AI output'!D188)))+--(NOT(EXACT(J188,'AI output'!E188)))+--(NOT(EXACT(K188,'AI output'!F188)))+--(N188&lt;&gt;'AI output'!L188)+--(NOT('AI output'!M188)),0)</f>
        <v>0</v>
      </c>
      <c r="Z188" s="1">
        <f t="shared" si="23"/>
        <v>0</v>
      </c>
      <c r="AA188" s="1">
        <f>--EXACT(A188,"L00182")</f>
        <v>1</v>
      </c>
    </row>
    <row r="189" spans="1:27" ht="18.95" customHeight="1">
      <c r="A189" s="1" t="str">
        <f>IF(Raw!A189="","",Raw!A189)</f>
        <v>L00183</v>
      </c>
      <c r="B189" s="1" t="str">
        <f>IF(Raw!B189="","",Raw!B189)</f>
        <v>T00092</v>
      </c>
      <c r="C189" s="1" t="str">
        <f>IF(Raw!C189="","",Raw!C189)</f>
        <v>2026-01-08</v>
      </c>
      <c r="D189" s="1">
        <f t="shared" si="16"/>
        <v>2026</v>
      </c>
      <c r="E189" s="1">
        <f>IFERROR(IF(AND(LEN(C189)=10,MID(C189,5,1)="-",MID(C189,8,1)="-"),VALUE(MID(C189,6,2)),IF(AND(LEN(C189)=11,MID(C189,3,1)="-",MID(C189,7,1)="-"),MATCH(UPPER(MID(C189,4,3)),Guide!$D$7:$D$18,0),0)),0)</f>
        <v>1</v>
      </c>
      <c r="F189" s="1">
        <f t="shared" si="17"/>
        <v>8</v>
      </c>
      <c r="G189" s="9">
        <f t="shared" si="18"/>
        <v>46030</v>
      </c>
      <c r="H189" s="1" t="str">
        <f>IF(Raw!D189="","",Raw!D189)</f>
        <v>P-O</v>
      </c>
      <c r="I189" s="1" t="str">
        <f>IFERROR(IF(EXACT(H189,INDEX(Guide!$A$7:$A$9,MATCH(SUBSTITUTE(SUBSTITUTE(SUBSTITUTE(H189,"~","~~"),"*","~*"),"?","~?"),Guide!$A$7:$A$9,0))),INDEX(Guide!$B$7:$B$9,MATCH(SUBSTITUTE(SUBSTITUTE(SUBSTITUTE(H189,"~","~~"),"*","~*"),"?","~?"),Guide!$A$7:$A$9,0)),""),"")</f>
        <v>Office</v>
      </c>
      <c r="J189" s="1" t="str">
        <f>IF(TRIM(Raw!E189)="",I189,IF(UPPER(TRIM(Raw!E189))=UPPER(I189),I189,""))</f>
        <v>Office</v>
      </c>
      <c r="K189" s="1" t="str">
        <f>IF(Raw!F189="","",Raw!F189)</f>
        <v>sale</v>
      </c>
      <c r="L189" s="1" t="str">
        <f>IF(LEFT(TRIM(Raw!G189),2)="-$","-"&amp;MID(TRIM(Raw!G189),3,99),IF(LEFT(TRIM(Raw!G189),1)="$",MID(TRIM(Raw!G189),2,99),TRIM(Raw!G189)))</f>
        <v>361.65</v>
      </c>
      <c r="M189" s="1">
        <f t="shared" si="19"/>
        <v>361.65</v>
      </c>
      <c r="N189" s="10">
        <f t="shared" si="20"/>
        <v>36165</v>
      </c>
      <c r="O189" s="1" t="b">
        <f>IFERROR(IF(ISNUMBER(Raw!G189),TRUE,OR(EXACT(L189,TEXT(M189,"0.00")),EXACT(L189,TEXT(M189,"#,##0.00")))),FALSE)</f>
        <v>1</v>
      </c>
      <c r="P189" s="1" t="str">
        <f>LEN(IF(Raw!A189="","",Raw!A189))&amp;":"&amp;IF(Raw!A189="","",Raw!A189)&amp;"|"&amp;LEN(IF(Raw!B189="","",Raw!B189))&amp;":"&amp;IF(Raw!B189="","",Raw!B189)&amp;"|"&amp;LEN(IF(Raw!C189="","",Raw!C189))&amp;":"&amp;IF(Raw!C189="","",Raw!C189)&amp;"|"&amp;LEN(IF(Raw!D189="","",Raw!D189))&amp;":"&amp;IF(Raw!D189="","",Raw!D189)&amp;"|"&amp;LEN(IF(Raw!E189="","",Raw!E189))&amp;":"&amp;IF(Raw!E189="","",Raw!E189)&amp;"|"&amp;LEN(IF(Raw!F189="","",Raw!F189))&amp;":"&amp;IF(Raw!F189="","",Raw!F189)&amp;"|"&amp;LEN(IF(Raw!G189="","",Raw!G189))&amp;":"&amp;IF(Raw!G189="","",Raw!G189)</f>
        <v>6:L00183|6:T00092|10:2026-01-08|3:P-O|6:Office|4:sale|6:361.65</v>
      </c>
      <c r="Q189" s="1">
        <f>1</f>
        <v>1</v>
      </c>
      <c r="R189" s="1" t="b">
        <f>FALSE</f>
        <v>0</v>
      </c>
      <c r="S189" s="1">
        <f>1</f>
        <v>1</v>
      </c>
      <c r="T189" s="1" t="str">
        <f>IF(AND(Raw!A189="",Raw!B189="",Raw!C189="",Raw!D189="",Raw!E189="",Raw!F189="",Raw!G189=""),"UNUSED",IF(A189="","missing line ID",IF(B189="","missing transaction ID",IF(G189="",IF(C189="","missing date","invalid date"),IF(I189="","unknown product",IF(J189="","conflicting category",IF(NOT(OR(EXACT(K189,"sale"),EXACT(K189,"refund"))),"unknown event",IF(OR(N189="",NOT(O189)),"invalid amount",IF(OR(AND(K189="sale",N189&lt;=0),AND(K189="refund",N189&gt;=0)),"invalid sign","")))))))))</f>
        <v/>
      </c>
      <c r="U189" s="1" t="str">
        <f t="shared" si="21"/>
        <v>INCLUDED</v>
      </c>
      <c r="V189" s="1" t="str">
        <f t="shared" si="22"/>
        <v>2026-01</v>
      </c>
      <c r="W189" s="1">
        <f>IF(AND(U189="INCLUDED",X189&gt;0,EXACT(A189,'AI output'!A189)),1,0)</f>
        <v>1</v>
      </c>
      <c r="X189" s="1">
        <f>189</f>
        <v>189</v>
      </c>
      <c r="Y189" s="1">
        <f>IF(AND(U189="INCLUDED",W189=1),--(NOT(EXACT(A189,'AI output'!A189)))+--(NOT(EXACT(B189,'AI output'!B189)))+--(NOT(EXACT(TEXT(G189,"yyyy-mm-dd"),'AI output'!C189)))+--(NOT(EXACT(H189,'AI output'!D189)))+--(NOT(EXACT(J189,'AI output'!E189)))+--(NOT(EXACT(K189,'AI output'!F189)))+--(N189&lt;&gt;'AI output'!L189)+--(NOT('AI output'!M189)),0)</f>
        <v>0</v>
      </c>
      <c r="Z189" s="1">
        <f t="shared" si="23"/>
        <v>0</v>
      </c>
      <c r="AA189" s="1">
        <f>--EXACT(A189,"L00183")</f>
        <v>1</v>
      </c>
    </row>
    <row r="190" spans="1:27" ht="18.95" customHeight="1">
      <c r="A190" s="1" t="str">
        <f>IF(Raw!A190="","",Raw!A190)</f>
        <v>L00184</v>
      </c>
      <c r="B190" s="1" t="str">
        <f>IF(Raw!B190="","",Raw!B190)</f>
        <v>T00092</v>
      </c>
      <c r="C190" s="1" t="str">
        <f>IF(Raw!C190="","",Raw!C190)</f>
        <v>2026-01-08</v>
      </c>
      <c r="D190" s="1">
        <f t="shared" si="16"/>
        <v>2026</v>
      </c>
      <c r="E190" s="1">
        <f>IFERROR(IF(AND(LEN(C190)=10,MID(C190,5,1)="-",MID(C190,8,1)="-"),VALUE(MID(C190,6,2)),IF(AND(LEN(C190)=11,MID(C190,3,1)="-",MID(C190,7,1)="-"),MATCH(UPPER(MID(C190,4,3)),Guide!$D$7:$D$18,0),0)),0)</f>
        <v>1</v>
      </c>
      <c r="F190" s="1">
        <f t="shared" si="17"/>
        <v>8</v>
      </c>
      <c r="G190" s="9">
        <f t="shared" si="18"/>
        <v>46030</v>
      </c>
      <c r="H190" s="1" t="str">
        <f>IF(Raw!D190="","",Raw!D190)</f>
        <v>P-A</v>
      </c>
      <c r="I190" s="1" t="str">
        <f>IFERROR(IF(EXACT(H190,INDEX(Guide!$A$7:$A$9,MATCH(SUBSTITUTE(SUBSTITUTE(SUBSTITUTE(H190,"~","~~"),"*","~*"),"?","~?"),Guide!$A$7:$A$9,0))),INDEX(Guide!$B$7:$B$9,MATCH(SUBSTITUTE(SUBSTITUTE(SUBSTITUTE(H190,"~","~~"),"*","~*"),"?","~?"),Guide!$A$7:$A$9,0)),""),"")</f>
        <v>Accessories</v>
      </c>
      <c r="J190" s="1" t="str">
        <f>IF(TRIM(Raw!E190)="",I190,IF(UPPER(TRIM(Raw!E190))=UPPER(I190),I190,""))</f>
        <v>Accessories</v>
      </c>
      <c r="K190" s="1" t="str">
        <f>IF(Raw!F190="","",Raw!F190)</f>
        <v>sale</v>
      </c>
      <c r="L190" s="1" t="str">
        <f>IF(LEFT(TRIM(Raw!G190),2)="-$","-"&amp;MID(TRIM(Raw!G190),3,99),IF(LEFT(TRIM(Raw!G190),1)="$",MID(TRIM(Raw!G190),2,99),TRIM(Raw!G190)))</f>
        <v>145.40</v>
      </c>
      <c r="M190" s="1">
        <f t="shared" si="19"/>
        <v>145.4</v>
      </c>
      <c r="N190" s="10">
        <f t="shared" si="20"/>
        <v>14540</v>
      </c>
      <c r="O190" s="1" t="b">
        <f>IFERROR(IF(ISNUMBER(Raw!G190),TRUE,OR(EXACT(L190,TEXT(M190,"0.00")),EXACT(L190,TEXT(M190,"#,##0.00")))),FALSE)</f>
        <v>1</v>
      </c>
      <c r="P190" s="1" t="str">
        <f>LEN(IF(Raw!A190="","",Raw!A190))&amp;":"&amp;IF(Raw!A190="","",Raw!A190)&amp;"|"&amp;LEN(IF(Raw!B190="","",Raw!B190))&amp;":"&amp;IF(Raw!B190="","",Raw!B190)&amp;"|"&amp;LEN(IF(Raw!C190="","",Raw!C190))&amp;":"&amp;IF(Raw!C190="","",Raw!C190)&amp;"|"&amp;LEN(IF(Raw!D190="","",Raw!D190))&amp;":"&amp;IF(Raw!D190="","",Raw!D190)&amp;"|"&amp;LEN(IF(Raw!E190="","",Raw!E190))&amp;":"&amp;IF(Raw!E190="","",Raw!E190)&amp;"|"&amp;LEN(IF(Raw!F190="","",Raw!F190))&amp;":"&amp;IF(Raw!F190="","",Raw!F190)&amp;"|"&amp;LEN(IF(Raw!G190="","",Raw!G190))&amp;":"&amp;IF(Raw!G190="","",Raw!G190)</f>
        <v>6:L00184|6:T00092|10:2026-01-08|3:P-A|11:Accessories|4:sale|6:145.40</v>
      </c>
      <c r="Q190" s="1">
        <f>1</f>
        <v>1</v>
      </c>
      <c r="R190" s="1" t="b">
        <f>FALSE</f>
        <v>0</v>
      </c>
      <c r="S190" s="1">
        <f>1</f>
        <v>1</v>
      </c>
      <c r="T190" s="1" t="str">
        <f>IF(AND(Raw!A190="",Raw!B190="",Raw!C190="",Raw!D190="",Raw!E190="",Raw!F190="",Raw!G190=""),"UNUSED",IF(A190="","missing line ID",IF(B190="","missing transaction ID",IF(G190="",IF(C190="","missing date","invalid date"),IF(I190="","unknown product",IF(J190="","conflicting category",IF(NOT(OR(EXACT(K190,"sale"),EXACT(K190,"refund"))),"unknown event",IF(OR(N190="",NOT(O190)),"invalid amount",IF(OR(AND(K190="sale",N190&lt;=0),AND(K190="refund",N190&gt;=0)),"invalid sign","")))))))))</f>
        <v/>
      </c>
      <c r="U190" s="1" t="str">
        <f t="shared" si="21"/>
        <v>INCLUDED</v>
      </c>
      <c r="V190" s="1" t="str">
        <f t="shared" si="22"/>
        <v>2026-01</v>
      </c>
      <c r="W190" s="1">
        <f>IF(AND(U190="INCLUDED",X190&gt;0,EXACT(A190,'AI output'!A190)),1,0)</f>
        <v>1</v>
      </c>
      <c r="X190" s="1">
        <f>190</f>
        <v>190</v>
      </c>
      <c r="Y190" s="1">
        <f>IF(AND(U190="INCLUDED",W190=1),--(NOT(EXACT(A190,'AI output'!A190)))+--(NOT(EXACT(B190,'AI output'!B190)))+--(NOT(EXACT(TEXT(G190,"yyyy-mm-dd"),'AI output'!C190)))+--(NOT(EXACT(H190,'AI output'!D190)))+--(NOT(EXACT(J190,'AI output'!E190)))+--(NOT(EXACT(K190,'AI output'!F190)))+--(N190&lt;&gt;'AI output'!L190)+--(NOT('AI output'!M190)),0)</f>
        <v>0</v>
      </c>
      <c r="Z190" s="1">
        <f t="shared" si="23"/>
        <v>0</v>
      </c>
      <c r="AA190" s="1">
        <f>--EXACT(A190,"L00184")</f>
        <v>1</v>
      </c>
    </row>
    <row r="191" spans="1:27" ht="18.95" customHeight="1">
      <c r="A191" s="1" t="str">
        <f>IF(Raw!A191="","",Raw!A191)</f>
        <v>L00185</v>
      </c>
      <c r="B191" s="1" t="str">
        <f>IF(Raw!B191="","",Raw!B191)</f>
        <v>T00093</v>
      </c>
      <c r="C191" s="1" t="str">
        <f>IF(Raw!C191="","",Raw!C191)</f>
        <v>2026-01-15</v>
      </c>
      <c r="D191" s="1">
        <f t="shared" si="16"/>
        <v>2026</v>
      </c>
      <c r="E191" s="1">
        <f>IFERROR(IF(AND(LEN(C191)=10,MID(C191,5,1)="-",MID(C191,8,1)="-"),VALUE(MID(C191,6,2)),IF(AND(LEN(C191)=11,MID(C191,3,1)="-",MID(C191,7,1)="-"),MATCH(UPPER(MID(C191,4,3)),Guide!$D$7:$D$18,0),0)),0)</f>
        <v>1</v>
      </c>
      <c r="F191" s="1">
        <f t="shared" si="17"/>
        <v>15</v>
      </c>
      <c r="G191" s="9">
        <f t="shared" si="18"/>
        <v>46037</v>
      </c>
      <c r="H191" s="1" t="str">
        <f>IF(Raw!D191="","",Raw!D191)</f>
        <v>P-H</v>
      </c>
      <c r="I191" s="1" t="str">
        <f>IFERROR(IF(EXACT(H191,INDEX(Guide!$A$7:$A$9,MATCH(SUBSTITUTE(SUBSTITUTE(SUBSTITUTE(H191,"~","~~"),"*","~*"),"?","~?"),Guide!$A$7:$A$9,0))),INDEX(Guide!$B$7:$B$9,MATCH(SUBSTITUTE(SUBSTITUTE(SUBSTITUTE(H191,"~","~~"),"*","~*"),"?","~?"),Guide!$A$7:$A$9,0)),""),"")</f>
        <v>Home</v>
      </c>
      <c r="J191" s="1" t="str">
        <f>IF(TRIM(Raw!E191)="",I191,IF(UPPER(TRIM(Raw!E191))=UPPER(I191),I191,""))</f>
        <v>Home</v>
      </c>
      <c r="K191" s="1" t="str">
        <f>IF(Raw!F191="","",Raw!F191)</f>
        <v>refund</v>
      </c>
      <c r="L191" s="1" t="str">
        <f>IF(LEFT(TRIM(Raw!G191),2)="-$","-"&amp;MID(TRIM(Raw!G191),3,99),IF(LEFT(TRIM(Raw!G191),1)="$",MID(TRIM(Raw!G191),2,99),TRIM(Raw!G191)))</f>
        <v>-292.28</v>
      </c>
      <c r="M191" s="1">
        <f t="shared" si="19"/>
        <v>-292.27999999999997</v>
      </c>
      <c r="N191" s="10">
        <f t="shared" si="20"/>
        <v>-29228</v>
      </c>
      <c r="O191" s="1" t="b">
        <f>IFERROR(IF(ISNUMBER(Raw!G191),TRUE,OR(EXACT(L191,TEXT(M191,"0.00")),EXACT(L191,TEXT(M191,"#,##0.00")))),FALSE)</f>
        <v>1</v>
      </c>
      <c r="P191" s="1" t="str">
        <f>LEN(IF(Raw!A191="","",Raw!A191))&amp;":"&amp;IF(Raw!A191="","",Raw!A191)&amp;"|"&amp;LEN(IF(Raw!B191="","",Raw!B191))&amp;":"&amp;IF(Raw!B191="","",Raw!B191)&amp;"|"&amp;LEN(IF(Raw!C191="","",Raw!C191))&amp;":"&amp;IF(Raw!C191="","",Raw!C191)&amp;"|"&amp;LEN(IF(Raw!D191="","",Raw!D191))&amp;":"&amp;IF(Raw!D191="","",Raw!D191)&amp;"|"&amp;LEN(IF(Raw!E191="","",Raw!E191))&amp;":"&amp;IF(Raw!E191="","",Raw!E191)&amp;"|"&amp;LEN(IF(Raw!F191="","",Raw!F191))&amp;":"&amp;IF(Raw!F191="","",Raw!F191)&amp;"|"&amp;LEN(IF(Raw!G191="","",Raw!G191))&amp;":"&amp;IF(Raw!G191="","",Raw!G191)</f>
        <v>6:L00185|6:T00093|10:2026-01-15|3:P-H|4:Home|6:refund|7:-292.28</v>
      </c>
      <c r="Q191" s="1">
        <f>1</f>
        <v>1</v>
      </c>
      <c r="R191" s="1" t="b">
        <f>FALSE</f>
        <v>0</v>
      </c>
      <c r="S191" s="1">
        <f>1</f>
        <v>1</v>
      </c>
      <c r="T191" s="1" t="str">
        <f>IF(AND(Raw!A191="",Raw!B191="",Raw!C191="",Raw!D191="",Raw!E191="",Raw!F191="",Raw!G191=""),"UNUSED",IF(A191="","missing line ID",IF(B191="","missing transaction ID",IF(G191="",IF(C191="","missing date","invalid date"),IF(I191="","unknown product",IF(J191="","conflicting category",IF(NOT(OR(EXACT(K191,"sale"),EXACT(K191,"refund"))),"unknown event",IF(OR(N191="",NOT(O191)),"invalid amount",IF(OR(AND(K191="sale",N191&lt;=0),AND(K191="refund",N191&gt;=0)),"invalid sign","")))))))))</f>
        <v/>
      </c>
      <c r="U191" s="1" t="str">
        <f t="shared" si="21"/>
        <v>INCLUDED</v>
      </c>
      <c r="V191" s="1" t="str">
        <f t="shared" si="22"/>
        <v>2026-01</v>
      </c>
      <c r="W191" s="1">
        <f>IF(AND(U191="INCLUDED",X191&gt;0,EXACT(A191,'AI output'!A191)),1,0)</f>
        <v>1</v>
      </c>
      <c r="X191" s="1">
        <f>191</f>
        <v>191</v>
      </c>
      <c r="Y191" s="1">
        <f>IF(AND(U191="INCLUDED",W191=1),--(NOT(EXACT(A191,'AI output'!A191)))+--(NOT(EXACT(B191,'AI output'!B191)))+--(NOT(EXACT(TEXT(G191,"yyyy-mm-dd"),'AI output'!C191)))+--(NOT(EXACT(H191,'AI output'!D191)))+--(NOT(EXACT(J191,'AI output'!E191)))+--(NOT(EXACT(K191,'AI output'!F191)))+--(N191&lt;&gt;'AI output'!L191)+--(NOT('AI output'!M191)),0)</f>
        <v>0</v>
      </c>
      <c r="Z191" s="1">
        <f t="shared" si="23"/>
        <v>0</v>
      </c>
      <c r="AA191" s="1">
        <f>--EXACT(A191,"L00185")</f>
        <v>1</v>
      </c>
    </row>
    <row r="192" spans="1:27" ht="18.95" customHeight="1">
      <c r="A192" s="1" t="str">
        <f>IF(Raw!A192="","",Raw!A192)</f>
        <v>L00186</v>
      </c>
      <c r="B192" s="1" t="str">
        <f>IF(Raw!B192="","",Raw!B192)</f>
        <v>T00093</v>
      </c>
      <c r="C192" s="1" t="str">
        <f>IF(Raw!C192="","",Raw!C192)</f>
        <v>2026-01-15</v>
      </c>
      <c r="D192" s="1">
        <f t="shared" si="16"/>
        <v>2026</v>
      </c>
      <c r="E192" s="1">
        <f>IFERROR(IF(AND(LEN(C192)=10,MID(C192,5,1)="-",MID(C192,8,1)="-"),VALUE(MID(C192,6,2)),IF(AND(LEN(C192)=11,MID(C192,3,1)="-",MID(C192,7,1)="-"),MATCH(UPPER(MID(C192,4,3)),Guide!$D$7:$D$18,0),0)),0)</f>
        <v>1</v>
      </c>
      <c r="F192" s="1">
        <f t="shared" si="17"/>
        <v>15</v>
      </c>
      <c r="G192" s="9">
        <f t="shared" si="18"/>
        <v>46037</v>
      </c>
      <c r="H192" s="1" t="str">
        <f>IF(Raw!D192="","",Raw!D192)</f>
        <v>P-O</v>
      </c>
      <c r="I192" s="1" t="str">
        <f>IFERROR(IF(EXACT(H192,INDEX(Guide!$A$7:$A$9,MATCH(SUBSTITUTE(SUBSTITUTE(SUBSTITUTE(H192,"~","~~"),"*","~*"),"?","~?"),Guide!$A$7:$A$9,0))),INDEX(Guide!$B$7:$B$9,MATCH(SUBSTITUTE(SUBSTITUTE(SUBSTITUTE(H192,"~","~~"),"*","~*"),"?","~?"),Guide!$A$7:$A$9,0)),""),"")</f>
        <v>Office</v>
      </c>
      <c r="J192" s="1" t="str">
        <f>IF(TRIM(Raw!E192)="",I192,IF(UPPER(TRIM(Raw!E192))=UPPER(I192),I192,""))</f>
        <v>Office</v>
      </c>
      <c r="K192" s="1" t="str">
        <f>IF(Raw!F192="","",Raw!F192)</f>
        <v>sale</v>
      </c>
      <c r="L192" s="1" t="str">
        <f>IF(LEFT(TRIM(Raw!G192),2)="-$","-"&amp;MID(TRIM(Raw!G192),3,99),IF(LEFT(TRIM(Raw!G192),1)="$",MID(TRIM(Raw!G192),2,99),TRIM(Raw!G192)))</f>
        <v>73.44</v>
      </c>
      <c r="M192" s="1">
        <f t="shared" si="19"/>
        <v>73.44</v>
      </c>
      <c r="N192" s="10">
        <f t="shared" si="20"/>
        <v>7344</v>
      </c>
      <c r="O192" s="1" t="b">
        <f>IFERROR(IF(ISNUMBER(Raw!G192),TRUE,OR(EXACT(L192,TEXT(M192,"0.00")),EXACT(L192,TEXT(M192,"#,##0.00")))),FALSE)</f>
        <v>1</v>
      </c>
      <c r="P192" s="1" t="str">
        <f>LEN(IF(Raw!A192="","",Raw!A192))&amp;":"&amp;IF(Raw!A192="","",Raw!A192)&amp;"|"&amp;LEN(IF(Raw!B192="","",Raw!B192))&amp;":"&amp;IF(Raw!B192="","",Raw!B192)&amp;"|"&amp;LEN(IF(Raw!C192="","",Raw!C192))&amp;":"&amp;IF(Raw!C192="","",Raw!C192)&amp;"|"&amp;LEN(IF(Raw!D192="","",Raw!D192))&amp;":"&amp;IF(Raw!D192="","",Raw!D192)&amp;"|"&amp;LEN(IF(Raw!E192="","",Raw!E192))&amp;":"&amp;IF(Raw!E192="","",Raw!E192)&amp;"|"&amp;LEN(IF(Raw!F192="","",Raw!F192))&amp;":"&amp;IF(Raw!F192="","",Raw!F192)&amp;"|"&amp;LEN(IF(Raw!G192="","",Raw!G192))&amp;":"&amp;IF(Raw!G192="","",Raw!G192)</f>
        <v>6:L00186|6:T00093|10:2026-01-15|3:P-O|6:Office|4:sale|5:73.44</v>
      </c>
      <c r="Q192" s="1">
        <f>2</f>
        <v>2</v>
      </c>
      <c r="R192" s="1" t="b">
        <f>OR(NOT(EXACT(P192,P1989)))</f>
        <v>0</v>
      </c>
      <c r="S192" s="1">
        <f>1</f>
        <v>1</v>
      </c>
      <c r="T192" s="1" t="str">
        <f>IF(AND(Raw!A192="",Raw!B192="",Raw!C192="",Raw!D192="",Raw!E192="",Raw!F192="",Raw!G192=""),"UNUSED",IF(A192="","missing line ID",IF(B192="","missing transaction ID",IF(G192="",IF(C192="","missing date","invalid date"),IF(I192="","unknown product",IF(J192="","conflicting category",IF(NOT(OR(EXACT(K192,"sale"),EXACT(K192,"refund"))),"unknown event",IF(OR(N192="",NOT(O192)),"invalid amount",IF(OR(AND(K192="sale",N192&lt;=0),AND(K192="refund",N192&gt;=0)),"invalid sign","")))))))))</f>
        <v/>
      </c>
      <c r="U192" s="1" t="str">
        <f t="shared" si="21"/>
        <v>INCLUDED</v>
      </c>
      <c r="V192" s="1" t="str">
        <f t="shared" si="22"/>
        <v>2026-01</v>
      </c>
      <c r="W192" s="1">
        <f>IF(AND(U192="INCLUDED",X192&gt;0,EXACT(A192,'AI output'!A192)),1,0)</f>
        <v>1</v>
      </c>
      <c r="X192" s="1">
        <f>192</f>
        <v>192</v>
      </c>
      <c r="Y192" s="1">
        <f>IF(AND(U192="INCLUDED",W192=1),--(NOT(EXACT(A192,'AI output'!A192)))+--(NOT(EXACT(B192,'AI output'!B192)))+--(NOT(EXACT(TEXT(G192,"yyyy-mm-dd"),'AI output'!C192)))+--(NOT(EXACT(H192,'AI output'!D192)))+--(NOT(EXACT(J192,'AI output'!E192)))+--(NOT(EXACT(K192,'AI output'!F192)))+--(N192&lt;&gt;'AI output'!L192)+--(NOT('AI output'!M192)),0)</f>
        <v>0</v>
      </c>
      <c r="Z192" s="1">
        <f t="shared" si="23"/>
        <v>0</v>
      </c>
      <c r="AA192" s="1">
        <f>--EXACT(A192,"L00186")</f>
        <v>1</v>
      </c>
    </row>
    <row r="193" spans="1:27" ht="18.95" customHeight="1">
      <c r="A193" s="1" t="str">
        <f>IF(Raw!A193="","",Raw!A193)</f>
        <v>L00187</v>
      </c>
      <c r="B193" s="1" t="str">
        <f>IF(Raw!B193="","",Raw!B193)</f>
        <v>T00094</v>
      </c>
      <c r="C193" s="1" t="str">
        <f>IF(Raw!C193="","",Raw!C193)</f>
        <v>2026-01-22</v>
      </c>
      <c r="D193" s="1">
        <f t="shared" si="16"/>
        <v>2026</v>
      </c>
      <c r="E193" s="1">
        <f>IFERROR(IF(AND(LEN(C193)=10,MID(C193,5,1)="-",MID(C193,8,1)="-"),VALUE(MID(C193,6,2)),IF(AND(LEN(C193)=11,MID(C193,3,1)="-",MID(C193,7,1)="-"),MATCH(UPPER(MID(C193,4,3)),Guide!$D$7:$D$18,0),0)),0)</f>
        <v>1</v>
      </c>
      <c r="F193" s="1">
        <f t="shared" si="17"/>
        <v>22</v>
      </c>
      <c r="G193" s="9">
        <f t="shared" si="18"/>
        <v>46044</v>
      </c>
      <c r="H193" s="1" t="str">
        <f>IF(Raw!D193="","",Raw!D193)</f>
        <v>P-A</v>
      </c>
      <c r="I193" s="1" t="str">
        <f>IFERROR(IF(EXACT(H193,INDEX(Guide!$A$7:$A$9,MATCH(SUBSTITUTE(SUBSTITUTE(SUBSTITUTE(H193,"~","~~"),"*","~*"),"?","~?"),Guide!$A$7:$A$9,0))),INDEX(Guide!$B$7:$B$9,MATCH(SUBSTITUTE(SUBSTITUTE(SUBSTITUTE(H193,"~","~~"),"*","~*"),"?","~?"),Guide!$A$7:$A$9,0)),""),"")</f>
        <v>Accessories</v>
      </c>
      <c r="J193" s="1" t="str">
        <f>IF(TRIM(Raw!E193)="",I193,IF(UPPER(TRIM(Raw!E193))=UPPER(I193),I193,""))</f>
        <v>Accessories</v>
      </c>
      <c r="K193" s="1" t="str">
        <f>IF(Raw!F193="","",Raw!F193)</f>
        <v>sale</v>
      </c>
      <c r="L193" s="1" t="str">
        <f>IF(LEFT(TRIM(Raw!G193),2)="-$","-"&amp;MID(TRIM(Raw!G193),3,99),IF(LEFT(TRIM(Raw!G193),1)="$",MID(TRIM(Raw!G193),2,99),TRIM(Raw!G193)))</f>
        <v>221.43</v>
      </c>
      <c r="M193" s="1">
        <f t="shared" si="19"/>
        <v>221.43</v>
      </c>
      <c r="N193" s="10">
        <f t="shared" si="20"/>
        <v>22143</v>
      </c>
      <c r="O193" s="1" t="b">
        <f>IFERROR(IF(ISNUMBER(Raw!G193),TRUE,OR(EXACT(L193,TEXT(M193,"0.00")),EXACT(L193,TEXT(M193,"#,##0.00")))),FALSE)</f>
        <v>1</v>
      </c>
      <c r="P193" s="1" t="str">
        <f>LEN(IF(Raw!A193="","",Raw!A193))&amp;":"&amp;IF(Raw!A193="","",Raw!A193)&amp;"|"&amp;LEN(IF(Raw!B193="","",Raw!B193))&amp;":"&amp;IF(Raw!B193="","",Raw!B193)&amp;"|"&amp;LEN(IF(Raw!C193="","",Raw!C193))&amp;":"&amp;IF(Raw!C193="","",Raw!C193)&amp;"|"&amp;LEN(IF(Raw!D193="","",Raw!D193))&amp;":"&amp;IF(Raw!D193="","",Raw!D193)&amp;"|"&amp;LEN(IF(Raw!E193="","",Raw!E193))&amp;":"&amp;IF(Raw!E193="","",Raw!E193)&amp;"|"&amp;LEN(IF(Raw!F193="","",Raw!F193))&amp;":"&amp;IF(Raw!F193="","",Raw!F193)&amp;"|"&amp;LEN(IF(Raw!G193="","",Raw!G193))&amp;":"&amp;IF(Raw!G193="","",Raw!G193)</f>
        <v>6:L00187|6:T00094|10:2026-01-22|3:P-A|11:Accessories|4:sale|6:221.43</v>
      </c>
      <c r="Q193" s="1">
        <f>1</f>
        <v>1</v>
      </c>
      <c r="R193" s="1" t="b">
        <f>FALSE</f>
        <v>0</v>
      </c>
      <c r="S193" s="1">
        <f>1</f>
        <v>1</v>
      </c>
      <c r="T193" s="1" t="str">
        <f>IF(AND(Raw!A193="",Raw!B193="",Raw!C193="",Raw!D193="",Raw!E193="",Raw!F193="",Raw!G193=""),"UNUSED",IF(A193="","missing line ID",IF(B193="","missing transaction ID",IF(G193="",IF(C193="","missing date","invalid date"),IF(I193="","unknown product",IF(J193="","conflicting category",IF(NOT(OR(EXACT(K193,"sale"),EXACT(K193,"refund"))),"unknown event",IF(OR(N193="",NOT(O193)),"invalid amount",IF(OR(AND(K193="sale",N193&lt;=0),AND(K193="refund",N193&gt;=0)),"invalid sign","")))))))))</f>
        <v/>
      </c>
      <c r="U193" s="1" t="str">
        <f t="shared" si="21"/>
        <v>INCLUDED</v>
      </c>
      <c r="V193" s="1" t="str">
        <f t="shared" si="22"/>
        <v>2026-01</v>
      </c>
      <c r="W193" s="1">
        <f>IF(AND(U193="INCLUDED",X193&gt;0,EXACT(A193,'AI output'!A193)),1,0)</f>
        <v>1</v>
      </c>
      <c r="X193" s="1">
        <f>193</f>
        <v>193</v>
      </c>
      <c r="Y193" s="1">
        <f>IF(AND(U193="INCLUDED",W193=1),--(NOT(EXACT(A193,'AI output'!A193)))+--(NOT(EXACT(B193,'AI output'!B193)))+--(NOT(EXACT(TEXT(G193,"yyyy-mm-dd"),'AI output'!C193)))+--(NOT(EXACT(H193,'AI output'!D193)))+--(NOT(EXACT(J193,'AI output'!E193)))+--(NOT(EXACT(K193,'AI output'!F193)))+--(N193&lt;&gt;'AI output'!L193)+--(NOT('AI output'!M193)),0)</f>
        <v>0</v>
      </c>
      <c r="Z193" s="1">
        <f t="shared" si="23"/>
        <v>0</v>
      </c>
      <c r="AA193" s="1">
        <f>--EXACT(A193,"L00187")</f>
        <v>1</v>
      </c>
    </row>
    <row r="194" spans="1:27" ht="18.95" customHeight="1">
      <c r="A194" s="1" t="str">
        <f>IF(Raw!A194="","",Raw!A194)</f>
        <v>L00188</v>
      </c>
      <c r="B194" s="1" t="str">
        <f>IF(Raw!B194="","",Raw!B194)</f>
        <v>T00094</v>
      </c>
      <c r="C194" s="1" t="str">
        <f>IF(Raw!C194="","",Raw!C194)</f>
        <v>2026-01-22</v>
      </c>
      <c r="D194" s="1">
        <f t="shared" si="16"/>
        <v>2026</v>
      </c>
      <c r="E194" s="1">
        <f>IFERROR(IF(AND(LEN(C194)=10,MID(C194,5,1)="-",MID(C194,8,1)="-"),VALUE(MID(C194,6,2)),IF(AND(LEN(C194)=11,MID(C194,3,1)="-",MID(C194,7,1)="-"),MATCH(UPPER(MID(C194,4,3)),Guide!$D$7:$D$18,0),0)),0)</f>
        <v>1</v>
      </c>
      <c r="F194" s="1">
        <f t="shared" si="17"/>
        <v>22</v>
      </c>
      <c r="G194" s="9">
        <f t="shared" si="18"/>
        <v>46044</v>
      </c>
      <c r="H194" s="1" t="str">
        <f>IF(Raw!D194="","",Raw!D194)</f>
        <v>P-H</v>
      </c>
      <c r="I194" s="1" t="str">
        <f>IFERROR(IF(EXACT(H194,INDEX(Guide!$A$7:$A$9,MATCH(SUBSTITUTE(SUBSTITUTE(SUBSTITUTE(H194,"~","~~"),"*","~*"),"?","~?"),Guide!$A$7:$A$9,0))),INDEX(Guide!$B$7:$B$9,MATCH(SUBSTITUTE(SUBSTITUTE(SUBSTITUTE(H194,"~","~~"),"*","~*"),"?","~?"),Guide!$A$7:$A$9,0)),""),"")</f>
        <v>Home</v>
      </c>
      <c r="J194" s="1" t="str">
        <f>IF(TRIM(Raw!E194)="",I194,IF(UPPER(TRIM(Raw!E194))=UPPER(I194),I194,""))</f>
        <v>Home</v>
      </c>
      <c r="K194" s="1" t="str">
        <f>IF(Raw!F194="","",Raw!F194)</f>
        <v>sale</v>
      </c>
      <c r="L194" s="1" t="str">
        <f>IF(LEFT(TRIM(Raw!G194),2)="-$","-"&amp;MID(TRIM(Raw!G194),3,99),IF(LEFT(TRIM(Raw!G194),1)="$",MID(TRIM(Raw!G194),2,99),TRIM(Raw!G194)))</f>
        <v>370.90</v>
      </c>
      <c r="M194" s="1">
        <f t="shared" si="19"/>
        <v>370.9</v>
      </c>
      <c r="N194" s="10">
        <f t="shared" si="20"/>
        <v>37090</v>
      </c>
      <c r="O194" s="1" t="b">
        <f>IFERROR(IF(ISNUMBER(Raw!G194),TRUE,OR(EXACT(L194,TEXT(M194,"0.00")),EXACT(L194,TEXT(M194,"#,##0.00")))),FALSE)</f>
        <v>1</v>
      </c>
      <c r="P194" s="1" t="str">
        <f>LEN(IF(Raw!A194="","",Raw!A194))&amp;":"&amp;IF(Raw!A194="","",Raw!A194)&amp;"|"&amp;LEN(IF(Raw!B194="","",Raw!B194))&amp;":"&amp;IF(Raw!B194="","",Raw!B194)&amp;"|"&amp;LEN(IF(Raw!C194="","",Raw!C194))&amp;":"&amp;IF(Raw!C194="","",Raw!C194)&amp;"|"&amp;LEN(IF(Raw!D194="","",Raw!D194))&amp;":"&amp;IF(Raw!D194="","",Raw!D194)&amp;"|"&amp;LEN(IF(Raw!E194="","",Raw!E194))&amp;":"&amp;IF(Raw!E194="","",Raw!E194)&amp;"|"&amp;LEN(IF(Raw!F194="","",Raw!F194))&amp;":"&amp;IF(Raw!F194="","",Raw!F194)&amp;"|"&amp;LEN(IF(Raw!G194="","",Raw!G194))&amp;":"&amp;IF(Raw!G194="","",Raw!G194)</f>
        <v>6:L00188|6:T00094|10:2026-01-22|3:P-H|4:Home|4:sale|6:370.90</v>
      </c>
      <c r="Q194" s="1">
        <f>1</f>
        <v>1</v>
      </c>
      <c r="R194" s="1" t="b">
        <f>FALSE</f>
        <v>0</v>
      </c>
      <c r="S194" s="1">
        <f>1</f>
        <v>1</v>
      </c>
      <c r="T194" s="1" t="str">
        <f>IF(AND(Raw!A194="",Raw!B194="",Raw!C194="",Raw!D194="",Raw!E194="",Raw!F194="",Raw!G194=""),"UNUSED",IF(A194="","missing line ID",IF(B194="","missing transaction ID",IF(G194="",IF(C194="","missing date","invalid date"),IF(I194="","unknown product",IF(J194="","conflicting category",IF(NOT(OR(EXACT(K194,"sale"),EXACT(K194,"refund"))),"unknown event",IF(OR(N194="",NOT(O194)),"invalid amount",IF(OR(AND(K194="sale",N194&lt;=0),AND(K194="refund",N194&gt;=0)),"invalid sign","")))))))))</f>
        <v/>
      </c>
      <c r="U194" s="1" t="str">
        <f t="shared" si="21"/>
        <v>INCLUDED</v>
      </c>
      <c r="V194" s="1" t="str">
        <f t="shared" si="22"/>
        <v>2026-01</v>
      </c>
      <c r="W194" s="1">
        <f>IF(AND(U194="INCLUDED",X194&gt;0,EXACT(A194,'AI output'!A194)),1,0)</f>
        <v>1</v>
      </c>
      <c r="X194" s="1">
        <f>194</f>
        <v>194</v>
      </c>
      <c r="Y194" s="1">
        <f>IF(AND(U194="INCLUDED",W194=1),--(NOT(EXACT(A194,'AI output'!A194)))+--(NOT(EXACT(B194,'AI output'!B194)))+--(NOT(EXACT(TEXT(G194,"yyyy-mm-dd"),'AI output'!C194)))+--(NOT(EXACT(H194,'AI output'!D194)))+--(NOT(EXACT(J194,'AI output'!E194)))+--(NOT(EXACT(K194,'AI output'!F194)))+--(N194&lt;&gt;'AI output'!L194)+--(NOT('AI output'!M194)),0)</f>
        <v>0</v>
      </c>
      <c r="Z194" s="1">
        <f t="shared" si="23"/>
        <v>0</v>
      </c>
      <c r="AA194" s="1">
        <f>--EXACT(A194,"L00188")</f>
        <v>1</v>
      </c>
    </row>
    <row r="195" spans="1:27" ht="18.95" customHeight="1">
      <c r="A195" s="1" t="str">
        <f>IF(Raw!A195="","",Raw!A195)</f>
        <v>L00189</v>
      </c>
      <c r="B195" s="1" t="str">
        <f>IF(Raw!B195="","",Raw!B195)</f>
        <v>T00095</v>
      </c>
      <c r="C195" s="1" t="str">
        <f>IF(Raw!C195="","",Raw!C195)</f>
        <v>2026-01-29</v>
      </c>
      <c r="D195" s="1">
        <f t="shared" si="16"/>
        <v>2026</v>
      </c>
      <c r="E195" s="1">
        <f>IFERROR(IF(AND(LEN(C195)=10,MID(C195,5,1)="-",MID(C195,8,1)="-"),VALUE(MID(C195,6,2)),IF(AND(LEN(C195)=11,MID(C195,3,1)="-",MID(C195,7,1)="-"),MATCH(UPPER(MID(C195,4,3)),Guide!$D$7:$D$18,0),0)),0)</f>
        <v>1</v>
      </c>
      <c r="F195" s="1">
        <f t="shared" si="17"/>
        <v>29</v>
      </c>
      <c r="G195" s="9">
        <f t="shared" si="18"/>
        <v>46051</v>
      </c>
      <c r="H195" s="1" t="str">
        <f>IF(Raw!D195="","",Raw!D195)</f>
        <v>P-O</v>
      </c>
      <c r="I195" s="1" t="str">
        <f>IFERROR(IF(EXACT(H195,INDEX(Guide!$A$7:$A$9,MATCH(SUBSTITUTE(SUBSTITUTE(SUBSTITUTE(H195,"~","~~"),"*","~*"),"?","~?"),Guide!$A$7:$A$9,0))),INDEX(Guide!$B$7:$B$9,MATCH(SUBSTITUTE(SUBSTITUTE(SUBSTITUTE(H195,"~","~~"),"*","~*"),"?","~?"),Guide!$A$7:$A$9,0)),""),"")</f>
        <v>Office</v>
      </c>
      <c r="J195" s="1" t="str">
        <f>IF(TRIM(Raw!E195)="",I195,IF(UPPER(TRIM(Raw!E195))=UPPER(I195),I195,""))</f>
        <v>Office</v>
      </c>
      <c r="K195" s="1" t="str">
        <f>IF(Raw!F195="","",Raw!F195)</f>
        <v>sale</v>
      </c>
      <c r="L195" s="1" t="str">
        <f>IF(LEFT(TRIM(Raw!G195),2)="-$","-"&amp;MID(TRIM(Raw!G195),3,99),IF(LEFT(TRIM(Raw!G195),1)="$",MID(TRIM(Raw!G195),2,99),TRIM(Raw!G195)))</f>
        <v>149.10</v>
      </c>
      <c r="M195" s="1">
        <f t="shared" si="19"/>
        <v>149.1</v>
      </c>
      <c r="N195" s="10">
        <f t="shared" si="20"/>
        <v>14910</v>
      </c>
      <c r="O195" s="1" t="b">
        <f>IFERROR(IF(ISNUMBER(Raw!G195),TRUE,OR(EXACT(L195,TEXT(M195,"0.00")),EXACT(L195,TEXT(M195,"#,##0.00")))),FALSE)</f>
        <v>1</v>
      </c>
      <c r="P195" s="1" t="str">
        <f>LEN(IF(Raw!A195="","",Raw!A195))&amp;":"&amp;IF(Raw!A195="","",Raw!A195)&amp;"|"&amp;LEN(IF(Raw!B195="","",Raw!B195))&amp;":"&amp;IF(Raw!B195="","",Raw!B195)&amp;"|"&amp;LEN(IF(Raw!C195="","",Raw!C195))&amp;":"&amp;IF(Raw!C195="","",Raw!C195)&amp;"|"&amp;LEN(IF(Raw!D195="","",Raw!D195))&amp;":"&amp;IF(Raw!D195="","",Raw!D195)&amp;"|"&amp;LEN(IF(Raw!E195="","",Raw!E195))&amp;":"&amp;IF(Raw!E195="","",Raw!E195)&amp;"|"&amp;LEN(IF(Raw!F195="","",Raw!F195))&amp;":"&amp;IF(Raw!F195="","",Raw!F195)&amp;"|"&amp;LEN(IF(Raw!G195="","",Raw!G195))&amp;":"&amp;IF(Raw!G195="","",Raw!G195)</f>
        <v>6:L00189|6:T00095|10:2026-01-29|3:P-O|6:Office|4:sale|6:149.10</v>
      </c>
      <c r="Q195" s="1">
        <f>1</f>
        <v>1</v>
      </c>
      <c r="R195" s="1" t="b">
        <f>FALSE</f>
        <v>0</v>
      </c>
      <c r="S195" s="1">
        <f>1</f>
        <v>1</v>
      </c>
      <c r="T195" s="1" t="str">
        <f>IF(AND(Raw!A195="",Raw!B195="",Raw!C195="",Raw!D195="",Raw!E195="",Raw!F195="",Raw!G195=""),"UNUSED",IF(A195="","missing line ID",IF(B195="","missing transaction ID",IF(G195="",IF(C195="","missing date","invalid date"),IF(I195="","unknown product",IF(J195="","conflicting category",IF(NOT(OR(EXACT(K195,"sale"),EXACT(K195,"refund"))),"unknown event",IF(OR(N195="",NOT(O195)),"invalid amount",IF(OR(AND(K195="sale",N195&lt;=0),AND(K195="refund",N195&gt;=0)),"invalid sign","")))))))))</f>
        <v/>
      </c>
      <c r="U195" s="1" t="str">
        <f t="shared" si="21"/>
        <v>INCLUDED</v>
      </c>
      <c r="V195" s="1" t="str">
        <f t="shared" si="22"/>
        <v>2026-01</v>
      </c>
      <c r="W195" s="1">
        <f>IF(AND(U195="INCLUDED",X195&gt;0,EXACT(A195,'AI output'!A195)),1,0)</f>
        <v>1</v>
      </c>
      <c r="X195" s="1">
        <f>195</f>
        <v>195</v>
      </c>
      <c r="Y195" s="1">
        <f>IF(AND(U195="INCLUDED",W195=1),--(NOT(EXACT(A195,'AI output'!A195)))+--(NOT(EXACT(B195,'AI output'!B195)))+--(NOT(EXACT(TEXT(G195,"yyyy-mm-dd"),'AI output'!C195)))+--(NOT(EXACT(H195,'AI output'!D195)))+--(NOT(EXACT(J195,'AI output'!E195)))+--(NOT(EXACT(K195,'AI output'!F195)))+--(N195&lt;&gt;'AI output'!L195)+--(NOT('AI output'!M195)),0)</f>
        <v>0</v>
      </c>
      <c r="Z195" s="1">
        <f t="shared" si="23"/>
        <v>0</v>
      </c>
      <c r="AA195" s="1">
        <f>--EXACT(A195,"L00189")</f>
        <v>1</v>
      </c>
    </row>
    <row r="196" spans="1:27" ht="18.95" customHeight="1">
      <c r="A196" s="1" t="str">
        <f>IF(Raw!A196="","",Raw!A196)</f>
        <v>L00190</v>
      </c>
      <c r="B196" s="1" t="str">
        <f>IF(Raw!B196="","",Raw!B196)</f>
        <v>T00095</v>
      </c>
      <c r="C196" s="1" t="str">
        <f>IF(Raw!C196="","",Raw!C196)</f>
        <v>2026-01-29</v>
      </c>
      <c r="D196" s="1">
        <f t="shared" si="16"/>
        <v>2026</v>
      </c>
      <c r="E196" s="1">
        <f>IFERROR(IF(AND(LEN(C196)=10,MID(C196,5,1)="-",MID(C196,8,1)="-"),VALUE(MID(C196,6,2)),IF(AND(LEN(C196)=11,MID(C196,3,1)="-",MID(C196,7,1)="-"),MATCH(UPPER(MID(C196,4,3)),Guide!$D$7:$D$18,0),0)),0)</f>
        <v>1</v>
      </c>
      <c r="F196" s="1">
        <f t="shared" si="17"/>
        <v>29</v>
      </c>
      <c r="G196" s="9">
        <f t="shared" si="18"/>
        <v>46051</v>
      </c>
      <c r="H196" s="1" t="str">
        <f>IF(Raw!D196="","",Raw!D196)</f>
        <v>P-A</v>
      </c>
      <c r="I196" s="1" t="str">
        <f>IFERROR(IF(EXACT(H196,INDEX(Guide!$A$7:$A$9,MATCH(SUBSTITUTE(SUBSTITUTE(SUBSTITUTE(H196,"~","~~"),"*","~*"),"?","~?"),Guide!$A$7:$A$9,0))),INDEX(Guide!$B$7:$B$9,MATCH(SUBSTITUTE(SUBSTITUTE(SUBSTITUTE(H196,"~","~~"),"*","~*"),"?","~?"),Guide!$A$7:$A$9,0)),""),"")</f>
        <v>Accessories</v>
      </c>
      <c r="J196" s="1" t="str">
        <f>IF(TRIM(Raw!E196)="",I196,IF(UPPER(TRIM(Raw!E196))=UPPER(I196),I196,""))</f>
        <v>Accessories</v>
      </c>
      <c r="K196" s="1" t="str">
        <f>IF(Raw!F196="","",Raw!F196)</f>
        <v>sale</v>
      </c>
      <c r="L196" s="1" t="str">
        <f>IF(LEFT(TRIM(Raw!G196),2)="-$","-"&amp;MID(TRIM(Raw!G196),3,99),IF(LEFT(TRIM(Raw!G196),1)="$",MID(TRIM(Raw!G196),2,99),TRIM(Raw!G196)))</f>
        <v>299.68</v>
      </c>
      <c r="M196" s="1">
        <f t="shared" si="19"/>
        <v>299.68</v>
      </c>
      <c r="N196" s="10">
        <f t="shared" si="20"/>
        <v>29968</v>
      </c>
      <c r="O196" s="1" t="b">
        <f>IFERROR(IF(ISNUMBER(Raw!G196),TRUE,OR(EXACT(L196,TEXT(M196,"0.00")),EXACT(L196,TEXT(M196,"#,##0.00")))),FALSE)</f>
        <v>1</v>
      </c>
      <c r="P196" s="1" t="str">
        <f>LEN(IF(Raw!A196="","",Raw!A196))&amp;":"&amp;IF(Raw!A196="","",Raw!A196)&amp;"|"&amp;LEN(IF(Raw!B196="","",Raw!B196))&amp;":"&amp;IF(Raw!B196="","",Raw!B196)&amp;"|"&amp;LEN(IF(Raw!C196="","",Raw!C196))&amp;":"&amp;IF(Raw!C196="","",Raw!C196)&amp;"|"&amp;LEN(IF(Raw!D196="","",Raw!D196))&amp;":"&amp;IF(Raw!D196="","",Raw!D196)&amp;"|"&amp;LEN(IF(Raw!E196="","",Raw!E196))&amp;":"&amp;IF(Raw!E196="","",Raw!E196)&amp;"|"&amp;LEN(IF(Raw!F196="","",Raw!F196))&amp;":"&amp;IF(Raw!F196="","",Raw!F196)&amp;"|"&amp;LEN(IF(Raw!G196="","",Raw!G196))&amp;":"&amp;IF(Raw!G196="","",Raw!G196)</f>
        <v>6:L00190|6:T00095|10:2026-01-29|3:P-A|11:Accessories|4:sale|6:299.68</v>
      </c>
      <c r="Q196" s="1">
        <f>1</f>
        <v>1</v>
      </c>
      <c r="R196" s="1" t="b">
        <f>FALSE</f>
        <v>0</v>
      </c>
      <c r="S196" s="1">
        <f>1</f>
        <v>1</v>
      </c>
      <c r="T196" s="1" t="str">
        <f>IF(AND(Raw!A196="",Raw!B196="",Raw!C196="",Raw!D196="",Raw!E196="",Raw!F196="",Raw!G196=""),"UNUSED",IF(A196="","missing line ID",IF(B196="","missing transaction ID",IF(G196="",IF(C196="","missing date","invalid date"),IF(I196="","unknown product",IF(J196="","conflicting category",IF(NOT(OR(EXACT(K196,"sale"),EXACT(K196,"refund"))),"unknown event",IF(OR(N196="",NOT(O196)),"invalid amount",IF(OR(AND(K196="sale",N196&lt;=0),AND(K196="refund",N196&gt;=0)),"invalid sign","")))))))))</f>
        <v/>
      </c>
      <c r="U196" s="1" t="str">
        <f t="shared" si="21"/>
        <v>INCLUDED</v>
      </c>
      <c r="V196" s="1" t="str">
        <f t="shared" si="22"/>
        <v>2026-01</v>
      </c>
      <c r="W196" s="1">
        <f>IF(AND(U196="INCLUDED",X196&gt;0,EXACT(A196,'AI output'!A196)),1,0)</f>
        <v>1</v>
      </c>
      <c r="X196" s="1">
        <f>196</f>
        <v>196</v>
      </c>
      <c r="Y196" s="1">
        <f>IF(AND(U196="INCLUDED",W196=1),--(NOT(EXACT(A196,'AI output'!A196)))+--(NOT(EXACT(B196,'AI output'!B196)))+--(NOT(EXACT(TEXT(G196,"yyyy-mm-dd"),'AI output'!C196)))+--(NOT(EXACT(H196,'AI output'!D196)))+--(NOT(EXACT(J196,'AI output'!E196)))+--(NOT(EXACT(K196,'AI output'!F196)))+--(N196&lt;&gt;'AI output'!L196)+--(NOT('AI output'!M196)),0)</f>
        <v>0</v>
      </c>
      <c r="Z196" s="1">
        <f t="shared" si="23"/>
        <v>0</v>
      </c>
      <c r="AA196" s="1">
        <f>--EXACT(A196,"L00190")</f>
        <v>1</v>
      </c>
    </row>
    <row r="197" spans="1:27" ht="18.95" customHeight="1">
      <c r="A197" s="1" t="str">
        <f>IF(Raw!A197="","",Raw!A197)</f>
        <v>L00191</v>
      </c>
      <c r="B197" s="1" t="str">
        <f>IF(Raw!B197="","",Raw!B197)</f>
        <v>T00096</v>
      </c>
      <c r="C197" s="1" t="str">
        <f>IF(Raw!C197="","",Raw!C197)</f>
        <v>2026-02-05</v>
      </c>
      <c r="D197" s="1">
        <f t="shared" si="16"/>
        <v>2026</v>
      </c>
      <c r="E197" s="1">
        <f>IFERROR(IF(AND(LEN(C197)=10,MID(C197,5,1)="-",MID(C197,8,1)="-"),VALUE(MID(C197,6,2)),IF(AND(LEN(C197)=11,MID(C197,3,1)="-",MID(C197,7,1)="-"),MATCH(UPPER(MID(C197,4,3)),Guide!$D$7:$D$18,0),0)),0)</f>
        <v>2</v>
      </c>
      <c r="F197" s="1">
        <f t="shared" si="17"/>
        <v>5</v>
      </c>
      <c r="G197" s="9">
        <f t="shared" si="18"/>
        <v>46058</v>
      </c>
      <c r="H197" s="1" t="str">
        <f>IF(Raw!D197="","",Raw!D197)</f>
        <v>P-H</v>
      </c>
      <c r="I197" s="1" t="str">
        <f>IFERROR(IF(EXACT(H197,INDEX(Guide!$A$7:$A$9,MATCH(SUBSTITUTE(SUBSTITUTE(SUBSTITUTE(H197,"~","~~"),"*","~*"),"?","~?"),Guide!$A$7:$A$9,0))),INDEX(Guide!$B$7:$B$9,MATCH(SUBSTITUTE(SUBSTITUTE(SUBSTITUTE(H197,"~","~~"),"*","~*"),"?","~?"),Guide!$A$7:$A$9,0)),""),"")</f>
        <v>Home</v>
      </c>
      <c r="J197" s="1" t="str">
        <f>IF(TRIM(Raw!E197)="",I197,IF(UPPER(TRIM(Raw!E197))=UPPER(I197),I197,""))</f>
        <v>Home</v>
      </c>
      <c r="K197" s="1" t="str">
        <f>IF(Raw!F197="","",Raw!F197)</f>
        <v>sale</v>
      </c>
      <c r="L197" s="1" t="str">
        <f>IF(LEFT(TRIM(Raw!G197),2)="-$","-"&amp;MID(TRIM(Raw!G197),3,99),IF(LEFT(TRIM(Raw!G197),1)="$",MID(TRIM(Raw!G197),2,99),TRIM(Raw!G197)))</f>
        <v>75.29</v>
      </c>
      <c r="M197" s="1">
        <f t="shared" si="19"/>
        <v>75.290000000000006</v>
      </c>
      <c r="N197" s="10">
        <f t="shared" si="20"/>
        <v>7529</v>
      </c>
      <c r="O197" s="1" t="b">
        <f>IFERROR(IF(ISNUMBER(Raw!G197),TRUE,OR(EXACT(L197,TEXT(M197,"0.00")),EXACT(L197,TEXT(M197,"#,##0.00")))),FALSE)</f>
        <v>1</v>
      </c>
      <c r="P197" s="1" t="str">
        <f>LEN(IF(Raw!A197="","",Raw!A197))&amp;":"&amp;IF(Raw!A197="","",Raw!A197)&amp;"|"&amp;LEN(IF(Raw!B197="","",Raw!B197))&amp;":"&amp;IF(Raw!B197="","",Raw!B197)&amp;"|"&amp;LEN(IF(Raw!C197="","",Raw!C197))&amp;":"&amp;IF(Raw!C197="","",Raw!C197)&amp;"|"&amp;LEN(IF(Raw!D197="","",Raw!D197))&amp;":"&amp;IF(Raw!D197="","",Raw!D197)&amp;"|"&amp;LEN(IF(Raw!E197="","",Raw!E197))&amp;":"&amp;IF(Raw!E197="","",Raw!E197)&amp;"|"&amp;LEN(IF(Raw!F197="","",Raw!F197))&amp;":"&amp;IF(Raw!F197="","",Raw!F197)&amp;"|"&amp;LEN(IF(Raw!G197="","",Raw!G197))&amp;":"&amp;IF(Raw!G197="","",Raw!G197)</f>
        <v>6:L00191|6:T00096|10:2026-02-05|3:P-H|4:Home|4:sale|5:75.29</v>
      </c>
      <c r="Q197" s="1">
        <f>1</f>
        <v>1</v>
      </c>
      <c r="R197" s="1" t="b">
        <f>FALSE</f>
        <v>0</v>
      </c>
      <c r="S197" s="1">
        <f>1</f>
        <v>1</v>
      </c>
      <c r="T197" s="1" t="str">
        <f>IF(AND(Raw!A197="",Raw!B197="",Raw!C197="",Raw!D197="",Raw!E197="",Raw!F197="",Raw!G197=""),"UNUSED",IF(A197="","missing line ID",IF(B197="","missing transaction ID",IF(G197="",IF(C197="","missing date","invalid date"),IF(I197="","unknown product",IF(J197="","conflicting category",IF(NOT(OR(EXACT(K197,"sale"),EXACT(K197,"refund"))),"unknown event",IF(OR(N197="",NOT(O197)),"invalid amount",IF(OR(AND(K197="sale",N197&lt;=0),AND(K197="refund",N197&gt;=0)),"invalid sign","")))))))))</f>
        <v/>
      </c>
      <c r="U197" s="1" t="str">
        <f t="shared" si="21"/>
        <v>INCLUDED</v>
      </c>
      <c r="V197" s="1" t="str">
        <f t="shared" si="22"/>
        <v>2026-02</v>
      </c>
      <c r="W197" s="1">
        <f>IF(AND(U197="INCLUDED",X197&gt;0,EXACT(A197,'AI output'!A197)),1,0)</f>
        <v>1</v>
      </c>
      <c r="X197" s="1">
        <f>197</f>
        <v>197</v>
      </c>
      <c r="Y197" s="1">
        <f>IF(AND(U197="INCLUDED",W197=1),--(NOT(EXACT(A197,'AI output'!A197)))+--(NOT(EXACT(B197,'AI output'!B197)))+--(NOT(EXACT(TEXT(G197,"yyyy-mm-dd"),'AI output'!C197)))+--(NOT(EXACT(H197,'AI output'!D197)))+--(NOT(EXACT(J197,'AI output'!E197)))+--(NOT(EXACT(K197,'AI output'!F197)))+--(N197&lt;&gt;'AI output'!L197)+--(NOT('AI output'!M197)),0)</f>
        <v>0</v>
      </c>
      <c r="Z197" s="1">
        <f t="shared" si="23"/>
        <v>0</v>
      </c>
      <c r="AA197" s="1">
        <f>--EXACT(A197,"L00191")</f>
        <v>1</v>
      </c>
    </row>
    <row r="198" spans="1:27" ht="18.95" customHeight="1">
      <c r="A198" s="1" t="str">
        <f>IF(Raw!A198="","",Raw!A198)</f>
        <v>L00192</v>
      </c>
      <c r="B198" s="1" t="str">
        <f>IF(Raw!B198="","",Raw!B198)</f>
        <v>T00096</v>
      </c>
      <c r="C198" s="1" t="str">
        <f>IF(Raw!C198="","",Raw!C198)</f>
        <v>2026-02-05</v>
      </c>
      <c r="D198" s="1">
        <f t="shared" si="16"/>
        <v>2026</v>
      </c>
      <c r="E198" s="1">
        <f>IFERROR(IF(AND(LEN(C198)=10,MID(C198,5,1)="-",MID(C198,8,1)="-"),VALUE(MID(C198,6,2)),IF(AND(LEN(C198)=11,MID(C198,3,1)="-",MID(C198,7,1)="-"),MATCH(UPPER(MID(C198,4,3)),Guide!$D$7:$D$18,0),0)),0)</f>
        <v>2</v>
      </c>
      <c r="F198" s="1">
        <f t="shared" si="17"/>
        <v>5</v>
      </c>
      <c r="G198" s="9">
        <f t="shared" si="18"/>
        <v>46058</v>
      </c>
      <c r="H198" s="1" t="str">
        <f>IF(Raw!D198="","",Raw!D198)</f>
        <v>P-O</v>
      </c>
      <c r="I198" s="1" t="str">
        <f>IFERROR(IF(EXACT(H198,INDEX(Guide!$A$7:$A$9,MATCH(SUBSTITUTE(SUBSTITUTE(SUBSTITUTE(H198,"~","~~"),"*","~*"),"?","~?"),Guide!$A$7:$A$9,0))),INDEX(Guide!$B$7:$B$9,MATCH(SUBSTITUTE(SUBSTITUTE(SUBSTITUTE(H198,"~","~~"),"*","~*"),"?","~?"),Guide!$A$7:$A$9,0)),""),"")</f>
        <v>Office</v>
      </c>
      <c r="J198" s="1" t="str">
        <f>IF(TRIM(Raw!E198)="",I198,IF(UPPER(TRIM(Raw!E198))=UPPER(I198),I198,""))</f>
        <v>Office</v>
      </c>
      <c r="K198" s="1" t="str">
        <f>IF(Raw!F198="","",Raw!F198)</f>
        <v>sale</v>
      </c>
      <c r="L198" s="1" t="str">
        <f>IF(LEFT(TRIM(Raw!G198),2)="-$","-"&amp;MID(TRIM(Raw!G198),3,99),IF(LEFT(TRIM(Raw!G198),1)="$",MID(TRIM(Raw!G198),2,99),TRIM(Raw!G198)))</f>
        <v>226.98</v>
      </c>
      <c r="M198" s="1">
        <f t="shared" si="19"/>
        <v>226.98</v>
      </c>
      <c r="N198" s="10">
        <f t="shared" si="20"/>
        <v>22698</v>
      </c>
      <c r="O198" s="1" t="b">
        <f>IFERROR(IF(ISNUMBER(Raw!G198),TRUE,OR(EXACT(L198,TEXT(M198,"0.00")),EXACT(L198,TEXT(M198,"#,##0.00")))),FALSE)</f>
        <v>1</v>
      </c>
      <c r="P198" s="1" t="str">
        <f>LEN(IF(Raw!A198="","",Raw!A198))&amp;":"&amp;IF(Raw!A198="","",Raw!A198)&amp;"|"&amp;LEN(IF(Raw!B198="","",Raw!B198))&amp;":"&amp;IF(Raw!B198="","",Raw!B198)&amp;"|"&amp;LEN(IF(Raw!C198="","",Raw!C198))&amp;":"&amp;IF(Raw!C198="","",Raw!C198)&amp;"|"&amp;LEN(IF(Raw!D198="","",Raw!D198))&amp;":"&amp;IF(Raw!D198="","",Raw!D198)&amp;"|"&amp;LEN(IF(Raw!E198="","",Raw!E198))&amp;":"&amp;IF(Raw!E198="","",Raw!E198)&amp;"|"&amp;LEN(IF(Raw!F198="","",Raw!F198))&amp;":"&amp;IF(Raw!F198="","",Raw!F198)&amp;"|"&amp;LEN(IF(Raw!G198="","",Raw!G198))&amp;":"&amp;IF(Raw!G198="","",Raw!G198)</f>
        <v>6:L00192|6:T00096|10:2026-02-05|3:P-O|6:Office|4:sale|6:226.98</v>
      </c>
      <c r="Q198" s="1">
        <f>1</f>
        <v>1</v>
      </c>
      <c r="R198" s="1" t="b">
        <f>FALSE</f>
        <v>0</v>
      </c>
      <c r="S198" s="1">
        <f>1</f>
        <v>1</v>
      </c>
      <c r="T198" s="1" t="str">
        <f>IF(AND(Raw!A198="",Raw!B198="",Raw!C198="",Raw!D198="",Raw!E198="",Raw!F198="",Raw!G198=""),"UNUSED",IF(A198="","missing line ID",IF(B198="","missing transaction ID",IF(G198="",IF(C198="","missing date","invalid date"),IF(I198="","unknown product",IF(J198="","conflicting category",IF(NOT(OR(EXACT(K198,"sale"),EXACT(K198,"refund"))),"unknown event",IF(OR(N198="",NOT(O198)),"invalid amount",IF(OR(AND(K198="sale",N198&lt;=0),AND(K198="refund",N198&gt;=0)),"invalid sign","")))))))))</f>
        <v/>
      </c>
      <c r="U198" s="1" t="str">
        <f t="shared" si="21"/>
        <v>INCLUDED</v>
      </c>
      <c r="V198" s="1" t="str">
        <f t="shared" si="22"/>
        <v>2026-02</v>
      </c>
      <c r="W198" s="1">
        <f>IF(AND(U198="INCLUDED",X198&gt;0,EXACT(A198,'AI output'!A198)),1,0)</f>
        <v>1</v>
      </c>
      <c r="X198" s="1">
        <f>198</f>
        <v>198</v>
      </c>
      <c r="Y198" s="1">
        <f>IF(AND(U198="INCLUDED",W198=1),--(NOT(EXACT(A198,'AI output'!A198)))+--(NOT(EXACT(B198,'AI output'!B198)))+--(NOT(EXACT(TEXT(G198,"yyyy-mm-dd"),'AI output'!C198)))+--(NOT(EXACT(H198,'AI output'!D198)))+--(NOT(EXACT(J198,'AI output'!E198)))+--(NOT(EXACT(K198,'AI output'!F198)))+--(N198&lt;&gt;'AI output'!L198)+--(NOT('AI output'!M198)),0)</f>
        <v>0</v>
      </c>
      <c r="Z198" s="1">
        <f t="shared" si="23"/>
        <v>0</v>
      </c>
      <c r="AA198" s="1">
        <f>--EXACT(A198,"L00192")</f>
        <v>1</v>
      </c>
    </row>
    <row r="199" spans="1:27" ht="18.95" customHeight="1">
      <c r="A199" s="1" t="str">
        <f>IF(Raw!A199="","",Raw!A199)</f>
        <v>L00193</v>
      </c>
      <c r="B199" s="1" t="str">
        <f>IF(Raw!B199="","",Raw!B199)</f>
        <v>T00097</v>
      </c>
      <c r="C199" s="1" t="str">
        <f>IF(Raw!C199="","",Raw!C199)</f>
        <v>2026-02-12</v>
      </c>
      <c r="D199" s="1">
        <f t="shared" ref="D199:D262" si="24">IFERROR(IF(AND(LEN(C199)=10,MID(C199,5,1)="-",MID(C199,8,1)="-"),VALUE(LEFT(C199,4)),IF(AND(LEN(C199)=11,MID(C199,3,1)="-",MID(C199,7,1)="-"),VALUE(RIGHT(C199,4)),0)),0)</f>
        <v>2026</v>
      </c>
      <c r="E199" s="1">
        <f>IFERROR(IF(AND(LEN(C199)=10,MID(C199,5,1)="-",MID(C199,8,1)="-"),VALUE(MID(C199,6,2)),IF(AND(LEN(C199)=11,MID(C199,3,1)="-",MID(C199,7,1)="-"),MATCH(UPPER(MID(C199,4,3)),Guide!$D$7:$D$18,0),0)),0)</f>
        <v>2</v>
      </c>
      <c r="F199" s="1">
        <f t="shared" ref="F199:F262" si="25">IFERROR(IF(AND(LEN(C199)=10,MID(C199,5,1)="-",MID(C199,8,1)="-"),VALUE(RIGHT(C199,2)),IF(AND(LEN(C199)=11,MID(C199,3,1)="-",MID(C199,7,1)="-"),VALUE(LEFT(C199,2)),0)),0)</f>
        <v>12</v>
      </c>
      <c r="G199" s="9">
        <f t="shared" ref="G199:G262" si="26">IFERROR(IF(AND(D199&gt;=1900,D199&lt;=9999,YEAR(DATE(D199,E199,F199))=D199,MONTH(DATE(D199,E199,F199))=E199,DAY(DATE(D199,E199,F199))=F199),DATE(D199,E199,F199),""),"")</f>
        <v>46065</v>
      </c>
      <c r="H199" s="1" t="str">
        <f>IF(Raw!D199="","",Raw!D199)</f>
        <v>P-A</v>
      </c>
      <c r="I199" s="1" t="str">
        <f>IFERROR(IF(EXACT(H199,INDEX(Guide!$A$7:$A$9,MATCH(SUBSTITUTE(SUBSTITUTE(SUBSTITUTE(H199,"~","~~"),"*","~*"),"?","~?"),Guide!$A$7:$A$9,0))),INDEX(Guide!$B$7:$B$9,MATCH(SUBSTITUTE(SUBSTITUTE(SUBSTITUTE(H199,"~","~~"),"*","~*"),"?","~?"),Guide!$A$7:$A$9,0)),""),"")</f>
        <v>Accessories</v>
      </c>
      <c r="J199" s="1" t="str">
        <f>IF(TRIM(Raw!E199)="",I199,IF(UPPER(TRIM(Raw!E199))=UPPER(I199),I199,""))</f>
        <v>Accessories</v>
      </c>
      <c r="K199" s="1" t="str">
        <f>IF(Raw!F199="","",Raw!F199)</f>
        <v>sale</v>
      </c>
      <c r="L199" s="1" t="str">
        <f>IF(LEFT(TRIM(Raw!G199),2)="-$","-"&amp;MID(TRIM(Raw!G199),3,99),IF(LEFT(TRIM(Raw!G199),1)="$",MID(TRIM(Raw!G199),2,99),TRIM(Raw!G199)))</f>
        <v>380.15</v>
      </c>
      <c r="M199" s="1">
        <f t="shared" ref="M199:M262" si="27">IFERROR(VALUE(L199),"")</f>
        <v>380.15</v>
      </c>
      <c r="N199" s="10">
        <f t="shared" ref="N199:N262" si="28">IF(AND(ISNUMBER(M199),ABS(M199*100-ROUND(M199*100,0))&lt;0.0000001),ROUND(M199*100,0),"")</f>
        <v>38015</v>
      </c>
      <c r="O199" s="1" t="b">
        <f>IFERROR(IF(ISNUMBER(Raw!G199),TRUE,OR(EXACT(L199,TEXT(M199,"0.00")),EXACT(L199,TEXT(M199,"#,##0.00")))),FALSE)</f>
        <v>1</v>
      </c>
      <c r="P199" s="1" t="str">
        <f>LEN(IF(Raw!A199="","",Raw!A199))&amp;":"&amp;IF(Raw!A199="","",Raw!A199)&amp;"|"&amp;LEN(IF(Raw!B199="","",Raw!B199))&amp;":"&amp;IF(Raw!B199="","",Raw!B199)&amp;"|"&amp;LEN(IF(Raw!C199="","",Raw!C199))&amp;":"&amp;IF(Raw!C199="","",Raw!C199)&amp;"|"&amp;LEN(IF(Raw!D199="","",Raw!D199))&amp;":"&amp;IF(Raw!D199="","",Raw!D199)&amp;"|"&amp;LEN(IF(Raw!E199="","",Raw!E199))&amp;":"&amp;IF(Raw!E199="","",Raw!E199)&amp;"|"&amp;LEN(IF(Raw!F199="","",Raw!F199))&amp;":"&amp;IF(Raw!F199="","",Raw!F199)&amp;"|"&amp;LEN(IF(Raw!G199="","",Raw!G199))&amp;":"&amp;IF(Raw!G199="","",Raw!G199)</f>
        <v>6:L00193|6:T00097|10:2026-02-12|3:P-A|11:Accessories|4:sale|6:380.15</v>
      </c>
      <c r="Q199" s="1">
        <f>1</f>
        <v>1</v>
      </c>
      <c r="R199" s="1" t="b">
        <f>FALSE</f>
        <v>0</v>
      </c>
      <c r="S199" s="1">
        <f>1</f>
        <v>1</v>
      </c>
      <c r="T199" s="1" t="str">
        <f>IF(AND(Raw!A199="",Raw!B199="",Raw!C199="",Raw!D199="",Raw!E199="",Raw!F199="",Raw!G199=""),"UNUSED",IF(A199="","missing line ID",IF(B199="","missing transaction ID",IF(G199="",IF(C199="","missing date","invalid date"),IF(I199="","unknown product",IF(J199="","conflicting category",IF(NOT(OR(EXACT(K199,"sale"),EXACT(K199,"refund"))),"unknown event",IF(OR(N199="",NOT(O199)),"invalid amount",IF(OR(AND(K199="sale",N199&lt;=0),AND(K199="refund",N199&gt;=0)),"invalid sign","")))))))))</f>
        <v/>
      </c>
      <c r="U199" s="1" t="str">
        <f t="shared" ref="U199:U262" si="29">IF(T199="UNUSED","UNUSED",IF(R199,"QUARANTINE",IF(S199&gt;1,"DUPLICATE",IF(T199&lt;&gt;"","QUARANTINE","INCLUDED"))))</f>
        <v>INCLUDED</v>
      </c>
      <c r="V199" s="1" t="str">
        <f t="shared" ref="V199:V262" si="30">IF(G199="","",TEXT(G199,"yyyy-mm"))</f>
        <v>2026-02</v>
      </c>
      <c r="W199" s="1">
        <f>IF(AND(U199="INCLUDED",X199&gt;0,EXACT(A199,'AI output'!A199)),1,0)</f>
        <v>1</v>
      </c>
      <c r="X199" s="1">
        <f>199</f>
        <v>199</v>
      </c>
      <c r="Y199" s="1">
        <f>IF(AND(U199="INCLUDED",W199=1),--(NOT(EXACT(A199,'AI output'!A199)))+--(NOT(EXACT(B199,'AI output'!B199)))+--(NOT(EXACT(TEXT(G199,"yyyy-mm-dd"),'AI output'!C199)))+--(NOT(EXACT(H199,'AI output'!D199)))+--(NOT(EXACT(J199,'AI output'!E199)))+--(NOT(EXACT(K199,'AI output'!F199)))+--(N199&lt;&gt;'AI output'!L199)+--(NOT('AI output'!M199)),0)</f>
        <v>0</v>
      </c>
      <c r="Z199" s="1">
        <f t="shared" ref="Z199:Z262" si="31">IF(U199="INCLUDED",IF(OR(W199&lt;&gt;1,Y199&lt;&gt;0),1,0),0)</f>
        <v>0</v>
      </c>
      <c r="AA199" s="1">
        <f>--EXACT(A199,"L00193")</f>
        <v>1</v>
      </c>
    </row>
    <row r="200" spans="1:27" ht="18.95" customHeight="1">
      <c r="A200" s="1" t="str">
        <f>IF(Raw!A200="","",Raw!A200)</f>
        <v>L00194</v>
      </c>
      <c r="B200" s="1" t="str">
        <f>IF(Raw!B200="","",Raw!B200)</f>
        <v>T00097</v>
      </c>
      <c r="C200" s="1" t="str">
        <f>IF(Raw!C200="","",Raw!C200)</f>
        <v>2026-02-12</v>
      </c>
      <c r="D200" s="1">
        <f t="shared" si="24"/>
        <v>2026</v>
      </c>
      <c r="E200" s="1">
        <f>IFERROR(IF(AND(LEN(C200)=10,MID(C200,5,1)="-",MID(C200,8,1)="-"),VALUE(MID(C200,6,2)),IF(AND(LEN(C200)=11,MID(C200,3,1)="-",MID(C200,7,1)="-"),MATCH(UPPER(MID(C200,4,3)),Guide!$D$7:$D$18,0),0)),0)</f>
        <v>2</v>
      </c>
      <c r="F200" s="1">
        <f t="shared" si="25"/>
        <v>12</v>
      </c>
      <c r="G200" s="9">
        <f t="shared" si="26"/>
        <v>46065</v>
      </c>
      <c r="H200" s="1" t="str">
        <f>IF(Raw!D200="","",Raw!D200)</f>
        <v>P-H</v>
      </c>
      <c r="I200" s="1" t="str">
        <f>IFERROR(IF(EXACT(H200,INDEX(Guide!$A$7:$A$9,MATCH(SUBSTITUTE(SUBSTITUTE(SUBSTITUTE(H200,"~","~~"),"*","~*"),"?","~?"),Guide!$A$7:$A$9,0))),INDEX(Guide!$B$7:$B$9,MATCH(SUBSTITUTE(SUBSTITUTE(SUBSTITUTE(H200,"~","~~"),"*","~*"),"?","~?"),Guide!$A$7:$A$9,0)),""),"")</f>
        <v>Home</v>
      </c>
      <c r="J200" s="1" t="str">
        <f>IF(TRIM(Raw!E200)="",I200,IF(UPPER(TRIM(Raw!E200))=UPPER(I200),I200,""))</f>
        <v>Home</v>
      </c>
      <c r="K200" s="1" t="str">
        <f>IF(Raw!F200="","",Raw!F200)</f>
        <v>sale</v>
      </c>
      <c r="L200" s="1" t="str">
        <f>IF(LEFT(TRIM(Raw!G200),2)="-$","-"&amp;MID(TRIM(Raw!G200),3,99),IF(LEFT(TRIM(Raw!G200),1)="$",MID(TRIM(Raw!G200),2,99),TRIM(Raw!G200)))</f>
        <v>152.80</v>
      </c>
      <c r="M200" s="1">
        <f t="shared" si="27"/>
        <v>152.80000000000001</v>
      </c>
      <c r="N200" s="10">
        <f t="shared" si="28"/>
        <v>15280</v>
      </c>
      <c r="O200" s="1" t="b">
        <f>IFERROR(IF(ISNUMBER(Raw!G200),TRUE,OR(EXACT(L200,TEXT(M200,"0.00")),EXACT(L200,TEXT(M200,"#,##0.00")))),FALSE)</f>
        <v>1</v>
      </c>
      <c r="P200" s="1" t="str">
        <f>LEN(IF(Raw!A200="","",Raw!A200))&amp;":"&amp;IF(Raw!A200="","",Raw!A200)&amp;"|"&amp;LEN(IF(Raw!B200="","",Raw!B200))&amp;":"&amp;IF(Raw!B200="","",Raw!B200)&amp;"|"&amp;LEN(IF(Raw!C200="","",Raw!C200))&amp;":"&amp;IF(Raw!C200="","",Raw!C200)&amp;"|"&amp;LEN(IF(Raw!D200="","",Raw!D200))&amp;":"&amp;IF(Raw!D200="","",Raw!D200)&amp;"|"&amp;LEN(IF(Raw!E200="","",Raw!E200))&amp;":"&amp;IF(Raw!E200="","",Raw!E200)&amp;"|"&amp;LEN(IF(Raw!F200="","",Raw!F200))&amp;":"&amp;IF(Raw!F200="","",Raw!F200)&amp;"|"&amp;LEN(IF(Raw!G200="","",Raw!G200))&amp;":"&amp;IF(Raw!G200="","",Raw!G200)</f>
        <v>6:L00194|6:T00097|10:2026-02-12|3:P-H|4:Home|4:sale|6:152.80</v>
      </c>
      <c r="Q200" s="1">
        <f>1</f>
        <v>1</v>
      </c>
      <c r="R200" s="1" t="b">
        <f>FALSE</f>
        <v>0</v>
      </c>
      <c r="S200" s="1">
        <f>1</f>
        <v>1</v>
      </c>
      <c r="T200" s="1" t="str">
        <f>IF(AND(Raw!A200="",Raw!B200="",Raw!C200="",Raw!D200="",Raw!E200="",Raw!F200="",Raw!G200=""),"UNUSED",IF(A200="","missing line ID",IF(B200="","missing transaction ID",IF(G200="",IF(C200="","missing date","invalid date"),IF(I200="","unknown product",IF(J200="","conflicting category",IF(NOT(OR(EXACT(K200,"sale"),EXACT(K200,"refund"))),"unknown event",IF(OR(N200="",NOT(O200)),"invalid amount",IF(OR(AND(K200="sale",N200&lt;=0),AND(K200="refund",N200&gt;=0)),"invalid sign","")))))))))</f>
        <v/>
      </c>
      <c r="U200" s="1" t="str">
        <f t="shared" si="29"/>
        <v>INCLUDED</v>
      </c>
      <c r="V200" s="1" t="str">
        <f t="shared" si="30"/>
        <v>2026-02</v>
      </c>
      <c r="W200" s="1">
        <f>IF(AND(U200="INCLUDED",X200&gt;0,EXACT(A200,'AI output'!A200)),1,0)</f>
        <v>1</v>
      </c>
      <c r="X200" s="1">
        <f>200</f>
        <v>200</v>
      </c>
      <c r="Y200" s="1">
        <f>IF(AND(U200="INCLUDED",W200=1),--(NOT(EXACT(A200,'AI output'!A200)))+--(NOT(EXACT(B200,'AI output'!B200)))+--(NOT(EXACT(TEXT(G200,"yyyy-mm-dd"),'AI output'!C200)))+--(NOT(EXACT(H200,'AI output'!D200)))+--(NOT(EXACT(J200,'AI output'!E200)))+--(NOT(EXACT(K200,'AI output'!F200)))+--(N200&lt;&gt;'AI output'!L200)+--(NOT('AI output'!M200)),0)</f>
        <v>0</v>
      </c>
      <c r="Z200" s="1">
        <f t="shared" si="31"/>
        <v>0</v>
      </c>
      <c r="AA200" s="1">
        <f>--EXACT(A200,"L00194")</f>
        <v>1</v>
      </c>
    </row>
    <row r="201" spans="1:27" ht="18.95" customHeight="1">
      <c r="A201" s="1" t="str">
        <f>IF(Raw!A201="","",Raw!A201)</f>
        <v>L00195</v>
      </c>
      <c r="B201" s="1" t="str">
        <f>IF(Raw!B201="","",Raw!B201)</f>
        <v>T00098</v>
      </c>
      <c r="C201" s="1" t="str">
        <f>IF(Raw!C201="","",Raw!C201)</f>
        <v>2026-02-19</v>
      </c>
      <c r="D201" s="1">
        <f t="shared" si="24"/>
        <v>2026</v>
      </c>
      <c r="E201" s="1">
        <f>IFERROR(IF(AND(LEN(C201)=10,MID(C201,5,1)="-",MID(C201,8,1)="-"),VALUE(MID(C201,6,2)),IF(AND(LEN(C201)=11,MID(C201,3,1)="-",MID(C201,7,1)="-"),MATCH(UPPER(MID(C201,4,3)),Guide!$D$7:$D$18,0),0)),0)</f>
        <v>2</v>
      </c>
      <c r="F201" s="1">
        <f t="shared" si="25"/>
        <v>19</v>
      </c>
      <c r="G201" s="9">
        <f t="shared" si="26"/>
        <v>46072</v>
      </c>
      <c r="H201" s="1" t="str">
        <f>IF(Raw!D201="","",Raw!D201)</f>
        <v>P-O</v>
      </c>
      <c r="I201" s="1" t="str">
        <f>IFERROR(IF(EXACT(H201,INDEX(Guide!$A$7:$A$9,MATCH(SUBSTITUTE(SUBSTITUTE(SUBSTITUTE(H201,"~","~~"),"*","~*"),"?","~?"),Guide!$A$7:$A$9,0))),INDEX(Guide!$B$7:$B$9,MATCH(SUBSTITUTE(SUBSTITUTE(SUBSTITUTE(H201,"~","~~"),"*","~*"),"?","~?"),Guide!$A$7:$A$9,0)),""),"")</f>
        <v>Office</v>
      </c>
      <c r="J201" s="1" t="str">
        <f>IF(TRIM(Raw!E201)="",I201,IF(UPPER(TRIM(Raw!E201))=UPPER(I201),I201,""))</f>
        <v>Office</v>
      </c>
      <c r="K201" s="1" t="str">
        <f>IF(Raw!F201="","",Raw!F201)</f>
        <v>sale</v>
      </c>
      <c r="L201" s="1" t="str">
        <f>IF(LEFT(TRIM(Raw!G201),2)="-$","-"&amp;MID(TRIM(Raw!G201),3,99),IF(LEFT(TRIM(Raw!G201),1)="$",MID(TRIM(Raw!G201),2,99),TRIM(Raw!G201)))</f>
        <v>307.08</v>
      </c>
      <c r="M201" s="1">
        <f t="shared" si="27"/>
        <v>307.08</v>
      </c>
      <c r="N201" s="10">
        <f t="shared" si="28"/>
        <v>30708</v>
      </c>
      <c r="O201" s="1" t="b">
        <f>IFERROR(IF(ISNUMBER(Raw!G201),TRUE,OR(EXACT(L201,TEXT(M201,"0.00")),EXACT(L201,TEXT(M201,"#,##0.00")))),FALSE)</f>
        <v>1</v>
      </c>
      <c r="P201" s="1" t="str">
        <f>LEN(IF(Raw!A201="","",Raw!A201))&amp;":"&amp;IF(Raw!A201="","",Raw!A201)&amp;"|"&amp;LEN(IF(Raw!B201="","",Raw!B201))&amp;":"&amp;IF(Raw!B201="","",Raw!B201)&amp;"|"&amp;LEN(IF(Raw!C201="","",Raw!C201))&amp;":"&amp;IF(Raw!C201="","",Raw!C201)&amp;"|"&amp;LEN(IF(Raw!D201="","",Raw!D201))&amp;":"&amp;IF(Raw!D201="","",Raw!D201)&amp;"|"&amp;LEN(IF(Raw!E201="","",Raw!E201))&amp;":"&amp;IF(Raw!E201="","",Raw!E201)&amp;"|"&amp;LEN(IF(Raw!F201="","",Raw!F201))&amp;":"&amp;IF(Raw!F201="","",Raw!F201)&amp;"|"&amp;LEN(IF(Raw!G201="","",Raw!G201))&amp;":"&amp;IF(Raw!G201="","",Raw!G201)</f>
        <v>6:L00195|6:T00098|10:2026-02-19|3:P-O|6:Office|4:sale|6:307.08</v>
      </c>
      <c r="Q201" s="1">
        <f>1</f>
        <v>1</v>
      </c>
      <c r="R201" s="1" t="b">
        <f>FALSE</f>
        <v>0</v>
      </c>
      <c r="S201" s="1">
        <f>1</f>
        <v>1</v>
      </c>
      <c r="T201" s="1" t="str">
        <f>IF(AND(Raw!A201="",Raw!B201="",Raw!C201="",Raw!D201="",Raw!E201="",Raw!F201="",Raw!G201=""),"UNUSED",IF(A201="","missing line ID",IF(B201="","missing transaction ID",IF(G201="",IF(C201="","missing date","invalid date"),IF(I201="","unknown product",IF(J201="","conflicting category",IF(NOT(OR(EXACT(K201,"sale"),EXACT(K201,"refund"))),"unknown event",IF(OR(N201="",NOT(O201)),"invalid amount",IF(OR(AND(K201="sale",N201&lt;=0),AND(K201="refund",N201&gt;=0)),"invalid sign","")))))))))</f>
        <v/>
      </c>
      <c r="U201" s="1" t="str">
        <f t="shared" si="29"/>
        <v>INCLUDED</v>
      </c>
      <c r="V201" s="1" t="str">
        <f t="shared" si="30"/>
        <v>2026-02</v>
      </c>
      <c r="W201" s="1">
        <f>IF(AND(U201="INCLUDED",X201&gt;0,EXACT(A201,'AI output'!A201)),1,0)</f>
        <v>1</v>
      </c>
      <c r="X201" s="1">
        <f>201</f>
        <v>201</v>
      </c>
      <c r="Y201" s="1">
        <f>IF(AND(U201="INCLUDED",W201=1),--(NOT(EXACT(A201,'AI output'!A201)))+--(NOT(EXACT(B201,'AI output'!B201)))+--(NOT(EXACT(TEXT(G201,"yyyy-mm-dd"),'AI output'!C201)))+--(NOT(EXACT(H201,'AI output'!D201)))+--(NOT(EXACT(J201,'AI output'!E201)))+--(NOT(EXACT(K201,'AI output'!F201)))+--(N201&lt;&gt;'AI output'!L201)+--(NOT('AI output'!M201)),0)</f>
        <v>0</v>
      </c>
      <c r="Z201" s="1">
        <f t="shared" si="31"/>
        <v>0</v>
      </c>
      <c r="AA201" s="1">
        <f>--EXACT(A201,"L00195")</f>
        <v>1</v>
      </c>
    </row>
    <row r="202" spans="1:27" ht="18.95" customHeight="1">
      <c r="A202" s="1" t="str">
        <f>IF(Raw!A202="","",Raw!A202)</f>
        <v>L00196</v>
      </c>
      <c r="B202" s="1" t="str">
        <f>IF(Raw!B202="","",Raw!B202)</f>
        <v>T00098</v>
      </c>
      <c r="C202" s="1" t="str">
        <f>IF(Raw!C202="","",Raw!C202)</f>
        <v>2026-02-19</v>
      </c>
      <c r="D202" s="1">
        <f t="shared" si="24"/>
        <v>2026</v>
      </c>
      <c r="E202" s="1">
        <f>IFERROR(IF(AND(LEN(C202)=10,MID(C202,5,1)="-",MID(C202,8,1)="-"),VALUE(MID(C202,6,2)),IF(AND(LEN(C202)=11,MID(C202,3,1)="-",MID(C202,7,1)="-"),MATCH(UPPER(MID(C202,4,3)),Guide!$D$7:$D$18,0),0)),0)</f>
        <v>2</v>
      </c>
      <c r="F202" s="1">
        <f t="shared" si="25"/>
        <v>19</v>
      </c>
      <c r="G202" s="9">
        <f t="shared" si="26"/>
        <v>46072</v>
      </c>
      <c r="H202" s="1" t="str">
        <f>IF(Raw!D202="","",Raw!D202)</f>
        <v>P-A</v>
      </c>
      <c r="I202" s="1" t="str">
        <f>IFERROR(IF(EXACT(H202,INDEX(Guide!$A$7:$A$9,MATCH(SUBSTITUTE(SUBSTITUTE(SUBSTITUTE(H202,"~","~~"),"*","~*"),"?","~?"),Guide!$A$7:$A$9,0))),INDEX(Guide!$B$7:$B$9,MATCH(SUBSTITUTE(SUBSTITUTE(SUBSTITUTE(H202,"~","~~"),"*","~*"),"?","~?"),Guide!$A$7:$A$9,0)),""),"")</f>
        <v>Accessories</v>
      </c>
      <c r="J202" s="1" t="str">
        <f>IF(TRIM(Raw!E202)="",I202,IF(UPPER(TRIM(Raw!E202))=UPPER(I202),I202,""))</f>
        <v>Accessories</v>
      </c>
      <c r="K202" s="1" t="str">
        <f>IF(Raw!F202="","",Raw!F202)</f>
        <v>sale</v>
      </c>
      <c r="L202" s="1" t="str">
        <f>IF(LEFT(TRIM(Raw!G202),2)="-$","-"&amp;MID(TRIM(Raw!G202),3,99),IF(LEFT(TRIM(Raw!G202),1)="$",MID(TRIM(Raw!G202),2,99),TRIM(Raw!G202)))</f>
        <v>77.14</v>
      </c>
      <c r="M202" s="1">
        <f t="shared" si="27"/>
        <v>77.14</v>
      </c>
      <c r="N202" s="10">
        <f t="shared" si="28"/>
        <v>7714</v>
      </c>
      <c r="O202" s="1" t="b">
        <f>IFERROR(IF(ISNUMBER(Raw!G202),TRUE,OR(EXACT(L202,TEXT(M202,"0.00")),EXACT(L202,TEXT(M202,"#,##0.00")))),FALSE)</f>
        <v>1</v>
      </c>
      <c r="P202" s="1" t="str">
        <f>LEN(IF(Raw!A202="","",Raw!A202))&amp;":"&amp;IF(Raw!A202="","",Raw!A202)&amp;"|"&amp;LEN(IF(Raw!B202="","",Raw!B202))&amp;":"&amp;IF(Raw!B202="","",Raw!B202)&amp;"|"&amp;LEN(IF(Raw!C202="","",Raw!C202))&amp;":"&amp;IF(Raw!C202="","",Raw!C202)&amp;"|"&amp;LEN(IF(Raw!D202="","",Raw!D202))&amp;":"&amp;IF(Raw!D202="","",Raw!D202)&amp;"|"&amp;LEN(IF(Raw!E202="","",Raw!E202))&amp;":"&amp;IF(Raw!E202="","",Raw!E202)&amp;"|"&amp;LEN(IF(Raw!F202="","",Raw!F202))&amp;":"&amp;IF(Raw!F202="","",Raw!F202)&amp;"|"&amp;LEN(IF(Raw!G202="","",Raw!G202))&amp;":"&amp;IF(Raw!G202="","",Raw!G202)</f>
        <v>6:L00196|6:T00098|10:2026-02-19|3:P-A|11:Accessories|4:sale|5:77.14</v>
      </c>
      <c r="Q202" s="1">
        <f>1</f>
        <v>1</v>
      </c>
      <c r="R202" s="1" t="b">
        <f>FALSE</f>
        <v>0</v>
      </c>
      <c r="S202" s="1">
        <f>1</f>
        <v>1</v>
      </c>
      <c r="T202" s="1" t="str">
        <f>IF(AND(Raw!A202="",Raw!B202="",Raw!C202="",Raw!D202="",Raw!E202="",Raw!F202="",Raw!G202=""),"UNUSED",IF(A202="","missing line ID",IF(B202="","missing transaction ID",IF(G202="",IF(C202="","missing date","invalid date"),IF(I202="","unknown product",IF(J202="","conflicting category",IF(NOT(OR(EXACT(K202,"sale"),EXACT(K202,"refund"))),"unknown event",IF(OR(N202="",NOT(O202)),"invalid amount",IF(OR(AND(K202="sale",N202&lt;=0),AND(K202="refund",N202&gt;=0)),"invalid sign","")))))))))</f>
        <v/>
      </c>
      <c r="U202" s="1" t="str">
        <f t="shared" si="29"/>
        <v>INCLUDED</v>
      </c>
      <c r="V202" s="1" t="str">
        <f t="shared" si="30"/>
        <v>2026-02</v>
      </c>
      <c r="W202" s="1">
        <f>IF(AND(U202="INCLUDED",X202&gt;0,EXACT(A202,'AI output'!A202)),1,0)</f>
        <v>1</v>
      </c>
      <c r="X202" s="1">
        <f>202</f>
        <v>202</v>
      </c>
      <c r="Y202" s="1">
        <f>IF(AND(U202="INCLUDED",W202=1),--(NOT(EXACT(A202,'AI output'!A202)))+--(NOT(EXACT(B202,'AI output'!B202)))+--(NOT(EXACT(TEXT(G202,"yyyy-mm-dd"),'AI output'!C202)))+--(NOT(EXACT(H202,'AI output'!D202)))+--(NOT(EXACT(J202,'AI output'!E202)))+--(NOT(EXACT(K202,'AI output'!F202)))+--(N202&lt;&gt;'AI output'!L202)+--(NOT('AI output'!M202)),0)</f>
        <v>0</v>
      </c>
      <c r="Z202" s="1">
        <f t="shared" si="31"/>
        <v>0</v>
      </c>
      <c r="AA202" s="1">
        <f>--EXACT(A202,"L00196")</f>
        <v>1</v>
      </c>
    </row>
    <row r="203" spans="1:27" ht="18.95" customHeight="1">
      <c r="A203" s="1" t="str">
        <f>IF(Raw!A203="","",Raw!A203)</f>
        <v>L00197</v>
      </c>
      <c r="B203" s="1" t="str">
        <f>IF(Raw!B203="","",Raw!B203)</f>
        <v>T00099</v>
      </c>
      <c r="C203" s="1" t="str">
        <f>IF(Raw!C203="","",Raw!C203)</f>
        <v>2026-02-26</v>
      </c>
      <c r="D203" s="1">
        <f t="shared" si="24"/>
        <v>2026</v>
      </c>
      <c r="E203" s="1">
        <f>IFERROR(IF(AND(LEN(C203)=10,MID(C203,5,1)="-",MID(C203,8,1)="-"),VALUE(MID(C203,6,2)),IF(AND(LEN(C203)=11,MID(C203,3,1)="-",MID(C203,7,1)="-"),MATCH(UPPER(MID(C203,4,3)),Guide!$D$7:$D$18,0),0)),0)</f>
        <v>2</v>
      </c>
      <c r="F203" s="1">
        <f t="shared" si="25"/>
        <v>26</v>
      </c>
      <c r="G203" s="9">
        <f t="shared" si="26"/>
        <v>46079</v>
      </c>
      <c r="H203" s="1" t="str">
        <f>IF(Raw!D203="","",Raw!D203)</f>
        <v>P-H</v>
      </c>
      <c r="I203" s="1" t="str">
        <f>IFERROR(IF(EXACT(H203,INDEX(Guide!$A$7:$A$9,MATCH(SUBSTITUTE(SUBSTITUTE(SUBSTITUTE(H203,"~","~~"),"*","~*"),"?","~?"),Guide!$A$7:$A$9,0))),INDEX(Guide!$B$7:$B$9,MATCH(SUBSTITUTE(SUBSTITUTE(SUBSTITUTE(H203,"~","~~"),"*","~*"),"?","~?"),Guide!$A$7:$A$9,0)),""),"")</f>
        <v>Home</v>
      </c>
      <c r="J203" s="1" t="str">
        <f>IF(TRIM(Raw!E203)="",I203,IF(UPPER(TRIM(Raw!E203))=UPPER(I203),I203,""))</f>
        <v>Home</v>
      </c>
      <c r="K203" s="1" t="str">
        <f>IF(Raw!F203="","",Raw!F203)</f>
        <v>sale</v>
      </c>
      <c r="L203" s="1" t="str">
        <f>IF(LEFT(TRIM(Raw!G203),2)="-$","-"&amp;MID(TRIM(Raw!G203),3,99),IF(LEFT(TRIM(Raw!G203),1)="$",MID(TRIM(Raw!G203),2,99),TRIM(Raw!G203)))</f>
        <v>232.53</v>
      </c>
      <c r="M203" s="1">
        <f t="shared" si="27"/>
        <v>232.53</v>
      </c>
      <c r="N203" s="10">
        <f t="shared" si="28"/>
        <v>23253</v>
      </c>
      <c r="O203" s="1" t="b">
        <f>IFERROR(IF(ISNUMBER(Raw!G203),TRUE,OR(EXACT(L203,TEXT(M203,"0.00")),EXACT(L203,TEXT(M203,"#,##0.00")))),FALSE)</f>
        <v>1</v>
      </c>
      <c r="P203" s="1" t="str">
        <f>LEN(IF(Raw!A203="","",Raw!A203))&amp;":"&amp;IF(Raw!A203="","",Raw!A203)&amp;"|"&amp;LEN(IF(Raw!B203="","",Raw!B203))&amp;":"&amp;IF(Raw!B203="","",Raw!B203)&amp;"|"&amp;LEN(IF(Raw!C203="","",Raw!C203))&amp;":"&amp;IF(Raw!C203="","",Raw!C203)&amp;"|"&amp;LEN(IF(Raw!D203="","",Raw!D203))&amp;":"&amp;IF(Raw!D203="","",Raw!D203)&amp;"|"&amp;LEN(IF(Raw!E203="","",Raw!E203))&amp;":"&amp;IF(Raw!E203="","",Raw!E203)&amp;"|"&amp;LEN(IF(Raw!F203="","",Raw!F203))&amp;":"&amp;IF(Raw!F203="","",Raw!F203)&amp;"|"&amp;LEN(IF(Raw!G203="","",Raw!G203))&amp;":"&amp;IF(Raw!G203="","",Raw!G203)</f>
        <v>6:L00197|6:T00099|10:2026-02-26|3:P-H|4:Home|4:sale|6:232.53</v>
      </c>
      <c r="Q203" s="1">
        <f>1</f>
        <v>1</v>
      </c>
      <c r="R203" s="1" t="b">
        <f>FALSE</f>
        <v>0</v>
      </c>
      <c r="S203" s="1">
        <f>1</f>
        <v>1</v>
      </c>
      <c r="T203" s="1" t="str">
        <f>IF(AND(Raw!A203="",Raw!B203="",Raw!C203="",Raw!D203="",Raw!E203="",Raw!F203="",Raw!G203=""),"UNUSED",IF(A203="","missing line ID",IF(B203="","missing transaction ID",IF(G203="",IF(C203="","missing date","invalid date"),IF(I203="","unknown product",IF(J203="","conflicting category",IF(NOT(OR(EXACT(K203,"sale"),EXACT(K203,"refund"))),"unknown event",IF(OR(N203="",NOT(O203)),"invalid amount",IF(OR(AND(K203="sale",N203&lt;=0),AND(K203="refund",N203&gt;=0)),"invalid sign","")))))))))</f>
        <v/>
      </c>
      <c r="U203" s="1" t="str">
        <f t="shared" si="29"/>
        <v>INCLUDED</v>
      </c>
      <c r="V203" s="1" t="str">
        <f t="shared" si="30"/>
        <v>2026-02</v>
      </c>
      <c r="W203" s="1">
        <f>IF(AND(U203="INCLUDED",X203&gt;0,EXACT(A203,'AI output'!A203)),1,0)</f>
        <v>1</v>
      </c>
      <c r="X203" s="1">
        <f>203</f>
        <v>203</v>
      </c>
      <c r="Y203" s="1">
        <f>IF(AND(U203="INCLUDED",W203=1),--(NOT(EXACT(A203,'AI output'!A203)))+--(NOT(EXACT(B203,'AI output'!B203)))+--(NOT(EXACT(TEXT(G203,"yyyy-mm-dd"),'AI output'!C203)))+--(NOT(EXACT(H203,'AI output'!D203)))+--(NOT(EXACT(J203,'AI output'!E203)))+--(NOT(EXACT(K203,'AI output'!F203)))+--(N203&lt;&gt;'AI output'!L203)+--(NOT('AI output'!M203)),0)</f>
        <v>0</v>
      </c>
      <c r="Z203" s="1">
        <f t="shared" si="31"/>
        <v>0</v>
      </c>
      <c r="AA203" s="1">
        <f>--EXACT(A203,"L00197")</f>
        <v>1</v>
      </c>
    </row>
    <row r="204" spans="1:27" ht="18.95" customHeight="1">
      <c r="A204" s="1" t="str">
        <f>IF(Raw!A204="","",Raw!A204)</f>
        <v>L00198</v>
      </c>
      <c r="B204" s="1" t="str">
        <f>IF(Raw!B204="","",Raw!B204)</f>
        <v>T00099</v>
      </c>
      <c r="C204" s="1" t="str">
        <f>IF(Raw!C204="","",Raw!C204)</f>
        <v>2026-02-26</v>
      </c>
      <c r="D204" s="1">
        <f t="shared" si="24"/>
        <v>2026</v>
      </c>
      <c r="E204" s="1">
        <f>IFERROR(IF(AND(LEN(C204)=10,MID(C204,5,1)="-",MID(C204,8,1)="-"),VALUE(MID(C204,6,2)),IF(AND(LEN(C204)=11,MID(C204,3,1)="-",MID(C204,7,1)="-"),MATCH(UPPER(MID(C204,4,3)),Guide!$D$7:$D$18,0),0)),0)</f>
        <v>2</v>
      </c>
      <c r="F204" s="1">
        <f t="shared" si="25"/>
        <v>26</v>
      </c>
      <c r="G204" s="9">
        <f t="shared" si="26"/>
        <v>46079</v>
      </c>
      <c r="H204" s="1" t="str">
        <f>IF(Raw!D204="","",Raw!D204)</f>
        <v>P-O</v>
      </c>
      <c r="I204" s="1" t="str">
        <f>IFERROR(IF(EXACT(H204,INDEX(Guide!$A$7:$A$9,MATCH(SUBSTITUTE(SUBSTITUTE(SUBSTITUTE(H204,"~","~~"),"*","~*"),"?","~?"),Guide!$A$7:$A$9,0))),INDEX(Guide!$B$7:$B$9,MATCH(SUBSTITUTE(SUBSTITUTE(SUBSTITUTE(H204,"~","~~"),"*","~*"),"?","~?"),Guide!$A$7:$A$9,0)),""),"")</f>
        <v>Office</v>
      </c>
      <c r="J204" s="1" t="str">
        <f>IF(TRIM(Raw!E204)="",I204,IF(UPPER(TRIM(Raw!E204))=UPPER(I204),I204,""))</f>
        <v>Office</v>
      </c>
      <c r="K204" s="1" t="str">
        <f>IF(Raw!F204="","",Raw!F204)</f>
        <v>sale</v>
      </c>
      <c r="L204" s="1" t="str">
        <f>IF(LEFT(TRIM(Raw!G204),2)="-$","-"&amp;MID(TRIM(Raw!G204),3,99),IF(LEFT(TRIM(Raw!G204),1)="$",MID(TRIM(Raw!G204),2,99),TRIM(Raw!G204)))</f>
        <v>389.40</v>
      </c>
      <c r="M204" s="1">
        <f t="shared" si="27"/>
        <v>389.4</v>
      </c>
      <c r="N204" s="10">
        <f t="shared" si="28"/>
        <v>38940</v>
      </c>
      <c r="O204" s="1" t="b">
        <f>IFERROR(IF(ISNUMBER(Raw!G204),TRUE,OR(EXACT(L204,TEXT(M204,"0.00")),EXACT(L204,TEXT(M204,"#,##0.00")))),FALSE)</f>
        <v>1</v>
      </c>
      <c r="P204" s="1" t="str">
        <f>LEN(IF(Raw!A204="","",Raw!A204))&amp;":"&amp;IF(Raw!A204="","",Raw!A204)&amp;"|"&amp;LEN(IF(Raw!B204="","",Raw!B204))&amp;":"&amp;IF(Raw!B204="","",Raw!B204)&amp;"|"&amp;LEN(IF(Raw!C204="","",Raw!C204))&amp;":"&amp;IF(Raw!C204="","",Raw!C204)&amp;"|"&amp;LEN(IF(Raw!D204="","",Raw!D204))&amp;":"&amp;IF(Raw!D204="","",Raw!D204)&amp;"|"&amp;LEN(IF(Raw!E204="","",Raw!E204))&amp;":"&amp;IF(Raw!E204="","",Raw!E204)&amp;"|"&amp;LEN(IF(Raw!F204="","",Raw!F204))&amp;":"&amp;IF(Raw!F204="","",Raw!F204)&amp;"|"&amp;LEN(IF(Raw!G204="","",Raw!G204))&amp;":"&amp;IF(Raw!G204="","",Raw!G204)</f>
        <v>6:L00198|6:T00099|10:2026-02-26|3:P-O|6:Office|4:sale|6:389.40</v>
      </c>
      <c r="Q204" s="1">
        <f>1</f>
        <v>1</v>
      </c>
      <c r="R204" s="1" t="b">
        <f>FALSE</f>
        <v>0</v>
      </c>
      <c r="S204" s="1">
        <f>1</f>
        <v>1</v>
      </c>
      <c r="T204" s="1" t="str">
        <f>IF(AND(Raw!A204="",Raw!B204="",Raw!C204="",Raw!D204="",Raw!E204="",Raw!F204="",Raw!G204=""),"UNUSED",IF(A204="","missing line ID",IF(B204="","missing transaction ID",IF(G204="",IF(C204="","missing date","invalid date"),IF(I204="","unknown product",IF(J204="","conflicting category",IF(NOT(OR(EXACT(K204,"sale"),EXACT(K204,"refund"))),"unknown event",IF(OR(N204="",NOT(O204)),"invalid amount",IF(OR(AND(K204="sale",N204&lt;=0),AND(K204="refund",N204&gt;=0)),"invalid sign","")))))))))</f>
        <v/>
      </c>
      <c r="U204" s="1" t="str">
        <f t="shared" si="29"/>
        <v>INCLUDED</v>
      </c>
      <c r="V204" s="1" t="str">
        <f t="shared" si="30"/>
        <v>2026-02</v>
      </c>
      <c r="W204" s="1">
        <f>IF(AND(U204="INCLUDED",X204&gt;0,EXACT(A204,'AI output'!A204)),1,0)</f>
        <v>1</v>
      </c>
      <c r="X204" s="1">
        <f>204</f>
        <v>204</v>
      </c>
      <c r="Y204" s="1">
        <f>IF(AND(U204="INCLUDED",W204=1),--(NOT(EXACT(A204,'AI output'!A204)))+--(NOT(EXACT(B204,'AI output'!B204)))+--(NOT(EXACT(TEXT(G204,"yyyy-mm-dd"),'AI output'!C204)))+--(NOT(EXACT(H204,'AI output'!D204)))+--(NOT(EXACT(J204,'AI output'!E204)))+--(NOT(EXACT(K204,'AI output'!F204)))+--(N204&lt;&gt;'AI output'!L204)+--(NOT('AI output'!M204)),0)</f>
        <v>0</v>
      </c>
      <c r="Z204" s="1">
        <f t="shared" si="31"/>
        <v>0</v>
      </c>
      <c r="AA204" s="1">
        <f>--EXACT(A204,"L00198")</f>
        <v>1</v>
      </c>
    </row>
    <row r="205" spans="1:27" ht="18.95" customHeight="1">
      <c r="A205" s="1" t="str">
        <f>IF(Raw!A205="","",Raw!A205)</f>
        <v>L00199</v>
      </c>
      <c r="B205" s="1" t="str">
        <f>IF(Raw!B205="","",Raw!B205)</f>
        <v>T00100</v>
      </c>
      <c r="C205" s="1" t="str">
        <f>IF(Raw!C205="","",Raw!C205)</f>
        <v>2026-03-05</v>
      </c>
      <c r="D205" s="1">
        <f t="shared" si="24"/>
        <v>2026</v>
      </c>
      <c r="E205" s="1">
        <f>IFERROR(IF(AND(LEN(C205)=10,MID(C205,5,1)="-",MID(C205,8,1)="-"),VALUE(MID(C205,6,2)),IF(AND(LEN(C205)=11,MID(C205,3,1)="-",MID(C205,7,1)="-"),MATCH(UPPER(MID(C205,4,3)),Guide!$D$7:$D$18,0),0)),0)</f>
        <v>3</v>
      </c>
      <c r="F205" s="1">
        <f t="shared" si="25"/>
        <v>5</v>
      </c>
      <c r="G205" s="9">
        <f t="shared" si="26"/>
        <v>46086</v>
      </c>
      <c r="H205" s="1" t="str">
        <f>IF(Raw!D205="","",Raw!D205)</f>
        <v>P-A</v>
      </c>
      <c r="I205" s="1" t="str">
        <f>IFERROR(IF(EXACT(H205,INDEX(Guide!$A$7:$A$9,MATCH(SUBSTITUTE(SUBSTITUTE(SUBSTITUTE(H205,"~","~~"),"*","~*"),"?","~?"),Guide!$A$7:$A$9,0))),INDEX(Guide!$B$7:$B$9,MATCH(SUBSTITUTE(SUBSTITUTE(SUBSTITUTE(H205,"~","~~"),"*","~*"),"?","~?"),Guide!$A$7:$A$9,0)),""),"")</f>
        <v>Accessories</v>
      </c>
      <c r="J205" s="1" t="str">
        <f>IF(TRIM(Raw!E205)="",I205,IF(UPPER(TRIM(Raw!E205))=UPPER(I205),I205,""))</f>
        <v>Accessories</v>
      </c>
      <c r="K205" s="1" t="str">
        <f>IF(Raw!F205="","",Raw!F205)</f>
        <v>sale</v>
      </c>
      <c r="L205" s="1" t="str">
        <f>IF(LEFT(TRIM(Raw!G205),2)="-$","-"&amp;MID(TRIM(Raw!G205),3,99),IF(LEFT(TRIM(Raw!G205),1)="$",MID(TRIM(Raw!G205),2,99),TRIM(Raw!G205)))</f>
        <v>156.50</v>
      </c>
      <c r="M205" s="1">
        <f t="shared" si="27"/>
        <v>156.5</v>
      </c>
      <c r="N205" s="10">
        <f t="shared" si="28"/>
        <v>15650</v>
      </c>
      <c r="O205" s="1" t="b">
        <f>IFERROR(IF(ISNUMBER(Raw!G205),TRUE,OR(EXACT(L205,TEXT(M205,"0.00")),EXACT(L205,TEXT(M205,"#,##0.00")))),FALSE)</f>
        <v>1</v>
      </c>
      <c r="P205" s="1" t="str">
        <f>LEN(IF(Raw!A205="","",Raw!A205))&amp;":"&amp;IF(Raw!A205="","",Raw!A205)&amp;"|"&amp;LEN(IF(Raw!B205="","",Raw!B205))&amp;":"&amp;IF(Raw!B205="","",Raw!B205)&amp;"|"&amp;LEN(IF(Raw!C205="","",Raw!C205))&amp;":"&amp;IF(Raw!C205="","",Raw!C205)&amp;"|"&amp;LEN(IF(Raw!D205="","",Raw!D205))&amp;":"&amp;IF(Raw!D205="","",Raw!D205)&amp;"|"&amp;LEN(IF(Raw!E205="","",Raw!E205))&amp;":"&amp;IF(Raw!E205="","",Raw!E205)&amp;"|"&amp;LEN(IF(Raw!F205="","",Raw!F205))&amp;":"&amp;IF(Raw!F205="","",Raw!F205)&amp;"|"&amp;LEN(IF(Raw!G205="","",Raw!G205))&amp;":"&amp;IF(Raw!G205="","",Raw!G205)</f>
        <v>6:L00199|6:T00100|10:2026-03-05|3:P-A|11:Accessories|4:sale|6:156.50</v>
      </c>
      <c r="Q205" s="1">
        <f>1</f>
        <v>1</v>
      </c>
      <c r="R205" s="1" t="b">
        <f>FALSE</f>
        <v>0</v>
      </c>
      <c r="S205" s="1">
        <f>1</f>
        <v>1</v>
      </c>
      <c r="T205" s="1" t="str">
        <f>IF(AND(Raw!A205="",Raw!B205="",Raw!C205="",Raw!D205="",Raw!E205="",Raw!F205="",Raw!G205=""),"UNUSED",IF(A205="","missing line ID",IF(B205="","missing transaction ID",IF(G205="",IF(C205="","missing date","invalid date"),IF(I205="","unknown product",IF(J205="","conflicting category",IF(NOT(OR(EXACT(K205,"sale"),EXACT(K205,"refund"))),"unknown event",IF(OR(N205="",NOT(O205)),"invalid amount",IF(OR(AND(K205="sale",N205&lt;=0),AND(K205="refund",N205&gt;=0)),"invalid sign","")))))))))</f>
        <v/>
      </c>
      <c r="U205" s="1" t="str">
        <f t="shared" si="29"/>
        <v>INCLUDED</v>
      </c>
      <c r="V205" s="1" t="str">
        <f t="shared" si="30"/>
        <v>2026-03</v>
      </c>
      <c r="W205" s="1">
        <f>IF(AND(U205="INCLUDED",X205&gt;0,EXACT(A205,'AI output'!A205)),1,0)</f>
        <v>1</v>
      </c>
      <c r="X205" s="1">
        <f>205</f>
        <v>205</v>
      </c>
      <c r="Y205" s="1">
        <f>IF(AND(U205="INCLUDED",W205=1),--(NOT(EXACT(A205,'AI output'!A205)))+--(NOT(EXACT(B205,'AI output'!B205)))+--(NOT(EXACT(TEXT(G205,"yyyy-mm-dd"),'AI output'!C205)))+--(NOT(EXACT(H205,'AI output'!D205)))+--(NOT(EXACT(J205,'AI output'!E205)))+--(NOT(EXACT(K205,'AI output'!F205)))+--(N205&lt;&gt;'AI output'!L205)+--(NOT('AI output'!M205)),0)</f>
        <v>0</v>
      </c>
      <c r="Z205" s="1">
        <f t="shared" si="31"/>
        <v>0</v>
      </c>
      <c r="AA205" s="1">
        <f>--EXACT(A205,"L00199")</f>
        <v>1</v>
      </c>
    </row>
    <row r="206" spans="1:27" ht="18.95" customHeight="1">
      <c r="A206" s="1" t="str">
        <f>IF(Raw!A206="","",Raw!A206)</f>
        <v>L00200</v>
      </c>
      <c r="B206" s="1" t="str">
        <f>IF(Raw!B206="","",Raw!B206)</f>
        <v>T00100</v>
      </c>
      <c r="C206" s="1" t="str">
        <f>IF(Raw!C206="","",Raw!C206)</f>
        <v>2026-03-05</v>
      </c>
      <c r="D206" s="1">
        <f t="shared" si="24"/>
        <v>2026</v>
      </c>
      <c r="E206" s="1">
        <f>IFERROR(IF(AND(LEN(C206)=10,MID(C206,5,1)="-",MID(C206,8,1)="-"),VALUE(MID(C206,6,2)),IF(AND(LEN(C206)=11,MID(C206,3,1)="-",MID(C206,7,1)="-"),MATCH(UPPER(MID(C206,4,3)),Guide!$D$7:$D$18,0),0)),0)</f>
        <v>3</v>
      </c>
      <c r="F206" s="1">
        <f t="shared" si="25"/>
        <v>5</v>
      </c>
      <c r="G206" s="9">
        <f t="shared" si="26"/>
        <v>46086</v>
      </c>
      <c r="H206" s="1" t="str">
        <f>IF(Raw!D206="","",Raw!D206)</f>
        <v>P-H</v>
      </c>
      <c r="I206" s="1" t="str">
        <f>IFERROR(IF(EXACT(H206,INDEX(Guide!$A$7:$A$9,MATCH(SUBSTITUTE(SUBSTITUTE(SUBSTITUTE(H206,"~","~~"),"*","~*"),"?","~?"),Guide!$A$7:$A$9,0))),INDEX(Guide!$B$7:$B$9,MATCH(SUBSTITUTE(SUBSTITUTE(SUBSTITUTE(H206,"~","~~"),"*","~*"),"?","~?"),Guide!$A$7:$A$9,0)),""),"")</f>
        <v>Home</v>
      </c>
      <c r="J206" s="1" t="str">
        <f>IF(TRIM(Raw!E206)="",I206,IF(UPPER(TRIM(Raw!E206))=UPPER(I206),I206,""))</f>
        <v>Home</v>
      </c>
      <c r="K206" s="1" t="str">
        <f>IF(Raw!F206="","",Raw!F206)</f>
        <v>sale</v>
      </c>
      <c r="L206" s="1" t="str">
        <f>IF(LEFT(TRIM(Raw!G206),2)="-$","-"&amp;MID(TRIM(Raw!G206),3,99),IF(LEFT(TRIM(Raw!G206),1)="$",MID(TRIM(Raw!G206),2,99),TRIM(Raw!G206)))</f>
        <v>314.48</v>
      </c>
      <c r="M206" s="1">
        <f t="shared" si="27"/>
        <v>314.48</v>
      </c>
      <c r="N206" s="10">
        <f t="shared" si="28"/>
        <v>31448</v>
      </c>
      <c r="O206" s="1" t="b">
        <f>IFERROR(IF(ISNUMBER(Raw!G206),TRUE,OR(EXACT(L206,TEXT(M206,"0.00")),EXACT(L206,TEXT(M206,"#,##0.00")))),FALSE)</f>
        <v>1</v>
      </c>
      <c r="P206" s="1" t="str">
        <f>LEN(IF(Raw!A206="","",Raw!A206))&amp;":"&amp;IF(Raw!A206="","",Raw!A206)&amp;"|"&amp;LEN(IF(Raw!B206="","",Raw!B206))&amp;":"&amp;IF(Raw!B206="","",Raw!B206)&amp;"|"&amp;LEN(IF(Raw!C206="","",Raw!C206))&amp;":"&amp;IF(Raw!C206="","",Raw!C206)&amp;"|"&amp;LEN(IF(Raw!D206="","",Raw!D206))&amp;":"&amp;IF(Raw!D206="","",Raw!D206)&amp;"|"&amp;LEN(IF(Raw!E206="","",Raw!E206))&amp;":"&amp;IF(Raw!E206="","",Raw!E206)&amp;"|"&amp;LEN(IF(Raw!F206="","",Raw!F206))&amp;":"&amp;IF(Raw!F206="","",Raw!F206)&amp;"|"&amp;LEN(IF(Raw!G206="","",Raw!G206))&amp;":"&amp;IF(Raw!G206="","",Raw!G206)</f>
        <v>6:L00200|6:T00100|10:2026-03-05|3:P-H|4:Home|4:sale|6:314.48</v>
      </c>
      <c r="Q206" s="1">
        <f>1</f>
        <v>1</v>
      </c>
      <c r="R206" s="1" t="b">
        <f>FALSE</f>
        <v>0</v>
      </c>
      <c r="S206" s="1">
        <f>1</f>
        <v>1</v>
      </c>
      <c r="T206" s="1" t="str">
        <f>IF(AND(Raw!A206="",Raw!B206="",Raw!C206="",Raw!D206="",Raw!E206="",Raw!F206="",Raw!G206=""),"UNUSED",IF(A206="","missing line ID",IF(B206="","missing transaction ID",IF(G206="",IF(C206="","missing date","invalid date"),IF(I206="","unknown product",IF(J206="","conflicting category",IF(NOT(OR(EXACT(K206,"sale"),EXACT(K206,"refund"))),"unknown event",IF(OR(N206="",NOT(O206)),"invalid amount",IF(OR(AND(K206="sale",N206&lt;=0),AND(K206="refund",N206&gt;=0)),"invalid sign","")))))))))</f>
        <v/>
      </c>
      <c r="U206" s="1" t="str">
        <f t="shared" si="29"/>
        <v>INCLUDED</v>
      </c>
      <c r="V206" s="1" t="str">
        <f t="shared" si="30"/>
        <v>2026-03</v>
      </c>
      <c r="W206" s="1">
        <f>IF(AND(U206="INCLUDED",X206&gt;0,EXACT(A206,'AI output'!A206)),1,0)</f>
        <v>1</v>
      </c>
      <c r="X206" s="1">
        <f>206</f>
        <v>206</v>
      </c>
      <c r="Y206" s="1">
        <f>IF(AND(U206="INCLUDED",W206=1),--(NOT(EXACT(A206,'AI output'!A206)))+--(NOT(EXACT(B206,'AI output'!B206)))+--(NOT(EXACT(TEXT(G206,"yyyy-mm-dd"),'AI output'!C206)))+--(NOT(EXACT(H206,'AI output'!D206)))+--(NOT(EXACT(J206,'AI output'!E206)))+--(NOT(EXACT(K206,'AI output'!F206)))+--(N206&lt;&gt;'AI output'!L206)+--(NOT('AI output'!M206)),0)</f>
        <v>0</v>
      </c>
      <c r="Z206" s="1">
        <f t="shared" si="31"/>
        <v>0</v>
      </c>
      <c r="AA206" s="1">
        <f>--EXACT(A206,"L00200")</f>
        <v>1</v>
      </c>
    </row>
    <row r="207" spans="1:27" ht="18.95" customHeight="1">
      <c r="A207" s="1" t="str">
        <f>IF(Raw!A207="","",Raw!A207)</f>
        <v>L00201</v>
      </c>
      <c r="B207" s="1" t="str">
        <f>IF(Raw!B207="","",Raw!B207)</f>
        <v>T00101</v>
      </c>
      <c r="C207" s="1" t="str">
        <f>IF(Raw!C207="","",Raw!C207)</f>
        <v>2026-03-12</v>
      </c>
      <c r="D207" s="1">
        <f t="shared" si="24"/>
        <v>2026</v>
      </c>
      <c r="E207" s="1">
        <f>IFERROR(IF(AND(LEN(C207)=10,MID(C207,5,1)="-",MID(C207,8,1)="-"),VALUE(MID(C207,6,2)),IF(AND(LEN(C207)=11,MID(C207,3,1)="-",MID(C207,7,1)="-"),MATCH(UPPER(MID(C207,4,3)),Guide!$D$7:$D$18,0),0)),0)</f>
        <v>3</v>
      </c>
      <c r="F207" s="1">
        <f t="shared" si="25"/>
        <v>12</v>
      </c>
      <c r="G207" s="9">
        <f t="shared" si="26"/>
        <v>46093</v>
      </c>
      <c r="H207" s="1" t="str">
        <f>IF(Raw!D207="","",Raw!D207)</f>
        <v>P-O</v>
      </c>
      <c r="I207" s="1" t="str">
        <f>IFERROR(IF(EXACT(H207,INDEX(Guide!$A$7:$A$9,MATCH(SUBSTITUTE(SUBSTITUTE(SUBSTITUTE(H207,"~","~~"),"*","~*"),"?","~?"),Guide!$A$7:$A$9,0))),INDEX(Guide!$B$7:$B$9,MATCH(SUBSTITUTE(SUBSTITUTE(SUBSTITUTE(H207,"~","~~"),"*","~*"),"?","~?"),Guide!$A$7:$A$9,0)),""),"")</f>
        <v>Office</v>
      </c>
      <c r="J207" s="1" t="str">
        <f>IF(TRIM(Raw!E207)="",I207,IF(UPPER(TRIM(Raw!E207))=UPPER(I207),I207,""))</f>
        <v>Office</v>
      </c>
      <c r="K207" s="1" t="str">
        <f>IF(Raw!F207="","",Raw!F207)</f>
        <v>sale</v>
      </c>
      <c r="L207" s="1" t="str">
        <f>IF(LEFT(TRIM(Raw!G207),2)="-$","-"&amp;MID(TRIM(Raw!G207),3,99),IF(LEFT(TRIM(Raw!G207),1)="$",MID(TRIM(Raw!G207),2,99),TRIM(Raw!G207)))</f>
        <v>78.99</v>
      </c>
      <c r="M207" s="1">
        <f t="shared" si="27"/>
        <v>78.989999999999995</v>
      </c>
      <c r="N207" s="10">
        <f t="shared" si="28"/>
        <v>7899</v>
      </c>
      <c r="O207" s="1" t="b">
        <f>IFERROR(IF(ISNUMBER(Raw!G207),TRUE,OR(EXACT(L207,TEXT(M207,"0.00")),EXACT(L207,TEXT(M207,"#,##0.00")))),FALSE)</f>
        <v>1</v>
      </c>
      <c r="P207" s="1" t="str">
        <f>LEN(IF(Raw!A207="","",Raw!A207))&amp;":"&amp;IF(Raw!A207="","",Raw!A207)&amp;"|"&amp;LEN(IF(Raw!B207="","",Raw!B207))&amp;":"&amp;IF(Raw!B207="","",Raw!B207)&amp;"|"&amp;LEN(IF(Raw!C207="","",Raw!C207))&amp;":"&amp;IF(Raw!C207="","",Raw!C207)&amp;"|"&amp;LEN(IF(Raw!D207="","",Raw!D207))&amp;":"&amp;IF(Raw!D207="","",Raw!D207)&amp;"|"&amp;LEN(IF(Raw!E207="","",Raw!E207))&amp;":"&amp;IF(Raw!E207="","",Raw!E207)&amp;"|"&amp;LEN(IF(Raw!F207="","",Raw!F207))&amp;":"&amp;IF(Raw!F207="","",Raw!F207)&amp;"|"&amp;LEN(IF(Raw!G207="","",Raw!G207))&amp;":"&amp;IF(Raw!G207="","",Raw!G207)</f>
        <v>6:L00201|6:T00101|10:2026-03-12|3:P-O|6:Office|4:sale|5:78.99</v>
      </c>
      <c r="Q207" s="1">
        <f>1</f>
        <v>1</v>
      </c>
      <c r="R207" s="1" t="b">
        <f>FALSE</f>
        <v>0</v>
      </c>
      <c r="S207" s="1">
        <f>1</f>
        <v>1</v>
      </c>
      <c r="T207" s="1" t="str">
        <f>IF(AND(Raw!A207="",Raw!B207="",Raw!C207="",Raw!D207="",Raw!E207="",Raw!F207="",Raw!G207=""),"UNUSED",IF(A207="","missing line ID",IF(B207="","missing transaction ID",IF(G207="",IF(C207="","missing date","invalid date"),IF(I207="","unknown product",IF(J207="","conflicting category",IF(NOT(OR(EXACT(K207,"sale"),EXACT(K207,"refund"))),"unknown event",IF(OR(N207="",NOT(O207)),"invalid amount",IF(OR(AND(K207="sale",N207&lt;=0),AND(K207="refund",N207&gt;=0)),"invalid sign","")))))))))</f>
        <v/>
      </c>
      <c r="U207" s="1" t="str">
        <f t="shared" si="29"/>
        <v>INCLUDED</v>
      </c>
      <c r="V207" s="1" t="str">
        <f t="shared" si="30"/>
        <v>2026-03</v>
      </c>
      <c r="W207" s="1">
        <f>IF(AND(U207="INCLUDED",X207&gt;0,EXACT(A207,'AI output'!A207)),1,0)</f>
        <v>1</v>
      </c>
      <c r="X207" s="1">
        <f>207</f>
        <v>207</v>
      </c>
      <c r="Y207" s="1">
        <f>IF(AND(U207="INCLUDED",W207=1),--(NOT(EXACT(A207,'AI output'!A207)))+--(NOT(EXACT(B207,'AI output'!B207)))+--(NOT(EXACT(TEXT(G207,"yyyy-mm-dd"),'AI output'!C207)))+--(NOT(EXACT(H207,'AI output'!D207)))+--(NOT(EXACT(J207,'AI output'!E207)))+--(NOT(EXACT(K207,'AI output'!F207)))+--(N207&lt;&gt;'AI output'!L207)+--(NOT('AI output'!M207)),0)</f>
        <v>0</v>
      </c>
      <c r="Z207" s="1">
        <f t="shared" si="31"/>
        <v>0</v>
      </c>
      <c r="AA207" s="1">
        <f>--EXACT(A207,"L00201")</f>
        <v>1</v>
      </c>
    </row>
    <row r="208" spans="1:27" ht="18.95" customHeight="1">
      <c r="A208" s="1" t="str">
        <f>IF(Raw!A208="","",Raw!A208)</f>
        <v>L00202</v>
      </c>
      <c r="B208" s="1" t="str">
        <f>IF(Raw!B208="","",Raw!B208)</f>
        <v>T00101</v>
      </c>
      <c r="C208" s="1" t="str">
        <f>IF(Raw!C208="","",Raw!C208)</f>
        <v>2026-03-12</v>
      </c>
      <c r="D208" s="1">
        <f t="shared" si="24"/>
        <v>2026</v>
      </c>
      <c r="E208" s="1">
        <f>IFERROR(IF(AND(LEN(C208)=10,MID(C208,5,1)="-",MID(C208,8,1)="-"),VALUE(MID(C208,6,2)),IF(AND(LEN(C208)=11,MID(C208,3,1)="-",MID(C208,7,1)="-"),MATCH(UPPER(MID(C208,4,3)),Guide!$D$7:$D$18,0),0)),0)</f>
        <v>3</v>
      </c>
      <c r="F208" s="1">
        <f t="shared" si="25"/>
        <v>12</v>
      </c>
      <c r="G208" s="9">
        <f t="shared" si="26"/>
        <v>46093</v>
      </c>
      <c r="H208" s="1" t="str">
        <f>IF(Raw!D208="","",Raw!D208)</f>
        <v>P-A</v>
      </c>
      <c r="I208" s="1" t="str">
        <f>IFERROR(IF(EXACT(H208,INDEX(Guide!$A$7:$A$9,MATCH(SUBSTITUTE(SUBSTITUTE(SUBSTITUTE(H208,"~","~~"),"*","~*"),"?","~?"),Guide!$A$7:$A$9,0))),INDEX(Guide!$B$7:$B$9,MATCH(SUBSTITUTE(SUBSTITUTE(SUBSTITUTE(H208,"~","~~"),"*","~*"),"?","~?"),Guide!$A$7:$A$9,0)),""),"")</f>
        <v>Accessories</v>
      </c>
      <c r="J208" s="1" t="str">
        <f>IF(TRIM(Raw!E208)="",I208,IF(UPPER(TRIM(Raw!E208))=UPPER(I208),I208,""))</f>
        <v>Accessories</v>
      </c>
      <c r="K208" s="1" t="str">
        <f>IF(Raw!F208="","",Raw!F208)</f>
        <v>sale</v>
      </c>
      <c r="L208" s="1" t="str">
        <f>IF(LEFT(TRIM(Raw!G208),2)="-$","-"&amp;MID(TRIM(Raw!G208),3,99),IF(LEFT(TRIM(Raw!G208),1)="$",MID(TRIM(Raw!G208),2,99),TRIM(Raw!G208)))</f>
        <v>238.08</v>
      </c>
      <c r="M208" s="1">
        <f t="shared" si="27"/>
        <v>238.08</v>
      </c>
      <c r="N208" s="10">
        <f t="shared" si="28"/>
        <v>23808</v>
      </c>
      <c r="O208" s="1" t="b">
        <f>IFERROR(IF(ISNUMBER(Raw!G208),TRUE,OR(EXACT(L208,TEXT(M208,"0.00")),EXACT(L208,TEXT(M208,"#,##0.00")))),FALSE)</f>
        <v>1</v>
      </c>
      <c r="P208" s="1" t="str">
        <f>LEN(IF(Raw!A208="","",Raw!A208))&amp;":"&amp;IF(Raw!A208="","",Raw!A208)&amp;"|"&amp;LEN(IF(Raw!B208="","",Raw!B208))&amp;":"&amp;IF(Raw!B208="","",Raw!B208)&amp;"|"&amp;LEN(IF(Raw!C208="","",Raw!C208))&amp;":"&amp;IF(Raw!C208="","",Raw!C208)&amp;"|"&amp;LEN(IF(Raw!D208="","",Raw!D208))&amp;":"&amp;IF(Raw!D208="","",Raw!D208)&amp;"|"&amp;LEN(IF(Raw!E208="","",Raw!E208))&amp;":"&amp;IF(Raw!E208="","",Raw!E208)&amp;"|"&amp;LEN(IF(Raw!F208="","",Raw!F208))&amp;":"&amp;IF(Raw!F208="","",Raw!F208)&amp;"|"&amp;LEN(IF(Raw!G208="","",Raw!G208))&amp;":"&amp;IF(Raw!G208="","",Raw!G208)</f>
        <v>6:L00202|6:T00101|10:2026-03-12|3:P-A|11:Accessories|4:sale|6:238.08</v>
      </c>
      <c r="Q208" s="1">
        <f>1</f>
        <v>1</v>
      </c>
      <c r="R208" s="1" t="b">
        <f>FALSE</f>
        <v>0</v>
      </c>
      <c r="S208" s="1">
        <f>1</f>
        <v>1</v>
      </c>
      <c r="T208" s="1" t="str">
        <f>IF(AND(Raw!A208="",Raw!B208="",Raw!C208="",Raw!D208="",Raw!E208="",Raw!F208="",Raw!G208=""),"UNUSED",IF(A208="","missing line ID",IF(B208="","missing transaction ID",IF(G208="",IF(C208="","missing date","invalid date"),IF(I208="","unknown product",IF(J208="","conflicting category",IF(NOT(OR(EXACT(K208,"sale"),EXACT(K208,"refund"))),"unknown event",IF(OR(N208="",NOT(O208)),"invalid amount",IF(OR(AND(K208="sale",N208&lt;=0),AND(K208="refund",N208&gt;=0)),"invalid sign","")))))))))</f>
        <v/>
      </c>
      <c r="U208" s="1" t="str">
        <f t="shared" si="29"/>
        <v>INCLUDED</v>
      </c>
      <c r="V208" s="1" t="str">
        <f t="shared" si="30"/>
        <v>2026-03</v>
      </c>
      <c r="W208" s="1">
        <f>IF(AND(U208="INCLUDED",X208&gt;0,EXACT(A208,'AI output'!A208)),1,0)</f>
        <v>1</v>
      </c>
      <c r="X208" s="1">
        <f>208</f>
        <v>208</v>
      </c>
      <c r="Y208" s="1">
        <f>IF(AND(U208="INCLUDED",W208=1),--(NOT(EXACT(A208,'AI output'!A208)))+--(NOT(EXACT(B208,'AI output'!B208)))+--(NOT(EXACT(TEXT(G208,"yyyy-mm-dd"),'AI output'!C208)))+--(NOT(EXACT(H208,'AI output'!D208)))+--(NOT(EXACT(J208,'AI output'!E208)))+--(NOT(EXACT(K208,'AI output'!F208)))+--(N208&lt;&gt;'AI output'!L208)+--(NOT('AI output'!M208)),0)</f>
        <v>0</v>
      </c>
      <c r="Z208" s="1">
        <f t="shared" si="31"/>
        <v>0</v>
      </c>
      <c r="AA208" s="1">
        <f>--EXACT(A208,"L00202")</f>
        <v>1</v>
      </c>
    </row>
    <row r="209" spans="1:27" ht="18.95" customHeight="1">
      <c r="A209" s="1" t="str">
        <f>IF(Raw!A209="","",Raw!A209)</f>
        <v>L00203</v>
      </c>
      <c r="B209" s="1" t="str">
        <f>IF(Raw!B209="","",Raw!B209)</f>
        <v>T00102</v>
      </c>
      <c r="C209" s="1" t="str">
        <f>IF(Raw!C209="","",Raw!C209)</f>
        <v>2026-03-19</v>
      </c>
      <c r="D209" s="1">
        <f t="shared" si="24"/>
        <v>2026</v>
      </c>
      <c r="E209" s="1">
        <f>IFERROR(IF(AND(LEN(C209)=10,MID(C209,5,1)="-",MID(C209,8,1)="-"),VALUE(MID(C209,6,2)),IF(AND(LEN(C209)=11,MID(C209,3,1)="-",MID(C209,7,1)="-"),MATCH(UPPER(MID(C209,4,3)),Guide!$D$7:$D$18,0),0)),0)</f>
        <v>3</v>
      </c>
      <c r="F209" s="1">
        <f t="shared" si="25"/>
        <v>19</v>
      </c>
      <c r="G209" s="9">
        <f t="shared" si="26"/>
        <v>46100</v>
      </c>
      <c r="H209" s="1" t="str">
        <f>IF(Raw!D209="","",Raw!D209)</f>
        <v>P-H</v>
      </c>
      <c r="I209" s="1" t="str">
        <f>IFERROR(IF(EXACT(H209,INDEX(Guide!$A$7:$A$9,MATCH(SUBSTITUTE(SUBSTITUTE(SUBSTITUTE(H209,"~","~~"),"*","~*"),"?","~?"),Guide!$A$7:$A$9,0))),INDEX(Guide!$B$7:$B$9,MATCH(SUBSTITUTE(SUBSTITUTE(SUBSTITUTE(H209,"~","~~"),"*","~*"),"?","~?"),Guide!$A$7:$A$9,0)),""),"")</f>
        <v>Home</v>
      </c>
      <c r="J209" s="1" t="str">
        <f>IF(TRIM(Raw!E209)="",I209,IF(UPPER(TRIM(Raw!E209))=UPPER(I209),I209,""))</f>
        <v>Home</v>
      </c>
      <c r="K209" s="1" t="str">
        <f>IF(Raw!F209="","",Raw!F209)</f>
        <v>sale</v>
      </c>
      <c r="L209" s="1" t="str">
        <f>IF(LEFT(TRIM(Raw!G209),2)="-$","-"&amp;MID(TRIM(Raw!G209),3,99),IF(LEFT(TRIM(Raw!G209),1)="$",MID(TRIM(Raw!G209),2,99),TRIM(Raw!G209)))</f>
        <v>398.65</v>
      </c>
      <c r="M209" s="1">
        <f t="shared" si="27"/>
        <v>398.65</v>
      </c>
      <c r="N209" s="10">
        <f t="shared" si="28"/>
        <v>39865</v>
      </c>
      <c r="O209" s="1" t="b">
        <f>IFERROR(IF(ISNUMBER(Raw!G209),TRUE,OR(EXACT(L209,TEXT(M209,"0.00")),EXACT(L209,TEXT(M209,"#,##0.00")))),FALSE)</f>
        <v>1</v>
      </c>
      <c r="P209" s="1" t="str">
        <f>LEN(IF(Raw!A209="","",Raw!A209))&amp;":"&amp;IF(Raw!A209="","",Raw!A209)&amp;"|"&amp;LEN(IF(Raw!B209="","",Raw!B209))&amp;":"&amp;IF(Raw!B209="","",Raw!B209)&amp;"|"&amp;LEN(IF(Raw!C209="","",Raw!C209))&amp;":"&amp;IF(Raw!C209="","",Raw!C209)&amp;"|"&amp;LEN(IF(Raw!D209="","",Raw!D209))&amp;":"&amp;IF(Raw!D209="","",Raw!D209)&amp;"|"&amp;LEN(IF(Raw!E209="","",Raw!E209))&amp;":"&amp;IF(Raw!E209="","",Raw!E209)&amp;"|"&amp;LEN(IF(Raw!F209="","",Raw!F209))&amp;":"&amp;IF(Raw!F209="","",Raw!F209)&amp;"|"&amp;LEN(IF(Raw!G209="","",Raw!G209))&amp;":"&amp;IF(Raw!G209="","",Raw!G209)</f>
        <v>6:L00203|6:T00102|10:2026-03-19|3:P-H|4:Home|4:sale|6:398.65</v>
      </c>
      <c r="Q209" s="1">
        <f>1</f>
        <v>1</v>
      </c>
      <c r="R209" s="1" t="b">
        <f>FALSE</f>
        <v>0</v>
      </c>
      <c r="S209" s="1">
        <f>1</f>
        <v>1</v>
      </c>
      <c r="T209" s="1" t="str">
        <f>IF(AND(Raw!A209="",Raw!B209="",Raw!C209="",Raw!D209="",Raw!E209="",Raw!F209="",Raw!G209=""),"UNUSED",IF(A209="","missing line ID",IF(B209="","missing transaction ID",IF(G209="",IF(C209="","missing date","invalid date"),IF(I209="","unknown product",IF(J209="","conflicting category",IF(NOT(OR(EXACT(K209,"sale"),EXACT(K209,"refund"))),"unknown event",IF(OR(N209="",NOT(O209)),"invalid amount",IF(OR(AND(K209="sale",N209&lt;=0),AND(K209="refund",N209&gt;=0)),"invalid sign","")))))))))</f>
        <v/>
      </c>
      <c r="U209" s="1" t="str">
        <f t="shared" si="29"/>
        <v>INCLUDED</v>
      </c>
      <c r="V209" s="1" t="str">
        <f t="shared" si="30"/>
        <v>2026-03</v>
      </c>
      <c r="W209" s="1">
        <f>IF(AND(U209="INCLUDED",X209&gt;0,EXACT(A209,'AI output'!A209)),1,0)</f>
        <v>1</v>
      </c>
      <c r="X209" s="1">
        <f>209</f>
        <v>209</v>
      </c>
      <c r="Y209" s="1">
        <f>IF(AND(U209="INCLUDED",W209=1),--(NOT(EXACT(A209,'AI output'!A209)))+--(NOT(EXACT(B209,'AI output'!B209)))+--(NOT(EXACT(TEXT(G209,"yyyy-mm-dd"),'AI output'!C209)))+--(NOT(EXACT(H209,'AI output'!D209)))+--(NOT(EXACT(J209,'AI output'!E209)))+--(NOT(EXACT(K209,'AI output'!F209)))+--(N209&lt;&gt;'AI output'!L209)+--(NOT('AI output'!M209)),0)</f>
        <v>0</v>
      </c>
      <c r="Z209" s="1">
        <f t="shared" si="31"/>
        <v>0</v>
      </c>
      <c r="AA209" s="1">
        <f>--EXACT(A209,"L00203")</f>
        <v>1</v>
      </c>
    </row>
    <row r="210" spans="1:27" ht="18.95" customHeight="1">
      <c r="A210" s="1" t="str">
        <f>IF(Raw!A210="","",Raw!A210)</f>
        <v>L00204</v>
      </c>
      <c r="B210" s="1" t="str">
        <f>IF(Raw!B210="","",Raw!B210)</f>
        <v>T00102</v>
      </c>
      <c r="C210" s="1" t="str">
        <f>IF(Raw!C210="","",Raw!C210)</f>
        <v>2026-03-19</v>
      </c>
      <c r="D210" s="1">
        <f t="shared" si="24"/>
        <v>2026</v>
      </c>
      <c r="E210" s="1">
        <f>IFERROR(IF(AND(LEN(C210)=10,MID(C210,5,1)="-",MID(C210,8,1)="-"),VALUE(MID(C210,6,2)),IF(AND(LEN(C210)=11,MID(C210,3,1)="-",MID(C210,7,1)="-"),MATCH(UPPER(MID(C210,4,3)),Guide!$D$7:$D$18,0),0)),0)</f>
        <v>3</v>
      </c>
      <c r="F210" s="1">
        <f t="shared" si="25"/>
        <v>19</v>
      </c>
      <c r="G210" s="9">
        <f t="shared" si="26"/>
        <v>46100</v>
      </c>
      <c r="H210" s="1" t="str">
        <f>IF(Raw!D210="","",Raw!D210)</f>
        <v>P-O</v>
      </c>
      <c r="I210" s="1" t="str">
        <f>IFERROR(IF(EXACT(H210,INDEX(Guide!$A$7:$A$9,MATCH(SUBSTITUTE(SUBSTITUTE(SUBSTITUTE(H210,"~","~~"),"*","~*"),"?","~?"),Guide!$A$7:$A$9,0))),INDEX(Guide!$B$7:$B$9,MATCH(SUBSTITUTE(SUBSTITUTE(SUBSTITUTE(H210,"~","~~"),"*","~*"),"?","~?"),Guide!$A$7:$A$9,0)),""),"")</f>
        <v>Office</v>
      </c>
      <c r="J210" s="1" t="str">
        <f>IF(TRIM(Raw!E210)="",I210,IF(UPPER(TRIM(Raw!E210))=UPPER(I210),I210,""))</f>
        <v>Office</v>
      </c>
      <c r="K210" s="1" t="str">
        <f>IF(Raw!F210="","",Raw!F210)</f>
        <v>sale</v>
      </c>
      <c r="L210" s="1" t="str">
        <f>IF(LEFT(TRIM(Raw!G210),2)="-$","-"&amp;MID(TRIM(Raw!G210),3,99),IF(LEFT(TRIM(Raw!G210),1)="$",MID(TRIM(Raw!G210),2,99),TRIM(Raw!G210)))</f>
        <v>160.20</v>
      </c>
      <c r="M210" s="1">
        <f t="shared" si="27"/>
        <v>160.19999999999999</v>
      </c>
      <c r="N210" s="10">
        <f t="shared" si="28"/>
        <v>16020</v>
      </c>
      <c r="O210" s="1" t="b">
        <f>IFERROR(IF(ISNUMBER(Raw!G210),TRUE,OR(EXACT(L210,TEXT(M210,"0.00")),EXACT(L210,TEXT(M210,"#,##0.00")))),FALSE)</f>
        <v>1</v>
      </c>
      <c r="P210" s="1" t="str">
        <f>LEN(IF(Raw!A210="","",Raw!A210))&amp;":"&amp;IF(Raw!A210="","",Raw!A210)&amp;"|"&amp;LEN(IF(Raw!B210="","",Raw!B210))&amp;":"&amp;IF(Raw!B210="","",Raw!B210)&amp;"|"&amp;LEN(IF(Raw!C210="","",Raw!C210))&amp;":"&amp;IF(Raw!C210="","",Raw!C210)&amp;"|"&amp;LEN(IF(Raw!D210="","",Raw!D210))&amp;":"&amp;IF(Raw!D210="","",Raw!D210)&amp;"|"&amp;LEN(IF(Raw!E210="","",Raw!E210))&amp;":"&amp;IF(Raw!E210="","",Raw!E210)&amp;"|"&amp;LEN(IF(Raw!F210="","",Raw!F210))&amp;":"&amp;IF(Raw!F210="","",Raw!F210)&amp;"|"&amp;LEN(IF(Raw!G210="","",Raw!G210))&amp;":"&amp;IF(Raw!G210="","",Raw!G210)</f>
        <v>6:L00204|6:T00102|10:2026-03-19|3:P-O|6:Office|4:sale|6:160.20</v>
      </c>
      <c r="Q210" s="1">
        <f>1</f>
        <v>1</v>
      </c>
      <c r="R210" s="1" t="b">
        <f>FALSE</f>
        <v>0</v>
      </c>
      <c r="S210" s="1">
        <f>1</f>
        <v>1</v>
      </c>
      <c r="T210" s="1" t="str">
        <f>IF(AND(Raw!A210="",Raw!B210="",Raw!C210="",Raw!D210="",Raw!E210="",Raw!F210="",Raw!G210=""),"UNUSED",IF(A210="","missing line ID",IF(B210="","missing transaction ID",IF(G210="",IF(C210="","missing date","invalid date"),IF(I210="","unknown product",IF(J210="","conflicting category",IF(NOT(OR(EXACT(K210,"sale"),EXACT(K210,"refund"))),"unknown event",IF(OR(N210="",NOT(O210)),"invalid amount",IF(OR(AND(K210="sale",N210&lt;=0),AND(K210="refund",N210&gt;=0)),"invalid sign","")))))))))</f>
        <v/>
      </c>
      <c r="U210" s="1" t="str">
        <f t="shared" si="29"/>
        <v>INCLUDED</v>
      </c>
      <c r="V210" s="1" t="str">
        <f t="shared" si="30"/>
        <v>2026-03</v>
      </c>
      <c r="W210" s="1">
        <f>IF(AND(U210="INCLUDED",X210&gt;0,EXACT(A210,'AI output'!A210)),1,0)</f>
        <v>1</v>
      </c>
      <c r="X210" s="1">
        <f>210</f>
        <v>210</v>
      </c>
      <c r="Y210" s="1">
        <f>IF(AND(U210="INCLUDED",W210=1),--(NOT(EXACT(A210,'AI output'!A210)))+--(NOT(EXACT(B210,'AI output'!B210)))+--(NOT(EXACT(TEXT(G210,"yyyy-mm-dd"),'AI output'!C210)))+--(NOT(EXACT(H210,'AI output'!D210)))+--(NOT(EXACT(J210,'AI output'!E210)))+--(NOT(EXACT(K210,'AI output'!F210)))+--(N210&lt;&gt;'AI output'!L210)+--(NOT('AI output'!M210)),0)</f>
        <v>0</v>
      </c>
      <c r="Z210" s="1">
        <f t="shared" si="31"/>
        <v>0</v>
      </c>
      <c r="AA210" s="1">
        <f>--EXACT(A210,"L00204")</f>
        <v>1</v>
      </c>
    </row>
    <row r="211" spans="1:27" ht="18.95" customHeight="1">
      <c r="A211" s="1" t="str">
        <f>IF(Raw!A211="","",Raw!A211)</f>
        <v>L00205</v>
      </c>
      <c r="B211" s="1" t="str">
        <f>IF(Raw!B211="","",Raw!B211)</f>
        <v>T00103</v>
      </c>
      <c r="C211" s="1" t="str">
        <f>IF(Raw!C211="","",Raw!C211)</f>
        <v>2026-03-26</v>
      </c>
      <c r="D211" s="1">
        <f t="shared" si="24"/>
        <v>2026</v>
      </c>
      <c r="E211" s="1">
        <f>IFERROR(IF(AND(LEN(C211)=10,MID(C211,5,1)="-",MID(C211,8,1)="-"),VALUE(MID(C211,6,2)),IF(AND(LEN(C211)=11,MID(C211,3,1)="-",MID(C211,7,1)="-"),MATCH(UPPER(MID(C211,4,3)),Guide!$D$7:$D$18,0),0)),0)</f>
        <v>3</v>
      </c>
      <c r="F211" s="1">
        <f t="shared" si="25"/>
        <v>26</v>
      </c>
      <c r="G211" s="9">
        <f t="shared" si="26"/>
        <v>46107</v>
      </c>
      <c r="H211" s="1" t="str">
        <f>IF(Raw!D211="","",Raw!D211)</f>
        <v>P-A</v>
      </c>
      <c r="I211" s="1" t="str">
        <f>IFERROR(IF(EXACT(H211,INDEX(Guide!$A$7:$A$9,MATCH(SUBSTITUTE(SUBSTITUTE(SUBSTITUTE(H211,"~","~~"),"*","~*"),"?","~?"),Guide!$A$7:$A$9,0))),INDEX(Guide!$B$7:$B$9,MATCH(SUBSTITUTE(SUBSTITUTE(SUBSTITUTE(H211,"~","~~"),"*","~*"),"?","~?"),Guide!$A$7:$A$9,0)),""),"")</f>
        <v>Accessories</v>
      </c>
      <c r="J211" s="1" t="str">
        <f>IF(TRIM(Raw!E211)="",I211,IF(UPPER(TRIM(Raw!E211))=UPPER(I211),I211,""))</f>
        <v>Accessories</v>
      </c>
      <c r="K211" s="1" t="str">
        <f>IF(Raw!F211="","",Raw!F211)</f>
        <v>sale</v>
      </c>
      <c r="L211" s="1" t="str">
        <f>IF(LEFT(TRIM(Raw!G211),2)="-$","-"&amp;MID(TRIM(Raw!G211),3,99),IF(LEFT(TRIM(Raw!G211),1)="$",MID(TRIM(Raw!G211),2,99),TRIM(Raw!G211)))</f>
        <v>321.88</v>
      </c>
      <c r="M211" s="1">
        <f t="shared" si="27"/>
        <v>321.88</v>
      </c>
      <c r="N211" s="10">
        <f t="shared" si="28"/>
        <v>32188</v>
      </c>
      <c r="O211" s="1" t="b">
        <f>IFERROR(IF(ISNUMBER(Raw!G211),TRUE,OR(EXACT(L211,TEXT(M211,"0.00")),EXACT(L211,TEXT(M211,"#,##0.00")))),FALSE)</f>
        <v>1</v>
      </c>
      <c r="P211" s="1" t="str">
        <f>LEN(IF(Raw!A211="","",Raw!A211))&amp;":"&amp;IF(Raw!A211="","",Raw!A211)&amp;"|"&amp;LEN(IF(Raw!B211="","",Raw!B211))&amp;":"&amp;IF(Raw!B211="","",Raw!B211)&amp;"|"&amp;LEN(IF(Raw!C211="","",Raw!C211))&amp;":"&amp;IF(Raw!C211="","",Raw!C211)&amp;"|"&amp;LEN(IF(Raw!D211="","",Raw!D211))&amp;":"&amp;IF(Raw!D211="","",Raw!D211)&amp;"|"&amp;LEN(IF(Raw!E211="","",Raw!E211))&amp;":"&amp;IF(Raw!E211="","",Raw!E211)&amp;"|"&amp;LEN(IF(Raw!F211="","",Raw!F211))&amp;":"&amp;IF(Raw!F211="","",Raw!F211)&amp;"|"&amp;LEN(IF(Raw!G211="","",Raw!G211))&amp;":"&amp;IF(Raw!G211="","",Raw!G211)</f>
        <v>6:L00205|6:T00103|10:2026-03-26|3:P-A|11:Accessories|4:sale|6:321.88</v>
      </c>
      <c r="Q211" s="1">
        <f>1</f>
        <v>1</v>
      </c>
      <c r="R211" s="1" t="b">
        <f>FALSE</f>
        <v>0</v>
      </c>
      <c r="S211" s="1">
        <f>1</f>
        <v>1</v>
      </c>
      <c r="T211" s="1" t="str">
        <f>IF(AND(Raw!A211="",Raw!B211="",Raw!C211="",Raw!D211="",Raw!E211="",Raw!F211="",Raw!G211=""),"UNUSED",IF(A211="","missing line ID",IF(B211="","missing transaction ID",IF(G211="",IF(C211="","missing date","invalid date"),IF(I211="","unknown product",IF(J211="","conflicting category",IF(NOT(OR(EXACT(K211,"sale"),EXACT(K211,"refund"))),"unknown event",IF(OR(N211="",NOT(O211)),"invalid amount",IF(OR(AND(K211="sale",N211&lt;=0),AND(K211="refund",N211&gt;=0)),"invalid sign","")))))))))</f>
        <v/>
      </c>
      <c r="U211" s="1" t="str">
        <f t="shared" si="29"/>
        <v>INCLUDED</v>
      </c>
      <c r="V211" s="1" t="str">
        <f t="shared" si="30"/>
        <v>2026-03</v>
      </c>
      <c r="W211" s="1">
        <f>IF(AND(U211="INCLUDED",X211&gt;0,EXACT(A211,'AI output'!A211)),1,0)</f>
        <v>1</v>
      </c>
      <c r="X211" s="1">
        <f>211</f>
        <v>211</v>
      </c>
      <c r="Y211" s="1">
        <f>IF(AND(U211="INCLUDED",W211=1),--(NOT(EXACT(A211,'AI output'!A211)))+--(NOT(EXACT(B211,'AI output'!B211)))+--(NOT(EXACT(TEXT(G211,"yyyy-mm-dd"),'AI output'!C211)))+--(NOT(EXACT(H211,'AI output'!D211)))+--(NOT(EXACT(J211,'AI output'!E211)))+--(NOT(EXACT(K211,'AI output'!F211)))+--(N211&lt;&gt;'AI output'!L211)+--(NOT('AI output'!M211)),0)</f>
        <v>0</v>
      </c>
      <c r="Z211" s="1">
        <f t="shared" si="31"/>
        <v>0</v>
      </c>
      <c r="AA211" s="1">
        <f>--EXACT(A211,"L00205")</f>
        <v>1</v>
      </c>
    </row>
    <row r="212" spans="1:27" ht="18.95" customHeight="1">
      <c r="A212" s="1" t="str">
        <f>IF(Raw!A212="","",Raw!A212)</f>
        <v>L00206</v>
      </c>
      <c r="B212" s="1" t="str">
        <f>IF(Raw!B212="","",Raw!B212)</f>
        <v>T00103</v>
      </c>
      <c r="C212" s="1" t="str">
        <f>IF(Raw!C212="","",Raw!C212)</f>
        <v>2026-03-26</v>
      </c>
      <c r="D212" s="1">
        <f t="shared" si="24"/>
        <v>2026</v>
      </c>
      <c r="E212" s="1">
        <f>IFERROR(IF(AND(LEN(C212)=10,MID(C212,5,1)="-",MID(C212,8,1)="-"),VALUE(MID(C212,6,2)),IF(AND(LEN(C212)=11,MID(C212,3,1)="-",MID(C212,7,1)="-"),MATCH(UPPER(MID(C212,4,3)),Guide!$D$7:$D$18,0),0)),0)</f>
        <v>3</v>
      </c>
      <c r="F212" s="1">
        <f t="shared" si="25"/>
        <v>26</v>
      </c>
      <c r="G212" s="9">
        <f t="shared" si="26"/>
        <v>46107</v>
      </c>
      <c r="H212" s="1" t="str">
        <f>IF(Raw!D212="","",Raw!D212)</f>
        <v>P-H</v>
      </c>
      <c r="I212" s="1" t="str">
        <f>IFERROR(IF(EXACT(H212,INDEX(Guide!$A$7:$A$9,MATCH(SUBSTITUTE(SUBSTITUTE(SUBSTITUTE(H212,"~","~~"),"*","~*"),"?","~?"),Guide!$A$7:$A$9,0))),INDEX(Guide!$B$7:$B$9,MATCH(SUBSTITUTE(SUBSTITUTE(SUBSTITUTE(H212,"~","~~"),"*","~*"),"?","~?"),Guide!$A$7:$A$9,0)),""),"")</f>
        <v>Home</v>
      </c>
      <c r="J212" s="1" t="str">
        <f>IF(TRIM(Raw!E212)="",I212,IF(UPPER(TRIM(Raw!E212))=UPPER(I212),I212,""))</f>
        <v>Home</v>
      </c>
      <c r="K212" s="1" t="str">
        <f>IF(Raw!F212="","",Raw!F212)</f>
        <v>sale</v>
      </c>
      <c r="L212" s="1" t="str">
        <f>IF(LEFT(TRIM(Raw!G212),2)="-$","-"&amp;MID(TRIM(Raw!G212),3,99),IF(LEFT(TRIM(Raw!G212),1)="$",MID(TRIM(Raw!G212),2,99),TRIM(Raw!G212)))</f>
        <v>80.84</v>
      </c>
      <c r="M212" s="1">
        <f t="shared" si="27"/>
        <v>80.84</v>
      </c>
      <c r="N212" s="10">
        <f t="shared" si="28"/>
        <v>8084</v>
      </c>
      <c r="O212" s="1" t="b">
        <f>IFERROR(IF(ISNUMBER(Raw!G212),TRUE,OR(EXACT(L212,TEXT(M212,"0.00")),EXACT(L212,TEXT(M212,"#,##0.00")))),FALSE)</f>
        <v>1</v>
      </c>
      <c r="P212" s="1" t="str">
        <f>LEN(IF(Raw!A212="","",Raw!A212))&amp;":"&amp;IF(Raw!A212="","",Raw!A212)&amp;"|"&amp;LEN(IF(Raw!B212="","",Raw!B212))&amp;":"&amp;IF(Raw!B212="","",Raw!B212)&amp;"|"&amp;LEN(IF(Raw!C212="","",Raw!C212))&amp;":"&amp;IF(Raw!C212="","",Raw!C212)&amp;"|"&amp;LEN(IF(Raw!D212="","",Raw!D212))&amp;":"&amp;IF(Raw!D212="","",Raw!D212)&amp;"|"&amp;LEN(IF(Raw!E212="","",Raw!E212))&amp;":"&amp;IF(Raw!E212="","",Raw!E212)&amp;"|"&amp;LEN(IF(Raw!F212="","",Raw!F212))&amp;":"&amp;IF(Raw!F212="","",Raw!F212)&amp;"|"&amp;LEN(IF(Raw!G212="","",Raw!G212))&amp;":"&amp;IF(Raw!G212="","",Raw!G212)</f>
        <v>6:L00206|6:T00103|10:2026-03-26|3:P-H|4:Home|4:sale|5:80.84</v>
      </c>
      <c r="Q212" s="1">
        <f>1</f>
        <v>1</v>
      </c>
      <c r="R212" s="1" t="b">
        <f>FALSE</f>
        <v>0</v>
      </c>
      <c r="S212" s="1">
        <f>1</f>
        <v>1</v>
      </c>
      <c r="T212" s="1" t="str">
        <f>IF(AND(Raw!A212="",Raw!B212="",Raw!C212="",Raw!D212="",Raw!E212="",Raw!F212="",Raw!G212=""),"UNUSED",IF(A212="","missing line ID",IF(B212="","missing transaction ID",IF(G212="",IF(C212="","missing date","invalid date"),IF(I212="","unknown product",IF(J212="","conflicting category",IF(NOT(OR(EXACT(K212,"sale"),EXACT(K212,"refund"))),"unknown event",IF(OR(N212="",NOT(O212)),"invalid amount",IF(OR(AND(K212="sale",N212&lt;=0),AND(K212="refund",N212&gt;=0)),"invalid sign","")))))))))</f>
        <v/>
      </c>
      <c r="U212" s="1" t="str">
        <f t="shared" si="29"/>
        <v>INCLUDED</v>
      </c>
      <c r="V212" s="1" t="str">
        <f t="shared" si="30"/>
        <v>2026-03</v>
      </c>
      <c r="W212" s="1">
        <f>IF(AND(U212="INCLUDED",X212&gt;0,EXACT(A212,'AI output'!A212)),1,0)</f>
        <v>1</v>
      </c>
      <c r="X212" s="1">
        <f>212</f>
        <v>212</v>
      </c>
      <c r="Y212" s="1">
        <f>IF(AND(U212="INCLUDED",W212=1),--(NOT(EXACT(A212,'AI output'!A212)))+--(NOT(EXACT(B212,'AI output'!B212)))+--(NOT(EXACT(TEXT(G212,"yyyy-mm-dd"),'AI output'!C212)))+--(NOT(EXACT(H212,'AI output'!D212)))+--(NOT(EXACT(J212,'AI output'!E212)))+--(NOT(EXACT(K212,'AI output'!F212)))+--(N212&lt;&gt;'AI output'!L212)+--(NOT('AI output'!M212)),0)</f>
        <v>0</v>
      </c>
      <c r="Z212" s="1">
        <f t="shared" si="31"/>
        <v>0</v>
      </c>
      <c r="AA212" s="1">
        <f>--EXACT(A212,"L00206")</f>
        <v>1</v>
      </c>
    </row>
    <row r="213" spans="1:27" ht="18.95" customHeight="1">
      <c r="A213" s="1" t="str">
        <f>IF(Raw!A213="","",Raw!A213)</f>
        <v>L00207</v>
      </c>
      <c r="B213" s="1" t="str">
        <f>IF(Raw!B213="","",Raw!B213)</f>
        <v>T00104</v>
      </c>
      <c r="C213" s="1" t="str">
        <f>IF(Raw!C213="","",Raw!C213)</f>
        <v>2026-01-02</v>
      </c>
      <c r="D213" s="1">
        <f t="shared" si="24"/>
        <v>2026</v>
      </c>
      <c r="E213" s="1">
        <f>IFERROR(IF(AND(LEN(C213)=10,MID(C213,5,1)="-",MID(C213,8,1)="-"),VALUE(MID(C213,6,2)),IF(AND(LEN(C213)=11,MID(C213,3,1)="-",MID(C213,7,1)="-"),MATCH(UPPER(MID(C213,4,3)),Guide!$D$7:$D$18,0),0)),0)</f>
        <v>1</v>
      </c>
      <c r="F213" s="1">
        <f t="shared" si="25"/>
        <v>2</v>
      </c>
      <c r="G213" s="9">
        <f t="shared" si="26"/>
        <v>46024</v>
      </c>
      <c r="H213" s="1" t="str">
        <f>IF(Raw!D213="","",Raw!D213)</f>
        <v>P-O</v>
      </c>
      <c r="I213" s="1" t="str">
        <f>IFERROR(IF(EXACT(H213,INDEX(Guide!$A$7:$A$9,MATCH(SUBSTITUTE(SUBSTITUTE(SUBSTITUTE(H213,"~","~~"),"*","~*"),"?","~?"),Guide!$A$7:$A$9,0))),INDEX(Guide!$B$7:$B$9,MATCH(SUBSTITUTE(SUBSTITUTE(SUBSTITUTE(H213,"~","~~"),"*","~*"),"?","~?"),Guide!$A$7:$A$9,0)),""),"")</f>
        <v>Office</v>
      </c>
      <c r="J213" s="1" t="str">
        <f>IF(TRIM(Raw!E213)="",I213,IF(UPPER(TRIM(Raw!E213))=UPPER(I213),I213,""))</f>
        <v>Office</v>
      </c>
      <c r="K213" s="1" t="str">
        <f>IF(Raw!F213="","",Raw!F213)</f>
        <v>sale</v>
      </c>
      <c r="L213" s="1" t="str">
        <f>IF(LEFT(TRIM(Raw!G213),2)="-$","-"&amp;MID(TRIM(Raw!G213),3,99),IF(LEFT(TRIM(Raw!G213),1)="$",MID(TRIM(Raw!G213),2,99),TRIM(Raw!G213)))</f>
        <v>243.63</v>
      </c>
      <c r="M213" s="1">
        <f t="shared" si="27"/>
        <v>243.63</v>
      </c>
      <c r="N213" s="10">
        <f t="shared" si="28"/>
        <v>24363</v>
      </c>
      <c r="O213" s="1" t="b">
        <f>IFERROR(IF(ISNUMBER(Raw!G213),TRUE,OR(EXACT(L213,TEXT(M213,"0.00")),EXACT(L213,TEXT(M213,"#,##0.00")))),FALSE)</f>
        <v>1</v>
      </c>
      <c r="P213" s="1" t="str">
        <f>LEN(IF(Raw!A213="","",Raw!A213))&amp;":"&amp;IF(Raw!A213="","",Raw!A213)&amp;"|"&amp;LEN(IF(Raw!B213="","",Raw!B213))&amp;":"&amp;IF(Raw!B213="","",Raw!B213)&amp;"|"&amp;LEN(IF(Raw!C213="","",Raw!C213))&amp;":"&amp;IF(Raw!C213="","",Raw!C213)&amp;"|"&amp;LEN(IF(Raw!D213="","",Raw!D213))&amp;":"&amp;IF(Raw!D213="","",Raw!D213)&amp;"|"&amp;LEN(IF(Raw!E213="","",Raw!E213))&amp;":"&amp;IF(Raw!E213="","",Raw!E213)&amp;"|"&amp;LEN(IF(Raw!F213="","",Raw!F213))&amp;":"&amp;IF(Raw!F213="","",Raw!F213)&amp;"|"&amp;LEN(IF(Raw!G213="","",Raw!G213))&amp;":"&amp;IF(Raw!G213="","",Raw!G213)</f>
        <v>6:L00207|6:T00104|10:2026-01-02|3:P-O|6:Office|4:sale|6:243.63</v>
      </c>
      <c r="Q213" s="1">
        <f>1</f>
        <v>1</v>
      </c>
      <c r="R213" s="1" t="b">
        <f>FALSE</f>
        <v>0</v>
      </c>
      <c r="S213" s="1">
        <f>1</f>
        <v>1</v>
      </c>
      <c r="T213" s="1" t="str">
        <f>IF(AND(Raw!A213="",Raw!B213="",Raw!C213="",Raw!D213="",Raw!E213="",Raw!F213="",Raw!G213=""),"UNUSED",IF(A213="","missing line ID",IF(B213="","missing transaction ID",IF(G213="",IF(C213="","missing date","invalid date"),IF(I213="","unknown product",IF(J213="","conflicting category",IF(NOT(OR(EXACT(K213,"sale"),EXACT(K213,"refund"))),"unknown event",IF(OR(N213="",NOT(O213)),"invalid amount",IF(OR(AND(K213="sale",N213&lt;=0),AND(K213="refund",N213&gt;=0)),"invalid sign","")))))))))</f>
        <v/>
      </c>
      <c r="U213" s="1" t="str">
        <f t="shared" si="29"/>
        <v>INCLUDED</v>
      </c>
      <c r="V213" s="1" t="str">
        <f t="shared" si="30"/>
        <v>2026-01</v>
      </c>
      <c r="W213" s="1">
        <f>IF(AND(U213="INCLUDED",X213&gt;0,EXACT(A213,'AI output'!A213)),1,0)</f>
        <v>1</v>
      </c>
      <c r="X213" s="1">
        <f>213</f>
        <v>213</v>
      </c>
      <c r="Y213" s="1">
        <f>IF(AND(U213="INCLUDED",W213=1),--(NOT(EXACT(A213,'AI output'!A213)))+--(NOT(EXACT(B213,'AI output'!B213)))+--(NOT(EXACT(TEXT(G213,"yyyy-mm-dd"),'AI output'!C213)))+--(NOT(EXACT(H213,'AI output'!D213)))+--(NOT(EXACT(J213,'AI output'!E213)))+--(NOT(EXACT(K213,'AI output'!F213)))+--(N213&lt;&gt;'AI output'!L213)+--(NOT('AI output'!M213)),0)</f>
        <v>0</v>
      </c>
      <c r="Z213" s="1">
        <f t="shared" si="31"/>
        <v>0</v>
      </c>
      <c r="AA213" s="1">
        <f>--EXACT(A213,"L00207")</f>
        <v>1</v>
      </c>
    </row>
    <row r="214" spans="1:27" ht="18.95" customHeight="1">
      <c r="A214" s="1" t="str">
        <f>IF(Raw!A214="","",Raw!A214)</f>
        <v>L00208</v>
      </c>
      <c r="B214" s="1" t="str">
        <f>IF(Raw!B214="","",Raw!B214)</f>
        <v>T00104</v>
      </c>
      <c r="C214" s="1" t="str">
        <f>IF(Raw!C214="","",Raw!C214)</f>
        <v>2026-01-02</v>
      </c>
      <c r="D214" s="1">
        <f t="shared" si="24"/>
        <v>2026</v>
      </c>
      <c r="E214" s="1">
        <f>IFERROR(IF(AND(LEN(C214)=10,MID(C214,5,1)="-",MID(C214,8,1)="-"),VALUE(MID(C214,6,2)),IF(AND(LEN(C214)=11,MID(C214,3,1)="-",MID(C214,7,1)="-"),MATCH(UPPER(MID(C214,4,3)),Guide!$D$7:$D$18,0),0)),0)</f>
        <v>1</v>
      </c>
      <c r="F214" s="1">
        <f t="shared" si="25"/>
        <v>2</v>
      </c>
      <c r="G214" s="9">
        <f t="shared" si="26"/>
        <v>46024</v>
      </c>
      <c r="H214" s="1" t="str">
        <f>IF(Raw!D214="","",Raw!D214)</f>
        <v>P-A</v>
      </c>
      <c r="I214" s="1" t="str">
        <f>IFERROR(IF(EXACT(H214,INDEX(Guide!$A$7:$A$9,MATCH(SUBSTITUTE(SUBSTITUTE(SUBSTITUTE(H214,"~","~~"),"*","~*"),"?","~?"),Guide!$A$7:$A$9,0))),INDEX(Guide!$B$7:$B$9,MATCH(SUBSTITUTE(SUBSTITUTE(SUBSTITUTE(H214,"~","~~"),"*","~*"),"?","~?"),Guide!$A$7:$A$9,0)),""),"")</f>
        <v>Accessories</v>
      </c>
      <c r="J214" s="1" t="str">
        <f>IF(TRIM(Raw!E214)="",I214,IF(UPPER(TRIM(Raw!E214))=UPPER(I214),I214,""))</f>
        <v>Accessories</v>
      </c>
      <c r="K214" s="1" t="str">
        <f>IF(Raw!F214="","",Raw!F214)</f>
        <v>refund</v>
      </c>
      <c r="L214" s="1" t="str">
        <f>IF(LEFT(TRIM(Raw!G214),2)="-$","-"&amp;MID(TRIM(Raw!G214),3,99),IF(LEFT(TRIM(Raw!G214),1)="$",MID(TRIM(Raw!G214),2,99),TRIM(Raw!G214)))</f>
        <v>-407.90</v>
      </c>
      <c r="M214" s="1">
        <f t="shared" si="27"/>
        <v>-407.9</v>
      </c>
      <c r="N214" s="10">
        <f t="shared" si="28"/>
        <v>-40790</v>
      </c>
      <c r="O214" s="1" t="b">
        <f>IFERROR(IF(ISNUMBER(Raw!G214),TRUE,OR(EXACT(L214,TEXT(M214,"0.00")),EXACT(L214,TEXT(M214,"#,##0.00")))),FALSE)</f>
        <v>1</v>
      </c>
      <c r="P214" s="1" t="str">
        <f>LEN(IF(Raw!A214="","",Raw!A214))&amp;":"&amp;IF(Raw!A214="","",Raw!A214)&amp;"|"&amp;LEN(IF(Raw!B214="","",Raw!B214))&amp;":"&amp;IF(Raw!B214="","",Raw!B214)&amp;"|"&amp;LEN(IF(Raw!C214="","",Raw!C214))&amp;":"&amp;IF(Raw!C214="","",Raw!C214)&amp;"|"&amp;LEN(IF(Raw!D214="","",Raw!D214))&amp;":"&amp;IF(Raw!D214="","",Raw!D214)&amp;"|"&amp;LEN(IF(Raw!E214="","",Raw!E214))&amp;":"&amp;IF(Raw!E214="","",Raw!E214)&amp;"|"&amp;LEN(IF(Raw!F214="","",Raw!F214))&amp;":"&amp;IF(Raw!F214="","",Raw!F214)&amp;"|"&amp;LEN(IF(Raw!G214="","",Raw!G214))&amp;":"&amp;IF(Raw!G214="","",Raw!G214)</f>
        <v>6:L00208|6:T00104|10:2026-01-02|3:P-A|11:Accessories|6:refund|7:-407.90</v>
      </c>
      <c r="Q214" s="1">
        <f>1</f>
        <v>1</v>
      </c>
      <c r="R214" s="1" t="b">
        <f>FALSE</f>
        <v>0</v>
      </c>
      <c r="S214" s="1">
        <f>1</f>
        <v>1</v>
      </c>
      <c r="T214" s="1" t="str">
        <f>IF(AND(Raw!A214="",Raw!B214="",Raw!C214="",Raw!D214="",Raw!E214="",Raw!F214="",Raw!G214=""),"UNUSED",IF(A214="","missing line ID",IF(B214="","missing transaction ID",IF(G214="",IF(C214="","missing date","invalid date"),IF(I214="","unknown product",IF(J214="","conflicting category",IF(NOT(OR(EXACT(K214,"sale"),EXACT(K214,"refund"))),"unknown event",IF(OR(N214="",NOT(O214)),"invalid amount",IF(OR(AND(K214="sale",N214&lt;=0),AND(K214="refund",N214&gt;=0)),"invalid sign","")))))))))</f>
        <v/>
      </c>
      <c r="U214" s="1" t="str">
        <f t="shared" si="29"/>
        <v>INCLUDED</v>
      </c>
      <c r="V214" s="1" t="str">
        <f t="shared" si="30"/>
        <v>2026-01</v>
      </c>
      <c r="W214" s="1">
        <f>IF(AND(U214="INCLUDED",X214&gt;0,EXACT(A214,'AI output'!A214)),1,0)</f>
        <v>1</v>
      </c>
      <c r="X214" s="1">
        <f>214</f>
        <v>214</v>
      </c>
      <c r="Y214" s="1">
        <f>IF(AND(U214="INCLUDED",W214=1),--(NOT(EXACT(A214,'AI output'!A214)))+--(NOT(EXACT(B214,'AI output'!B214)))+--(NOT(EXACT(TEXT(G214,"yyyy-mm-dd"),'AI output'!C214)))+--(NOT(EXACT(H214,'AI output'!D214)))+--(NOT(EXACT(J214,'AI output'!E214)))+--(NOT(EXACT(K214,'AI output'!F214)))+--(N214&lt;&gt;'AI output'!L214)+--(NOT('AI output'!M214)),0)</f>
        <v>0</v>
      </c>
      <c r="Z214" s="1">
        <f t="shared" si="31"/>
        <v>0</v>
      </c>
      <c r="AA214" s="1">
        <f>--EXACT(A214,"L00208")</f>
        <v>1</v>
      </c>
    </row>
    <row r="215" spans="1:27" ht="18.95" customHeight="1">
      <c r="A215" s="1" t="str">
        <f>IF(Raw!A215="","",Raw!A215)</f>
        <v>L00209</v>
      </c>
      <c r="B215" s="1" t="str">
        <f>IF(Raw!B215="","",Raw!B215)</f>
        <v>T00105</v>
      </c>
      <c r="C215" s="1" t="str">
        <f>IF(Raw!C215="","",Raw!C215)</f>
        <v>2026-01-09</v>
      </c>
      <c r="D215" s="1">
        <f t="shared" si="24"/>
        <v>2026</v>
      </c>
      <c r="E215" s="1">
        <f>IFERROR(IF(AND(LEN(C215)=10,MID(C215,5,1)="-",MID(C215,8,1)="-"),VALUE(MID(C215,6,2)),IF(AND(LEN(C215)=11,MID(C215,3,1)="-",MID(C215,7,1)="-"),MATCH(UPPER(MID(C215,4,3)),Guide!$D$7:$D$18,0),0)),0)</f>
        <v>1</v>
      </c>
      <c r="F215" s="1">
        <f t="shared" si="25"/>
        <v>9</v>
      </c>
      <c r="G215" s="9">
        <f t="shared" si="26"/>
        <v>46031</v>
      </c>
      <c r="H215" s="1" t="str">
        <f>IF(Raw!D215="","",Raw!D215)</f>
        <v>P-H</v>
      </c>
      <c r="I215" s="1" t="str">
        <f>IFERROR(IF(EXACT(H215,INDEX(Guide!$A$7:$A$9,MATCH(SUBSTITUTE(SUBSTITUTE(SUBSTITUTE(H215,"~","~~"),"*","~*"),"?","~?"),Guide!$A$7:$A$9,0))),INDEX(Guide!$B$7:$B$9,MATCH(SUBSTITUTE(SUBSTITUTE(SUBSTITUTE(H215,"~","~~"),"*","~*"),"?","~?"),Guide!$A$7:$A$9,0)),""),"")</f>
        <v>Home</v>
      </c>
      <c r="J215" s="1" t="str">
        <f>IF(TRIM(Raw!E215)="",I215,IF(UPPER(TRIM(Raw!E215))=UPPER(I215),I215,""))</f>
        <v>Home</v>
      </c>
      <c r="K215" s="1" t="str">
        <f>IF(Raw!F215="","",Raw!F215)</f>
        <v>sale</v>
      </c>
      <c r="L215" s="1" t="str">
        <f>IF(LEFT(TRIM(Raw!G215),2)="-$","-"&amp;MID(TRIM(Raw!G215),3,99),IF(LEFT(TRIM(Raw!G215),1)="$",MID(TRIM(Raw!G215),2,99),TRIM(Raw!G215)))</f>
        <v>163.90</v>
      </c>
      <c r="M215" s="1">
        <f t="shared" si="27"/>
        <v>163.9</v>
      </c>
      <c r="N215" s="10">
        <f t="shared" si="28"/>
        <v>16390</v>
      </c>
      <c r="O215" s="1" t="b">
        <f>IFERROR(IF(ISNUMBER(Raw!G215),TRUE,OR(EXACT(L215,TEXT(M215,"0.00")),EXACT(L215,TEXT(M215,"#,##0.00")))),FALSE)</f>
        <v>1</v>
      </c>
      <c r="P215" s="1" t="str">
        <f>LEN(IF(Raw!A215="","",Raw!A215))&amp;":"&amp;IF(Raw!A215="","",Raw!A215)&amp;"|"&amp;LEN(IF(Raw!B215="","",Raw!B215))&amp;":"&amp;IF(Raw!B215="","",Raw!B215)&amp;"|"&amp;LEN(IF(Raw!C215="","",Raw!C215))&amp;":"&amp;IF(Raw!C215="","",Raw!C215)&amp;"|"&amp;LEN(IF(Raw!D215="","",Raw!D215))&amp;":"&amp;IF(Raw!D215="","",Raw!D215)&amp;"|"&amp;LEN(IF(Raw!E215="","",Raw!E215))&amp;":"&amp;IF(Raw!E215="","",Raw!E215)&amp;"|"&amp;LEN(IF(Raw!F215="","",Raw!F215))&amp;":"&amp;IF(Raw!F215="","",Raw!F215)&amp;"|"&amp;LEN(IF(Raw!G215="","",Raw!G215))&amp;":"&amp;IF(Raw!G215="","",Raw!G215)</f>
        <v>6:L00209|6:T00105|10:2026-01-09|3:P-H|4:Home|4:sale|6:163.90</v>
      </c>
      <c r="Q215" s="1">
        <f>1</f>
        <v>1</v>
      </c>
      <c r="R215" s="1" t="b">
        <f>FALSE</f>
        <v>0</v>
      </c>
      <c r="S215" s="1">
        <f>1</f>
        <v>1</v>
      </c>
      <c r="T215" s="1" t="str">
        <f>IF(AND(Raw!A215="",Raw!B215="",Raw!C215="",Raw!D215="",Raw!E215="",Raw!F215="",Raw!G215=""),"UNUSED",IF(A215="","missing line ID",IF(B215="","missing transaction ID",IF(G215="",IF(C215="","missing date","invalid date"),IF(I215="","unknown product",IF(J215="","conflicting category",IF(NOT(OR(EXACT(K215,"sale"),EXACT(K215,"refund"))),"unknown event",IF(OR(N215="",NOT(O215)),"invalid amount",IF(OR(AND(K215="sale",N215&lt;=0),AND(K215="refund",N215&gt;=0)),"invalid sign","")))))))))</f>
        <v/>
      </c>
      <c r="U215" s="1" t="str">
        <f t="shared" si="29"/>
        <v>INCLUDED</v>
      </c>
      <c r="V215" s="1" t="str">
        <f t="shared" si="30"/>
        <v>2026-01</v>
      </c>
      <c r="W215" s="1">
        <f>IF(AND(U215="INCLUDED",X215&gt;0,EXACT(A215,'AI output'!A215)),1,0)</f>
        <v>1</v>
      </c>
      <c r="X215" s="1">
        <f>215</f>
        <v>215</v>
      </c>
      <c r="Y215" s="1">
        <f>IF(AND(U215="INCLUDED",W215=1),--(NOT(EXACT(A215,'AI output'!A215)))+--(NOT(EXACT(B215,'AI output'!B215)))+--(NOT(EXACT(TEXT(G215,"yyyy-mm-dd"),'AI output'!C215)))+--(NOT(EXACT(H215,'AI output'!D215)))+--(NOT(EXACT(J215,'AI output'!E215)))+--(NOT(EXACT(K215,'AI output'!F215)))+--(N215&lt;&gt;'AI output'!L215)+--(NOT('AI output'!M215)),0)</f>
        <v>0</v>
      </c>
      <c r="Z215" s="1">
        <f t="shared" si="31"/>
        <v>0</v>
      </c>
      <c r="AA215" s="1">
        <f>--EXACT(A215,"L00209")</f>
        <v>1</v>
      </c>
    </row>
    <row r="216" spans="1:27" ht="18.95" customHeight="1">
      <c r="A216" s="1" t="str">
        <f>IF(Raw!A216="","",Raw!A216)</f>
        <v>L00210</v>
      </c>
      <c r="B216" s="1" t="str">
        <f>IF(Raw!B216="","",Raw!B216)</f>
        <v>T00105</v>
      </c>
      <c r="C216" s="1" t="str">
        <f>IF(Raw!C216="","",Raw!C216)</f>
        <v>2026-01-09</v>
      </c>
      <c r="D216" s="1">
        <f t="shared" si="24"/>
        <v>2026</v>
      </c>
      <c r="E216" s="1">
        <f>IFERROR(IF(AND(LEN(C216)=10,MID(C216,5,1)="-",MID(C216,8,1)="-"),VALUE(MID(C216,6,2)),IF(AND(LEN(C216)=11,MID(C216,3,1)="-",MID(C216,7,1)="-"),MATCH(UPPER(MID(C216,4,3)),Guide!$D$7:$D$18,0),0)),0)</f>
        <v>1</v>
      </c>
      <c r="F216" s="1">
        <f t="shared" si="25"/>
        <v>9</v>
      </c>
      <c r="G216" s="9">
        <f t="shared" si="26"/>
        <v>46031</v>
      </c>
      <c r="H216" s="1" t="str">
        <f>IF(Raw!D216="","",Raw!D216)</f>
        <v>P-O</v>
      </c>
      <c r="I216" s="1" t="str">
        <f>IFERROR(IF(EXACT(H216,INDEX(Guide!$A$7:$A$9,MATCH(SUBSTITUTE(SUBSTITUTE(SUBSTITUTE(H216,"~","~~"),"*","~*"),"?","~?"),Guide!$A$7:$A$9,0))),INDEX(Guide!$B$7:$B$9,MATCH(SUBSTITUTE(SUBSTITUTE(SUBSTITUTE(H216,"~","~~"),"*","~*"),"?","~?"),Guide!$A$7:$A$9,0)),""),"")</f>
        <v>Office</v>
      </c>
      <c r="J216" s="1" t="str">
        <f>IF(TRIM(Raw!E216)="",I216,IF(UPPER(TRIM(Raw!E216))=UPPER(I216),I216,""))</f>
        <v>Office</v>
      </c>
      <c r="K216" s="1" t="str">
        <f>IF(Raw!F216="","",Raw!F216)</f>
        <v>sale</v>
      </c>
      <c r="L216" s="1" t="str">
        <f>IF(LEFT(TRIM(Raw!G216),2)="-$","-"&amp;MID(TRIM(Raw!G216),3,99),IF(LEFT(TRIM(Raw!G216),1)="$",MID(TRIM(Raw!G216),2,99),TRIM(Raw!G216)))</f>
        <v>329.28</v>
      </c>
      <c r="M216" s="1">
        <f t="shared" si="27"/>
        <v>329.28</v>
      </c>
      <c r="N216" s="10">
        <f t="shared" si="28"/>
        <v>32928</v>
      </c>
      <c r="O216" s="1" t="b">
        <f>IFERROR(IF(ISNUMBER(Raw!G216),TRUE,OR(EXACT(L216,TEXT(M216,"0.00")),EXACT(L216,TEXT(M216,"#,##0.00")))),FALSE)</f>
        <v>1</v>
      </c>
      <c r="P216" s="1" t="str">
        <f>LEN(IF(Raw!A216="","",Raw!A216))&amp;":"&amp;IF(Raw!A216="","",Raw!A216)&amp;"|"&amp;LEN(IF(Raw!B216="","",Raw!B216))&amp;":"&amp;IF(Raw!B216="","",Raw!B216)&amp;"|"&amp;LEN(IF(Raw!C216="","",Raw!C216))&amp;":"&amp;IF(Raw!C216="","",Raw!C216)&amp;"|"&amp;LEN(IF(Raw!D216="","",Raw!D216))&amp;":"&amp;IF(Raw!D216="","",Raw!D216)&amp;"|"&amp;LEN(IF(Raw!E216="","",Raw!E216))&amp;":"&amp;IF(Raw!E216="","",Raw!E216)&amp;"|"&amp;LEN(IF(Raw!F216="","",Raw!F216))&amp;":"&amp;IF(Raw!F216="","",Raw!F216)&amp;"|"&amp;LEN(IF(Raw!G216="","",Raw!G216))&amp;":"&amp;IF(Raw!G216="","",Raw!G216)</f>
        <v>6:L00210|6:T00105|10:2026-01-09|3:P-O|6:Office|4:sale|6:329.28</v>
      </c>
      <c r="Q216" s="1">
        <f>1</f>
        <v>1</v>
      </c>
      <c r="R216" s="1" t="b">
        <f>FALSE</f>
        <v>0</v>
      </c>
      <c r="S216" s="1">
        <f>1</f>
        <v>1</v>
      </c>
      <c r="T216" s="1" t="str">
        <f>IF(AND(Raw!A216="",Raw!B216="",Raw!C216="",Raw!D216="",Raw!E216="",Raw!F216="",Raw!G216=""),"UNUSED",IF(A216="","missing line ID",IF(B216="","missing transaction ID",IF(G216="",IF(C216="","missing date","invalid date"),IF(I216="","unknown product",IF(J216="","conflicting category",IF(NOT(OR(EXACT(K216,"sale"),EXACT(K216,"refund"))),"unknown event",IF(OR(N216="",NOT(O216)),"invalid amount",IF(OR(AND(K216="sale",N216&lt;=0),AND(K216="refund",N216&gt;=0)),"invalid sign","")))))))))</f>
        <v/>
      </c>
      <c r="U216" s="1" t="str">
        <f t="shared" si="29"/>
        <v>INCLUDED</v>
      </c>
      <c r="V216" s="1" t="str">
        <f t="shared" si="30"/>
        <v>2026-01</v>
      </c>
      <c r="W216" s="1">
        <f>IF(AND(U216="INCLUDED",X216&gt;0,EXACT(A216,'AI output'!A216)),1,0)</f>
        <v>1</v>
      </c>
      <c r="X216" s="1">
        <f>216</f>
        <v>216</v>
      </c>
      <c r="Y216" s="1">
        <f>IF(AND(U216="INCLUDED",W216=1),--(NOT(EXACT(A216,'AI output'!A216)))+--(NOT(EXACT(B216,'AI output'!B216)))+--(NOT(EXACT(TEXT(G216,"yyyy-mm-dd"),'AI output'!C216)))+--(NOT(EXACT(H216,'AI output'!D216)))+--(NOT(EXACT(J216,'AI output'!E216)))+--(NOT(EXACT(K216,'AI output'!F216)))+--(N216&lt;&gt;'AI output'!L216)+--(NOT('AI output'!M216)),0)</f>
        <v>0</v>
      </c>
      <c r="Z216" s="1">
        <f t="shared" si="31"/>
        <v>0</v>
      </c>
      <c r="AA216" s="1">
        <f>--EXACT(A216,"L00210")</f>
        <v>1</v>
      </c>
    </row>
    <row r="217" spans="1:27" ht="18.95" customHeight="1">
      <c r="A217" s="1" t="str">
        <f>IF(Raw!A217="","",Raw!A217)</f>
        <v>L00211</v>
      </c>
      <c r="B217" s="1" t="str">
        <f>IF(Raw!B217="","",Raw!B217)</f>
        <v>T00106</v>
      </c>
      <c r="C217" s="1" t="str">
        <f>IF(Raw!C217="","",Raw!C217)</f>
        <v>2026-01-16</v>
      </c>
      <c r="D217" s="1">
        <f t="shared" si="24"/>
        <v>2026</v>
      </c>
      <c r="E217" s="1">
        <f>IFERROR(IF(AND(LEN(C217)=10,MID(C217,5,1)="-",MID(C217,8,1)="-"),VALUE(MID(C217,6,2)),IF(AND(LEN(C217)=11,MID(C217,3,1)="-",MID(C217,7,1)="-"),MATCH(UPPER(MID(C217,4,3)),Guide!$D$7:$D$18,0),0)),0)</f>
        <v>1</v>
      </c>
      <c r="F217" s="1">
        <f t="shared" si="25"/>
        <v>16</v>
      </c>
      <c r="G217" s="9">
        <f t="shared" si="26"/>
        <v>46038</v>
      </c>
      <c r="H217" s="1" t="str">
        <f>IF(Raw!D217="","",Raw!D217)</f>
        <v>P-A</v>
      </c>
      <c r="I217" s="1" t="str">
        <f>IFERROR(IF(EXACT(H217,INDEX(Guide!$A$7:$A$9,MATCH(SUBSTITUTE(SUBSTITUTE(SUBSTITUTE(H217,"~","~~"),"*","~*"),"?","~?"),Guide!$A$7:$A$9,0))),INDEX(Guide!$B$7:$B$9,MATCH(SUBSTITUTE(SUBSTITUTE(SUBSTITUTE(H217,"~","~~"),"*","~*"),"?","~?"),Guide!$A$7:$A$9,0)),""),"")</f>
        <v>Accessories</v>
      </c>
      <c r="J217" s="1" t="str">
        <f>IF(TRIM(Raw!E217)="",I217,IF(UPPER(TRIM(Raw!E217))=UPPER(I217),I217,""))</f>
        <v>Accessories</v>
      </c>
      <c r="K217" s="1" t="str">
        <f>IF(Raw!F217="","",Raw!F217)</f>
        <v>sale</v>
      </c>
      <c r="L217" s="1" t="str">
        <f>IF(LEFT(TRIM(Raw!G217),2)="-$","-"&amp;MID(TRIM(Raw!G217),3,99),IF(LEFT(TRIM(Raw!G217),1)="$",MID(TRIM(Raw!G217),2,99),TRIM(Raw!G217)))</f>
        <v>82.69</v>
      </c>
      <c r="M217" s="1">
        <f t="shared" si="27"/>
        <v>82.69</v>
      </c>
      <c r="N217" s="10">
        <f t="shared" si="28"/>
        <v>8269</v>
      </c>
      <c r="O217" s="1" t="b">
        <f>IFERROR(IF(ISNUMBER(Raw!G217),TRUE,OR(EXACT(L217,TEXT(M217,"0.00")),EXACT(L217,TEXT(M217,"#,##0.00")))),FALSE)</f>
        <v>1</v>
      </c>
      <c r="P217" s="1" t="str">
        <f>LEN(IF(Raw!A217="","",Raw!A217))&amp;":"&amp;IF(Raw!A217="","",Raw!A217)&amp;"|"&amp;LEN(IF(Raw!B217="","",Raw!B217))&amp;":"&amp;IF(Raw!B217="","",Raw!B217)&amp;"|"&amp;LEN(IF(Raw!C217="","",Raw!C217))&amp;":"&amp;IF(Raw!C217="","",Raw!C217)&amp;"|"&amp;LEN(IF(Raw!D217="","",Raw!D217))&amp;":"&amp;IF(Raw!D217="","",Raw!D217)&amp;"|"&amp;LEN(IF(Raw!E217="","",Raw!E217))&amp;":"&amp;IF(Raw!E217="","",Raw!E217)&amp;"|"&amp;LEN(IF(Raw!F217="","",Raw!F217))&amp;":"&amp;IF(Raw!F217="","",Raw!F217)&amp;"|"&amp;LEN(IF(Raw!G217="","",Raw!G217))&amp;":"&amp;IF(Raw!G217="","",Raw!G217)</f>
        <v>6:L00211|6:T00106|10:2026-01-16|3:P-A|11:Accessories|4:sale|5:82.69</v>
      </c>
      <c r="Q217" s="1">
        <f>1</f>
        <v>1</v>
      </c>
      <c r="R217" s="1" t="b">
        <f>FALSE</f>
        <v>0</v>
      </c>
      <c r="S217" s="1">
        <f>1</f>
        <v>1</v>
      </c>
      <c r="T217" s="1" t="str">
        <f>IF(AND(Raw!A217="",Raw!B217="",Raw!C217="",Raw!D217="",Raw!E217="",Raw!F217="",Raw!G217=""),"UNUSED",IF(A217="","missing line ID",IF(B217="","missing transaction ID",IF(G217="",IF(C217="","missing date","invalid date"),IF(I217="","unknown product",IF(J217="","conflicting category",IF(NOT(OR(EXACT(K217,"sale"),EXACT(K217,"refund"))),"unknown event",IF(OR(N217="",NOT(O217)),"invalid amount",IF(OR(AND(K217="sale",N217&lt;=0),AND(K217="refund",N217&gt;=0)),"invalid sign","")))))))))</f>
        <v/>
      </c>
      <c r="U217" s="1" t="str">
        <f t="shared" si="29"/>
        <v>INCLUDED</v>
      </c>
      <c r="V217" s="1" t="str">
        <f t="shared" si="30"/>
        <v>2026-01</v>
      </c>
      <c r="W217" s="1">
        <f>IF(AND(U217="INCLUDED",X217&gt;0,EXACT(A217,'AI output'!A217)),1,0)</f>
        <v>1</v>
      </c>
      <c r="X217" s="1">
        <f>217</f>
        <v>217</v>
      </c>
      <c r="Y217" s="1">
        <f>IF(AND(U217="INCLUDED",W217=1),--(NOT(EXACT(A217,'AI output'!A217)))+--(NOT(EXACT(B217,'AI output'!B217)))+--(NOT(EXACT(TEXT(G217,"yyyy-mm-dd"),'AI output'!C217)))+--(NOT(EXACT(H217,'AI output'!D217)))+--(NOT(EXACT(J217,'AI output'!E217)))+--(NOT(EXACT(K217,'AI output'!F217)))+--(N217&lt;&gt;'AI output'!L217)+--(NOT('AI output'!M217)),0)</f>
        <v>0</v>
      </c>
      <c r="Z217" s="1">
        <f t="shared" si="31"/>
        <v>0</v>
      </c>
      <c r="AA217" s="1">
        <f>--EXACT(A217,"L00211")</f>
        <v>1</v>
      </c>
    </row>
    <row r="218" spans="1:27" ht="18.95" customHeight="1">
      <c r="A218" s="1" t="str">
        <f>IF(Raw!A218="","",Raw!A218)</f>
        <v>L00212</v>
      </c>
      <c r="B218" s="1" t="str">
        <f>IF(Raw!B218="","",Raw!B218)</f>
        <v>T00106</v>
      </c>
      <c r="C218" s="1" t="str">
        <f>IF(Raw!C218="","",Raw!C218)</f>
        <v>2026-01-16</v>
      </c>
      <c r="D218" s="1">
        <f t="shared" si="24"/>
        <v>2026</v>
      </c>
      <c r="E218" s="1">
        <f>IFERROR(IF(AND(LEN(C218)=10,MID(C218,5,1)="-",MID(C218,8,1)="-"),VALUE(MID(C218,6,2)),IF(AND(LEN(C218)=11,MID(C218,3,1)="-",MID(C218,7,1)="-"),MATCH(UPPER(MID(C218,4,3)),Guide!$D$7:$D$18,0),0)),0)</f>
        <v>1</v>
      </c>
      <c r="F218" s="1">
        <f t="shared" si="25"/>
        <v>16</v>
      </c>
      <c r="G218" s="9">
        <f t="shared" si="26"/>
        <v>46038</v>
      </c>
      <c r="H218" s="1" t="str">
        <f>IF(Raw!D218="","",Raw!D218)</f>
        <v>P-H</v>
      </c>
      <c r="I218" s="1" t="str">
        <f>IFERROR(IF(EXACT(H218,INDEX(Guide!$A$7:$A$9,MATCH(SUBSTITUTE(SUBSTITUTE(SUBSTITUTE(H218,"~","~~"),"*","~*"),"?","~?"),Guide!$A$7:$A$9,0))),INDEX(Guide!$B$7:$B$9,MATCH(SUBSTITUTE(SUBSTITUTE(SUBSTITUTE(H218,"~","~~"),"*","~*"),"?","~?"),Guide!$A$7:$A$9,0)),""),"")</f>
        <v>Home</v>
      </c>
      <c r="J218" s="1" t="str">
        <f>IF(TRIM(Raw!E218)="",I218,IF(UPPER(TRIM(Raw!E218))=UPPER(I218),I218,""))</f>
        <v>Home</v>
      </c>
      <c r="K218" s="1" t="str">
        <f>IF(Raw!F218="","",Raw!F218)</f>
        <v>sale</v>
      </c>
      <c r="L218" s="1" t="str">
        <f>IF(LEFT(TRIM(Raw!G218),2)="-$","-"&amp;MID(TRIM(Raw!G218),3,99),IF(LEFT(TRIM(Raw!G218),1)="$",MID(TRIM(Raw!G218),2,99),TRIM(Raw!G218)))</f>
        <v>249.18</v>
      </c>
      <c r="M218" s="1">
        <f t="shared" si="27"/>
        <v>249.18</v>
      </c>
      <c r="N218" s="10">
        <f t="shared" si="28"/>
        <v>24918</v>
      </c>
      <c r="O218" s="1" t="b">
        <f>IFERROR(IF(ISNUMBER(Raw!G218),TRUE,OR(EXACT(L218,TEXT(M218,"0.00")),EXACT(L218,TEXT(M218,"#,##0.00")))),FALSE)</f>
        <v>1</v>
      </c>
      <c r="P218" s="1" t="str">
        <f>LEN(IF(Raw!A218="","",Raw!A218))&amp;":"&amp;IF(Raw!A218="","",Raw!A218)&amp;"|"&amp;LEN(IF(Raw!B218="","",Raw!B218))&amp;":"&amp;IF(Raw!B218="","",Raw!B218)&amp;"|"&amp;LEN(IF(Raw!C218="","",Raw!C218))&amp;":"&amp;IF(Raw!C218="","",Raw!C218)&amp;"|"&amp;LEN(IF(Raw!D218="","",Raw!D218))&amp;":"&amp;IF(Raw!D218="","",Raw!D218)&amp;"|"&amp;LEN(IF(Raw!E218="","",Raw!E218))&amp;":"&amp;IF(Raw!E218="","",Raw!E218)&amp;"|"&amp;LEN(IF(Raw!F218="","",Raw!F218))&amp;":"&amp;IF(Raw!F218="","",Raw!F218)&amp;"|"&amp;LEN(IF(Raw!G218="","",Raw!G218))&amp;":"&amp;IF(Raw!G218="","",Raw!G218)</f>
        <v>6:L00212|6:T00106|10:2026-01-16|3:P-H|4:Home|4:sale|6:249.18</v>
      </c>
      <c r="Q218" s="1">
        <f>1</f>
        <v>1</v>
      </c>
      <c r="R218" s="1" t="b">
        <f>FALSE</f>
        <v>0</v>
      </c>
      <c r="S218" s="1">
        <f>1</f>
        <v>1</v>
      </c>
      <c r="T218" s="1" t="str">
        <f>IF(AND(Raw!A218="",Raw!B218="",Raw!C218="",Raw!D218="",Raw!E218="",Raw!F218="",Raw!G218=""),"UNUSED",IF(A218="","missing line ID",IF(B218="","missing transaction ID",IF(G218="",IF(C218="","missing date","invalid date"),IF(I218="","unknown product",IF(J218="","conflicting category",IF(NOT(OR(EXACT(K218,"sale"),EXACT(K218,"refund"))),"unknown event",IF(OR(N218="",NOT(O218)),"invalid amount",IF(OR(AND(K218="sale",N218&lt;=0),AND(K218="refund",N218&gt;=0)),"invalid sign","")))))))))</f>
        <v/>
      </c>
      <c r="U218" s="1" t="str">
        <f t="shared" si="29"/>
        <v>INCLUDED</v>
      </c>
      <c r="V218" s="1" t="str">
        <f t="shared" si="30"/>
        <v>2026-01</v>
      </c>
      <c r="W218" s="1">
        <f>IF(AND(U218="INCLUDED",X218&gt;0,EXACT(A218,'AI output'!A218)),1,0)</f>
        <v>1</v>
      </c>
      <c r="X218" s="1">
        <f>218</f>
        <v>218</v>
      </c>
      <c r="Y218" s="1">
        <f>IF(AND(U218="INCLUDED",W218=1),--(NOT(EXACT(A218,'AI output'!A218)))+--(NOT(EXACT(B218,'AI output'!B218)))+--(NOT(EXACT(TEXT(G218,"yyyy-mm-dd"),'AI output'!C218)))+--(NOT(EXACT(H218,'AI output'!D218)))+--(NOT(EXACT(J218,'AI output'!E218)))+--(NOT(EXACT(K218,'AI output'!F218)))+--(N218&lt;&gt;'AI output'!L218)+--(NOT('AI output'!M218)),0)</f>
        <v>0</v>
      </c>
      <c r="Z218" s="1">
        <f t="shared" si="31"/>
        <v>0</v>
      </c>
      <c r="AA218" s="1">
        <f>--EXACT(A218,"L00212")</f>
        <v>1</v>
      </c>
    </row>
    <row r="219" spans="1:27" ht="18.95" customHeight="1">
      <c r="A219" s="1" t="str">
        <f>IF(Raw!A219="","",Raw!A219)</f>
        <v>L00213</v>
      </c>
      <c r="B219" s="1" t="str">
        <f>IF(Raw!B219="","",Raw!B219)</f>
        <v>T00107</v>
      </c>
      <c r="C219" s="1" t="str">
        <f>IF(Raw!C219="","",Raw!C219)</f>
        <v>2026-01-23</v>
      </c>
      <c r="D219" s="1">
        <f t="shared" si="24"/>
        <v>2026</v>
      </c>
      <c r="E219" s="1">
        <f>IFERROR(IF(AND(LEN(C219)=10,MID(C219,5,1)="-",MID(C219,8,1)="-"),VALUE(MID(C219,6,2)),IF(AND(LEN(C219)=11,MID(C219,3,1)="-",MID(C219,7,1)="-"),MATCH(UPPER(MID(C219,4,3)),Guide!$D$7:$D$18,0),0)),0)</f>
        <v>1</v>
      </c>
      <c r="F219" s="1">
        <f t="shared" si="25"/>
        <v>23</v>
      </c>
      <c r="G219" s="9">
        <f t="shared" si="26"/>
        <v>46045</v>
      </c>
      <c r="H219" s="1" t="str">
        <f>IF(Raw!D219="","",Raw!D219)</f>
        <v>P-O</v>
      </c>
      <c r="I219" s="1" t="str">
        <f>IFERROR(IF(EXACT(H219,INDEX(Guide!$A$7:$A$9,MATCH(SUBSTITUTE(SUBSTITUTE(SUBSTITUTE(H219,"~","~~"),"*","~*"),"?","~?"),Guide!$A$7:$A$9,0))),INDEX(Guide!$B$7:$B$9,MATCH(SUBSTITUTE(SUBSTITUTE(SUBSTITUTE(H219,"~","~~"),"*","~*"),"?","~?"),Guide!$A$7:$A$9,0)),""),"")</f>
        <v>Office</v>
      </c>
      <c r="J219" s="1" t="str">
        <f>IF(TRIM(Raw!E219)="",I219,IF(UPPER(TRIM(Raw!E219))=UPPER(I219),I219,""))</f>
        <v>Office</v>
      </c>
      <c r="K219" s="1" t="str">
        <f>IF(Raw!F219="","",Raw!F219)</f>
        <v>sale</v>
      </c>
      <c r="L219" s="1" t="str">
        <f>IF(LEFT(TRIM(Raw!G219),2)="-$","-"&amp;MID(TRIM(Raw!G219),3,99),IF(LEFT(TRIM(Raw!G219),1)="$",MID(TRIM(Raw!G219),2,99),TRIM(Raw!G219)))</f>
        <v>417.15</v>
      </c>
      <c r="M219" s="1">
        <f t="shared" si="27"/>
        <v>417.15</v>
      </c>
      <c r="N219" s="10">
        <f t="shared" si="28"/>
        <v>41715</v>
      </c>
      <c r="O219" s="1" t="b">
        <f>IFERROR(IF(ISNUMBER(Raw!G219),TRUE,OR(EXACT(L219,TEXT(M219,"0.00")),EXACT(L219,TEXT(M219,"#,##0.00")))),FALSE)</f>
        <v>1</v>
      </c>
      <c r="P219" s="1" t="str">
        <f>LEN(IF(Raw!A219="","",Raw!A219))&amp;":"&amp;IF(Raw!A219="","",Raw!A219)&amp;"|"&amp;LEN(IF(Raw!B219="","",Raw!B219))&amp;":"&amp;IF(Raw!B219="","",Raw!B219)&amp;"|"&amp;LEN(IF(Raw!C219="","",Raw!C219))&amp;":"&amp;IF(Raw!C219="","",Raw!C219)&amp;"|"&amp;LEN(IF(Raw!D219="","",Raw!D219))&amp;":"&amp;IF(Raw!D219="","",Raw!D219)&amp;"|"&amp;LEN(IF(Raw!E219="","",Raw!E219))&amp;":"&amp;IF(Raw!E219="","",Raw!E219)&amp;"|"&amp;LEN(IF(Raw!F219="","",Raw!F219))&amp;":"&amp;IF(Raw!F219="","",Raw!F219)&amp;"|"&amp;LEN(IF(Raw!G219="","",Raw!G219))&amp;":"&amp;IF(Raw!G219="","",Raw!G219)</f>
        <v>6:L00213|6:T00107|10:2026-01-23|3:P-O|6:Office|4:sale|6:417.15</v>
      </c>
      <c r="Q219" s="1">
        <f>1</f>
        <v>1</v>
      </c>
      <c r="R219" s="1" t="b">
        <f>FALSE</f>
        <v>0</v>
      </c>
      <c r="S219" s="1">
        <f>1</f>
        <v>1</v>
      </c>
      <c r="T219" s="1" t="str">
        <f>IF(AND(Raw!A219="",Raw!B219="",Raw!C219="",Raw!D219="",Raw!E219="",Raw!F219="",Raw!G219=""),"UNUSED",IF(A219="","missing line ID",IF(B219="","missing transaction ID",IF(G219="",IF(C219="","missing date","invalid date"),IF(I219="","unknown product",IF(J219="","conflicting category",IF(NOT(OR(EXACT(K219,"sale"),EXACT(K219,"refund"))),"unknown event",IF(OR(N219="",NOT(O219)),"invalid amount",IF(OR(AND(K219="sale",N219&lt;=0),AND(K219="refund",N219&gt;=0)),"invalid sign","")))))))))</f>
        <v/>
      </c>
      <c r="U219" s="1" t="str">
        <f t="shared" si="29"/>
        <v>INCLUDED</v>
      </c>
      <c r="V219" s="1" t="str">
        <f t="shared" si="30"/>
        <v>2026-01</v>
      </c>
      <c r="W219" s="1">
        <f>IF(AND(U219="INCLUDED",X219&gt;0,EXACT(A219,'AI output'!A219)),1,0)</f>
        <v>1</v>
      </c>
      <c r="X219" s="1">
        <f>219</f>
        <v>219</v>
      </c>
      <c r="Y219" s="1">
        <f>IF(AND(U219="INCLUDED",W219=1),--(NOT(EXACT(A219,'AI output'!A219)))+--(NOT(EXACT(B219,'AI output'!B219)))+--(NOT(EXACT(TEXT(G219,"yyyy-mm-dd"),'AI output'!C219)))+--(NOT(EXACT(H219,'AI output'!D219)))+--(NOT(EXACT(J219,'AI output'!E219)))+--(NOT(EXACT(K219,'AI output'!F219)))+--(N219&lt;&gt;'AI output'!L219)+--(NOT('AI output'!M219)),0)</f>
        <v>0</v>
      </c>
      <c r="Z219" s="1">
        <f t="shared" si="31"/>
        <v>0</v>
      </c>
      <c r="AA219" s="1">
        <f>--EXACT(A219,"L00213")</f>
        <v>1</v>
      </c>
    </row>
    <row r="220" spans="1:27" ht="18.95" customHeight="1">
      <c r="A220" s="1" t="str">
        <f>IF(Raw!A220="","",Raw!A220)</f>
        <v>L00214</v>
      </c>
      <c r="B220" s="1" t="str">
        <f>IF(Raw!B220="","",Raw!B220)</f>
        <v>T00107</v>
      </c>
      <c r="C220" s="1" t="str">
        <f>IF(Raw!C220="","",Raw!C220)</f>
        <v>2026-01-23</v>
      </c>
      <c r="D220" s="1">
        <f t="shared" si="24"/>
        <v>2026</v>
      </c>
      <c r="E220" s="1">
        <f>IFERROR(IF(AND(LEN(C220)=10,MID(C220,5,1)="-",MID(C220,8,1)="-"),VALUE(MID(C220,6,2)),IF(AND(LEN(C220)=11,MID(C220,3,1)="-",MID(C220,7,1)="-"),MATCH(UPPER(MID(C220,4,3)),Guide!$D$7:$D$18,0),0)),0)</f>
        <v>1</v>
      </c>
      <c r="F220" s="1">
        <f t="shared" si="25"/>
        <v>23</v>
      </c>
      <c r="G220" s="9">
        <f t="shared" si="26"/>
        <v>46045</v>
      </c>
      <c r="H220" s="1" t="str">
        <f>IF(Raw!D220="","",Raw!D220)</f>
        <v>P-A</v>
      </c>
      <c r="I220" s="1" t="str">
        <f>IFERROR(IF(EXACT(H220,INDEX(Guide!$A$7:$A$9,MATCH(SUBSTITUTE(SUBSTITUTE(SUBSTITUTE(H220,"~","~~"),"*","~*"),"?","~?"),Guide!$A$7:$A$9,0))),INDEX(Guide!$B$7:$B$9,MATCH(SUBSTITUTE(SUBSTITUTE(SUBSTITUTE(H220,"~","~~"),"*","~*"),"?","~?"),Guide!$A$7:$A$9,0)),""),"")</f>
        <v>Accessories</v>
      </c>
      <c r="J220" s="1" t="str">
        <f>IF(TRIM(Raw!E220)="",I220,IF(UPPER(TRIM(Raw!E220))=UPPER(I220),I220,""))</f>
        <v>Accessories</v>
      </c>
      <c r="K220" s="1" t="str">
        <f>IF(Raw!F220="","",Raw!F220)</f>
        <v>sale</v>
      </c>
      <c r="L220" s="1" t="str">
        <f>IF(LEFT(TRIM(Raw!G220),2)="-$","-"&amp;MID(TRIM(Raw!G220),3,99),IF(LEFT(TRIM(Raw!G220),1)="$",MID(TRIM(Raw!G220),2,99),TRIM(Raw!G220)))</f>
        <v>167.60</v>
      </c>
      <c r="M220" s="1">
        <f t="shared" si="27"/>
        <v>167.6</v>
      </c>
      <c r="N220" s="10">
        <f t="shared" si="28"/>
        <v>16760</v>
      </c>
      <c r="O220" s="1" t="b">
        <f>IFERROR(IF(ISNUMBER(Raw!G220),TRUE,OR(EXACT(L220,TEXT(M220,"0.00")),EXACT(L220,TEXT(M220,"#,##0.00")))),FALSE)</f>
        <v>1</v>
      </c>
      <c r="P220" s="1" t="str">
        <f>LEN(IF(Raw!A220="","",Raw!A220))&amp;":"&amp;IF(Raw!A220="","",Raw!A220)&amp;"|"&amp;LEN(IF(Raw!B220="","",Raw!B220))&amp;":"&amp;IF(Raw!B220="","",Raw!B220)&amp;"|"&amp;LEN(IF(Raw!C220="","",Raw!C220))&amp;":"&amp;IF(Raw!C220="","",Raw!C220)&amp;"|"&amp;LEN(IF(Raw!D220="","",Raw!D220))&amp;":"&amp;IF(Raw!D220="","",Raw!D220)&amp;"|"&amp;LEN(IF(Raw!E220="","",Raw!E220))&amp;":"&amp;IF(Raw!E220="","",Raw!E220)&amp;"|"&amp;LEN(IF(Raw!F220="","",Raw!F220))&amp;":"&amp;IF(Raw!F220="","",Raw!F220)&amp;"|"&amp;LEN(IF(Raw!G220="","",Raw!G220))&amp;":"&amp;IF(Raw!G220="","",Raw!G220)</f>
        <v>6:L00214|6:T00107|10:2026-01-23|3:P-A|11:Accessories|4:sale|6:167.60</v>
      </c>
      <c r="Q220" s="1">
        <f>1</f>
        <v>1</v>
      </c>
      <c r="R220" s="1" t="b">
        <f>FALSE</f>
        <v>0</v>
      </c>
      <c r="S220" s="1">
        <f>1</f>
        <v>1</v>
      </c>
      <c r="T220" s="1" t="str">
        <f>IF(AND(Raw!A220="",Raw!B220="",Raw!C220="",Raw!D220="",Raw!E220="",Raw!F220="",Raw!G220=""),"UNUSED",IF(A220="","missing line ID",IF(B220="","missing transaction ID",IF(G220="",IF(C220="","missing date","invalid date"),IF(I220="","unknown product",IF(J220="","conflicting category",IF(NOT(OR(EXACT(K220,"sale"),EXACT(K220,"refund"))),"unknown event",IF(OR(N220="",NOT(O220)),"invalid amount",IF(OR(AND(K220="sale",N220&lt;=0),AND(K220="refund",N220&gt;=0)),"invalid sign","")))))))))</f>
        <v/>
      </c>
      <c r="U220" s="1" t="str">
        <f t="shared" si="29"/>
        <v>INCLUDED</v>
      </c>
      <c r="V220" s="1" t="str">
        <f t="shared" si="30"/>
        <v>2026-01</v>
      </c>
      <c r="W220" s="1">
        <f>IF(AND(U220="INCLUDED",X220&gt;0,EXACT(A220,'AI output'!A220)),1,0)</f>
        <v>1</v>
      </c>
      <c r="X220" s="1">
        <f>220</f>
        <v>220</v>
      </c>
      <c r="Y220" s="1">
        <f>IF(AND(U220="INCLUDED",W220=1),--(NOT(EXACT(A220,'AI output'!A220)))+--(NOT(EXACT(B220,'AI output'!B220)))+--(NOT(EXACT(TEXT(G220,"yyyy-mm-dd"),'AI output'!C220)))+--(NOT(EXACT(H220,'AI output'!D220)))+--(NOT(EXACT(J220,'AI output'!E220)))+--(NOT(EXACT(K220,'AI output'!F220)))+--(N220&lt;&gt;'AI output'!L220)+--(NOT('AI output'!M220)),0)</f>
        <v>0</v>
      </c>
      <c r="Z220" s="1">
        <f t="shared" si="31"/>
        <v>0</v>
      </c>
      <c r="AA220" s="1">
        <f>--EXACT(A220,"L00214")</f>
        <v>1</v>
      </c>
    </row>
    <row r="221" spans="1:27" ht="18.95" customHeight="1">
      <c r="A221" s="1" t="str">
        <f>IF(Raw!A221="","",Raw!A221)</f>
        <v>L00215</v>
      </c>
      <c r="B221" s="1" t="str">
        <f>IF(Raw!B221="","",Raw!B221)</f>
        <v>T00108</v>
      </c>
      <c r="C221" s="1" t="str">
        <f>IF(Raw!C221="","",Raw!C221)</f>
        <v>2026-01-30</v>
      </c>
      <c r="D221" s="1">
        <f t="shared" si="24"/>
        <v>2026</v>
      </c>
      <c r="E221" s="1">
        <f>IFERROR(IF(AND(LEN(C221)=10,MID(C221,5,1)="-",MID(C221,8,1)="-"),VALUE(MID(C221,6,2)),IF(AND(LEN(C221)=11,MID(C221,3,1)="-",MID(C221,7,1)="-"),MATCH(UPPER(MID(C221,4,3)),Guide!$D$7:$D$18,0),0)),0)</f>
        <v>1</v>
      </c>
      <c r="F221" s="1">
        <f t="shared" si="25"/>
        <v>30</v>
      </c>
      <c r="G221" s="9">
        <f t="shared" si="26"/>
        <v>46052</v>
      </c>
      <c r="H221" s="1" t="str">
        <f>IF(Raw!D221="","",Raw!D221)</f>
        <v>P-H</v>
      </c>
      <c r="I221" s="1" t="str">
        <f>IFERROR(IF(EXACT(H221,INDEX(Guide!$A$7:$A$9,MATCH(SUBSTITUTE(SUBSTITUTE(SUBSTITUTE(H221,"~","~~"),"*","~*"),"?","~?"),Guide!$A$7:$A$9,0))),INDEX(Guide!$B$7:$B$9,MATCH(SUBSTITUTE(SUBSTITUTE(SUBSTITUTE(H221,"~","~~"),"*","~*"),"?","~?"),Guide!$A$7:$A$9,0)),""),"")</f>
        <v>Home</v>
      </c>
      <c r="J221" s="1" t="str">
        <f>IF(TRIM(Raw!E221)="",I221,IF(UPPER(TRIM(Raw!E221))=UPPER(I221),I221,""))</f>
        <v>Home</v>
      </c>
      <c r="K221" s="1" t="str">
        <f>IF(Raw!F221="","",Raw!F221)</f>
        <v>sale</v>
      </c>
      <c r="L221" s="1" t="str">
        <f>IF(LEFT(TRIM(Raw!G221),2)="-$","-"&amp;MID(TRIM(Raw!G221),3,99),IF(LEFT(TRIM(Raw!G221),1)="$",MID(TRIM(Raw!G221),2,99),TRIM(Raw!G221)))</f>
        <v>336.68</v>
      </c>
      <c r="M221" s="1">
        <f t="shared" si="27"/>
        <v>336.68</v>
      </c>
      <c r="N221" s="10">
        <f t="shared" si="28"/>
        <v>33668</v>
      </c>
      <c r="O221" s="1" t="b">
        <f>IFERROR(IF(ISNUMBER(Raw!G221),TRUE,OR(EXACT(L221,TEXT(M221,"0.00")),EXACT(L221,TEXT(M221,"#,##0.00")))),FALSE)</f>
        <v>1</v>
      </c>
      <c r="P221" s="1" t="str">
        <f>LEN(IF(Raw!A221="","",Raw!A221))&amp;":"&amp;IF(Raw!A221="","",Raw!A221)&amp;"|"&amp;LEN(IF(Raw!B221="","",Raw!B221))&amp;":"&amp;IF(Raw!B221="","",Raw!B221)&amp;"|"&amp;LEN(IF(Raw!C221="","",Raw!C221))&amp;":"&amp;IF(Raw!C221="","",Raw!C221)&amp;"|"&amp;LEN(IF(Raw!D221="","",Raw!D221))&amp;":"&amp;IF(Raw!D221="","",Raw!D221)&amp;"|"&amp;LEN(IF(Raw!E221="","",Raw!E221))&amp;":"&amp;IF(Raw!E221="","",Raw!E221)&amp;"|"&amp;LEN(IF(Raw!F221="","",Raw!F221))&amp;":"&amp;IF(Raw!F221="","",Raw!F221)&amp;"|"&amp;LEN(IF(Raw!G221="","",Raw!G221))&amp;":"&amp;IF(Raw!G221="","",Raw!G221)</f>
        <v>6:L00215|6:T00108|10:2026-01-30|3:P-H|4:Home|4:sale|6:336.68</v>
      </c>
      <c r="Q221" s="1">
        <f>1</f>
        <v>1</v>
      </c>
      <c r="R221" s="1" t="b">
        <f>FALSE</f>
        <v>0</v>
      </c>
      <c r="S221" s="1">
        <f>1</f>
        <v>1</v>
      </c>
      <c r="T221" s="1" t="str">
        <f>IF(AND(Raw!A221="",Raw!B221="",Raw!C221="",Raw!D221="",Raw!E221="",Raw!F221="",Raw!G221=""),"UNUSED",IF(A221="","missing line ID",IF(B221="","missing transaction ID",IF(G221="",IF(C221="","missing date","invalid date"),IF(I221="","unknown product",IF(J221="","conflicting category",IF(NOT(OR(EXACT(K221,"sale"),EXACT(K221,"refund"))),"unknown event",IF(OR(N221="",NOT(O221)),"invalid amount",IF(OR(AND(K221="sale",N221&lt;=0),AND(K221="refund",N221&gt;=0)),"invalid sign","")))))))))</f>
        <v/>
      </c>
      <c r="U221" s="1" t="str">
        <f t="shared" si="29"/>
        <v>INCLUDED</v>
      </c>
      <c r="V221" s="1" t="str">
        <f t="shared" si="30"/>
        <v>2026-01</v>
      </c>
      <c r="W221" s="1">
        <f>IF(AND(U221="INCLUDED",X221&gt;0,EXACT(A221,'AI output'!A221)),1,0)</f>
        <v>1</v>
      </c>
      <c r="X221" s="1">
        <f>221</f>
        <v>221</v>
      </c>
      <c r="Y221" s="1">
        <f>IF(AND(U221="INCLUDED",W221=1),--(NOT(EXACT(A221,'AI output'!A221)))+--(NOT(EXACT(B221,'AI output'!B221)))+--(NOT(EXACT(TEXT(G221,"yyyy-mm-dd"),'AI output'!C221)))+--(NOT(EXACT(H221,'AI output'!D221)))+--(NOT(EXACT(J221,'AI output'!E221)))+--(NOT(EXACT(K221,'AI output'!F221)))+--(N221&lt;&gt;'AI output'!L221)+--(NOT('AI output'!M221)),0)</f>
        <v>0</v>
      </c>
      <c r="Z221" s="1">
        <f t="shared" si="31"/>
        <v>0</v>
      </c>
      <c r="AA221" s="1">
        <f>--EXACT(A221,"L00215")</f>
        <v>1</v>
      </c>
    </row>
    <row r="222" spans="1:27" ht="18.95" customHeight="1">
      <c r="A222" s="1" t="str">
        <f>IF(Raw!A222="","",Raw!A222)</f>
        <v>L00216</v>
      </c>
      <c r="B222" s="1" t="str">
        <f>IF(Raw!B222="","",Raw!B222)</f>
        <v>T00108</v>
      </c>
      <c r="C222" s="1" t="str">
        <f>IF(Raw!C222="","",Raw!C222)</f>
        <v>2026-01-30</v>
      </c>
      <c r="D222" s="1">
        <f t="shared" si="24"/>
        <v>2026</v>
      </c>
      <c r="E222" s="1">
        <f>IFERROR(IF(AND(LEN(C222)=10,MID(C222,5,1)="-",MID(C222,8,1)="-"),VALUE(MID(C222,6,2)),IF(AND(LEN(C222)=11,MID(C222,3,1)="-",MID(C222,7,1)="-"),MATCH(UPPER(MID(C222,4,3)),Guide!$D$7:$D$18,0),0)),0)</f>
        <v>1</v>
      </c>
      <c r="F222" s="1">
        <f t="shared" si="25"/>
        <v>30</v>
      </c>
      <c r="G222" s="9">
        <f t="shared" si="26"/>
        <v>46052</v>
      </c>
      <c r="H222" s="1" t="str">
        <f>IF(Raw!D222="","",Raw!D222)</f>
        <v>P-O</v>
      </c>
      <c r="I222" s="1" t="str">
        <f>IFERROR(IF(EXACT(H222,INDEX(Guide!$A$7:$A$9,MATCH(SUBSTITUTE(SUBSTITUTE(SUBSTITUTE(H222,"~","~~"),"*","~*"),"?","~?"),Guide!$A$7:$A$9,0))),INDEX(Guide!$B$7:$B$9,MATCH(SUBSTITUTE(SUBSTITUTE(SUBSTITUTE(H222,"~","~~"),"*","~*"),"?","~?"),Guide!$A$7:$A$9,0)),""),"")</f>
        <v>Office</v>
      </c>
      <c r="J222" s="1" t="str">
        <f>IF(TRIM(Raw!E222)="",I222,IF(UPPER(TRIM(Raw!E222))=UPPER(I222),I222,""))</f>
        <v>Office</v>
      </c>
      <c r="K222" s="1" t="str">
        <f>IF(Raw!F222="","",Raw!F222)</f>
        <v>sale</v>
      </c>
      <c r="L222" s="1" t="str">
        <f>IF(LEFT(TRIM(Raw!G222),2)="-$","-"&amp;MID(TRIM(Raw!G222),3,99),IF(LEFT(TRIM(Raw!G222),1)="$",MID(TRIM(Raw!G222),2,99),TRIM(Raw!G222)))</f>
        <v>84.54</v>
      </c>
      <c r="M222" s="1">
        <f t="shared" si="27"/>
        <v>84.54</v>
      </c>
      <c r="N222" s="10">
        <f t="shared" si="28"/>
        <v>8454</v>
      </c>
      <c r="O222" s="1" t="b">
        <f>IFERROR(IF(ISNUMBER(Raw!G222),TRUE,OR(EXACT(L222,TEXT(M222,"0.00")),EXACT(L222,TEXT(M222,"#,##0.00")))),FALSE)</f>
        <v>1</v>
      </c>
      <c r="P222" s="1" t="str">
        <f>LEN(IF(Raw!A222="","",Raw!A222))&amp;":"&amp;IF(Raw!A222="","",Raw!A222)&amp;"|"&amp;LEN(IF(Raw!B222="","",Raw!B222))&amp;":"&amp;IF(Raw!B222="","",Raw!B222)&amp;"|"&amp;LEN(IF(Raw!C222="","",Raw!C222))&amp;":"&amp;IF(Raw!C222="","",Raw!C222)&amp;"|"&amp;LEN(IF(Raw!D222="","",Raw!D222))&amp;":"&amp;IF(Raw!D222="","",Raw!D222)&amp;"|"&amp;LEN(IF(Raw!E222="","",Raw!E222))&amp;":"&amp;IF(Raw!E222="","",Raw!E222)&amp;"|"&amp;LEN(IF(Raw!F222="","",Raw!F222))&amp;":"&amp;IF(Raw!F222="","",Raw!F222)&amp;"|"&amp;LEN(IF(Raw!G222="","",Raw!G222))&amp;":"&amp;IF(Raw!G222="","",Raw!G222)</f>
        <v>6:L00216|6:T00108|10:2026-01-30|3:P-O|6:Office|4:sale|5:84.54</v>
      </c>
      <c r="Q222" s="1">
        <f>1</f>
        <v>1</v>
      </c>
      <c r="R222" s="1" t="b">
        <f>FALSE</f>
        <v>0</v>
      </c>
      <c r="S222" s="1">
        <f>1</f>
        <v>1</v>
      </c>
      <c r="T222" s="1" t="str">
        <f>IF(AND(Raw!A222="",Raw!B222="",Raw!C222="",Raw!D222="",Raw!E222="",Raw!F222="",Raw!G222=""),"UNUSED",IF(A222="","missing line ID",IF(B222="","missing transaction ID",IF(G222="",IF(C222="","missing date","invalid date"),IF(I222="","unknown product",IF(J222="","conflicting category",IF(NOT(OR(EXACT(K222,"sale"),EXACT(K222,"refund"))),"unknown event",IF(OR(N222="",NOT(O222)),"invalid amount",IF(OR(AND(K222="sale",N222&lt;=0),AND(K222="refund",N222&gt;=0)),"invalid sign","")))))))))</f>
        <v/>
      </c>
      <c r="U222" s="1" t="str">
        <f t="shared" si="29"/>
        <v>INCLUDED</v>
      </c>
      <c r="V222" s="1" t="str">
        <f t="shared" si="30"/>
        <v>2026-01</v>
      </c>
      <c r="W222" s="1">
        <f>IF(AND(U222="INCLUDED",X222&gt;0,EXACT(A222,'AI output'!A222)),1,0)</f>
        <v>1</v>
      </c>
      <c r="X222" s="1">
        <f>222</f>
        <v>222</v>
      </c>
      <c r="Y222" s="1">
        <f>IF(AND(U222="INCLUDED",W222=1),--(NOT(EXACT(A222,'AI output'!A222)))+--(NOT(EXACT(B222,'AI output'!B222)))+--(NOT(EXACT(TEXT(G222,"yyyy-mm-dd"),'AI output'!C222)))+--(NOT(EXACT(H222,'AI output'!D222)))+--(NOT(EXACT(J222,'AI output'!E222)))+--(NOT(EXACT(K222,'AI output'!F222)))+--(N222&lt;&gt;'AI output'!L222)+--(NOT('AI output'!M222)),0)</f>
        <v>0</v>
      </c>
      <c r="Z222" s="1">
        <f t="shared" si="31"/>
        <v>0</v>
      </c>
      <c r="AA222" s="1">
        <f>--EXACT(A222,"L00216")</f>
        <v>1</v>
      </c>
    </row>
    <row r="223" spans="1:27" ht="18.95" customHeight="1">
      <c r="A223" s="1" t="str">
        <f>IF(Raw!A223="","",Raw!A223)</f>
        <v>L00217</v>
      </c>
      <c r="B223" s="1" t="str">
        <f>IF(Raw!B223="","",Raw!B223)</f>
        <v>T00109</v>
      </c>
      <c r="C223" s="1" t="str">
        <f>IF(Raw!C223="","",Raw!C223)</f>
        <v>2026-02-06</v>
      </c>
      <c r="D223" s="1">
        <f t="shared" si="24"/>
        <v>2026</v>
      </c>
      <c r="E223" s="1">
        <f>IFERROR(IF(AND(LEN(C223)=10,MID(C223,5,1)="-",MID(C223,8,1)="-"),VALUE(MID(C223,6,2)),IF(AND(LEN(C223)=11,MID(C223,3,1)="-",MID(C223,7,1)="-"),MATCH(UPPER(MID(C223,4,3)),Guide!$D$7:$D$18,0),0)),0)</f>
        <v>2</v>
      </c>
      <c r="F223" s="1">
        <f t="shared" si="25"/>
        <v>6</v>
      </c>
      <c r="G223" s="9">
        <f t="shared" si="26"/>
        <v>46059</v>
      </c>
      <c r="H223" s="1" t="str">
        <f>IF(Raw!D223="","",Raw!D223)</f>
        <v>P-A</v>
      </c>
      <c r="I223" s="1" t="str">
        <f>IFERROR(IF(EXACT(H223,INDEX(Guide!$A$7:$A$9,MATCH(SUBSTITUTE(SUBSTITUTE(SUBSTITUTE(H223,"~","~~"),"*","~*"),"?","~?"),Guide!$A$7:$A$9,0))),INDEX(Guide!$B$7:$B$9,MATCH(SUBSTITUTE(SUBSTITUTE(SUBSTITUTE(H223,"~","~~"),"*","~*"),"?","~?"),Guide!$A$7:$A$9,0)),""),"")</f>
        <v>Accessories</v>
      </c>
      <c r="J223" s="1" t="str">
        <f>IF(TRIM(Raw!E223)="",I223,IF(UPPER(TRIM(Raw!E223))=UPPER(I223),I223,""))</f>
        <v>Accessories</v>
      </c>
      <c r="K223" s="1" t="str">
        <f>IF(Raw!F223="","",Raw!F223)</f>
        <v>sale</v>
      </c>
      <c r="L223" s="1" t="str">
        <f>IF(LEFT(TRIM(Raw!G223),2)="-$","-"&amp;MID(TRIM(Raw!G223),3,99),IF(LEFT(TRIM(Raw!G223),1)="$",MID(TRIM(Raw!G223),2,99),TRIM(Raw!G223)))</f>
        <v>254.73</v>
      </c>
      <c r="M223" s="1">
        <f t="shared" si="27"/>
        <v>254.73</v>
      </c>
      <c r="N223" s="10">
        <f t="shared" si="28"/>
        <v>25473</v>
      </c>
      <c r="O223" s="1" t="b">
        <f>IFERROR(IF(ISNUMBER(Raw!G223),TRUE,OR(EXACT(L223,TEXT(M223,"0.00")),EXACT(L223,TEXT(M223,"#,##0.00")))),FALSE)</f>
        <v>1</v>
      </c>
      <c r="P223" s="1" t="str">
        <f>LEN(IF(Raw!A223="","",Raw!A223))&amp;":"&amp;IF(Raw!A223="","",Raw!A223)&amp;"|"&amp;LEN(IF(Raw!B223="","",Raw!B223))&amp;":"&amp;IF(Raw!B223="","",Raw!B223)&amp;"|"&amp;LEN(IF(Raw!C223="","",Raw!C223))&amp;":"&amp;IF(Raw!C223="","",Raw!C223)&amp;"|"&amp;LEN(IF(Raw!D223="","",Raw!D223))&amp;":"&amp;IF(Raw!D223="","",Raw!D223)&amp;"|"&amp;LEN(IF(Raw!E223="","",Raw!E223))&amp;":"&amp;IF(Raw!E223="","",Raw!E223)&amp;"|"&amp;LEN(IF(Raw!F223="","",Raw!F223))&amp;":"&amp;IF(Raw!F223="","",Raw!F223)&amp;"|"&amp;LEN(IF(Raw!G223="","",Raw!G223))&amp;":"&amp;IF(Raw!G223="","",Raw!G223)</f>
        <v>6:L00217|6:T00109|10:2026-02-06|3:P-A|11:Accessories|4:sale|6:254.73</v>
      </c>
      <c r="Q223" s="1">
        <f>1</f>
        <v>1</v>
      </c>
      <c r="R223" s="1" t="b">
        <f>FALSE</f>
        <v>0</v>
      </c>
      <c r="S223" s="1">
        <f>1</f>
        <v>1</v>
      </c>
      <c r="T223" s="1" t="str">
        <f>IF(AND(Raw!A223="",Raw!B223="",Raw!C223="",Raw!D223="",Raw!E223="",Raw!F223="",Raw!G223=""),"UNUSED",IF(A223="","missing line ID",IF(B223="","missing transaction ID",IF(G223="",IF(C223="","missing date","invalid date"),IF(I223="","unknown product",IF(J223="","conflicting category",IF(NOT(OR(EXACT(K223,"sale"),EXACT(K223,"refund"))),"unknown event",IF(OR(N223="",NOT(O223)),"invalid amount",IF(OR(AND(K223="sale",N223&lt;=0),AND(K223="refund",N223&gt;=0)),"invalid sign","")))))))))</f>
        <v/>
      </c>
      <c r="U223" s="1" t="str">
        <f t="shared" si="29"/>
        <v>INCLUDED</v>
      </c>
      <c r="V223" s="1" t="str">
        <f t="shared" si="30"/>
        <v>2026-02</v>
      </c>
      <c r="W223" s="1">
        <f>IF(AND(U223="INCLUDED",X223&gt;0,EXACT(A223,'AI output'!A223)),1,0)</f>
        <v>1</v>
      </c>
      <c r="X223" s="1">
        <f>223</f>
        <v>223</v>
      </c>
      <c r="Y223" s="1">
        <f>IF(AND(U223="INCLUDED",W223=1),--(NOT(EXACT(A223,'AI output'!A223)))+--(NOT(EXACT(B223,'AI output'!B223)))+--(NOT(EXACT(TEXT(G223,"yyyy-mm-dd"),'AI output'!C223)))+--(NOT(EXACT(H223,'AI output'!D223)))+--(NOT(EXACT(J223,'AI output'!E223)))+--(NOT(EXACT(K223,'AI output'!F223)))+--(N223&lt;&gt;'AI output'!L223)+--(NOT('AI output'!M223)),0)</f>
        <v>0</v>
      </c>
      <c r="Z223" s="1">
        <f t="shared" si="31"/>
        <v>0</v>
      </c>
      <c r="AA223" s="1">
        <f>--EXACT(A223,"L00217")</f>
        <v>1</v>
      </c>
    </row>
    <row r="224" spans="1:27" ht="18.95" customHeight="1">
      <c r="A224" s="1" t="str">
        <f>IF(Raw!A224="","",Raw!A224)</f>
        <v>L00218</v>
      </c>
      <c r="B224" s="1" t="str">
        <f>IF(Raw!B224="","",Raw!B224)</f>
        <v>T00109</v>
      </c>
      <c r="C224" s="1" t="str">
        <f>IF(Raw!C224="","",Raw!C224)</f>
        <v>2026-02-06</v>
      </c>
      <c r="D224" s="1">
        <f t="shared" si="24"/>
        <v>2026</v>
      </c>
      <c r="E224" s="1">
        <f>IFERROR(IF(AND(LEN(C224)=10,MID(C224,5,1)="-",MID(C224,8,1)="-"),VALUE(MID(C224,6,2)),IF(AND(LEN(C224)=11,MID(C224,3,1)="-",MID(C224,7,1)="-"),MATCH(UPPER(MID(C224,4,3)),Guide!$D$7:$D$18,0),0)),0)</f>
        <v>2</v>
      </c>
      <c r="F224" s="1">
        <f t="shared" si="25"/>
        <v>6</v>
      </c>
      <c r="G224" s="9">
        <f t="shared" si="26"/>
        <v>46059</v>
      </c>
      <c r="H224" s="1" t="str">
        <f>IF(Raw!D224="","",Raw!D224)</f>
        <v>P-H</v>
      </c>
      <c r="I224" s="1" t="str">
        <f>IFERROR(IF(EXACT(H224,INDEX(Guide!$A$7:$A$9,MATCH(SUBSTITUTE(SUBSTITUTE(SUBSTITUTE(H224,"~","~~"),"*","~*"),"?","~?"),Guide!$A$7:$A$9,0))),INDEX(Guide!$B$7:$B$9,MATCH(SUBSTITUTE(SUBSTITUTE(SUBSTITUTE(H224,"~","~~"),"*","~*"),"?","~?"),Guide!$A$7:$A$9,0)),""),"")</f>
        <v>Home</v>
      </c>
      <c r="J224" s="1" t="str">
        <f>IF(TRIM(Raw!E224)="",I224,IF(UPPER(TRIM(Raw!E224))=UPPER(I224),I224,""))</f>
        <v>Home</v>
      </c>
      <c r="K224" s="1" t="str">
        <f>IF(Raw!F224="","",Raw!F224)</f>
        <v>sale</v>
      </c>
      <c r="L224" s="1" t="str">
        <f>IF(LEFT(TRIM(Raw!G224),2)="-$","-"&amp;MID(TRIM(Raw!G224),3,99),IF(LEFT(TRIM(Raw!G224),1)="$",MID(TRIM(Raw!G224),2,99),TRIM(Raw!G224)))</f>
        <v>426.40</v>
      </c>
      <c r="M224" s="1">
        <f t="shared" si="27"/>
        <v>426.4</v>
      </c>
      <c r="N224" s="10">
        <f t="shared" si="28"/>
        <v>42640</v>
      </c>
      <c r="O224" s="1" t="b">
        <f>IFERROR(IF(ISNUMBER(Raw!G224),TRUE,OR(EXACT(L224,TEXT(M224,"0.00")),EXACT(L224,TEXT(M224,"#,##0.00")))),FALSE)</f>
        <v>1</v>
      </c>
      <c r="P224" s="1" t="str">
        <f>LEN(IF(Raw!A224="","",Raw!A224))&amp;":"&amp;IF(Raw!A224="","",Raw!A224)&amp;"|"&amp;LEN(IF(Raw!B224="","",Raw!B224))&amp;":"&amp;IF(Raw!B224="","",Raw!B224)&amp;"|"&amp;LEN(IF(Raw!C224="","",Raw!C224))&amp;":"&amp;IF(Raw!C224="","",Raw!C224)&amp;"|"&amp;LEN(IF(Raw!D224="","",Raw!D224))&amp;":"&amp;IF(Raw!D224="","",Raw!D224)&amp;"|"&amp;LEN(IF(Raw!E224="","",Raw!E224))&amp;":"&amp;IF(Raw!E224="","",Raw!E224)&amp;"|"&amp;LEN(IF(Raw!F224="","",Raw!F224))&amp;":"&amp;IF(Raw!F224="","",Raw!F224)&amp;"|"&amp;LEN(IF(Raw!G224="","",Raw!G224))&amp;":"&amp;IF(Raw!G224="","",Raw!G224)</f>
        <v>6:L00218|6:T00109|10:2026-02-06|3:P-H|4:Home|4:sale|6:426.40</v>
      </c>
      <c r="Q224" s="1">
        <f>1</f>
        <v>1</v>
      </c>
      <c r="R224" s="1" t="b">
        <f>FALSE</f>
        <v>0</v>
      </c>
      <c r="S224" s="1">
        <f>1</f>
        <v>1</v>
      </c>
      <c r="T224" s="1" t="str">
        <f>IF(AND(Raw!A224="",Raw!B224="",Raw!C224="",Raw!D224="",Raw!E224="",Raw!F224="",Raw!G224=""),"UNUSED",IF(A224="","missing line ID",IF(B224="","missing transaction ID",IF(G224="",IF(C224="","missing date","invalid date"),IF(I224="","unknown product",IF(J224="","conflicting category",IF(NOT(OR(EXACT(K224,"sale"),EXACT(K224,"refund"))),"unknown event",IF(OR(N224="",NOT(O224)),"invalid amount",IF(OR(AND(K224="sale",N224&lt;=0),AND(K224="refund",N224&gt;=0)),"invalid sign","")))))))))</f>
        <v/>
      </c>
      <c r="U224" s="1" t="str">
        <f t="shared" si="29"/>
        <v>INCLUDED</v>
      </c>
      <c r="V224" s="1" t="str">
        <f t="shared" si="30"/>
        <v>2026-02</v>
      </c>
      <c r="W224" s="1">
        <f>IF(AND(U224="INCLUDED",X224&gt;0,EXACT(A224,'AI output'!A224)),1,0)</f>
        <v>1</v>
      </c>
      <c r="X224" s="1">
        <f>224</f>
        <v>224</v>
      </c>
      <c r="Y224" s="1">
        <f>IF(AND(U224="INCLUDED",W224=1),--(NOT(EXACT(A224,'AI output'!A224)))+--(NOT(EXACT(B224,'AI output'!B224)))+--(NOT(EXACT(TEXT(G224,"yyyy-mm-dd"),'AI output'!C224)))+--(NOT(EXACT(H224,'AI output'!D224)))+--(NOT(EXACT(J224,'AI output'!E224)))+--(NOT(EXACT(K224,'AI output'!F224)))+--(N224&lt;&gt;'AI output'!L224)+--(NOT('AI output'!M224)),0)</f>
        <v>0</v>
      </c>
      <c r="Z224" s="1">
        <f t="shared" si="31"/>
        <v>0</v>
      </c>
      <c r="AA224" s="1">
        <f>--EXACT(A224,"L00218")</f>
        <v>1</v>
      </c>
    </row>
    <row r="225" spans="1:27" ht="18.95" customHeight="1">
      <c r="A225" s="1" t="str">
        <f>IF(Raw!A225="","",Raw!A225)</f>
        <v>L00219</v>
      </c>
      <c r="B225" s="1" t="str">
        <f>IF(Raw!B225="","",Raw!B225)</f>
        <v>T00110</v>
      </c>
      <c r="C225" s="1" t="str">
        <f>IF(Raw!C225="","",Raw!C225)</f>
        <v>2026-02-13</v>
      </c>
      <c r="D225" s="1">
        <f t="shared" si="24"/>
        <v>2026</v>
      </c>
      <c r="E225" s="1">
        <f>IFERROR(IF(AND(LEN(C225)=10,MID(C225,5,1)="-",MID(C225,8,1)="-"),VALUE(MID(C225,6,2)),IF(AND(LEN(C225)=11,MID(C225,3,1)="-",MID(C225,7,1)="-"),MATCH(UPPER(MID(C225,4,3)),Guide!$D$7:$D$18,0),0)),0)</f>
        <v>2</v>
      </c>
      <c r="F225" s="1">
        <f t="shared" si="25"/>
        <v>13</v>
      </c>
      <c r="G225" s="9">
        <f t="shared" si="26"/>
        <v>46066</v>
      </c>
      <c r="H225" s="1" t="str">
        <f>IF(Raw!D225="","",Raw!D225)</f>
        <v>P-O</v>
      </c>
      <c r="I225" s="1" t="str">
        <f>IFERROR(IF(EXACT(H225,INDEX(Guide!$A$7:$A$9,MATCH(SUBSTITUTE(SUBSTITUTE(SUBSTITUTE(H225,"~","~~"),"*","~*"),"?","~?"),Guide!$A$7:$A$9,0))),INDEX(Guide!$B$7:$B$9,MATCH(SUBSTITUTE(SUBSTITUTE(SUBSTITUTE(H225,"~","~~"),"*","~*"),"?","~?"),Guide!$A$7:$A$9,0)),""),"")</f>
        <v>Office</v>
      </c>
      <c r="J225" s="1" t="str">
        <f>IF(TRIM(Raw!E225)="",I225,IF(UPPER(TRIM(Raw!E225))=UPPER(I225),I225,""))</f>
        <v>Office</v>
      </c>
      <c r="K225" s="1" t="str">
        <f>IF(Raw!F225="","",Raw!F225)</f>
        <v>sale</v>
      </c>
      <c r="L225" s="1" t="str">
        <f>IF(LEFT(TRIM(Raw!G225),2)="-$","-"&amp;MID(TRIM(Raw!G225),3,99),IF(LEFT(TRIM(Raw!G225),1)="$",MID(TRIM(Raw!G225),2,99),TRIM(Raw!G225)))</f>
        <v>171.30</v>
      </c>
      <c r="M225" s="1">
        <f t="shared" si="27"/>
        <v>171.3</v>
      </c>
      <c r="N225" s="10">
        <f t="shared" si="28"/>
        <v>17130</v>
      </c>
      <c r="O225" s="1" t="b">
        <f>IFERROR(IF(ISNUMBER(Raw!G225),TRUE,OR(EXACT(L225,TEXT(M225,"0.00")),EXACT(L225,TEXT(M225,"#,##0.00")))),FALSE)</f>
        <v>1</v>
      </c>
      <c r="P225" s="1" t="str">
        <f>LEN(IF(Raw!A225="","",Raw!A225))&amp;":"&amp;IF(Raw!A225="","",Raw!A225)&amp;"|"&amp;LEN(IF(Raw!B225="","",Raw!B225))&amp;":"&amp;IF(Raw!B225="","",Raw!B225)&amp;"|"&amp;LEN(IF(Raw!C225="","",Raw!C225))&amp;":"&amp;IF(Raw!C225="","",Raw!C225)&amp;"|"&amp;LEN(IF(Raw!D225="","",Raw!D225))&amp;":"&amp;IF(Raw!D225="","",Raw!D225)&amp;"|"&amp;LEN(IF(Raw!E225="","",Raw!E225))&amp;":"&amp;IF(Raw!E225="","",Raw!E225)&amp;"|"&amp;LEN(IF(Raw!F225="","",Raw!F225))&amp;":"&amp;IF(Raw!F225="","",Raw!F225)&amp;"|"&amp;LEN(IF(Raw!G225="","",Raw!G225))&amp;":"&amp;IF(Raw!G225="","",Raw!G225)</f>
        <v>6:L00219|6:T00110|10:2026-02-13|3:P-O|6:Office|4:sale|6:171.30</v>
      </c>
      <c r="Q225" s="1">
        <f>1</f>
        <v>1</v>
      </c>
      <c r="R225" s="1" t="b">
        <f>FALSE</f>
        <v>0</v>
      </c>
      <c r="S225" s="1">
        <f>1</f>
        <v>1</v>
      </c>
      <c r="T225" s="1" t="str">
        <f>IF(AND(Raw!A225="",Raw!B225="",Raw!C225="",Raw!D225="",Raw!E225="",Raw!F225="",Raw!G225=""),"UNUSED",IF(A225="","missing line ID",IF(B225="","missing transaction ID",IF(G225="",IF(C225="","missing date","invalid date"),IF(I225="","unknown product",IF(J225="","conflicting category",IF(NOT(OR(EXACT(K225,"sale"),EXACT(K225,"refund"))),"unknown event",IF(OR(N225="",NOT(O225)),"invalid amount",IF(OR(AND(K225="sale",N225&lt;=0),AND(K225="refund",N225&gt;=0)),"invalid sign","")))))))))</f>
        <v/>
      </c>
      <c r="U225" s="1" t="str">
        <f t="shared" si="29"/>
        <v>INCLUDED</v>
      </c>
      <c r="V225" s="1" t="str">
        <f t="shared" si="30"/>
        <v>2026-02</v>
      </c>
      <c r="W225" s="1">
        <f>IF(AND(U225="INCLUDED",X225&gt;0,EXACT(A225,'AI output'!A225)),1,0)</f>
        <v>1</v>
      </c>
      <c r="X225" s="1">
        <f>225</f>
        <v>225</v>
      </c>
      <c r="Y225" s="1">
        <f>IF(AND(U225="INCLUDED",W225=1),--(NOT(EXACT(A225,'AI output'!A225)))+--(NOT(EXACT(B225,'AI output'!B225)))+--(NOT(EXACT(TEXT(G225,"yyyy-mm-dd"),'AI output'!C225)))+--(NOT(EXACT(H225,'AI output'!D225)))+--(NOT(EXACT(J225,'AI output'!E225)))+--(NOT(EXACT(K225,'AI output'!F225)))+--(N225&lt;&gt;'AI output'!L225)+--(NOT('AI output'!M225)),0)</f>
        <v>0</v>
      </c>
      <c r="Z225" s="1">
        <f t="shared" si="31"/>
        <v>0</v>
      </c>
      <c r="AA225" s="1">
        <f>--EXACT(A225,"L00219")</f>
        <v>1</v>
      </c>
    </row>
    <row r="226" spans="1:27" ht="18.95" customHeight="1">
      <c r="A226" s="1" t="str">
        <f>IF(Raw!A226="","",Raw!A226)</f>
        <v>L00220</v>
      </c>
      <c r="B226" s="1" t="str">
        <f>IF(Raw!B226="","",Raw!B226)</f>
        <v>T00110</v>
      </c>
      <c r="C226" s="1" t="str">
        <f>IF(Raw!C226="","",Raw!C226)</f>
        <v>2026-02-13</v>
      </c>
      <c r="D226" s="1">
        <f t="shared" si="24"/>
        <v>2026</v>
      </c>
      <c r="E226" s="1">
        <f>IFERROR(IF(AND(LEN(C226)=10,MID(C226,5,1)="-",MID(C226,8,1)="-"),VALUE(MID(C226,6,2)),IF(AND(LEN(C226)=11,MID(C226,3,1)="-",MID(C226,7,1)="-"),MATCH(UPPER(MID(C226,4,3)),Guide!$D$7:$D$18,0),0)),0)</f>
        <v>2</v>
      </c>
      <c r="F226" s="1">
        <f t="shared" si="25"/>
        <v>13</v>
      </c>
      <c r="G226" s="9">
        <f t="shared" si="26"/>
        <v>46066</v>
      </c>
      <c r="H226" s="1" t="str">
        <f>IF(Raw!D226="","",Raw!D226)</f>
        <v>P-A</v>
      </c>
      <c r="I226" s="1" t="str">
        <f>IFERROR(IF(EXACT(H226,INDEX(Guide!$A$7:$A$9,MATCH(SUBSTITUTE(SUBSTITUTE(SUBSTITUTE(H226,"~","~~"),"*","~*"),"?","~?"),Guide!$A$7:$A$9,0))),INDEX(Guide!$B$7:$B$9,MATCH(SUBSTITUTE(SUBSTITUTE(SUBSTITUTE(H226,"~","~~"),"*","~*"),"?","~?"),Guide!$A$7:$A$9,0)),""),"")</f>
        <v>Accessories</v>
      </c>
      <c r="J226" s="1" t="str">
        <f>IF(TRIM(Raw!E226)="",I226,IF(UPPER(TRIM(Raw!E226))=UPPER(I226),I226,""))</f>
        <v>Accessories</v>
      </c>
      <c r="K226" s="1" t="str">
        <f>IF(Raw!F226="","",Raw!F226)</f>
        <v>sale</v>
      </c>
      <c r="L226" s="1" t="str">
        <f>IF(LEFT(TRIM(Raw!G226),2)="-$","-"&amp;MID(TRIM(Raw!G226),3,99),IF(LEFT(TRIM(Raw!G226),1)="$",MID(TRIM(Raw!G226),2,99),TRIM(Raw!G226)))</f>
        <v>344.08</v>
      </c>
      <c r="M226" s="1">
        <f t="shared" si="27"/>
        <v>344.08</v>
      </c>
      <c r="N226" s="10">
        <f t="shared" si="28"/>
        <v>34408</v>
      </c>
      <c r="O226" s="1" t="b">
        <f>IFERROR(IF(ISNUMBER(Raw!G226),TRUE,OR(EXACT(L226,TEXT(M226,"0.00")),EXACT(L226,TEXT(M226,"#,##0.00")))),FALSE)</f>
        <v>1</v>
      </c>
      <c r="P226" s="1" t="str">
        <f>LEN(IF(Raw!A226="","",Raw!A226))&amp;":"&amp;IF(Raw!A226="","",Raw!A226)&amp;"|"&amp;LEN(IF(Raw!B226="","",Raw!B226))&amp;":"&amp;IF(Raw!B226="","",Raw!B226)&amp;"|"&amp;LEN(IF(Raw!C226="","",Raw!C226))&amp;":"&amp;IF(Raw!C226="","",Raw!C226)&amp;"|"&amp;LEN(IF(Raw!D226="","",Raw!D226))&amp;":"&amp;IF(Raw!D226="","",Raw!D226)&amp;"|"&amp;LEN(IF(Raw!E226="","",Raw!E226))&amp;":"&amp;IF(Raw!E226="","",Raw!E226)&amp;"|"&amp;LEN(IF(Raw!F226="","",Raw!F226))&amp;":"&amp;IF(Raw!F226="","",Raw!F226)&amp;"|"&amp;LEN(IF(Raw!G226="","",Raw!G226))&amp;":"&amp;IF(Raw!G226="","",Raw!G226)</f>
        <v>6:L00220|6:T00110|10:2026-02-13|3:P-A|11:Accessories|4:sale|6:344.08</v>
      </c>
      <c r="Q226" s="1">
        <f>1</f>
        <v>1</v>
      </c>
      <c r="R226" s="1" t="b">
        <f>FALSE</f>
        <v>0</v>
      </c>
      <c r="S226" s="1">
        <f>1</f>
        <v>1</v>
      </c>
      <c r="T226" s="1" t="str">
        <f>IF(AND(Raw!A226="",Raw!B226="",Raw!C226="",Raw!D226="",Raw!E226="",Raw!F226="",Raw!G226=""),"UNUSED",IF(A226="","missing line ID",IF(B226="","missing transaction ID",IF(G226="",IF(C226="","missing date","invalid date"),IF(I226="","unknown product",IF(J226="","conflicting category",IF(NOT(OR(EXACT(K226,"sale"),EXACT(K226,"refund"))),"unknown event",IF(OR(N226="",NOT(O226)),"invalid amount",IF(OR(AND(K226="sale",N226&lt;=0),AND(K226="refund",N226&gt;=0)),"invalid sign","")))))))))</f>
        <v/>
      </c>
      <c r="U226" s="1" t="str">
        <f t="shared" si="29"/>
        <v>INCLUDED</v>
      </c>
      <c r="V226" s="1" t="str">
        <f t="shared" si="30"/>
        <v>2026-02</v>
      </c>
      <c r="W226" s="1">
        <f>IF(AND(U226="INCLUDED",X226&gt;0,EXACT(A226,'AI output'!A226)),1,0)</f>
        <v>1</v>
      </c>
      <c r="X226" s="1">
        <f>226</f>
        <v>226</v>
      </c>
      <c r="Y226" s="1">
        <f>IF(AND(U226="INCLUDED",W226=1),--(NOT(EXACT(A226,'AI output'!A226)))+--(NOT(EXACT(B226,'AI output'!B226)))+--(NOT(EXACT(TEXT(G226,"yyyy-mm-dd"),'AI output'!C226)))+--(NOT(EXACT(H226,'AI output'!D226)))+--(NOT(EXACT(J226,'AI output'!E226)))+--(NOT(EXACT(K226,'AI output'!F226)))+--(N226&lt;&gt;'AI output'!L226)+--(NOT('AI output'!M226)),0)</f>
        <v>0</v>
      </c>
      <c r="Z226" s="1">
        <f t="shared" si="31"/>
        <v>0</v>
      </c>
      <c r="AA226" s="1">
        <f>--EXACT(A226,"L00220")</f>
        <v>1</v>
      </c>
    </row>
    <row r="227" spans="1:27" ht="18.95" customHeight="1">
      <c r="A227" s="1" t="str">
        <f>IF(Raw!A227="","",Raw!A227)</f>
        <v>L00221</v>
      </c>
      <c r="B227" s="1" t="str">
        <f>IF(Raw!B227="","",Raw!B227)</f>
        <v>T00111</v>
      </c>
      <c r="C227" s="1" t="str">
        <f>IF(Raw!C227="","",Raw!C227)</f>
        <v>2026-02-20</v>
      </c>
      <c r="D227" s="1">
        <f t="shared" si="24"/>
        <v>2026</v>
      </c>
      <c r="E227" s="1">
        <f>IFERROR(IF(AND(LEN(C227)=10,MID(C227,5,1)="-",MID(C227,8,1)="-"),VALUE(MID(C227,6,2)),IF(AND(LEN(C227)=11,MID(C227,3,1)="-",MID(C227,7,1)="-"),MATCH(UPPER(MID(C227,4,3)),Guide!$D$7:$D$18,0),0)),0)</f>
        <v>2</v>
      </c>
      <c r="F227" s="1">
        <f t="shared" si="25"/>
        <v>20</v>
      </c>
      <c r="G227" s="9">
        <f t="shared" si="26"/>
        <v>46073</v>
      </c>
      <c r="H227" s="1" t="str">
        <f>IF(Raw!D227="","",Raw!D227)</f>
        <v>P-H</v>
      </c>
      <c r="I227" s="1" t="str">
        <f>IFERROR(IF(EXACT(H227,INDEX(Guide!$A$7:$A$9,MATCH(SUBSTITUTE(SUBSTITUTE(SUBSTITUTE(H227,"~","~~"),"*","~*"),"?","~?"),Guide!$A$7:$A$9,0))),INDEX(Guide!$B$7:$B$9,MATCH(SUBSTITUTE(SUBSTITUTE(SUBSTITUTE(H227,"~","~~"),"*","~*"),"?","~?"),Guide!$A$7:$A$9,0)),""),"")</f>
        <v>Home</v>
      </c>
      <c r="J227" s="1" t="str">
        <f>IF(TRIM(Raw!E227)="",I227,IF(UPPER(TRIM(Raw!E227))=UPPER(I227),I227,""))</f>
        <v>Home</v>
      </c>
      <c r="K227" s="1" t="str">
        <f>IF(Raw!F227="","",Raw!F227)</f>
        <v>sale</v>
      </c>
      <c r="L227" s="1" t="str">
        <f>IF(LEFT(TRIM(Raw!G227),2)="-$","-"&amp;MID(TRIM(Raw!G227),3,99),IF(LEFT(TRIM(Raw!G227),1)="$",MID(TRIM(Raw!G227),2,99),TRIM(Raw!G227)))</f>
        <v>86.39</v>
      </c>
      <c r="M227" s="1">
        <f t="shared" si="27"/>
        <v>86.39</v>
      </c>
      <c r="N227" s="10">
        <f t="shared" si="28"/>
        <v>8639</v>
      </c>
      <c r="O227" s="1" t="b">
        <f>IFERROR(IF(ISNUMBER(Raw!G227),TRUE,OR(EXACT(L227,TEXT(M227,"0.00")),EXACT(L227,TEXT(M227,"#,##0.00")))),FALSE)</f>
        <v>1</v>
      </c>
      <c r="P227" s="1" t="str">
        <f>LEN(IF(Raw!A227="","",Raw!A227))&amp;":"&amp;IF(Raw!A227="","",Raw!A227)&amp;"|"&amp;LEN(IF(Raw!B227="","",Raw!B227))&amp;":"&amp;IF(Raw!B227="","",Raw!B227)&amp;"|"&amp;LEN(IF(Raw!C227="","",Raw!C227))&amp;":"&amp;IF(Raw!C227="","",Raw!C227)&amp;"|"&amp;LEN(IF(Raw!D227="","",Raw!D227))&amp;":"&amp;IF(Raw!D227="","",Raw!D227)&amp;"|"&amp;LEN(IF(Raw!E227="","",Raw!E227))&amp;":"&amp;IF(Raw!E227="","",Raw!E227)&amp;"|"&amp;LEN(IF(Raw!F227="","",Raw!F227))&amp;":"&amp;IF(Raw!F227="","",Raw!F227)&amp;"|"&amp;LEN(IF(Raw!G227="","",Raw!G227))&amp;":"&amp;IF(Raw!G227="","",Raw!G227)</f>
        <v>6:L00221|6:T00111|10:2026-02-20|3:P-H|4:Home|4:sale|5:86.39</v>
      </c>
      <c r="Q227" s="1">
        <f>1</f>
        <v>1</v>
      </c>
      <c r="R227" s="1" t="b">
        <f>FALSE</f>
        <v>0</v>
      </c>
      <c r="S227" s="1">
        <f>1</f>
        <v>1</v>
      </c>
      <c r="T227" s="1" t="str">
        <f>IF(AND(Raw!A227="",Raw!B227="",Raw!C227="",Raw!D227="",Raw!E227="",Raw!F227="",Raw!G227=""),"UNUSED",IF(A227="","missing line ID",IF(B227="","missing transaction ID",IF(G227="",IF(C227="","missing date","invalid date"),IF(I227="","unknown product",IF(J227="","conflicting category",IF(NOT(OR(EXACT(K227,"sale"),EXACT(K227,"refund"))),"unknown event",IF(OR(N227="",NOT(O227)),"invalid amount",IF(OR(AND(K227="sale",N227&lt;=0),AND(K227="refund",N227&gt;=0)),"invalid sign","")))))))))</f>
        <v/>
      </c>
      <c r="U227" s="1" t="str">
        <f t="shared" si="29"/>
        <v>INCLUDED</v>
      </c>
      <c r="V227" s="1" t="str">
        <f t="shared" si="30"/>
        <v>2026-02</v>
      </c>
      <c r="W227" s="1">
        <f>IF(AND(U227="INCLUDED",X227&gt;0,EXACT(A227,'AI output'!A227)),1,0)</f>
        <v>1</v>
      </c>
      <c r="X227" s="1">
        <f>227</f>
        <v>227</v>
      </c>
      <c r="Y227" s="1">
        <f>IF(AND(U227="INCLUDED",W227=1),--(NOT(EXACT(A227,'AI output'!A227)))+--(NOT(EXACT(B227,'AI output'!B227)))+--(NOT(EXACT(TEXT(G227,"yyyy-mm-dd"),'AI output'!C227)))+--(NOT(EXACT(H227,'AI output'!D227)))+--(NOT(EXACT(J227,'AI output'!E227)))+--(NOT(EXACT(K227,'AI output'!F227)))+--(N227&lt;&gt;'AI output'!L227)+--(NOT('AI output'!M227)),0)</f>
        <v>0</v>
      </c>
      <c r="Z227" s="1">
        <f t="shared" si="31"/>
        <v>0</v>
      </c>
      <c r="AA227" s="1">
        <f>--EXACT(A227,"L00221")</f>
        <v>1</v>
      </c>
    </row>
    <row r="228" spans="1:27" ht="18.95" customHeight="1">
      <c r="A228" s="1" t="str">
        <f>IF(Raw!A228="","",Raw!A228)</f>
        <v>L00222</v>
      </c>
      <c r="B228" s="1" t="str">
        <f>IF(Raw!B228="","",Raw!B228)</f>
        <v>T00111</v>
      </c>
      <c r="C228" s="1" t="str">
        <f>IF(Raw!C228="","",Raw!C228)</f>
        <v>2026-02-20</v>
      </c>
      <c r="D228" s="1">
        <f t="shared" si="24"/>
        <v>2026</v>
      </c>
      <c r="E228" s="1">
        <f>IFERROR(IF(AND(LEN(C228)=10,MID(C228,5,1)="-",MID(C228,8,1)="-"),VALUE(MID(C228,6,2)),IF(AND(LEN(C228)=11,MID(C228,3,1)="-",MID(C228,7,1)="-"),MATCH(UPPER(MID(C228,4,3)),Guide!$D$7:$D$18,0),0)),0)</f>
        <v>2</v>
      </c>
      <c r="F228" s="1">
        <f t="shared" si="25"/>
        <v>20</v>
      </c>
      <c r="G228" s="9">
        <f t="shared" si="26"/>
        <v>46073</v>
      </c>
      <c r="H228" s="1" t="str">
        <f>IF(Raw!D228="","",Raw!D228)</f>
        <v>P-O</v>
      </c>
      <c r="I228" s="1" t="str">
        <f>IFERROR(IF(EXACT(H228,INDEX(Guide!$A$7:$A$9,MATCH(SUBSTITUTE(SUBSTITUTE(SUBSTITUTE(H228,"~","~~"),"*","~*"),"?","~?"),Guide!$A$7:$A$9,0))),INDEX(Guide!$B$7:$B$9,MATCH(SUBSTITUTE(SUBSTITUTE(SUBSTITUTE(H228,"~","~~"),"*","~*"),"?","~?"),Guide!$A$7:$A$9,0)),""),"")</f>
        <v>Office</v>
      </c>
      <c r="J228" s="1" t="str">
        <f>IF(TRIM(Raw!E228)="",I228,IF(UPPER(TRIM(Raw!E228))=UPPER(I228),I228,""))</f>
        <v>Office</v>
      </c>
      <c r="K228" s="1" t="str">
        <f>IF(Raw!F228="","",Raw!F228)</f>
        <v>sale</v>
      </c>
      <c r="L228" s="1" t="str">
        <f>IF(LEFT(TRIM(Raw!G228),2)="-$","-"&amp;MID(TRIM(Raw!G228),3,99),IF(LEFT(TRIM(Raw!G228),1)="$",MID(TRIM(Raw!G228),2,99),TRIM(Raw!G228)))</f>
        <v>260.28</v>
      </c>
      <c r="M228" s="1">
        <f t="shared" si="27"/>
        <v>260.27999999999997</v>
      </c>
      <c r="N228" s="10">
        <f t="shared" si="28"/>
        <v>26028</v>
      </c>
      <c r="O228" s="1" t="b">
        <f>IFERROR(IF(ISNUMBER(Raw!G228),TRUE,OR(EXACT(L228,TEXT(M228,"0.00")),EXACT(L228,TEXT(M228,"#,##0.00")))),FALSE)</f>
        <v>1</v>
      </c>
      <c r="P228" s="1" t="str">
        <f>LEN(IF(Raw!A228="","",Raw!A228))&amp;":"&amp;IF(Raw!A228="","",Raw!A228)&amp;"|"&amp;LEN(IF(Raw!B228="","",Raw!B228))&amp;":"&amp;IF(Raw!B228="","",Raw!B228)&amp;"|"&amp;LEN(IF(Raw!C228="","",Raw!C228))&amp;":"&amp;IF(Raw!C228="","",Raw!C228)&amp;"|"&amp;LEN(IF(Raw!D228="","",Raw!D228))&amp;":"&amp;IF(Raw!D228="","",Raw!D228)&amp;"|"&amp;LEN(IF(Raw!E228="","",Raw!E228))&amp;":"&amp;IF(Raw!E228="","",Raw!E228)&amp;"|"&amp;LEN(IF(Raw!F228="","",Raw!F228))&amp;":"&amp;IF(Raw!F228="","",Raw!F228)&amp;"|"&amp;LEN(IF(Raw!G228="","",Raw!G228))&amp;":"&amp;IF(Raw!G228="","",Raw!G228)</f>
        <v>6:L00222|6:T00111|10:2026-02-20|3:P-O|6:Office|4:sale|6:260.28</v>
      </c>
      <c r="Q228" s="1">
        <f>1</f>
        <v>1</v>
      </c>
      <c r="R228" s="1" t="b">
        <f>FALSE</f>
        <v>0</v>
      </c>
      <c r="S228" s="1">
        <f>1</f>
        <v>1</v>
      </c>
      <c r="T228" s="1" t="str">
        <f>IF(AND(Raw!A228="",Raw!B228="",Raw!C228="",Raw!D228="",Raw!E228="",Raw!F228="",Raw!G228=""),"UNUSED",IF(A228="","missing line ID",IF(B228="","missing transaction ID",IF(G228="",IF(C228="","missing date","invalid date"),IF(I228="","unknown product",IF(J228="","conflicting category",IF(NOT(OR(EXACT(K228,"sale"),EXACT(K228,"refund"))),"unknown event",IF(OR(N228="",NOT(O228)),"invalid amount",IF(OR(AND(K228="sale",N228&lt;=0),AND(K228="refund",N228&gt;=0)),"invalid sign","")))))))))</f>
        <v/>
      </c>
      <c r="U228" s="1" t="str">
        <f t="shared" si="29"/>
        <v>INCLUDED</v>
      </c>
      <c r="V228" s="1" t="str">
        <f t="shared" si="30"/>
        <v>2026-02</v>
      </c>
      <c r="W228" s="1">
        <f>IF(AND(U228="INCLUDED",X228&gt;0,EXACT(A228,'AI output'!A228)),1,0)</f>
        <v>1</v>
      </c>
      <c r="X228" s="1">
        <f>228</f>
        <v>228</v>
      </c>
      <c r="Y228" s="1">
        <f>IF(AND(U228="INCLUDED",W228=1),--(NOT(EXACT(A228,'AI output'!A228)))+--(NOT(EXACT(B228,'AI output'!B228)))+--(NOT(EXACT(TEXT(G228,"yyyy-mm-dd"),'AI output'!C228)))+--(NOT(EXACT(H228,'AI output'!D228)))+--(NOT(EXACT(J228,'AI output'!E228)))+--(NOT(EXACT(K228,'AI output'!F228)))+--(N228&lt;&gt;'AI output'!L228)+--(NOT('AI output'!M228)),0)</f>
        <v>0</v>
      </c>
      <c r="Z228" s="1">
        <f t="shared" si="31"/>
        <v>0</v>
      </c>
      <c r="AA228" s="1">
        <f>--EXACT(A228,"L00222")</f>
        <v>1</v>
      </c>
    </row>
    <row r="229" spans="1:27" ht="18.95" customHeight="1">
      <c r="A229" s="1" t="str">
        <f>IF(Raw!A229="","",Raw!A229)</f>
        <v>L00223</v>
      </c>
      <c r="B229" s="1" t="str">
        <f>IF(Raw!B229="","",Raw!B229)</f>
        <v>T00112</v>
      </c>
      <c r="C229" s="1" t="str">
        <f>IF(Raw!C229="","",Raw!C229)</f>
        <v>2026-02-27</v>
      </c>
      <c r="D229" s="1">
        <f t="shared" si="24"/>
        <v>2026</v>
      </c>
      <c r="E229" s="1">
        <f>IFERROR(IF(AND(LEN(C229)=10,MID(C229,5,1)="-",MID(C229,8,1)="-"),VALUE(MID(C229,6,2)),IF(AND(LEN(C229)=11,MID(C229,3,1)="-",MID(C229,7,1)="-"),MATCH(UPPER(MID(C229,4,3)),Guide!$D$7:$D$18,0),0)),0)</f>
        <v>2</v>
      </c>
      <c r="F229" s="1">
        <f t="shared" si="25"/>
        <v>27</v>
      </c>
      <c r="G229" s="9">
        <f t="shared" si="26"/>
        <v>46080</v>
      </c>
      <c r="H229" s="1" t="str">
        <f>IF(Raw!D229="","",Raw!D229)</f>
        <v>P-A</v>
      </c>
      <c r="I229" s="1" t="str">
        <f>IFERROR(IF(EXACT(H229,INDEX(Guide!$A$7:$A$9,MATCH(SUBSTITUTE(SUBSTITUTE(SUBSTITUTE(H229,"~","~~"),"*","~*"),"?","~?"),Guide!$A$7:$A$9,0))),INDEX(Guide!$B$7:$B$9,MATCH(SUBSTITUTE(SUBSTITUTE(SUBSTITUTE(H229,"~","~~"),"*","~*"),"?","~?"),Guide!$A$7:$A$9,0)),""),"")</f>
        <v>Accessories</v>
      </c>
      <c r="J229" s="1" t="str">
        <f>IF(TRIM(Raw!E229)="",I229,IF(UPPER(TRIM(Raw!E229))=UPPER(I229),I229,""))</f>
        <v>Accessories</v>
      </c>
      <c r="K229" s="1" t="str">
        <f>IF(Raw!F229="","",Raw!F229)</f>
        <v>sale</v>
      </c>
      <c r="L229" s="1" t="str">
        <f>IF(LEFT(TRIM(Raw!G229),2)="-$","-"&amp;MID(TRIM(Raw!G229),3,99),IF(LEFT(TRIM(Raw!G229),1)="$",MID(TRIM(Raw!G229),2,99),TRIM(Raw!G229)))</f>
        <v>435.65</v>
      </c>
      <c r="M229" s="1">
        <f t="shared" si="27"/>
        <v>435.65</v>
      </c>
      <c r="N229" s="10">
        <f t="shared" si="28"/>
        <v>43565</v>
      </c>
      <c r="O229" s="1" t="b">
        <f>IFERROR(IF(ISNUMBER(Raw!G229),TRUE,OR(EXACT(L229,TEXT(M229,"0.00")),EXACT(L229,TEXT(M229,"#,##0.00")))),FALSE)</f>
        <v>1</v>
      </c>
      <c r="P229" s="1" t="str">
        <f>LEN(IF(Raw!A229="","",Raw!A229))&amp;":"&amp;IF(Raw!A229="","",Raw!A229)&amp;"|"&amp;LEN(IF(Raw!B229="","",Raw!B229))&amp;":"&amp;IF(Raw!B229="","",Raw!B229)&amp;"|"&amp;LEN(IF(Raw!C229="","",Raw!C229))&amp;":"&amp;IF(Raw!C229="","",Raw!C229)&amp;"|"&amp;LEN(IF(Raw!D229="","",Raw!D229))&amp;":"&amp;IF(Raw!D229="","",Raw!D229)&amp;"|"&amp;LEN(IF(Raw!E229="","",Raw!E229))&amp;":"&amp;IF(Raw!E229="","",Raw!E229)&amp;"|"&amp;LEN(IF(Raw!F229="","",Raw!F229))&amp;":"&amp;IF(Raw!F229="","",Raw!F229)&amp;"|"&amp;LEN(IF(Raw!G229="","",Raw!G229))&amp;":"&amp;IF(Raw!G229="","",Raw!G229)</f>
        <v>6:L00223|6:T00112|10:2026-02-27|3:P-A|11:Accessories|4:sale|6:435.65</v>
      </c>
      <c r="Q229" s="1">
        <f>1</f>
        <v>1</v>
      </c>
      <c r="R229" s="1" t="b">
        <f>FALSE</f>
        <v>0</v>
      </c>
      <c r="S229" s="1">
        <f>1</f>
        <v>1</v>
      </c>
      <c r="T229" s="1" t="str">
        <f>IF(AND(Raw!A229="",Raw!B229="",Raw!C229="",Raw!D229="",Raw!E229="",Raw!F229="",Raw!G229=""),"UNUSED",IF(A229="","missing line ID",IF(B229="","missing transaction ID",IF(G229="",IF(C229="","missing date","invalid date"),IF(I229="","unknown product",IF(J229="","conflicting category",IF(NOT(OR(EXACT(K229,"sale"),EXACT(K229,"refund"))),"unknown event",IF(OR(N229="",NOT(O229)),"invalid amount",IF(OR(AND(K229="sale",N229&lt;=0),AND(K229="refund",N229&gt;=0)),"invalid sign","")))))))))</f>
        <v/>
      </c>
      <c r="U229" s="1" t="str">
        <f t="shared" si="29"/>
        <v>INCLUDED</v>
      </c>
      <c r="V229" s="1" t="str">
        <f t="shared" si="30"/>
        <v>2026-02</v>
      </c>
      <c r="W229" s="1">
        <f>IF(AND(U229="INCLUDED",X229&gt;0,EXACT(A229,'AI output'!A229)),1,0)</f>
        <v>1</v>
      </c>
      <c r="X229" s="1">
        <f>229</f>
        <v>229</v>
      </c>
      <c r="Y229" s="1">
        <f>IF(AND(U229="INCLUDED",W229=1),--(NOT(EXACT(A229,'AI output'!A229)))+--(NOT(EXACT(B229,'AI output'!B229)))+--(NOT(EXACT(TEXT(G229,"yyyy-mm-dd"),'AI output'!C229)))+--(NOT(EXACT(H229,'AI output'!D229)))+--(NOT(EXACT(J229,'AI output'!E229)))+--(NOT(EXACT(K229,'AI output'!F229)))+--(N229&lt;&gt;'AI output'!L229)+--(NOT('AI output'!M229)),0)</f>
        <v>0</v>
      </c>
      <c r="Z229" s="1">
        <f t="shared" si="31"/>
        <v>0</v>
      </c>
      <c r="AA229" s="1">
        <f>--EXACT(A229,"L00223")</f>
        <v>1</v>
      </c>
    </row>
    <row r="230" spans="1:27" ht="18.95" customHeight="1">
      <c r="A230" s="1" t="str">
        <f>IF(Raw!A230="","",Raw!A230)</f>
        <v>L00224</v>
      </c>
      <c r="B230" s="1" t="str">
        <f>IF(Raw!B230="","",Raw!B230)</f>
        <v>T00112</v>
      </c>
      <c r="C230" s="1" t="str">
        <f>IF(Raw!C230="","",Raw!C230)</f>
        <v>2026-02-27</v>
      </c>
      <c r="D230" s="1">
        <f t="shared" si="24"/>
        <v>2026</v>
      </c>
      <c r="E230" s="1">
        <f>IFERROR(IF(AND(LEN(C230)=10,MID(C230,5,1)="-",MID(C230,8,1)="-"),VALUE(MID(C230,6,2)),IF(AND(LEN(C230)=11,MID(C230,3,1)="-",MID(C230,7,1)="-"),MATCH(UPPER(MID(C230,4,3)),Guide!$D$7:$D$18,0),0)),0)</f>
        <v>2</v>
      </c>
      <c r="F230" s="1">
        <f t="shared" si="25"/>
        <v>27</v>
      </c>
      <c r="G230" s="9">
        <f t="shared" si="26"/>
        <v>46080</v>
      </c>
      <c r="H230" s="1" t="str">
        <f>IF(Raw!D230="","",Raw!D230)</f>
        <v>P-H</v>
      </c>
      <c r="I230" s="1" t="str">
        <f>IFERROR(IF(EXACT(H230,INDEX(Guide!$A$7:$A$9,MATCH(SUBSTITUTE(SUBSTITUTE(SUBSTITUTE(H230,"~","~~"),"*","~*"),"?","~?"),Guide!$A$7:$A$9,0))),INDEX(Guide!$B$7:$B$9,MATCH(SUBSTITUTE(SUBSTITUTE(SUBSTITUTE(H230,"~","~~"),"*","~*"),"?","~?"),Guide!$A$7:$A$9,0)),""),"")</f>
        <v>Home</v>
      </c>
      <c r="J230" s="1" t="str">
        <f>IF(TRIM(Raw!E230)="",I230,IF(UPPER(TRIM(Raw!E230))=UPPER(I230),I230,""))</f>
        <v>Home</v>
      </c>
      <c r="K230" s="1" t="str">
        <f>IF(Raw!F230="","",Raw!F230)</f>
        <v>sale</v>
      </c>
      <c r="L230" s="1" t="str">
        <f>IF(LEFT(TRIM(Raw!G230),2)="-$","-"&amp;MID(TRIM(Raw!G230),3,99),IF(LEFT(TRIM(Raw!G230),1)="$",MID(TRIM(Raw!G230),2,99),TRIM(Raw!G230)))</f>
        <v>175.00</v>
      </c>
      <c r="M230" s="1">
        <f t="shared" si="27"/>
        <v>175</v>
      </c>
      <c r="N230" s="10">
        <f t="shared" si="28"/>
        <v>17500</v>
      </c>
      <c r="O230" s="1" t="b">
        <f>IFERROR(IF(ISNUMBER(Raw!G230),TRUE,OR(EXACT(L230,TEXT(M230,"0.00")),EXACT(L230,TEXT(M230,"#,##0.00")))),FALSE)</f>
        <v>1</v>
      </c>
      <c r="P230" s="1" t="str">
        <f>LEN(IF(Raw!A230="","",Raw!A230))&amp;":"&amp;IF(Raw!A230="","",Raw!A230)&amp;"|"&amp;LEN(IF(Raw!B230="","",Raw!B230))&amp;":"&amp;IF(Raw!B230="","",Raw!B230)&amp;"|"&amp;LEN(IF(Raw!C230="","",Raw!C230))&amp;":"&amp;IF(Raw!C230="","",Raw!C230)&amp;"|"&amp;LEN(IF(Raw!D230="","",Raw!D230))&amp;":"&amp;IF(Raw!D230="","",Raw!D230)&amp;"|"&amp;LEN(IF(Raw!E230="","",Raw!E230))&amp;":"&amp;IF(Raw!E230="","",Raw!E230)&amp;"|"&amp;LEN(IF(Raw!F230="","",Raw!F230))&amp;":"&amp;IF(Raw!F230="","",Raw!F230)&amp;"|"&amp;LEN(IF(Raw!G230="","",Raw!G230))&amp;":"&amp;IF(Raw!G230="","",Raw!G230)</f>
        <v>6:L00224|6:T00112|10:2026-02-27|3:P-H|4:Home|4:sale|6:175.00</v>
      </c>
      <c r="Q230" s="1">
        <f>1</f>
        <v>1</v>
      </c>
      <c r="R230" s="1" t="b">
        <f>FALSE</f>
        <v>0</v>
      </c>
      <c r="S230" s="1">
        <f>1</f>
        <v>1</v>
      </c>
      <c r="T230" s="1" t="str">
        <f>IF(AND(Raw!A230="",Raw!B230="",Raw!C230="",Raw!D230="",Raw!E230="",Raw!F230="",Raw!G230=""),"UNUSED",IF(A230="","missing line ID",IF(B230="","missing transaction ID",IF(G230="",IF(C230="","missing date","invalid date"),IF(I230="","unknown product",IF(J230="","conflicting category",IF(NOT(OR(EXACT(K230,"sale"),EXACT(K230,"refund"))),"unknown event",IF(OR(N230="",NOT(O230)),"invalid amount",IF(OR(AND(K230="sale",N230&lt;=0),AND(K230="refund",N230&gt;=0)),"invalid sign","")))))))))</f>
        <v/>
      </c>
      <c r="U230" s="1" t="str">
        <f t="shared" si="29"/>
        <v>INCLUDED</v>
      </c>
      <c r="V230" s="1" t="str">
        <f t="shared" si="30"/>
        <v>2026-02</v>
      </c>
      <c r="W230" s="1">
        <f>IF(AND(U230="INCLUDED",X230&gt;0,EXACT(A230,'AI output'!A230)),1,0)</f>
        <v>1</v>
      </c>
      <c r="X230" s="1">
        <f>230</f>
        <v>230</v>
      </c>
      <c r="Y230" s="1">
        <f>IF(AND(U230="INCLUDED",W230=1),--(NOT(EXACT(A230,'AI output'!A230)))+--(NOT(EXACT(B230,'AI output'!B230)))+--(NOT(EXACT(TEXT(G230,"yyyy-mm-dd"),'AI output'!C230)))+--(NOT(EXACT(H230,'AI output'!D230)))+--(NOT(EXACT(J230,'AI output'!E230)))+--(NOT(EXACT(K230,'AI output'!F230)))+--(N230&lt;&gt;'AI output'!L230)+--(NOT('AI output'!M230)),0)</f>
        <v>0</v>
      </c>
      <c r="Z230" s="1">
        <f t="shared" si="31"/>
        <v>0</v>
      </c>
      <c r="AA230" s="1">
        <f>--EXACT(A230,"L00224")</f>
        <v>1</v>
      </c>
    </row>
    <row r="231" spans="1:27" ht="18.95" customHeight="1">
      <c r="A231" s="1" t="str">
        <f>IF(Raw!A231="","",Raw!A231)</f>
        <v>L00225</v>
      </c>
      <c r="B231" s="1" t="str">
        <f>IF(Raw!B231="","",Raw!B231)</f>
        <v>T00113</v>
      </c>
      <c r="C231" s="1" t="str">
        <f>IF(Raw!C231="","",Raw!C231)</f>
        <v>2026-03-06</v>
      </c>
      <c r="D231" s="1">
        <f t="shared" si="24"/>
        <v>2026</v>
      </c>
      <c r="E231" s="1">
        <f>IFERROR(IF(AND(LEN(C231)=10,MID(C231,5,1)="-",MID(C231,8,1)="-"),VALUE(MID(C231,6,2)),IF(AND(LEN(C231)=11,MID(C231,3,1)="-",MID(C231,7,1)="-"),MATCH(UPPER(MID(C231,4,3)),Guide!$D$7:$D$18,0),0)),0)</f>
        <v>3</v>
      </c>
      <c r="F231" s="1">
        <f t="shared" si="25"/>
        <v>6</v>
      </c>
      <c r="G231" s="9">
        <f t="shared" si="26"/>
        <v>46087</v>
      </c>
      <c r="H231" s="1" t="str">
        <f>IF(Raw!D231="","",Raw!D231)</f>
        <v>P-O</v>
      </c>
      <c r="I231" s="1" t="str">
        <f>IFERROR(IF(EXACT(H231,INDEX(Guide!$A$7:$A$9,MATCH(SUBSTITUTE(SUBSTITUTE(SUBSTITUTE(H231,"~","~~"),"*","~*"),"?","~?"),Guide!$A$7:$A$9,0))),INDEX(Guide!$B$7:$B$9,MATCH(SUBSTITUTE(SUBSTITUTE(SUBSTITUTE(H231,"~","~~"),"*","~*"),"?","~?"),Guide!$A$7:$A$9,0)),""),"")</f>
        <v>Office</v>
      </c>
      <c r="J231" s="1" t="str">
        <f>IF(TRIM(Raw!E231)="",I231,IF(UPPER(TRIM(Raw!E231))=UPPER(I231),I231,""))</f>
        <v>Office</v>
      </c>
      <c r="K231" s="1" t="str">
        <f>IF(Raw!F231="","",Raw!F231)</f>
        <v>sale</v>
      </c>
      <c r="L231" s="1" t="str">
        <f>IF(LEFT(TRIM(Raw!G231),2)="-$","-"&amp;MID(TRIM(Raw!G231),3,99),IF(LEFT(TRIM(Raw!G231),1)="$",MID(TRIM(Raw!G231),2,99),TRIM(Raw!G231)))</f>
        <v>351.48</v>
      </c>
      <c r="M231" s="1">
        <f t="shared" si="27"/>
        <v>351.48</v>
      </c>
      <c r="N231" s="10">
        <f t="shared" si="28"/>
        <v>35148</v>
      </c>
      <c r="O231" s="1" t="b">
        <f>IFERROR(IF(ISNUMBER(Raw!G231),TRUE,OR(EXACT(L231,TEXT(M231,"0.00")),EXACT(L231,TEXT(M231,"#,##0.00")))),FALSE)</f>
        <v>1</v>
      </c>
      <c r="P231" s="1" t="str">
        <f>LEN(IF(Raw!A231="","",Raw!A231))&amp;":"&amp;IF(Raw!A231="","",Raw!A231)&amp;"|"&amp;LEN(IF(Raw!B231="","",Raw!B231))&amp;":"&amp;IF(Raw!B231="","",Raw!B231)&amp;"|"&amp;LEN(IF(Raw!C231="","",Raw!C231))&amp;":"&amp;IF(Raw!C231="","",Raw!C231)&amp;"|"&amp;LEN(IF(Raw!D231="","",Raw!D231))&amp;":"&amp;IF(Raw!D231="","",Raw!D231)&amp;"|"&amp;LEN(IF(Raw!E231="","",Raw!E231))&amp;":"&amp;IF(Raw!E231="","",Raw!E231)&amp;"|"&amp;LEN(IF(Raw!F231="","",Raw!F231))&amp;":"&amp;IF(Raw!F231="","",Raw!F231)&amp;"|"&amp;LEN(IF(Raw!G231="","",Raw!G231))&amp;":"&amp;IF(Raw!G231="","",Raw!G231)</f>
        <v>6:L00225|6:T00113|10:2026-03-06|3:P-O|6:Office|4:sale|6:351.48</v>
      </c>
      <c r="Q231" s="1">
        <f>1</f>
        <v>1</v>
      </c>
      <c r="R231" s="1" t="b">
        <f>FALSE</f>
        <v>0</v>
      </c>
      <c r="S231" s="1">
        <f>1</f>
        <v>1</v>
      </c>
      <c r="T231" s="1" t="str">
        <f>IF(AND(Raw!A231="",Raw!B231="",Raw!C231="",Raw!D231="",Raw!E231="",Raw!F231="",Raw!G231=""),"UNUSED",IF(A231="","missing line ID",IF(B231="","missing transaction ID",IF(G231="",IF(C231="","missing date","invalid date"),IF(I231="","unknown product",IF(J231="","conflicting category",IF(NOT(OR(EXACT(K231,"sale"),EXACT(K231,"refund"))),"unknown event",IF(OR(N231="",NOT(O231)),"invalid amount",IF(OR(AND(K231="sale",N231&lt;=0),AND(K231="refund",N231&gt;=0)),"invalid sign","")))))))))</f>
        <v/>
      </c>
      <c r="U231" s="1" t="str">
        <f t="shared" si="29"/>
        <v>INCLUDED</v>
      </c>
      <c r="V231" s="1" t="str">
        <f t="shared" si="30"/>
        <v>2026-03</v>
      </c>
      <c r="W231" s="1">
        <f>IF(AND(U231="INCLUDED",X231&gt;0,EXACT(A231,'AI output'!A231)),1,0)</f>
        <v>1</v>
      </c>
      <c r="X231" s="1">
        <f>231</f>
        <v>231</v>
      </c>
      <c r="Y231" s="1">
        <f>IF(AND(U231="INCLUDED",W231=1),--(NOT(EXACT(A231,'AI output'!A231)))+--(NOT(EXACT(B231,'AI output'!B231)))+--(NOT(EXACT(TEXT(G231,"yyyy-mm-dd"),'AI output'!C231)))+--(NOT(EXACT(H231,'AI output'!D231)))+--(NOT(EXACT(J231,'AI output'!E231)))+--(NOT(EXACT(K231,'AI output'!F231)))+--(N231&lt;&gt;'AI output'!L231)+--(NOT('AI output'!M231)),0)</f>
        <v>0</v>
      </c>
      <c r="Z231" s="1">
        <f t="shared" si="31"/>
        <v>0</v>
      </c>
      <c r="AA231" s="1">
        <f>--EXACT(A231,"L00225")</f>
        <v>1</v>
      </c>
    </row>
    <row r="232" spans="1:27" ht="18.95" customHeight="1">
      <c r="A232" s="1" t="str">
        <f>IF(Raw!A232="","",Raw!A232)</f>
        <v>L00226</v>
      </c>
      <c r="B232" s="1" t="str">
        <f>IF(Raw!B232="","",Raw!B232)</f>
        <v>T00113</v>
      </c>
      <c r="C232" s="1" t="str">
        <f>IF(Raw!C232="","",Raw!C232)</f>
        <v>2026-03-06</v>
      </c>
      <c r="D232" s="1">
        <f t="shared" si="24"/>
        <v>2026</v>
      </c>
      <c r="E232" s="1">
        <f>IFERROR(IF(AND(LEN(C232)=10,MID(C232,5,1)="-",MID(C232,8,1)="-"),VALUE(MID(C232,6,2)),IF(AND(LEN(C232)=11,MID(C232,3,1)="-",MID(C232,7,1)="-"),MATCH(UPPER(MID(C232,4,3)),Guide!$D$7:$D$18,0),0)),0)</f>
        <v>3</v>
      </c>
      <c r="F232" s="1">
        <f t="shared" si="25"/>
        <v>6</v>
      </c>
      <c r="G232" s="9">
        <f t="shared" si="26"/>
        <v>46087</v>
      </c>
      <c r="H232" s="1" t="str">
        <f>IF(Raw!D232="","",Raw!D232)</f>
        <v>P-A</v>
      </c>
      <c r="I232" s="1" t="str">
        <f>IFERROR(IF(EXACT(H232,INDEX(Guide!$A$7:$A$9,MATCH(SUBSTITUTE(SUBSTITUTE(SUBSTITUTE(H232,"~","~~"),"*","~*"),"?","~?"),Guide!$A$7:$A$9,0))),INDEX(Guide!$B$7:$B$9,MATCH(SUBSTITUTE(SUBSTITUTE(SUBSTITUTE(H232,"~","~~"),"*","~*"),"?","~?"),Guide!$A$7:$A$9,0)),""),"")</f>
        <v>Accessories</v>
      </c>
      <c r="J232" s="1" t="str">
        <f>IF(TRIM(Raw!E232)="",I232,IF(UPPER(TRIM(Raw!E232))=UPPER(I232),I232,""))</f>
        <v>Accessories</v>
      </c>
      <c r="K232" s="1" t="str">
        <f>IF(Raw!F232="","",Raw!F232)</f>
        <v>sale</v>
      </c>
      <c r="L232" s="1" t="str">
        <f>IF(LEFT(TRIM(Raw!G232),2)="-$","-"&amp;MID(TRIM(Raw!G232),3,99),IF(LEFT(TRIM(Raw!G232),1)="$",MID(TRIM(Raw!G232),2,99),TRIM(Raw!G232)))</f>
        <v>88.24</v>
      </c>
      <c r="M232" s="1">
        <f t="shared" si="27"/>
        <v>88.24</v>
      </c>
      <c r="N232" s="10">
        <f t="shared" si="28"/>
        <v>8824</v>
      </c>
      <c r="O232" s="1" t="b">
        <f>IFERROR(IF(ISNUMBER(Raw!G232),TRUE,OR(EXACT(L232,TEXT(M232,"0.00")),EXACT(L232,TEXT(M232,"#,##0.00")))),FALSE)</f>
        <v>1</v>
      </c>
      <c r="P232" s="1" t="str">
        <f>LEN(IF(Raw!A232="","",Raw!A232))&amp;":"&amp;IF(Raw!A232="","",Raw!A232)&amp;"|"&amp;LEN(IF(Raw!B232="","",Raw!B232))&amp;":"&amp;IF(Raw!B232="","",Raw!B232)&amp;"|"&amp;LEN(IF(Raw!C232="","",Raw!C232))&amp;":"&amp;IF(Raw!C232="","",Raw!C232)&amp;"|"&amp;LEN(IF(Raw!D232="","",Raw!D232))&amp;":"&amp;IF(Raw!D232="","",Raw!D232)&amp;"|"&amp;LEN(IF(Raw!E232="","",Raw!E232))&amp;":"&amp;IF(Raw!E232="","",Raw!E232)&amp;"|"&amp;LEN(IF(Raw!F232="","",Raw!F232))&amp;":"&amp;IF(Raw!F232="","",Raw!F232)&amp;"|"&amp;LEN(IF(Raw!G232="","",Raw!G232))&amp;":"&amp;IF(Raw!G232="","",Raw!G232)</f>
        <v>6:L00226|6:T00113|10:2026-03-06|3:P-A|11:Accessories|4:sale|5:88.24</v>
      </c>
      <c r="Q232" s="1">
        <f>1</f>
        <v>1</v>
      </c>
      <c r="R232" s="1" t="b">
        <f>FALSE</f>
        <v>0</v>
      </c>
      <c r="S232" s="1">
        <f>1</f>
        <v>1</v>
      </c>
      <c r="T232" s="1" t="str">
        <f>IF(AND(Raw!A232="",Raw!B232="",Raw!C232="",Raw!D232="",Raw!E232="",Raw!F232="",Raw!G232=""),"UNUSED",IF(A232="","missing line ID",IF(B232="","missing transaction ID",IF(G232="",IF(C232="","missing date","invalid date"),IF(I232="","unknown product",IF(J232="","conflicting category",IF(NOT(OR(EXACT(K232,"sale"),EXACT(K232,"refund"))),"unknown event",IF(OR(N232="",NOT(O232)),"invalid amount",IF(OR(AND(K232="sale",N232&lt;=0),AND(K232="refund",N232&gt;=0)),"invalid sign","")))))))))</f>
        <v/>
      </c>
      <c r="U232" s="1" t="str">
        <f t="shared" si="29"/>
        <v>INCLUDED</v>
      </c>
      <c r="V232" s="1" t="str">
        <f t="shared" si="30"/>
        <v>2026-03</v>
      </c>
      <c r="W232" s="1">
        <f>IF(AND(U232="INCLUDED",X232&gt;0,EXACT(A232,'AI output'!A232)),1,0)</f>
        <v>1</v>
      </c>
      <c r="X232" s="1">
        <f>232</f>
        <v>232</v>
      </c>
      <c r="Y232" s="1">
        <f>IF(AND(U232="INCLUDED",W232=1),--(NOT(EXACT(A232,'AI output'!A232)))+--(NOT(EXACT(B232,'AI output'!B232)))+--(NOT(EXACT(TEXT(G232,"yyyy-mm-dd"),'AI output'!C232)))+--(NOT(EXACT(H232,'AI output'!D232)))+--(NOT(EXACT(J232,'AI output'!E232)))+--(NOT(EXACT(K232,'AI output'!F232)))+--(N232&lt;&gt;'AI output'!L232)+--(NOT('AI output'!M232)),0)</f>
        <v>0</v>
      </c>
      <c r="Z232" s="1">
        <f t="shared" si="31"/>
        <v>0</v>
      </c>
      <c r="AA232" s="1">
        <f>--EXACT(A232,"L00226")</f>
        <v>1</v>
      </c>
    </row>
    <row r="233" spans="1:27" ht="18.95" customHeight="1">
      <c r="A233" s="1" t="str">
        <f>IF(Raw!A233="","",Raw!A233)</f>
        <v>L00227</v>
      </c>
      <c r="B233" s="1" t="str">
        <f>IF(Raw!B233="","",Raw!B233)</f>
        <v>T00114</v>
      </c>
      <c r="C233" s="1" t="str">
        <f>IF(Raw!C233="","",Raw!C233)</f>
        <v>2026-03-13</v>
      </c>
      <c r="D233" s="1">
        <f t="shared" si="24"/>
        <v>2026</v>
      </c>
      <c r="E233" s="1">
        <f>IFERROR(IF(AND(LEN(C233)=10,MID(C233,5,1)="-",MID(C233,8,1)="-"),VALUE(MID(C233,6,2)),IF(AND(LEN(C233)=11,MID(C233,3,1)="-",MID(C233,7,1)="-"),MATCH(UPPER(MID(C233,4,3)),Guide!$D$7:$D$18,0),0)),0)</f>
        <v>3</v>
      </c>
      <c r="F233" s="1">
        <f t="shared" si="25"/>
        <v>13</v>
      </c>
      <c r="G233" s="9">
        <f t="shared" si="26"/>
        <v>46094</v>
      </c>
      <c r="H233" s="1" t="str">
        <f>IF(Raw!D233="","",Raw!D233)</f>
        <v>P-H</v>
      </c>
      <c r="I233" s="1" t="str">
        <f>IFERROR(IF(EXACT(H233,INDEX(Guide!$A$7:$A$9,MATCH(SUBSTITUTE(SUBSTITUTE(SUBSTITUTE(H233,"~","~~"),"*","~*"),"?","~?"),Guide!$A$7:$A$9,0))),INDEX(Guide!$B$7:$B$9,MATCH(SUBSTITUTE(SUBSTITUTE(SUBSTITUTE(H233,"~","~~"),"*","~*"),"?","~?"),Guide!$A$7:$A$9,0)),""),"")</f>
        <v>Home</v>
      </c>
      <c r="J233" s="1" t="str">
        <f>IF(TRIM(Raw!E233)="",I233,IF(UPPER(TRIM(Raw!E233))=UPPER(I233),I233,""))</f>
        <v>Home</v>
      </c>
      <c r="K233" s="1" t="str">
        <f>IF(Raw!F233="","",Raw!F233)</f>
        <v>sale</v>
      </c>
      <c r="L233" s="1" t="str">
        <f>IF(LEFT(TRIM(Raw!G233),2)="-$","-"&amp;MID(TRIM(Raw!G233),3,99),IF(LEFT(TRIM(Raw!G233),1)="$",MID(TRIM(Raw!G233),2,99),TRIM(Raw!G233)))</f>
        <v>265.83</v>
      </c>
      <c r="M233" s="1">
        <f t="shared" si="27"/>
        <v>265.83</v>
      </c>
      <c r="N233" s="10">
        <f t="shared" si="28"/>
        <v>26583</v>
      </c>
      <c r="O233" s="1" t="b">
        <f>IFERROR(IF(ISNUMBER(Raw!G233),TRUE,OR(EXACT(L233,TEXT(M233,"0.00")),EXACT(L233,TEXT(M233,"#,##0.00")))),FALSE)</f>
        <v>1</v>
      </c>
      <c r="P233" s="1" t="str">
        <f>LEN(IF(Raw!A233="","",Raw!A233))&amp;":"&amp;IF(Raw!A233="","",Raw!A233)&amp;"|"&amp;LEN(IF(Raw!B233="","",Raw!B233))&amp;":"&amp;IF(Raw!B233="","",Raw!B233)&amp;"|"&amp;LEN(IF(Raw!C233="","",Raw!C233))&amp;":"&amp;IF(Raw!C233="","",Raw!C233)&amp;"|"&amp;LEN(IF(Raw!D233="","",Raw!D233))&amp;":"&amp;IF(Raw!D233="","",Raw!D233)&amp;"|"&amp;LEN(IF(Raw!E233="","",Raw!E233))&amp;":"&amp;IF(Raw!E233="","",Raw!E233)&amp;"|"&amp;LEN(IF(Raw!F233="","",Raw!F233))&amp;":"&amp;IF(Raw!F233="","",Raw!F233)&amp;"|"&amp;LEN(IF(Raw!G233="","",Raw!G233))&amp;":"&amp;IF(Raw!G233="","",Raw!G233)</f>
        <v>6:L00227|6:T00114|10:2026-03-13|3:P-H|4:Home|4:sale|6:265.83</v>
      </c>
      <c r="Q233" s="1">
        <f>1</f>
        <v>1</v>
      </c>
      <c r="R233" s="1" t="b">
        <f>FALSE</f>
        <v>0</v>
      </c>
      <c r="S233" s="1">
        <f>1</f>
        <v>1</v>
      </c>
      <c r="T233" s="1" t="str">
        <f>IF(AND(Raw!A233="",Raw!B233="",Raw!C233="",Raw!D233="",Raw!E233="",Raw!F233="",Raw!G233=""),"UNUSED",IF(A233="","missing line ID",IF(B233="","missing transaction ID",IF(G233="",IF(C233="","missing date","invalid date"),IF(I233="","unknown product",IF(J233="","conflicting category",IF(NOT(OR(EXACT(K233,"sale"),EXACT(K233,"refund"))),"unknown event",IF(OR(N233="",NOT(O233)),"invalid amount",IF(OR(AND(K233="sale",N233&lt;=0),AND(K233="refund",N233&gt;=0)),"invalid sign","")))))))))</f>
        <v/>
      </c>
      <c r="U233" s="1" t="str">
        <f t="shared" si="29"/>
        <v>INCLUDED</v>
      </c>
      <c r="V233" s="1" t="str">
        <f t="shared" si="30"/>
        <v>2026-03</v>
      </c>
      <c r="W233" s="1">
        <f>IF(AND(U233="INCLUDED",X233&gt;0,EXACT(A233,'AI output'!A233)),1,0)</f>
        <v>1</v>
      </c>
      <c r="X233" s="1">
        <f>233</f>
        <v>233</v>
      </c>
      <c r="Y233" s="1">
        <f>IF(AND(U233="INCLUDED",W233=1),--(NOT(EXACT(A233,'AI output'!A233)))+--(NOT(EXACT(B233,'AI output'!B233)))+--(NOT(EXACT(TEXT(G233,"yyyy-mm-dd"),'AI output'!C233)))+--(NOT(EXACT(H233,'AI output'!D233)))+--(NOT(EXACT(J233,'AI output'!E233)))+--(NOT(EXACT(K233,'AI output'!F233)))+--(N233&lt;&gt;'AI output'!L233)+--(NOT('AI output'!M233)),0)</f>
        <v>0</v>
      </c>
      <c r="Z233" s="1">
        <f t="shared" si="31"/>
        <v>0</v>
      </c>
      <c r="AA233" s="1">
        <f>--EXACT(A233,"L00227")</f>
        <v>1</v>
      </c>
    </row>
    <row r="234" spans="1:27" ht="18.95" customHeight="1">
      <c r="A234" s="1" t="str">
        <f>IF(Raw!A234="","",Raw!A234)</f>
        <v>L00228</v>
      </c>
      <c r="B234" s="1" t="str">
        <f>IF(Raw!B234="","",Raw!B234)</f>
        <v>T00114</v>
      </c>
      <c r="C234" s="1" t="str">
        <f>IF(Raw!C234="","",Raw!C234)</f>
        <v>2026-03-13</v>
      </c>
      <c r="D234" s="1">
        <f t="shared" si="24"/>
        <v>2026</v>
      </c>
      <c r="E234" s="1">
        <f>IFERROR(IF(AND(LEN(C234)=10,MID(C234,5,1)="-",MID(C234,8,1)="-"),VALUE(MID(C234,6,2)),IF(AND(LEN(C234)=11,MID(C234,3,1)="-",MID(C234,7,1)="-"),MATCH(UPPER(MID(C234,4,3)),Guide!$D$7:$D$18,0),0)),0)</f>
        <v>3</v>
      </c>
      <c r="F234" s="1">
        <f t="shared" si="25"/>
        <v>13</v>
      </c>
      <c r="G234" s="9">
        <f t="shared" si="26"/>
        <v>46094</v>
      </c>
      <c r="H234" s="1" t="str">
        <f>IF(Raw!D234="","",Raw!D234)</f>
        <v>P-O</v>
      </c>
      <c r="I234" s="1" t="str">
        <f>IFERROR(IF(EXACT(H234,INDEX(Guide!$A$7:$A$9,MATCH(SUBSTITUTE(SUBSTITUTE(SUBSTITUTE(H234,"~","~~"),"*","~*"),"?","~?"),Guide!$A$7:$A$9,0))),INDEX(Guide!$B$7:$B$9,MATCH(SUBSTITUTE(SUBSTITUTE(SUBSTITUTE(H234,"~","~~"),"*","~*"),"?","~?"),Guide!$A$7:$A$9,0)),""),"")</f>
        <v>Office</v>
      </c>
      <c r="J234" s="1" t="str">
        <f>IF(TRIM(Raw!E234)="",I234,IF(UPPER(TRIM(Raw!E234))=UPPER(I234),I234,""))</f>
        <v>Office</v>
      </c>
      <c r="K234" s="1" t="str">
        <f>IF(Raw!F234="","",Raw!F234)</f>
        <v>sale</v>
      </c>
      <c r="L234" s="1" t="str">
        <f>IF(LEFT(TRIM(Raw!G234),2)="-$","-"&amp;MID(TRIM(Raw!G234),3,99),IF(LEFT(TRIM(Raw!G234),1)="$",MID(TRIM(Raw!G234),2,99),TRIM(Raw!G234)))</f>
        <v>444.90</v>
      </c>
      <c r="M234" s="1">
        <f t="shared" si="27"/>
        <v>444.9</v>
      </c>
      <c r="N234" s="10">
        <f t="shared" si="28"/>
        <v>44490</v>
      </c>
      <c r="O234" s="1" t="b">
        <f>IFERROR(IF(ISNUMBER(Raw!G234),TRUE,OR(EXACT(L234,TEXT(M234,"0.00")),EXACT(L234,TEXT(M234,"#,##0.00")))),FALSE)</f>
        <v>1</v>
      </c>
      <c r="P234" s="1" t="str">
        <f>LEN(IF(Raw!A234="","",Raw!A234))&amp;":"&amp;IF(Raw!A234="","",Raw!A234)&amp;"|"&amp;LEN(IF(Raw!B234="","",Raw!B234))&amp;":"&amp;IF(Raw!B234="","",Raw!B234)&amp;"|"&amp;LEN(IF(Raw!C234="","",Raw!C234))&amp;":"&amp;IF(Raw!C234="","",Raw!C234)&amp;"|"&amp;LEN(IF(Raw!D234="","",Raw!D234))&amp;":"&amp;IF(Raw!D234="","",Raw!D234)&amp;"|"&amp;LEN(IF(Raw!E234="","",Raw!E234))&amp;":"&amp;IF(Raw!E234="","",Raw!E234)&amp;"|"&amp;LEN(IF(Raw!F234="","",Raw!F234))&amp;":"&amp;IF(Raw!F234="","",Raw!F234)&amp;"|"&amp;LEN(IF(Raw!G234="","",Raw!G234))&amp;":"&amp;IF(Raw!G234="","",Raw!G234)</f>
        <v>6:L00228|6:T00114|10:2026-03-13|3:P-O|6:Office|4:sale|6:444.90</v>
      </c>
      <c r="Q234" s="1">
        <f>1</f>
        <v>1</v>
      </c>
      <c r="R234" s="1" t="b">
        <f>FALSE</f>
        <v>0</v>
      </c>
      <c r="S234" s="1">
        <f>1</f>
        <v>1</v>
      </c>
      <c r="T234" s="1" t="str">
        <f>IF(AND(Raw!A234="",Raw!B234="",Raw!C234="",Raw!D234="",Raw!E234="",Raw!F234="",Raw!G234=""),"UNUSED",IF(A234="","missing line ID",IF(B234="","missing transaction ID",IF(G234="",IF(C234="","missing date","invalid date"),IF(I234="","unknown product",IF(J234="","conflicting category",IF(NOT(OR(EXACT(K234,"sale"),EXACT(K234,"refund"))),"unknown event",IF(OR(N234="",NOT(O234)),"invalid amount",IF(OR(AND(K234="sale",N234&lt;=0),AND(K234="refund",N234&gt;=0)),"invalid sign","")))))))))</f>
        <v/>
      </c>
      <c r="U234" s="1" t="str">
        <f t="shared" si="29"/>
        <v>INCLUDED</v>
      </c>
      <c r="V234" s="1" t="str">
        <f t="shared" si="30"/>
        <v>2026-03</v>
      </c>
      <c r="W234" s="1">
        <f>IF(AND(U234="INCLUDED",X234&gt;0,EXACT(A234,'AI output'!A234)),1,0)</f>
        <v>1</v>
      </c>
      <c r="X234" s="1">
        <f>234</f>
        <v>234</v>
      </c>
      <c r="Y234" s="1">
        <f>IF(AND(U234="INCLUDED",W234=1),--(NOT(EXACT(A234,'AI output'!A234)))+--(NOT(EXACT(B234,'AI output'!B234)))+--(NOT(EXACT(TEXT(G234,"yyyy-mm-dd"),'AI output'!C234)))+--(NOT(EXACT(H234,'AI output'!D234)))+--(NOT(EXACT(J234,'AI output'!E234)))+--(NOT(EXACT(K234,'AI output'!F234)))+--(N234&lt;&gt;'AI output'!L234)+--(NOT('AI output'!M234)),0)</f>
        <v>0</v>
      </c>
      <c r="Z234" s="1">
        <f t="shared" si="31"/>
        <v>0</v>
      </c>
      <c r="AA234" s="1">
        <f>--EXACT(A234,"L00228")</f>
        <v>1</v>
      </c>
    </row>
    <row r="235" spans="1:27" ht="18.95" customHeight="1">
      <c r="A235" s="1" t="str">
        <f>IF(Raw!A235="","",Raw!A235)</f>
        <v>L00229</v>
      </c>
      <c r="B235" s="1" t="str">
        <f>IF(Raw!B235="","",Raw!B235)</f>
        <v>T00115</v>
      </c>
      <c r="C235" s="1" t="str">
        <f>IF(Raw!C235="","",Raw!C235)</f>
        <v>2026-03-20</v>
      </c>
      <c r="D235" s="1">
        <f t="shared" si="24"/>
        <v>2026</v>
      </c>
      <c r="E235" s="1">
        <f>IFERROR(IF(AND(LEN(C235)=10,MID(C235,5,1)="-",MID(C235,8,1)="-"),VALUE(MID(C235,6,2)),IF(AND(LEN(C235)=11,MID(C235,3,1)="-",MID(C235,7,1)="-"),MATCH(UPPER(MID(C235,4,3)),Guide!$D$7:$D$18,0),0)),0)</f>
        <v>3</v>
      </c>
      <c r="F235" s="1">
        <f t="shared" si="25"/>
        <v>20</v>
      </c>
      <c r="G235" s="9">
        <f t="shared" si="26"/>
        <v>46101</v>
      </c>
      <c r="H235" s="1" t="str">
        <f>IF(Raw!D235="","",Raw!D235)</f>
        <v>P-A</v>
      </c>
      <c r="I235" s="1" t="str">
        <f>IFERROR(IF(EXACT(H235,INDEX(Guide!$A$7:$A$9,MATCH(SUBSTITUTE(SUBSTITUTE(SUBSTITUTE(H235,"~","~~"),"*","~*"),"?","~?"),Guide!$A$7:$A$9,0))),INDEX(Guide!$B$7:$B$9,MATCH(SUBSTITUTE(SUBSTITUTE(SUBSTITUTE(H235,"~","~~"),"*","~*"),"?","~?"),Guide!$A$7:$A$9,0)),""),"")</f>
        <v>Accessories</v>
      </c>
      <c r="J235" s="1" t="str">
        <f>IF(TRIM(Raw!E235)="",I235,IF(UPPER(TRIM(Raw!E235))=UPPER(I235),I235,""))</f>
        <v>Accessories</v>
      </c>
      <c r="K235" s="1" t="str">
        <f>IF(Raw!F235="","",Raw!F235)</f>
        <v>sale</v>
      </c>
      <c r="L235" s="1" t="str">
        <f>IF(LEFT(TRIM(Raw!G235),2)="-$","-"&amp;MID(TRIM(Raw!G235),3,99),IF(LEFT(TRIM(Raw!G235),1)="$",MID(TRIM(Raw!G235),2,99),TRIM(Raw!G235)))</f>
        <v>178.70</v>
      </c>
      <c r="M235" s="1">
        <f t="shared" si="27"/>
        <v>178.7</v>
      </c>
      <c r="N235" s="10">
        <f t="shared" si="28"/>
        <v>17870</v>
      </c>
      <c r="O235" s="1" t="b">
        <f>IFERROR(IF(ISNUMBER(Raw!G235),TRUE,OR(EXACT(L235,TEXT(M235,"0.00")),EXACT(L235,TEXT(M235,"#,##0.00")))),FALSE)</f>
        <v>1</v>
      </c>
      <c r="P235" s="1" t="str">
        <f>LEN(IF(Raw!A235="","",Raw!A235))&amp;":"&amp;IF(Raw!A235="","",Raw!A235)&amp;"|"&amp;LEN(IF(Raw!B235="","",Raw!B235))&amp;":"&amp;IF(Raw!B235="","",Raw!B235)&amp;"|"&amp;LEN(IF(Raw!C235="","",Raw!C235))&amp;":"&amp;IF(Raw!C235="","",Raw!C235)&amp;"|"&amp;LEN(IF(Raw!D235="","",Raw!D235))&amp;":"&amp;IF(Raw!D235="","",Raw!D235)&amp;"|"&amp;LEN(IF(Raw!E235="","",Raw!E235))&amp;":"&amp;IF(Raw!E235="","",Raw!E235)&amp;"|"&amp;LEN(IF(Raw!F235="","",Raw!F235))&amp;":"&amp;IF(Raw!F235="","",Raw!F235)&amp;"|"&amp;LEN(IF(Raw!G235="","",Raw!G235))&amp;":"&amp;IF(Raw!G235="","",Raw!G235)</f>
        <v>6:L00229|6:T00115|10:2026-03-20|3:P-A|11:Accessories|4:sale|7:$178.70</v>
      </c>
      <c r="Q235" s="1">
        <f>1</f>
        <v>1</v>
      </c>
      <c r="R235" s="1" t="b">
        <f>FALSE</f>
        <v>0</v>
      </c>
      <c r="S235" s="1">
        <f>1</f>
        <v>1</v>
      </c>
      <c r="T235" s="1" t="str">
        <f>IF(AND(Raw!A235="",Raw!B235="",Raw!C235="",Raw!D235="",Raw!E235="",Raw!F235="",Raw!G235=""),"UNUSED",IF(A235="","missing line ID",IF(B235="","missing transaction ID",IF(G235="",IF(C235="","missing date","invalid date"),IF(I235="","unknown product",IF(J235="","conflicting category",IF(NOT(OR(EXACT(K235,"sale"),EXACT(K235,"refund"))),"unknown event",IF(OR(N235="",NOT(O235)),"invalid amount",IF(OR(AND(K235="sale",N235&lt;=0),AND(K235="refund",N235&gt;=0)),"invalid sign","")))))))))</f>
        <v/>
      </c>
      <c r="U235" s="1" t="str">
        <f t="shared" si="29"/>
        <v>INCLUDED</v>
      </c>
      <c r="V235" s="1" t="str">
        <f t="shared" si="30"/>
        <v>2026-03</v>
      </c>
      <c r="W235" s="1">
        <f>IF(AND(U235="INCLUDED",X235&gt;0,EXACT(A235,'AI output'!A235)),1,0)</f>
        <v>1</v>
      </c>
      <c r="X235" s="1">
        <f>235</f>
        <v>235</v>
      </c>
      <c r="Y235" s="1">
        <f>IF(AND(U235="INCLUDED",W235=1),--(NOT(EXACT(A235,'AI output'!A235)))+--(NOT(EXACT(B235,'AI output'!B235)))+--(NOT(EXACT(TEXT(G235,"yyyy-mm-dd"),'AI output'!C235)))+--(NOT(EXACT(H235,'AI output'!D235)))+--(NOT(EXACT(J235,'AI output'!E235)))+--(NOT(EXACT(K235,'AI output'!F235)))+--(N235&lt;&gt;'AI output'!L235)+--(NOT('AI output'!M235)),0)</f>
        <v>0</v>
      </c>
      <c r="Z235" s="1">
        <f t="shared" si="31"/>
        <v>0</v>
      </c>
      <c r="AA235" s="1">
        <f>--EXACT(A235,"L00229")</f>
        <v>1</v>
      </c>
    </row>
    <row r="236" spans="1:27" ht="18.95" customHeight="1">
      <c r="A236" s="1" t="str">
        <f>IF(Raw!A236="","",Raw!A236)</f>
        <v>L00230</v>
      </c>
      <c r="B236" s="1" t="str">
        <f>IF(Raw!B236="","",Raw!B236)</f>
        <v>T00115</v>
      </c>
      <c r="C236" s="1" t="str">
        <f>IF(Raw!C236="","",Raw!C236)</f>
        <v>2026-03-20</v>
      </c>
      <c r="D236" s="1">
        <f t="shared" si="24"/>
        <v>2026</v>
      </c>
      <c r="E236" s="1">
        <f>IFERROR(IF(AND(LEN(C236)=10,MID(C236,5,1)="-",MID(C236,8,1)="-"),VALUE(MID(C236,6,2)),IF(AND(LEN(C236)=11,MID(C236,3,1)="-",MID(C236,7,1)="-"),MATCH(UPPER(MID(C236,4,3)),Guide!$D$7:$D$18,0),0)),0)</f>
        <v>3</v>
      </c>
      <c r="F236" s="1">
        <f t="shared" si="25"/>
        <v>20</v>
      </c>
      <c r="G236" s="9">
        <f t="shared" si="26"/>
        <v>46101</v>
      </c>
      <c r="H236" s="1" t="str">
        <f>IF(Raw!D236="","",Raw!D236)</f>
        <v>P-H</v>
      </c>
      <c r="I236" s="1" t="str">
        <f>IFERROR(IF(EXACT(H236,INDEX(Guide!$A$7:$A$9,MATCH(SUBSTITUTE(SUBSTITUTE(SUBSTITUTE(H236,"~","~~"),"*","~*"),"?","~?"),Guide!$A$7:$A$9,0))),INDEX(Guide!$B$7:$B$9,MATCH(SUBSTITUTE(SUBSTITUTE(SUBSTITUTE(H236,"~","~~"),"*","~*"),"?","~?"),Guide!$A$7:$A$9,0)),""),"")</f>
        <v>Home</v>
      </c>
      <c r="J236" s="1" t="str">
        <f>IF(TRIM(Raw!E236)="",I236,IF(UPPER(TRIM(Raw!E236))=UPPER(I236),I236,""))</f>
        <v>Home</v>
      </c>
      <c r="K236" s="1" t="str">
        <f>IF(Raw!F236="","",Raw!F236)</f>
        <v>sale</v>
      </c>
      <c r="L236" s="1" t="str">
        <f>IF(LEFT(TRIM(Raw!G236),2)="-$","-"&amp;MID(TRIM(Raw!G236),3,99),IF(LEFT(TRIM(Raw!G236),1)="$",MID(TRIM(Raw!G236),2,99),TRIM(Raw!G236)))</f>
        <v>358.88</v>
      </c>
      <c r="M236" s="1">
        <f t="shared" si="27"/>
        <v>358.88</v>
      </c>
      <c r="N236" s="10">
        <f t="shared" si="28"/>
        <v>35888</v>
      </c>
      <c r="O236" s="1" t="b">
        <f>IFERROR(IF(ISNUMBER(Raw!G236),TRUE,OR(EXACT(L236,TEXT(M236,"0.00")),EXACT(L236,TEXT(M236,"#,##0.00")))),FALSE)</f>
        <v>1</v>
      </c>
      <c r="P236" s="1" t="str">
        <f>LEN(IF(Raw!A236="","",Raw!A236))&amp;":"&amp;IF(Raw!A236="","",Raw!A236)&amp;"|"&amp;LEN(IF(Raw!B236="","",Raw!B236))&amp;":"&amp;IF(Raw!B236="","",Raw!B236)&amp;"|"&amp;LEN(IF(Raw!C236="","",Raw!C236))&amp;":"&amp;IF(Raw!C236="","",Raw!C236)&amp;"|"&amp;LEN(IF(Raw!D236="","",Raw!D236))&amp;":"&amp;IF(Raw!D236="","",Raw!D236)&amp;"|"&amp;LEN(IF(Raw!E236="","",Raw!E236))&amp;":"&amp;IF(Raw!E236="","",Raw!E236)&amp;"|"&amp;LEN(IF(Raw!F236="","",Raw!F236))&amp;":"&amp;IF(Raw!F236="","",Raw!F236)&amp;"|"&amp;LEN(IF(Raw!G236="","",Raw!G236))&amp;":"&amp;IF(Raw!G236="","",Raw!G236)</f>
        <v>6:L00230|6:T00115|10:2026-03-20|3:P-H|4:Home|4:sale|6:358.88</v>
      </c>
      <c r="Q236" s="1">
        <f>1</f>
        <v>1</v>
      </c>
      <c r="R236" s="1" t="b">
        <f>FALSE</f>
        <v>0</v>
      </c>
      <c r="S236" s="1">
        <f>1</f>
        <v>1</v>
      </c>
      <c r="T236" s="1" t="str">
        <f>IF(AND(Raw!A236="",Raw!B236="",Raw!C236="",Raw!D236="",Raw!E236="",Raw!F236="",Raw!G236=""),"UNUSED",IF(A236="","missing line ID",IF(B236="","missing transaction ID",IF(G236="",IF(C236="","missing date","invalid date"),IF(I236="","unknown product",IF(J236="","conflicting category",IF(NOT(OR(EXACT(K236,"sale"),EXACT(K236,"refund"))),"unknown event",IF(OR(N236="",NOT(O236)),"invalid amount",IF(OR(AND(K236="sale",N236&lt;=0),AND(K236="refund",N236&gt;=0)),"invalid sign","")))))))))</f>
        <v/>
      </c>
      <c r="U236" s="1" t="str">
        <f t="shared" si="29"/>
        <v>INCLUDED</v>
      </c>
      <c r="V236" s="1" t="str">
        <f t="shared" si="30"/>
        <v>2026-03</v>
      </c>
      <c r="W236" s="1">
        <f>IF(AND(U236="INCLUDED",X236&gt;0,EXACT(A236,'AI output'!A236)),1,0)</f>
        <v>1</v>
      </c>
      <c r="X236" s="1">
        <f>236</f>
        <v>236</v>
      </c>
      <c r="Y236" s="1">
        <f>IF(AND(U236="INCLUDED",W236=1),--(NOT(EXACT(A236,'AI output'!A236)))+--(NOT(EXACT(B236,'AI output'!B236)))+--(NOT(EXACT(TEXT(G236,"yyyy-mm-dd"),'AI output'!C236)))+--(NOT(EXACT(H236,'AI output'!D236)))+--(NOT(EXACT(J236,'AI output'!E236)))+--(NOT(EXACT(K236,'AI output'!F236)))+--(N236&lt;&gt;'AI output'!L236)+--(NOT('AI output'!M236)),0)</f>
        <v>0</v>
      </c>
      <c r="Z236" s="1">
        <f t="shared" si="31"/>
        <v>0</v>
      </c>
      <c r="AA236" s="1">
        <f>--EXACT(A236,"L00230")</f>
        <v>1</v>
      </c>
    </row>
    <row r="237" spans="1:27" ht="18.95" customHeight="1">
      <c r="A237" s="1" t="str">
        <f>IF(Raw!A237="","",Raw!A237)</f>
        <v>L00231</v>
      </c>
      <c r="B237" s="1" t="str">
        <f>IF(Raw!B237="","",Raw!B237)</f>
        <v>T00116</v>
      </c>
      <c r="C237" s="1" t="str">
        <f>IF(Raw!C237="","",Raw!C237)</f>
        <v>2026-03-27</v>
      </c>
      <c r="D237" s="1">
        <f t="shared" si="24"/>
        <v>2026</v>
      </c>
      <c r="E237" s="1">
        <f>IFERROR(IF(AND(LEN(C237)=10,MID(C237,5,1)="-",MID(C237,8,1)="-"),VALUE(MID(C237,6,2)),IF(AND(LEN(C237)=11,MID(C237,3,1)="-",MID(C237,7,1)="-"),MATCH(UPPER(MID(C237,4,3)),Guide!$D$7:$D$18,0),0)),0)</f>
        <v>3</v>
      </c>
      <c r="F237" s="1">
        <f t="shared" si="25"/>
        <v>27</v>
      </c>
      <c r="G237" s="9">
        <f t="shared" si="26"/>
        <v>46108</v>
      </c>
      <c r="H237" s="1" t="str">
        <f>IF(Raw!D237="","",Raw!D237)</f>
        <v>P-O</v>
      </c>
      <c r="I237" s="1" t="str">
        <f>IFERROR(IF(EXACT(H237,INDEX(Guide!$A$7:$A$9,MATCH(SUBSTITUTE(SUBSTITUTE(SUBSTITUTE(H237,"~","~~"),"*","~*"),"?","~?"),Guide!$A$7:$A$9,0))),INDEX(Guide!$B$7:$B$9,MATCH(SUBSTITUTE(SUBSTITUTE(SUBSTITUTE(H237,"~","~~"),"*","~*"),"?","~?"),Guide!$A$7:$A$9,0)),""),"")</f>
        <v>Office</v>
      </c>
      <c r="J237" s="1" t="str">
        <f>IF(TRIM(Raw!E237)="",I237,IF(UPPER(TRIM(Raw!E237))=UPPER(I237),I237,""))</f>
        <v>Office</v>
      </c>
      <c r="K237" s="1" t="str">
        <f>IF(Raw!F237="","",Raw!F237)</f>
        <v>refund</v>
      </c>
      <c r="L237" s="1" t="str">
        <f>IF(LEFT(TRIM(Raw!G237),2)="-$","-"&amp;MID(TRIM(Raw!G237),3,99),IF(LEFT(TRIM(Raw!G237),1)="$",MID(TRIM(Raw!G237),2,99),TRIM(Raw!G237)))</f>
        <v>-90.09</v>
      </c>
      <c r="M237" s="1">
        <f t="shared" si="27"/>
        <v>-90.09</v>
      </c>
      <c r="N237" s="10">
        <f t="shared" si="28"/>
        <v>-9009</v>
      </c>
      <c r="O237" s="1" t="b">
        <f>IFERROR(IF(ISNUMBER(Raw!G237),TRUE,OR(EXACT(L237,TEXT(M237,"0.00")),EXACT(L237,TEXT(M237,"#,##0.00")))),FALSE)</f>
        <v>1</v>
      </c>
      <c r="P237" s="1" t="str">
        <f>LEN(IF(Raw!A237="","",Raw!A237))&amp;":"&amp;IF(Raw!A237="","",Raw!A237)&amp;"|"&amp;LEN(IF(Raw!B237="","",Raw!B237))&amp;":"&amp;IF(Raw!B237="","",Raw!B237)&amp;"|"&amp;LEN(IF(Raw!C237="","",Raw!C237))&amp;":"&amp;IF(Raw!C237="","",Raw!C237)&amp;"|"&amp;LEN(IF(Raw!D237="","",Raw!D237))&amp;":"&amp;IF(Raw!D237="","",Raw!D237)&amp;"|"&amp;LEN(IF(Raw!E237="","",Raw!E237))&amp;":"&amp;IF(Raw!E237="","",Raw!E237)&amp;"|"&amp;LEN(IF(Raw!F237="","",Raw!F237))&amp;":"&amp;IF(Raw!F237="","",Raw!F237)&amp;"|"&amp;LEN(IF(Raw!G237="","",Raw!G237))&amp;":"&amp;IF(Raw!G237="","",Raw!G237)</f>
        <v>6:L00231|6:T00116|10:2026-03-27|3:P-O|6:Office|6:refund|6:-90.09</v>
      </c>
      <c r="Q237" s="1">
        <f>1</f>
        <v>1</v>
      </c>
      <c r="R237" s="1" t="b">
        <f>FALSE</f>
        <v>0</v>
      </c>
      <c r="S237" s="1">
        <f>1</f>
        <v>1</v>
      </c>
      <c r="T237" s="1" t="str">
        <f>IF(AND(Raw!A237="",Raw!B237="",Raw!C237="",Raw!D237="",Raw!E237="",Raw!F237="",Raw!G237=""),"UNUSED",IF(A237="","missing line ID",IF(B237="","missing transaction ID",IF(G237="",IF(C237="","missing date","invalid date"),IF(I237="","unknown product",IF(J237="","conflicting category",IF(NOT(OR(EXACT(K237,"sale"),EXACT(K237,"refund"))),"unknown event",IF(OR(N237="",NOT(O237)),"invalid amount",IF(OR(AND(K237="sale",N237&lt;=0),AND(K237="refund",N237&gt;=0)),"invalid sign","")))))))))</f>
        <v/>
      </c>
      <c r="U237" s="1" t="str">
        <f t="shared" si="29"/>
        <v>INCLUDED</v>
      </c>
      <c r="V237" s="1" t="str">
        <f t="shared" si="30"/>
        <v>2026-03</v>
      </c>
      <c r="W237" s="1">
        <f>IF(AND(U237="INCLUDED",X237&gt;0,EXACT(A237,'AI output'!A237)),1,0)</f>
        <v>1</v>
      </c>
      <c r="X237" s="1">
        <f>237</f>
        <v>237</v>
      </c>
      <c r="Y237" s="1">
        <f>IF(AND(U237="INCLUDED",W237=1),--(NOT(EXACT(A237,'AI output'!A237)))+--(NOT(EXACT(B237,'AI output'!B237)))+--(NOT(EXACT(TEXT(G237,"yyyy-mm-dd"),'AI output'!C237)))+--(NOT(EXACT(H237,'AI output'!D237)))+--(NOT(EXACT(J237,'AI output'!E237)))+--(NOT(EXACT(K237,'AI output'!F237)))+--(N237&lt;&gt;'AI output'!L237)+--(NOT('AI output'!M237)),0)</f>
        <v>0</v>
      </c>
      <c r="Z237" s="1">
        <f t="shared" si="31"/>
        <v>0</v>
      </c>
      <c r="AA237" s="1">
        <f>--EXACT(A237,"L00231")</f>
        <v>1</v>
      </c>
    </row>
    <row r="238" spans="1:27" ht="18.95" customHeight="1">
      <c r="A238" s="1" t="str">
        <f>IF(Raw!A238="","",Raw!A238)</f>
        <v>L00232</v>
      </c>
      <c r="B238" s="1" t="str">
        <f>IF(Raw!B238="","",Raw!B238)</f>
        <v>T00116</v>
      </c>
      <c r="C238" s="1" t="str">
        <f>IF(Raw!C238="","",Raw!C238)</f>
        <v>2026-03-27</v>
      </c>
      <c r="D238" s="1">
        <f t="shared" si="24"/>
        <v>2026</v>
      </c>
      <c r="E238" s="1">
        <f>IFERROR(IF(AND(LEN(C238)=10,MID(C238,5,1)="-",MID(C238,8,1)="-"),VALUE(MID(C238,6,2)),IF(AND(LEN(C238)=11,MID(C238,3,1)="-",MID(C238,7,1)="-"),MATCH(UPPER(MID(C238,4,3)),Guide!$D$7:$D$18,0),0)),0)</f>
        <v>3</v>
      </c>
      <c r="F238" s="1">
        <f t="shared" si="25"/>
        <v>27</v>
      </c>
      <c r="G238" s="9">
        <f t="shared" si="26"/>
        <v>46108</v>
      </c>
      <c r="H238" s="1" t="str">
        <f>IF(Raw!D238="","",Raw!D238)</f>
        <v>P-A</v>
      </c>
      <c r="I238" s="1" t="str">
        <f>IFERROR(IF(EXACT(H238,INDEX(Guide!$A$7:$A$9,MATCH(SUBSTITUTE(SUBSTITUTE(SUBSTITUTE(H238,"~","~~"),"*","~*"),"?","~?"),Guide!$A$7:$A$9,0))),INDEX(Guide!$B$7:$B$9,MATCH(SUBSTITUTE(SUBSTITUTE(SUBSTITUTE(H238,"~","~~"),"*","~*"),"?","~?"),Guide!$A$7:$A$9,0)),""),"")</f>
        <v>Accessories</v>
      </c>
      <c r="J238" s="1" t="str">
        <f>IF(TRIM(Raw!E238)="",I238,IF(UPPER(TRIM(Raw!E238))=UPPER(I238),I238,""))</f>
        <v>Accessories</v>
      </c>
      <c r="K238" s="1" t="str">
        <f>IF(Raw!F238="","",Raw!F238)</f>
        <v>sale</v>
      </c>
      <c r="L238" s="1" t="str">
        <f>IF(LEFT(TRIM(Raw!G238),2)="-$","-"&amp;MID(TRIM(Raw!G238),3,99),IF(LEFT(TRIM(Raw!G238),1)="$",MID(TRIM(Raw!G238),2,99),TRIM(Raw!G238)))</f>
        <v>271.38</v>
      </c>
      <c r="M238" s="1">
        <f t="shared" si="27"/>
        <v>271.38</v>
      </c>
      <c r="N238" s="10">
        <f t="shared" si="28"/>
        <v>27138</v>
      </c>
      <c r="O238" s="1" t="b">
        <f>IFERROR(IF(ISNUMBER(Raw!G238),TRUE,OR(EXACT(L238,TEXT(M238,"0.00")),EXACT(L238,TEXT(M238,"#,##0.00")))),FALSE)</f>
        <v>1</v>
      </c>
      <c r="P238" s="1" t="str">
        <f>LEN(IF(Raw!A238="","",Raw!A238))&amp;":"&amp;IF(Raw!A238="","",Raw!A238)&amp;"|"&amp;LEN(IF(Raw!B238="","",Raw!B238))&amp;":"&amp;IF(Raw!B238="","",Raw!B238)&amp;"|"&amp;LEN(IF(Raw!C238="","",Raw!C238))&amp;":"&amp;IF(Raw!C238="","",Raw!C238)&amp;"|"&amp;LEN(IF(Raw!D238="","",Raw!D238))&amp;":"&amp;IF(Raw!D238="","",Raw!D238)&amp;"|"&amp;LEN(IF(Raw!E238="","",Raw!E238))&amp;":"&amp;IF(Raw!E238="","",Raw!E238)&amp;"|"&amp;LEN(IF(Raw!F238="","",Raw!F238))&amp;":"&amp;IF(Raw!F238="","",Raw!F238)&amp;"|"&amp;LEN(IF(Raw!G238="","",Raw!G238))&amp;":"&amp;IF(Raw!G238="","",Raw!G238)</f>
        <v>6:L00232|6:T00116|10:2026-03-27|3:P-A|11:Accessories|4:sale|6:271.38</v>
      </c>
      <c r="Q238" s="1">
        <f>1</f>
        <v>1</v>
      </c>
      <c r="R238" s="1" t="b">
        <f>FALSE</f>
        <v>0</v>
      </c>
      <c r="S238" s="1">
        <f>1</f>
        <v>1</v>
      </c>
      <c r="T238" s="1" t="str">
        <f>IF(AND(Raw!A238="",Raw!B238="",Raw!C238="",Raw!D238="",Raw!E238="",Raw!F238="",Raw!G238=""),"UNUSED",IF(A238="","missing line ID",IF(B238="","missing transaction ID",IF(G238="",IF(C238="","missing date","invalid date"),IF(I238="","unknown product",IF(J238="","conflicting category",IF(NOT(OR(EXACT(K238,"sale"),EXACT(K238,"refund"))),"unknown event",IF(OR(N238="",NOT(O238)),"invalid amount",IF(OR(AND(K238="sale",N238&lt;=0),AND(K238="refund",N238&gt;=0)),"invalid sign","")))))))))</f>
        <v/>
      </c>
      <c r="U238" s="1" t="str">
        <f t="shared" si="29"/>
        <v>INCLUDED</v>
      </c>
      <c r="V238" s="1" t="str">
        <f t="shared" si="30"/>
        <v>2026-03</v>
      </c>
      <c r="W238" s="1">
        <f>IF(AND(U238="INCLUDED",X238&gt;0,EXACT(A238,'AI output'!A238)),1,0)</f>
        <v>1</v>
      </c>
      <c r="X238" s="1">
        <f>238</f>
        <v>238</v>
      </c>
      <c r="Y238" s="1">
        <f>IF(AND(U238="INCLUDED",W238=1),--(NOT(EXACT(A238,'AI output'!A238)))+--(NOT(EXACT(B238,'AI output'!B238)))+--(NOT(EXACT(TEXT(G238,"yyyy-mm-dd"),'AI output'!C238)))+--(NOT(EXACT(H238,'AI output'!D238)))+--(NOT(EXACT(J238,'AI output'!E238)))+--(NOT(EXACT(K238,'AI output'!F238)))+--(N238&lt;&gt;'AI output'!L238)+--(NOT('AI output'!M238)),0)</f>
        <v>0</v>
      </c>
      <c r="Z238" s="1">
        <f t="shared" si="31"/>
        <v>0</v>
      </c>
      <c r="AA238" s="1">
        <f>--EXACT(A238,"L00232")</f>
        <v>1</v>
      </c>
    </row>
    <row r="239" spans="1:27" ht="18.95" customHeight="1">
      <c r="A239" s="1" t="str">
        <f>IF(Raw!A239="","",Raw!A239)</f>
        <v>L00233</v>
      </c>
      <c r="B239" s="1" t="str">
        <f>IF(Raw!B239="","",Raw!B239)</f>
        <v>T00117</v>
      </c>
      <c r="C239" s="1" t="str">
        <f>IF(Raw!C239="","",Raw!C239)</f>
        <v>2026-01-03</v>
      </c>
      <c r="D239" s="1">
        <f t="shared" si="24"/>
        <v>2026</v>
      </c>
      <c r="E239" s="1">
        <f>IFERROR(IF(AND(LEN(C239)=10,MID(C239,5,1)="-",MID(C239,8,1)="-"),VALUE(MID(C239,6,2)),IF(AND(LEN(C239)=11,MID(C239,3,1)="-",MID(C239,7,1)="-"),MATCH(UPPER(MID(C239,4,3)),Guide!$D$7:$D$18,0),0)),0)</f>
        <v>1</v>
      </c>
      <c r="F239" s="1">
        <f t="shared" si="25"/>
        <v>3</v>
      </c>
      <c r="G239" s="9">
        <f t="shared" si="26"/>
        <v>46025</v>
      </c>
      <c r="H239" s="1" t="str">
        <f>IF(Raw!D239="","",Raw!D239)</f>
        <v>P-H</v>
      </c>
      <c r="I239" s="1" t="str">
        <f>IFERROR(IF(EXACT(H239,INDEX(Guide!$A$7:$A$9,MATCH(SUBSTITUTE(SUBSTITUTE(SUBSTITUTE(H239,"~","~~"),"*","~*"),"?","~?"),Guide!$A$7:$A$9,0))),INDEX(Guide!$B$7:$B$9,MATCH(SUBSTITUTE(SUBSTITUTE(SUBSTITUTE(H239,"~","~~"),"*","~*"),"?","~?"),Guide!$A$7:$A$9,0)),""),"")</f>
        <v>Home</v>
      </c>
      <c r="J239" s="1" t="str">
        <f>IF(TRIM(Raw!E239)="",I239,IF(UPPER(TRIM(Raw!E239))=UPPER(I239),I239,""))</f>
        <v>Home</v>
      </c>
      <c r="K239" s="1" t="str">
        <f>IF(Raw!F239="","",Raw!F239)</f>
        <v>sale</v>
      </c>
      <c r="L239" s="1" t="str">
        <f>IF(LEFT(TRIM(Raw!G239),2)="-$","-"&amp;MID(TRIM(Raw!G239),3,99),IF(LEFT(TRIM(Raw!G239),1)="$",MID(TRIM(Raw!G239),2,99),TRIM(Raw!G239)))</f>
        <v>454.15</v>
      </c>
      <c r="M239" s="1">
        <f t="shared" si="27"/>
        <v>454.15</v>
      </c>
      <c r="N239" s="10">
        <f t="shared" si="28"/>
        <v>45415</v>
      </c>
      <c r="O239" s="1" t="b">
        <f>IFERROR(IF(ISNUMBER(Raw!G239),TRUE,OR(EXACT(L239,TEXT(M239,"0.00")),EXACT(L239,TEXT(M239,"#,##0.00")))),FALSE)</f>
        <v>1</v>
      </c>
      <c r="P239" s="1" t="str">
        <f>LEN(IF(Raw!A239="","",Raw!A239))&amp;":"&amp;IF(Raw!A239="","",Raw!A239)&amp;"|"&amp;LEN(IF(Raw!B239="","",Raw!B239))&amp;":"&amp;IF(Raw!B239="","",Raw!B239)&amp;"|"&amp;LEN(IF(Raw!C239="","",Raw!C239))&amp;":"&amp;IF(Raw!C239="","",Raw!C239)&amp;"|"&amp;LEN(IF(Raw!D239="","",Raw!D239))&amp;":"&amp;IF(Raw!D239="","",Raw!D239)&amp;"|"&amp;LEN(IF(Raw!E239="","",Raw!E239))&amp;":"&amp;IF(Raw!E239="","",Raw!E239)&amp;"|"&amp;LEN(IF(Raw!F239="","",Raw!F239))&amp;":"&amp;IF(Raw!F239="","",Raw!F239)&amp;"|"&amp;LEN(IF(Raw!G239="","",Raw!G239))&amp;":"&amp;IF(Raw!G239="","",Raw!G239)</f>
        <v>6:L00233|6:T00117|10:2026-01-03|3:P-H|4:Home|4:sale|6:454.15</v>
      </c>
      <c r="Q239" s="1">
        <f>1</f>
        <v>1</v>
      </c>
      <c r="R239" s="1" t="b">
        <f>FALSE</f>
        <v>0</v>
      </c>
      <c r="S239" s="1">
        <f>1</f>
        <v>1</v>
      </c>
      <c r="T239" s="1" t="str">
        <f>IF(AND(Raw!A239="",Raw!B239="",Raw!C239="",Raw!D239="",Raw!E239="",Raw!F239="",Raw!G239=""),"UNUSED",IF(A239="","missing line ID",IF(B239="","missing transaction ID",IF(G239="",IF(C239="","missing date","invalid date"),IF(I239="","unknown product",IF(J239="","conflicting category",IF(NOT(OR(EXACT(K239,"sale"),EXACT(K239,"refund"))),"unknown event",IF(OR(N239="",NOT(O239)),"invalid amount",IF(OR(AND(K239="sale",N239&lt;=0),AND(K239="refund",N239&gt;=0)),"invalid sign","")))))))))</f>
        <v/>
      </c>
      <c r="U239" s="1" t="str">
        <f t="shared" si="29"/>
        <v>INCLUDED</v>
      </c>
      <c r="V239" s="1" t="str">
        <f t="shared" si="30"/>
        <v>2026-01</v>
      </c>
      <c r="W239" s="1">
        <f>IF(AND(U239="INCLUDED",X239&gt;0,EXACT(A239,'AI output'!A239)),1,0)</f>
        <v>1</v>
      </c>
      <c r="X239" s="1">
        <f>239</f>
        <v>239</v>
      </c>
      <c r="Y239" s="1">
        <f>IF(AND(U239="INCLUDED",W239=1),--(NOT(EXACT(A239,'AI output'!A239)))+--(NOT(EXACT(B239,'AI output'!B239)))+--(NOT(EXACT(TEXT(G239,"yyyy-mm-dd"),'AI output'!C239)))+--(NOT(EXACT(H239,'AI output'!D239)))+--(NOT(EXACT(J239,'AI output'!E239)))+--(NOT(EXACT(K239,'AI output'!F239)))+--(N239&lt;&gt;'AI output'!L239)+--(NOT('AI output'!M239)),0)</f>
        <v>0</v>
      </c>
      <c r="Z239" s="1">
        <f t="shared" si="31"/>
        <v>0</v>
      </c>
      <c r="AA239" s="1">
        <f>--EXACT(A239,"L00233")</f>
        <v>1</v>
      </c>
    </row>
    <row r="240" spans="1:27" ht="18.95" customHeight="1">
      <c r="A240" s="1" t="str">
        <f>IF(Raw!A240="","",Raw!A240)</f>
        <v>L00234</v>
      </c>
      <c r="B240" s="1" t="str">
        <f>IF(Raw!B240="","",Raw!B240)</f>
        <v>T00117</v>
      </c>
      <c r="C240" s="1" t="str">
        <f>IF(Raw!C240="","",Raw!C240)</f>
        <v>2026-01-03</v>
      </c>
      <c r="D240" s="1">
        <f t="shared" si="24"/>
        <v>2026</v>
      </c>
      <c r="E240" s="1">
        <f>IFERROR(IF(AND(LEN(C240)=10,MID(C240,5,1)="-",MID(C240,8,1)="-"),VALUE(MID(C240,6,2)),IF(AND(LEN(C240)=11,MID(C240,3,1)="-",MID(C240,7,1)="-"),MATCH(UPPER(MID(C240,4,3)),Guide!$D$7:$D$18,0),0)),0)</f>
        <v>1</v>
      </c>
      <c r="F240" s="1">
        <f t="shared" si="25"/>
        <v>3</v>
      </c>
      <c r="G240" s="9">
        <f t="shared" si="26"/>
        <v>46025</v>
      </c>
      <c r="H240" s="1" t="str">
        <f>IF(Raw!D240="","",Raw!D240)</f>
        <v>P-O</v>
      </c>
      <c r="I240" s="1" t="str">
        <f>IFERROR(IF(EXACT(H240,INDEX(Guide!$A$7:$A$9,MATCH(SUBSTITUTE(SUBSTITUTE(SUBSTITUTE(H240,"~","~~"),"*","~*"),"?","~?"),Guide!$A$7:$A$9,0))),INDEX(Guide!$B$7:$B$9,MATCH(SUBSTITUTE(SUBSTITUTE(SUBSTITUTE(H240,"~","~~"),"*","~*"),"?","~?"),Guide!$A$7:$A$9,0)),""),"")</f>
        <v>Office</v>
      </c>
      <c r="J240" s="1" t="str">
        <f>IF(TRIM(Raw!E240)="",I240,IF(UPPER(TRIM(Raw!E240))=UPPER(I240),I240,""))</f>
        <v>Office</v>
      </c>
      <c r="K240" s="1" t="str">
        <f>IF(Raw!F240="","",Raw!F240)</f>
        <v>sale</v>
      </c>
      <c r="L240" s="1" t="str">
        <f>IF(LEFT(TRIM(Raw!G240),2)="-$","-"&amp;MID(TRIM(Raw!G240),3,99),IF(LEFT(TRIM(Raw!G240),1)="$",MID(TRIM(Raw!G240),2,99),TRIM(Raw!G240)))</f>
        <v>182.40</v>
      </c>
      <c r="M240" s="1">
        <f t="shared" si="27"/>
        <v>182.4</v>
      </c>
      <c r="N240" s="10">
        <f t="shared" si="28"/>
        <v>18240</v>
      </c>
      <c r="O240" s="1" t="b">
        <f>IFERROR(IF(ISNUMBER(Raw!G240),TRUE,OR(EXACT(L240,TEXT(M240,"0.00")),EXACT(L240,TEXT(M240,"#,##0.00")))),FALSE)</f>
        <v>1</v>
      </c>
      <c r="P240" s="1" t="str">
        <f>LEN(IF(Raw!A240="","",Raw!A240))&amp;":"&amp;IF(Raw!A240="","",Raw!A240)&amp;"|"&amp;LEN(IF(Raw!B240="","",Raw!B240))&amp;":"&amp;IF(Raw!B240="","",Raw!B240)&amp;"|"&amp;LEN(IF(Raw!C240="","",Raw!C240))&amp;":"&amp;IF(Raw!C240="","",Raw!C240)&amp;"|"&amp;LEN(IF(Raw!D240="","",Raw!D240))&amp;":"&amp;IF(Raw!D240="","",Raw!D240)&amp;"|"&amp;LEN(IF(Raw!E240="","",Raw!E240))&amp;":"&amp;IF(Raw!E240="","",Raw!E240)&amp;"|"&amp;LEN(IF(Raw!F240="","",Raw!F240))&amp;":"&amp;IF(Raw!F240="","",Raw!F240)&amp;"|"&amp;LEN(IF(Raw!G240="","",Raw!G240))&amp;":"&amp;IF(Raw!G240="","",Raw!G240)</f>
        <v>6:L00234|6:T00117|10:2026-01-03|3:P-O|10:  office  |4:sale|6:182.40</v>
      </c>
      <c r="Q240" s="1">
        <f>1</f>
        <v>1</v>
      </c>
      <c r="R240" s="1" t="b">
        <f>FALSE</f>
        <v>0</v>
      </c>
      <c r="S240" s="1">
        <f>1</f>
        <v>1</v>
      </c>
      <c r="T240" s="1" t="str">
        <f>IF(AND(Raw!A240="",Raw!B240="",Raw!C240="",Raw!D240="",Raw!E240="",Raw!F240="",Raw!G240=""),"UNUSED",IF(A240="","missing line ID",IF(B240="","missing transaction ID",IF(G240="",IF(C240="","missing date","invalid date"),IF(I240="","unknown product",IF(J240="","conflicting category",IF(NOT(OR(EXACT(K240,"sale"),EXACT(K240,"refund"))),"unknown event",IF(OR(N240="",NOT(O240)),"invalid amount",IF(OR(AND(K240="sale",N240&lt;=0),AND(K240="refund",N240&gt;=0)),"invalid sign","")))))))))</f>
        <v/>
      </c>
      <c r="U240" s="1" t="str">
        <f t="shared" si="29"/>
        <v>INCLUDED</v>
      </c>
      <c r="V240" s="1" t="str">
        <f t="shared" si="30"/>
        <v>2026-01</v>
      </c>
      <c r="W240" s="1">
        <f>IF(AND(U240="INCLUDED",X240&gt;0,EXACT(A240,'AI output'!A240)),1,0)</f>
        <v>1</v>
      </c>
      <c r="X240" s="1">
        <f>240</f>
        <v>240</v>
      </c>
      <c r="Y240" s="1">
        <f>IF(AND(U240="INCLUDED",W240=1),--(NOT(EXACT(A240,'AI output'!A240)))+--(NOT(EXACT(B240,'AI output'!B240)))+--(NOT(EXACT(TEXT(G240,"yyyy-mm-dd"),'AI output'!C240)))+--(NOT(EXACT(H240,'AI output'!D240)))+--(NOT(EXACT(J240,'AI output'!E240)))+--(NOT(EXACT(K240,'AI output'!F240)))+--(N240&lt;&gt;'AI output'!L240)+--(NOT('AI output'!M240)),0)</f>
        <v>0</v>
      </c>
      <c r="Z240" s="1">
        <f t="shared" si="31"/>
        <v>0</v>
      </c>
      <c r="AA240" s="1">
        <f>--EXACT(A240,"L00234")</f>
        <v>1</v>
      </c>
    </row>
    <row r="241" spans="1:27" ht="18.95" customHeight="1">
      <c r="A241" s="1" t="str">
        <f>IF(Raw!A241="","",Raw!A241)</f>
        <v>L00235</v>
      </c>
      <c r="B241" s="1" t="str">
        <f>IF(Raw!B241="","",Raw!B241)</f>
        <v>T00118</v>
      </c>
      <c r="C241" s="1" t="str">
        <f>IF(Raw!C241="","",Raw!C241)</f>
        <v>2026-01-10</v>
      </c>
      <c r="D241" s="1">
        <f t="shared" si="24"/>
        <v>2026</v>
      </c>
      <c r="E241" s="1">
        <f>IFERROR(IF(AND(LEN(C241)=10,MID(C241,5,1)="-",MID(C241,8,1)="-"),VALUE(MID(C241,6,2)),IF(AND(LEN(C241)=11,MID(C241,3,1)="-",MID(C241,7,1)="-"),MATCH(UPPER(MID(C241,4,3)),Guide!$D$7:$D$18,0),0)),0)</f>
        <v>1</v>
      </c>
      <c r="F241" s="1">
        <f t="shared" si="25"/>
        <v>10</v>
      </c>
      <c r="G241" s="9">
        <f t="shared" si="26"/>
        <v>46032</v>
      </c>
      <c r="H241" s="1" t="str">
        <f>IF(Raw!D241="","",Raw!D241)</f>
        <v>P-A</v>
      </c>
      <c r="I241" s="1" t="str">
        <f>IFERROR(IF(EXACT(H241,INDEX(Guide!$A$7:$A$9,MATCH(SUBSTITUTE(SUBSTITUTE(SUBSTITUTE(H241,"~","~~"),"*","~*"),"?","~?"),Guide!$A$7:$A$9,0))),INDEX(Guide!$B$7:$B$9,MATCH(SUBSTITUTE(SUBSTITUTE(SUBSTITUTE(H241,"~","~~"),"*","~*"),"?","~?"),Guide!$A$7:$A$9,0)),""),"")</f>
        <v>Accessories</v>
      </c>
      <c r="J241" s="1" t="str">
        <f>IF(TRIM(Raw!E241)="",I241,IF(UPPER(TRIM(Raw!E241))=UPPER(I241),I241,""))</f>
        <v>Accessories</v>
      </c>
      <c r="K241" s="1" t="str">
        <f>IF(Raw!F241="","",Raw!F241)</f>
        <v>sale</v>
      </c>
      <c r="L241" s="1" t="str">
        <f>IF(LEFT(TRIM(Raw!G241),2)="-$","-"&amp;MID(TRIM(Raw!G241),3,99),IF(LEFT(TRIM(Raw!G241),1)="$",MID(TRIM(Raw!G241),2,99),TRIM(Raw!G241)))</f>
        <v>366.28</v>
      </c>
      <c r="M241" s="1">
        <f t="shared" si="27"/>
        <v>366.28</v>
      </c>
      <c r="N241" s="10">
        <f t="shared" si="28"/>
        <v>36628</v>
      </c>
      <c r="O241" s="1" t="b">
        <f>IFERROR(IF(ISNUMBER(Raw!G241),TRUE,OR(EXACT(L241,TEXT(M241,"0.00")),EXACT(L241,TEXT(M241,"#,##0.00")))),FALSE)</f>
        <v>1</v>
      </c>
      <c r="P241" s="1" t="str">
        <f>LEN(IF(Raw!A241="","",Raw!A241))&amp;":"&amp;IF(Raw!A241="","",Raw!A241)&amp;"|"&amp;LEN(IF(Raw!B241="","",Raw!B241))&amp;":"&amp;IF(Raw!B241="","",Raw!B241)&amp;"|"&amp;LEN(IF(Raw!C241="","",Raw!C241))&amp;":"&amp;IF(Raw!C241="","",Raw!C241)&amp;"|"&amp;LEN(IF(Raw!D241="","",Raw!D241))&amp;":"&amp;IF(Raw!D241="","",Raw!D241)&amp;"|"&amp;LEN(IF(Raw!E241="","",Raw!E241))&amp;":"&amp;IF(Raw!E241="","",Raw!E241)&amp;"|"&amp;LEN(IF(Raw!F241="","",Raw!F241))&amp;":"&amp;IF(Raw!F241="","",Raw!F241)&amp;"|"&amp;LEN(IF(Raw!G241="","",Raw!G241))&amp;":"&amp;IF(Raw!G241="","",Raw!G241)</f>
        <v>6:L00235|6:T00118|10:2026-01-10|3:P-A|11:Accessories|4:sale|6:366.28</v>
      </c>
      <c r="Q241" s="1">
        <f>1</f>
        <v>1</v>
      </c>
      <c r="R241" s="1" t="b">
        <f>FALSE</f>
        <v>0</v>
      </c>
      <c r="S241" s="1">
        <f>1</f>
        <v>1</v>
      </c>
      <c r="T241" s="1" t="str">
        <f>IF(AND(Raw!A241="",Raw!B241="",Raw!C241="",Raw!D241="",Raw!E241="",Raw!F241="",Raw!G241=""),"UNUSED",IF(A241="","missing line ID",IF(B241="","missing transaction ID",IF(G241="",IF(C241="","missing date","invalid date"),IF(I241="","unknown product",IF(J241="","conflicting category",IF(NOT(OR(EXACT(K241,"sale"),EXACT(K241,"refund"))),"unknown event",IF(OR(N241="",NOT(O241)),"invalid amount",IF(OR(AND(K241="sale",N241&lt;=0),AND(K241="refund",N241&gt;=0)),"invalid sign","")))))))))</f>
        <v/>
      </c>
      <c r="U241" s="1" t="str">
        <f t="shared" si="29"/>
        <v>INCLUDED</v>
      </c>
      <c r="V241" s="1" t="str">
        <f t="shared" si="30"/>
        <v>2026-01</v>
      </c>
      <c r="W241" s="1">
        <f>IF(AND(U241="INCLUDED",X241&gt;0,EXACT(A241,'AI output'!A241)),1,0)</f>
        <v>1</v>
      </c>
      <c r="X241" s="1">
        <f>241</f>
        <v>241</v>
      </c>
      <c r="Y241" s="1">
        <f>IF(AND(U241="INCLUDED",W241=1),--(NOT(EXACT(A241,'AI output'!A241)))+--(NOT(EXACT(B241,'AI output'!B241)))+--(NOT(EXACT(TEXT(G241,"yyyy-mm-dd"),'AI output'!C241)))+--(NOT(EXACT(H241,'AI output'!D241)))+--(NOT(EXACT(J241,'AI output'!E241)))+--(NOT(EXACT(K241,'AI output'!F241)))+--(N241&lt;&gt;'AI output'!L241)+--(NOT('AI output'!M241)),0)</f>
        <v>0</v>
      </c>
      <c r="Z241" s="1">
        <f t="shared" si="31"/>
        <v>0</v>
      </c>
      <c r="AA241" s="1">
        <f>--EXACT(A241,"L00235")</f>
        <v>1</v>
      </c>
    </row>
    <row r="242" spans="1:27" ht="18.95" customHeight="1">
      <c r="A242" s="1" t="str">
        <f>IF(Raw!A242="","",Raw!A242)</f>
        <v>L00236</v>
      </c>
      <c r="B242" s="1" t="str">
        <f>IF(Raw!B242="","",Raw!B242)</f>
        <v>T00118</v>
      </c>
      <c r="C242" s="1" t="str">
        <f>IF(Raw!C242="","",Raw!C242)</f>
        <v>2026-01-10</v>
      </c>
      <c r="D242" s="1">
        <f t="shared" si="24"/>
        <v>2026</v>
      </c>
      <c r="E242" s="1">
        <f>IFERROR(IF(AND(LEN(C242)=10,MID(C242,5,1)="-",MID(C242,8,1)="-"),VALUE(MID(C242,6,2)),IF(AND(LEN(C242)=11,MID(C242,3,1)="-",MID(C242,7,1)="-"),MATCH(UPPER(MID(C242,4,3)),Guide!$D$7:$D$18,0),0)),0)</f>
        <v>1</v>
      </c>
      <c r="F242" s="1">
        <f t="shared" si="25"/>
        <v>10</v>
      </c>
      <c r="G242" s="9">
        <f t="shared" si="26"/>
        <v>46032</v>
      </c>
      <c r="H242" s="1" t="str">
        <f>IF(Raw!D242="","",Raw!D242)</f>
        <v>P-H</v>
      </c>
      <c r="I242" s="1" t="str">
        <f>IFERROR(IF(EXACT(H242,INDEX(Guide!$A$7:$A$9,MATCH(SUBSTITUTE(SUBSTITUTE(SUBSTITUTE(H242,"~","~~"),"*","~*"),"?","~?"),Guide!$A$7:$A$9,0))),INDEX(Guide!$B$7:$B$9,MATCH(SUBSTITUTE(SUBSTITUTE(SUBSTITUTE(H242,"~","~~"),"*","~*"),"?","~?"),Guide!$A$7:$A$9,0)),""),"")</f>
        <v>Home</v>
      </c>
      <c r="J242" s="1" t="str">
        <f>IF(TRIM(Raw!E242)="",I242,IF(UPPER(TRIM(Raw!E242))=UPPER(I242),I242,""))</f>
        <v>Home</v>
      </c>
      <c r="K242" s="1" t="str">
        <f>IF(Raw!F242="","",Raw!F242)</f>
        <v>sale</v>
      </c>
      <c r="L242" s="1" t="str">
        <f>IF(LEFT(TRIM(Raw!G242),2)="-$","-"&amp;MID(TRIM(Raw!G242),3,99),IF(LEFT(TRIM(Raw!G242),1)="$",MID(TRIM(Raw!G242),2,99),TRIM(Raw!G242)))</f>
        <v>91.94</v>
      </c>
      <c r="M242" s="1">
        <f t="shared" si="27"/>
        <v>91.94</v>
      </c>
      <c r="N242" s="10">
        <f t="shared" si="28"/>
        <v>9194</v>
      </c>
      <c r="O242" s="1" t="b">
        <f>IFERROR(IF(ISNUMBER(Raw!G242),TRUE,OR(EXACT(L242,TEXT(M242,"0.00")),EXACT(L242,TEXT(M242,"#,##0.00")))),FALSE)</f>
        <v>1</v>
      </c>
      <c r="P242" s="1" t="str">
        <f>LEN(IF(Raw!A242="","",Raw!A242))&amp;":"&amp;IF(Raw!A242="","",Raw!A242)&amp;"|"&amp;LEN(IF(Raw!B242="","",Raw!B242))&amp;":"&amp;IF(Raw!B242="","",Raw!B242)&amp;"|"&amp;LEN(IF(Raw!C242="","",Raw!C242))&amp;":"&amp;IF(Raw!C242="","",Raw!C242)&amp;"|"&amp;LEN(IF(Raw!D242="","",Raw!D242))&amp;":"&amp;IF(Raw!D242="","",Raw!D242)&amp;"|"&amp;LEN(IF(Raw!E242="","",Raw!E242))&amp;":"&amp;IF(Raw!E242="","",Raw!E242)&amp;"|"&amp;LEN(IF(Raw!F242="","",Raw!F242))&amp;":"&amp;IF(Raw!F242="","",Raw!F242)&amp;"|"&amp;LEN(IF(Raw!G242="","",Raw!G242))&amp;":"&amp;IF(Raw!G242="","",Raw!G242)</f>
        <v>6:L00236|6:T00118|10:2026-01-10|3:P-H|4:Home|4:sale|5:91.94</v>
      </c>
      <c r="Q242" s="1">
        <f>1</f>
        <v>1</v>
      </c>
      <c r="R242" s="1" t="b">
        <f>FALSE</f>
        <v>0</v>
      </c>
      <c r="S242" s="1">
        <f>1</f>
        <v>1</v>
      </c>
      <c r="T242" s="1" t="str">
        <f>IF(AND(Raw!A242="",Raw!B242="",Raw!C242="",Raw!D242="",Raw!E242="",Raw!F242="",Raw!G242=""),"UNUSED",IF(A242="","missing line ID",IF(B242="","missing transaction ID",IF(G242="",IF(C242="","missing date","invalid date"),IF(I242="","unknown product",IF(J242="","conflicting category",IF(NOT(OR(EXACT(K242,"sale"),EXACT(K242,"refund"))),"unknown event",IF(OR(N242="",NOT(O242)),"invalid amount",IF(OR(AND(K242="sale",N242&lt;=0),AND(K242="refund",N242&gt;=0)),"invalid sign","")))))))))</f>
        <v/>
      </c>
      <c r="U242" s="1" t="str">
        <f t="shared" si="29"/>
        <v>INCLUDED</v>
      </c>
      <c r="V242" s="1" t="str">
        <f t="shared" si="30"/>
        <v>2026-01</v>
      </c>
      <c r="W242" s="1">
        <f>IF(AND(U242="INCLUDED",X242&gt;0,EXACT(A242,'AI output'!A242)),1,0)</f>
        <v>1</v>
      </c>
      <c r="X242" s="1">
        <f>242</f>
        <v>242</v>
      </c>
      <c r="Y242" s="1">
        <f>IF(AND(U242="INCLUDED",W242=1),--(NOT(EXACT(A242,'AI output'!A242)))+--(NOT(EXACT(B242,'AI output'!B242)))+--(NOT(EXACT(TEXT(G242,"yyyy-mm-dd"),'AI output'!C242)))+--(NOT(EXACT(H242,'AI output'!D242)))+--(NOT(EXACT(J242,'AI output'!E242)))+--(NOT(EXACT(K242,'AI output'!F242)))+--(N242&lt;&gt;'AI output'!L242)+--(NOT('AI output'!M242)),0)</f>
        <v>0</v>
      </c>
      <c r="Z242" s="1">
        <f t="shared" si="31"/>
        <v>0</v>
      </c>
      <c r="AA242" s="1">
        <f>--EXACT(A242,"L00236")</f>
        <v>1</v>
      </c>
    </row>
    <row r="243" spans="1:27" ht="18.95" customHeight="1">
      <c r="A243" s="1" t="str">
        <f>IF(Raw!A243="","",Raw!A243)</f>
        <v>L00237</v>
      </c>
      <c r="B243" s="1" t="str">
        <f>IF(Raw!B243="","",Raw!B243)</f>
        <v>T00119</v>
      </c>
      <c r="C243" s="1" t="str">
        <f>IF(Raw!C243="","",Raw!C243)</f>
        <v>2026-01-17</v>
      </c>
      <c r="D243" s="1">
        <f t="shared" si="24"/>
        <v>2026</v>
      </c>
      <c r="E243" s="1">
        <f>IFERROR(IF(AND(LEN(C243)=10,MID(C243,5,1)="-",MID(C243,8,1)="-"),VALUE(MID(C243,6,2)),IF(AND(LEN(C243)=11,MID(C243,3,1)="-",MID(C243,7,1)="-"),MATCH(UPPER(MID(C243,4,3)),Guide!$D$7:$D$18,0),0)),0)</f>
        <v>1</v>
      </c>
      <c r="F243" s="1">
        <f t="shared" si="25"/>
        <v>17</v>
      </c>
      <c r="G243" s="9">
        <f t="shared" si="26"/>
        <v>46039</v>
      </c>
      <c r="H243" s="1" t="str">
        <f>IF(Raw!D243="","",Raw!D243)</f>
        <v>P-O</v>
      </c>
      <c r="I243" s="1" t="str">
        <f>IFERROR(IF(EXACT(H243,INDEX(Guide!$A$7:$A$9,MATCH(SUBSTITUTE(SUBSTITUTE(SUBSTITUTE(H243,"~","~~"),"*","~*"),"?","~?"),Guide!$A$7:$A$9,0))),INDEX(Guide!$B$7:$B$9,MATCH(SUBSTITUTE(SUBSTITUTE(SUBSTITUTE(H243,"~","~~"),"*","~*"),"?","~?"),Guide!$A$7:$A$9,0)),""),"")</f>
        <v>Office</v>
      </c>
      <c r="J243" s="1" t="str">
        <f>IF(TRIM(Raw!E243)="",I243,IF(UPPER(TRIM(Raw!E243))=UPPER(I243),I243,""))</f>
        <v>Office</v>
      </c>
      <c r="K243" s="1" t="str">
        <f>IF(Raw!F243="","",Raw!F243)</f>
        <v>sale</v>
      </c>
      <c r="L243" s="1" t="str">
        <f>IF(LEFT(TRIM(Raw!G243),2)="-$","-"&amp;MID(TRIM(Raw!G243),3,99),IF(LEFT(TRIM(Raw!G243),1)="$",MID(TRIM(Raw!G243),2,99),TRIM(Raw!G243)))</f>
        <v>276.93</v>
      </c>
      <c r="M243" s="1">
        <f t="shared" si="27"/>
        <v>276.93</v>
      </c>
      <c r="N243" s="10">
        <f t="shared" si="28"/>
        <v>27693</v>
      </c>
      <c r="O243" s="1" t="b">
        <f>IFERROR(IF(ISNUMBER(Raw!G243),TRUE,OR(EXACT(L243,TEXT(M243,"0.00")),EXACT(L243,TEXT(M243,"#,##0.00")))),FALSE)</f>
        <v>1</v>
      </c>
      <c r="P243" s="1" t="str">
        <f>LEN(IF(Raw!A243="","",Raw!A243))&amp;":"&amp;IF(Raw!A243="","",Raw!A243)&amp;"|"&amp;LEN(IF(Raw!B243="","",Raw!B243))&amp;":"&amp;IF(Raw!B243="","",Raw!B243)&amp;"|"&amp;LEN(IF(Raw!C243="","",Raw!C243))&amp;":"&amp;IF(Raw!C243="","",Raw!C243)&amp;"|"&amp;LEN(IF(Raw!D243="","",Raw!D243))&amp;":"&amp;IF(Raw!D243="","",Raw!D243)&amp;"|"&amp;LEN(IF(Raw!E243="","",Raw!E243))&amp;":"&amp;IF(Raw!E243="","",Raw!E243)&amp;"|"&amp;LEN(IF(Raw!F243="","",Raw!F243))&amp;":"&amp;IF(Raw!F243="","",Raw!F243)&amp;"|"&amp;LEN(IF(Raw!G243="","",Raw!G243))&amp;":"&amp;IF(Raw!G243="","",Raw!G243)</f>
        <v>6:L00237|6:T00119|10:2026-01-17|3:P-O|6:Office|4:sale|6:276.93</v>
      </c>
      <c r="Q243" s="1">
        <f>1</f>
        <v>1</v>
      </c>
      <c r="R243" s="1" t="b">
        <f>FALSE</f>
        <v>0</v>
      </c>
      <c r="S243" s="1">
        <f>1</f>
        <v>1</v>
      </c>
      <c r="T243" s="1" t="str">
        <f>IF(AND(Raw!A243="",Raw!B243="",Raw!C243="",Raw!D243="",Raw!E243="",Raw!F243="",Raw!G243=""),"UNUSED",IF(A243="","missing line ID",IF(B243="","missing transaction ID",IF(G243="",IF(C243="","missing date","invalid date"),IF(I243="","unknown product",IF(J243="","conflicting category",IF(NOT(OR(EXACT(K243,"sale"),EXACT(K243,"refund"))),"unknown event",IF(OR(N243="",NOT(O243)),"invalid amount",IF(OR(AND(K243="sale",N243&lt;=0),AND(K243="refund",N243&gt;=0)),"invalid sign","")))))))))</f>
        <v/>
      </c>
      <c r="U243" s="1" t="str">
        <f t="shared" si="29"/>
        <v>INCLUDED</v>
      </c>
      <c r="V243" s="1" t="str">
        <f t="shared" si="30"/>
        <v>2026-01</v>
      </c>
      <c r="W243" s="1">
        <f>IF(AND(U243="INCLUDED",X243&gt;0,EXACT(A243,'AI output'!A243)),1,0)</f>
        <v>1</v>
      </c>
      <c r="X243" s="1">
        <f>243</f>
        <v>243</v>
      </c>
      <c r="Y243" s="1">
        <f>IF(AND(U243="INCLUDED",W243=1),--(NOT(EXACT(A243,'AI output'!A243)))+--(NOT(EXACT(B243,'AI output'!B243)))+--(NOT(EXACT(TEXT(G243,"yyyy-mm-dd"),'AI output'!C243)))+--(NOT(EXACT(H243,'AI output'!D243)))+--(NOT(EXACT(J243,'AI output'!E243)))+--(NOT(EXACT(K243,'AI output'!F243)))+--(N243&lt;&gt;'AI output'!L243)+--(NOT('AI output'!M243)),0)</f>
        <v>0</v>
      </c>
      <c r="Z243" s="1">
        <f t="shared" si="31"/>
        <v>0</v>
      </c>
      <c r="AA243" s="1">
        <f>--EXACT(A243,"L00237")</f>
        <v>1</v>
      </c>
    </row>
    <row r="244" spans="1:27" ht="18.95" customHeight="1">
      <c r="A244" s="1" t="str">
        <f>IF(Raw!A244="","",Raw!A244)</f>
        <v>L00238</v>
      </c>
      <c r="B244" s="1" t="str">
        <f>IF(Raw!B244="","",Raw!B244)</f>
        <v>T00119</v>
      </c>
      <c r="C244" s="1" t="str">
        <f>IF(Raw!C244="","",Raw!C244)</f>
        <v>2026-01-17</v>
      </c>
      <c r="D244" s="1">
        <f t="shared" si="24"/>
        <v>2026</v>
      </c>
      <c r="E244" s="1">
        <f>IFERROR(IF(AND(LEN(C244)=10,MID(C244,5,1)="-",MID(C244,8,1)="-"),VALUE(MID(C244,6,2)),IF(AND(LEN(C244)=11,MID(C244,3,1)="-",MID(C244,7,1)="-"),MATCH(UPPER(MID(C244,4,3)),Guide!$D$7:$D$18,0),0)),0)</f>
        <v>1</v>
      </c>
      <c r="F244" s="1">
        <f t="shared" si="25"/>
        <v>17</v>
      </c>
      <c r="G244" s="9">
        <f t="shared" si="26"/>
        <v>46039</v>
      </c>
      <c r="H244" s="1" t="str">
        <f>IF(Raw!D244="","",Raw!D244)</f>
        <v>P-A</v>
      </c>
      <c r="I244" s="1" t="str">
        <f>IFERROR(IF(EXACT(H244,INDEX(Guide!$A$7:$A$9,MATCH(SUBSTITUTE(SUBSTITUTE(SUBSTITUTE(H244,"~","~~"),"*","~*"),"?","~?"),Guide!$A$7:$A$9,0))),INDEX(Guide!$B$7:$B$9,MATCH(SUBSTITUTE(SUBSTITUTE(SUBSTITUTE(H244,"~","~~"),"*","~*"),"?","~?"),Guide!$A$7:$A$9,0)),""),"")</f>
        <v>Accessories</v>
      </c>
      <c r="J244" s="1" t="str">
        <f>IF(TRIM(Raw!E244)="",I244,IF(UPPER(TRIM(Raw!E244))=UPPER(I244),I244,""))</f>
        <v>Accessories</v>
      </c>
      <c r="K244" s="1" t="str">
        <f>IF(Raw!F244="","",Raw!F244)</f>
        <v>sale</v>
      </c>
      <c r="L244" s="1" t="str">
        <f>IF(LEFT(TRIM(Raw!G244),2)="-$","-"&amp;MID(TRIM(Raw!G244),3,99),IF(LEFT(TRIM(Raw!G244),1)="$",MID(TRIM(Raw!G244),2,99),TRIM(Raw!G244)))</f>
        <v>463.40</v>
      </c>
      <c r="M244" s="1">
        <f t="shared" si="27"/>
        <v>463.4</v>
      </c>
      <c r="N244" s="10">
        <f t="shared" si="28"/>
        <v>46340</v>
      </c>
      <c r="O244" s="1" t="b">
        <f>IFERROR(IF(ISNUMBER(Raw!G244),TRUE,OR(EXACT(L244,TEXT(M244,"0.00")),EXACT(L244,TEXT(M244,"#,##0.00")))),FALSE)</f>
        <v>1</v>
      </c>
      <c r="P244" s="1" t="str">
        <f>LEN(IF(Raw!A244="","",Raw!A244))&amp;":"&amp;IF(Raw!A244="","",Raw!A244)&amp;"|"&amp;LEN(IF(Raw!B244="","",Raw!B244))&amp;":"&amp;IF(Raw!B244="","",Raw!B244)&amp;"|"&amp;LEN(IF(Raw!C244="","",Raw!C244))&amp;":"&amp;IF(Raw!C244="","",Raw!C244)&amp;"|"&amp;LEN(IF(Raw!D244="","",Raw!D244))&amp;":"&amp;IF(Raw!D244="","",Raw!D244)&amp;"|"&amp;LEN(IF(Raw!E244="","",Raw!E244))&amp;":"&amp;IF(Raw!E244="","",Raw!E244)&amp;"|"&amp;LEN(IF(Raw!F244="","",Raw!F244))&amp;":"&amp;IF(Raw!F244="","",Raw!F244)&amp;"|"&amp;LEN(IF(Raw!G244="","",Raw!G244))&amp;":"&amp;IF(Raw!G244="","",Raw!G244)</f>
        <v>6:L00238|6:T00119|10:2026-01-17|3:P-A|11:Accessories|4:sale|6:463.40</v>
      </c>
      <c r="Q244" s="1">
        <f>1</f>
        <v>1</v>
      </c>
      <c r="R244" s="1" t="b">
        <f>FALSE</f>
        <v>0</v>
      </c>
      <c r="S244" s="1">
        <f>1</f>
        <v>1</v>
      </c>
      <c r="T244" s="1" t="str">
        <f>IF(AND(Raw!A244="",Raw!B244="",Raw!C244="",Raw!D244="",Raw!E244="",Raw!F244="",Raw!G244=""),"UNUSED",IF(A244="","missing line ID",IF(B244="","missing transaction ID",IF(G244="",IF(C244="","missing date","invalid date"),IF(I244="","unknown product",IF(J244="","conflicting category",IF(NOT(OR(EXACT(K244,"sale"),EXACT(K244,"refund"))),"unknown event",IF(OR(N244="",NOT(O244)),"invalid amount",IF(OR(AND(K244="sale",N244&lt;=0),AND(K244="refund",N244&gt;=0)),"invalid sign","")))))))))</f>
        <v/>
      </c>
      <c r="U244" s="1" t="str">
        <f t="shared" si="29"/>
        <v>INCLUDED</v>
      </c>
      <c r="V244" s="1" t="str">
        <f t="shared" si="30"/>
        <v>2026-01</v>
      </c>
      <c r="W244" s="1">
        <f>IF(AND(U244="INCLUDED",X244&gt;0,EXACT(A244,'AI output'!A244)),1,0)</f>
        <v>1</v>
      </c>
      <c r="X244" s="1">
        <f>244</f>
        <v>244</v>
      </c>
      <c r="Y244" s="1">
        <f>IF(AND(U244="INCLUDED",W244=1),--(NOT(EXACT(A244,'AI output'!A244)))+--(NOT(EXACT(B244,'AI output'!B244)))+--(NOT(EXACT(TEXT(G244,"yyyy-mm-dd"),'AI output'!C244)))+--(NOT(EXACT(H244,'AI output'!D244)))+--(NOT(EXACT(J244,'AI output'!E244)))+--(NOT(EXACT(K244,'AI output'!F244)))+--(N244&lt;&gt;'AI output'!L244)+--(NOT('AI output'!M244)),0)</f>
        <v>0</v>
      </c>
      <c r="Z244" s="1">
        <f t="shared" si="31"/>
        <v>0</v>
      </c>
      <c r="AA244" s="1">
        <f>--EXACT(A244,"L00238")</f>
        <v>1</v>
      </c>
    </row>
    <row r="245" spans="1:27" ht="18.95" customHeight="1">
      <c r="A245" s="1" t="str">
        <f>IF(Raw!A245="","",Raw!A245)</f>
        <v>L00239</v>
      </c>
      <c r="B245" s="1" t="str">
        <f>IF(Raw!B245="","",Raw!B245)</f>
        <v>T00120</v>
      </c>
      <c r="C245" s="1" t="str">
        <f>IF(Raw!C245="","",Raw!C245)</f>
        <v>2026-01-24</v>
      </c>
      <c r="D245" s="1">
        <f t="shared" si="24"/>
        <v>2026</v>
      </c>
      <c r="E245" s="1">
        <f>IFERROR(IF(AND(LEN(C245)=10,MID(C245,5,1)="-",MID(C245,8,1)="-"),VALUE(MID(C245,6,2)),IF(AND(LEN(C245)=11,MID(C245,3,1)="-",MID(C245,7,1)="-"),MATCH(UPPER(MID(C245,4,3)),Guide!$D$7:$D$18,0),0)),0)</f>
        <v>1</v>
      </c>
      <c r="F245" s="1">
        <f t="shared" si="25"/>
        <v>24</v>
      </c>
      <c r="G245" s="9">
        <f t="shared" si="26"/>
        <v>46046</v>
      </c>
      <c r="H245" s="1" t="str">
        <f>IF(Raw!D245="","",Raw!D245)</f>
        <v>P-H</v>
      </c>
      <c r="I245" s="1" t="str">
        <f>IFERROR(IF(EXACT(H245,INDEX(Guide!$A$7:$A$9,MATCH(SUBSTITUTE(SUBSTITUTE(SUBSTITUTE(H245,"~","~~"),"*","~*"),"?","~?"),Guide!$A$7:$A$9,0))),INDEX(Guide!$B$7:$B$9,MATCH(SUBSTITUTE(SUBSTITUTE(SUBSTITUTE(H245,"~","~~"),"*","~*"),"?","~?"),Guide!$A$7:$A$9,0)),""),"")</f>
        <v>Home</v>
      </c>
      <c r="J245" s="1" t="str">
        <f>IF(TRIM(Raw!E245)="",I245,IF(UPPER(TRIM(Raw!E245))=UPPER(I245),I245,""))</f>
        <v>Home</v>
      </c>
      <c r="K245" s="1" t="str">
        <f>IF(Raw!F245="","",Raw!F245)</f>
        <v>sale</v>
      </c>
      <c r="L245" s="1" t="str">
        <f>IF(LEFT(TRIM(Raw!G245),2)="-$","-"&amp;MID(TRIM(Raw!G245),3,99),IF(LEFT(TRIM(Raw!G245),1)="$",MID(TRIM(Raw!G245),2,99),TRIM(Raw!G245)))</f>
        <v>186.10</v>
      </c>
      <c r="M245" s="1">
        <f t="shared" si="27"/>
        <v>186.1</v>
      </c>
      <c r="N245" s="10">
        <f t="shared" si="28"/>
        <v>18610</v>
      </c>
      <c r="O245" s="1" t="b">
        <f>IFERROR(IF(ISNUMBER(Raw!G245),TRUE,OR(EXACT(L245,TEXT(M245,"0.00")),EXACT(L245,TEXT(M245,"#,##0.00")))),FALSE)</f>
        <v>1</v>
      </c>
      <c r="P245" s="1" t="str">
        <f>LEN(IF(Raw!A245="","",Raw!A245))&amp;":"&amp;IF(Raw!A245="","",Raw!A245)&amp;"|"&amp;LEN(IF(Raw!B245="","",Raw!B245))&amp;":"&amp;IF(Raw!B245="","",Raw!B245)&amp;"|"&amp;LEN(IF(Raw!C245="","",Raw!C245))&amp;":"&amp;IF(Raw!C245="","",Raw!C245)&amp;"|"&amp;LEN(IF(Raw!D245="","",Raw!D245))&amp;":"&amp;IF(Raw!D245="","",Raw!D245)&amp;"|"&amp;LEN(IF(Raw!E245="","",Raw!E245))&amp;":"&amp;IF(Raw!E245="","",Raw!E245)&amp;"|"&amp;LEN(IF(Raw!F245="","",Raw!F245))&amp;":"&amp;IF(Raw!F245="","",Raw!F245)&amp;"|"&amp;LEN(IF(Raw!G245="","",Raw!G245))&amp;":"&amp;IF(Raw!G245="","",Raw!G245)</f>
        <v>6:L00239|6:T00120|10:2026-01-24|3:P-H|4:Home|4:sale|6:186.10</v>
      </c>
      <c r="Q245" s="1">
        <f>1</f>
        <v>1</v>
      </c>
      <c r="R245" s="1" t="b">
        <f>FALSE</f>
        <v>0</v>
      </c>
      <c r="S245" s="1">
        <f>1</f>
        <v>1</v>
      </c>
      <c r="T245" s="1" t="str">
        <f>IF(AND(Raw!A245="",Raw!B245="",Raw!C245="",Raw!D245="",Raw!E245="",Raw!F245="",Raw!G245=""),"UNUSED",IF(A245="","missing line ID",IF(B245="","missing transaction ID",IF(G245="",IF(C245="","missing date","invalid date"),IF(I245="","unknown product",IF(J245="","conflicting category",IF(NOT(OR(EXACT(K245,"sale"),EXACT(K245,"refund"))),"unknown event",IF(OR(N245="",NOT(O245)),"invalid amount",IF(OR(AND(K245="sale",N245&lt;=0),AND(K245="refund",N245&gt;=0)),"invalid sign","")))))))))</f>
        <v/>
      </c>
      <c r="U245" s="1" t="str">
        <f t="shared" si="29"/>
        <v>INCLUDED</v>
      </c>
      <c r="V245" s="1" t="str">
        <f t="shared" si="30"/>
        <v>2026-01</v>
      </c>
      <c r="W245" s="1">
        <f>IF(AND(U245="INCLUDED",X245&gt;0,EXACT(A245,'AI output'!A245)),1,0)</f>
        <v>1</v>
      </c>
      <c r="X245" s="1">
        <f>245</f>
        <v>245</v>
      </c>
      <c r="Y245" s="1">
        <f>IF(AND(U245="INCLUDED",W245=1),--(NOT(EXACT(A245,'AI output'!A245)))+--(NOT(EXACT(B245,'AI output'!B245)))+--(NOT(EXACT(TEXT(G245,"yyyy-mm-dd"),'AI output'!C245)))+--(NOT(EXACT(H245,'AI output'!D245)))+--(NOT(EXACT(J245,'AI output'!E245)))+--(NOT(EXACT(K245,'AI output'!F245)))+--(N245&lt;&gt;'AI output'!L245)+--(NOT('AI output'!M245)),0)</f>
        <v>0</v>
      </c>
      <c r="Z245" s="1">
        <f t="shared" si="31"/>
        <v>0</v>
      </c>
      <c r="AA245" s="1">
        <f>--EXACT(A245,"L00239")</f>
        <v>1</v>
      </c>
    </row>
    <row r="246" spans="1:27" ht="18.95" customHeight="1">
      <c r="A246" s="1" t="str">
        <f>IF(Raw!A246="","",Raw!A246)</f>
        <v>L00240</v>
      </c>
      <c r="B246" s="1" t="str">
        <f>IF(Raw!B246="","",Raw!B246)</f>
        <v>T00120</v>
      </c>
      <c r="C246" s="1" t="str">
        <f>IF(Raw!C246="","",Raw!C246)</f>
        <v>2026-01-24</v>
      </c>
      <c r="D246" s="1">
        <f t="shared" si="24"/>
        <v>2026</v>
      </c>
      <c r="E246" s="1">
        <f>IFERROR(IF(AND(LEN(C246)=10,MID(C246,5,1)="-",MID(C246,8,1)="-"),VALUE(MID(C246,6,2)),IF(AND(LEN(C246)=11,MID(C246,3,1)="-",MID(C246,7,1)="-"),MATCH(UPPER(MID(C246,4,3)),Guide!$D$7:$D$18,0),0)),0)</f>
        <v>1</v>
      </c>
      <c r="F246" s="1">
        <f t="shared" si="25"/>
        <v>24</v>
      </c>
      <c r="G246" s="9">
        <f t="shared" si="26"/>
        <v>46046</v>
      </c>
      <c r="H246" s="1" t="str">
        <f>IF(Raw!D246="","",Raw!D246)</f>
        <v>P-O</v>
      </c>
      <c r="I246" s="1" t="str">
        <f>IFERROR(IF(EXACT(H246,INDEX(Guide!$A$7:$A$9,MATCH(SUBSTITUTE(SUBSTITUTE(SUBSTITUTE(H246,"~","~~"),"*","~*"),"?","~?"),Guide!$A$7:$A$9,0))),INDEX(Guide!$B$7:$B$9,MATCH(SUBSTITUTE(SUBSTITUTE(SUBSTITUTE(H246,"~","~~"),"*","~*"),"?","~?"),Guide!$A$7:$A$9,0)),""),"")</f>
        <v>Office</v>
      </c>
      <c r="J246" s="1" t="str">
        <f>IF(TRIM(Raw!E246)="",I246,IF(UPPER(TRIM(Raw!E246))=UPPER(I246),I246,""))</f>
        <v>Office</v>
      </c>
      <c r="K246" s="1" t="str">
        <f>IF(Raw!F246="","",Raw!F246)</f>
        <v>sale</v>
      </c>
      <c r="L246" s="1" t="str">
        <f>IF(LEFT(TRIM(Raw!G246),2)="-$","-"&amp;MID(TRIM(Raw!G246),3,99),IF(LEFT(TRIM(Raw!G246),1)="$",MID(TRIM(Raw!G246),2,99),TRIM(Raw!G246)))</f>
        <v>373.68</v>
      </c>
      <c r="M246" s="1">
        <f t="shared" si="27"/>
        <v>373.68</v>
      </c>
      <c r="N246" s="10">
        <f t="shared" si="28"/>
        <v>37368</v>
      </c>
      <c r="O246" s="1" t="b">
        <f>IFERROR(IF(ISNUMBER(Raw!G246),TRUE,OR(EXACT(L246,TEXT(M246,"0.00")),EXACT(L246,TEXT(M246,"#,##0.00")))),FALSE)</f>
        <v>1</v>
      </c>
      <c r="P246" s="1" t="str">
        <f>LEN(IF(Raw!A246="","",Raw!A246))&amp;":"&amp;IF(Raw!A246="","",Raw!A246)&amp;"|"&amp;LEN(IF(Raw!B246="","",Raw!B246))&amp;":"&amp;IF(Raw!B246="","",Raw!B246)&amp;"|"&amp;LEN(IF(Raw!C246="","",Raw!C246))&amp;":"&amp;IF(Raw!C246="","",Raw!C246)&amp;"|"&amp;LEN(IF(Raw!D246="","",Raw!D246))&amp;":"&amp;IF(Raw!D246="","",Raw!D246)&amp;"|"&amp;LEN(IF(Raw!E246="","",Raw!E246))&amp;":"&amp;IF(Raw!E246="","",Raw!E246)&amp;"|"&amp;LEN(IF(Raw!F246="","",Raw!F246))&amp;":"&amp;IF(Raw!F246="","",Raw!F246)&amp;"|"&amp;LEN(IF(Raw!G246="","",Raw!G246))&amp;":"&amp;IF(Raw!G246="","",Raw!G246)</f>
        <v>6:L00240|6:T00120|10:2026-01-24|3:P-O|6:Office|4:sale|6:373.68</v>
      </c>
      <c r="Q246" s="1">
        <f>1</f>
        <v>1</v>
      </c>
      <c r="R246" s="1" t="b">
        <f>FALSE</f>
        <v>0</v>
      </c>
      <c r="S246" s="1">
        <f>1</f>
        <v>1</v>
      </c>
      <c r="T246" s="1" t="str">
        <f>IF(AND(Raw!A246="",Raw!B246="",Raw!C246="",Raw!D246="",Raw!E246="",Raw!F246="",Raw!G246=""),"UNUSED",IF(A246="","missing line ID",IF(B246="","missing transaction ID",IF(G246="",IF(C246="","missing date","invalid date"),IF(I246="","unknown product",IF(J246="","conflicting category",IF(NOT(OR(EXACT(K246,"sale"),EXACT(K246,"refund"))),"unknown event",IF(OR(N246="",NOT(O246)),"invalid amount",IF(OR(AND(K246="sale",N246&lt;=0),AND(K246="refund",N246&gt;=0)),"invalid sign","")))))))))</f>
        <v/>
      </c>
      <c r="U246" s="1" t="str">
        <f t="shared" si="29"/>
        <v>INCLUDED</v>
      </c>
      <c r="V246" s="1" t="str">
        <f t="shared" si="30"/>
        <v>2026-01</v>
      </c>
      <c r="W246" s="1">
        <f>IF(AND(U246="INCLUDED",X246&gt;0,EXACT(A246,'AI output'!A246)),1,0)</f>
        <v>1</v>
      </c>
      <c r="X246" s="1">
        <f>246</f>
        <v>246</v>
      </c>
      <c r="Y246" s="1">
        <f>IF(AND(U246="INCLUDED",W246=1),--(NOT(EXACT(A246,'AI output'!A246)))+--(NOT(EXACT(B246,'AI output'!B246)))+--(NOT(EXACT(TEXT(G246,"yyyy-mm-dd"),'AI output'!C246)))+--(NOT(EXACT(H246,'AI output'!D246)))+--(NOT(EXACT(J246,'AI output'!E246)))+--(NOT(EXACT(K246,'AI output'!F246)))+--(N246&lt;&gt;'AI output'!L246)+--(NOT('AI output'!M246)),0)</f>
        <v>0</v>
      </c>
      <c r="Z246" s="1">
        <f t="shared" si="31"/>
        <v>0</v>
      </c>
      <c r="AA246" s="1">
        <f>--EXACT(A246,"L00240")</f>
        <v>1</v>
      </c>
    </row>
    <row r="247" spans="1:27" ht="18.95" customHeight="1">
      <c r="A247" s="1" t="str">
        <f>IF(Raw!A247="","",Raw!A247)</f>
        <v>L00241</v>
      </c>
      <c r="B247" s="1" t="str">
        <f>IF(Raw!B247="","",Raw!B247)</f>
        <v>T00121</v>
      </c>
      <c r="C247" s="1" t="str">
        <f>IF(Raw!C247="","",Raw!C247)</f>
        <v>2026-01-31</v>
      </c>
      <c r="D247" s="1">
        <f t="shared" si="24"/>
        <v>2026</v>
      </c>
      <c r="E247" s="1">
        <f>IFERROR(IF(AND(LEN(C247)=10,MID(C247,5,1)="-",MID(C247,8,1)="-"),VALUE(MID(C247,6,2)),IF(AND(LEN(C247)=11,MID(C247,3,1)="-",MID(C247,7,1)="-"),MATCH(UPPER(MID(C247,4,3)),Guide!$D$7:$D$18,0),0)),0)</f>
        <v>1</v>
      </c>
      <c r="F247" s="1">
        <f t="shared" si="25"/>
        <v>31</v>
      </c>
      <c r="G247" s="9">
        <f t="shared" si="26"/>
        <v>46053</v>
      </c>
      <c r="H247" s="1" t="str">
        <f>IF(Raw!D247="","",Raw!D247)</f>
        <v>P-A</v>
      </c>
      <c r="I247" s="1" t="str">
        <f>IFERROR(IF(EXACT(H247,INDEX(Guide!$A$7:$A$9,MATCH(SUBSTITUTE(SUBSTITUTE(SUBSTITUTE(H247,"~","~~"),"*","~*"),"?","~?"),Guide!$A$7:$A$9,0))),INDEX(Guide!$B$7:$B$9,MATCH(SUBSTITUTE(SUBSTITUTE(SUBSTITUTE(H247,"~","~~"),"*","~*"),"?","~?"),Guide!$A$7:$A$9,0)),""),"")</f>
        <v>Accessories</v>
      </c>
      <c r="J247" s="1" t="str">
        <f>IF(TRIM(Raw!E247)="",I247,IF(UPPER(TRIM(Raw!E247))=UPPER(I247),I247,""))</f>
        <v>Accessories</v>
      </c>
      <c r="K247" s="1" t="str">
        <f>IF(Raw!F247="","",Raw!F247)</f>
        <v>sale</v>
      </c>
      <c r="L247" s="1" t="str">
        <f>IF(LEFT(TRIM(Raw!G247),2)="-$","-"&amp;MID(TRIM(Raw!G247),3,99),IF(LEFT(TRIM(Raw!G247),1)="$",MID(TRIM(Raw!G247),2,99),TRIM(Raw!G247)))</f>
        <v>93.79</v>
      </c>
      <c r="M247" s="1">
        <f t="shared" si="27"/>
        <v>93.79</v>
      </c>
      <c r="N247" s="10">
        <f t="shared" si="28"/>
        <v>9379</v>
      </c>
      <c r="O247" s="1" t="b">
        <f>IFERROR(IF(ISNUMBER(Raw!G247),TRUE,OR(EXACT(L247,TEXT(M247,"0.00")),EXACT(L247,TEXT(M247,"#,##0.00")))),FALSE)</f>
        <v>1</v>
      </c>
      <c r="P247" s="1" t="str">
        <f>LEN(IF(Raw!A247="","",Raw!A247))&amp;":"&amp;IF(Raw!A247="","",Raw!A247)&amp;"|"&amp;LEN(IF(Raw!B247="","",Raw!B247))&amp;":"&amp;IF(Raw!B247="","",Raw!B247)&amp;"|"&amp;LEN(IF(Raw!C247="","",Raw!C247))&amp;":"&amp;IF(Raw!C247="","",Raw!C247)&amp;"|"&amp;LEN(IF(Raw!D247="","",Raw!D247))&amp;":"&amp;IF(Raw!D247="","",Raw!D247)&amp;"|"&amp;LEN(IF(Raw!E247="","",Raw!E247))&amp;":"&amp;IF(Raw!E247="","",Raw!E247)&amp;"|"&amp;LEN(IF(Raw!F247="","",Raw!F247))&amp;":"&amp;IF(Raw!F247="","",Raw!F247)&amp;"|"&amp;LEN(IF(Raw!G247="","",Raw!G247))&amp;":"&amp;IF(Raw!G247="","",Raw!G247)</f>
        <v>6:L00241|6:T00121|10:2026-01-31|3:P-A|11:Accessories|4:sale|5:93.79</v>
      </c>
      <c r="Q247" s="1">
        <f>1</f>
        <v>1</v>
      </c>
      <c r="R247" s="1" t="b">
        <f>FALSE</f>
        <v>0</v>
      </c>
      <c r="S247" s="1">
        <f>1</f>
        <v>1</v>
      </c>
      <c r="T247" s="1" t="str">
        <f>IF(AND(Raw!A247="",Raw!B247="",Raw!C247="",Raw!D247="",Raw!E247="",Raw!F247="",Raw!G247=""),"UNUSED",IF(A247="","missing line ID",IF(B247="","missing transaction ID",IF(G247="",IF(C247="","missing date","invalid date"),IF(I247="","unknown product",IF(J247="","conflicting category",IF(NOT(OR(EXACT(K247,"sale"),EXACT(K247,"refund"))),"unknown event",IF(OR(N247="",NOT(O247)),"invalid amount",IF(OR(AND(K247="sale",N247&lt;=0),AND(K247="refund",N247&gt;=0)),"invalid sign","")))))))))</f>
        <v/>
      </c>
      <c r="U247" s="1" t="str">
        <f t="shared" si="29"/>
        <v>INCLUDED</v>
      </c>
      <c r="V247" s="1" t="str">
        <f t="shared" si="30"/>
        <v>2026-01</v>
      </c>
      <c r="W247" s="1">
        <f>IF(AND(U247="INCLUDED",X247&gt;0,EXACT(A247,'AI output'!A247)),1,0)</f>
        <v>1</v>
      </c>
      <c r="X247" s="1">
        <f>247</f>
        <v>247</v>
      </c>
      <c r="Y247" s="1">
        <f>IF(AND(U247="INCLUDED",W247=1),--(NOT(EXACT(A247,'AI output'!A247)))+--(NOT(EXACT(B247,'AI output'!B247)))+--(NOT(EXACT(TEXT(G247,"yyyy-mm-dd"),'AI output'!C247)))+--(NOT(EXACT(H247,'AI output'!D247)))+--(NOT(EXACT(J247,'AI output'!E247)))+--(NOT(EXACT(K247,'AI output'!F247)))+--(N247&lt;&gt;'AI output'!L247)+--(NOT('AI output'!M247)),0)</f>
        <v>0</v>
      </c>
      <c r="Z247" s="1">
        <f t="shared" si="31"/>
        <v>0</v>
      </c>
      <c r="AA247" s="1">
        <f>--EXACT(A247,"L00241")</f>
        <v>1</v>
      </c>
    </row>
    <row r="248" spans="1:27" ht="18.95" customHeight="1">
      <c r="A248" s="1" t="str">
        <f>IF(Raw!A248="","",Raw!A248)</f>
        <v>L00242</v>
      </c>
      <c r="B248" s="1" t="str">
        <f>IF(Raw!B248="","",Raw!B248)</f>
        <v>T00121</v>
      </c>
      <c r="C248" s="1" t="str">
        <f>IF(Raw!C248="","",Raw!C248)</f>
        <v>2026-01-31</v>
      </c>
      <c r="D248" s="1">
        <f t="shared" si="24"/>
        <v>2026</v>
      </c>
      <c r="E248" s="1">
        <f>IFERROR(IF(AND(LEN(C248)=10,MID(C248,5,1)="-",MID(C248,8,1)="-"),VALUE(MID(C248,6,2)),IF(AND(LEN(C248)=11,MID(C248,3,1)="-",MID(C248,7,1)="-"),MATCH(UPPER(MID(C248,4,3)),Guide!$D$7:$D$18,0),0)),0)</f>
        <v>1</v>
      </c>
      <c r="F248" s="1">
        <f t="shared" si="25"/>
        <v>31</v>
      </c>
      <c r="G248" s="9">
        <f t="shared" si="26"/>
        <v>46053</v>
      </c>
      <c r="H248" s="1" t="str">
        <f>IF(Raw!D248="","",Raw!D248)</f>
        <v>P-H</v>
      </c>
      <c r="I248" s="1" t="str">
        <f>IFERROR(IF(EXACT(H248,INDEX(Guide!$A$7:$A$9,MATCH(SUBSTITUTE(SUBSTITUTE(SUBSTITUTE(H248,"~","~~"),"*","~*"),"?","~?"),Guide!$A$7:$A$9,0))),INDEX(Guide!$B$7:$B$9,MATCH(SUBSTITUTE(SUBSTITUTE(SUBSTITUTE(H248,"~","~~"),"*","~*"),"?","~?"),Guide!$A$7:$A$9,0)),""),"")</f>
        <v>Home</v>
      </c>
      <c r="J248" s="1" t="str">
        <f>IF(TRIM(Raw!E248)="",I248,IF(UPPER(TRIM(Raw!E248))=UPPER(I248),I248,""))</f>
        <v>Home</v>
      </c>
      <c r="K248" s="1" t="str">
        <f>IF(Raw!F248="","",Raw!F248)</f>
        <v>sale</v>
      </c>
      <c r="L248" s="1" t="str">
        <f>IF(LEFT(TRIM(Raw!G248),2)="-$","-"&amp;MID(TRIM(Raw!G248),3,99),IF(LEFT(TRIM(Raw!G248),1)="$",MID(TRIM(Raw!G248),2,99),TRIM(Raw!G248)))</f>
        <v>282.48</v>
      </c>
      <c r="M248" s="1">
        <f t="shared" si="27"/>
        <v>282.48</v>
      </c>
      <c r="N248" s="10">
        <f t="shared" si="28"/>
        <v>28248</v>
      </c>
      <c r="O248" s="1" t="b">
        <f>IFERROR(IF(ISNUMBER(Raw!G248),TRUE,OR(EXACT(L248,TEXT(M248,"0.00")),EXACT(L248,TEXT(M248,"#,##0.00")))),FALSE)</f>
        <v>1</v>
      </c>
      <c r="P248" s="1" t="str">
        <f>LEN(IF(Raw!A248="","",Raw!A248))&amp;":"&amp;IF(Raw!A248="","",Raw!A248)&amp;"|"&amp;LEN(IF(Raw!B248="","",Raw!B248))&amp;":"&amp;IF(Raw!B248="","",Raw!B248)&amp;"|"&amp;LEN(IF(Raw!C248="","",Raw!C248))&amp;":"&amp;IF(Raw!C248="","",Raw!C248)&amp;"|"&amp;LEN(IF(Raw!D248="","",Raw!D248))&amp;":"&amp;IF(Raw!D248="","",Raw!D248)&amp;"|"&amp;LEN(IF(Raw!E248="","",Raw!E248))&amp;":"&amp;IF(Raw!E248="","",Raw!E248)&amp;"|"&amp;LEN(IF(Raw!F248="","",Raw!F248))&amp;":"&amp;IF(Raw!F248="","",Raw!F248)&amp;"|"&amp;LEN(IF(Raw!G248="","",Raw!G248))&amp;":"&amp;IF(Raw!G248="","",Raw!G248)</f>
        <v>6:L00242|6:T00121|10:2026-01-31|3:P-H|4:Home|4:sale|6:282.48</v>
      </c>
      <c r="Q248" s="1">
        <f>1</f>
        <v>1</v>
      </c>
      <c r="R248" s="1" t="b">
        <f>FALSE</f>
        <v>0</v>
      </c>
      <c r="S248" s="1">
        <f>1</f>
        <v>1</v>
      </c>
      <c r="T248" s="1" t="str">
        <f>IF(AND(Raw!A248="",Raw!B248="",Raw!C248="",Raw!D248="",Raw!E248="",Raw!F248="",Raw!G248=""),"UNUSED",IF(A248="","missing line ID",IF(B248="","missing transaction ID",IF(G248="",IF(C248="","missing date","invalid date"),IF(I248="","unknown product",IF(J248="","conflicting category",IF(NOT(OR(EXACT(K248,"sale"),EXACT(K248,"refund"))),"unknown event",IF(OR(N248="",NOT(O248)),"invalid amount",IF(OR(AND(K248="sale",N248&lt;=0),AND(K248="refund",N248&gt;=0)),"invalid sign","")))))))))</f>
        <v/>
      </c>
      <c r="U248" s="1" t="str">
        <f t="shared" si="29"/>
        <v>INCLUDED</v>
      </c>
      <c r="V248" s="1" t="str">
        <f t="shared" si="30"/>
        <v>2026-01</v>
      </c>
      <c r="W248" s="1">
        <f>IF(AND(U248="INCLUDED",X248&gt;0,EXACT(A248,'AI output'!A248)),1,0)</f>
        <v>1</v>
      </c>
      <c r="X248" s="1">
        <f>248</f>
        <v>248</v>
      </c>
      <c r="Y248" s="1">
        <f>IF(AND(U248="INCLUDED",W248=1),--(NOT(EXACT(A248,'AI output'!A248)))+--(NOT(EXACT(B248,'AI output'!B248)))+--(NOT(EXACT(TEXT(G248,"yyyy-mm-dd"),'AI output'!C248)))+--(NOT(EXACT(H248,'AI output'!D248)))+--(NOT(EXACT(J248,'AI output'!E248)))+--(NOT(EXACT(K248,'AI output'!F248)))+--(N248&lt;&gt;'AI output'!L248)+--(NOT('AI output'!M248)),0)</f>
        <v>0</v>
      </c>
      <c r="Z248" s="1">
        <f t="shared" si="31"/>
        <v>0</v>
      </c>
      <c r="AA248" s="1">
        <f>--EXACT(A248,"L00242")</f>
        <v>1</v>
      </c>
    </row>
    <row r="249" spans="1:27" ht="18.95" customHeight="1">
      <c r="A249" s="1" t="str">
        <f>IF(Raw!A249="","",Raw!A249)</f>
        <v>L00243</v>
      </c>
      <c r="B249" s="1" t="str">
        <f>IF(Raw!B249="","",Raw!B249)</f>
        <v>T00122</v>
      </c>
      <c r="C249" s="1" t="str">
        <f>IF(Raw!C249="","",Raw!C249)</f>
        <v>2026-02-07</v>
      </c>
      <c r="D249" s="1">
        <f t="shared" si="24"/>
        <v>2026</v>
      </c>
      <c r="E249" s="1">
        <f>IFERROR(IF(AND(LEN(C249)=10,MID(C249,5,1)="-",MID(C249,8,1)="-"),VALUE(MID(C249,6,2)),IF(AND(LEN(C249)=11,MID(C249,3,1)="-",MID(C249,7,1)="-"),MATCH(UPPER(MID(C249,4,3)),Guide!$D$7:$D$18,0),0)),0)</f>
        <v>2</v>
      </c>
      <c r="F249" s="1">
        <f t="shared" si="25"/>
        <v>7</v>
      </c>
      <c r="G249" s="9">
        <f t="shared" si="26"/>
        <v>46060</v>
      </c>
      <c r="H249" s="1" t="str">
        <f>IF(Raw!D249="","",Raw!D249)</f>
        <v>P-O</v>
      </c>
      <c r="I249" s="1" t="str">
        <f>IFERROR(IF(EXACT(H249,INDEX(Guide!$A$7:$A$9,MATCH(SUBSTITUTE(SUBSTITUTE(SUBSTITUTE(H249,"~","~~"),"*","~*"),"?","~?"),Guide!$A$7:$A$9,0))),INDEX(Guide!$B$7:$B$9,MATCH(SUBSTITUTE(SUBSTITUTE(SUBSTITUTE(H249,"~","~~"),"*","~*"),"?","~?"),Guide!$A$7:$A$9,0)),""),"")</f>
        <v>Office</v>
      </c>
      <c r="J249" s="1" t="str">
        <f>IF(TRIM(Raw!E249)="",I249,IF(UPPER(TRIM(Raw!E249))=UPPER(I249),I249,""))</f>
        <v>Office</v>
      </c>
      <c r="K249" s="1" t="str">
        <f>IF(Raw!F249="","",Raw!F249)</f>
        <v>sale</v>
      </c>
      <c r="L249" s="1" t="str">
        <f>IF(LEFT(TRIM(Raw!G249),2)="-$","-"&amp;MID(TRIM(Raw!G249),3,99),IF(LEFT(TRIM(Raw!G249),1)="$",MID(TRIM(Raw!G249),2,99),TRIM(Raw!G249)))</f>
        <v>472.65</v>
      </c>
      <c r="M249" s="1">
        <f t="shared" si="27"/>
        <v>472.65</v>
      </c>
      <c r="N249" s="10">
        <f t="shared" si="28"/>
        <v>47265</v>
      </c>
      <c r="O249" s="1" t="b">
        <f>IFERROR(IF(ISNUMBER(Raw!G249),TRUE,OR(EXACT(L249,TEXT(M249,"0.00")),EXACT(L249,TEXT(M249,"#,##0.00")))),FALSE)</f>
        <v>1</v>
      </c>
      <c r="P249" s="1" t="str">
        <f>LEN(IF(Raw!A249="","",Raw!A249))&amp;":"&amp;IF(Raw!A249="","",Raw!A249)&amp;"|"&amp;LEN(IF(Raw!B249="","",Raw!B249))&amp;":"&amp;IF(Raw!B249="","",Raw!B249)&amp;"|"&amp;LEN(IF(Raw!C249="","",Raw!C249))&amp;":"&amp;IF(Raw!C249="","",Raw!C249)&amp;"|"&amp;LEN(IF(Raw!D249="","",Raw!D249))&amp;":"&amp;IF(Raw!D249="","",Raw!D249)&amp;"|"&amp;LEN(IF(Raw!E249="","",Raw!E249))&amp;":"&amp;IF(Raw!E249="","",Raw!E249)&amp;"|"&amp;LEN(IF(Raw!F249="","",Raw!F249))&amp;":"&amp;IF(Raw!F249="","",Raw!F249)&amp;"|"&amp;LEN(IF(Raw!G249="","",Raw!G249))&amp;":"&amp;IF(Raw!G249="","",Raw!G249)</f>
        <v>6:L00243|6:T00122|10:2026-02-07|3:P-O|6:Office|4:sale|6:472.65</v>
      </c>
      <c r="Q249" s="1">
        <f>1</f>
        <v>1</v>
      </c>
      <c r="R249" s="1" t="b">
        <f>FALSE</f>
        <v>0</v>
      </c>
      <c r="S249" s="1">
        <f>1</f>
        <v>1</v>
      </c>
      <c r="T249" s="1" t="str">
        <f>IF(AND(Raw!A249="",Raw!B249="",Raw!C249="",Raw!D249="",Raw!E249="",Raw!F249="",Raw!G249=""),"UNUSED",IF(A249="","missing line ID",IF(B249="","missing transaction ID",IF(G249="",IF(C249="","missing date","invalid date"),IF(I249="","unknown product",IF(J249="","conflicting category",IF(NOT(OR(EXACT(K249,"sale"),EXACT(K249,"refund"))),"unknown event",IF(OR(N249="",NOT(O249)),"invalid amount",IF(OR(AND(K249="sale",N249&lt;=0),AND(K249="refund",N249&gt;=0)),"invalid sign","")))))))))</f>
        <v/>
      </c>
      <c r="U249" s="1" t="str">
        <f t="shared" si="29"/>
        <v>INCLUDED</v>
      </c>
      <c r="V249" s="1" t="str">
        <f t="shared" si="30"/>
        <v>2026-02</v>
      </c>
      <c r="W249" s="1">
        <f>IF(AND(U249="INCLUDED",X249&gt;0,EXACT(A249,'AI output'!A249)),1,0)</f>
        <v>1</v>
      </c>
      <c r="X249" s="1">
        <f>249</f>
        <v>249</v>
      </c>
      <c r="Y249" s="1">
        <f>IF(AND(U249="INCLUDED",W249=1),--(NOT(EXACT(A249,'AI output'!A249)))+--(NOT(EXACT(B249,'AI output'!B249)))+--(NOT(EXACT(TEXT(G249,"yyyy-mm-dd"),'AI output'!C249)))+--(NOT(EXACT(H249,'AI output'!D249)))+--(NOT(EXACT(J249,'AI output'!E249)))+--(NOT(EXACT(K249,'AI output'!F249)))+--(N249&lt;&gt;'AI output'!L249)+--(NOT('AI output'!M249)),0)</f>
        <v>0</v>
      </c>
      <c r="Z249" s="1">
        <f t="shared" si="31"/>
        <v>0</v>
      </c>
      <c r="AA249" s="1">
        <f>--EXACT(A249,"L00243")</f>
        <v>1</v>
      </c>
    </row>
    <row r="250" spans="1:27" ht="18.95" customHeight="1">
      <c r="A250" s="1" t="str">
        <f>IF(Raw!A250="","",Raw!A250)</f>
        <v>L00244</v>
      </c>
      <c r="B250" s="1" t="str">
        <f>IF(Raw!B250="","",Raw!B250)</f>
        <v>T00122</v>
      </c>
      <c r="C250" s="1" t="str">
        <f>IF(Raw!C250="","",Raw!C250)</f>
        <v>2026-02-07</v>
      </c>
      <c r="D250" s="1">
        <f t="shared" si="24"/>
        <v>2026</v>
      </c>
      <c r="E250" s="1">
        <f>IFERROR(IF(AND(LEN(C250)=10,MID(C250,5,1)="-",MID(C250,8,1)="-"),VALUE(MID(C250,6,2)),IF(AND(LEN(C250)=11,MID(C250,3,1)="-",MID(C250,7,1)="-"),MATCH(UPPER(MID(C250,4,3)),Guide!$D$7:$D$18,0),0)),0)</f>
        <v>2</v>
      </c>
      <c r="F250" s="1">
        <f t="shared" si="25"/>
        <v>7</v>
      </c>
      <c r="G250" s="9">
        <f t="shared" si="26"/>
        <v>46060</v>
      </c>
      <c r="H250" s="1" t="str">
        <f>IF(Raw!D250="","",Raw!D250)</f>
        <v>P-A</v>
      </c>
      <c r="I250" s="1" t="str">
        <f>IFERROR(IF(EXACT(H250,INDEX(Guide!$A$7:$A$9,MATCH(SUBSTITUTE(SUBSTITUTE(SUBSTITUTE(H250,"~","~~"),"*","~*"),"?","~?"),Guide!$A$7:$A$9,0))),INDEX(Guide!$B$7:$B$9,MATCH(SUBSTITUTE(SUBSTITUTE(SUBSTITUTE(H250,"~","~~"),"*","~*"),"?","~?"),Guide!$A$7:$A$9,0)),""),"")</f>
        <v>Accessories</v>
      </c>
      <c r="J250" s="1" t="str">
        <f>IF(TRIM(Raw!E250)="",I250,IF(UPPER(TRIM(Raw!E250))=UPPER(I250),I250,""))</f>
        <v>Accessories</v>
      </c>
      <c r="K250" s="1" t="str">
        <f>IF(Raw!F250="","",Raw!F250)</f>
        <v>sale</v>
      </c>
      <c r="L250" s="1" t="str">
        <f>IF(LEFT(TRIM(Raw!G250),2)="-$","-"&amp;MID(TRIM(Raw!G250),3,99),IF(LEFT(TRIM(Raw!G250),1)="$",MID(TRIM(Raw!G250),2,99),TRIM(Raw!G250)))</f>
        <v>189.80</v>
      </c>
      <c r="M250" s="1">
        <f t="shared" si="27"/>
        <v>189.8</v>
      </c>
      <c r="N250" s="10">
        <f t="shared" si="28"/>
        <v>18980</v>
      </c>
      <c r="O250" s="1" t="b">
        <f>IFERROR(IF(ISNUMBER(Raw!G250),TRUE,OR(EXACT(L250,TEXT(M250,"0.00")),EXACT(L250,TEXT(M250,"#,##0.00")))),FALSE)</f>
        <v>1</v>
      </c>
      <c r="P250" s="1" t="str">
        <f>LEN(IF(Raw!A250="","",Raw!A250))&amp;":"&amp;IF(Raw!A250="","",Raw!A250)&amp;"|"&amp;LEN(IF(Raw!B250="","",Raw!B250))&amp;":"&amp;IF(Raw!B250="","",Raw!B250)&amp;"|"&amp;LEN(IF(Raw!C250="","",Raw!C250))&amp;":"&amp;IF(Raw!C250="","",Raw!C250)&amp;"|"&amp;LEN(IF(Raw!D250="","",Raw!D250))&amp;":"&amp;IF(Raw!D250="","",Raw!D250)&amp;"|"&amp;LEN(IF(Raw!E250="","",Raw!E250))&amp;":"&amp;IF(Raw!E250="","",Raw!E250)&amp;"|"&amp;LEN(IF(Raw!F250="","",Raw!F250))&amp;":"&amp;IF(Raw!F250="","",Raw!F250)&amp;"|"&amp;LEN(IF(Raw!G250="","",Raw!G250))&amp;":"&amp;IF(Raw!G250="","",Raw!G250)</f>
        <v>6:L00244|6:T00122|10:2026-02-07|3:P-A|11:Accessories|4:sale|6:189.80</v>
      </c>
      <c r="Q250" s="1">
        <f>1</f>
        <v>1</v>
      </c>
      <c r="R250" s="1" t="b">
        <f>FALSE</f>
        <v>0</v>
      </c>
      <c r="S250" s="1">
        <f>1</f>
        <v>1</v>
      </c>
      <c r="T250" s="1" t="str">
        <f>IF(AND(Raw!A250="",Raw!B250="",Raw!C250="",Raw!D250="",Raw!E250="",Raw!F250="",Raw!G250=""),"UNUSED",IF(A250="","missing line ID",IF(B250="","missing transaction ID",IF(G250="",IF(C250="","missing date","invalid date"),IF(I250="","unknown product",IF(J250="","conflicting category",IF(NOT(OR(EXACT(K250,"sale"),EXACT(K250,"refund"))),"unknown event",IF(OR(N250="",NOT(O250)),"invalid amount",IF(OR(AND(K250="sale",N250&lt;=0),AND(K250="refund",N250&gt;=0)),"invalid sign","")))))))))</f>
        <v/>
      </c>
      <c r="U250" s="1" t="str">
        <f t="shared" si="29"/>
        <v>INCLUDED</v>
      </c>
      <c r="V250" s="1" t="str">
        <f t="shared" si="30"/>
        <v>2026-02</v>
      </c>
      <c r="W250" s="1">
        <f>IF(AND(U250="INCLUDED",X250&gt;0,EXACT(A250,'AI output'!A250)),1,0)</f>
        <v>1</v>
      </c>
      <c r="X250" s="1">
        <f>250</f>
        <v>250</v>
      </c>
      <c r="Y250" s="1">
        <f>IF(AND(U250="INCLUDED",W250=1),--(NOT(EXACT(A250,'AI output'!A250)))+--(NOT(EXACT(B250,'AI output'!B250)))+--(NOT(EXACT(TEXT(G250,"yyyy-mm-dd"),'AI output'!C250)))+--(NOT(EXACT(H250,'AI output'!D250)))+--(NOT(EXACT(J250,'AI output'!E250)))+--(NOT(EXACT(K250,'AI output'!F250)))+--(N250&lt;&gt;'AI output'!L250)+--(NOT('AI output'!M250)),0)</f>
        <v>0</v>
      </c>
      <c r="Z250" s="1">
        <f t="shared" si="31"/>
        <v>0</v>
      </c>
      <c r="AA250" s="1">
        <f>--EXACT(A250,"L00244")</f>
        <v>1</v>
      </c>
    </row>
    <row r="251" spans="1:27" ht="18.95" customHeight="1">
      <c r="A251" s="1" t="str">
        <f>IF(Raw!A251="","",Raw!A251)</f>
        <v>L00245</v>
      </c>
      <c r="B251" s="1" t="str">
        <f>IF(Raw!B251="","",Raw!B251)</f>
        <v>T00123</v>
      </c>
      <c r="C251" s="1" t="str">
        <f>IF(Raw!C251="","",Raw!C251)</f>
        <v>2026-02-14</v>
      </c>
      <c r="D251" s="1">
        <f t="shared" si="24"/>
        <v>2026</v>
      </c>
      <c r="E251" s="1">
        <f>IFERROR(IF(AND(LEN(C251)=10,MID(C251,5,1)="-",MID(C251,8,1)="-"),VALUE(MID(C251,6,2)),IF(AND(LEN(C251)=11,MID(C251,3,1)="-",MID(C251,7,1)="-"),MATCH(UPPER(MID(C251,4,3)),Guide!$D$7:$D$18,0),0)),0)</f>
        <v>2</v>
      </c>
      <c r="F251" s="1">
        <f t="shared" si="25"/>
        <v>14</v>
      </c>
      <c r="G251" s="9">
        <f t="shared" si="26"/>
        <v>46067</v>
      </c>
      <c r="H251" s="1" t="str">
        <f>IF(Raw!D251="","",Raw!D251)</f>
        <v>P-H</v>
      </c>
      <c r="I251" s="1" t="str">
        <f>IFERROR(IF(EXACT(H251,INDEX(Guide!$A$7:$A$9,MATCH(SUBSTITUTE(SUBSTITUTE(SUBSTITUTE(H251,"~","~~"),"*","~*"),"?","~?"),Guide!$A$7:$A$9,0))),INDEX(Guide!$B$7:$B$9,MATCH(SUBSTITUTE(SUBSTITUTE(SUBSTITUTE(H251,"~","~~"),"*","~*"),"?","~?"),Guide!$A$7:$A$9,0)),""),"")</f>
        <v>Home</v>
      </c>
      <c r="J251" s="1" t="str">
        <f>IF(TRIM(Raw!E251)="",I251,IF(UPPER(TRIM(Raw!E251))=UPPER(I251),I251,""))</f>
        <v>Home</v>
      </c>
      <c r="K251" s="1" t="str">
        <f>IF(Raw!F251="","",Raw!F251)</f>
        <v>sale</v>
      </c>
      <c r="L251" s="1" t="str">
        <f>IF(LEFT(TRIM(Raw!G251),2)="-$","-"&amp;MID(TRIM(Raw!G251),3,99),IF(LEFT(TRIM(Raw!G251),1)="$",MID(TRIM(Raw!G251),2,99),TRIM(Raw!G251)))</f>
        <v>381.08</v>
      </c>
      <c r="M251" s="1">
        <f t="shared" si="27"/>
        <v>381.08</v>
      </c>
      <c r="N251" s="10">
        <f t="shared" si="28"/>
        <v>38108</v>
      </c>
      <c r="O251" s="1" t="b">
        <f>IFERROR(IF(ISNUMBER(Raw!G251),TRUE,OR(EXACT(L251,TEXT(M251,"0.00")),EXACT(L251,TEXT(M251,"#,##0.00")))),FALSE)</f>
        <v>1</v>
      </c>
      <c r="P251" s="1" t="str">
        <f>LEN(IF(Raw!A251="","",Raw!A251))&amp;":"&amp;IF(Raw!A251="","",Raw!A251)&amp;"|"&amp;LEN(IF(Raw!B251="","",Raw!B251))&amp;":"&amp;IF(Raw!B251="","",Raw!B251)&amp;"|"&amp;LEN(IF(Raw!C251="","",Raw!C251))&amp;":"&amp;IF(Raw!C251="","",Raw!C251)&amp;"|"&amp;LEN(IF(Raw!D251="","",Raw!D251))&amp;":"&amp;IF(Raw!D251="","",Raw!D251)&amp;"|"&amp;LEN(IF(Raw!E251="","",Raw!E251))&amp;":"&amp;IF(Raw!E251="","",Raw!E251)&amp;"|"&amp;LEN(IF(Raw!F251="","",Raw!F251))&amp;":"&amp;IF(Raw!F251="","",Raw!F251)&amp;"|"&amp;LEN(IF(Raw!G251="","",Raw!G251))&amp;":"&amp;IF(Raw!G251="","",Raw!G251)</f>
        <v>6:L00245|6:T00123|10:2026-02-14|3:P-H|4:Home|4:sale|6:381.08</v>
      </c>
      <c r="Q251" s="1">
        <f>1</f>
        <v>1</v>
      </c>
      <c r="R251" s="1" t="b">
        <f>FALSE</f>
        <v>0</v>
      </c>
      <c r="S251" s="1">
        <f>1</f>
        <v>1</v>
      </c>
      <c r="T251" s="1" t="str">
        <f>IF(AND(Raw!A251="",Raw!B251="",Raw!C251="",Raw!D251="",Raw!E251="",Raw!F251="",Raw!G251=""),"UNUSED",IF(A251="","missing line ID",IF(B251="","missing transaction ID",IF(G251="",IF(C251="","missing date","invalid date"),IF(I251="","unknown product",IF(J251="","conflicting category",IF(NOT(OR(EXACT(K251,"sale"),EXACT(K251,"refund"))),"unknown event",IF(OR(N251="",NOT(O251)),"invalid amount",IF(OR(AND(K251="sale",N251&lt;=0),AND(K251="refund",N251&gt;=0)),"invalid sign","")))))))))</f>
        <v/>
      </c>
      <c r="U251" s="1" t="str">
        <f t="shared" si="29"/>
        <v>INCLUDED</v>
      </c>
      <c r="V251" s="1" t="str">
        <f t="shared" si="30"/>
        <v>2026-02</v>
      </c>
      <c r="W251" s="1">
        <f>IF(AND(U251="INCLUDED",X251&gt;0,EXACT(A251,'AI output'!A251)),1,0)</f>
        <v>1</v>
      </c>
      <c r="X251" s="1">
        <f>251</f>
        <v>251</v>
      </c>
      <c r="Y251" s="1">
        <f>IF(AND(U251="INCLUDED",W251=1),--(NOT(EXACT(A251,'AI output'!A251)))+--(NOT(EXACT(B251,'AI output'!B251)))+--(NOT(EXACT(TEXT(G251,"yyyy-mm-dd"),'AI output'!C251)))+--(NOT(EXACT(H251,'AI output'!D251)))+--(NOT(EXACT(J251,'AI output'!E251)))+--(NOT(EXACT(K251,'AI output'!F251)))+--(N251&lt;&gt;'AI output'!L251)+--(NOT('AI output'!M251)),0)</f>
        <v>0</v>
      </c>
      <c r="Z251" s="1">
        <f t="shared" si="31"/>
        <v>0</v>
      </c>
      <c r="AA251" s="1">
        <f>--EXACT(A251,"L00245")</f>
        <v>1</v>
      </c>
    </row>
    <row r="252" spans="1:27" ht="18.95" customHeight="1">
      <c r="A252" s="1" t="str">
        <f>IF(Raw!A252="","",Raw!A252)</f>
        <v>L00246</v>
      </c>
      <c r="B252" s="1" t="str">
        <f>IF(Raw!B252="","",Raw!B252)</f>
        <v>T00123</v>
      </c>
      <c r="C252" s="1" t="str">
        <f>IF(Raw!C252="","",Raw!C252)</f>
        <v>2026-02-14</v>
      </c>
      <c r="D252" s="1">
        <f t="shared" si="24"/>
        <v>2026</v>
      </c>
      <c r="E252" s="1">
        <f>IFERROR(IF(AND(LEN(C252)=10,MID(C252,5,1)="-",MID(C252,8,1)="-"),VALUE(MID(C252,6,2)),IF(AND(LEN(C252)=11,MID(C252,3,1)="-",MID(C252,7,1)="-"),MATCH(UPPER(MID(C252,4,3)),Guide!$D$7:$D$18,0),0)),0)</f>
        <v>2</v>
      </c>
      <c r="F252" s="1">
        <f t="shared" si="25"/>
        <v>14</v>
      </c>
      <c r="G252" s="9">
        <f t="shared" si="26"/>
        <v>46067</v>
      </c>
      <c r="H252" s="1" t="str">
        <f>IF(Raw!D252="","",Raw!D252)</f>
        <v>P-O</v>
      </c>
      <c r="I252" s="1" t="str">
        <f>IFERROR(IF(EXACT(H252,INDEX(Guide!$A$7:$A$9,MATCH(SUBSTITUTE(SUBSTITUTE(SUBSTITUTE(H252,"~","~~"),"*","~*"),"?","~?"),Guide!$A$7:$A$9,0))),INDEX(Guide!$B$7:$B$9,MATCH(SUBSTITUTE(SUBSTITUTE(SUBSTITUTE(H252,"~","~~"),"*","~*"),"?","~?"),Guide!$A$7:$A$9,0)),""),"")</f>
        <v>Office</v>
      </c>
      <c r="J252" s="1" t="str">
        <f>IF(TRIM(Raw!E252)="",I252,IF(UPPER(TRIM(Raw!E252))=UPPER(I252),I252,""))</f>
        <v>Office</v>
      </c>
      <c r="K252" s="1" t="str">
        <f>IF(Raw!F252="","",Raw!F252)</f>
        <v>sale</v>
      </c>
      <c r="L252" s="1" t="str">
        <f>IF(LEFT(TRIM(Raw!G252),2)="-$","-"&amp;MID(TRIM(Raw!G252),3,99),IF(LEFT(TRIM(Raw!G252),1)="$",MID(TRIM(Raw!G252),2,99),TRIM(Raw!G252)))</f>
        <v>95.64</v>
      </c>
      <c r="M252" s="1">
        <f t="shared" si="27"/>
        <v>95.64</v>
      </c>
      <c r="N252" s="10">
        <f t="shared" si="28"/>
        <v>9564</v>
      </c>
      <c r="O252" s="1" t="b">
        <f>IFERROR(IF(ISNUMBER(Raw!G252),TRUE,OR(EXACT(L252,TEXT(M252,"0.00")),EXACT(L252,TEXT(M252,"#,##0.00")))),FALSE)</f>
        <v>1</v>
      </c>
      <c r="P252" s="1" t="str">
        <f>LEN(IF(Raw!A252="","",Raw!A252))&amp;":"&amp;IF(Raw!A252="","",Raw!A252)&amp;"|"&amp;LEN(IF(Raw!B252="","",Raw!B252))&amp;":"&amp;IF(Raw!B252="","",Raw!B252)&amp;"|"&amp;LEN(IF(Raw!C252="","",Raw!C252))&amp;":"&amp;IF(Raw!C252="","",Raw!C252)&amp;"|"&amp;LEN(IF(Raw!D252="","",Raw!D252))&amp;":"&amp;IF(Raw!D252="","",Raw!D252)&amp;"|"&amp;LEN(IF(Raw!E252="","",Raw!E252))&amp;":"&amp;IF(Raw!E252="","",Raw!E252)&amp;"|"&amp;LEN(IF(Raw!F252="","",Raw!F252))&amp;":"&amp;IF(Raw!F252="","",Raw!F252)&amp;"|"&amp;LEN(IF(Raw!G252="","",Raw!G252))&amp;":"&amp;IF(Raw!G252="","",Raw!G252)</f>
        <v>6:L00246|6:T00123|10:2026-02-14|3:P-O|6:Office|4:sale|5:95.64</v>
      </c>
      <c r="Q252" s="1">
        <f>1</f>
        <v>1</v>
      </c>
      <c r="R252" s="1" t="b">
        <f>FALSE</f>
        <v>0</v>
      </c>
      <c r="S252" s="1">
        <f>1</f>
        <v>1</v>
      </c>
      <c r="T252" s="1" t="str">
        <f>IF(AND(Raw!A252="",Raw!B252="",Raw!C252="",Raw!D252="",Raw!E252="",Raw!F252="",Raw!G252=""),"UNUSED",IF(A252="","missing line ID",IF(B252="","missing transaction ID",IF(G252="",IF(C252="","missing date","invalid date"),IF(I252="","unknown product",IF(J252="","conflicting category",IF(NOT(OR(EXACT(K252,"sale"),EXACT(K252,"refund"))),"unknown event",IF(OR(N252="",NOT(O252)),"invalid amount",IF(OR(AND(K252="sale",N252&lt;=0),AND(K252="refund",N252&gt;=0)),"invalid sign","")))))))))</f>
        <v/>
      </c>
      <c r="U252" s="1" t="str">
        <f t="shared" si="29"/>
        <v>INCLUDED</v>
      </c>
      <c r="V252" s="1" t="str">
        <f t="shared" si="30"/>
        <v>2026-02</v>
      </c>
      <c r="W252" s="1">
        <f>IF(AND(U252="INCLUDED",X252&gt;0,EXACT(A252,'AI output'!A252)),1,0)</f>
        <v>1</v>
      </c>
      <c r="X252" s="1">
        <f>252</f>
        <v>252</v>
      </c>
      <c r="Y252" s="1">
        <f>IF(AND(U252="INCLUDED",W252=1),--(NOT(EXACT(A252,'AI output'!A252)))+--(NOT(EXACT(B252,'AI output'!B252)))+--(NOT(EXACT(TEXT(G252,"yyyy-mm-dd"),'AI output'!C252)))+--(NOT(EXACT(H252,'AI output'!D252)))+--(NOT(EXACT(J252,'AI output'!E252)))+--(NOT(EXACT(K252,'AI output'!F252)))+--(N252&lt;&gt;'AI output'!L252)+--(NOT('AI output'!M252)),0)</f>
        <v>0</v>
      </c>
      <c r="Z252" s="1">
        <f t="shared" si="31"/>
        <v>0</v>
      </c>
      <c r="AA252" s="1">
        <f>--EXACT(A252,"L00246")</f>
        <v>1</v>
      </c>
    </row>
    <row r="253" spans="1:27" ht="18.95" customHeight="1">
      <c r="A253" s="1" t="str">
        <f>IF(Raw!A253="","",Raw!A253)</f>
        <v>L00247</v>
      </c>
      <c r="B253" s="1" t="str">
        <f>IF(Raw!B253="","",Raw!B253)</f>
        <v>T00124</v>
      </c>
      <c r="C253" s="1" t="str">
        <f>IF(Raw!C253="","",Raw!C253)</f>
        <v>2026-02-21</v>
      </c>
      <c r="D253" s="1">
        <f t="shared" si="24"/>
        <v>2026</v>
      </c>
      <c r="E253" s="1">
        <f>IFERROR(IF(AND(LEN(C253)=10,MID(C253,5,1)="-",MID(C253,8,1)="-"),VALUE(MID(C253,6,2)),IF(AND(LEN(C253)=11,MID(C253,3,1)="-",MID(C253,7,1)="-"),MATCH(UPPER(MID(C253,4,3)),Guide!$D$7:$D$18,0),0)),0)</f>
        <v>2</v>
      </c>
      <c r="F253" s="1">
        <f t="shared" si="25"/>
        <v>21</v>
      </c>
      <c r="G253" s="9">
        <f t="shared" si="26"/>
        <v>46074</v>
      </c>
      <c r="H253" s="1" t="str">
        <f>IF(Raw!D253="","",Raw!D253)</f>
        <v>P-A</v>
      </c>
      <c r="I253" s="1" t="str">
        <f>IFERROR(IF(EXACT(H253,INDEX(Guide!$A$7:$A$9,MATCH(SUBSTITUTE(SUBSTITUTE(SUBSTITUTE(H253,"~","~~"),"*","~*"),"?","~?"),Guide!$A$7:$A$9,0))),INDEX(Guide!$B$7:$B$9,MATCH(SUBSTITUTE(SUBSTITUTE(SUBSTITUTE(H253,"~","~~"),"*","~*"),"?","~?"),Guide!$A$7:$A$9,0)),""),"")</f>
        <v>Accessories</v>
      </c>
      <c r="J253" s="1" t="str">
        <f>IF(TRIM(Raw!E253)="",I253,IF(UPPER(TRIM(Raw!E253))=UPPER(I253),I253,""))</f>
        <v>Accessories</v>
      </c>
      <c r="K253" s="1" t="str">
        <f>IF(Raw!F253="","",Raw!F253)</f>
        <v>sale</v>
      </c>
      <c r="L253" s="1" t="str">
        <f>IF(LEFT(TRIM(Raw!G253),2)="-$","-"&amp;MID(TRIM(Raw!G253),3,99),IF(LEFT(TRIM(Raw!G253),1)="$",MID(TRIM(Raw!G253),2,99),TRIM(Raw!G253)))</f>
        <v>288.03</v>
      </c>
      <c r="M253" s="1">
        <f t="shared" si="27"/>
        <v>288.02999999999997</v>
      </c>
      <c r="N253" s="10">
        <f t="shared" si="28"/>
        <v>28803</v>
      </c>
      <c r="O253" s="1" t="b">
        <f>IFERROR(IF(ISNUMBER(Raw!G253),TRUE,OR(EXACT(L253,TEXT(M253,"0.00")),EXACT(L253,TEXT(M253,"#,##0.00")))),FALSE)</f>
        <v>1</v>
      </c>
      <c r="P253" s="1" t="str">
        <f>LEN(IF(Raw!A253="","",Raw!A253))&amp;":"&amp;IF(Raw!A253="","",Raw!A253)&amp;"|"&amp;LEN(IF(Raw!B253="","",Raw!B253))&amp;":"&amp;IF(Raw!B253="","",Raw!B253)&amp;"|"&amp;LEN(IF(Raw!C253="","",Raw!C253))&amp;":"&amp;IF(Raw!C253="","",Raw!C253)&amp;"|"&amp;LEN(IF(Raw!D253="","",Raw!D253))&amp;":"&amp;IF(Raw!D253="","",Raw!D253)&amp;"|"&amp;LEN(IF(Raw!E253="","",Raw!E253))&amp;":"&amp;IF(Raw!E253="","",Raw!E253)&amp;"|"&amp;LEN(IF(Raw!F253="","",Raw!F253))&amp;":"&amp;IF(Raw!F253="","",Raw!F253)&amp;"|"&amp;LEN(IF(Raw!G253="","",Raw!G253))&amp;":"&amp;IF(Raw!G253="","",Raw!G253)</f>
        <v>6:L00247|6:T00124|10:2026-02-21|3:P-A|11:Accessories|4:sale|6:288.03</v>
      </c>
      <c r="Q253" s="1">
        <f>1</f>
        <v>1</v>
      </c>
      <c r="R253" s="1" t="b">
        <f>FALSE</f>
        <v>0</v>
      </c>
      <c r="S253" s="1">
        <f>1</f>
        <v>1</v>
      </c>
      <c r="T253" s="1" t="str">
        <f>IF(AND(Raw!A253="",Raw!B253="",Raw!C253="",Raw!D253="",Raw!E253="",Raw!F253="",Raw!G253=""),"UNUSED",IF(A253="","missing line ID",IF(B253="","missing transaction ID",IF(G253="",IF(C253="","missing date","invalid date"),IF(I253="","unknown product",IF(J253="","conflicting category",IF(NOT(OR(EXACT(K253,"sale"),EXACT(K253,"refund"))),"unknown event",IF(OR(N253="",NOT(O253)),"invalid amount",IF(OR(AND(K253="sale",N253&lt;=0),AND(K253="refund",N253&gt;=0)),"invalid sign","")))))))))</f>
        <v/>
      </c>
      <c r="U253" s="1" t="str">
        <f t="shared" si="29"/>
        <v>INCLUDED</v>
      </c>
      <c r="V253" s="1" t="str">
        <f t="shared" si="30"/>
        <v>2026-02</v>
      </c>
      <c r="W253" s="1">
        <f>IF(AND(U253="INCLUDED",X253&gt;0,EXACT(A253,'AI output'!A253)),1,0)</f>
        <v>1</v>
      </c>
      <c r="X253" s="1">
        <f>253</f>
        <v>253</v>
      </c>
      <c r="Y253" s="1">
        <f>IF(AND(U253="INCLUDED",W253=1),--(NOT(EXACT(A253,'AI output'!A253)))+--(NOT(EXACT(B253,'AI output'!B253)))+--(NOT(EXACT(TEXT(G253,"yyyy-mm-dd"),'AI output'!C253)))+--(NOT(EXACT(H253,'AI output'!D253)))+--(NOT(EXACT(J253,'AI output'!E253)))+--(NOT(EXACT(K253,'AI output'!F253)))+--(N253&lt;&gt;'AI output'!L253)+--(NOT('AI output'!M253)),0)</f>
        <v>0</v>
      </c>
      <c r="Z253" s="1">
        <f t="shared" si="31"/>
        <v>0</v>
      </c>
      <c r="AA253" s="1">
        <f>--EXACT(A253,"L00247")</f>
        <v>1</v>
      </c>
    </row>
    <row r="254" spans="1:27" ht="18.95" customHeight="1">
      <c r="A254" s="1" t="str">
        <f>IF(Raw!A254="","",Raw!A254)</f>
        <v>L00248</v>
      </c>
      <c r="B254" s="1" t="str">
        <f>IF(Raw!B254="","",Raw!B254)</f>
        <v>T00124</v>
      </c>
      <c r="C254" s="1" t="str">
        <f>IF(Raw!C254="","",Raw!C254)</f>
        <v>2026-02-21</v>
      </c>
      <c r="D254" s="1">
        <f t="shared" si="24"/>
        <v>2026</v>
      </c>
      <c r="E254" s="1">
        <f>IFERROR(IF(AND(LEN(C254)=10,MID(C254,5,1)="-",MID(C254,8,1)="-"),VALUE(MID(C254,6,2)),IF(AND(LEN(C254)=11,MID(C254,3,1)="-",MID(C254,7,1)="-"),MATCH(UPPER(MID(C254,4,3)),Guide!$D$7:$D$18,0),0)),0)</f>
        <v>2</v>
      </c>
      <c r="F254" s="1">
        <f t="shared" si="25"/>
        <v>21</v>
      </c>
      <c r="G254" s="9">
        <f t="shared" si="26"/>
        <v>46074</v>
      </c>
      <c r="H254" s="1" t="str">
        <f>IF(Raw!D254="","",Raw!D254)</f>
        <v>P-H</v>
      </c>
      <c r="I254" s="1" t="str">
        <f>IFERROR(IF(EXACT(H254,INDEX(Guide!$A$7:$A$9,MATCH(SUBSTITUTE(SUBSTITUTE(SUBSTITUTE(H254,"~","~~"),"*","~*"),"?","~?"),Guide!$A$7:$A$9,0))),INDEX(Guide!$B$7:$B$9,MATCH(SUBSTITUTE(SUBSTITUTE(SUBSTITUTE(H254,"~","~~"),"*","~*"),"?","~?"),Guide!$A$7:$A$9,0)),""),"")</f>
        <v>Home</v>
      </c>
      <c r="J254" s="1" t="str">
        <f>IF(TRIM(Raw!E254)="",I254,IF(UPPER(TRIM(Raw!E254))=UPPER(I254),I254,""))</f>
        <v>Home</v>
      </c>
      <c r="K254" s="1" t="str">
        <f>IF(Raw!F254="","",Raw!F254)</f>
        <v>sale</v>
      </c>
      <c r="L254" s="1" t="str">
        <f>IF(LEFT(TRIM(Raw!G254),2)="-$","-"&amp;MID(TRIM(Raw!G254),3,99),IF(LEFT(TRIM(Raw!G254),1)="$",MID(TRIM(Raw!G254),2,99),TRIM(Raw!G254)))</f>
        <v>481.90</v>
      </c>
      <c r="M254" s="1">
        <f t="shared" si="27"/>
        <v>481.9</v>
      </c>
      <c r="N254" s="10">
        <f t="shared" si="28"/>
        <v>48190</v>
      </c>
      <c r="O254" s="1" t="b">
        <f>IFERROR(IF(ISNUMBER(Raw!G254),TRUE,OR(EXACT(L254,TEXT(M254,"0.00")),EXACT(L254,TEXT(M254,"#,##0.00")))),FALSE)</f>
        <v>1</v>
      </c>
      <c r="P254" s="1" t="str">
        <f>LEN(IF(Raw!A254="","",Raw!A254))&amp;":"&amp;IF(Raw!A254="","",Raw!A254)&amp;"|"&amp;LEN(IF(Raw!B254="","",Raw!B254))&amp;":"&amp;IF(Raw!B254="","",Raw!B254)&amp;"|"&amp;LEN(IF(Raw!C254="","",Raw!C254))&amp;":"&amp;IF(Raw!C254="","",Raw!C254)&amp;"|"&amp;LEN(IF(Raw!D254="","",Raw!D254))&amp;":"&amp;IF(Raw!D254="","",Raw!D254)&amp;"|"&amp;LEN(IF(Raw!E254="","",Raw!E254))&amp;":"&amp;IF(Raw!E254="","",Raw!E254)&amp;"|"&amp;LEN(IF(Raw!F254="","",Raw!F254))&amp;":"&amp;IF(Raw!F254="","",Raw!F254)&amp;"|"&amp;LEN(IF(Raw!G254="","",Raw!G254))&amp;":"&amp;IF(Raw!G254="","",Raw!G254)</f>
        <v>6:L00248|6:T00124|10:2026-02-21|3:P-H|4:Home|4:sale|6:481.90</v>
      </c>
      <c r="Q254" s="1">
        <f>1</f>
        <v>1</v>
      </c>
      <c r="R254" s="1" t="b">
        <f>FALSE</f>
        <v>0</v>
      </c>
      <c r="S254" s="1">
        <f>1</f>
        <v>1</v>
      </c>
      <c r="T254" s="1" t="str">
        <f>IF(AND(Raw!A254="",Raw!B254="",Raw!C254="",Raw!D254="",Raw!E254="",Raw!F254="",Raw!G254=""),"UNUSED",IF(A254="","missing line ID",IF(B254="","missing transaction ID",IF(G254="",IF(C254="","missing date","invalid date"),IF(I254="","unknown product",IF(J254="","conflicting category",IF(NOT(OR(EXACT(K254,"sale"),EXACT(K254,"refund"))),"unknown event",IF(OR(N254="",NOT(O254)),"invalid amount",IF(OR(AND(K254="sale",N254&lt;=0),AND(K254="refund",N254&gt;=0)),"invalid sign","")))))))))</f>
        <v/>
      </c>
      <c r="U254" s="1" t="str">
        <f t="shared" si="29"/>
        <v>INCLUDED</v>
      </c>
      <c r="V254" s="1" t="str">
        <f t="shared" si="30"/>
        <v>2026-02</v>
      </c>
      <c r="W254" s="1">
        <f>IF(AND(U254="INCLUDED",X254&gt;0,EXACT(A254,'AI output'!A254)),1,0)</f>
        <v>1</v>
      </c>
      <c r="X254" s="1">
        <f>254</f>
        <v>254</v>
      </c>
      <c r="Y254" s="1">
        <f>IF(AND(U254="INCLUDED",W254=1),--(NOT(EXACT(A254,'AI output'!A254)))+--(NOT(EXACT(B254,'AI output'!B254)))+--(NOT(EXACT(TEXT(G254,"yyyy-mm-dd"),'AI output'!C254)))+--(NOT(EXACT(H254,'AI output'!D254)))+--(NOT(EXACT(J254,'AI output'!E254)))+--(NOT(EXACT(K254,'AI output'!F254)))+--(N254&lt;&gt;'AI output'!L254)+--(NOT('AI output'!M254)),0)</f>
        <v>0</v>
      </c>
      <c r="Z254" s="1">
        <f t="shared" si="31"/>
        <v>0</v>
      </c>
      <c r="AA254" s="1">
        <f>--EXACT(A254,"L00248")</f>
        <v>1</v>
      </c>
    </row>
    <row r="255" spans="1:27" ht="18.95" customHeight="1">
      <c r="A255" s="1" t="str">
        <f>IF(Raw!A255="","",Raw!A255)</f>
        <v>L00249</v>
      </c>
      <c r="B255" s="1" t="str">
        <f>IF(Raw!B255="","",Raw!B255)</f>
        <v>T00125</v>
      </c>
      <c r="C255" s="1" t="str">
        <f>IF(Raw!C255="","",Raw!C255)</f>
        <v>2026-02-28</v>
      </c>
      <c r="D255" s="1">
        <f t="shared" si="24"/>
        <v>2026</v>
      </c>
      <c r="E255" s="1">
        <f>IFERROR(IF(AND(LEN(C255)=10,MID(C255,5,1)="-",MID(C255,8,1)="-"),VALUE(MID(C255,6,2)),IF(AND(LEN(C255)=11,MID(C255,3,1)="-",MID(C255,7,1)="-"),MATCH(UPPER(MID(C255,4,3)),Guide!$D$7:$D$18,0),0)),0)</f>
        <v>2</v>
      </c>
      <c r="F255" s="1">
        <f t="shared" si="25"/>
        <v>28</v>
      </c>
      <c r="G255" s="9">
        <f t="shared" si="26"/>
        <v>46081</v>
      </c>
      <c r="H255" s="1" t="str">
        <f>IF(Raw!D255="","",Raw!D255)</f>
        <v>P-O</v>
      </c>
      <c r="I255" s="1" t="str">
        <f>IFERROR(IF(EXACT(H255,INDEX(Guide!$A$7:$A$9,MATCH(SUBSTITUTE(SUBSTITUTE(SUBSTITUTE(H255,"~","~~"),"*","~*"),"?","~?"),Guide!$A$7:$A$9,0))),INDEX(Guide!$B$7:$B$9,MATCH(SUBSTITUTE(SUBSTITUTE(SUBSTITUTE(H255,"~","~~"),"*","~*"),"?","~?"),Guide!$A$7:$A$9,0)),""),"")</f>
        <v>Office</v>
      </c>
      <c r="J255" s="1" t="str">
        <f>IF(TRIM(Raw!E255)="",I255,IF(UPPER(TRIM(Raw!E255))=UPPER(I255),I255,""))</f>
        <v>Office</v>
      </c>
      <c r="K255" s="1" t="str">
        <f>IF(Raw!F255="","",Raw!F255)</f>
        <v>sale</v>
      </c>
      <c r="L255" s="1" t="str">
        <f>IF(LEFT(TRIM(Raw!G255),2)="-$","-"&amp;MID(TRIM(Raw!G255),3,99),IF(LEFT(TRIM(Raw!G255),1)="$",MID(TRIM(Raw!G255),2,99),TRIM(Raw!G255)))</f>
        <v>193.50</v>
      </c>
      <c r="M255" s="1">
        <f t="shared" si="27"/>
        <v>193.5</v>
      </c>
      <c r="N255" s="10">
        <f t="shared" si="28"/>
        <v>19350</v>
      </c>
      <c r="O255" s="1" t="b">
        <f>IFERROR(IF(ISNUMBER(Raw!G255),TRUE,OR(EXACT(L255,TEXT(M255,"0.00")),EXACT(L255,TEXT(M255,"#,##0.00")))),FALSE)</f>
        <v>1</v>
      </c>
      <c r="P255" s="1" t="str">
        <f>LEN(IF(Raw!A255="","",Raw!A255))&amp;":"&amp;IF(Raw!A255="","",Raw!A255)&amp;"|"&amp;LEN(IF(Raw!B255="","",Raw!B255))&amp;":"&amp;IF(Raw!B255="","",Raw!B255)&amp;"|"&amp;LEN(IF(Raw!C255="","",Raw!C255))&amp;":"&amp;IF(Raw!C255="","",Raw!C255)&amp;"|"&amp;LEN(IF(Raw!D255="","",Raw!D255))&amp;":"&amp;IF(Raw!D255="","",Raw!D255)&amp;"|"&amp;LEN(IF(Raw!E255="","",Raw!E255))&amp;":"&amp;IF(Raw!E255="","",Raw!E255)&amp;"|"&amp;LEN(IF(Raw!F255="","",Raw!F255))&amp;":"&amp;IF(Raw!F255="","",Raw!F255)&amp;"|"&amp;LEN(IF(Raw!G255="","",Raw!G255))&amp;":"&amp;IF(Raw!G255="","",Raw!G255)</f>
        <v>6:L00249|6:T00125|10:2026-02-28|3:P-O|6:Office|4:sale|6:193.50</v>
      </c>
      <c r="Q255" s="1">
        <f>1</f>
        <v>1</v>
      </c>
      <c r="R255" s="1" t="b">
        <f>FALSE</f>
        <v>0</v>
      </c>
      <c r="S255" s="1">
        <f>1</f>
        <v>1</v>
      </c>
      <c r="T255" s="1" t="str">
        <f>IF(AND(Raw!A255="",Raw!B255="",Raw!C255="",Raw!D255="",Raw!E255="",Raw!F255="",Raw!G255=""),"UNUSED",IF(A255="","missing line ID",IF(B255="","missing transaction ID",IF(G255="",IF(C255="","missing date","invalid date"),IF(I255="","unknown product",IF(J255="","conflicting category",IF(NOT(OR(EXACT(K255,"sale"),EXACT(K255,"refund"))),"unknown event",IF(OR(N255="",NOT(O255)),"invalid amount",IF(OR(AND(K255="sale",N255&lt;=0),AND(K255="refund",N255&gt;=0)),"invalid sign","")))))))))</f>
        <v/>
      </c>
      <c r="U255" s="1" t="str">
        <f t="shared" si="29"/>
        <v>INCLUDED</v>
      </c>
      <c r="V255" s="1" t="str">
        <f t="shared" si="30"/>
        <v>2026-02</v>
      </c>
      <c r="W255" s="1">
        <f>IF(AND(U255="INCLUDED",X255&gt;0,EXACT(A255,'AI output'!A255)),1,0)</f>
        <v>1</v>
      </c>
      <c r="X255" s="1">
        <f>255</f>
        <v>255</v>
      </c>
      <c r="Y255" s="1">
        <f>IF(AND(U255="INCLUDED",W255=1),--(NOT(EXACT(A255,'AI output'!A255)))+--(NOT(EXACT(B255,'AI output'!B255)))+--(NOT(EXACT(TEXT(G255,"yyyy-mm-dd"),'AI output'!C255)))+--(NOT(EXACT(H255,'AI output'!D255)))+--(NOT(EXACT(J255,'AI output'!E255)))+--(NOT(EXACT(K255,'AI output'!F255)))+--(N255&lt;&gt;'AI output'!L255)+--(NOT('AI output'!M255)),0)</f>
        <v>0</v>
      </c>
      <c r="Z255" s="1">
        <f t="shared" si="31"/>
        <v>0</v>
      </c>
      <c r="AA255" s="1">
        <f>--EXACT(A255,"L00249")</f>
        <v>1</v>
      </c>
    </row>
    <row r="256" spans="1:27" ht="18.95" customHeight="1">
      <c r="A256" s="1" t="str">
        <f>IF(Raw!A256="","",Raw!A256)</f>
        <v>L00250</v>
      </c>
      <c r="B256" s="1" t="str">
        <f>IF(Raw!B256="","",Raw!B256)</f>
        <v>T00125</v>
      </c>
      <c r="C256" s="1" t="str">
        <f>IF(Raw!C256="","",Raw!C256)</f>
        <v>2026-02-28</v>
      </c>
      <c r="D256" s="1">
        <f t="shared" si="24"/>
        <v>2026</v>
      </c>
      <c r="E256" s="1">
        <f>IFERROR(IF(AND(LEN(C256)=10,MID(C256,5,1)="-",MID(C256,8,1)="-"),VALUE(MID(C256,6,2)),IF(AND(LEN(C256)=11,MID(C256,3,1)="-",MID(C256,7,1)="-"),MATCH(UPPER(MID(C256,4,3)),Guide!$D$7:$D$18,0),0)),0)</f>
        <v>2</v>
      </c>
      <c r="F256" s="1">
        <f t="shared" si="25"/>
        <v>28</v>
      </c>
      <c r="G256" s="9">
        <f t="shared" si="26"/>
        <v>46081</v>
      </c>
      <c r="H256" s="1" t="str">
        <f>IF(Raw!D256="","",Raw!D256)</f>
        <v>P-A</v>
      </c>
      <c r="I256" s="1" t="str">
        <f>IFERROR(IF(EXACT(H256,INDEX(Guide!$A$7:$A$9,MATCH(SUBSTITUTE(SUBSTITUTE(SUBSTITUTE(H256,"~","~~"),"*","~*"),"?","~?"),Guide!$A$7:$A$9,0))),INDEX(Guide!$B$7:$B$9,MATCH(SUBSTITUTE(SUBSTITUTE(SUBSTITUTE(H256,"~","~~"),"*","~*"),"?","~?"),Guide!$A$7:$A$9,0)),""),"")</f>
        <v>Accessories</v>
      </c>
      <c r="J256" s="1" t="str">
        <f>IF(TRIM(Raw!E256)="",I256,IF(UPPER(TRIM(Raw!E256))=UPPER(I256),I256,""))</f>
        <v>Accessories</v>
      </c>
      <c r="K256" s="1" t="str">
        <f>IF(Raw!F256="","",Raw!F256)</f>
        <v>sale</v>
      </c>
      <c r="L256" s="1" t="str">
        <f>IF(LEFT(TRIM(Raw!G256),2)="-$","-"&amp;MID(TRIM(Raw!G256),3,99),IF(LEFT(TRIM(Raw!G256),1)="$",MID(TRIM(Raw!G256),2,99),TRIM(Raw!G256)))</f>
        <v>388.48</v>
      </c>
      <c r="M256" s="1">
        <f t="shared" si="27"/>
        <v>388.48</v>
      </c>
      <c r="N256" s="10">
        <f t="shared" si="28"/>
        <v>38848</v>
      </c>
      <c r="O256" s="1" t="b">
        <f>IFERROR(IF(ISNUMBER(Raw!G256),TRUE,OR(EXACT(L256,TEXT(M256,"0.00")),EXACT(L256,TEXT(M256,"#,##0.00")))),FALSE)</f>
        <v>1</v>
      </c>
      <c r="P256" s="1" t="str">
        <f>LEN(IF(Raw!A256="","",Raw!A256))&amp;":"&amp;IF(Raw!A256="","",Raw!A256)&amp;"|"&amp;LEN(IF(Raw!B256="","",Raw!B256))&amp;":"&amp;IF(Raw!B256="","",Raw!B256)&amp;"|"&amp;LEN(IF(Raw!C256="","",Raw!C256))&amp;":"&amp;IF(Raw!C256="","",Raw!C256)&amp;"|"&amp;LEN(IF(Raw!D256="","",Raw!D256))&amp;":"&amp;IF(Raw!D256="","",Raw!D256)&amp;"|"&amp;LEN(IF(Raw!E256="","",Raw!E256))&amp;":"&amp;IF(Raw!E256="","",Raw!E256)&amp;"|"&amp;LEN(IF(Raw!F256="","",Raw!F256))&amp;":"&amp;IF(Raw!F256="","",Raw!F256)&amp;"|"&amp;LEN(IF(Raw!G256="","",Raw!G256))&amp;":"&amp;IF(Raw!G256="","",Raw!G256)</f>
        <v>6:L00250|6:T00125|10:2026-02-28|3:P-A|11:Accessories|4:sale|6:388.48</v>
      </c>
      <c r="Q256" s="1">
        <f>1</f>
        <v>1</v>
      </c>
      <c r="R256" s="1" t="b">
        <f>FALSE</f>
        <v>0</v>
      </c>
      <c r="S256" s="1">
        <f>1</f>
        <v>1</v>
      </c>
      <c r="T256" s="1" t="str">
        <f>IF(AND(Raw!A256="",Raw!B256="",Raw!C256="",Raw!D256="",Raw!E256="",Raw!F256="",Raw!G256=""),"UNUSED",IF(A256="","missing line ID",IF(B256="","missing transaction ID",IF(G256="",IF(C256="","missing date","invalid date"),IF(I256="","unknown product",IF(J256="","conflicting category",IF(NOT(OR(EXACT(K256,"sale"),EXACT(K256,"refund"))),"unknown event",IF(OR(N256="",NOT(O256)),"invalid amount",IF(OR(AND(K256="sale",N256&lt;=0),AND(K256="refund",N256&gt;=0)),"invalid sign","")))))))))</f>
        <v/>
      </c>
      <c r="U256" s="1" t="str">
        <f t="shared" si="29"/>
        <v>INCLUDED</v>
      </c>
      <c r="V256" s="1" t="str">
        <f t="shared" si="30"/>
        <v>2026-02</v>
      </c>
      <c r="W256" s="1">
        <f>IF(AND(U256="INCLUDED",X256&gt;0,EXACT(A256,'AI output'!A256)),1,0)</f>
        <v>1</v>
      </c>
      <c r="X256" s="1">
        <f>256</f>
        <v>256</v>
      </c>
      <c r="Y256" s="1">
        <f>IF(AND(U256="INCLUDED",W256=1),--(NOT(EXACT(A256,'AI output'!A256)))+--(NOT(EXACT(B256,'AI output'!B256)))+--(NOT(EXACT(TEXT(G256,"yyyy-mm-dd"),'AI output'!C256)))+--(NOT(EXACT(H256,'AI output'!D256)))+--(NOT(EXACT(J256,'AI output'!E256)))+--(NOT(EXACT(K256,'AI output'!F256)))+--(N256&lt;&gt;'AI output'!L256)+--(NOT('AI output'!M256)),0)</f>
        <v>0</v>
      </c>
      <c r="Z256" s="1">
        <f t="shared" si="31"/>
        <v>0</v>
      </c>
      <c r="AA256" s="1">
        <f>--EXACT(A256,"L00250")</f>
        <v>1</v>
      </c>
    </row>
    <row r="257" spans="1:27" ht="18.95" customHeight="1">
      <c r="A257" s="1" t="str">
        <f>IF(Raw!A257="","",Raw!A257)</f>
        <v>L00251</v>
      </c>
      <c r="B257" s="1" t="str">
        <f>IF(Raw!B257="","",Raw!B257)</f>
        <v>T00126</v>
      </c>
      <c r="C257" s="1" t="str">
        <f>IF(Raw!C257="","",Raw!C257)</f>
        <v>2026-03-07</v>
      </c>
      <c r="D257" s="1">
        <f t="shared" si="24"/>
        <v>2026</v>
      </c>
      <c r="E257" s="1">
        <f>IFERROR(IF(AND(LEN(C257)=10,MID(C257,5,1)="-",MID(C257,8,1)="-"),VALUE(MID(C257,6,2)),IF(AND(LEN(C257)=11,MID(C257,3,1)="-",MID(C257,7,1)="-"),MATCH(UPPER(MID(C257,4,3)),Guide!$D$7:$D$18,0),0)),0)</f>
        <v>3</v>
      </c>
      <c r="F257" s="1">
        <f t="shared" si="25"/>
        <v>7</v>
      </c>
      <c r="G257" s="9">
        <f t="shared" si="26"/>
        <v>46088</v>
      </c>
      <c r="H257" s="1" t="str">
        <f>IF(Raw!D257="","",Raw!D257)</f>
        <v>P-H</v>
      </c>
      <c r="I257" s="1" t="str">
        <f>IFERROR(IF(EXACT(H257,INDEX(Guide!$A$7:$A$9,MATCH(SUBSTITUTE(SUBSTITUTE(SUBSTITUTE(H257,"~","~~"),"*","~*"),"?","~?"),Guide!$A$7:$A$9,0))),INDEX(Guide!$B$7:$B$9,MATCH(SUBSTITUTE(SUBSTITUTE(SUBSTITUTE(H257,"~","~~"),"*","~*"),"?","~?"),Guide!$A$7:$A$9,0)),""),"")</f>
        <v>Home</v>
      </c>
      <c r="J257" s="1" t="str">
        <f>IF(TRIM(Raw!E257)="",I257,IF(UPPER(TRIM(Raw!E257))=UPPER(I257),I257,""))</f>
        <v>Home</v>
      </c>
      <c r="K257" s="1" t="str">
        <f>IF(Raw!F257="","",Raw!F257)</f>
        <v>sale</v>
      </c>
      <c r="L257" s="1" t="str">
        <f>IF(LEFT(TRIM(Raw!G257),2)="-$","-"&amp;MID(TRIM(Raw!G257),3,99),IF(LEFT(TRIM(Raw!G257),1)="$",MID(TRIM(Raw!G257),2,99),TRIM(Raw!G257)))</f>
        <v>97.49</v>
      </c>
      <c r="M257" s="1">
        <f t="shared" si="27"/>
        <v>97.49</v>
      </c>
      <c r="N257" s="10">
        <f t="shared" si="28"/>
        <v>9749</v>
      </c>
      <c r="O257" s="1" t="b">
        <f>IFERROR(IF(ISNUMBER(Raw!G257),TRUE,OR(EXACT(L257,TEXT(M257,"0.00")),EXACT(L257,TEXT(M257,"#,##0.00")))),FALSE)</f>
        <v>1</v>
      </c>
      <c r="P257" s="1" t="str">
        <f>LEN(IF(Raw!A257="","",Raw!A257))&amp;":"&amp;IF(Raw!A257="","",Raw!A257)&amp;"|"&amp;LEN(IF(Raw!B257="","",Raw!B257))&amp;":"&amp;IF(Raw!B257="","",Raw!B257)&amp;"|"&amp;LEN(IF(Raw!C257="","",Raw!C257))&amp;":"&amp;IF(Raw!C257="","",Raw!C257)&amp;"|"&amp;LEN(IF(Raw!D257="","",Raw!D257))&amp;":"&amp;IF(Raw!D257="","",Raw!D257)&amp;"|"&amp;LEN(IF(Raw!E257="","",Raw!E257))&amp;":"&amp;IF(Raw!E257="","",Raw!E257)&amp;"|"&amp;LEN(IF(Raw!F257="","",Raw!F257))&amp;":"&amp;IF(Raw!F257="","",Raw!F257)&amp;"|"&amp;LEN(IF(Raw!G257="","",Raw!G257))&amp;":"&amp;IF(Raw!G257="","",Raw!G257)</f>
        <v>6:L00251|6:T00126|10:2026-03-07|3:P-H|4:Home|4:sale|5:97.49</v>
      </c>
      <c r="Q257" s="1">
        <f>1</f>
        <v>1</v>
      </c>
      <c r="R257" s="1" t="b">
        <f>FALSE</f>
        <v>0</v>
      </c>
      <c r="S257" s="1">
        <f>1</f>
        <v>1</v>
      </c>
      <c r="T257" s="1" t="str">
        <f>IF(AND(Raw!A257="",Raw!B257="",Raw!C257="",Raw!D257="",Raw!E257="",Raw!F257="",Raw!G257=""),"UNUSED",IF(A257="","missing line ID",IF(B257="","missing transaction ID",IF(G257="",IF(C257="","missing date","invalid date"),IF(I257="","unknown product",IF(J257="","conflicting category",IF(NOT(OR(EXACT(K257,"sale"),EXACT(K257,"refund"))),"unknown event",IF(OR(N257="",NOT(O257)),"invalid amount",IF(OR(AND(K257="sale",N257&lt;=0),AND(K257="refund",N257&gt;=0)),"invalid sign","")))))))))</f>
        <v/>
      </c>
      <c r="U257" s="1" t="str">
        <f t="shared" si="29"/>
        <v>INCLUDED</v>
      </c>
      <c r="V257" s="1" t="str">
        <f t="shared" si="30"/>
        <v>2026-03</v>
      </c>
      <c r="W257" s="1">
        <f>IF(AND(U257="INCLUDED",X257&gt;0,EXACT(A257,'AI output'!A257)),1,0)</f>
        <v>1</v>
      </c>
      <c r="X257" s="1">
        <f>257</f>
        <v>257</v>
      </c>
      <c r="Y257" s="1">
        <f>IF(AND(U257="INCLUDED",W257=1),--(NOT(EXACT(A257,'AI output'!A257)))+--(NOT(EXACT(B257,'AI output'!B257)))+--(NOT(EXACT(TEXT(G257,"yyyy-mm-dd"),'AI output'!C257)))+--(NOT(EXACT(H257,'AI output'!D257)))+--(NOT(EXACT(J257,'AI output'!E257)))+--(NOT(EXACT(K257,'AI output'!F257)))+--(N257&lt;&gt;'AI output'!L257)+--(NOT('AI output'!M257)),0)</f>
        <v>0</v>
      </c>
      <c r="Z257" s="1">
        <f t="shared" si="31"/>
        <v>0</v>
      </c>
      <c r="AA257" s="1">
        <f>--EXACT(A257,"L00251")</f>
        <v>1</v>
      </c>
    </row>
    <row r="258" spans="1:27" ht="18.95" customHeight="1">
      <c r="A258" s="1" t="str">
        <f>IF(Raw!A258="","",Raw!A258)</f>
        <v>L00252</v>
      </c>
      <c r="B258" s="1" t="str">
        <f>IF(Raw!B258="","",Raw!B258)</f>
        <v>T00126</v>
      </c>
      <c r="C258" s="1" t="str">
        <f>IF(Raw!C258="","",Raw!C258)</f>
        <v>2026-03-07</v>
      </c>
      <c r="D258" s="1">
        <f t="shared" si="24"/>
        <v>2026</v>
      </c>
      <c r="E258" s="1">
        <f>IFERROR(IF(AND(LEN(C258)=10,MID(C258,5,1)="-",MID(C258,8,1)="-"),VALUE(MID(C258,6,2)),IF(AND(LEN(C258)=11,MID(C258,3,1)="-",MID(C258,7,1)="-"),MATCH(UPPER(MID(C258,4,3)),Guide!$D$7:$D$18,0),0)),0)</f>
        <v>3</v>
      </c>
      <c r="F258" s="1">
        <f t="shared" si="25"/>
        <v>7</v>
      </c>
      <c r="G258" s="9">
        <f t="shared" si="26"/>
        <v>46088</v>
      </c>
      <c r="H258" s="1" t="str">
        <f>IF(Raw!D258="","",Raw!D258)</f>
        <v>P-O</v>
      </c>
      <c r="I258" s="1" t="str">
        <f>IFERROR(IF(EXACT(H258,INDEX(Guide!$A$7:$A$9,MATCH(SUBSTITUTE(SUBSTITUTE(SUBSTITUTE(H258,"~","~~"),"*","~*"),"?","~?"),Guide!$A$7:$A$9,0))),INDEX(Guide!$B$7:$B$9,MATCH(SUBSTITUTE(SUBSTITUTE(SUBSTITUTE(H258,"~","~~"),"*","~*"),"?","~?"),Guide!$A$7:$A$9,0)),""),"")</f>
        <v>Office</v>
      </c>
      <c r="J258" s="1" t="str">
        <f>IF(TRIM(Raw!E258)="",I258,IF(UPPER(TRIM(Raw!E258))=UPPER(I258),I258,""))</f>
        <v>Office</v>
      </c>
      <c r="K258" s="1" t="str">
        <f>IF(Raw!F258="","",Raw!F258)</f>
        <v>sale</v>
      </c>
      <c r="L258" s="1" t="str">
        <f>IF(LEFT(TRIM(Raw!G258),2)="-$","-"&amp;MID(TRIM(Raw!G258),3,99),IF(LEFT(TRIM(Raw!G258),1)="$",MID(TRIM(Raw!G258),2,99),TRIM(Raw!G258)))</f>
        <v>293.58</v>
      </c>
      <c r="M258" s="1">
        <f t="shared" si="27"/>
        <v>293.58</v>
      </c>
      <c r="N258" s="10">
        <f t="shared" si="28"/>
        <v>29358</v>
      </c>
      <c r="O258" s="1" t="b">
        <f>IFERROR(IF(ISNUMBER(Raw!G258),TRUE,OR(EXACT(L258,TEXT(M258,"0.00")),EXACT(L258,TEXT(M258,"#,##0.00")))),FALSE)</f>
        <v>1</v>
      </c>
      <c r="P258" s="1" t="str">
        <f>LEN(IF(Raw!A258="","",Raw!A258))&amp;":"&amp;IF(Raw!A258="","",Raw!A258)&amp;"|"&amp;LEN(IF(Raw!B258="","",Raw!B258))&amp;":"&amp;IF(Raw!B258="","",Raw!B258)&amp;"|"&amp;LEN(IF(Raw!C258="","",Raw!C258))&amp;":"&amp;IF(Raw!C258="","",Raw!C258)&amp;"|"&amp;LEN(IF(Raw!D258="","",Raw!D258))&amp;":"&amp;IF(Raw!D258="","",Raw!D258)&amp;"|"&amp;LEN(IF(Raw!E258="","",Raw!E258))&amp;":"&amp;IF(Raw!E258="","",Raw!E258)&amp;"|"&amp;LEN(IF(Raw!F258="","",Raw!F258))&amp;":"&amp;IF(Raw!F258="","",Raw!F258)&amp;"|"&amp;LEN(IF(Raw!G258="","",Raw!G258))&amp;":"&amp;IF(Raw!G258="","",Raw!G258)</f>
        <v>6:L00252|6:T00126|10:2026-03-07|3:P-O|6:Office|4:sale|6:293.58</v>
      </c>
      <c r="Q258" s="1">
        <f>1</f>
        <v>1</v>
      </c>
      <c r="R258" s="1" t="b">
        <f>FALSE</f>
        <v>0</v>
      </c>
      <c r="S258" s="1">
        <f>1</f>
        <v>1</v>
      </c>
      <c r="T258" s="1" t="str">
        <f>IF(AND(Raw!A258="",Raw!B258="",Raw!C258="",Raw!D258="",Raw!E258="",Raw!F258="",Raw!G258=""),"UNUSED",IF(A258="","missing line ID",IF(B258="","missing transaction ID",IF(G258="",IF(C258="","missing date","invalid date"),IF(I258="","unknown product",IF(J258="","conflicting category",IF(NOT(OR(EXACT(K258,"sale"),EXACT(K258,"refund"))),"unknown event",IF(OR(N258="",NOT(O258)),"invalid amount",IF(OR(AND(K258="sale",N258&lt;=0),AND(K258="refund",N258&gt;=0)),"invalid sign","")))))))))</f>
        <v/>
      </c>
      <c r="U258" s="1" t="str">
        <f t="shared" si="29"/>
        <v>INCLUDED</v>
      </c>
      <c r="V258" s="1" t="str">
        <f t="shared" si="30"/>
        <v>2026-03</v>
      </c>
      <c r="W258" s="1">
        <f>IF(AND(U258="INCLUDED",X258&gt;0,EXACT(A258,'AI output'!A258)),1,0)</f>
        <v>1</v>
      </c>
      <c r="X258" s="1">
        <f>258</f>
        <v>258</v>
      </c>
      <c r="Y258" s="1">
        <f>IF(AND(U258="INCLUDED",W258=1),--(NOT(EXACT(A258,'AI output'!A258)))+--(NOT(EXACT(B258,'AI output'!B258)))+--(NOT(EXACT(TEXT(G258,"yyyy-mm-dd"),'AI output'!C258)))+--(NOT(EXACT(H258,'AI output'!D258)))+--(NOT(EXACT(J258,'AI output'!E258)))+--(NOT(EXACT(K258,'AI output'!F258)))+--(N258&lt;&gt;'AI output'!L258)+--(NOT('AI output'!M258)),0)</f>
        <v>0</v>
      </c>
      <c r="Z258" s="1">
        <f t="shared" si="31"/>
        <v>0</v>
      </c>
      <c r="AA258" s="1">
        <f>--EXACT(A258,"L00252")</f>
        <v>1</v>
      </c>
    </row>
    <row r="259" spans="1:27" ht="18.95" customHeight="1">
      <c r="A259" s="1" t="str">
        <f>IF(Raw!A259="","",Raw!A259)</f>
        <v>L00253</v>
      </c>
      <c r="B259" s="1" t="str">
        <f>IF(Raw!B259="","",Raw!B259)</f>
        <v>T00127</v>
      </c>
      <c r="C259" s="1" t="str">
        <f>IF(Raw!C259="","",Raw!C259)</f>
        <v>2026-03-14</v>
      </c>
      <c r="D259" s="1">
        <f t="shared" si="24"/>
        <v>2026</v>
      </c>
      <c r="E259" s="1">
        <f>IFERROR(IF(AND(LEN(C259)=10,MID(C259,5,1)="-",MID(C259,8,1)="-"),VALUE(MID(C259,6,2)),IF(AND(LEN(C259)=11,MID(C259,3,1)="-",MID(C259,7,1)="-"),MATCH(UPPER(MID(C259,4,3)),Guide!$D$7:$D$18,0),0)),0)</f>
        <v>3</v>
      </c>
      <c r="F259" s="1">
        <f t="shared" si="25"/>
        <v>14</v>
      </c>
      <c r="G259" s="9">
        <f t="shared" si="26"/>
        <v>46095</v>
      </c>
      <c r="H259" s="1" t="str">
        <f>IF(Raw!D259="","",Raw!D259)</f>
        <v>P-A</v>
      </c>
      <c r="I259" s="1" t="str">
        <f>IFERROR(IF(EXACT(H259,INDEX(Guide!$A$7:$A$9,MATCH(SUBSTITUTE(SUBSTITUTE(SUBSTITUTE(H259,"~","~~"),"*","~*"),"?","~?"),Guide!$A$7:$A$9,0))),INDEX(Guide!$B$7:$B$9,MATCH(SUBSTITUTE(SUBSTITUTE(SUBSTITUTE(H259,"~","~~"),"*","~*"),"?","~?"),Guide!$A$7:$A$9,0)),""),"")</f>
        <v>Accessories</v>
      </c>
      <c r="J259" s="1" t="str">
        <f>IF(TRIM(Raw!E259)="",I259,IF(UPPER(TRIM(Raw!E259))=UPPER(I259),I259,""))</f>
        <v>Accessories</v>
      </c>
      <c r="K259" s="1" t="str">
        <f>IF(Raw!F259="","",Raw!F259)</f>
        <v>sale</v>
      </c>
      <c r="L259" s="1" t="str">
        <f>IF(LEFT(TRIM(Raw!G259),2)="-$","-"&amp;MID(TRIM(Raw!G259),3,99),IF(LEFT(TRIM(Raw!G259),1)="$",MID(TRIM(Raw!G259),2,99),TRIM(Raw!G259)))</f>
        <v>491.15</v>
      </c>
      <c r="M259" s="1">
        <f t="shared" si="27"/>
        <v>491.15</v>
      </c>
      <c r="N259" s="10">
        <f t="shared" si="28"/>
        <v>49115</v>
      </c>
      <c r="O259" s="1" t="b">
        <f>IFERROR(IF(ISNUMBER(Raw!G259),TRUE,OR(EXACT(L259,TEXT(M259,"0.00")),EXACT(L259,TEXT(M259,"#,##0.00")))),FALSE)</f>
        <v>1</v>
      </c>
      <c r="P259" s="1" t="str">
        <f>LEN(IF(Raw!A259="","",Raw!A259))&amp;":"&amp;IF(Raw!A259="","",Raw!A259)&amp;"|"&amp;LEN(IF(Raw!B259="","",Raw!B259))&amp;":"&amp;IF(Raw!B259="","",Raw!B259)&amp;"|"&amp;LEN(IF(Raw!C259="","",Raw!C259))&amp;":"&amp;IF(Raw!C259="","",Raw!C259)&amp;"|"&amp;LEN(IF(Raw!D259="","",Raw!D259))&amp;":"&amp;IF(Raw!D259="","",Raw!D259)&amp;"|"&amp;LEN(IF(Raw!E259="","",Raw!E259))&amp;":"&amp;IF(Raw!E259="","",Raw!E259)&amp;"|"&amp;LEN(IF(Raw!F259="","",Raw!F259))&amp;":"&amp;IF(Raw!F259="","",Raw!F259)&amp;"|"&amp;LEN(IF(Raw!G259="","",Raw!G259))&amp;":"&amp;IF(Raw!G259="","",Raw!G259)</f>
        <v>6:L00253|6:T00127|10:2026-03-14|3:P-A|11:Accessories|4:sale|6:491.15</v>
      </c>
      <c r="Q259" s="1">
        <f>1</f>
        <v>1</v>
      </c>
      <c r="R259" s="1" t="b">
        <f>FALSE</f>
        <v>0</v>
      </c>
      <c r="S259" s="1">
        <f>1</f>
        <v>1</v>
      </c>
      <c r="T259" s="1" t="str">
        <f>IF(AND(Raw!A259="",Raw!B259="",Raw!C259="",Raw!D259="",Raw!E259="",Raw!F259="",Raw!G259=""),"UNUSED",IF(A259="","missing line ID",IF(B259="","missing transaction ID",IF(G259="",IF(C259="","missing date","invalid date"),IF(I259="","unknown product",IF(J259="","conflicting category",IF(NOT(OR(EXACT(K259,"sale"),EXACT(K259,"refund"))),"unknown event",IF(OR(N259="",NOT(O259)),"invalid amount",IF(OR(AND(K259="sale",N259&lt;=0),AND(K259="refund",N259&gt;=0)),"invalid sign","")))))))))</f>
        <v/>
      </c>
      <c r="U259" s="1" t="str">
        <f t="shared" si="29"/>
        <v>INCLUDED</v>
      </c>
      <c r="V259" s="1" t="str">
        <f t="shared" si="30"/>
        <v>2026-03</v>
      </c>
      <c r="W259" s="1">
        <f>IF(AND(U259="INCLUDED",X259&gt;0,EXACT(A259,'AI output'!A259)),1,0)</f>
        <v>1</v>
      </c>
      <c r="X259" s="1">
        <f>259</f>
        <v>259</v>
      </c>
      <c r="Y259" s="1">
        <f>IF(AND(U259="INCLUDED",W259=1),--(NOT(EXACT(A259,'AI output'!A259)))+--(NOT(EXACT(B259,'AI output'!B259)))+--(NOT(EXACT(TEXT(G259,"yyyy-mm-dd"),'AI output'!C259)))+--(NOT(EXACT(H259,'AI output'!D259)))+--(NOT(EXACT(J259,'AI output'!E259)))+--(NOT(EXACT(K259,'AI output'!F259)))+--(N259&lt;&gt;'AI output'!L259)+--(NOT('AI output'!M259)),0)</f>
        <v>0</v>
      </c>
      <c r="Z259" s="1">
        <f t="shared" si="31"/>
        <v>0</v>
      </c>
      <c r="AA259" s="1">
        <f>--EXACT(A259,"L00253")</f>
        <v>1</v>
      </c>
    </row>
    <row r="260" spans="1:27" ht="18.95" customHeight="1">
      <c r="A260" s="1" t="str">
        <f>IF(Raw!A260="","",Raw!A260)</f>
        <v>L00254</v>
      </c>
      <c r="B260" s="1" t="str">
        <f>IF(Raw!B260="","",Raw!B260)</f>
        <v>T00127</v>
      </c>
      <c r="C260" s="1" t="str">
        <f>IF(Raw!C260="","",Raw!C260)</f>
        <v>2026-03-14</v>
      </c>
      <c r="D260" s="1">
        <f t="shared" si="24"/>
        <v>2026</v>
      </c>
      <c r="E260" s="1">
        <f>IFERROR(IF(AND(LEN(C260)=10,MID(C260,5,1)="-",MID(C260,8,1)="-"),VALUE(MID(C260,6,2)),IF(AND(LEN(C260)=11,MID(C260,3,1)="-",MID(C260,7,1)="-"),MATCH(UPPER(MID(C260,4,3)),Guide!$D$7:$D$18,0),0)),0)</f>
        <v>3</v>
      </c>
      <c r="F260" s="1">
        <f t="shared" si="25"/>
        <v>14</v>
      </c>
      <c r="G260" s="9">
        <f t="shared" si="26"/>
        <v>46095</v>
      </c>
      <c r="H260" s="1" t="str">
        <f>IF(Raw!D260="","",Raw!D260)</f>
        <v>P-H</v>
      </c>
      <c r="I260" s="1" t="str">
        <f>IFERROR(IF(EXACT(H260,INDEX(Guide!$A$7:$A$9,MATCH(SUBSTITUTE(SUBSTITUTE(SUBSTITUTE(H260,"~","~~"),"*","~*"),"?","~?"),Guide!$A$7:$A$9,0))),INDEX(Guide!$B$7:$B$9,MATCH(SUBSTITUTE(SUBSTITUTE(SUBSTITUTE(H260,"~","~~"),"*","~*"),"?","~?"),Guide!$A$7:$A$9,0)),""),"")</f>
        <v>Home</v>
      </c>
      <c r="J260" s="1" t="str">
        <f>IF(TRIM(Raw!E260)="",I260,IF(UPPER(TRIM(Raw!E260))=UPPER(I260),I260,""))</f>
        <v>Home</v>
      </c>
      <c r="K260" s="1" t="str">
        <f>IF(Raw!F260="","",Raw!F260)</f>
        <v>refund</v>
      </c>
      <c r="L260" s="1" t="str">
        <f>IF(LEFT(TRIM(Raw!G260),2)="-$","-"&amp;MID(TRIM(Raw!G260),3,99),IF(LEFT(TRIM(Raw!G260),1)="$",MID(TRIM(Raw!G260),2,99),TRIM(Raw!G260)))</f>
        <v>-197.20</v>
      </c>
      <c r="M260" s="1">
        <f t="shared" si="27"/>
        <v>-197.2</v>
      </c>
      <c r="N260" s="10">
        <f t="shared" si="28"/>
        <v>-19720</v>
      </c>
      <c r="O260" s="1" t="b">
        <f>IFERROR(IF(ISNUMBER(Raw!G260),TRUE,OR(EXACT(L260,TEXT(M260,"0.00")),EXACT(L260,TEXT(M260,"#,##0.00")))),FALSE)</f>
        <v>1</v>
      </c>
      <c r="P260" s="1" t="str">
        <f>LEN(IF(Raw!A260="","",Raw!A260))&amp;":"&amp;IF(Raw!A260="","",Raw!A260)&amp;"|"&amp;LEN(IF(Raw!B260="","",Raw!B260))&amp;":"&amp;IF(Raw!B260="","",Raw!B260)&amp;"|"&amp;LEN(IF(Raw!C260="","",Raw!C260))&amp;":"&amp;IF(Raw!C260="","",Raw!C260)&amp;"|"&amp;LEN(IF(Raw!D260="","",Raw!D260))&amp;":"&amp;IF(Raw!D260="","",Raw!D260)&amp;"|"&amp;LEN(IF(Raw!E260="","",Raw!E260))&amp;":"&amp;IF(Raw!E260="","",Raw!E260)&amp;"|"&amp;LEN(IF(Raw!F260="","",Raw!F260))&amp;":"&amp;IF(Raw!F260="","",Raw!F260)&amp;"|"&amp;LEN(IF(Raw!G260="","",Raw!G260))&amp;":"&amp;IF(Raw!G260="","",Raw!G260)</f>
        <v>6:L00254|6:T00127|10:2026-03-14|3:P-H|4:Home|6:refund|7:-197.20</v>
      </c>
      <c r="Q260" s="1">
        <f>1</f>
        <v>1</v>
      </c>
      <c r="R260" s="1" t="b">
        <f>FALSE</f>
        <v>0</v>
      </c>
      <c r="S260" s="1">
        <f>1</f>
        <v>1</v>
      </c>
      <c r="T260" s="1" t="str">
        <f>IF(AND(Raw!A260="",Raw!B260="",Raw!C260="",Raw!D260="",Raw!E260="",Raw!F260="",Raw!G260=""),"UNUSED",IF(A260="","missing line ID",IF(B260="","missing transaction ID",IF(G260="",IF(C260="","missing date","invalid date"),IF(I260="","unknown product",IF(J260="","conflicting category",IF(NOT(OR(EXACT(K260,"sale"),EXACT(K260,"refund"))),"unknown event",IF(OR(N260="",NOT(O260)),"invalid amount",IF(OR(AND(K260="sale",N260&lt;=0),AND(K260="refund",N260&gt;=0)),"invalid sign","")))))))))</f>
        <v/>
      </c>
      <c r="U260" s="1" t="str">
        <f t="shared" si="29"/>
        <v>INCLUDED</v>
      </c>
      <c r="V260" s="1" t="str">
        <f t="shared" si="30"/>
        <v>2026-03</v>
      </c>
      <c r="W260" s="1">
        <f>IF(AND(U260="INCLUDED",X260&gt;0,EXACT(A260,'AI output'!A260)),1,0)</f>
        <v>1</v>
      </c>
      <c r="X260" s="1">
        <f>260</f>
        <v>260</v>
      </c>
      <c r="Y260" s="1">
        <f>IF(AND(U260="INCLUDED",W260=1),--(NOT(EXACT(A260,'AI output'!A260)))+--(NOT(EXACT(B260,'AI output'!B260)))+--(NOT(EXACT(TEXT(G260,"yyyy-mm-dd"),'AI output'!C260)))+--(NOT(EXACT(H260,'AI output'!D260)))+--(NOT(EXACT(J260,'AI output'!E260)))+--(NOT(EXACT(K260,'AI output'!F260)))+--(N260&lt;&gt;'AI output'!L260)+--(NOT('AI output'!M260)),0)</f>
        <v>0</v>
      </c>
      <c r="Z260" s="1">
        <f t="shared" si="31"/>
        <v>0</v>
      </c>
      <c r="AA260" s="1">
        <f>--EXACT(A260,"L00254")</f>
        <v>1</v>
      </c>
    </row>
    <row r="261" spans="1:27" ht="18.95" customHeight="1">
      <c r="A261" s="1" t="str">
        <f>IF(Raw!A261="","",Raw!A261)</f>
        <v>L00255</v>
      </c>
      <c r="B261" s="1" t="str">
        <f>IF(Raw!B261="","",Raw!B261)</f>
        <v>T00128</v>
      </c>
      <c r="C261" s="1" t="str">
        <f>IF(Raw!C261="","",Raw!C261)</f>
        <v>2026-03-21</v>
      </c>
      <c r="D261" s="1">
        <f t="shared" si="24"/>
        <v>2026</v>
      </c>
      <c r="E261" s="1">
        <f>IFERROR(IF(AND(LEN(C261)=10,MID(C261,5,1)="-",MID(C261,8,1)="-"),VALUE(MID(C261,6,2)),IF(AND(LEN(C261)=11,MID(C261,3,1)="-",MID(C261,7,1)="-"),MATCH(UPPER(MID(C261,4,3)),Guide!$D$7:$D$18,0),0)),0)</f>
        <v>3</v>
      </c>
      <c r="F261" s="1">
        <f t="shared" si="25"/>
        <v>21</v>
      </c>
      <c r="G261" s="9">
        <f t="shared" si="26"/>
        <v>46102</v>
      </c>
      <c r="H261" s="1" t="str">
        <f>IF(Raw!D261="","",Raw!D261)</f>
        <v>P-O</v>
      </c>
      <c r="I261" s="1" t="str">
        <f>IFERROR(IF(EXACT(H261,INDEX(Guide!$A$7:$A$9,MATCH(SUBSTITUTE(SUBSTITUTE(SUBSTITUTE(H261,"~","~~"),"*","~*"),"?","~?"),Guide!$A$7:$A$9,0))),INDEX(Guide!$B$7:$B$9,MATCH(SUBSTITUTE(SUBSTITUTE(SUBSTITUTE(H261,"~","~~"),"*","~*"),"?","~?"),Guide!$A$7:$A$9,0)),""),"")</f>
        <v>Office</v>
      </c>
      <c r="J261" s="1" t="str">
        <f>IF(TRIM(Raw!E261)="",I261,IF(UPPER(TRIM(Raw!E261))=UPPER(I261),I261,""))</f>
        <v>Office</v>
      </c>
      <c r="K261" s="1" t="str">
        <f>IF(Raw!F261="","",Raw!F261)</f>
        <v>sale</v>
      </c>
      <c r="L261" s="1" t="str">
        <f>IF(LEFT(TRIM(Raw!G261),2)="-$","-"&amp;MID(TRIM(Raw!G261),3,99),IF(LEFT(TRIM(Raw!G261),1)="$",MID(TRIM(Raw!G261),2,99),TRIM(Raw!G261)))</f>
        <v>395.88</v>
      </c>
      <c r="M261" s="1">
        <f t="shared" si="27"/>
        <v>395.88</v>
      </c>
      <c r="N261" s="10">
        <f t="shared" si="28"/>
        <v>39588</v>
      </c>
      <c r="O261" s="1" t="b">
        <f>IFERROR(IF(ISNUMBER(Raw!G261),TRUE,OR(EXACT(L261,TEXT(M261,"0.00")),EXACT(L261,TEXT(M261,"#,##0.00")))),FALSE)</f>
        <v>1</v>
      </c>
      <c r="P261" s="1" t="str">
        <f>LEN(IF(Raw!A261="","",Raw!A261))&amp;":"&amp;IF(Raw!A261="","",Raw!A261)&amp;"|"&amp;LEN(IF(Raw!B261="","",Raw!B261))&amp;":"&amp;IF(Raw!B261="","",Raw!B261)&amp;"|"&amp;LEN(IF(Raw!C261="","",Raw!C261))&amp;":"&amp;IF(Raw!C261="","",Raw!C261)&amp;"|"&amp;LEN(IF(Raw!D261="","",Raw!D261))&amp;":"&amp;IF(Raw!D261="","",Raw!D261)&amp;"|"&amp;LEN(IF(Raw!E261="","",Raw!E261))&amp;":"&amp;IF(Raw!E261="","",Raw!E261)&amp;"|"&amp;LEN(IF(Raw!F261="","",Raw!F261))&amp;":"&amp;IF(Raw!F261="","",Raw!F261)&amp;"|"&amp;LEN(IF(Raw!G261="","",Raw!G261))&amp;":"&amp;IF(Raw!G261="","",Raw!G261)</f>
        <v>6:L00255|6:T00128|10:2026-03-21|3:P-O|6:Office|4:sale|6:395.88</v>
      </c>
      <c r="Q261" s="1">
        <f>1</f>
        <v>1</v>
      </c>
      <c r="R261" s="1" t="b">
        <f>FALSE</f>
        <v>0</v>
      </c>
      <c r="S261" s="1">
        <f>1</f>
        <v>1</v>
      </c>
      <c r="T261" s="1" t="str">
        <f>IF(AND(Raw!A261="",Raw!B261="",Raw!C261="",Raw!D261="",Raw!E261="",Raw!F261="",Raw!G261=""),"UNUSED",IF(A261="","missing line ID",IF(B261="","missing transaction ID",IF(G261="",IF(C261="","missing date","invalid date"),IF(I261="","unknown product",IF(J261="","conflicting category",IF(NOT(OR(EXACT(K261,"sale"),EXACT(K261,"refund"))),"unknown event",IF(OR(N261="",NOT(O261)),"invalid amount",IF(OR(AND(K261="sale",N261&lt;=0),AND(K261="refund",N261&gt;=0)),"invalid sign","")))))))))</f>
        <v/>
      </c>
      <c r="U261" s="1" t="str">
        <f t="shared" si="29"/>
        <v>INCLUDED</v>
      </c>
      <c r="V261" s="1" t="str">
        <f t="shared" si="30"/>
        <v>2026-03</v>
      </c>
      <c r="W261" s="1">
        <f>IF(AND(U261="INCLUDED",X261&gt;0,EXACT(A261,'AI output'!A261)),1,0)</f>
        <v>1</v>
      </c>
      <c r="X261" s="1">
        <f>261</f>
        <v>261</v>
      </c>
      <c r="Y261" s="1">
        <f>IF(AND(U261="INCLUDED",W261=1),--(NOT(EXACT(A261,'AI output'!A261)))+--(NOT(EXACT(B261,'AI output'!B261)))+--(NOT(EXACT(TEXT(G261,"yyyy-mm-dd"),'AI output'!C261)))+--(NOT(EXACT(H261,'AI output'!D261)))+--(NOT(EXACT(J261,'AI output'!E261)))+--(NOT(EXACT(K261,'AI output'!F261)))+--(N261&lt;&gt;'AI output'!L261)+--(NOT('AI output'!M261)),0)</f>
        <v>0</v>
      </c>
      <c r="Z261" s="1">
        <f t="shared" si="31"/>
        <v>0</v>
      </c>
      <c r="AA261" s="1">
        <f>--EXACT(A261,"L00255")</f>
        <v>1</v>
      </c>
    </row>
    <row r="262" spans="1:27" ht="18.95" customHeight="1">
      <c r="A262" s="1" t="str">
        <f>IF(Raw!A262="","",Raw!A262)</f>
        <v>L00256</v>
      </c>
      <c r="B262" s="1" t="str">
        <f>IF(Raw!B262="","",Raw!B262)</f>
        <v>T00128</v>
      </c>
      <c r="C262" s="1" t="str">
        <f>IF(Raw!C262="","",Raw!C262)</f>
        <v>2026-03-21</v>
      </c>
      <c r="D262" s="1">
        <f t="shared" si="24"/>
        <v>2026</v>
      </c>
      <c r="E262" s="1">
        <f>IFERROR(IF(AND(LEN(C262)=10,MID(C262,5,1)="-",MID(C262,8,1)="-"),VALUE(MID(C262,6,2)),IF(AND(LEN(C262)=11,MID(C262,3,1)="-",MID(C262,7,1)="-"),MATCH(UPPER(MID(C262,4,3)),Guide!$D$7:$D$18,0),0)),0)</f>
        <v>3</v>
      </c>
      <c r="F262" s="1">
        <f t="shared" si="25"/>
        <v>21</v>
      </c>
      <c r="G262" s="9">
        <f t="shared" si="26"/>
        <v>46102</v>
      </c>
      <c r="H262" s="1" t="str">
        <f>IF(Raw!D262="","",Raw!D262)</f>
        <v>P-A</v>
      </c>
      <c r="I262" s="1" t="str">
        <f>IFERROR(IF(EXACT(H262,INDEX(Guide!$A$7:$A$9,MATCH(SUBSTITUTE(SUBSTITUTE(SUBSTITUTE(H262,"~","~~"),"*","~*"),"?","~?"),Guide!$A$7:$A$9,0))),INDEX(Guide!$B$7:$B$9,MATCH(SUBSTITUTE(SUBSTITUTE(SUBSTITUTE(H262,"~","~~"),"*","~*"),"?","~?"),Guide!$A$7:$A$9,0)),""),"")</f>
        <v>Accessories</v>
      </c>
      <c r="J262" s="1" t="str">
        <f>IF(TRIM(Raw!E262)="",I262,IF(UPPER(TRIM(Raw!E262))=UPPER(I262),I262,""))</f>
        <v>Accessories</v>
      </c>
      <c r="K262" s="1" t="str">
        <f>IF(Raw!F262="","",Raw!F262)</f>
        <v>sale</v>
      </c>
      <c r="L262" s="1" t="str">
        <f>IF(LEFT(TRIM(Raw!G262),2)="-$","-"&amp;MID(TRIM(Raw!G262),3,99),IF(LEFT(TRIM(Raw!G262),1)="$",MID(TRIM(Raw!G262),2,99),TRIM(Raw!G262)))</f>
        <v>99.34</v>
      </c>
      <c r="M262" s="1">
        <f t="shared" si="27"/>
        <v>99.34</v>
      </c>
      <c r="N262" s="10">
        <f t="shared" si="28"/>
        <v>9934</v>
      </c>
      <c r="O262" s="1" t="b">
        <f>IFERROR(IF(ISNUMBER(Raw!G262),TRUE,OR(EXACT(L262,TEXT(M262,"0.00")),EXACT(L262,TEXT(M262,"#,##0.00")))),FALSE)</f>
        <v>1</v>
      </c>
      <c r="P262" s="1" t="str">
        <f>LEN(IF(Raw!A262="","",Raw!A262))&amp;":"&amp;IF(Raw!A262="","",Raw!A262)&amp;"|"&amp;LEN(IF(Raw!B262="","",Raw!B262))&amp;":"&amp;IF(Raw!B262="","",Raw!B262)&amp;"|"&amp;LEN(IF(Raw!C262="","",Raw!C262))&amp;":"&amp;IF(Raw!C262="","",Raw!C262)&amp;"|"&amp;LEN(IF(Raw!D262="","",Raw!D262))&amp;":"&amp;IF(Raw!D262="","",Raw!D262)&amp;"|"&amp;LEN(IF(Raw!E262="","",Raw!E262))&amp;":"&amp;IF(Raw!E262="","",Raw!E262)&amp;"|"&amp;LEN(IF(Raw!F262="","",Raw!F262))&amp;":"&amp;IF(Raw!F262="","",Raw!F262)&amp;"|"&amp;LEN(IF(Raw!G262="","",Raw!G262))&amp;":"&amp;IF(Raw!G262="","",Raw!G262)</f>
        <v>6:L00256|6:T00128|10:2026-03-21|3:P-A|11:Accessories|4:sale|5:99.34</v>
      </c>
      <c r="Q262" s="1">
        <f>1</f>
        <v>1</v>
      </c>
      <c r="R262" s="1" t="b">
        <f>FALSE</f>
        <v>0</v>
      </c>
      <c r="S262" s="1">
        <f>1</f>
        <v>1</v>
      </c>
      <c r="T262" s="1" t="str">
        <f>IF(AND(Raw!A262="",Raw!B262="",Raw!C262="",Raw!D262="",Raw!E262="",Raw!F262="",Raw!G262=""),"UNUSED",IF(A262="","missing line ID",IF(B262="","missing transaction ID",IF(G262="",IF(C262="","missing date","invalid date"),IF(I262="","unknown product",IF(J262="","conflicting category",IF(NOT(OR(EXACT(K262,"sale"),EXACT(K262,"refund"))),"unknown event",IF(OR(N262="",NOT(O262)),"invalid amount",IF(OR(AND(K262="sale",N262&lt;=0),AND(K262="refund",N262&gt;=0)),"invalid sign","")))))))))</f>
        <v/>
      </c>
      <c r="U262" s="1" t="str">
        <f t="shared" si="29"/>
        <v>INCLUDED</v>
      </c>
      <c r="V262" s="1" t="str">
        <f t="shared" si="30"/>
        <v>2026-03</v>
      </c>
      <c r="W262" s="1">
        <f>IF(AND(U262="INCLUDED",X262&gt;0,EXACT(A262,'AI output'!A262)),1,0)</f>
        <v>1</v>
      </c>
      <c r="X262" s="1">
        <f>262</f>
        <v>262</v>
      </c>
      <c r="Y262" s="1">
        <f>IF(AND(U262="INCLUDED",W262=1),--(NOT(EXACT(A262,'AI output'!A262)))+--(NOT(EXACT(B262,'AI output'!B262)))+--(NOT(EXACT(TEXT(G262,"yyyy-mm-dd"),'AI output'!C262)))+--(NOT(EXACT(H262,'AI output'!D262)))+--(NOT(EXACT(J262,'AI output'!E262)))+--(NOT(EXACT(K262,'AI output'!F262)))+--(N262&lt;&gt;'AI output'!L262)+--(NOT('AI output'!M262)),0)</f>
        <v>0</v>
      </c>
      <c r="Z262" s="1">
        <f t="shared" si="31"/>
        <v>0</v>
      </c>
      <c r="AA262" s="1">
        <f>--EXACT(A262,"L00256")</f>
        <v>1</v>
      </c>
    </row>
    <row r="263" spans="1:27" ht="18.95" customHeight="1">
      <c r="A263" s="1" t="str">
        <f>IF(Raw!A263="","",Raw!A263)</f>
        <v>L00257</v>
      </c>
      <c r="B263" s="1" t="str">
        <f>IF(Raw!B263="","",Raw!B263)</f>
        <v>T00129</v>
      </c>
      <c r="C263" s="1" t="str">
        <f>IF(Raw!C263="","",Raw!C263)</f>
        <v>2026-03-28</v>
      </c>
      <c r="D263" s="1">
        <f t="shared" ref="D263:D326" si="32">IFERROR(IF(AND(LEN(C263)=10,MID(C263,5,1)="-",MID(C263,8,1)="-"),VALUE(LEFT(C263,4)),IF(AND(LEN(C263)=11,MID(C263,3,1)="-",MID(C263,7,1)="-"),VALUE(RIGHT(C263,4)),0)),0)</f>
        <v>2026</v>
      </c>
      <c r="E263" s="1">
        <f>IFERROR(IF(AND(LEN(C263)=10,MID(C263,5,1)="-",MID(C263,8,1)="-"),VALUE(MID(C263,6,2)),IF(AND(LEN(C263)=11,MID(C263,3,1)="-",MID(C263,7,1)="-"),MATCH(UPPER(MID(C263,4,3)),Guide!$D$7:$D$18,0),0)),0)</f>
        <v>3</v>
      </c>
      <c r="F263" s="1">
        <f t="shared" ref="F263:F326" si="33">IFERROR(IF(AND(LEN(C263)=10,MID(C263,5,1)="-",MID(C263,8,1)="-"),VALUE(RIGHT(C263,2)),IF(AND(LEN(C263)=11,MID(C263,3,1)="-",MID(C263,7,1)="-"),VALUE(LEFT(C263,2)),0)),0)</f>
        <v>28</v>
      </c>
      <c r="G263" s="9">
        <f t="shared" ref="G263:G326" si="34">IFERROR(IF(AND(D263&gt;=1900,D263&lt;=9999,YEAR(DATE(D263,E263,F263))=D263,MONTH(DATE(D263,E263,F263))=E263,DAY(DATE(D263,E263,F263))=F263),DATE(D263,E263,F263),""),"")</f>
        <v>46109</v>
      </c>
      <c r="H263" s="1" t="str">
        <f>IF(Raw!D263="","",Raw!D263)</f>
        <v>P-H</v>
      </c>
      <c r="I263" s="1" t="str">
        <f>IFERROR(IF(EXACT(H263,INDEX(Guide!$A$7:$A$9,MATCH(SUBSTITUTE(SUBSTITUTE(SUBSTITUTE(H263,"~","~~"),"*","~*"),"?","~?"),Guide!$A$7:$A$9,0))),INDEX(Guide!$B$7:$B$9,MATCH(SUBSTITUTE(SUBSTITUTE(SUBSTITUTE(H263,"~","~~"),"*","~*"),"?","~?"),Guide!$A$7:$A$9,0)),""),"")</f>
        <v>Home</v>
      </c>
      <c r="J263" s="1" t="str">
        <f>IF(TRIM(Raw!E263)="",I263,IF(UPPER(TRIM(Raw!E263))=UPPER(I263),I263,""))</f>
        <v>Home</v>
      </c>
      <c r="K263" s="1" t="str">
        <f>IF(Raw!F263="","",Raw!F263)</f>
        <v>sale</v>
      </c>
      <c r="L263" s="1" t="str">
        <f>IF(LEFT(TRIM(Raw!G263),2)="-$","-"&amp;MID(TRIM(Raw!G263),3,99),IF(LEFT(TRIM(Raw!G263),1)="$",MID(TRIM(Raw!G263),2,99),TRIM(Raw!G263)))</f>
        <v>299.13</v>
      </c>
      <c r="M263" s="1">
        <f t="shared" ref="M263:M326" si="35">IFERROR(VALUE(L263),"")</f>
        <v>299.13</v>
      </c>
      <c r="N263" s="10">
        <f t="shared" ref="N263:N326" si="36">IF(AND(ISNUMBER(M263),ABS(M263*100-ROUND(M263*100,0))&lt;0.0000001),ROUND(M263*100,0),"")</f>
        <v>29913</v>
      </c>
      <c r="O263" s="1" t="b">
        <f>IFERROR(IF(ISNUMBER(Raw!G263),TRUE,OR(EXACT(L263,TEXT(M263,"0.00")),EXACT(L263,TEXT(M263,"#,##0.00")))),FALSE)</f>
        <v>1</v>
      </c>
      <c r="P263" s="1" t="str">
        <f>LEN(IF(Raw!A263="","",Raw!A263))&amp;":"&amp;IF(Raw!A263="","",Raw!A263)&amp;"|"&amp;LEN(IF(Raw!B263="","",Raw!B263))&amp;":"&amp;IF(Raw!B263="","",Raw!B263)&amp;"|"&amp;LEN(IF(Raw!C263="","",Raw!C263))&amp;":"&amp;IF(Raw!C263="","",Raw!C263)&amp;"|"&amp;LEN(IF(Raw!D263="","",Raw!D263))&amp;":"&amp;IF(Raw!D263="","",Raw!D263)&amp;"|"&amp;LEN(IF(Raw!E263="","",Raw!E263))&amp;":"&amp;IF(Raw!E263="","",Raw!E263)&amp;"|"&amp;LEN(IF(Raw!F263="","",Raw!F263))&amp;":"&amp;IF(Raw!F263="","",Raw!F263)&amp;"|"&amp;LEN(IF(Raw!G263="","",Raw!G263))&amp;":"&amp;IF(Raw!G263="","",Raw!G263)</f>
        <v>6:L00257|6:T00129|10:2026-03-28|3:P-H|4:Home|4:sale|6:299.13</v>
      </c>
      <c r="Q263" s="1">
        <f>1</f>
        <v>1</v>
      </c>
      <c r="R263" s="1" t="b">
        <f>FALSE</f>
        <v>0</v>
      </c>
      <c r="S263" s="1">
        <f>1</f>
        <v>1</v>
      </c>
      <c r="T263" s="1" t="str">
        <f>IF(AND(Raw!A263="",Raw!B263="",Raw!C263="",Raw!D263="",Raw!E263="",Raw!F263="",Raw!G263=""),"UNUSED",IF(A263="","missing line ID",IF(B263="","missing transaction ID",IF(G263="",IF(C263="","missing date","invalid date"),IF(I263="","unknown product",IF(J263="","conflicting category",IF(NOT(OR(EXACT(K263,"sale"),EXACT(K263,"refund"))),"unknown event",IF(OR(N263="",NOT(O263)),"invalid amount",IF(OR(AND(K263="sale",N263&lt;=0),AND(K263="refund",N263&gt;=0)),"invalid sign","")))))))))</f>
        <v/>
      </c>
      <c r="U263" s="1" t="str">
        <f t="shared" ref="U263:U326" si="37">IF(T263="UNUSED","UNUSED",IF(R263,"QUARANTINE",IF(S263&gt;1,"DUPLICATE",IF(T263&lt;&gt;"","QUARANTINE","INCLUDED"))))</f>
        <v>INCLUDED</v>
      </c>
      <c r="V263" s="1" t="str">
        <f t="shared" ref="V263:V326" si="38">IF(G263="","",TEXT(G263,"yyyy-mm"))</f>
        <v>2026-03</v>
      </c>
      <c r="W263" s="1">
        <f>IF(AND(U263="INCLUDED",X263&gt;0,EXACT(A263,'AI output'!A263)),1,0)</f>
        <v>1</v>
      </c>
      <c r="X263" s="1">
        <f>263</f>
        <v>263</v>
      </c>
      <c r="Y263" s="1">
        <f>IF(AND(U263="INCLUDED",W263=1),--(NOT(EXACT(A263,'AI output'!A263)))+--(NOT(EXACT(B263,'AI output'!B263)))+--(NOT(EXACT(TEXT(G263,"yyyy-mm-dd"),'AI output'!C263)))+--(NOT(EXACT(H263,'AI output'!D263)))+--(NOT(EXACT(J263,'AI output'!E263)))+--(NOT(EXACT(K263,'AI output'!F263)))+--(N263&lt;&gt;'AI output'!L263)+--(NOT('AI output'!M263)),0)</f>
        <v>0</v>
      </c>
      <c r="Z263" s="1">
        <f t="shared" ref="Z263:Z326" si="39">IF(U263="INCLUDED",IF(OR(W263&lt;&gt;1,Y263&lt;&gt;0),1,0),0)</f>
        <v>0</v>
      </c>
      <c r="AA263" s="1">
        <f>--EXACT(A263,"L00257")</f>
        <v>1</v>
      </c>
    </row>
    <row r="264" spans="1:27" ht="18.95" customHeight="1">
      <c r="A264" s="1" t="str">
        <f>IF(Raw!A264="","",Raw!A264)</f>
        <v>L00258</v>
      </c>
      <c r="B264" s="1" t="str">
        <f>IF(Raw!B264="","",Raw!B264)</f>
        <v>T00129</v>
      </c>
      <c r="C264" s="1" t="str">
        <f>IF(Raw!C264="","",Raw!C264)</f>
        <v>2026-03-28</v>
      </c>
      <c r="D264" s="1">
        <f t="shared" si="32"/>
        <v>2026</v>
      </c>
      <c r="E264" s="1">
        <f>IFERROR(IF(AND(LEN(C264)=10,MID(C264,5,1)="-",MID(C264,8,1)="-"),VALUE(MID(C264,6,2)),IF(AND(LEN(C264)=11,MID(C264,3,1)="-",MID(C264,7,1)="-"),MATCH(UPPER(MID(C264,4,3)),Guide!$D$7:$D$18,0),0)),0)</f>
        <v>3</v>
      </c>
      <c r="F264" s="1">
        <f t="shared" si="33"/>
        <v>28</v>
      </c>
      <c r="G264" s="9">
        <f t="shared" si="34"/>
        <v>46109</v>
      </c>
      <c r="H264" s="1" t="str">
        <f>IF(Raw!D264="","",Raw!D264)</f>
        <v>P-O</v>
      </c>
      <c r="I264" s="1" t="str">
        <f>IFERROR(IF(EXACT(H264,INDEX(Guide!$A$7:$A$9,MATCH(SUBSTITUTE(SUBSTITUTE(SUBSTITUTE(H264,"~","~~"),"*","~*"),"?","~?"),Guide!$A$7:$A$9,0))),INDEX(Guide!$B$7:$B$9,MATCH(SUBSTITUTE(SUBSTITUTE(SUBSTITUTE(H264,"~","~~"),"*","~*"),"?","~?"),Guide!$A$7:$A$9,0)),""),"")</f>
        <v>Office</v>
      </c>
      <c r="J264" s="1" t="str">
        <f>IF(TRIM(Raw!E264)="",I264,IF(UPPER(TRIM(Raw!E264))=UPPER(I264),I264,""))</f>
        <v>Office</v>
      </c>
      <c r="K264" s="1" t="str">
        <f>IF(Raw!F264="","",Raw!F264)</f>
        <v>sale</v>
      </c>
      <c r="L264" s="1" t="str">
        <f>IF(LEFT(TRIM(Raw!G264),2)="-$","-"&amp;MID(TRIM(Raw!G264),3,99),IF(LEFT(TRIM(Raw!G264),1)="$",MID(TRIM(Raw!G264),2,99),TRIM(Raw!G264)))</f>
        <v>500.40</v>
      </c>
      <c r="M264" s="1">
        <f t="shared" si="35"/>
        <v>500.4</v>
      </c>
      <c r="N264" s="10">
        <f t="shared" si="36"/>
        <v>50040</v>
      </c>
      <c r="O264" s="1" t="b">
        <f>IFERROR(IF(ISNUMBER(Raw!G264),TRUE,OR(EXACT(L264,TEXT(M264,"0.00")),EXACT(L264,TEXT(M264,"#,##0.00")))),FALSE)</f>
        <v>1</v>
      </c>
      <c r="P264" s="1" t="str">
        <f>LEN(IF(Raw!A264="","",Raw!A264))&amp;":"&amp;IF(Raw!A264="","",Raw!A264)&amp;"|"&amp;LEN(IF(Raw!B264="","",Raw!B264))&amp;":"&amp;IF(Raw!B264="","",Raw!B264)&amp;"|"&amp;LEN(IF(Raw!C264="","",Raw!C264))&amp;":"&amp;IF(Raw!C264="","",Raw!C264)&amp;"|"&amp;LEN(IF(Raw!D264="","",Raw!D264))&amp;":"&amp;IF(Raw!D264="","",Raw!D264)&amp;"|"&amp;LEN(IF(Raw!E264="","",Raw!E264))&amp;":"&amp;IF(Raw!E264="","",Raw!E264)&amp;"|"&amp;LEN(IF(Raw!F264="","",Raw!F264))&amp;":"&amp;IF(Raw!F264="","",Raw!F264)&amp;"|"&amp;LEN(IF(Raw!G264="","",Raw!G264))&amp;":"&amp;IF(Raw!G264="","",Raw!G264)</f>
        <v>6:L00258|6:T00129|10:2026-03-28|3:P-O|6:Office|4:sale|6:500.40</v>
      </c>
      <c r="Q264" s="1">
        <f>1</f>
        <v>1</v>
      </c>
      <c r="R264" s="1" t="b">
        <f>FALSE</f>
        <v>0</v>
      </c>
      <c r="S264" s="1">
        <f>1</f>
        <v>1</v>
      </c>
      <c r="T264" s="1" t="str">
        <f>IF(AND(Raw!A264="",Raw!B264="",Raw!C264="",Raw!D264="",Raw!E264="",Raw!F264="",Raw!G264=""),"UNUSED",IF(A264="","missing line ID",IF(B264="","missing transaction ID",IF(G264="",IF(C264="","missing date","invalid date"),IF(I264="","unknown product",IF(J264="","conflicting category",IF(NOT(OR(EXACT(K264,"sale"),EXACT(K264,"refund"))),"unknown event",IF(OR(N264="",NOT(O264)),"invalid amount",IF(OR(AND(K264="sale",N264&lt;=0),AND(K264="refund",N264&gt;=0)),"invalid sign","")))))))))</f>
        <v/>
      </c>
      <c r="U264" s="1" t="str">
        <f t="shared" si="37"/>
        <v>INCLUDED</v>
      </c>
      <c r="V264" s="1" t="str">
        <f t="shared" si="38"/>
        <v>2026-03</v>
      </c>
      <c r="W264" s="1">
        <f>IF(AND(U264="INCLUDED",X264&gt;0,EXACT(A264,'AI output'!A264)),1,0)</f>
        <v>1</v>
      </c>
      <c r="X264" s="1">
        <f>264</f>
        <v>264</v>
      </c>
      <c r="Y264" s="1">
        <f>IF(AND(U264="INCLUDED",W264=1),--(NOT(EXACT(A264,'AI output'!A264)))+--(NOT(EXACT(B264,'AI output'!B264)))+--(NOT(EXACT(TEXT(G264,"yyyy-mm-dd"),'AI output'!C264)))+--(NOT(EXACT(H264,'AI output'!D264)))+--(NOT(EXACT(J264,'AI output'!E264)))+--(NOT(EXACT(K264,'AI output'!F264)))+--(N264&lt;&gt;'AI output'!L264)+--(NOT('AI output'!M264)),0)</f>
        <v>0</v>
      </c>
      <c r="Z264" s="1">
        <f t="shared" si="39"/>
        <v>0</v>
      </c>
      <c r="AA264" s="1">
        <f>--EXACT(A264,"L00258")</f>
        <v>1</v>
      </c>
    </row>
    <row r="265" spans="1:27" ht="18.95" customHeight="1">
      <c r="A265" s="1" t="str">
        <f>IF(Raw!A265="","",Raw!A265)</f>
        <v>L00259</v>
      </c>
      <c r="B265" s="1" t="str">
        <f>IF(Raw!B265="","",Raw!B265)</f>
        <v>T00130</v>
      </c>
      <c r="C265" s="1" t="str">
        <f>IF(Raw!C265="","",Raw!C265)</f>
        <v>2026-01-04</v>
      </c>
      <c r="D265" s="1">
        <f t="shared" si="32"/>
        <v>2026</v>
      </c>
      <c r="E265" s="1">
        <f>IFERROR(IF(AND(LEN(C265)=10,MID(C265,5,1)="-",MID(C265,8,1)="-"),VALUE(MID(C265,6,2)),IF(AND(LEN(C265)=11,MID(C265,3,1)="-",MID(C265,7,1)="-"),MATCH(UPPER(MID(C265,4,3)),Guide!$D$7:$D$18,0),0)),0)</f>
        <v>1</v>
      </c>
      <c r="F265" s="1">
        <f t="shared" si="33"/>
        <v>4</v>
      </c>
      <c r="G265" s="9">
        <f t="shared" si="34"/>
        <v>46026</v>
      </c>
      <c r="H265" s="1" t="str">
        <f>IF(Raw!D265="","",Raw!D265)</f>
        <v>P-A</v>
      </c>
      <c r="I265" s="1" t="str">
        <f>IFERROR(IF(EXACT(H265,INDEX(Guide!$A$7:$A$9,MATCH(SUBSTITUTE(SUBSTITUTE(SUBSTITUTE(H265,"~","~~"),"*","~*"),"?","~?"),Guide!$A$7:$A$9,0))),INDEX(Guide!$B$7:$B$9,MATCH(SUBSTITUTE(SUBSTITUTE(SUBSTITUTE(H265,"~","~~"),"*","~*"),"?","~?"),Guide!$A$7:$A$9,0)),""),"")</f>
        <v>Accessories</v>
      </c>
      <c r="J265" s="1" t="str">
        <f>IF(TRIM(Raw!E265)="",I265,IF(UPPER(TRIM(Raw!E265))=UPPER(I265),I265,""))</f>
        <v>Accessories</v>
      </c>
      <c r="K265" s="1" t="str">
        <f>IF(Raw!F265="","",Raw!F265)</f>
        <v>sale</v>
      </c>
      <c r="L265" s="1" t="str">
        <f>IF(LEFT(TRIM(Raw!G265),2)="-$","-"&amp;MID(TRIM(Raw!G265),3,99),IF(LEFT(TRIM(Raw!G265),1)="$",MID(TRIM(Raw!G265),2,99),TRIM(Raw!G265)))</f>
        <v>200.90</v>
      </c>
      <c r="M265" s="1">
        <f t="shared" si="35"/>
        <v>200.9</v>
      </c>
      <c r="N265" s="10">
        <f t="shared" si="36"/>
        <v>20090</v>
      </c>
      <c r="O265" s="1" t="b">
        <f>IFERROR(IF(ISNUMBER(Raw!G265),TRUE,OR(EXACT(L265,TEXT(M265,"0.00")),EXACT(L265,TEXT(M265,"#,##0.00")))),FALSE)</f>
        <v>1</v>
      </c>
      <c r="P265" s="1" t="str">
        <f>LEN(IF(Raw!A265="","",Raw!A265))&amp;":"&amp;IF(Raw!A265="","",Raw!A265)&amp;"|"&amp;LEN(IF(Raw!B265="","",Raw!B265))&amp;":"&amp;IF(Raw!B265="","",Raw!B265)&amp;"|"&amp;LEN(IF(Raw!C265="","",Raw!C265))&amp;":"&amp;IF(Raw!C265="","",Raw!C265)&amp;"|"&amp;LEN(IF(Raw!D265="","",Raw!D265))&amp;":"&amp;IF(Raw!D265="","",Raw!D265)&amp;"|"&amp;LEN(IF(Raw!E265="","",Raw!E265))&amp;":"&amp;IF(Raw!E265="","",Raw!E265)&amp;"|"&amp;LEN(IF(Raw!F265="","",Raw!F265))&amp;":"&amp;IF(Raw!F265="","",Raw!F265)&amp;"|"&amp;LEN(IF(Raw!G265="","",Raw!G265))&amp;":"&amp;IF(Raw!G265="","",Raw!G265)</f>
        <v>6:L00259|6:T00130|10:2026-01-04|3:P-A|11:Accessories|4:sale|6:200.90</v>
      </c>
      <c r="Q265" s="1">
        <f>1</f>
        <v>1</v>
      </c>
      <c r="R265" s="1" t="b">
        <f>FALSE</f>
        <v>0</v>
      </c>
      <c r="S265" s="1">
        <f>1</f>
        <v>1</v>
      </c>
      <c r="T265" s="1" t="str">
        <f>IF(AND(Raw!A265="",Raw!B265="",Raw!C265="",Raw!D265="",Raw!E265="",Raw!F265="",Raw!G265=""),"UNUSED",IF(A265="","missing line ID",IF(B265="","missing transaction ID",IF(G265="",IF(C265="","missing date","invalid date"),IF(I265="","unknown product",IF(J265="","conflicting category",IF(NOT(OR(EXACT(K265,"sale"),EXACT(K265,"refund"))),"unknown event",IF(OR(N265="",NOT(O265)),"invalid amount",IF(OR(AND(K265="sale",N265&lt;=0),AND(K265="refund",N265&gt;=0)),"invalid sign","")))))))))</f>
        <v/>
      </c>
      <c r="U265" s="1" t="str">
        <f t="shared" si="37"/>
        <v>INCLUDED</v>
      </c>
      <c r="V265" s="1" t="str">
        <f t="shared" si="38"/>
        <v>2026-01</v>
      </c>
      <c r="W265" s="1">
        <f>IF(AND(U265="INCLUDED",X265&gt;0,EXACT(A265,'AI output'!A265)),1,0)</f>
        <v>1</v>
      </c>
      <c r="X265" s="1">
        <f>265</f>
        <v>265</v>
      </c>
      <c r="Y265" s="1">
        <f>IF(AND(U265="INCLUDED",W265=1),--(NOT(EXACT(A265,'AI output'!A265)))+--(NOT(EXACT(B265,'AI output'!B265)))+--(NOT(EXACT(TEXT(G265,"yyyy-mm-dd"),'AI output'!C265)))+--(NOT(EXACT(H265,'AI output'!D265)))+--(NOT(EXACT(J265,'AI output'!E265)))+--(NOT(EXACT(K265,'AI output'!F265)))+--(N265&lt;&gt;'AI output'!L265)+--(NOT('AI output'!M265)),0)</f>
        <v>0</v>
      </c>
      <c r="Z265" s="1">
        <f t="shared" si="39"/>
        <v>0</v>
      </c>
      <c r="AA265" s="1">
        <f>--EXACT(A265,"L00259")</f>
        <v>1</v>
      </c>
    </row>
    <row r="266" spans="1:27" ht="18.95" customHeight="1">
      <c r="A266" s="1" t="str">
        <f>IF(Raw!A266="","",Raw!A266)</f>
        <v>L00260</v>
      </c>
      <c r="B266" s="1" t="str">
        <f>IF(Raw!B266="","",Raw!B266)</f>
        <v>T00130</v>
      </c>
      <c r="C266" s="1" t="str">
        <f>IF(Raw!C266="","",Raw!C266)</f>
        <v>2026-01-04</v>
      </c>
      <c r="D266" s="1">
        <f t="shared" si="32"/>
        <v>2026</v>
      </c>
      <c r="E266" s="1">
        <f>IFERROR(IF(AND(LEN(C266)=10,MID(C266,5,1)="-",MID(C266,8,1)="-"),VALUE(MID(C266,6,2)),IF(AND(LEN(C266)=11,MID(C266,3,1)="-",MID(C266,7,1)="-"),MATCH(UPPER(MID(C266,4,3)),Guide!$D$7:$D$18,0),0)),0)</f>
        <v>1</v>
      </c>
      <c r="F266" s="1">
        <f t="shared" si="33"/>
        <v>4</v>
      </c>
      <c r="G266" s="9">
        <f t="shared" si="34"/>
        <v>46026</v>
      </c>
      <c r="H266" s="1" t="str">
        <f>IF(Raw!D266="","",Raw!D266)</f>
        <v>P-H</v>
      </c>
      <c r="I266" s="1" t="str">
        <f>IFERROR(IF(EXACT(H266,INDEX(Guide!$A$7:$A$9,MATCH(SUBSTITUTE(SUBSTITUTE(SUBSTITUTE(H266,"~","~~"),"*","~*"),"?","~?"),Guide!$A$7:$A$9,0))),INDEX(Guide!$B$7:$B$9,MATCH(SUBSTITUTE(SUBSTITUTE(SUBSTITUTE(H266,"~","~~"),"*","~*"),"?","~?"),Guide!$A$7:$A$9,0)),""),"")</f>
        <v>Home</v>
      </c>
      <c r="J266" s="1" t="str">
        <f>IF(TRIM(Raw!E266)="",I266,IF(UPPER(TRIM(Raw!E266))=UPPER(I266),I266,""))</f>
        <v>Home</v>
      </c>
      <c r="K266" s="1" t="str">
        <f>IF(Raw!F266="","",Raw!F266)</f>
        <v>sale</v>
      </c>
      <c r="L266" s="1" t="str">
        <f>IF(LEFT(TRIM(Raw!G266),2)="-$","-"&amp;MID(TRIM(Raw!G266),3,99),IF(LEFT(TRIM(Raw!G266),1)="$",MID(TRIM(Raw!G266),2,99),TRIM(Raw!G266)))</f>
        <v>403.28</v>
      </c>
      <c r="M266" s="1">
        <f t="shared" si="35"/>
        <v>403.28</v>
      </c>
      <c r="N266" s="10">
        <f t="shared" si="36"/>
        <v>40328</v>
      </c>
      <c r="O266" s="1" t="b">
        <f>IFERROR(IF(ISNUMBER(Raw!G266),TRUE,OR(EXACT(L266,TEXT(M266,"0.00")),EXACT(L266,TEXT(M266,"#,##0.00")))),FALSE)</f>
        <v>1</v>
      </c>
      <c r="P266" s="1" t="str">
        <f>LEN(IF(Raw!A266="","",Raw!A266))&amp;":"&amp;IF(Raw!A266="","",Raw!A266)&amp;"|"&amp;LEN(IF(Raw!B266="","",Raw!B266))&amp;":"&amp;IF(Raw!B266="","",Raw!B266)&amp;"|"&amp;LEN(IF(Raw!C266="","",Raw!C266))&amp;":"&amp;IF(Raw!C266="","",Raw!C266)&amp;"|"&amp;LEN(IF(Raw!D266="","",Raw!D266))&amp;":"&amp;IF(Raw!D266="","",Raw!D266)&amp;"|"&amp;LEN(IF(Raw!E266="","",Raw!E266))&amp;":"&amp;IF(Raw!E266="","",Raw!E266)&amp;"|"&amp;LEN(IF(Raw!F266="","",Raw!F266))&amp;":"&amp;IF(Raw!F266="","",Raw!F266)&amp;"|"&amp;LEN(IF(Raw!G266="","",Raw!G266))&amp;":"&amp;IF(Raw!G266="","",Raw!G266)</f>
        <v>6:L00260|6:T00130|10:2026-01-04|3:P-H|4:Home|4:sale|6:403.28</v>
      </c>
      <c r="Q266" s="1">
        <f>1</f>
        <v>1</v>
      </c>
      <c r="R266" s="1" t="b">
        <f>FALSE</f>
        <v>0</v>
      </c>
      <c r="S266" s="1">
        <f>1</f>
        <v>1</v>
      </c>
      <c r="T266" s="1" t="str">
        <f>IF(AND(Raw!A266="",Raw!B266="",Raw!C266="",Raw!D266="",Raw!E266="",Raw!F266="",Raw!G266=""),"UNUSED",IF(A266="","missing line ID",IF(B266="","missing transaction ID",IF(G266="",IF(C266="","missing date","invalid date"),IF(I266="","unknown product",IF(J266="","conflicting category",IF(NOT(OR(EXACT(K266,"sale"),EXACT(K266,"refund"))),"unknown event",IF(OR(N266="",NOT(O266)),"invalid amount",IF(OR(AND(K266="sale",N266&lt;=0),AND(K266="refund",N266&gt;=0)),"invalid sign","")))))))))</f>
        <v/>
      </c>
      <c r="U266" s="1" t="str">
        <f t="shared" si="37"/>
        <v>INCLUDED</v>
      </c>
      <c r="V266" s="1" t="str">
        <f t="shared" si="38"/>
        <v>2026-01</v>
      </c>
      <c r="W266" s="1">
        <f>IF(AND(U266="INCLUDED",X266&gt;0,EXACT(A266,'AI output'!A266)),1,0)</f>
        <v>1</v>
      </c>
      <c r="X266" s="1">
        <f>266</f>
        <v>266</v>
      </c>
      <c r="Y266" s="1">
        <f>IF(AND(U266="INCLUDED",W266=1),--(NOT(EXACT(A266,'AI output'!A266)))+--(NOT(EXACT(B266,'AI output'!B266)))+--(NOT(EXACT(TEXT(G266,"yyyy-mm-dd"),'AI output'!C266)))+--(NOT(EXACT(H266,'AI output'!D266)))+--(NOT(EXACT(J266,'AI output'!E266)))+--(NOT(EXACT(K266,'AI output'!F266)))+--(N266&lt;&gt;'AI output'!L266)+--(NOT('AI output'!M266)),0)</f>
        <v>0</v>
      </c>
      <c r="Z266" s="1">
        <f t="shared" si="39"/>
        <v>0</v>
      </c>
      <c r="AA266" s="1">
        <f>--EXACT(A266,"L00260")</f>
        <v>1</v>
      </c>
    </row>
    <row r="267" spans="1:27" ht="18.95" customHeight="1">
      <c r="A267" s="1" t="str">
        <f>IF(Raw!A267="","",Raw!A267)</f>
        <v>L00261</v>
      </c>
      <c r="B267" s="1" t="str">
        <f>IF(Raw!B267="","",Raw!B267)</f>
        <v>T00131</v>
      </c>
      <c r="C267" s="1" t="str">
        <f>IF(Raw!C267="","",Raw!C267)</f>
        <v>2026-01-11</v>
      </c>
      <c r="D267" s="1">
        <f t="shared" si="32"/>
        <v>2026</v>
      </c>
      <c r="E267" s="1">
        <f>IFERROR(IF(AND(LEN(C267)=10,MID(C267,5,1)="-",MID(C267,8,1)="-"),VALUE(MID(C267,6,2)),IF(AND(LEN(C267)=11,MID(C267,3,1)="-",MID(C267,7,1)="-"),MATCH(UPPER(MID(C267,4,3)),Guide!$D$7:$D$18,0),0)),0)</f>
        <v>1</v>
      </c>
      <c r="F267" s="1">
        <f t="shared" si="33"/>
        <v>11</v>
      </c>
      <c r="G267" s="9">
        <f t="shared" si="34"/>
        <v>46033</v>
      </c>
      <c r="H267" s="1" t="str">
        <f>IF(Raw!D267="","",Raw!D267)</f>
        <v>P-O</v>
      </c>
      <c r="I267" s="1" t="str">
        <f>IFERROR(IF(EXACT(H267,INDEX(Guide!$A$7:$A$9,MATCH(SUBSTITUTE(SUBSTITUTE(SUBSTITUTE(H267,"~","~~"),"*","~*"),"?","~?"),Guide!$A$7:$A$9,0))),INDEX(Guide!$B$7:$B$9,MATCH(SUBSTITUTE(SUBSTITUTE(SUBSTITUTE(H267,"~","~~"),"*","~*"),"?","~?"),Guide!$A$7:$A$9,0)),""),"")</f>
        <v>Office</v>
      </c>
      <c r="J267" s="1" t="str">
        <f>IF(TRIM(Raw!E267)="",I267,IF(UPPER(TRIM(Raw!E267))=UPPER(I267),I267,""))</f>
        <v>Office</v>
      </c>
      <c r="K267" s="1" t="str">
        <f>IF(Raw!F267="","",Raw!F267)</f>
        <v>sale</v>
      </c>
      <c r="L267" s="1" t="str">
        <f>IF(LEFT(TRIM(Raw!G267),2)="-$","-"&amp;MID(TRIM(Raw!G267),3,99),IF(LEFT(TRIM(Raw!G267),1)="$",MID(TRIM(Raw!G267),2,99),TRIM(Raw!G267)))</f>
        <v>101.19</v>
      </c>
      <c r="M267" s="1">
        <f t="shared" si="35"/>
        <v>101.19</v>
      </c>
      <c r="N267" s="10">
        <f t="shared" si="36"/>
        <v>10119</v>
      </c>
      <c r="O267" s="1" t="b">
        <f>IFERROR(IF(ISNUMBER(Raw!G267),TRUE,OR(EXACT(L267,TEXT(M267,"0.00")),EXACT(L267,TEXT(M267,"#,##0.00")))),FALSE)</f>
        <v>1</v>
      </c>
      <c r="P267" s="1" t="str">
        <f>LEN(IF(Raw!A267="","",Raw!A267))&amp;":"&amp;IF(Raw!A267="","",Raw!A267)&amp;"|"&amp;LEN(IF(Raw!B267="","",Raw!B267))&amp;":"&amp;IF(Raw!B267="","",Raw!B267)&amp;"|"&amp;LEN(IF(Raw!C267="","",Raw!C267))&amp;":"&amp;IF(Raw!C267="","",Raw!C267)&amp;"|"&amp;LEN(IF(Raw!D267="","",Raw!D267))&amp;":"&amp;IF(Raw!D267="","",Raw!D267)&amp;"|"&amp;LEN(IF(Raw!E267="","",Raw!E267))&amp;":"&amp;IF(Raw!E267="","",Raw!E267)&amp;"|"&amp;LEN(IF(Raw!F267="","",Raw!F267))&amp;":"&amp;IF(Raw!F267="","",Raw!F267)&amp;"|"&amp;LEN(IF(Raw!G267="","",Raw!G267))&amp;":"&amp;IF(Raw!G267="","",Raw!G267)</f>
        <v>6:L00261|6:T00131|10:2026-01-11|3:P-O|6:Office|4:sale|6:101.19</v>
      </c>
      <c r="Q267" s="1">
        <f>1</f>
        <v>1</v>
      </c>
      <c r="R267" s="1" t="b">
        <f>FALSE</f>
        <v>0</v>
      </c>
      <c r="S267" s="1">
        <f>1</f>
        <v>1</v>
      </c>
      <c r="T267" s="1" t="str">
        <f>IF(AND(Raw!A267="",Raw!B267="",Raw!C267="",Raw!D267="",Raw!E267="",Raw!F267="",Raw!G267=""),"UNUSED",IF(A267="","missing line ID",IF(B267="","missing transaction ID",IF(G267="",IF(C267="","missing date","invalid date"),IF(I267="","unknown product",IF(J267="","conflicting category",IF(NOT(OR(EXACT(K267,"sale"),EXACT(K267,"refund"))),"unknown event",IF(OR(N267="",NOT(O267)),"invalid amount",IF(OR(AND(K267="sale",N267&lt;=0),AND(K267="refund",N267&gt;=0)),"invalid sign","")))))))))</f>
        <v/>
      </c>
      <c r="U267" s="1" t="str">
        <f t="shared" si="37"/>
        <v>INCLUDED</v>
      </c>
      <c r="V267" s="1" t="str">
        <f t="shared" si="38"/>
        <v>2026-01</v>
      </c>
      <c r="W267" s="1">
        <f>IF(AND(U267="INCLUDED",X267&gt;0,EXACT(A267,'AI output'!A267)),1,0)</f>
        <v>1</v>
      </c>
      <c r="X267" s="1">
        <f>267</f>
        <v>267</v>
      </c>
      <c r="Y267" s="1">
        <f>IF(AND(U267="INCLUDED",W267=1),--(NOT(EXACT(A267,'AI output'!A267)))+--(NOT(EXACT(B267,'AI output'!B267)))+--(NOT(EXACT(TEXT(G267,"yyyy-mm-dd"),'AI output'!C267)))+--(NOT(EXACT(H267,'AI output'!D267)))+--(NOT(EXACT(J267,'AI output'!E267)))+--(NOT(EXACT(K267,'AI output'!F267)))+--(N267&lt;&gt;'AI output'!L267)+--(NOT('AI output'!M267)),0)</f>
        <v>0</v>
      </c>
      <c r="Z267" s="1">
        <f t="shared" si="39"/>
        <v>0</v>
      </c>
      <c r="AA267" s="1">
        <f>--EXACT(A267,"L00261")</f>
        <v>1</v>
      </c>
    </row>
    <row r="268" spans="1:27" ht="18.95" customHeight="1">
      <c r="A268" s="1" t="str">
        <f>IF(Raw!A268="","",Raw!A268)</f>
        <v>L00262</v>
      </c>
      <c r="B268" s="1" t="str">
        <f>IF(Raw!B268="","",Raw!B268)</f>
        <v>T00131</v>
      </c>
      <c r="C268" s="1" t="str">
        <f>IF(Raw!C268="","",Raw!C268)</f>
        <v>2026-01-11</v>
      </c>
      <c r="D268" s="1">
        <f t="shared" si="32"/>
        <v>2026</v>
      </c>
      <c r="E268" s="1">
        <f>IFERROR(IF(AND(LEN(C268)=10,MID(C268,5,1)="-",MID(C268,8,1)="-"),VALUE(MID(C268,6,2)),IF(AND(LEN(C268)=11,MID(C268,3,1)="-",MID(C268,7,1)="-"),MATCH(UPPER(MID(C268,4,3)),Guide!$D$7:$D$18,0),0)),0)</f>
        <v>1</v>
      </c>
      <c r="F268" s="1">
        <f t="shared" si="33"/>
        <v>11</v>
      </c>
      <c r="G268" s="9">
        <f t="shared" si="34"/>
        <v>46033</v>
      </c>
      <c r="H268" s="1" t="str">
        <f>IF(Raw!D268="","",Raw!D268)</f>
        <v>P-A</v>
      </c>
      <c r="I268" s="1" t="str">
        <f>IFERROR(IF(EXACT(H268,INDEX(Guide!$A$7:$A$9,MATCH(SUBSTITUTE(SUBSTITUTE(SUBSTITUTE(H268,"~","~~"),"*","~*"),"?","~?"),Guide!$A$7:$A$9,0))),INDEX(Guide!$B$7:$B$9,MATCH(SUBSTITUTE(SUBSTITUTE(SUBSTITUTE(H268,"~","~~"),"*","~*"),"?","~?"),Guide!$A$7:$A$9,0)),""),"")</f>
        <v>Accessories</v>
      </c>
      <c r="J268" s="1" t="str">
        <f>IF(TRIM(Raw!E268)="",I268,IF(UPPER(TRIM(Raw!E268))=UPPER(I268),I268,""))</f>
        <v>Accessories</v>
      </c>
      <c r="K268" s="1" t="str">
        <f>IF(Raw!F268="","",Raw!F268)</f>
        <v>sale</v>
      </c>
      <c r="L268" s="1" t="str">
        <f>IF(LEFT(TRIM(Raw!G268),2)="-$","-"&amp;MID(TRIM(Raw!G268),3,99),IF(LEFT(TRIM(Raw!G268),1)="$",MID(TRIM(Raw!G268),2,99),TRIM(Raw!G268)))</f>
        <v>304.68</v>
      </c>
      <c r="M268" s="1">
        <f t="shared" si="35"/>
        <v>304.68</v>
      </c>
      <c r="N268" s="10">
        <f t="shared" si="36"/>
        <v>30468</v>
      </c>
      <c r="O268" s="1" t="b">
        <f>IFERROR(IF(ISNUMBER(Raw!G268),TRUE,OR(EXACT(L268,TEXT(M268,"0.00")),EXACT(L268,TEXT(M268,"#,##0.00")))),FALSE)</f>
        <v>1</v>
      </c>
      <c r="P268" s="1" t="str">
        <f>LEN(IF(Raw!A268="","",Raw!A268))&amp;":"&amp;IF(Raw!A268="","",Raw!A268)&amp;"|"&amp;LEN(IF(Raw!B268="","",Raw!B268))&amp;":"&amp;IF(Raw!B268="","",Raw!B268)&amp;"|"&amp;LEN(IF(Raw!C268="","",Raw!C268))&amp;":"&amp;IF(Raw!C268="","",Raw!C268)&amp;"|"&amp;LEN(IF(Raw!D268="","",Raw!D268))&amp;":"&amp;IF(Raw!D268="","",Raw!D268)&amp;"|"&amp;LEN(IF(Raw!E268="","",Raw!E268))&amp;":"&amp;IF(Raw!E268="","",Raw!E268)&amp;"|"&amp;LEN(IF(Raw!F268="","",Raw!F268))&amp;":"&amp;IF(Raw!F268="","",Raw!F268)&amp;"|"&amp;LEN(IF(Raw!G268="","",Raw!G268))&amp;":"&amp;IF(Raw!G268="","",Raw!G268)</f>
        <v>6:L00262|6:T00131|10:2026-01-11|3:P-A|11:Accessories|4:sale|6:304.68</v>
      </c>
      <c r="Q268" s="1">
        <f>1</f>
        <v>1</v>
      </c>
      <c r="R268" s="1" t="b">
        <f>FALSE</f>
        <v>0</v>
      </c>
      <c r="S268" s="1">
        <f>1</f>
        <v>1</v>
      </c>
      <c r="T268" s="1" t="str">
        <f>IF(AND(Raw!A268="",Raw!B268="",Raw!C268="",Raw!D268="",Raw!E268="",Raw!F268="",Raw!G268=""),"UNUSED",IF(A268="","missing line ID",IF(B268="","missing transaction ID",IF(G268="",IF(C268="","missing date","invalid date"),IF(I268="","unknown product",IF(J268="","conflicting category",IF(NOT(OR(EXACT(K268,"sale"),EXACT(K268,"refund"))),"unknown event",IF(OR(N268="",NOT(O268)),"invalid amount",IF(OR(AND(K268="sale",N268&lt;=0),AND(K268="refund",N268&gt;=0)),"invalid sign","")))))))))</f>
        <v/>
      </c>
      <c r="U268" s="1" t="str">
        <f t="shared" si="37"/>
        <v>INCLUDED</v>
      </c>
      <c r="V268" s="1" t="str">
        <f t="shared" si="38"/>
        <v>2026-01</v>
      </c>
      <c r="W268" s="1">
        <f>IF(AND(U268="INCLUDED",X268&gt;0,EXACT(A268,'AI output'!A268)),1,0)</f>
        <v>1</v>
      </c>
      <c r="X268" s="1">
        <f>268</f>
        <v>268</v>
      </c>
      <c r="Y268" s="1">
        <f>IF(AND(U268="INCLUDED",W268=1),--(NOT(EXACT(A268,'AI output'!A268)))+--(NOT(EXACT(B268,'AI output'!B268)))+--(NOT(EXACT(TEXT(G268,"yyyy-mm-dd"),'AI output'!C268)))+--(NOT(EXACT(H268,'AI output'!D268)))+--(NOT(EXACT(J268,'AI output'!E268)))+--(NOT(EXACT(K268,'AI output'!F268)))+--(N268&lt;&gt;'AI output'!L268)+--(NOT('AI output'!M268)),0)</f>
        <v>0</v>
      </c>
      <c r="Z268" s="1">
        <f t="shared" si="39"/>
        <v>0</v>
      </c>
      <c r="AA268" s="1">
        <f>--EXACT(A268,"L00262")</f>
        <v>1</v>
      </c>
    </row>
    <row r="269" spans="1:27" ht="18.95" customHeight="1">
      <c r="A269" s="1" t="str">
        <f>IF(Raw!A269="","",Raw!A269)</f>
        <v>L00263</v>
      </c>
      <c r="B269" s="1" t="str">
        <f>IF(Raw!B269="","",Raw!B269)</f>
        <v>T00132</v>
      </c>
      <c r="C269" s="1" t="str">
        <f>IF(Raw!C269="","",Raw!C269)</f>
        <v>2026-01-18</v>
      </c>
      <c r="D269" s="1">
        <f t="shared" si="32"/>
        <v>2026</v>
      </c>
      <c r="E269" s="1">
        <f>IFERROR(IF(AND(LEN(C269)=10,MID(C269,5,1)="-",MID(C269,8,1)="-"),VALUE(MID(C269,6,2)),IF(AND(LEN(C269)=11,MID(C269,3,1)="-",MID(C269,7,1)="-"),MATCH(UPPER(MID(C269,4,3)),Guide!$D$7:$D$18,0),0)),0)</f>
        <v>1</v>
      </c>
      <c r="F269" s="1">
        <f t="shared" si="33"/>
        <v>18</v>
      </c>
      <c r="G269" s="9">
        <f t="shared" si="34"/>
        <v>46040</v>
      </c>
      <c r="H269" s="1" t="str">
        <f>IF(Raw!D269="","",Raw!D269)</f>
        <v>P-H</v>
      </c>
      <c r="I269" s="1" t="str">
        <f>IFERROR(IF(EXACT(H269,INDEX(Guide!$A$7:$A$9,MATCH(SUBSTITUTE(SUBSTITUTE(SUBSTITUTE(H269,"~","~~"),"*","~*"),"?","~?"),Guide!$A$7:$A$9,0))),INDEX(Guide!$B$7:$B$9,MATCH(SUBSTITUTE(SUBSTITUTE(SUBSTITUTE(H269,"~","~~"),"*","~*"),"?","~?"),Guide!$A$7:$A$9,0)),""),"")</f>
        <v>Home</v>
      </c>
      <c r="J269" s="1" t="str">
        <f>IF(TRIM(Raw!E269)="",I269,IF(UPPER(TRIM(Raw!E269))=UPPER(I269),I269,""))</f>
        <v>Home</v>
      </c>
      <c r="K269" s="1" t="str">
        <f>IF(Raw!F269="","",Raw!F269)</f>
        <v>sale</v>
      </c>
      <c r="L269" s="1" t="str">
        <f>IF(LEFT(TRIM(Raw!G269),2)="-$","-"&amp;MID(TRIM(Raw!G269),3,99),IF(LEFT(TRIM(Raw!G269),1)="$",MID(TRIM(Raw!G269),2,99),TRIM(Raw!G269)))</f>
        <v>509.65</v>
      </c>
      <c r="M269" s="1">
        <f t="shared" si="35"/>
        <v>509.65</v>
      </c>
      <c r="N269" s="10">
        <f t="shared" si="36"/>
        <v>50965</v>
      </c>
      <c r="O269" s="1" t="b">
        <f>IFERROR(IF(ISNUMBER(Raw!G269),TRUE,OR(EXACT(L269,TEXT(M269,"0.00")),EXACT(L269,TEXT(M269,"#,##0.00")))),FALSE)</f>
        <v>1</v>
      </c>
      <c r="P269" s="1" t="str">
        <f>LEN(IF(Raw!A269="","",Raw!A269))&amp;":"&amp;IF(Raw!A269="","",Raw!A269)&amp;"|"&amp;LEN(IF(Raw!B269="","",Raw!B269))&amp;":"&amp;IF(Raw!B269="","",Raw!B269)&amp;"|"&amp;LEN(IF(Raw!C269="","",Raw!C269))&amp;":"&amp;IF(Raw!C269="","",Raw!C269)&amp;"|"&amp;LEN(IF(Raw!D269="","",Raw!D269))&amp;":"&amp;IF(Raw!D269="","",Raw!D269)&amp;"|"&amp;LEN(IF(Raw!E269="","",Raw!E269))&amp;":"&amp;IF(Raw!E269="","",Raw!E269)&amp;"|"&amp;LEN(IF(Raw!F269="","",Raw!F269))&amp;":"&amp;IF(Raw!F269="","",Raw!F269)&amp;"|"&amp;LEN(IF(Raw!G269="","",Raw!G269))&amp;":"&amp;IF(Raw!G269="","",Raw!G269)</f>
        <v>6:L00263|6:T00132|10:2026-01-18|3:P-H|4:Home|4:sale|6:509.65</v>
      </c>
      <c r="Q269" s="1">
        <f>1</f>
        <v>1</v>
      </c>
      <c r="R269" s="1" t="b">
        <f>FALSE</f>
        <v>0</v>
      </c>
      <c r="S269" s="1">
        <f>1</f>
        <v>1</v>
      </c>
      <c r="T269" s="1" t="str">
        <f>IF(AND(Raw!A269="",Raw!B269="",Raw!C269="",Raw!D269="",Raw!E269="",Raw!F269="",Raw!G269=""),"UNUSED",IF(A269="","missing line ID",IF(B269="","missing transaction ID",IF(G269="",IF(C269="","missing date","invalid date"),IF(I269="","unknown product",IF(J269="","conflicting category",IF(NOT(OR(EXACT(K269,"sale"),EXACT(K269,"refund"))),"unknown event",IF(OR(N269="",NOT(O269)),"invalid amount",IF(OR(AND(K269="sale",N269&lt;=0),AND(K269="refund",N269&gt;=0)),"invalid sign","")))))))))</f>
        <v/>
      </c>
      <c r="U269" s="1" t="str">
        <f t="shared" si="37"/>
        <v>INCLUDED</v>
      </c>
      <c r="V269" s="1" t="str">
        <f t="shared" si="38"/>
        <v>2026-01</v>
      </c>
      <c r="W269" s="1">
        <f>IF(AND(U269="INCLUDED",X269&gt;0,EXACT(A269,'AI output'!A269)),1,0)</f>
        <v>1</v>
      </c>
      <c r="X269" s="1">
        <f>269</f>
        <v>269</v>
      </c>
      <c r="Y269" s="1">
        <f>IF(AND(U269="INCLUDED",W269=1),--(NOT(EXACT(A269,'AI output'!A269)))+--(NOT(EXACT(B269,'AI output'!B269)))+--(NOT(EXACT(TEXT(G269,"yyyy-mm-dd"),'AI output'!C269)))+--(NOT(EXACT(H269,'AI output'!D269)))+--(NOT(EXACT(J269,'AI output'!E269)))+--(NOT(EXACT(K269,'AI output'!F269)))+--(N269&lt;&gt;'AI output'!L269)+--(NOT('AI output'!M269)),0)</f>
        <v>0</v>
      </c>
      <c r="Z269" s="1">
        <f t="shared" si="39"/>
        <v>0</v>
      </c>
      <c r="AA269" s="1">
        <f>--EXACT(A269,"L00263")</f>
        <v>1</v>
      </c>
    </row>
    <row r="270" spans="1:27" ht="18.95" customHeight="1">
      <c r="A270" s="1" t="str">
        <f>IF(Raw!A270="","",Raw!A270)</f>
        <v>L00264</v>
      </c>
      <c r="B270" s="1" t="str">
        <f>IF(Raw!B270="","",Raw!B270)</f>
        <v>T00132</v>
      </c>
      <c r="C270" s="1" t="str">
        <f>IF(Raw!C270="","",Raw!C270)</f>
        <v>2026-01-18</v>
      </c>
      <c r="D270" s="1">
        <f t="shared" si="32"/>
        <v>2026</v>
      </c>
      <c r="E270" s="1">
        <f>IFERROR(IF(AND(LEN(C270)=10,MID(C270,5,1)="-",MID(C270,8,1)="-"),VALUE(MID(C270,6,2)),IF(AND(LEN(C270)=11,MID(C270,3,1)="-",MID(C270,7,1)="-"),MATCH(UPPER(MID(C270,4,3)),Guide!$D$7:$D$18,0),0)),0)</f>
        <v>1</v>
      </c>
      <c r="F270" s="1">
        <f t="shared" si="33"/>
        <v>18</v>
      </c>
      <c r="G270" s="9">
        <f t="shared" si="34"/>
        <v>46040</v>
      </c>
      <c r="H270" s="1" t="str">
        <f>IF(Raw!D270="","",Raw!D270)</f>
        <v>P-O</v>
      </c>
      <c r="I270" s="1" t="str">
        <f>IFERROR(IF(EXACT(H270,INDEX(Guide!$A$7:$A$9,MATCH(SUBSTITUTE(SUBSTITUTE(SUBSTITUTE(H270,"~","~~"),"*","~*"),"?","~?"),Guide!$A$7:$A$9,0))),INDEX(Guide!$B$7:$B$9,MATCH(SUBSTITUTE(SUBSTITUTE(SUBSTITUTE(H270,"~","~~"),"*","~*"),"?","~?"),Guide!$A$7:$A$9,0)),""),"")</f>
        <v>Office</v>
      </c>
      <c r="J270" s="1" t="str">
        <f>IF(TRIM(Raw!E270)="",I270,IF(UPPER(TRIM(Raw!E270))=UPPER(I270),I270,""))</f>
        <v>Office</v>
      </c>
      <c r="K270" s="1" t="str">
        <f>IF(Raw!F270="","",Raw!F270)</f>
        <v>sale</v>
      </c>
      <c r="L270" s="1" t="str">
        <f>IF(LEFT(TRIM(Raw!G270),2)="-$","-"&amp;MID(TRIM(Raw!G270),3,99),IF(LEFT(TRIM(Raw!G270),1)="$",MID(TRIM(Raw!G270),2,99),TRIM(Raw!G270)))</f>
        <v>204.60</v>
      </c>
      <c r="M270" s="1">
        <f t="shared" si="35"/>
        <v>204.6</v>
      </c>
      <c r="N270" s="10">
        <f t="shared" si="36"/>
        <v>20460</v>
      </c>
      <c r="O270" s="1" t="b">
        <f>IFERROR(IF(ISNUMBER(Raw!G270),TRUE,OR(EXACT(L270,TEXT(M270,"0.00")),EXACT(L270,TEXT(M270,"#,##0.00")))),FALSE)</f>
        <v>1</v>
      </c>
      <c r="P270" s="1" t="str">
        <f>LEN(IF(Raw!A270="","",Raw!A270))&amp;":"&amp;IF(Raw!A270="","",Raw!A270)&amp;"|"&amp;LEN(IF(Raw!B270="","",Raw!B270))&amp;":"&amp;IF(Raw!B270="","",Raw!B270)&amp;"|"&amp;LEN(IF(Raw!C270="","",Raw!C270))&amp;":"&amp;IF(Raw!C270="","",Raw!C270)&amp;"|"&amp;LEN(IF(Raw!D270="","",Raw!D270))&amp;":"&amp;IF(Raw!D270="","",Raw!D270)&amp;"|"&amp;LEN(IF(Raw!E270="","",Raw!E270))&amp;":"&amp;IF(Raw!E270="","",Raw!E270)&amp;"|"&amp;LEN(IF(Raw!F270="","",Raw!F270))&amp;":"&amp;IF(Raw!F270="","",Raw!F270)&amp;"|"&amp;LEN(IF(Raw!G270="","",Raw!G270))&amp;":"&amp;IF(Raw!G270="","",Raw!G270)</f>
        <v>6:L00264|6:T00132|10:2026-01-18|3:P-O|6:Office|4:sale|6:204.60</v>
      </c>
      <c r="Q270" s="1">
        <f>1</f>
        <v>1</v>
      </c>
      <c r="R270" s="1" t="b">
        <f>FALSE</f>
        <v>0</v>
      </c>
      <c r="S270" s="1">
        <f>1</f>
        <v>1</v>
      </c>
      <c r="T270" s="1" t="str">
        <f>IF(AND(Raw!A270="",Raw!B270="",Raw!C270="",Raw!D270="",Raw!E270="",Raw!F270="",Raw!G270=""),"UNUSED",IF(A270="","missing line ID",IF(B270="","missing transaction ID",IF(G270="",IF(C270="","missing date","invalid date"),IF(I270="","unknown product",IF(J270="","conflicting category",IF(NOT(OR(EXACT(K270,"sale"),EXACT(K270,"refund"))),"unknown event",IF(OR(N270="",NOT(O270)),"invalid amount",IF(OR(AND(K270="sale",N270&lt;=0),AND(K270="refund",N270&gt;=0)),"invalid sign","")))))))))</f>
        <v/>
      </c>
      <c r="U270" s="1" t="str">
        <f t="shared" si="37"/>
        <v>INCLUDED</v>
      </c>
      <c r="V270" s="1" t="str">
        <f t="shared" si="38"/>
        <v>2026-01</v>
      </c>
      <c r="W270" s="1">
        <f>IF(AND(U270="INCLUDED",X270&gt;0,EXACT(A270,'AI output'!A270)),1,0)</f>
        <v>1</v>
      </c>
      <c r="X270" s="1">
        <f>270</f>
        <v>270</v>
      </c>
      <c r="Y270" s="1">
        <f>IF(AND(U270="INCLUDED",W270=1),--(NOT(EXACT(A270,'AI output'!A270)))+--(NOT(EXACT(B270,'AI output'!B270)))+--(NOT(EXACT(TEXT(G270,"yyyy-mm-dd"),'AI output'!C270)))+--(NOT(EXACT(H270,'AI output'!D270)))+--(NOT(EXACT(J270,'AI output'!E270)))+--(NOT(EXACT(K270,'AI output'!F270)))+--(N270&lt;&gt;'AI output'!L270)+--(NOT('AI output'!M270)),0)</f>
        <v>0</v>
      </c>
      <c r="Z270" s="1">
        <f t="shared" si="39"/>
        <v>0</v>
      </c>
      <c r="AA270" s="1">
        <f>--EXACT(A270,"L00264")</f>
        <v>1</v>
      </c>
    </row>
    <row r="271" spans="1:27" ht="18.95" customHeight="1">
      <c r="A271" s="1" t="str">
        <f>IF(Raw!A271="","",Raw!A271)</f>
        <v>L00265</v>
      </c>
      <c r="B271" s="1" t="str">
        <f>IF(Raw!B271="","",Raw!B271)</f>
        <v>T00133</v>
      </c>
      <c r="C271" s="1" t="str">
        <f>IF(Raw!C271="","",Raw!C271)</f>
        <v>2026-01-25</v>
      </c>
      <c r="D271" s="1">
        <f t="shared" si="32"/>
        <v>2026</v>
      </c>
      <c r="E271" s="1">
        <f>IFERROR(IF(AND(LEN(C271)=10,MID(C271,5,1)="-",MID(C271,8,1)="-"),VALUE(MID(C271,6,2)),IF(AND(LEN(C271)=11,MID(C271,3,1)="-",MID(C271,7,1)="-"),MATCH(UPPER(MID(C271,4,3)),Guide!$D$7:$D$18,0),0)),0)</f>
        <v>1</v>
      </c>
      <c r="F271" s="1">
        <f t="shared" si="33"/>
        <v>25</v>
      </c>
      <c r="G271" s="9">
        <f t="shared" si="34"/>
        <v>46047</v>
      </c>
      <c r="H271" s="1" t="str">
        <f>IF(Raw!D271="","",Raw!D271)</f>
        <v>P-A</v>
      </c>
      <c r="I271" s="1" t="str">
        <f>IFERROR(IF(EXACT(H271,INDEX(Guide!$A$7:$A$9,MATCH(SUBSTITUTE(SUBSTITUTE(SUBSTITUTE(H271,"~","~~"),"*","~*"),"?","~?"),Guide!$A$7:$A$9,0))),INDEX(Guide!$B$7:$B$9,MATCH(SUBSTITUTE(SUBSTITUTE(SUBSTITUTE(H271,"~","~~"),"*","~*"),"?","~?"),Guide!$A$7:$A$9,0)),""),"")</f>
        <v>Accessories</v>
      </c>
      <c r="J271" s="1" t="str">
        <f>IF(TRIM(Raw!E271)="",I271,IF(UPPER(TRIM(Raw!E271))=UPPER(I271),I271,""))</f>
        <v>Accessories</v>
      </c>
      <c r="K271" s="1" t="str">
        <f>IF(Raw!F271="","",Raw!F271)</f>
        <v>sale</v>
      </c>
      <c r="L271" s="1" t="str">
        <f>IF(LEFT(TRIM(Raw!G271),2)="-$","-"&amp;MID(TRIM(Raw!G271),3,99),IF(LEFT(TRIM(Raw!G271),1)="$",MID(TRIM(Raw!G271),2,99),TRIM(Raw!G271)))</f>
        <v>410.68</v>
      </c>
      <c r="M271" s="1">
        <f t="shared" si="35"/>
        <v>410.68</v>
      </c>
      <c r="N271" s="10">
        <f t="shared" si="36"/>
        <v>41068</v>
      </c>
      <c r="O271" s="1" t="b">
        <f>IFERROR(IF(ISNUMBER(Raw!G271),TRUE,OR(EXACT(L271,TEXT(M271,"0.00")),EXACT(L271,TEXT(M271,"#,##0.00")))),FALSE)</f>
        <v>1</v>
      </c>
      <c r="P271" s="1" t="str">
        <f>LEN(IF(Raw!A271="","",Raw!A271))&amp;":"&amp;IF(Raw!A271="","",Raw!A271)&amp;"|"&amp;LEN(IF(Raw!B271="","",Raw!B271))&amp;":"&amp;IF(Raw!B271="","",Raw!B271)&amp;"|"&amp;LEN(IF(Raw!C271="","",Raw!C271))&amp;":"&amp;IF(Raw!C271="","",Raw!C271)&amp;"|"&amp;LEN(IF(Raw!D271="","",Raw!D271))&amp;":"&amp;IF(Raw!D271="","",Raw!D271)&amp;"|"&amp;LEN(IF(Raw!E271="","",Raw!E271))&amp;":"&amp;IF(Raw!E271="","",Raw!E271)&amp;"|"&amp;LEN(IF(Raw!F271="","",Raw!F271))&amp;":"&amp;IF(Raw!F271="","",Raw!F271)&amp;"|"&amp;LEN(IF(Raw!G271="","",Raw!G271))&amp;":"&amp;IF(Raw!G271="","",Raw!G271)</f>
        <v>6:L00265|6:T00133|10:2026-01-25|3:P-A|11:Accessories|4:sale|6:410.68</v>
      </c>
      <c r="Q271" s="1">
        <f>1</f>
        <v>1</v>
      </c>
      <c r="R271" s="1" t="b">
        <f>FALSE</f>
        <v>0</v>
      </c>
      <c r="S271" s="1">
        <f>1</f>
        <v>1</v>
      </c>
      <c r="T271" s="1" t="str">
        <f>IF(AND(Raw!A271="",Raw!B271="",Raw!C271="",Raw!D271="",Raw!E271="",Raw!F271="",Raw!G271=""),"UNUSED",IF(A271="","missing line ID",IF(B271="","missing transaction ID",IF(G271="",IF(C271="","missing date","invalid date"),IF(I271="","unknown product",IF(J271="","conflicting category",IF(NOT(OR(EXACT(K271,"sale"),EXACT(K271,"refund"))),"unknown event",IF(OR(N271="",NOT(O271)),"invalid amount",IF(OR(AND(K271="sale",N271&lt;=0),AND(K271="refund",N271&gt;=0)),"invalid sign","")))))))))</f>
        <v/>
      </c>
      <c r="U271" s="1" t="str">
        <f t="shared" si="37"/>
        <v>INCLUDED</v>
      </c>
      <c r="V271" s="1" t="str">
        <f t="shared" si="38"/>
        <v>2026-01</v>
      </c>
      <c r="W271" s="1">
        <f>IF(AND(U271="INCLUDED",X271&gt;0,EXACT(A271,'AI output'!A271)),1,0)</f>
        <v>1</v>
      </c>
      <c r="X271" s="1">
        <f>271</f>
        <v>271</v>
      </c>
      <c r="Y271" s="1">
        <f>IF(AND(U271="INCLUDED",W271=1),--(NOT(EXACT(A271,'AI output'!A271)))+--(NOT(EXACT(B271,'AI output'!B271)))+--(NOT(EXACT(TEXT(G271,"yyyy-mm-dd"),'AI output'!C271)))+--(NOT(EXACT(H271,'AI output'!D271)))+--(NOT(EXACT(J271,'AI output'!E271)))+--(NOT(EXACT(K271,'AI output'!F271)))+--(N271&lt;&gt;'AI output'!L271)+--(NOT('AI output'!M271)),0)</f>
        <v>0</v>
      </c>
      <c r="Z271" s="1">
        <f t="shared" si="39"/>
        <v>0</v>
      </c>
      <c r="AA271" s="1">
        <f>--EXACT(A271,"L00265")</f>
        <v>1</v>
      </c>
    </row>
    <row r="272" spans="1:27" ht="18.95" customHeight="1">
      <c r="A272" s="1" t="str">
        <f>IF(Raw!A272="","",Raw!A272)</f>
        <v>L00266</v>
      </c>
      <c r="B272" s="1" t="str">
        <f>IF(Raw!B272="","",Raw!B272)</f>
        <v>T00133</v>
      </c>
      <c r="C272" s="1" t="str">
        <f>IF(Raw!C272="","",Raw!C272)</f>
        <v>2026-01-25</v>
      </c>
      <c r="D272" s="1">
        <f t="shared" si="32"/>
        <v>2026</v>
      </c>
      <c r="E272" s="1">
        <f>IFERROR(IF(AND(LEN(C272)=10,MID(C272,5,1)="-",MID(C272,8,1)="-"),VALUE(MID(C272,6,2)),IF(AND(LEN(C272)=11,MID(C272,3,1)="-",MID(C272,7,1)="-"),MATCH(UPPER(MID(C272,4,3)),Guide!$D$7:$D$18,0),0)),0)</f>
        <v>1</v>
      </c>
      <c r="F272" s="1">
        <f t="shared" si="33"/>
        <v>25</v>
      </c>
      <c r="G272" s="9">
        <f t="shared" si="34"/>
        <v>46047</v>
      </c>
      <c r="H272" s="1" t="str">
        <f>IF(Raw!D272="","",Raw!D272)</f>
        <v>P-H</v>
      </c>
      <c r="I272" s="1" t="str">
        <f>IFERROR(IF(EXACT(H272,INDEX(Guide!$A$7:$A$9,MATCH(SUBSTITUTE(SUBSTITUTE(SUBSTITUTE(H272,"~","~~"),"*","~*"),"?","~?"),Guide!$A$7:$A$9,0))),INDEX(Guide!$B$7:$B$9,MATCH(SUBSTITUTE(SUBSTITUTE(SUBSTITUTE(H272,"~","~~"),"*","~*"),"?","~?"),Guide!$A$7:$A$9,0)),""),"")</f>
        <v>Home</v>
      </c>
      <c r="J272" s="1" t="str">
        <f>IF(TRIM(Raw!E272)="",I272,IF(UPPER(TRIM(Raw!E272))=UPPER(I272),I272,""))</f>
        <v>Home</v>
      </c>
      <c r="K272" s="1" t="str">
        <f>IF(Raw!F272="","",Raw!F272)</f>
        <v>sale</v>
      </c>
      <c r="L272" s="1" t="str">
        <f>IF(LEFT(TRIM(Raw!G272),2)="-$","-"&amp;MID(TRIM(Raw!G272),3,99),IF(LEFT(TRIM(Raw!G272),1)="$",MID(TRIM(Raw!G272),2,99),TRIM(Raw!G272)))</f>
        <v>103.04</v>
      </c>
      <c r="M272" s="1">
        <f t="shared" si="35"/>
        <v>103.04</v>
      </c>
      <c r="N272" s="10">
        <f t="shared" si="36"/>
        <v>10304</v>
      </c>
      <c r="O272" s="1" t="b">
        <f>IFERROR(IF(ISNUMBER(Raw!G272),TRUE,OR(EXACT(L272,TEXT(M272,"0.00")),EXACT(L272,TEXT(M272,"#,##0.00")))),FALSE)</f>
        <v>1</v>
      </c>
      <c r="P272" s="1" t="str">
        <f>LEN(IF(Raw!A272="","",Raw!A272))&amp;":"&amp;IF(Raw!A272="","",Raw!A272)&amp;"|"&amp;LEN(IF(Raw!B272="","",Raw!B272))&amp;":"&amp;IF(Raw!B272="","",Raw!B272)&amp;"|"&amp;LEN(IF(Raw!C272="","",Raw!C272))&amp;":"&amp;IF(Raw!C272="","",Raw!C272)&amp;"|"&amp;LEN(IF(Raw!D272="","",Raw!D272))&amp;":"&amp;IF(Raw!D272="","",Raw!D272)&amp;"|"&amp;LEN(IF(Raw!E272="","",Raw!E272))&amp;":"&amp;IF(Raw!E272="","",Raw!E272)&amp;"|"&amp;LEN(IF(Raw!F272="","",Raw!F272))&amp;":"&amp;IF(Raw!F272="","",Raw!F272)&amp;"|"&amp;LEN(IF(Raw!G272="","",Raw!G272))&amp;":"&amp;IF(Raw!G272="","",Raw!G272)</f>
        <v>6:L00266|6:T00133|10:2026-01-25|3:P-H|4:Home|4:sale|6:103.04</v>
      </c>
      <c r="Q272" s="1">
        <f>1</f>
        <v>1</v>
      </c>
      <c r="R272" s="1" t="b">
        <f>FALSE</f>
        <v>0</v>
      </c>
      <c r="S272" s="1">
        <f>1</f>
        <v>1</v>
      </c>
      <c r="T272" s="1" t="str">
        <f>IF(AND(Raw!A272="",Raw!B272="",Raw!C272="",Raw!D272="",Raw!E272="",Raw!F272="",Raw!G272=""),"UNUSED",IF(A272="","missing line ID",IF(B272="","missing transaction ID",IF(G272="",IF(C272="","missing date","invalid date"),IF(I272="","unknown product",IF(J272="","conflicting category",IF(NOT(OR(EXACT(K272,"sale"),EXACT(K272,"refund"))),"unknown event",IF(OR(N272="",NOT(O272)),"invalid amount",IF(OR(AND(K272="sale",N272&lt;=0),AND(K272="refund",N272&gt;=0)),"invalid sign","")))))))))</f>
        <v/>
      </c>
      <c r="U272" s="1" t="str">
        <f t="shared" si="37"/>
        <v>INCLUDED</v>
      </c>
      <c r="V272" s="1" t="str">
        <f t="shared" si="38"/>
        <v>2026-01</v>
      </c>
      <c r="W272" s="1">
        <f>IF(AND(U272="INCLUDED",X272&gt;0,EXACT(A272,'AI output'!A272)),1,0)</f>
        <v>1</v>
      </c>
      <c r="X272" s="1">
        <f>272</f>
        <v>272</v>
      </c>
      <c r="Y272" s="1">
        <f>IF(AND(U272="INCLUDED",W272=1),--(NOT(EXACT(A272,'AI output'!A272)))+--(NOT(EXACT(B272,'AI output'!B272)))+--(NOT(EXACT(TEXT(G272,"yyyy-mm-dd"),'AI output'!C272)))+--(NOT(EXACT(H272,'AI output'!D272)))+--(NOT(EXACT(J272,'AI output'!E272)))+--(NOT(EXACT(K272,'AI output'!F272)))+--(N272&lt;&gt;'AI output'!L272)+--(NOT('AI output'!M272)),0)</f>
        <v>0</v>
      </c>
      <c r="Z272" s="1">
        <f t="shared" si="39"/>
        <v>0</v>
      </c>
      <c r="AA272" s="1">
        <f>--EXACT(A272,"L00266")</f>
        <v>1</v>
      </c>
    </row>
    <row r="273" spans="1:27" ht="18.95" customHeight="1">
      <c r="A273" s="1" t="str">
        <f>IF(Raw!A273="","",Raw!A273)</f>
        <v>L00267</v>
      </c>
      <c r="B273" s="1" t="str">
        <f>IF(Raw!B273="","",Raw!B273)</f>
        <v>T00134</v>
      </c>
      <c r="C273" s="1" t="str">
        <f>IF(Raw!C273="","",Raw!C273)</f>
        <v>2026-02-01</v>
      </c>
      <c r="D273" s="1">
        <f t="shared" si="32"/>
        <v>2026</v>
      </c>
      <c r="E273" s="1">
        <f>IFERROR(IF(AND(LEN(C273)=10,MID(C273,5,1)="-",MID(C273,8,1)="-"),VALUE(MID(C273,6,2)),IF(AND(LEN(C273)=11,MID(C273,3,1)="-",MID(C273,7,1)="-"),MATCH(UPPER(MID(C273,4,3)),Guide!$D$7:$D$18,0),0)),0)</f>
        <v>2</v>
      </c>
      <c r="F273" s="1">
        <f t="shared" si="33"/>
        <v>1</v>
      </c>
      <c r="G273" s="9">
        <f t="shared" si="34"/>
        <v>46054</v>
      </c>
      <c r="H273" s="1" t="str">
        <f>IF(Raw!D273="","",Raw!D273)</f>
        <v>P-O</v>
      </c>
      <c r="I273" s="1" t="str">
        <f>IFERROR(IF(EXACT(H273,INDEX(Guide!$A$7:$A$9,MATCH(SUBSTITUTE(SUBSTITUTE(SUBSTITUTE(H273,"~","~~"),"*","~*"),"?","~?"),Guide!$A$7:$A$9,0))),INDEX(Guide!$B$7:$B$9,MATCH(SUBSTITUTE(SUBSTITUTE(SUBSTITUTE(H273,"~","~~"),"*","~*"),"?","~?"),Guide!$A$7:$A$9,0)),""),"")</f>
        <v>Office</v>
      </c>
      <c r="J273" s="1" t="str">
        <f>IF(TRIM(Raw!E273)="",I273,IF(UPPER(TRIM(Raw!E273))=UPPER(I273),I273,""))</f>
        <v>Office</v>
      </c>
      <c r="K273" s="1" t="str">
        <f>IF(Raw!F273="","",Raw!F273)</f>
        <v>sale</v>
      </c>
      <c r="L273" s="1" t="str">
        <f>IF(LEFT(TRIM(Raw!G273),2)="-$","-"&amp;MID(TRIM(Raw!G273),3,99),IF(LEFT(TRIM(Raw!G273),1)="$",MID(TRIM(Raw!G273),2,99),TRIM(Raw!G273)))</f>
        <v>310.23</v>
      </c>
      <c r="M273" s="1">
        <f t="shared" si="35"/>
        <v>310.23</v>
      </c>
      <c r="N273" s="10">
        <f t="shared" si="36"/>
        <v>31023</v>
      </c>
      <c r="O273" s="1" t="b">
        <f>IFERROR(IF(ISNUMBER(Raw!G273),TRUE,OR(EXACT(L273,TEXT(M273,"0.00")),EXACT(L273,TEXT(M273,"#,##0.00")))),FALSE)</f>
        <v>1</v>
      </c>
      <c r="P273" s="1" t="str">
        <f>LEN(IF(Raw!A273="","",Raw!A273))&amp;":"&amp;IF(Raw!A273="","",Raw!A273)&amp;"|"&amp;LEN(IF(Raw!B273="","",Raw!B273))&amp;":"&amp;IF(Raw!B273="","",Raw!B273)&amp;"|"&amp;LEN(IF(Raw!C273="","",Raw!C273))&amp;":"&amp;IF(Raw!C273="","",Raw!C273)&amp;"|"&amp;LEN(IF(Raw!D273="","",Raw!D273))&amp;":"&amp;IF(Raw!D273="","",Raw!D273)&amp;"|"&amp;LEN(IF(Raw!E273="","",Raw!E273))&amp;":"&amp;IF(Raw!E273="","",Raw!E273)&amp;"|"&amp;LEN(IF(Raw!F273="","",Raw!F273))&amp;":"&amp;IF(Raw!F273="","",Raw!F273)&amp;"|"&amp;LEN(IF(Raw!G273="","",Raw!G273))&amp;":"&amp;IF(Raw!G273="","",Raw!G273)</f>
        <v>6:L00267|6:T00134|10:2026-02-01|3:P-O|6:Office|4:sale|6:310.23</v>
      </c>
      <c r="Q273" s="1">
        <f>1</f>
        <v>1</v>
      </c>
      <c r="R273" s="1" t="b">
        <f>FALSE</f>
        <v>0</v>
      </c>
      <c r="S273" s="1">
        <f>1</f>
        <v>1</v>
      </c>
      <c r="T273" s="1" t="str">
        <f>IF(AND(Raw!A273="",Raw!B273="",Raw!C273="",Raw!D273="",Raw!E273="",Raw!F273="",Raw!G273=""),"UNUSED",IF(A273="","missing line ID",IF(B273="","missing transaction ID",IF(G273="",IF(C273="","missing date","invalid date"),IF(I273="","unknown product",IF(J273="","conflicting category",IF(NOT(OR(EXACT(K273,"sale"),EXACT(K273,"refund"))),"unknown event",IF(OR(N273="",NOT(O273)),"invalid amount",IF(OR(AND(K273="sale",N273&lt;=0),AND(K273="refund",N273&gt;=0)),"invalid sign","")))))))))</f>
        <v/>
      </c>
      <c r="U273" s="1" t="str">
        <f t="shared" si="37"/>
        <v>INCLUDED</v>
      </c>
      <c r="V273" s="1" t="str">
        <f t="shared" si="38"/>
        <v>2026-02</v>
      </c>
      <c r="W273" s="1">
        <f>IF(AND(U273="INCLUDED",X273&gt;0,EXACT(A273,'AI output'!A273)),1,0)</f>
        <v>1</v>
      </c>
      <c r="X273" s="1">
        <f>273</f>
        <v>273</v>
      </c>
      <c r="Y273" s="1">
        <f>IF(AND(U273="INCLUDED",W273=1),--(NOT(EXACT(A273,'AI output'!A273)))+--(NOT(EXACT(B273,'AI output'!B273)))+--(NOT(EXACT(TEXT(G273,"yyyy-mm-dd"),'AI output'!C273)))+--(NOT(EXACT(H273,'AI output'!D273)))+--(NOT(EXACT(J273,'AI output'!E273)))+--(NOT(EXACT(K273,'AI output'!F273)))+--(N273&lt;&gt;'AI output'!L273)+--(NOT('AI output'!M273)),0)</f>
        <v>0</v>
      </c>
      <c r="Z273" s="1">
        <f t="shared" si="39"/>
        <v>0</v>
      </c>
      <c r="AA273" s="1">
        <f>--EXACT(A273,"L00267")</f>
        <v>1</v>
      </c>
    </row>
    <row r="274" spans="1:27" ht="18.95" customHeight="1">
      <c r="A274" s="1" t="str">
        <f>IF(Raw!A274="","",Raw!A274)</f>
        <v>L00268</v>
      </c>
      <c r="B274" s="1" t="str">
        <f>IF(Raw!B274="","",Raw!B274)</f>
        <v>T00134</v>
      </c>
      <c r="C274" s="1" t="str">
        <f>IF(Raw!C274="","",Raw!C274)</f>
        <v>2026-02-01</v>
      </c>
      <c r="D274" s="1">
        <f t="shared" si="32"/>
        <v>2026</v>
      </c>
      <c r="E274" s="1">
        <f>IFERROR(IF(AND(LEN(C274)=10,MID(C274,5,1)="-",MID(C274,8,1)="-"),VALUE(MID(C274,6,2)),IF(AND(LEN(C274)=11,MID(C274,3,1)="-",MID(C274,7,1)="-"),MATCH(UPPER(MID(C274,4,3)),Guide!$D$7:$D$18,0),0)),0)</f>
        <v>2</v>
      </c>
      <c r="F274" s="1">
        <f t="shared" si="33"/>
        <v>1</v>
      </c>
      <c r="G274" s="9">
        <f t="shared" si="34"/>
        <v>46054</v>
      </c>
      <c r="H274" s="1" t="str">
        <f>IF(Raw!D274="","",Raw!D274)</f>
        <v>P-A</v>
      </c>
      <c r="I274" s="1" t="str">
        <f>IFERROR(IF(EXACT(H274,INDEX(Guide!$A$7:$A$9,MATCH(SUBSTITUTE(SUBSTITUTE(SUBSTITUTE(H274,"~","~~"),"*","~*"),"?","~?"),Guide!$A$7:$A$9,0))),INDEX(Guide!$B$7:$B$9,MATCH(SUBSTITUTE(SUBSTITUTE(SUBSTITUTE(H274,"~","~~"),"*","~*"),"?","~?"),Guide!$A$7:$A$9,0)),""),"")</f>
        <v>Accessories</v>
      </c>
      <c r="J274" s="1" t="str">
        <f>IF(TRIM(Raw!E274)="",I274,IF(UPPER(TRIM(Raw!E274))=UPPER(I274),I274,""))</f>
        <v>Accessories</v>
      </c>
      <c r="K274" s="1" t="str">
        <f>IF(Raw!F274="","",Raw!F274)</f>
        <v>sale</v>
      </c>
      <c r="L274" s="1" t="str">
        <f>IF(LEFT(TRIM(Raw!G274),2)="-$","-"&amp;MID(TRIM(Raw!G274),3,99),IF(LEFT(TRIM(Raw!G274),1)="$",MID(TRIM(Raw!G274),2,99),TRIM(Raw!G274)))</f>
        <v>518.90</v>
      </c>
      <c r="M274" s="1">
        <f t="shared" si="35"/>
        <v>518.9</v>
      </c>
      <c r="N274" s="10">
        <f t="shared" si="36"/>
        <v>51890</v>
      </c>
      <c r="O274" s="1" t="b">
        <f>IFERROR(IF(ISNUMBER(Raw!G274),TRUE,OR(EXACT(L274,TEXT(M274,"0.00")),EXACT(L274,TEXT(M274,"#,##0.00")))),FALSE)</f>
        <v>1</v>
      </c>
      <c r="P274" s="1" t="str">
        <f>LEN(IF(Raw!A274="","",Raw!A274))&amp;":"&amp;IF(Raw!A274="","",Raw!A274)&amp;"|"&amp;LEN(IF(Raw!B274="","",Raw!B274))&amp;":"&amp;IF(Raw!B274="","",Raw!B274)&amp;"|"&amp;LEN(IF(Raw!C274="","",Raw!C274))&amp;":"&amp;IF(Raw!C274="","",Raw!C274)&amp;"|"&amp;LEN(IF(Raw!D274="","",Raw!D274))&amp;":"&amp;IF(Raw!D274="","",Raw!D274)&amp;"|"&amp;LEN(IF(Raw!E274="","",Raw!E274))&amp;":"&amp;IF(Raw!E274="","",Raw!E274)&amp;"|"&amp;LEN(IF(Raw!F274="","",Raw!F274))&amp;":"&amp;IF(Raw!F274="","",Raw!F274)&amp;"|"&amp;LEN(IF(Raw!G274="","",Raw!G274))&amp;":"&amp;IF(Raw!G274="","",Raw!G274)</f>
        <v>6:L00268|6:T00134|10:2026-02-01|3:P-A|11:Accessories|4:sale|6:518.90</v>
      </c>
      <c r="Q274" s="1">
        <f>1</f>
        <v>1</v>
      </c>
      <c r="R274" s="1" t="b">
        <f>FALSE</f>
        <v>0</v>
      </c>
      <c r="S274" s="1">
        <f>1</f>
        <v>1</v>
      </c>
      <c r="T274" s="1" t="str">
        <f>IF(AND(Raw!A274="",Raw!B274="",Raw!C274="",Raw!D274="",Raw!E274="",Raw!F274="",Raw!G274=""),"UNUSED",IF(A274="","missing line ID",IF(B274="","missing transaction ID",IF(G274="",IF(C274="","missing date","invalid date"),IF(I274="","unknown product",IF(J274="","conflicting category",IF(NOT(OR(EXACT(K274,"sale"),EXACT(K274,"refund"))),"unknown event",IF(OR(N274="",NOT(O274)),"invalid amount",IF(OR(AND(K274="sale",N274&lt;=0),AND(K274="refund",N274&gt;=0)),"invalid sign","")))))))))</f>
        <v/>
      </c>
      <c r="U274" s="1" t="str">
        <f t="shared" si="37"/>
        <v>INCLUDED</v>
      </c>
      <c r="V274" s="1" t="str">
        <f t="shared" si="38"/>
        <v>2026-02</v>
      </c>
      <c r="W274" s="1">
        <f>IF(AND(U274="INCLUDED",X274&gt;0,EXACT(A274,'AI output'!A274)),1,0)</f>
        <v>1</v>
      </c>
      <c r="X274" s="1">
        <f>274</f>
        <v>274</v>
      </c>
      <c r="Y274" s="1">
        <f>IF(AND(U274="INCLUDED",W274=1),--(NOT(EXACT(A274,'AI output'!A274)))+--(NOT(EXACT(B274,'AI output'!B274)))+--(NOT(EXACT(TEXT(G274,"yyyy-mm-dd"),'AI output'!C274)))+--(NOT(EXACT(H274,'AI output'!D274)))+--(NOT(EXACT(J274,'AI output'!E274)))+--(NOT(EXACT(K274,'AI output'!F274)))+--(N274&lt;&gt;'AI output'!L274)+--(NOT('AI output'!M274)),0)</f>
        <v>0</v>
      </c>
      <c r="Z274" s="1">
        <f t="shared" si="39"/>
        <v>0</v>
      </c>
      <c r="AA274" s="1">
        <f>--EXACT(A274,"L00268")</f>
        <v>1</v>
      </c>
    </row>
    <row r="275" spans="1:27" ht="18.95" customHeight="1">
      <c r="A275" s="1" t="str">
        <f>IF(Raw!A275="","",Raw!A275)</f>
        <v>L00269</v>
      </c>
      <c r="B275" s="1" t="str">
        <f>IF(Raw!B275="","",Raw!B275)</f>
        <v>T00135</v>
      </c>
      <c r="C275" s="1" t="str">
        <f>IF(Raw!C275="","",Raw!C275)</f>
        <v>2026-02-08</v>
      </c>
      <c r="D275" s="1">
        <f t="shared" si="32"/>
        <v>2026</v>
      </c>
      <c r="E275" s="1">
        <f>IFERROR(IF(AND(LEN(C275)=10,MID(C275,5,1)="-",MID(C275,8,1)="-"),VALUE(MID(C275,6,2)),IF(AND(LEN(C275)=11,MID(C275,3,1)="-",MID(C275,7,1)="-"),MATCH(UPPER(MID(C275,4,3)),Guide!$D$7:$D$18,0),0)),0)</f>
        <v>2</v>
      </c>
      <c r="F275" s="1">
        <f t="shared" si="33"/>
        <v>8</v>
      </c>
      <c r="G275" s="9">
        <f t="shared" si="34"/>
        <v>46061</v>
      </c>
      <c r="H275" s="1" t="str">
        <f>IF(Raw!D275="","",Raw!D275)</f>
        <v>P-H</v>
      </c>
      <c r="I275" s="1" t="str">
        <f>IFERROR(IF(EXACT(H275,INDEX(Guide!$A$7:$A$9,MATCH(SUBSTITUTE(SUBSTITUTE(SUBSTITUTE(H275,"~","~~"),"*","~*"),"?","~?"),Guide!$A$7:$A$9,0))),INDEX(Guide!$B$7:$B$9,MATCH(SUBSTITUTE(SUBSTITUTE(SUBSTITUTE(H275,"~","~~"),"*","~*"),"?","~?"),Guide!$A$7:$A$9,0)),""),"")</f>
        <v>Home</v>
      </c>
      <c r="J275" s="1" t="str">
        <f>IF(TRIM(Raw!E275)="",I275,IF(UPPER(TRIM(Raw!E275))=UPPER(I275),I275,""))</f>
        <v>Home</v>
      </c>
      <c r="K275" s="1" t="str">
        <f>IF(Raw!F275="","",Raw!F275)</f>
        <v>sale</v>
      </c>
      <c r="L275" s="1" t="str">
        <f>IF(LEFT(TRIM(Raw!G275),2)="-$","-"&amp;MID(TRIM(Raw!G275),3,99),IF(LEFT(TRIM(Raw!G275),1)="$",MID(TRIM(Raw!G275),2,99),TRIM(Raw!G275)))</f>
        <v>208.30</v>
      </c>
      <c r="M275" s="1">
        <f t="shared" si="35"/>
        <v>208.3</v>
      </c>
      <c r="N275" s="10">
        <f t="shared" si="36"/>
        <v>20830</v>
      </c>
      <c r="O275" s="1" t="b">
        <f>IFERROR(IF(ISNUMBER(Raw!G275),TRUE,OR(EXACT(L275,TEXT(M275,"0.00")),EXACT(L275,TEXT(M275,"#,##0.00")))),FALSE)</f>
        <v>1</v>
      </c>
      <c r="P275" s="1" t="str">
        <f>LEN(IF(Raw!A275="","",Raw!A275))&amp;":"&amp;IF(Raw!A275="","",Raw!A275)&amp;"|"&amp;LEN(IF(Raw!B275="","",Raw!B275))&amp;":"&amp;IF(Raw!B275="","",Raw!B275)&amp;"|"&amp;LEN(IF(Raw!C275="","",Raw!C275))&amp;":"&amp;IF(Raw!C275="","",Raw!C275)&amp;"|"&amp;LEN(IF(Raw!D275="","",Raw!D275))&amp;":"&amp;IF(Raw!D275="","",Raw!D275)&amp;"|"&amp;LEN(IF(Raw!E275="","",Raw!E275))&amp;":"&amp;IF(Raw!E275="","",Raw!E275)&amp;"|"&amp;LEN(IF(Raw!F275="","",Raw!F275))&amp;":"&amp;IF(Raw!F275="","",Raw!F275)&amp;"|"&amp;LEN(IF(Raw!G275="","",Raw!G275))&amp;":"&amp;IF(Raw!G275="","",Raw!G275)</f>
        <v>6:L00269|6:T00135|10:2026-02-08|3:P-H|4:Home|4:sale|6:208.30</v>
      </c>
      <c r="Q275" s="1">
        <f>1</f>
        <v>1</v>
      </c>
      <c r="R275" s="1" t="b">
        <f>FALSE</f>
        <v>0</v>
      </c>
      <c r="S275" s="1">
        <f>1</f>
        <v>1</v>
      </c>
      <c r="T275" s="1" t="str">
        <f>IF(AND(Raw!A275="",Raw!B275="",Raw!C275="",Raw!D275="",Raw!E275="",Raw!F275="",Raw!G275=""),"UNUSED",IF(A275="","missing line ID",IF(B275="","missing transaction ID",IF(G275="",IF(C275="","missing date","invalid date"),IF(I275="","unknown product",IF(J275="","conflicting category",IF(NOT(OR(EXACT(K275,"sale"),EXACT(K275,"refund"))),"unknown event",IF(OR(N275="",NOT(O275)),"invalid amount",IF(OR(AND(K275="sale",N275&lt;=0),AND(K275="refund",N275&gt;=0)),"invalid sign","")))))))))</f>
        <v/>
      </c>
      <c r="U275" s="1" t="str">
        <f t="shared" si="37"/>
        <v>INCLUDED</v>
      </c>
      <c r="V275" s="1" t="str">
        <f t="shared" si="38"/>
        <v>2026-02</v>
      </c>
      <c r="W275" s="1">
        <f>IF(AND(U275="INCLUDED",X275&gt;0,EXACT(A275,'AI output'!A275)),1,0)</f>
        <v>1</v>
      </c>
      <c r="X275" s="1">
        <f>275</f>
        <v>275</v>
      </c>
      <c r="Y275" s="1">
        <f>IF(AND(U275="INCLUDED",W275=1),--(NOT(EXACT(A275,'AI output'!A275)))+--(NOT(EXACT(B275,'AI output'!B275)))+--(NOT(EXACT(TEXT(G275,"yyyy-mm-dd"),'AI output'!C275)))+--(NOT(EXACT(H275,'AI output'!D275)))+--(NOT(EXACT(J275,'AI output'!E275)))+--(NOT(EXACT(K275,'AI output'!F275)))+--(N275&lt;&gt;'AI output'!L275)+--(NOT('AI output'!M275)),0)</f>
        <v>0</v>
      </c>
      <c r="Z275" s="1">
        <f t="shared" si="39"/>
        <v>0</v>
      </c>
      <c r="AA275" s="1">
        <f>--EXACT(A275,"L00269")</f>
        <v>1</v>
      </c>
    </row>
    <row r="276" spans="1:27" ht="18.95" customHeight="1">
      <c r="A276" s="1" t="str">
        <f>IF(Raw!A276="","",Raw!A276)</f>
        <v>L00270</v>
      </c>
      <c r="B276" s="1" t="str">
        <f>IF(Raw!B276="","",Raw!B276)</f>
        <v>T00135</v>
      </c>
      <c r="C276" s="1" t="str">
        <f>IF(Raw!C276="","",Raw!C276)</f>
        <v>2026-02-08</v>
      </c>
      <c r="D276" s="1">
        <f t="shared" si="32"/>
        <v>2026</v>
      </c>
      <c r="E276" s="1">
        <f>IFERROR(IF(AND(LEN(C276)=10,MID(C276,5,1)="-",MID(C276,8,1)="-"),VALUE(MID(C276,6,2)),IF(AND(LEN(C276)=11,MID(C276,3,1)="-",MID(C276,7,1)="-"),MATCH(UPPER(MID(C276,4,3)),Guide!$D$7:$D$18,0),0)),0)</f>
        <v>2</v>
      </c>
      <c r="F276" s="1">
        <f t="shared" si="33"/>
        <v>8</v>
      </c>
      <c r="G276" s="9">
        <f t="shared" si="34"/>
        <v>46061</v>
      </c>
      <c r="H276" s="1" t="str">
        <f>IF(Raw!D276="","",Raw!D276)</f>
        <v>P-O</v>
      </c>
      <c r="I276" s="1" t="str">
        <f>IFERROR(IF(EXACT(H276,INDEX(Guide!$A$7:$A$9,MATCH(SUBSTITUTE(SUBSTITUTE(SUBSTITUTE(H276,"~","~~"),"*","~*"),"?","~?"),Guide!$A$7:$A$9,0))),INDEX(Guide!$B$7:$B$9,MATCH(SUBSTITUTE(SUBSTITUTE(SUBSTITUTE(H276,"~","~~"),"*","~*"),"?","~?"),Guide!$A$7:$A$9,0)),""),"")</f>
        <v>Office</v>
      </c>
      <c r="J276" s="1" t="str">
        <f>IF(TRIM(Raw!E276)="",I276,IF(UPPER(TRIM(Raw!E276))=UPPER(I276),I276,""))</f>
        <v>Office</v>
      </c>
      <c r="K276" s="1" t="str">
        <f>IF(Raw!F276="","",Raw!F276)</f>
        <v>sale</v>
      </c>
      <c r="L276" s="1" t="str">
        <f>IF(LEFT(TRIM(Raw!G276),2)="-$","-"&amp;MID(TRIM(Raw!G276),3,99),IF(LEFT(TRIM(Raw!G276),1)="$",MID(TRIM(Raw!G276),2,99),TRIM(Raw!G276)))</f>
        <v>418.08</v>
      </c>
      <c r="M276" s="1">
        <f t="shared" si="35"/>
        <v>418.08</v>
      </c>
      <c r="N276" s="10">
        <f t="shared" si="36"/>
        <v>41808</v>
      </c>
      <c r="O276" s="1" t="b">
        <f>IFERROR(IF(ISNUMBER(Raw!G276),TRUE,OR(EXACT(L276,TEXT(M276,"0.00")),EXACT(L276,TEXT(M276,"#,##0.00")))),FALSE)</f>
        <v>1</v>
      </c>
      <c r="P276" s="1" t="str">
        <f>LEN(IF(Raw!A276="","",Raw!A276))&amp;":"&amp;IF(Raw!A276="","",Raw!A276)&amp;"|"&amp;LEN(IF(Raw!B276="","",Raw!B276))&amp;":"&amp;IF(Raw!B276="","",Raw!B276)&amp;"|"&amp;LEN(IF(Raw!C276="","",Raw!C276))&amp;":"&amp;IF(Raw!C276="","",Raw!C276)&amp;"|"&amp;LEN(IF(Raw!D276="","",Raw!D276))&amp;":"&amp;IF(Raw!D276="","",Raw!D276)&amp;"|"&amp;LEN(IF(Raw!E276="","",Raw!E276))&amp;":"&amp;IF(Raw!E276="","",Raw!E276)&amp;"|"&amp;LEN(IF(Raw!F276="","",Raw!F276))&amp;":"&amp;IF(Raw!F276="","",Raw!F276)&amp;"|"&amp;LEN(IF(Raw!G276="","",Raw!G276))&amp;":"&amp;IF(Raw!G276="","",Raw!G276)</f>
        <v>6:L00270|6:T00135|10:2026-02-08|3:P-O|6:Office|4:sale|6:418.08</v>
      </c>
      <c r="Q276" s="1">
        <f>1</f>
        <v>1</v>
      </c>
      <c r="R276" s="1" t="b">
        <f>FALSE</f>
        <v>0</v>
      </c>
      <c r="S276" s="1">
        <f>1</f>
        <v>1</v>
      </c>
      <c r="T276" s="1" t="str">
        <f>IF(AND(Raw!A276="",Raw!B276="",Raw!C276="",Raw!D276="",Raw!E276="",Raw!F276="",Raw!G276=""),"UNUSED",IF(A276="","missing line ID",IF(B276="","missing transaction ID",IF(G276="",IF(C276="","missing date","invalid date"),IF(I276="","unknown product",IF(J276="","conflicting category",IF(NOT(OR(EXACT(K276,"sale"),EXACT(K276,"refund"))),"unknown event",IF(OR(N276="",NOT(O276)),"invalid amount",IF(OR(AND(K276="sale",N276&lt;=0),AND(K276="refund",N276&gt;=0)),"invalid sign","")))))))))</f>
        <v/>
      </c>
      <c r="U276" s="1" t="str">
        <f t="shared" si="37"/>
        <v>INCLUDED</v>
      </c>
      <c r="V276" s="1" t="str">
        <f t="shared" si="38"/>
        <v>2026-02</v>
      </c>
      <c r="W276" s="1">
        <f>IF(AND(U276="INCLUDED",X276&gt;0,EXACT(A276,'AI output'!A276)),1,0)</f>
        <v>1</v>
      </c>
      <c r="X276" s="1">
        <f>276</f>
        <v>276</v>
      </c>
      <c r="Y276" s="1">
        <f>IF(AND(U276="INCLUDED",W276=1),--(NOT(EXACT(A276,'AI output'!A276)))+--(NOT(EXACT(B276,'AI output'!B276)))+--(NOT(EXACT(TEXT(G276,"yyyy-mm-dd"),'AI output'!C276)))+--(NOT(EXACT(H276,'AI output'!D276)))+--(NOT(EXACT(J276,'AI output'!E276)))+--(NOT(EXACT(K276,'AI output'!F276)))+--(N276&lt;&gt;'AI output'!L276)+--(NOT('AI output'!M276)),0)</f>
        <v>0</v>
      </c>
      <c r="Z276" s="1">
        <f t="shared" si="39"/>
        <v>0</v>
      </c>
      <c r="AA276" s="1">
        <f>--EXACT(A276,"L00270")</f>
        <v>1</v>
      </c>
    </row>
    <row r="277" spans="1:27" ht="18.95" customHeight="1">
      <c r="A277" s="1" t="str">
        <f>IF(Raw!A277="","",Raw!A277)</f>
        <v>L00271</v>
      </c>
      <c r="B277" s="1" t="str">
        <f>IF(Raw!B277="","",Raw!B277)</f>
        <v>T00136</v>
      </c>
      <c r="C277" s="1" t="str">
        <f>IF(Raw!C277="","",Raw!C277)</f>
        <v>2026-02-15</v>
      </c>
      <c r="D277" s="1">
        <f t="shared" si="32"/>
        <v>2026</v>
      </c>
      <c r="E277" s="1">
        <f>IFERROR(IF(AND(LEN(C277)=10,MID(C277,5,1)="-",MID(C277,8,1)="-"),VALUE(MID(C277,6,2)),IF(AND(LEN(C277)=11,MID(C277,3,1)="-",MID(C277,7,1)="-"),MATCH(UPPER(MID(C277,4,3)),Guide!$D$7:$D$18,0),0)),0)</f>
        <v>2</v>
      </c>
      <c r="F277" s="1">
        <f t="shared" si="33"/>
        <v>15</v>
      </c>
      <c r="G277" s="9">
        <f t="shared" si="34"/>
        <v>46068</v>
      </c>
      <c r="H277" s="1" t="str">
        <f>IF(Raw!D277="","",Raw!D277)</f>
        <v>P-A</v>
      </c>
      <c r="I277" s="1" t="str">
        <f>IFERROR(IF(EXACT(H277,INDEX(Guide!$A$7:$A$9,MATCH(SUBSTITUTE(SUBSTITUTE(SUBSTITUTE(H277,"~","~~"),"*","~*"),"?","~?"),Guide!$A$7:$A$9,0))),INDEX(Guide!$B$7:$B$9,MATCH(SUBSTITUTE(SUBSTITUTE(SUBSTITUTE(H277,"~","~~"),"*","~*"),"?","~?"),Guide!$A$7:$A$9,0)),""),"")</f>
        <v>Accessories</v>
      </c>
      <c r="J277" s="1" t="str">
        <f>IF(TRIM(Raw!E277)="",I277,IF(UPPER(TRIM(Raw!E277))=UPPER(I277),I277,""))</f>
        <v>Accessories</v>
      </c>
      <c r="K277" s="1" t="str">
        <f>IF(Raw!F277="","",Raw!F277)</f>
        <v>sale</v>
      </c>
      <c r="L277" s="1" t="str">
        <f>IF(LEFT(TRIM(Raw!G277),2)="-$","-"&amp;MID(TRIM(Raw!G277),3,99),IF(LEFT(TRIM(Raw!G277),1)="$",MID(TRIM(Raw!G277),2,99),TRIM(Raw!G277)))</f>
        <v>104.89</v>
      </c>
      <c r="M277" s="1">
        <f t="shared" si="35"/>
        <v>104.89</v>
      </c>
      <c r="N277" s="10">
        <f t="shared" si="36"/>
        <v>10489</v>
      </c>
      <c r="O277" s="1" t="b">
        <f>IFERROR(IF(ISNUMBER(Raw!G277),TRUE,OR(EXACT(L277,TEXT(M277,"0.00")),EXACT(L277,TEXT(M277,"#,##0.00")))),FALSE)</f>
        <v>1</v>
      </c>
      <c r="P277" s="1" t="str">
        <f>LEN(IF(Raw!A277="","",Raw!A277))&amp;":"&amp;IF(Raw!A277="","",Raw!A277)&amp;"|"&amp;LEN(IF(Raw!B277="","",Raw!B277))&amp;":"&amp;IF(Raw!B277="","",Raw!B277)&amp;"|"&amp;LEN(IF(Raw!C277="","",Raw!C277))&amp;":"&amp;IF(Raw!C277="","",Raw!C277)&amp;"|"&amp;LEN(IF(Raw!D277="","",Raw!D277))&amp;":"&amp;IF(Raw!D277="","",Raw!D277)&amp;"|"&amp;LEN(IF(Raw!E277="","",Raw!E277))&amp;":"&amp;IF(Raw!E277="","",Raw!E277)&amp;"|"&amp;LEN(IF(Raw!F277="","",Raw!F277))&amp;":"&amp;IF(Raw!F277="","",Raw!F277)&amp;"|"&amp;LEN(IF(Raw!G277="","",Raw!G277))&amp;":"&amp;IF(Raw!G277="","",Raw!G277)</f>
        <v>6:L00271|6:T00136|10:2026-02-15|3:P-A|11:Accessories|4:sale|6:104.89</v>
      </c>
      <c r="Q277" s="1">
        <f>1</f>
        <v>1</v>
      </c>
      <c r="R277" s="1" t="b">
        <f>FALSE</f>
        <v>0</v>
      </c>
      <c r="S277" s="1">
        <f>1</f>
        <v>1</v>
      </c>
      <c r="T277" s="1" t="str">
        <f>IF(AND(Raw!A277="",Raw!B277="",Raw!C277="",Raw!D277="",Raw!E277="",Raw!F277="",Raw!G277=""),"UNUSED",IF(A277="","missing line ID",IF(B277="","missing transaction ID",IF(G277="",IF(C277="","missing date","invalid date"),IF(I277="","unknown product",IF(J277="","conflicting category",IF(NOT(OR(EXACT(K277,"sale"),EXACT(K277,"refund"))),"unknown event",IF(OR(N277="",NOT(O277)),"invalid amount",IF(OR(AND(K277="sale",N277&lt;=0),AND(K277="refund",N277&gt;=0)),"invalid sign","")))))))))</f>
        <v/>
      </c>
      <c r="U277" s="1" t="str">
        <f t="shared" si="37"/>
        <v>INCLUDED</v>
      </c>
      <c r="V277" s="1" t="str">
        <f t="shared" si="38"/>
        <v>2026-02</v>
      </c>
      <c r="W277" s="1">
        <f>IF(AND(U277="INCLUDED",X277&gt;0,EXACT(A277,'AI output'!A277)),1,0)</f>
        <v>1</v>
      </c>
      <c r="X277" s="1">
        <f>277</f>
        <v>277</v>
      </c>
      <c r="Y277" s="1">
        <f>IF(AND(U277="INCLUDED",W277=1),--(NOT(EXACT(A277,'AI output'!A277)))+--(NOT(EXACT(B277,'AI output'!B277)))+--(NOT(EXACT(TEXT(G277,"yyyy-mm-dd"),'AI output'!C277)))+--(NOT(EXACT(H277,'AI output'!D277)))+--(NOT(EXACT(J277,'AI output'!E277)))+--(NOT(EXACT(K277,'AI output'!F277)))+--(N277&lt;&gt;'AI output'!L277)+--(NOT('AI output'!M277)),0)</f>
        <v>0</v>
      </c>
      <c r="Z277" s="1">
        <f t="shared" si="39"/>
        <v>0</v>
      </c>
      <c r="AA277" s="1">
        <f>--EXACT(A277,"L00271")</f>
        <v>1</v>
      </c>
    </row>
    <row r="278" spans="1:27" ht="18.95" customHeight="1">
      <c r="A278" s="1" t="str">
        <f>IF(Raw!A278="","",Raw!A278)</f>
        <v>L00272</v>
      </c>
      <c r="B278" s="1" t="str">
        <f>IF(Raw!B278="","",Raw!B278)</f>
        <v>T00136</v>
      </c>
      <c r="C278" s="1" t="str">
        <f>IF(Raw!C278="","",Raw!C278)</f>
        <v>2026-02-15</v>
      </c>
      <c r="D278" s="1">
        <f t="shared" si="32"/>
        <v>2026</v>
      </c>
      <c r="E278" s="1">
        <f>IFERROR(IF(AND(LEN(C278)=10,MID(C278,5,1)="-",MID(C278,8,1)="-"),VALUE(MID(C278,6,2)),IF(AND(LEN(C278)=11,MID(C278,3,1)="-",MID(C278,7,1)="-"),MATCH(UPPER(MID(C278,4,3)),Guide!$D$7:$D$18,0),0)),0)</f>
        <v>2</v>
      </c>
      <c r="F278" s="1">
        <f t="shared" si="33"/>
        <v>15</v>
      </c>
      <c r="G278" s="9">
        <f t="shared" si="34"/>
        <v>46068</v>
      </c>
      <c r="H278" s="1" t="str">
        <f>IF(Raw!D278="","",Raw!D278)</f>
        <v>P-H</v>
      </c>
      <c r="I278" s="1" t="str">
        <f>IFERROR(IF(EXACT(H278,INDEX(Guide!$A$7:$A$9,MATCH(SUBSTITUTE(SUBSTITUTE(SUBSTITUTE(H278,"~","~~"),"*","~*"),"?","~?"),Guide!$A$7:$A$9,0))),INDEX(Guide!$B$7:$B$9,MATCH(SUBSTITUTE(SUBSTITUTE(SUBSTITUTE(H278,"~","~~"),"*","~*"),"?","~?"),Guide!$A$7:$A$9,0)),""),"")</f>
        <v>Home</v>
      </c>
      <c r="J278" s="1" t="str">
        <f>IF(TRIM(Raw!E278)="",I278,IF(UPPER(TRIM(Raw!E278))=UPPER(I278),I278,""))</f>
        <v>Home</v>
      </c>
      <c r="K278" s="1" t="str">
        <f>IF(Raw!F278="","",Raw!F278)</f>
        <v>sale</v>
      </c>
      <c r="L278" s="1" t="str">
        <f>IF(LEFT(TRIM(Raw!G278),2)="-$","-"&amp;MID(TRIM(Raw!G278),3,99),IF(LEFT(TRIM(Raw!G278),1)="$",MID(TRIM(Raw!G278),2,99),TRIM(Raw!G278)))</f>
        <v>315.78</v>
      </c>
      <c r="M278" s="1">
        <f t="shared" si="35"/>
        <v>315.77999999999997</v>
      </c>
      <c r="N278" s="10">
        <f t="shared" si="36"/>
        <v>31578</v>
      </c>
      <c r="O278" s="1" t="b">
        <f>IFERROR(IF(ISNUMBER(Raw!G278),TRUE,OR(EXACT(L278,TEXT(M278,"0.00")),EXACT(L278,TEXT(M278,"#,##0.00")))),FALSE)</f>
        <v>1</v>
      </c>
      <c r="P278" s="1" t="str">
        <f>LEN(IF(Raw!A278="","",Raw!A278))&amp;":"&amp;IF(Raw!A278="","",Raw!A278)&amp;"|"&amp;LEN(IF(Raw!B278="","",Raw!B278))&amp;":"&amp;IF(Raw!B278="","",Raw!B278)&amp;"|"&amp;LEN(IF(Raw!C278="","",Raw!C278))&amp;":"&amp;IF(Raw!C278="","",Raw!C278)&amp;"|"&amp;LEN(IF(Raw!D278="","",Raw!D278))&amp;":"&amp;IF(Raw!D278="","",Raw!D278)&amp;"|"&amp;LEN(IF(Raw!E278="","",Raw!E278))&amp;":"&amp;IF(Raw!E278="","",Raw!E278)&amp;"|"&amp;LEN(IF(Raw!F278="","",Raw!F278))&amp;":"&amp;IF(Raw!F278="","",Raw!F278)&amp;"|"&amp;LEN(IF(Raw!G278="","",Raw!G278))&amp;":"&amp;IF(Raw!G278="","",Raw!G278)</f>
        <v>6:L00272|6:T00136|10:2026-02-15|3:P-H|4:Home|4:sale|6:315.78</v>
      </c>
      <c r="Q278" s="1">
        <f>1</f>
        <v>1</v>
      </c>
      <c r="R278" s="1" t="b">
        <f>FALSE</f>
        <v>0</v>
      </c>
      <c r="S278" s="1">
        <f>1</f>
        <v>1</v>
      </c>
      <c r="T278" s="1" t="str">
        <f>IF(AND(Raw!A278="",Raw!B278="",Raw!C278="",Raw!D278="",Raw!E278="",Raw!F278="",Raw!G278=""),"UNUSED",IF(A278="","missing line ID",IF(B278="","missing transaction ID",IF(G278="",IF(C278="","missing date","invalid date"),IF(I278="","unknown product",IF(J278="","conflicting category",IF(NOT(OR(EXACT(K278,"sale"),EXACT(K278,"refund"))),"unknown event",IF(OR(N278="",NOT(O278)),"invalid amount",IF(OR(AND(K278="sale",N278&lt;=0),AND(K278="refund",N278&gt;=0)),"invalid sign","")))))))))</f>
        <v/>
      </c>
      <c r="U278" s="1" t="str">
        <f t="shared" si="37"/>
        <v>INCLUDED</v>
      </c>
      <c r="V278" s="1" t="str">
        <f t="shared" si="38"/>
        <v>2026-02</v>
      </c>
      <c r="W278" s="1">
        <f>IF(AND(U278="INCLUDED",X278&gt;0,EXACT(A278,'AI output'!A278)),1,0)</f>
        <v>1</v>
      </c>
      <c r="X278" s="1">
        <f>278</f>
        <v>278</v>
      </c>
      <c r="Y278" s="1">
        <f>IF(AND(U278="INCLUDED",W278=1),--(NOT(EXACT(A278,'AI output'!A278)))+--(NOT(EXACT(B278,'AI output'!B278)))+--(NOT(EXACT(TEXT(G278,"yyyy-mm-dd"),'AI output'!C278)))+--(NOT(EXACT(H278,'AI output'!D278)))+--(NOT(EXACT(J278,'AI output'!E278)))+--(NOT(EXACT(K278,'AI output'!F278)))+--(N278&lt;&gt;'AI output'!L278)+--(NOT('AI output'!M278)),0)</f>
        <v>0</v>
      </c>
      <c r="Z278" s="1">
        <f t="shared" si="39"/>
        <v>0</v>
      </c>
      <c r="AA278" s="1">
        <f>--EXACT(A278,"L00272")</f>
        <v>1</v>
      </c>
    </row>
    <row r="279" spans="1:27" ht="18.95" customHeight="1">
      <c r="A279" s="1" t="str">
        <f>IF(Raw!A279="","",Raw!A279)</f>
        <v>L00273</v>
      </c>
      <c r="B279" s="1" t="str">
        <f>IF(Raw!B279="","",Raw!B279)</f>
        <v>T00137</v>
      </c>
      <c r="C279" s="1" t="str">
        <f>IF(Raw!C279="","",Raw!C279)</f>
        <v>2026-02-22</v>
      </c>
      <c r="D279" s="1">
        <f t="shared" si="32"/>
        <v>2026</v>
      </c>
      <c r="E279" s="1">
        <f>IFERROR(IF(AND(LEN(C279)=10,MID(C279,5,1)="-",MID(C279,8,1)="-"),VALUE(MID(C279,6,2)),IF(AND(LEN(C279)=11,MID(C279,3,1)="-",MID(C279,7,1)="-"),MATCH(UPPER(MID(C279,4,3)),Guide!$D$7:$D$18,0),0)),0)</f>
        <v>2</v>
      </c>
      <c r="F279" s="1">
        <f t="shared" si="33"/>
        <v>22</v>
      </c>
      <c r="G279" s="9">
        <f t="shared" si="34"/>
        <v>46075</v>
      </c>
      <c r="H279" s="1" t="str">
        <f>IF(Raw!D279="","",Raw!D279)</f>
        <v>P-O</v>
      </c>
      <c r="I279" s="1" t="str">
        <f>IFERROR(IF(EXACT(H279,INDEX(Guide!$A$7:$A$9,MATCH(SUBSTITUTE(SUBSTITUTE(SUBSTITUTE(H279,"~","~~"),"*","~*"),"?","~?"),Guide!$A$7:$A$9,0))),INDEX(Guide!$B$7:$B$9,MATCH(SUBSTITUTE(SUBSTITUTE(SUBSTITUTE(H279,"~","~~"),"*","~*"),"?","~?"),Guide!$A$7:$A$9,0)),""),"")</f>
        <v>Office</v>
      </c>
      <c r="J279" s="1" t="str">
        <f>IF(TRIM(Raw!E279)="",I279,IF(UPPER(TRIM(Raw!E279))=UPPER(I279),I279,""))</f>
        <v>Office</v>
      </c>
      <c r="K279" s="1" t="str">
        <f>IF(Raw!F279="","",Raw!F279)</f>
        <v>sale</v>
      </c>
      <c r="L279" s="1" t="str">
        <f>IF(LEFT(TRIM(Raw!G279),2)="-$","-"&amp;MID(TRIM(Raw!G279),3,99),IF(LEFT(TRIM(Raw!G279),1)="$",MID(TRIM(Raw!G279),2,99),TRIM(Raw!G279)))</f>
        <v>528.15</v>
      </c>
      <c r="M279" s="1">
        <f t="shared" si="35"/>
        <v>528.15</v>
      </c>
      <c r="N279" s="10">
        <f t="shared" si="36"/>
        <v>52815</v>
      </c>
      <c r="O279" s="1" t="b">
        <f>IFERROR(IF(ISNUMBER(Raw!G279),TRUE,OR(EXACT(L279,TEXT(M279,"0.00")),EXACT(L279,TEXT(M279,"#,##0.00")))),FALSE)</f>
        <v>1</v>
      </c>
      <c r="P279" s="1" t="str">
        <f>LEN(IF(Raw!A279="","",Raw!A279))&amp;":"&amp;IF(Raw!A279="","",Raw!A279)&amp;"|"&amp;LEN(IF(Raw!B279="","",Raw!B279))&amp;":"&amp;IF(Raw!B279="","",Raw!B279)&amp;"|"&amp;LEN(IF(Raw!C279="","",Raw!C279))&amp;":"&amp;IF(Raw!C279="","",Raw!C279)&amp;"|"&amp;LEN(IF(Raw!D279="","",Raw!D279))&amp;":"&amp;IF(Raw!D279="","",Raw!D279)&amp;"|"&amp;LEN(IF(Raw!E279="","",Raw!E279))&amp;":"&amp;IF(Raw!E279="","",Raw!E279)&amp;"|"&amp;LEN(IF(Raw!F279="","",Raw!F279))&amp;":"&amp;IF(Raw!F279="","",Raw!F279)&amp;"|"&amp;LEN(IF(Raw!G279="","",Raw!G279))&amp;":"&amp;IF(Raw!G279="","",Raw!G279)</f>
        <v>6:L00273|6:T00137|10:2026-02-22|3:P-O|6:Office|4:sale|6:528.15</v>
      </c>
      <c r="Q279" s="1">
        <f>2</f>
        <v>2</v>
      </c>
      <c r="R279" s="1" t="b">
        <f>OR(NOT(EXACT(P279,P1990)))</f>
        <v>0</v>
      </c>
      <c r="S279" s="1">
        <f>1</f>
        <v>1</v>
      </c>
      <c r="T279" s="1" t="str">
        <f>IF(AND(Raw!A279="",Raw!B279="",Raw!C279="",Raw!D279="",Raw!E279="",Raw!F279="",Raw!G279=""),"UNUSED",IF(A279="","missing line ID",IF(B279="","missing transaction ID",IF(G279="",IF(C279="","missing date","invalid date"),IF(I279="","unknown product",IF(J279="","conflicting category",IF(NOT(OR(EXACT(K279,"sale"),EXACT(K279,"refund"))),"unknown event",IF(OR(N279="",NOT(O279)),"invalid amount",IF(OR(AND(K279="sale",N279&lt;=0),AND(K279="refund",N279&gt;=0)),"invalid sign","")))))))))</f>
        <v/>
      </c>
      <c r="U279" s="1" t="str">
        <f t="shared" si="37"/>
        <v>INCLUDED</v>
      </c>
      <c r="V279" s="1" t="str">
        <f t="shared" si="38"/>
        <v>2026-02</v>
      </c>
      <c r="W279" s="1">
        <f>IF(AND(U279="INCLUDED",X279&gt;0,EXACT(A279,'AI output'!A279)),1,0)</f>
        <v>1</v>
      </c>
      <c r="X279" s="1">
        <f>279</f>
        <v>279</v>
      </c>
      <c r="Y279" s="1">
        <f>IF(AND(U279="INCLUDED",W279=1),--(NOT(EXACT(A279,'AI output'!A279)))+--(NOT(EXACT(B279,'AI output'!B279)))+--(NOT(EXACT(TEXT(G279,"yyyy-mm-dd"),'AI output'!C279)))+--(NOT(EXACT(H279,'AI output'!D279)))+--(NOT(EXACT(J279,'AI output'!E279)))+--(NOT(EXACT(K279,'AI output'!F279)))+--(N279&lt;&gt;'AI output'!L279)+--(NOT('AI output'!M279)),0)</f>
        <v>0</v>
      </c>
      <c r="Z279" s="1">
        <f t="shared" si="39"/>
        <v>0</v>
      </c>
      <c r="AA279" s="1">
        <f>--EXACT(A279,"L00273")</f>
        <v>1</v>
      </c>
    </row>
    <row r="280" spans="1:27" ht="18.95" customHeight="1">
      <c r="A280" s="1" t="str">
        <f>IF(Raw!A280="","",Raw!A280)</f>
        <v>L00274</v>
      </c>
      <c r="B280" s="1" t="str">
        <f>IF(Raw!B280="","",Raw!B280)</f>
        <v>T00137</v>
      </c>
      <c r="C280" s="1" t="str">
        <f>IF(Raw!C280="","",Raw!C280)</f>
        <v>2026-02-22</v>
      </c>
      <c r="D280" s="1">
        <f t="shared" si="32"/>
        <v>2026</v>
      </c>
      <c r="E280" s="1">
        <f>IFERROR(IF(AND(LEN(C280)=10,MID(C280,5,1)="-",MID(C280,8,1)="-"),VALUE(MID(C280,6,2)),IF(AND(LEN(C280)=11,MID(C280,3,1)="-",MID(C280,7,1)="-"),MATCH(UPPER(MID(C280,4,3)),Guide!$D$7:$D$18,0),0)),0)</f>
        <v>2</v>
      </c>
      <c r="F280" s="1">
        <f t="shared" si="33"/>
        <v>22</v>
      </c>
      <c r="G280" s="9">
        <f t="shared" si="34"/>
        <v>46075</v>
      </c>
      <c r="H280" s="1" t="str">
        <f>IF(Raw!D280="","",Raw!D280)</f>
        <v>P-A</v>
      </c>
      <c r="I280" s="1" t="str">
        <f>IFERROR(IF(EXACT(H280,INDEX(Guide!$A$7:$A$9,MATCH(SUBSTITUTE(SUBSTITUTE(SUBSTITUTE(H280,"~","~~"),"*","~*"),"?","~?"),Guide!$A$7:$A$9,0))),INDEX(Guide!$B$7:$B$9,MATCH(SUBSTITUTE(SUBSTITUTE(SUBSTITUTE(H280,"~","~~"),"*","~*"),"?","~?"),Guide!$A$7:$A$9,0)),""),"")</f>
        <v>Accessories</v>
      </c>
      <c r="J280" s="1" t="str">
        <f>IF(TRIM(Raw!E280)="",I280,IF(UPPER(TRIM(Raw!E280))=UPPER(I280),I280,""))</f>
        <v>Accessories</v>
      </c>
      <c r="K280" s="1" t="str">
        <f>IF(Raw!F280="","",Raw!F280)</f>
        <v>sale</v>
      </c>
      <c r="L280" s="1" t="str">
        <f>IF(LEFT(TRIM(Raw!G280),2)="-$","-"&amp;MID(TRIM(Raw!G280),3,99),IF(LEFT(TRIM(Raw!G280),1)="$",MID(TRIM(Raw!G280),2,99),TRIM(Raw!G280)))</f>
        <v>212.00</v>
      </c>
      <c r="M280" s="1">
        <f t="shared" si="35"/>
        <v>212</v>
      </c>
      <c r="N280" s="10">
        <f t="shared" si="36"/>
        <v>21200</v>
      </c>
      <c r="O280" s="1" t="b">
        <f>IFERROR(IF(ISNUMBER(Raw!G280),TRUE,OR(EXACT(L280,TEXT(M280,"0.00")),EXACT(L280,TEXT(M280,"#,##0.00")))),FALSE)</f>
        <v>1</v>
      </c>
      <c r="P280" s="1" t="str">
        <f>LEN(IF(Raw!A280="","",Raw!A280))&amp;":"&amp;IF(Raw!A280="","",Raw!A280)&amp;"|"&amp;LEN(IF(Raw!B280="","",Raw!B280))&amp;":"&amp;IF(Raw!B280="","",Raw!B280)&amp;"|"&amp;LEN(IF(Raw!C280="","",Raw!C280))&amp;":"&amp;IF(Raw!C280="","",Raw!C280)&amp;"|"&amp;LEN(IF(Raw!D280="","",Raw!D280))&amp;":"&amp;IF(Raw!D280="","",Raw!D280)&amp;"|"&amp;LEN(IF(Raw!E280="","",Raw!E280))&amp;":"&amp;IF(Raw!E280="","",Raw!E280)&amp;"|"&amp;LEN(IF(Raw!F280="","",Raw!F280))&amp;":"&amp;IF(Raw!F280="","",Raw!F280)&amp;"|"&amp;LEN(IF(Raw!G280="","",Raw!G280))&amp;":"&amp;IF(Raw!G280="","",Raw!G280)</f>
        <v>6:L00274|6:T00137|10:2026-02-22|3:P-A|11:Accessories|4:sale|6:212.00</v>
      </c>
      <c r="Q280" s="1">
        <f>1</f>
        <v>1</v>
      </c>
      <c r="R280" s="1" t="b">
        <f>FALSE</f>
        <v>0</v>
      </c>
      <c r="S280" s="1">
        <f>1</f>
        <v>1</v>
      </c>
      <c r="T280" s="1" t="str">
        <f>IF(AND(Raw!A280="",Raw!B280="",Raw!C280="",Raw!D280="",Raw!E280="",Raw!F280="",Raw!G280=""),"UNUSED",IF(A280="","missing line ID",IF(B280="","missing transaction ID",IF(G280="",IF(C280="","missing date","invalid date"),IF(I280="","unknown product",IF(J280="","conflicting category",IF(NOT(OR(EXACT(K280,"sale"),EXACT(K280,"refund"))),"unknown event",IF(OR(N280="",NOT(O280)),"invalid amount",IF(OR(AND(K280="sale",N280&lt;=0),AND(K280="refund",N280&gt;=0)),"invalid sign","")))))))))</f>
        <v/>
      </c>
      <c r="U280" s="1" t="str">
        <f t="shared" si="37"/>
        <v>INCLUDED</v>
      </c>
      <c r="V280" s="1" t="str">
        <f t="shared" si="38"/>
        <v>2026-02</v>
      </c>
      <c r="W280" s="1">
        <f>IF(AND(U280="INCLUDED",X280&gt;0,EXACT(A280,'AI output'!A280)),1,0)</f>
        <v>1</v>
      </c>
      <c r="X280" s="1">
        <f>280</f>
        <v>280</v>
      </c>
      <c r="Y280" s="1">
        <f>IF(AND(U280="INCLUDED",W280=1),--(NOT(EXACT(A280,'AI output'!A280)))+--(NOT(EXACT(B280,'AI output'!B280)))+--(NOT(EXACT(TEXT(G280,"yyyy-mm-dd"),'AI output'!C280)))+--(NOT(EXACT(H280,'AI output'!D280)))+--(NOT(EXACT(J280,'AI output'!E280)))+--(NOT(EXACT(K280,'AI output'!F280)))+--(N280&lt;&gt;'AI output'!L280)+--(NOT('AI output'!M280)),0)</f>
        <v>0</v>
      </c>
      <c r="Z280" s="1">
        <f t="shared" si="39"/>
        <v>0</v>
      </c>
      <c r="AA280" s="1">
        <f>--EXACT(A280,"L00274")</f>
        <v>1</v>
      </c>
    </row>
    <row r="281" spans="1:27" ht="18.95" customHeight="1">
      <c r="A281" s="1" t="str">
        <f>IF(Raw!A281="","",Raw!A281)</f>
        <v>L00275</v>
      </c>
      <c r="B281" s="1" t="str">
        <f>IF(Raw!B281="","",Raw!B281)</f>
        <v>T00138</v>
      </c>
      <c r="C281" s="1" t="str">
        <f>IF(Raw!C281="","",Raw!C281)</f>
        <v>2026-03-01</v>
      </c>
      <c r="D281" s="1">
        <f t="shared" si="32"/>
        <v>2026</v>
      </c>
      <c r="E281" s="1">
        <f>IFERROR(IF(AND(LEN(C281)=10,MID(C281,5,1)="-",MID(C281,8,1)="-"),VALUE(MID(C281,6,2)),IF(AND(LEN(C281)=11,MID(C281,3,1)="-",MID(C281,7,1)="-"),MATCH(UPPER(MID(C281,4,3)),Guide!$D$7:$D$18,0),0)),0)</f>
        <v>3</v>
      </c>
      <c r="F281" s="1">
        <f t="shared" si="33"/>
        <v>1</v>
      </c>
      <c r="G281" s="9">
        <f t="shared" si="34"/>
        <v>46082</v>
      </c>
      <c r="H281" s="1" t="str">
        <f>IF(Raw!D281="","",Raw!D281)</f>
        <v>P-H</v>
      </c>
      <c r="I281" s="1" t="str">
        <f>IFERROR(IF(EXACT(H281,INDEX(Guide!$A$7:$A$9,MATCH(SUBSTITUTE(SUBSTITUTE(SUBSTITUTE(H281,"~","~~"),"*","~*"),"?","~?"),Guide!$A$7:$A$9,0))),INDEX(Guide!$B$7:$B$9,MATCH(SUBSTITUTE(SUBSTITUTE(SUBSTITUTE(H281,"~","~~"),"*","~*"),"?","~?"),Guide!$A$7:$A$9,0)),""),"")</f>
        <v>Home</v>
      </c>
      <c r="J281" s="1" t="str">
        <f>IF(TRIM(Raw!E281)="",I281,IF(UPPER(TRIM(Raw!E281))=UPPER(I281),I281,""))</f>
        <v>Home</v>
      </c>
      <c r="K281" s="1" t="str">
        <f>IF(Raw!F281="","",Raw!F281)</f>
        <v>sale</v>
      </c>
      <c r="L281" s="1" t="str">
        <f>IF(LEFT(TRIM(Raw!G281),2)="-$","-"&amp;MID(TRIM(Raw!G281),3,99),IF(LEFT(TRIM(Raw!G281),1)="$",MID(TRIM(Raw!G281),2,99),TRIM(Raw!G281)))</f>
        <v>425.48</v>
      </c>
      <c r="M281" s="1">
        <f t="shared" si="35"/>
        <v>425.48</v>
      </c>
      <c r="N281" s="10">
        <f t="shared" si="36"/>
        <v>42548</v>
      </c>
      <c r="O281" s="1" t="b">
        <f>IFERROR(IF(ISNUMBER(Raw!G281),TRUE,OR(EXACT(L281,TEXT(M281,"0.00")),EXACT(L281,TEXT(M281,"#,##0.00")))),FALSE)</f>
        <v>1</v>
      </c>
      <c r="P281" s="1" t="str">
        <f>LEN(IF(Raw!A281="","",Raw!A281))&amp;":"&amp;IF(Raw!A281="","",Raw!A281)&amp;"|"&amp;LEN(IF(Raw!B281="","",Raw!B281))&amp;":"&amp;IF(Raw!B281="","",Raw!B281)&amp;"|"&amp;LEN(IF(Raw!C281="","",Raw!C281))&amp;":"&amp;IF(Raw!C281="","",Raw!C281)&amp;"|"&amp;LEN(IF(Raw!D281="","",Raw!D281))&amp;":"&amp;IF(Raw!D281="","",Raw!D281)&amp;"|"&amp;LEN(IF(Raw!E281="","",Raw!E281))&amp;":"&amp;IF(Raw!E281="","",Raw!E281)&amp;"|"&amp;LEN(IF(Raw!F281="","",Raw!F281))&amp;":"&amp;IF(Raw!F281="","",Raw!F281)&amp;"|"&amp;LEN(IF(Raw!G281="","",Raw!G281))&amp;":"&amp;IF(Raw!G281="","",Raw!G281)</f>
        <v>6:L00275|6:T00138|10:2026-03-01|3:P-H|4:Home|4:sale|6:425.48</v>
      </c>
      <c r="Q281" s="1">
        <f>1</f>
        <v>1</v>
      </c>
      <c r="R281" s="1" t="b">
        <f>FALSE</f>
        <v>0</v>
      </c>
      <c r="S281" s="1">
        <f>1</f>
        <v>1</v>
      </c>
      <c r="T281" s="1" t="str">
        <f>IF(AND(Raw!A281="",Raw!B281="",Raw!C281="",Raw!D281="",Raw!E281="",Raw!F281="",Raw!G281=""),"UNUSED",IF(A281="","missing line ID",IF(B281="","missing transaction ID",IF(G281="",IF(C281="","missing date","invalid date"),IF(I281="","unknown product",IF(J281="","conflicting category",IF(NOT(OR(EXACT(K281,"sale"),EXACT(K281,"refund"))),"unknown event",IF(OR(N281="",NOT(O281)),"invalid amount",IF(OR(AND(K281="sale",N281&lt;=0),AND(K281="refund",N281&gt;=0)),"invalid sign","")))))))))</f>
        <v/>
      </c>
      <c r="U281" s="1" t="str">
        <f t="shared" si="37"/>
        <v>INCLUDED</v>
      </c>
      <c r="V281" s="1" t="str">
        <f t="shared" si="38"/>
        <v>2026-03</v>
      </c>
      <c r="W281" s="1">
        <f>IF(AND(U281="INCLUDED",X281&gt;0,EXACT(A281,'AI output'!A281)),1,0)</f>
        <v>1</v>
      </c>
      <c r="X281" s="1">
        <f>281</f>
        <v>281</v>
      </c>
      <c r="Y281" s="1">
        <f>IF(AND(U281="INCLUDED",W281=1),--(NOT(EXACT(A281,'AI output'!A281)))+--(NOT(EXACT(B281,'AI output'!B281)))+--(NOT(EXACT(TEXT(G281,"yyyy-mm-dd"),'AI output'!C281)))+--(NOT(EXACT(H281,'AI output'!D281)))+--(NOT(EXACT(J281,'AI output'!E281)))+--(NOT(EXACT(K281,'AI output'!F281)))+--(N281&lt;&gt;'AI output'!L281)+--(NOT('AI output'!M281)),0)</f>
        <v>0</v>
      </c>
      <c r="Z281" s="1">
        <f t="shared" si="39"/>
        <v>0</v>
      </c>
      <c r="AA281" s="1">
        <f>--EXACT(A281,"L00275")</f>
        <v>1</v>
      </c>
    </row>
    <row r="282" spans="1:27" ht="18.95" customHeight="1">
      <c r="A282" s="1" t="str">
        <f>IF(Raw!A282="","",Raw!A282)</f>
        <v>L00276</v>
      </c>
      <c r="B282" s="1" t="str">
        <f>IF(Raw!B282="","",Raw!B282)</f>
        <v>T00138</v>
      </c>
      <c r="C282" s="1" t="str">
        <f>IF(Raw!C282="","",Raw!C282)</f>
        <v>2026-03-01</v>
      </c>
      <c r="D282" s="1">
        <f t="shared" si="32"/>
        <v>2026</v>
      </c>
      <c r="E282" s="1">
        <f>IFERROR(IF(AND(LEN(C282)=10,MID(C282,5,1)="-",MID(C282,8,1)="-"),VALUE(MID(C282,6,2)),IF(AND(LEN(C282)=11,MID(C282,3,1)="-",MID(C282,7,1)="-"),MATCH(UPPER(MID(C282,4,3)),Guide!$D$7:$D$18,0),0)),0)</f>
        <v>3</v>
      </c>
      <c r="F282" s="1">
        <f t="shared" si="33"/>
        <v>1</v>
      </c>
      <c r="G282" s="9">
        <f t="shared" si="34"/>
        <v>46082</v>
      </c>
      <c r="H282" s="1" t="str">
        <f>IF(Raw!D282="","",Raw!D282)</f>
        <v>P-O</v>
      </c>
      <c r="I282" s="1" t="str">
        <f>IFERROR(IF(EXACT(H282,INDEX(Guide!$A$7:$A$9,MATCH(SUBSTITUTE(SUBSTITUTE(SUBSTITUTE(H282,"~","~~"),"*","~*"),"?","~?"),Guide!$A$7:$A$9,0))),INDEX(Guide!$B$7:$B$9,MATCH(SUBSTITUTE(SUBSTITUTE(SUBSTITUTE(H282,"~","~~"),"*","~*"),"?","~?"),Guide!$A$7:$A$9,0)),""),"")</f>
        <v>Office</v>
      </c>
      <c r="J282" s="1" t="str">
        <f>IF(TRIM(Raw!E282)="",I282,IF(UPPER(TRIM(Raw!E282))=UPPER(I282),I282,""))</f>
        <v>Office</v>
      </c>
      <c r="K282" s="1" t="str">
        <f>IF(Raw!F282="","",Raw!F282)</f>
        <v>sale</v>
      </c>
      <c r="L282" s="1" t="str">
        <f>IF(LEFT(TRIM(Raw!G282),2)="-$","-"&amp;MID(TRIM(Raw!G282),3,99),IF(LEFT(TRIM(Raw!G282),1)="$",MID(TRIM(Raw!G282),2,99),TRIM(Raw!G282)))</f>
        <v>106.74</v>
      </c>
      <c r="M282" s="1">
        <f t="shared" si="35"/>
        <v>106.74</v>
      </c>
      <c r="N282" s="10">
        <f t="shared" si="36"/>
        <v>10674</v>
      </c>
      <c r="O282" s="1" t="b">
        <f>IFERROR(IF(ISNUMBER(Raw!G282),TRUE,OR(EXACT(L282,TEXT(M282,"0.00")),EXACT(L282,TEXT(M282,"#,##0.00")))),FALSE)</f>
        <v>1</v>
      </c>
      <c r="P282" s="1" t="str">
        <f>LEN(IF(Raw!A282="","",Raw!A282))&amp;":"&amp;IF(Raw!A282="","",Raw!A282)&amp;"|"&amp;LEN(IF(Raw!B282="","",Raw!B282))&amp;":"&amp;IF(Raw!B282="","",Raw!B282)&amp;"|"&amp;LEN(IF(Raw!C282="","",Raw!C282))&amp;":"&amp;IF(Raw!C282="","",Raw!C282)&amp;"|"&amp;LEN(IF(Raw!D282="","",Raw!D282))&amp;":"&amp;IF(Raw!D282="","",Raw!D282)&amp;"|"&amp;LEN(IF(Raw!E282="","",Raw!E282))&amp;":"&amp;IF(Raw!E282="","",Raw!E282)&amp;"|"&amp;LEN(IF(Raw!F282="","",Raw!F282))&amp;":"&amp;IF(Raw!F282="","",Raw!F282)&amp;"|"&amp;LEN(IF(Raw!G282="","",Raw!G282))&amp;":"&amp;IF(Raw!G282="","",Raw!G282)</f>
        <v>6:L00276|6:T00138|10:2026-03-01|3:P-O|6:Office|4:sale|6:106.74</v>
      </c>
      <c r="Q282" s="1">
        <f>1</f>
        <v>1</v>
      </c>
      <c r="R282" s="1" t="b">
        <f>FALSE</f>
        <v>0</v>
      </c>
      <c r="S282" s="1">
        <f>1</f>
        <v>1</v>
      </c>
      <c r="T282" s="1" t="str">
        <f>IF(AND(Raw!A282="",Raw!B282="",Raw!C282="",Raw!D282="",Raw!E282="",Raw!F282="",Raw!G282=""),"UNUSED",IF(A282="","missing line ID",IF(B282="","missing transaction ID",IF(G282="",IF(C282="","missing date","invalid date"),IF(I282="","unknown product",IF(J282="","conflicting category",IF(NOT(OR(EXACT(K282,"sale"),EXACT(K282,"refund"))),"unknown event",IF(OR(N282="",NOT(O282)),"invalid amount",IF(OR(AND(K282="sale",N282&lt;=0),AND(K282="refund",N282&gt;=0)),"invalid sign","")))))))))</f>
        <v/>
      </c>
      <c r="U282" s="1" t="str">
        <f t="shared" si="37"/>
        <v>INCLUDED</v>
      </c>
      <c r="V282" s="1" t="str">
        <f t="shared" si="38"/>
        <v>2026-03</v>
      </c>
      <c r="W282" s="1">
        <f>IF(AND(U282="INCLUDED",X282&gt;0,EXACT(A282,'AI output'!A282)),1,0)</f>
        <v>1</v>
      </c>
      <c r="X282" s="1">
        <f>282</f>
        <v>282</v>
      </c>
      <c r="Y282" s="1">
        <f>IF(AND(U282="INCLUDED",W282=1),--(NOT(EXACT(A282,'AI output'!A282)))+--(NOT(EXACT(B282,'AI output'!B282)))+--(NOT(EXACT(TEXT(G282,"yyyy-mm-dd"),'AI output'!C282)))+--(NOT(EXACT(H282,'AI output'!D282)))+--(NOT(EXACT(J282,'AI output'!E282)))+--(NOT(EXACT(K282,'AI output'!F282)))+--(N282&lt;&gt;'AI output'!L282)+--(NOT('AI output'!M282)),0)</f>
        <v>0</v>
      </c>
      <c r="Z282" s="1">
        <f t="shared" si="39"/>
        <v>0</v>
      </c>
      <c r="AA282" s="1">
        <f>--EXACT(A282,"L00276")</f>
        <v>1</v>
      </c>
    </row>
    <row r="283" spans="1:27" ht="18.95" customHeight="1">
      <c r="A283" s="1" t="str">
        <f>IF(Raw!A283="","",Raw!A283)</f>
        <v>L00277</v>
      </c>
      <c r="B283" s="1" t="str">
        <f>IF(Raw!B283="","",Raw!B283)</f>
        <v>T00139</v>
      </c>
      <c r="C283" s="1" t="str">
        <f>IF(Raw!C283="","",Raw!C283)</f>
        <v>2026-03-08</v>
      </c>
      <c r="D283" s="1">
        <f t="shared" si="32"/>
        <v>2026</v>
      </c>
      <c r="E283" s="1">
        <f>IFERROR(IF(AND(LEN(C283)=10,MID(C283,5,1)="-",MID(C283,8,1)="-"),VALUE(MID(C283,6,2)),IF(AND(LEN(C283)=11,MID(C283,3,1)="-",MID(C283,7,1)="-"),MATCH(UPPER(MID(C283,4,3)),Guide!$D$7:$D$18,0),0)),0)</f>
        <v>3</v>
      </c>
      <c r="F283" s="1">
        <f t="shared" si="33"/>
        <v>8</v>
      </c>
      <c r="G283" s="9">
        <f t="shared" si="34"/>
        <v>46089</v>
      </c>
      <c r="H283" s="1" t="str">
        <f>IF(Raw!D283="","",Raw!D283)</f>
        <v>P-A</v>
      </c>
      <c r="I283" s="1" t="str">
        <f>IFERROR(IF(EXACT(H283,INDEX(Guide!$A$7:$A$9,MATCH(SUBSTITUTE(SUBSTITUTE(SUBSTITUTE(H283,"~","~~"),"*","~*"),"?","~?"),Guide!$A$7:$A$9,0))),INDEX(Guide!$B$7:$B$9,MATCH(SUBSTITUTE(SUBSTITUTE(SUBSTITUTE(H283,"~","~~"),"*","~*"),"?","~?"),Guide!$A$7:$A$9,0)),""),"")</f>
        <v>Accessories</v>
      </c>
      <c r="J283" s="1" t="str">
        <f>IF(TRIM(Raw!E283)="",I283,IF(UPPER(TRIM(Raw!E283))=UPPER(I283),I283,""))</f>
        <v>Accessories</v>
      </c>
      <c r="K283" s="1" t="str">
        <f>IF(Raw!F283="","",Raw!F283)</f>
        <v>refund</v>
      </c>
      <c r="L283" s="1" t="str">
        <f>IF(LEFT(TRIM(Raw!G283),2)="-$","-"&amp;MID(TRIM(Raw!G283),3,99),IF(LEFT(TRIM(Raw!G283),1)="$",MID(TRIM(Raw!G283),2,99),TRIM(Raw!G283)))</f>
        <v>-321.33</v>
      </c>
      <c r="M283" s="1">
        <f t="shared" si="35"/>
        <v>-321.33</v>
      </c>
      <c r="N283" s="10">
        <f t="shared" si="36"/>
        <v>-32133</v>
      </c>
      <c r="O283" s="1" t="b">
        <f>IFERROR(IF(ISNUMBER(Raw!G283),TRUE,OR(EXACT(L283,TEXT(M283,"0.00")),EXACT(L283,TEXT(M283,"#,##0.00")))),FALSE)</f>
        <v>1</v>
      </c>
      <c r="P283" s="1" t="str">
        <f>LEN(IF(Raw!A283="","",Raw!A283))&amp;":"&amp;IF(Raw!A283="","",Raw!A283)&amp;"|"&amp;LEN(IF(Raw!B283="","",Raw!B283))&amp;":"&amp;IF(Raw!B283="","",Raw!B283)&amp;"|"&amp;LEN(IF(Raw!C283="","",Raw!C283))&amp;":"&amp;IF(Raw!C283="","",Raw!C283)&amp;"|"&amp;LEN(IF(Raw!D283="","",Raw!D283))&amp;":"&amp;IF(Raw!D283="","",Raw!D283)&amp;"|"&amp;LEN(IF(Raw!E283="","",Raw!E283))&amp;":"&amp;IF(Raw!E283="","",Raw!E283)&amp;"|"&amp;LEN(IF(Raw!F283="","",Raw!F283))&amp;":"&amp;IF(Raw!F283="","",Raw!F283)&amp;"|"&amp;LEN(IF(Raw!G283="","",Raw!G283))&amp;":"&amp;IF(Raw!G283="","",Raw!G283)</f>
        <v>6:L00277|6:T00139|10:2026-03-08|3:P-A|11:Accessories|6:refund|7:-321.33</v>
      </c>
      <c r="Q283" s="1">
        <f>1</f>
        <v>1</v>
      </c>
      <c r="R283" s="1" t="b">
        <f>FALSE</f>
        <v>0</v>
      </c>
      <c r="S283" s="1">
        <f>1</f>
        <v>1</v>
      </c>
      <c r="T283" s="1" t="str">
        <f>IF(AND(Raw!A283="",Raw!B283="",Raw!C283="",Raw!D283="",Raw!E283="",Raw!F283="",Raw!G283=""),"UNUSED",IF(A283="","missing line ID",IF(B283="","missing transaction ID",IF(G283="",IF(C283="","missing date","invalid date"),IF(I283="","unknown product",IF(J283="","conflicting category",IF(NOT(OR(EXACT(K283,"sale"),EXACT(K283,"refund"))),"unknown event",IF(OR(N283="",NOT(O283)),"invalid amount",IF(OR(AND(K283="sale",N283&lt;=0),AND(K283="refund",N283&gt;=0)),"invalid sign","")))))))))</f>
        <v/>
      </c>
      <c r="U283" s="1" t="str">
        <f t="shared" si="37"/>
        <v>INCLUDED</v>
      </c>
      <c r="V283" s="1" t="str">
        <f t="shared" si="38"/>
        <v>2026-03</v>
      </c>
      <c r="W283" s="1">
        <f>IF(AND(U283="INCLUDED",X283&gt;0,EXACT(A283,'AI output'!A283)),1,0)</f>
        <v>1</v>
      </c>
      <c r="X283" s="1">
        <f>283</f>
        <v>283</v>
      </c>
      <c r="Y283" s="1">
        <f>IF(AND(U283="INCLUDED",W283=1),--(NOT(EXACT(A283,'AI output'!A283)))+--(NOT(EXACT(B283,'AI output'!B283)))+--(NOT(EXACT(TEXT(G283,"yyyy-mm-dd"),'AI output'!C283)))+--(NOT(EXACT(H283,'AI output'!D283)))+--(NOT(EXACT(J283,'AI output'!E283)))+--(NOT(EXACT(K283,'AI output'!F283)))+--(N283&lt;&gt;'AI output'!L283)+--(NOT('AI output'!M283)),0)</f>
        <v>0</v>
      </c>
      <c r="Z283" s="1">
        <f t="shared" si="39"/>
        <v>0</v>
      </c>
      <c r="AA283" s="1">
        <f>--EXACT(A283,"L00277")</f>
        <v>1</v>
      </c>
    </row>
    <row r="284" spans="1:27" ht="18.95" customHeight="1">
      <c r="A284" s="1" t="str">
        <f>IF(Raw!A284="","",Raw!A284)</f>
        <v>L00278</v>
      </c>
      <c r="B284" s="1" t="str">
        <f>IF(Raw!B284="","",Raw!B284)</f>
        <v>T00139</v>
      </c>
      <c r="C284" s="1" t="str">
        <f>IF(Raw!C284="","",Raw!C284)</f>
        <v>2026-03-08</v>
      </c>
      <c r="D284" s="1">
        <f t="shared" si="32"/>
        <v>2026</v>
      </c>
      <c r="E284" s="1">
        <f>IFERROR(IF(AND(LEN(C284)=10,MID(C284,5,1)="-",MID(C284,8,1)="-"),VALUE(MID(C284,6,2)),IF(AND(LEN(C284)=11,MID(C284,3,1)="-",MID(C284,7,1)="-"),MATCH(UPPER(MID(C284,4,3)),Guide!$D$7:$D$18,0),0)),0)</f>
        <v>3</v>
      </c>
      <c r="F284" s="1">
        <f t="shared" si="33"/>
        <v>8</v>
      </c>
      <c r="G284" s="9">
        <f t="shared" si="34"/>
        <v>46089</v>
      </c>
      <c r="H284" s="1" t="str">
        <f>IF(Raw!D284="","",Raw!D284)</f>
        <v>P-H</v>
      </c>
      <c r="I284" s="1" t="str">
        <f>IFERROR(IF(EXACT(H284,INDEX(Guide!$A$7:$A$9,MATCH(SUBSTITUTE(SUBSTITUTE(SUBSTITUTE(H284,"~","~~"),"*","~*"),"?","~?"),Guide!$A$7:$A$9,0))),INDEX(Guide!$B$7:$B$9,MATCH(SUBSTITUTE(SUBSTITUTE(SUBSTITUTE(H284,"~","~~"),"*","~*"),"?","~?"),Guide!$A$7:$A$9,0)),""),"")</f>
        <v>Home</v>
      </c>
      <c r="J284" s="1" t="str">
        <f>IF(TRIM(Raw!E284)="",I284,IF(UPPER(TRIM(Raw!E284))=UPPER(I284),I284,""))</f>
        <v>Home</v>
      </c>
      <c r="K284" s="1" t="str">
        <f>IF(Raw!F284="","",Raw!F284)</f>
        <v>sale</v>
      </c>
      <c r="L284" s="1" t="str">
        <f>IF(LEFT(TRIM(Raw!G284),2)="-$","-"&amp;MID(TRIM(Raw!G284),3,99),IF(LEFT(TRIM(Raw!G284),1)="$",MID(TRIM(Raw!G284),2,99),TRIM(Raw!G284)))</f>
        <v>537.40</v>
      </c>
      <c r="M284" s="1">
        <f t="shared" si="35"/>
        <v>537.4</v>
      </c>
      <c r="N284" s="10">
        <f t="shared" si="36"/>
        <v>53740</v>
      </c>
      <c r="O284" s="1" t="b">
        <f>IFERROR(IF(ISNUMBER(Raw!G284),TRUE,OR(EXACT(L284,TEXT(M284,"0.00")),EXACT(L284,TEXT(M284,"#,##0.00")))),FALSE)</f>
        <v>1</v>
      </c>
      <c r="P284" s="1" t="str">
        <f>LEN(IF(Raw!A284="","",Raw!A284))&amp;":"&amp;IF(Raw!A284="","",Raw!A284)&amp;"|"&amp;LEN(IF(Raw!B284="","",Raw!B284))&amp;":"&amp;IF(Raw!B284="","",Raw!B284)&amp;"|"&amp;LEN(IF(Raw!C284="","",Raw!C284))&amp;":"&amp;IF(Raw!C284="","",Raw!C284)&amp;"|"&amp;LEN(IF(Raw!D284="","",Raw!D284))&amp;":"&amp;IF(Raw!D284="","",Raw!D284)&amp;"|"&amp;LEN(IF(Raw!E284="","",Raw!E284))&amp;":"&amp;IF(Raw!E284="","",Raw!E284)&amp;"|"&amp;LEN(IF(Raw!F284="","",Raw!F284))&amp;":"&amp;IF(Raw!F284="","",Raw!F284)&amp;"|"&amp;LEN(IF(Raw!G284="","",Raw!G284))&amp;":"&amp;IF(Raw!G284="","",Raw!G284)</f>
        <v>6:L00278|6:T00139|10:2026-03-08|3:P-H|4:Home|4:sale|6:537.40</v>
      </c>
      <c r="Q284" s="1">
        <f>1</f>
        <v>1</v>
      </c>
      <c r="R284" s="1" t="b">
        <f>FALSE</f>
        <v>0</v>
      </c>
      <c r="S284" s="1">
        <f>1</f>
        <v>1</v>
      </c>
      <c r="T284" s="1" t="str">
        <f>IF(AND(Raw!A284="",Raw!B284="",Raw!C284="",Raw!D284="",Raw!E284="",Raw!F284="",Raw!G284=""),"UNUSED",IF(A284="","missing line ID",IF(B284="","missing transaction ID",IF(G284="",IF(C284="","missing date","invalid date"),IF(I284="","unknown product",IF(J284="","conflicting category",IF(NOT(OR(EXACT(K284,"sale"),EXACT(K284,"refund"))),"unknown event",IF(OR(N284="",NOT(O284)),"invalid amount",IF(OR(AND(K284="sale",N284&lt;=0),AND(K284="refund",N284&gt;=0)),"invalid sign","")))))))))</f>
        <v/>
      </c>
      <c r="U284" s="1" t="str">
        <f t="shared" si="37"/>
        <v>INCLUDED</v>
      </c>
      <c r="V284" s="1" t="str">
        <f t="shared" si="38"/>
        <v>2026-03</v>
      </c>
      <c r="W284" s="1">
        <f>IF(AND(U284="INCLUDED",X284&gt;0,EXACT(A284,'AI output'!A284)),1,0)</f>
        <v>1</v>
      </c>
      <c r="X284" s="1">
        <f>284</f>
        <v>284</v>
      </c>
      <c r="Y284" s="1">
        <f>IF(AND(U284="INCLUDED",W284=1),--(NOT(EXACT(A284,'AI output'!A284)))+--(NOT(EXACT(B284,'AI output'!B284)))+--(NOT(EXACT(TEXT(G284,"yyyy-mm-dd"),'AI output'!C284)))+--(NOT(EXACT(H284,'AI output'!D284)))+--(NOT(EXACT(J284,'AI output'!E284)))+--(NOT(EXACT(K284,'AI output'!F284)))+--(N284&lt;&gt;'AI output'!L284)+--(NOT('AI output'!M284)),0)</f>
        <v>0</v>
      </c>
      <c r="Z284" s="1">
        <f t="shared" si="39"/>
        <v>0</v>
      </c>
      <c r="AA284" s="1">
        <f>--EXACT(A284,"L00278")</f>
        <v>1</v>
      </c>
    </row>
    <row r="285" spans="1:27" ht="18.95" customHeight="1">
      <c r="A285" s="1" t="str">
        <f>IF(Raw!A285="","",Raw!A285)</f>
        <v>L00279</v>
      </c>
      <c r="B285" s="1" t="str">
        <f>IF(Raw!B285="","",Raw!B285)</f>
        <v>T00140</v>
      </c>
      <c r="C285" s="1" t="str">
        <f>IF(Raw!C285="","",Raw!C285)</f>
        <v>2026-03-15</v>
      </c>
      <c r="D285" s="1">
        <f t="shared" si="32"/>
        <v>2026</v>
      </c>
      <c r="E285" s="1">
        <f>IFERROR(IF(AND(LEN(C285)=10,MID(C285,5,1)="-",MID(C285,8,1)="-"),VALUE(MID(C285,6,2)),IF(AND(LEN(C285)=11,MID(C285,3,1)="-",MID(C285,7,1)="-"),MATCH(UPPER(MID(C285,4,3)),Guide!$D$7:$D$18,0),0)),0)</f>
        <v>3</v>
      </c>
      <c r="F285" s="1">
        <f t="shared" si="33"/>
        <v>15</v>
      </c>
      <c r="G285" s="9">
        <f t="shared" si="34"/>
        <v>46096</v>
      </c>
      <c r="H285" s="1" t="str">
        <f>IF(Raw!D285="","",Raw!D285)</f>
        <v>P-O</v>
      </c>
      <c r="I285" s="1" t="str">
        <f>IFERROR(IF(EXACT(H285,INDEX(Guide!$A$7:$A$9,MATCH(SUBSTITUTE(SUBSTITUTE(SUBSTITUTE(H285,"~","~~"),"*","~*"),"?","~?"),Guide!$A$7:$A$9,0))),INDEX(Guide!$B$7:$B$9,MATCH(SUBSTITUTE(SUBSTITUTE(SUBSTITUTE(H285,"~","~~"),"*","~*"),"?","~?"),Guide!$A$7:$A$9,0)),""),"")</f>
        <v>Office</v>
      </c>
      <c r="J285" s="1" t="str">
        <f>IF(TRIM(Raw!E285)="",I285,IF(UPPER(TRIM(Raw!E285))=UPPER(I285),I285,""))</f>
        <v>Office</v>
      </c>
      <c r="K285" s="1" t="str">
        <f>IF(Raw!F285="","",Raw!F285)</f>
        <v>sale</v>
      </c>
      <c r="L285" s="1" t="str">
        <f>IF(LEFT(TRIM(Raw!G285),2)="-$","-"&amp;MID(TRIM(Raw!G285),3,99),IF(LEFT(TRIM(Raw!G285),1)="$",MID(TRIM(Raw!G285),2,99),TRIM(Raw!G285)))</f>
        <v>215.70</v>
      </c>
      <c r="M285" s="1">
        <f t="shared" si="35"/>
        <v>215.7</v>
      </c>
      <c r="N285" s="10">
        <f t="shared" si="36"/>
        <v>21570</v>
      </c>
      <c r="O285" s="1" t="b">
        <f>IFERROR(IF(ISNUMBER(Raw!G285),TRUE,OR(EXACT(L285,TEXT(M285,"0.00")),EXACT(L285,TEXT(M285,"#,##0.00")))),FALSE)</f>
        <v>1</v>
      </c>
      <c r="P285" s="1" t="str">
        <f>LEN(IF(Raw!A285="","",Raw!A285))&amp;":"&amp;IF(Raw!A285="","",Raw!A285)&amp;"|"&amp;LEN(IF(Raw!B285="","",Raw!B285))&amp;":"&amp;IF(Raw!B285="","",Raw!B285)&amp;"|"&amp;LEN(IF(Raw!C285="","",Raw!C285))&amp;":"&amp;IF(Raw!C285="","",Raw!C285)&amp;"|"&amp;LEN(IF(Raw!D285="","",Raw!D285))&amp;":"&amp;IF(Raw!D285="","",Raw!D285)&amp;"|"&amp;LEN(IF(Raw!E285="","",Raw!E285))&amp;":"&amp;IF(Raw!E285="","",Raw!E285)&amp;"|"&amp;LEN(IF(Raw!F285="","",Raw!F285))&amp;":"&amp;IF(Raw!F285="","",Raw!F285)&amp;"|"&amp;LEN(IF(Raw!G285="","",Raw!G285))&amp;":"&amp;IF(Raw!G285="","",Raw!G285)</f>
        <v>6:L00279|6:T00140|10:2026-03-15|3:P-O|6:Office|4:sale|6:215.70</v>
      </c>
      <c r="Q285" s="1">
        <f>1</f>
        <v>1</v>
      </c>
      <c r="R285" s="1" t="b">
        <f>FALSE</f>
        <v>0</v>
      </c>
      <c r="S285" s="1">
        <f>1</f>
        <v>1</v>
      </c>
      <c r="T285" s="1" t="str">
        <f>IF(AND(Raw!A285="",Raw!B285="",Raw!C285="",Raw!D285="",Raw!E285="",Raw!F285="",Raw!G285=""),"UNUSED",IF(A285="","missing line ID",IF(B285="","missing transaction ID",IF(G285="",IF(C285="","missing date","invalid date"),IF(I285="","unknown product",IF(J285="","conflicting category",IF(NOT(OR(EXACT(K285,"sale"),EXACT(K285,"refund"))),"unknown event",IF(OR(N285="",NOT(O285)),"invalid amount",IF(OR(AND(K285="sale",N285&lt;=0),AND(K285="refund",N285&gt;=0)),"invalid sign","")))))))))</f>
        <v/>
      </c>
      <c r="U285" s="1" t="str">
        <f t="shared" si="37"/>
        <v>INCLUDED</v>
      </c>
      <c r="V285" s="1" t="str">
        <f t="shared" si="38"/>
        <v>2026-03</v>
      </c>
      <c r="W285" s="1">
        <f>IF(AND(U285="INCLUDED",X285&gt;0,EXACT(A285,'AI output'!A285)),1,0)</f>
        <v>1</v>
      </c>
      <c r="X285" s="1">
        <f>285</f>
        <v>285</v>
      </c>
      <c r="Y285" s="1">
        <f>IF(AND(U285="INCLUDED",W285=1),--(NOT(EXACT(A285,'AI output'!A285)))+--(NOT(EXACT(B285,'AI output'!B285)))+--(NOT(EXACT(TEXT(G285,"yyyy-mm-dd"),'AI output'!C285)))+--(NOT(EXACT(H285,'AI output'!D285)))+--(NOT(EXACT(J285,'AI output'!E285)))+--(NOT(EXACT(K285,'AI output'!F285)))+--(N285&lt;&gt;'AI output'!L285)+--(NOT('AI output'!M285)),0)</f>
        <v>0</v>
      </c>
      <c r="Z285" s="1">
        <f t="shared" si="39"/>
        <v>0</v>
      </c>
      <c r="AA285" s="1">
        <f>--EXACT(A285,"L00279")</f>
        <v>1</v>
      </c>
    </row>
    <row r="286" spans="1:27" ht="18.95" customHeight="1">
      <c r="A286" s="1" t="str">
        <f>IF(Raw!A286="","",Raw!A286)</f>
        <v>L00280</v>
      </c>
      <c r="B286" s="1" t="str">
        <f>IF(Raw!B286="","",Raw!B286)</f>
        <v>T00140</v>
      </c>
      <c r="C286" s="1" t="str">
        <f>IF(Raw!C286="","",Raw!C286)</f>
        <v>2026-03-15</v>
      </c>
      <c r="D286" s="1">
        <f t="shared" si="32"/>
        <v>2026</v>
      </c>
      <c r="E286" s="1">
        <f>IFERROR(IF(AND(LEN(C286)=10,MID(C286,5,1)="-",MID(C286,8,1)="-"),VALUE(MID(C286,6,2)),IF(AND(LEN(C286)=11,MID(C286,3,1)="-",MID(C286,7,1)="-"),MATCH(UPPER(MID(C286,4,3)),Guide!$D$7:$D$18,0),0)),0)</f>
        <v>3</v>
      </c>
      <c r="F286" s="1">
        <f t="shared" si="33"/>
        <v>15</v>
      </c>
      <c r="G286" s="9">
        <f t="shared" si="34"/>
        <v>46096</v>
      </c>
      <c r="H286" s="1" t="str">
        <f>IF(Raw!D286="","",Raw!D286)</f>
        <v>P-A</v>
      </c>
      <c r="I286" s="1" t="str">
        <f>IFERROR(IF(EXACT(H286,INDEX(Guide!$A$7:$A$9,MATCH(SUBSTITUTE(SUBSTITUTE(SUBSTITUTE(H286,"~","~~"),"*","~*"),"?","~?"),Guide!$A$7:$A$9,0))),INDEX(Guide!$B$7:$B$9,MATCH(SUBSTITUTE(SUBSTITUTE(SUBSTITUTE(H286,"~","~~"),"*","~*"),"?","~?"),Guide!$A$7:$A$9,0)),""),"")</f>
        <v>Accessories</v>
      </c>
      <c r="J286" s="1" t="str">
        <f>IF(TRIM(Raw!E286)="",I286,IF(UPPER(TRIM(Raw!E286))=UPPER(I286),I286,""))</f>
        <v>Accessories</v>
      </c>
      <c r="K286" s="1" t="str">
        <f>IF(Raw!F286="","",Raw!F286)</f>
        <v>sale</v>
      </c>
      <c r="L286" s="1" t="str">
        <f>IF(LEFT(TRIM(Raw!G286),2)="-$","-"&amp;MID(TRIM(Raw!G286),3,99),IF(LEFT(TRIM(Raw!G286),1)="$",MID(TRIM(Raw!G286),2,99),TRIM(Raw!G286)))</f>
        <v>432.88</v>
      </c>
      <c r="M286" s="1">
        <f t="shared" si="35"/>
        <v>432.88</v>
      </c>
      <c r="N286" s="10">
        <f t="shared" si="36"/>
        <v>43288</v>
      </c>
      <c r="O286" s="1" t="b">
        <f>IFERROR(IF(ISNUMBER(Raw!G286),TRUE,OR(EXACT(L286,TEXT(M286,"0.00")),EXACT(L286,TEXT(M286,"#,##0.00")))),FALSE)</f>
        <v>1</v>
      </c>
      <c r="P286" s="1" t="str">
        <f>LEN(IF(Raw!A286="","",Raw!A286))&amp;":"&amp;IF(Raw!A286="","",Raw!A286)&amp;"|"&amp;LEN(IF(Raw!B286="","",Raw!B286))&amp;":"&amp;IF(Raw!B286="","",Raw!B286)&amp;"|"&amp;LEN(IF(Raw!C286="","",Raw!C286))&amp;":"&amp;IF(Raw!C286="","",Raw!C286)&amp;"|"&amp;LEN(IF(Raw!D286="","",Raw!D286))&amp;":"&amp;IF(Raw!D286="","",Raw!D286)&amp;"|"&amp;LEN(IF(Raw!E286="","",Raw!E286))&amp;":"&amp;IF(Raw!E286="","",Raw!E286)&amp;"|"&amp;LEN(IF(Raw!F286="","",Raw!F286))&amp;":"&amp;IF(Raw!F286="","",Raw!F286)&amp;"|"&amp;LEN(IF(Raw!G286="","",Raw!G286))&amp;":"&amp;IF(Raw!G286="","",Raw!G286)</f>
        <v>6:L00280|6:T00140|10:2026-03-15|3:P-A|11:Accessories|4:sale|6:432.88</v>
      </c>
      <c r="Q286" s="1">
        <f>1</f>
        <v>1</v>
      </c>
      <c r="R286" s="1" t="b">
        <f>FALSE</f>
        <v>0</v>
      </c>
      <c r="S286" s="1">
        <f>1</f>
        <v>1</v>
      </c>
      <c r="T286" s="1" t="str">
        <f>IF(AND(Raw!A286="",Raw!B286="",Raw!C286="",Raw!D286="",Raw!E286="",Raw!F286="",Raw!G286=""),"UNUSED",IF(A286="","missing line ID",IF(B286="","missing transaction ID",IF(G286="",IF(C286="","missing date","invalid date"),IF(I286="","unknown product",IF(J286="","conflicting category",IF(NOT(OR(EXACT(K286,"sale"),EXACT(K286,"refund"))),"unknown event",IF(OR(N286="",NOT(O286)),"invalid amount",IF(OR(AND(K286="sale",N286&lt;=0),AND(K286="refund",N286&gt;=0)),"invalid sign","")))))))))</f>
        <v/>
      </c>
      <c r="U286" s="1" t="str">
        <f t="shared" si="37"/>
        <v>INCLUDED</v>
      </c>
      <c r="V286" s="1" t="str">
        <f t="shared" si="38"/>
        <v>2026-03</v>
      </c>
      <c r="W286" s="1">
        <f>IF(AND(U286="INCLUDED",X286&gt;0,EXACT(A286,'AI output'!A286)),1,0)</f>
        <v>1</v>
      </c>
      <c r="X286" s="1">
        <f>286</f>
        <v>286</v>
      </c>
      <c r="Y286" s="1">
        <f>IF(AND(U286="INCLUDED",W286=1),--(NOT(EXACT(A286,'AI output'!A286)))+--(NOT(EXACT(B286,'AI output'!B286)))+--(NOT(EXACT(TEXT(G286,"yyyy-mm-dd"),'AI output'!C286)))+--(NOT(EXACT(H286,'AI output'!D286)))+--(NOT(EXACT(J286,'AI output'!E286)))+--(NOT(EXACT(K286,'AI output'!F286)))+--(N286&lt;&gt;'AI output'!L286)+--(NOT('AI output'!M286)),0)</f>
        <v>0</v>
      </c>
      <c r="Z286" s="1">
        <f t="shared" si="39"/>
        <v>0</v>
      </c>
      <c r="AA286" s="1">
        <f>--EXACT(A286,"L00280")</f>
        <v>1</v>
      </c>
    </row>
    <row r="287" spans="1:27" ht="18.95" customHeight="1">
      <c r="A287" s="1" t="str">
        <f>IF(Raw!A287="","",Raw!A287)</f>
        <v>L00281</v>
      </c>
      <c r="B287" s="1" t="str">
        <f>IF(Raw!B287="","",Raw!B287)</f>
        <v>T00141</v>
      </c>
      <c r="C287" s="1" t="str">
        <f>IF(Raw!C287="","",Raw!C287)</f>
        <v>2026-03-22</v>
      </c>
      <c r="D287" s="1">
        <f t="shared" si="32"/>
        <v>2026</v>
      </c>
      <c r="E287" s="1">
        <f>IFERROR(IF(AND(LEN(C287)=10,MID(C287,5,1)="-",MID(C287,8,1)="-"),VALUE(MID(C287,6,2)),IF(AND(LEN(C287)=11,MID(C287,3,1)="-",MID(C287,7,1)="-"),MATCH(UPPER(MID(C287,4,3)),Guide!$D$7:$D$18,0),0)),0)</f>
        <v>3</v>
      </c>
      <c r="F287" s="1">
        <f t="shared" si="33"/>
        <v>22</v>
      </c>
      <c r="G287" s="9">
        <f t="shared" si="34"/>
        <v>46103</v>
      </c>
      <c r="H287" s="1" t="str">
        <f>IF(Raw!D287="","",Raw!D287)</f>
        <v>P-H</v>
      </c>
      <c r="I287" s="1" t="str">
        <f>IFERROR(IF(EXACT(H287,INDEX(Guide!$A$7:$A$9,MATCH(SUBSTITUTE(SUBSTITUTE(SUBSTITUTE(H287,"~","~~"),"*","~*"),"?","~?"),Guide!$A$7:$A$9,0))),INDEX(Guide!$B$7:$B$9,MATCH(SUBSTITUTE(SUBSTITUTE(SUBSTITUTE(H287,"~","~~"),"*","~*"),"?","~?"),Guide!$A$7:$A$9,0)),""),"")</f>
        <v>Home</v>
      </c>
      <c r="J287" s="1" t="str">
        <f>IF(TRIM(Raw!E287)="",I287,IF(UPPER(TRIM(Raw!E287))=UPPER(I287),I287,""))</f>
        <v>Home</v>
      </c>
      <c r="K287" s="1" t="str">
        <f>IF(Raw!F287="","",Raw!F287)</f>
        <v>sale</v>
      </c>
      <c r="L287" s="1" t="str">
        <f>IF(LEFT(TRIM(Raw!G287),2)="-$","-"&amp;MID(TRIM(Raw!G287),3,99),IF(LEFT(TRIM(Raw!G287),1)="$",MID(TRIM(Raw!G287),2,99),TRIM(Raw!G287)))</f>
        <v>108.59</v>
      </c>
      <c r="M287" s="1">
        <f t="shared" si="35"/>
        <v>108.59</v>
      </c>
      <c r="N287" s="10">
        <f t="shared" si="36"/>
        <v>10859</v>
      </c>
      <c r="O287" s="1" t="b">
        <f>IFERROR(IF(ISNUMBER(Raw!G287),TRUE,OR(EXACT(L287,TEXT(M287,"0.00")),EXACT(L287,TEXT(M287,"#,##0.00")))),FALSE)</f>
        <v>1</v>
      </c>
      <c r="P287" s="1" t="str">
        <f>LEN(IF(Raw!A287="","",Raw!A287))&amp;":"&amp;IF(Raw!A287="","",Raw!A287)&amp;"|"&amp;LEN(IF(Raw!B287="","",Raw!B287))&amp;":"&amp;IF(Raw!B287="","",Raw!B287)&amp;"|"&amp;LEN(IF(Raw!C287="","",Raw!C287))&amp;":"&amp;IF(Raw!C287="","",Raw!C287)&amp;"|"&amp;LEN(IF(Raw!D287="","",Raw!D287))&amp;":"&amp;IF(Raw!D287="","",Raw!D287)&amp;"|"&amp;LEN(IF(Raw!E287="","",Raw!E287))&amp;":"&amp;IF(Raw!E287="","",Raw!E287)&amp;"|"&amp;LEN(IF(Raw!F287="","",Raw!F287))&amp;":"&amp;IF(Raw!F287="","",Raw!F287)&amp;"|"&amp;LEN(IF(Raw!G287="","",Raw!G287))&amp;":"&amp;IF(Raw!G287="","",Raw!G287)</f>
        <v>6:L00281|6:T00141|10:2026-03-22|3:P-H|4:Home|4:sale|6:108.59</v>
      </c>
      <c r="Q287" s="1">
        <f>1</f>
        <v>1</v>
      </c>
      <c r="R287" s="1" t="b">
        <f>FALSE</f>
        <v>0</v>
      </c>
      <c r="S287" s="1">
        <f>1</f>
        <v>1</v>
      </c>
      <c r="T287" s="1" t="str">
        <f>IF(AND(Raw!A287="",Raw!B287="",Raw!C287="",Raw!D287="",Raw!E287="",Raw!F287="",Raw!G287=""),"UNUSED",IF(A287="","missing line ID",IF(B287="","missing transaction ID",IF(G287="",IF(C287="","missing date","invalid date"),IF(I287="","unknown product",IF(J287="","conflicting category",IF(NOT(OR(EXACT(K287,"sale"),EXACT(K287,"refund"))),"unknown event",IF(OR(N287="",NOT(O287)),"invalid amount",IF(OR(AND(K287="sale",N287&lt;=0),AND(K287="refund",N287&gt;=0)),"invalid sign","")))))))))</f>
        <v/>
      </c>
      <c r="U287" s="1" t="str">
        <f t="shared" si="37"/>
        <v>INCLUDED</v>
      </c>
      <c r="V287" s="1" t="str">
        <f t="shared" si="38"/>
        <v>2026-03</v>
      </c>
      <c r="W287" s="1">
        <f>IF(AND(U287="INCLUDED",X287&gt;0,EXACT(A287,'AI output'!A287)),1,0)</f>
        <v>1</v>
      </c>
      <c r="X287" s="1">
        <f>287</f>
        <v>287</v>
      </c>
      <c r="Y287" s="1">
        <f>IF(AND(U287="INCLUDED",W287=1),--(NOT(EXACT(A287,'AI output'!A287)))+--(NOT(EXACT(B287,'AI output'!B287)))+--(NOT(EXACT(TEXT(G287,"yyyy-mm-dd"),'AI output'!C287)))+--(NOT(EXACT(H287,'AI output'!D287)))+--(NOT(EXACT(J287,'AI output'!E287)))+--(NOT(EXACT(K287,'AI output'!F287)))+--(N287&lt;&gt;'AI output'!L287)+--(NOT('AI output'!M287)),0)</f>
        <v>0</v>
      </c>
      <c r="Z287" s="1">
        <f t="shared" si="39"/>
        <v>0</v>
      </c>
      <c r="AA287" s="1">
        <f>--EXACT(A287,"L00281")</f>
        <v>1</v>
      </c>
    </row>
    <row r="288" spans="1:27" ht="18.95" customHeight="1">
      <c r="A288" s="1" t="str">
        <f>IF(Raw!A288="","",Raw!A288)</f>
        <v>L00282</v>
      </c>
      <c r="B288" s="1" t="str">
        <f>IF(Raw!B288="","",Raw!B288)</f>
        <v>T00141</v>
      </c>
      <c r="C288" s="1" t="str">
        <f>IF(Raw!C288="","",Raw!C288)</f>
        <v>2026-03-22</v>
      </c>
      <c r="D288" s="1">
        <f t="shared" si="32"/>
        <v>2026</v>
      </c>
      <c r="E288" s="1">
        <f>IFERROR(IF(AND(LEN(C288)=10,MID(C288,5,1)="-",MID(C288,8,1)="-"),VALUE(MID(C288,6,2)),IF(AND(LEN(C288)=11,MID(C288,3,1)="-",MID(C288,7,1)="-"),MATCH(UPPER(MID(C288,4,3)),Guide!$D$7:$D$18,0),0)),0)</f>
        <v>3</v>
      </c>
      <c r="F288" s="1">
        <f t="shared" si="33"/>
        <v>22</v>
      </c>
      <c r="G288" s="9">
        <f t="shared" si="34"/>
        <v>46103</v>
      </c>
      <c r="H288" s="1" t="str">
        <f>IF(Raw!D288="","",Raw!D288)</f>
        <v>P-O</v>
      </c>
      <c r="I288" s="1" t="str">
        <f>IFERROR(IF(EXACT(H288,INDEX(Guide!$A$7:$A$9,MATCH(SUBSTITUTE(SUBSTITUTE(SUBSTITUTE(H288,"~","~~"),"*","~*"),"?","~?"),Guide!$A$7:$A$9,0))),INDEX(Guide!$B$7:$B$9,MATCH(SUBSTITUTE(SUBSTITUTE(SUBSTITUTE(H288,"~","~~"),"*","~*"),"?","~?"),Guide!$A$7:$A$9,0)),""),"")</f>
        <v>Office</v>
      </c>
      <c r="J288" s="1" t="str">
        <f>IF(TRIM(Raw!E288)="",I288,IF(UPPER(TRIM(Raw!E288))=UPPER(I288),I288,""))</f>
        <v>Office</v>
      </c>
      <c r="K288" s="1" t="str">
        <f>IF(Raw!F288="","",Raw!F288)</f>
        <v>sale</v>
      </c>
      <c r="L288" s="1" t="str">
        <f>IF(LEFT(TRIM(Raw!G288),2)="-$","-"&amp;MID(TRIM(Raw!G288),3,99),IF(LEFT(TRIM(Raw!G288),1)="$",MID(TRIM(Raw!G288),2,99),TRIM(Raw!G288)))</f>
        <v>326.88</v>
      </c>
      <c r="M288" s="1">
        <f t="shared" si="35"/>
        <v>326.88</v>
      </c>
      <c r="N288" s="10">
        <f t="shared" si="36"/>
        <v>32688</v>
      </c>
      <c r="O288" s="1" t="b">
        <f>IFERROR(IF(ISNUMBER(Raw!G288),TRUE,OR(EXACT(L288,TEXT(M288,"0.00")),EXACT(L288,TEXT(M288,"#,##0.00")))),FALSE)</f>
        <v>1</v>
      </c>
      <c r="P288" s="1" t="str">
        <f>LEN(IF(Raw!A288="","",Raw!A288))&amp;":"&amp;IF(Raw!A288="","",Raw!A288)&amp;"|"&amp;LEN(IF(Raw!B288="","",Raw!B288))&amp;":"&amp;IF(Raw!B288="","",Raw!B288)&amp;"|"&amp;LEN(IF(Raw!C288="","",Raw!C288))&amp;":"&amp;IF(Raw!C288="","",Raw!C288)&amp;"|"&amp;LEN(IF(Raw!D288="","",Raw!D288))&amp;":"&amp;IF(Raw!D288="","",Raw!D288)&amp;"|"&amp;LEN(IF(Raw!E288="","",Raw!E288))&amp;":"&amp;IF(Raw!E288="","",Raw!E288)&amp;"|"&amp;LEN(IF(Raw!F288="","",Raw!F288))&amp;":"&amp;IF(Raw!F288="","",Raw!F288)&amp;"|"&amp;LEN(IF(Raw!G288="","",Raw!G288))&amp;":"&amp;IF(Raw!G288="","",Raw!G288)</f>
        <v>6:L00282|6:T00141|10:2026-03-22|3:P-O|6:Office|4:sale|6:326.88</v>
      </c>
      <c r="Q288" s="1">
        <f>1</f>
        <v>1</v>
      </c>
      <c r="R288" s="1" t="b">
        <f>FALSE</f>
        <v>0</v>
      </c>
      <c r="S288" s="1">
        <f>1</f>
        <v>1</v>
      </c>
      <c r="T288" s="1" t="str">
        <f>IF(AND(Raw!A288="",Raw!B288="",Raw!C288="",Raw!D288="",Raw!E288="",Raw!F288="",Raw!G288=""),"UNUSED",IF(A288="","missing line ID",IF(B288="","missing transaction ID",IF(G288="",IF(C288="","missing date","invalid date"),IF(I288="","unknown product",IF(J288="","conflicting category",IF(NOT(OR(EXACT(K288,"sale"),EXACT(K288,"refund"))),"unknown event",IF(OR(N288="",NOT(O288)),"invalid amount",IF(OR(AND(K288="sale",N288&lt;=0),AND(K288="refund",N288&gt;=0)),"invalid sign","")))))))))</f>
        <v/>
      </c>
      <c r="U288" s="1" t="str">
        <f t="shared" si="37"/>
        <v>INCLUDED</v>
      </c>
      <c r="V288" s="1" t="str">
        <f t="shared" si="38"/>
        <v>2026-03</v>
      </c>
      <c r="W288" s="1">
        <f>IF(AND(U288="INCLUDED",X288&gt;0,EXACT(A288,'AI output'!A288)),1,0)</f>
        <v>1</v>
      </c>
      <c r="X288" s="1">
        <f>288</f>
        <v>288</v>
      </c>
      <c r="Y288" s="1">
        <f>IF(AND(U288="INCLUDED",W288=1),--(NOT(EXACT(A288,'AI output'!A288)))+--(NOT(EXACT(B288,'AI output'!B288)))+--(NOT(EXACT(TEXT(G288,"yyyy-mm-dd"),'AI output'!C288)))+--(NOT(EXACT(H288,'AI output'!D288)))+--(NOT(EXACT(J288,'AI output'!E288)))+--(NOT(EXACT(K288,'AI output'!F288)))+--(N288&lt;&gt;'AI output'!L288)+--(NOT('AI output'!M288)),0)</f>
        <v>0</v>
      </c>
      <c r="Z288" s="1">
        <f t="shared" si="39"/>
        <v>0</v>
      </c>
      <c r="AA288" s="1">
        <f>--EXACT(A288,"L00282")</f>
        <v>1</v>
      </c>
    </row>
    <row r="289" spans="1:27" ht="18.95" customHeight="1">
      <c r="A289" s="1" t="str">
        <f>IF(Raw!A289="","",Raw!A289)</f>
        <v>L00283</v>
      </c>
      <c r="B289" s="1" t="str">
        <f>IF(Raw!B289="","",Raw!B289)</f>
        <v>T00142</v>
      </c>
      <c r="C289" s="1" t="str">
        <f>IF(Raw!C289="","",Raw!C289)</f>
        <v>2026-03-29</v>
      </c>
      <c r="D289" s="1">
        <f t="shared" si="32"/>
        <v>2026</v>
      </c>
      <c r="E289" s="1">
        <f>IFERROR(IF(AND(LEN(C289)=10,MID(C289,5,1)="-",MID(C289,8,1)="-"),VALUE(MID(C289,6,2)),IF(AND(LEN(C289)=11,MID(C289,3,1)="-",MID(C289,7,1)="-"),MATCH(UPPER(MID(C289,4,3)),Guide!$D$7:$D$18,0),0)),0)</f>
        <v>3</v>
      </c>
      <c r="F289" s="1">
        <f t="shared" si="33"/>
        <v>29</v>
      </c>
      <c r="G289" s="9">
        <f t="shared" si="34"/>
        <v>46110</v>
      </c>
      <c r="H289" s="1" t="str">
        <f>IF(Raw!D289="","",Raw!D289)</f>
        <v>P-A</v>
      </c>
      <c r="I289" s="1" t="str">
        <f>IFERROR(IF(EXACT(H289,INDEX(Guide!$A$7:$A$9,MATCH(SUBSTITUTE(SUBSTITUTE(SUBSTITUTE(H289,"~","~~"),"*","~*"),"?","~?"),Guide!$A$7:$A$9,0))),INDEX(Guide!$B$7:$B$9,MATCH(SUBSTITUTE(SUBSTITUTE(SUBSTITUTE(H289,"~","~~"),"*","~*"),"?","~?"),Guide!$A$7:$A$9,0)),""),"")</f>
        <v>Accessories</v>
      </c>
      <c r="J289" s="1" t="str">
        <f>IF(TRIM(Raw!E289)="",I289,IF(UPPER(TRIM(Raw!E289))=UPPER(I289),I289,""))</f>
        <v>Accessories</v>
      </c>
      <c r="K289" s="1" t="str">
        <f>IF(Raw!F289="","",Raw!F289)</f>
        <v>sale</v>
      </c>
      <c r="L289" s="1" t="str">
        <f>IF(LEFT(TRIM(Raw!G289),2)="-$","-"&amp;MID(TRIM(Raw!G289),3,99),IF(LEFT(TRIM(Raw!G289),1)="$",MID(TRIM(Raw!G289),2,99),TRIM(Raw!G289)))</f>
        <v>546.65</v>
      </c>
      <c r="M289" s="1">
        <f t="shared" si="35"/>
        <v>546.65</v>
      </c>
      <c r="N289" s="10">
        <f t="shared" si="36"/>
        <v>54665</v>
      </c>
      <c r="O289" s="1" t="b">
        <f>IFERROR(IF(ISNUMBER(Raw!G289),TRUE,OR(EXACT(L289,TEXT(M289,"0.00")),EXACT(L289,TEXT(M289,"#,##0.00")))),FALSE)</f>
        <v>1</v>
      </c>
      <c r="P289" s="1" t="str">
        <f>LEN(IF(Raw!A289="","",Raw!A289))&amp;":"&amp;IF(Raw!A289="","",Raw!A289)&amp;"|"&amp;LEN(IF(Raw!B289="","",Raw!B289))&amp;":"&amp;IF(Raw!B289="","",Raw!B289)&amp;"|"&amp;LEN(IF(Raw!C289="","",Raw!C289))&amp;":"&amp;IF(Raw!C289="","",Raw!C289)&amp;"|"&amp;LEN(IF(Raw!D289="","",Raw!D289))&amp;":"&amp;IF(Raw!D289="","",Raw!D289)&amp;"|"&amp;LEN(IF(Raw!E289="","",Raw!E289))&amp;":"&amp;IF(Raw!E289="","",Raw!E289)&amp;"|"&amp;LEN(IF(Raw!F289="","",Raw!F289))&amp;":"&amp;IF(Raw!F289="","",Raw!F289)&amp;"|"&amp;LEN(IF(Raw!G289="","",Raw!G289))&amp;":"&amp;IF(Raw!G289="","",Raw!G289)</f>
        <v>6:L00283|6:T00142|10:2026-03-29|3:P-A|11:Accessories|4:sale|6:546.65</v>
      </c>
      <c r="Q289" s="1">
        <f>1</f>
        <v>1</v>
      </c>
      <c r="R289" s="1" t="b">
        <f>FALSE</f>
        <v>0</v>
      </c>
      <c r="S289" s="1">
        <f>1</f>
        <v>1</v>
      </c>
      <c r="T289" s="1" t="str">
        <f>IF(AND(Raw!A289="",Raw!B289="",Raw!C289="",Raw!D289="",Raw!E289="",Raw!F289="",Raw!G289=""),"UNUSED",IF(A289="","missing line ID",IF(B289="","missing transaction ID",IF(G289="",IF(C289="","missing date","invalid date"),IF(I289="","unknown product",IF(J289="","conflicting category",IF(NOT(OR(EXACT(K289,"sale"),EXACT(K289,"refund"))),"unknown event",IF(OR(N289="",NOT(O289)),"invalid amount",IF(OR(AND(K289="sale",N289&lt;=0),AND(K289="refund",N289&gt;=0)),"invalid sign","")))))))))</f>
        <v/>
      </c>
      <c r="U289" s="1" t="str">
        <f t="shared" si="37"/>
        <v>INCLUDED</v>
      </c>
      <c r="V289" s="1" t="str">
        <f t="shared" si="38"/>
        <v>2026-03</v>
      </c>
      <c r="W289" s="1">
        <f>IF(AND(U289="INCLUDED",X289&gt;0,EXACT(A289,'AI output'!A289)),1,0)</f>
        <v>1</v>
      </c>
      <c r="X289" s="1">
        <f>289</f>
        <v>289</v>
      </c>
      <c r="Y289" s="1">
        <f>IF(AND(U289="INCLUDED",W289=1),--(NOT(EXACT(A289,'AI output'!A289)))+--(NOT(EXACT(B289,'AI output'!B289)))+--(NOT(EXACT(TEXT(G289,"yyyy-mm-dd"),'AI output'!C289)))+--(NOT(EXACT(H289,'AI output'!D289)))+--(NOT(EXACT(J289,'AI output'!E289)))+--(NOT(EXACT(K289,'AI output'!F289)))+--(N289&lt;&gt;'AI output'!L289)+--(NOT('AI output'!M289)),0)</f>
        <v>0</v>
      </c>
      <c r="Z289" s="1">
        <f t="shared" si="39"/>
        <v>0</v>
      </c>
      <c r="AA289" s="1">
        <f>--EXACT(A289,"L00283")</f>
        <v>1</v>
      </c>
    </row>
    <row r="290" spans="1:27" ht="18.95" customHeight="1">
      <c r="A290" s="1" t="str">
        <f>IF(Raw!A290="","",Raw!A290)</f>
        <v>L00284</v>
      </c>
      <c r="B290" s="1" t="str">
        <f>IF(Raw!B290="","",Raw!B290)</f>
        <v>T00142</v>
      </c>
      <c r="C290" s="1" t="str">
        <f>IF(Raw!C290="","",Raw!C290)</f>
        <v>2026-03-29</v>
      </c>
      <c r="D290" s="1">
        <f t="shared" si="32"/>
        <v>2026</v>
      </c>
      <c r="E290" s="1">
        <f>IFERROR(IF(AND(LEN(C290)=10,MID(C290,5,1)="-",MID(C290,8,1)="-"),VALUE(MID(C290,6,2)),IF(AND(LEN(C290)=11,MID(C290,3,1)="-",MID(C290,7,1)="-"),MATCH(UPPER(MID(C290,4,3)),Guide!$D$7:$D$18,0),0)),0)</f>
        <v>3</v>
      </c>
      <c r="F290" s="1">
        <f t="shared" si="33"/>
        <v>29</v>
      </c>
      <c r="G290" s="9">
        <f t="shared" si="34"/>
        <v>46110</v>
      </c>
      <c r="H290" s="1" t="str">
        <f>IF(Raw!D290="","",Raw!D290)</f>
        <v>P-H</v>
      </c>
      <c r="I290" s="1" t="str">
        <f>IFERROR(IF(EXACT(H290,INDEX(Guide!$A$7:$A$9,MATCH(SUBSTITUTE(SUBSTITUTE(SUBSTITUTE(H290,"~","~~"),"*","~*"),"?","~?"),Guide!$A$7:$A$9,0))),INDEX(Guide!$B$7:$B$9,MATCH(SUBSTITUTE(SUBSTITUTE(SUBSTITUTE(H290,"~","~~"),"*","~*"),"?","~?"),Guide!$A$7:$A$9,0)),""),"")</f>
        <v>Home</v>
      </c>
      <c r="J290" s="1" t="str">
        <f>IF(TRIM(Raw!E290)="",I290,IF(UPPER(TRIM(Raw!E290))=UPPER(I290),I290,""))</f>
        <v>Home</v>
      </c>
      <c r="K290" s="1" t="str">
        <f>IF(Raw!F290="","",Raw!F290)</f>
        <v>sale</v>
      </c>
      <c r="L290" s="1" t="str">
        <f>IF(LEFT(TRIM(Raw!G290),2)="-$","-"&amp;MID(TRIM(Raw!G290),3,99),IF(LEFT(TRIM(Raw!G290),1)="$",MID(TRIM(Raw!G290),2,99),TRIM(Raw!G290)))</f>
        <v>219.40</v>
      </c>
      <c r="M290" s="1">
        <f t="shared" si="35"/>
        <v>219.4</v>
      </c>
      <c r="N290" s="10">
        <f t="shared" si="36"/>
        <v>21940</v>
      </c>
      <c r="O290" s="1" t="b">
        <f>IFERROR(IF(ISNUMBER(Raw!G290),TRUE,OR(EXACT(L290,TEXT(M290,"0.00")),EXACT(L290,TEXT(M290,"#,##0.00")))),FALSE)</f>
        <v>1</v>
      </c>
      <c r="P290" s="1" t="str">
        <f>LEN(IF(Raw!A290="","",Raw!A290))&amp;":"&amp;IF(Raw!A290="","",Raw!A290)&amp;"|"&amp;LEN(IF(Raw!B290="","",Raw!B290))&amp;":"&amp;IF(Raw!B290="","",Raw!B290)&amp;"|"&amp;LEN(IF(Raw!C290="","",Raw!C290))&amp;":"&amp;IF(Raw!C290="","",Raw!C290)&amp;"|"&amp;LEN(IF(Raw!D290="","",Raw!D290))&amp;":"&amp;IF(Raw!D290="","",Raw!D290)&amp;"|"&amp;LEN(IF(Raw!E290="","",Raw!E290))&amp;":"&amp;IF(Raw!E290="","",Raw!E290)&amp;"|"&amp;LEN(IF(Raw!F290="","",Raw!F290))&amp;":"&amp;IF(Raw!F290="","",Raw!F290)&amp;"|"&amp;LEN(IF(Raw!G290="","",Raw!G290))&amp;":"&amp;IF(Raw!G290="","",Raw!G290)</f>
        <v>6:L00284|6:T00142|10:2026-03-29|3:P-H|4:Home|4:sale|6:219.40</v>
      </c>
      <c r="Q290" s="1">
        <f>1</f>
        <v>1</v>
      </c>
      <c r="R290" s="1" t="b">
        <f>FALSE</f>
        <v>0</v>
      </c>
      <c r="S290" s="1">
        <f>1</f>
        <v>1</v>
      </c>
      <c r="T290" s="1" t="str">
        <f>IF(AND(Raw!A290="",Raw!B290="",Raw!C290="",Raw!D290="",Raw!E290="",Raw!F290="",Raw!G290=""),"UNUSED",IF(A290="","missing line ID",IF(B290="","missing transaction ID",IF(G290="",IF(C290="","missing date","invalid date"),IF(I290="","unknown product",IF(J290="","conflicting category",IF(NOT(OR(EXACT(K290,"sale"),EXACT(K290,"refund"))),"unknown event",IF(OR(N290="",NOT(O290)),"invalid amount",IF(OR(AND(K290="sale",N290&lt;=0),AND(K290="refund",N290&gt;=0)),"invalid sign","")))))))))</f>
        <v/>
      </c>
      <c r="U290" s="1" t="str">
        <f t="shared" si="37"/>
        <v>INCLUDED</v>
      </c>
      <c r="V290" s="1" t="str">
        <f t="shared" si="38"/>
        <v>2026-03</v>
      </c>
      <c r="W290" s="1">
        <f>IF(AND(U290="INCLUDED",X290&gt;0,EXACT(A290,'AI output'!A290)),1,0)</f>
        <v>1</v>
      </c>
      <c r="X290" s="1">
        <f>290</f>
        <v>290</v>
      </c>
      <c r="Y290" s="1">
        <f>IF(AND(U290="INCLUDED",W290=1),--(NOT(EXACT(A290,'AI output'!A290)))+--(NOT(EXACT(B290,'AI output'!B290)))+--(NOT(EXACT(TEXT(G290,"yyyy-mm-dd"),'AI output'!C290)))+--(NOT(EXACT(H290,'AI output'!D290)))+--(NOT(EXACT(J290,'AI output'!E290)))+--(NOT(EXACT(K290,'AI output'!F290)))+--(N290&lt;&gt;'AI output'!L290)+--(NOT('AI output'!M290)),0)</f>
        <v>0</v>
      </c>
      <c r="Z290" s="1">
        <f t="shared" si="39"/>
        <v>0</v>
      </c>
      <c r="AA290" s="1">
        <f>--EXACT(A290,"L00284")</f>
        <v>1</v>
      </c>
    </row>
    <row r="291" spans="1:27" ht="18.95" customHeight="1">
      <c r="A291" s="1" t="str">
        <f>IF(Raw!A291="","",Raw!A291)</f>
        <v>L00285</v>
      </c>
      <c r="B291" s="1" t="str">
        <f>IF(Raw!B291="","",Raw!B291)</f>
        <v>T00143</v>
      </c>
      <c r="C291" s="1" t="str">
        <f>IF(Raw!C291="","",Raw!C291)</f>
        <v>2026-01-05</v>
      </c>
      <c r="D291" s="1">
        <f t="shared" si="32"/>
        <v>2026</v>
      </c>
      <c r="E291" s="1">
        <f>IFERROR(IF(AND(LEN(C291)=10,MID(C291,5,1)="-",MID(C291,8,1)="-"),VALUE(MID(C291,6,2)),IF(AND(LEN(C291)=11,MID(C291,3,1)="-",MID(C291,7,1)="-"),MATCH(UPPER(MID(C291,4,3)),Guide!$D$7:$D$18,0),0)),0)</f>
        <v>1</v>
      </c>
      <c r="F291" s="1">
        <f t="shared" si="33"/>
        <v>5</v>
      </c>
      <c r="G291" s="9">
        <f t="shared" si="34"/>
        <v>46027</v>
      </c>
      <c r="H291" s="1" t="str">
        <f>IF(Raw!D291="","",Raw!D291)</f>
        <v>P-O</v>
      </c>
      <c r="I291" s="1" t="str">
        <f>IFERROR(IF(EXACT(H291,INDEX(Guide!$A$7:$A$9,MATCH(SUBSTITUTE(SUBSTITUTE(SUBSTITUTE(H291,"~","~~"),"*","~*"),"?","~?"),Guide!$A$7:$A$9,0))),INDEX(Guide!$B$7:$B$9,MATCH(SUBSTITUTE(SUBSTITUTE(SUBSTITUTE(H291,"~","~~"),"*","~*"),"?","~?"),Guide!$A$7:$A$9,0)),""),"")</f>
        <v>Office</v>
      </c>
      <c r="J291" s="1" t="str">
        <f>IF(TRIM(Raw!E291)="",I291,IF(UPPER(TRIM(Raw!E291))=UPPER(I291),I291,""))</f>
        <v>Office</v>
      </c>
      <c r="K291" s="1" t="str">
        <f>IF(Raw!F291="","",Raw!F291)</f>
        <v>sale</v>
      </c>
      <c r="L291" s="1" t="str">
        <f>IF(LEFT(TRIM(Raw!G291),2)="-$","-"&amp;MID(TRIM(Raw!G291),3,99),IF(LEFT(TRIM(Raw!G291),1)="$",MID(TRIM(Raw!G291),2,99),TRIM(Raw!G291)))</f>
        <v>440.28</v>
      </c>
      <c r="M291" s="1">
        <f t="shared" si="35"/>
        <v>440.28</v>
      </c>
      <c r="N291" s="10">
        <f t="shared" si="36"/>
        <v>44028</v>
      </c>
      <c r="O291" s="1" t="b">
        <f>IFERROR(IF(ISNUMBER(Raw!G291),TRUE,OR(EXACT(L291,TEXT(M291,"0.00")),EXACT(L291,TEXT(M291,"#,##0.00")))),FALSE)</f>
        <v>1</v>
      </c>
      <c r="P291" s="1" t="str">
        <f>LEN(IF(Raw!A291="","",Raw!A291))&amp;":"&amp;IF(Raw!A291="","",Raw!A291)&amp;"|"&amp;LEN(IF(Raw!B291="","",Raw!B291))&amp;":"&amp;IF(Raw!B291="","",Raw!B291)&amp;"|"&amp;LEN(IF(Raw!C291="","",Raw!C291))&amp;":"&amp;IF(Raw!C291="","",Raw!C291)&amp;"|"&amp;LEN(IF(Raw!D291="","",Raw!D291))&amp;":"&amp;IF(Raw!D291="","",Raw!D291)&amp;"|"&amp;LEN(IF(Raw!E291="","",Raw!E291))&amp;":"&amp;IF(Raw!E291="","",Raw!E291)&amp;"|"&amp;LEN(IF(Raw!F291="","",Raw!F291))&amp;":"&amp;IF(Raw!F291="","",Raw!F291)&amp;"|"&amp;LEN(IF(Raw!G291="","",Raw!G291))&amp;":"&amp;IF(Raw!G291="","",Raw!G291)</f>
        <v>6:L00285|6:T00143|10:2026-01-05|3:P-O|6:Office|4:sale|6:440.28</v>
      </c>
      <c r="Q291" s="1">
        <f>1</f>
        <v>1</v>
      </c>
      <c r="R291" s="1" t="b">
        <f>FALSE</f>
        <v>0</v>
      </c>
      <c r="S291" s="1">
        <f>1</f>
        <v>1</v>
      </c>
      <c r="T291" s="1" t="str">
        <f>IF(AND(Raw!A291="",Raw!B291="",Raw!C291="",Raw!D291="",Raw!E291="",Raw!F291="",Raw!G291=""),"UNUSED",IF(A291="","missing line ID",IF(B291="","missing transaction ID",IF(G291="",IF(C291="","missing date","invalid date"),IF(I291="","unknown product",IF(J291="","conflicting category",IF(NOT(OR(EXACT(K291,"sale"),EXACT(K291,"refund"))),"unknown event",IF(OR(N291="",NOT(O291)),"invalid amount",IF(OR(AND(K291="sale",N291&lt;=0),AND(K291="refund",N291&gt;=0)),"invalid sign","")))))))))</f>
        <v/>
      </c>
      <c r="U291" s="1" t="str">
        <f t="shared" si="37"/>
        <v>INCLUDED</v>
      </c>
      <c r="V291" s="1" t="str">
        <f t="shared" si="38"/>
        <v>2026-01</v>
      </c>
      <c r="W291" s="1">
        <f>IF(AND(U291="INCLUDED",X291&gt;0,EXACT(A291,'AI output'!A291)),1,0)</f>
        <v>1</v>
      </c>
      <c r="X291" s="1">
        <f>291</f>
        <v>291</v>
      </c>
      <c r="Y291" s="1">
        <f>IF(AND(U291="INCLUDED",W291=1),--(NOT(EXACT(A291,'AI output'!A291)))+--(NOT(EXACT(B291,'AI output'!B291)))+--(NOT(EXACT(TEXT(G291,"yyyy-mm-dd"),'AI output'!C291)))+--(NOT(EXACT(H291,'AI output'!D291)))+--(NOT(EXACT(J291,'AI output'!E291)))+--(NOT(EXACT(K291,'AI output'!F291)))+--(N291&lt;&gt;'AI output'!L291)+--(NOT('AI output'!M291)),0)</f>
        <v>0</v>
      </c>
      <c r="Z291" s="1">
        <f t="shared" si="39"/>
        <v>0</v>
      </c>
      <c r="AA291" s="1">
        <f>--EXACT(A291,"L00285")</f>
        <v>1</v>
      </c>
    </row>
    <row r="292" spans="1:27" ht="18.95" customHeight="1">
      <c r="A292" s="1" t="str">
        <f>IF(Raw!A292="","",Raw!A292)</f>
        <v>L00286</v>
      </c>
      <c r="B292" s="1" t="str">
        <f>IF(Raw!B292="","",Raw!B292)</f>
        <v>T00143</v>
      </c>
      <c r="C292" s="1" t="str">
        <f>IF(Raw!C292="","",Raw!C292)</f>
        <v>2026-01-05</v>
      </c>
      <c r="D292" s="1">
        <f t="shared" si="32"/>
        <v>2026</v>
      </c>
      <c r="E292" s="1">
        <f>IFERROR(IF(AND(LEN(C292)=10,MID(C292,5,1)="-",MID(C292,8,1)="-"),VALUE(MID(C292,6,2)),IF(AND(LEN(C292)=11,MID(C292,3,1)="-",MID(C292,7,1)="-"),MATCH(UPPER(MID(C292,4,3)),Guide!$D$7:$D$18,0),0)),0)</f>
        <v>1</v>
      </c>
      <c r="F292" s="1">
        <f t="shared" si="33"/>
        <v>5</v>
      </c>
      <c r="G292" s="9">
        <f t="shared" si="34"/>
        <v>46027</v>
      </c>
      <c r="H292" s="1" t="str">
        <f>IF(Raw!D292="","",Raw!D292)</f>
        <v>P-A</v>
      </c>
      <c r="I292" s="1" t="str">
        <f>IFERROR(IF(EXACT(H292,INDEX(Guide!$A$7:$A$9,MATCH(SUBSTITUTE(SUBSTITUTE(SUBSTITUTE(H292,"~","~~"),"*","~*"),"?","~?"),Guide!$A$7:$A$9,0))),INDEX(Guide!$B$7:$B$9,MATCH(SUBSTITUTE(SUBSTITUTE(SUBSTITUTE(H292,"~","~~"),"*","~*"),"?","~?"),Guide!$A$7:$A$9,0)),""),"")</f>
        <v>Accessories</v>
      </c>
      <c r="J292" s="1" t="str">
        <f>IF(TRIM(Raw!E292)="",I292,IF(UPPER(TRIM(Raw!E292))=UPPER(I292),I292,""))</f>
        <v>Accessories</v>
      </c>
      <c r="K292" s="1" t="str">
        <f>IF(Raw!F292="","",Raw!F292)</f>
        <v>sale</v>
      </c>
      <c r="L292" s="1" t="str">
        <f>IF(LEFT(TRIM(Raw!G292),2)="-$","-"&amp;MID(TRIM(Raw!G292),3,99),IF(LEFT(TRIM(Raw!G292),1)="$",MID(TRIM(Raw!G292),2,99),TRIM(Raw!G292)))</f>
        <v>110.44</v>
      </c>
      <c r="M292" s="1">
        <f t="shared" si="35"/>
        <v>110.44</v>
      </c>
      <c r="N292" s="10">
        <f t="shared" si="36"/>
        <v>11044</v>
      </c>
      <c r="O292" s="1" t="b">
        <f>IFERROR(IF(ISNUMBER(Raw!G292),TRUE,OR(EXACT(L292,TEXT(M292,"0.00")),EXACT(L292,TEXT(M292,"#,##0.00")))),FALSE)</f>
        <v>1</v>
      </c>
      <c r="P292" s="1" t="str">
        <f>LEN(IF(Raw!A292="","",Raw!A292))&amp;":"&amp;IF(Raw!A292="","",Raw!A292)&amp;"|"&amp;LEN(IF(Raw!B292="","",Raw!B292))&amp;":"&amp;IF(Raw!B292="","",Raw!B292)&amp;"|"&amp;LEN(IF(Raw!C292="","",Raw!C292))&amp;":"&amp;IF(Raw!C292="","",Raw!C292)&amp;"|"&amp;LEN(IF(Raw!D292="","",Raw!D292))&amp;":"&amp;IF(Raw!D292="","",Raw!D292)&amp;"|"&amp;LEN(IF(Raw!E292="","",Raw!E292))&amp;":"&amp;IF(Raw!E292="","",Raw!E292)&amp;"|"&amp;LEN(IF(Raw!F292="","",Raw!F292))&amp;":"&amp;IF(Raw!F292="","",Raw!F292)&amp;"|"&amp;LEN(IF(Raw!G292="","",Raw!G292))&amp;":"&amp;IF(Raw!G292="","",Raw!G292)</f>
        <v>6:L00286|6:T00143|10:2026-01-05|3:P-A|11:Accessories|4:sale|6:110.44</v>
      </c>
      <c r="Q292" s="1">
        <f>1</f>
        <v>1</v>
      </c>
      <c r="R292" s="1" t="b">
        <f>FALSE</f>
        <v>0</v>
      </c>
      <c r="S292" s="1">
        <f>1</f>
        <v>1</v>
      </c>
      <c r="T292" s="1" t="str">
        <f>IF(AND(Raw!A292="",Raw!B292="",Raw!C292="",Raw!D292="",Raw!E292="",Raw!F292="",Raw!G292=""),"UNUSED",IF(A292="","missing line ID",IF(B292="","missing transaction ID",IF(G292="",IF(C292="","missing date","invalid date"),IF(I292="","unknown product",IF(J292="","conflicting category",IF(NOT(OR(EXACT(K292,"sale"),EXACT(K292,"refund"))),"unknown event",IF(OR(N292="",NOT(O292)),"invalid amount",IF(OR(AND(K292="sale",N292&lt;=0),AND(K292="refund",N292&gt;=0)),"invalid sign","")))))))))</f>
        <v/>
      </c>
      <c r="U292" s="1" t="str">
        <f t="shared" si="37"/>
        <v>INCLUDED</v>
      </c>
      <c r="V292" s="1" t="str">
        <f t="shared" si="38"/>
        <v>2026-01</v>
      </c>
      <c r="W292" s="1">
        <f>IF(AND(U292="INCLUDED",X292&gt;0,EXACT(A292,'AI output'!A292)),1,0)</f>
        <v>1</v>
      </c>
      <c r="X292" s="1">
        <f>292</f>
        <v>292</v>
      </c>
      <c r="Y292" s="1">
        <f>IF(AND(U292="INCLUDED",W292=1),--(NOT(EXACT(A292,'AI output'!A292)))+--(NOT(EXACT(B292,'AI output'!B292)))+--(NOT(EXACT(TEXT(G292,"yyyy-mm-dd"),'AI output'!C292)))+--(NOT(EXACT(H292,'AI output'!D292)))+--(NOT(EXACT(J292,'AI output'!E292)))+--(NOT(EXACT(K292,'AI output'!F292)))+--(N292&lt;&gt;'AI output'!L292)+--(NOT('AI output'!M292)),0)</f>
        <v>0</v>
      </c>
      <c r="Z292" s="1">
        <f t="shared" si="39"/>
        <v>0</v>
      </c>
      <c r="AA292" s="1">
        <f>--EXACT(A292,"L00286")</f>
        <v>1</v>
      </c>
    </row>
    <row r="293" spans="1:27" ht="18.95" customHeight="1">
      <c r="A293" s="1" t="str">
        <f>IF(Raw!A293="","",Raw!A293)</f>
        <v>L00287</v>
      </c>
      <c r="B293" s="1" t="str">
        <f>IF(Raw!B293="","",Raw!B293)</f>
        <v>T00144</v>
      </c>
      <c r="C293" s="1" t="str">
        <f>IF(Raw!C293="","",Raw!C293)</f>
        <v>2026-01-12</v>
      </c>
      <c r="D293" s="1">
        <f t="shared" si="32"/>
        <v>2026</v>
      </c>
      <c r="E293" s="1">
        <f>IFERROR(IF(AND(LEN(C293)=10,MID(C293,5,1)="-",MID(C293,8,1)="-"),VALUE(MID(C293,6,2)),IF(AND(LEN(C293)=11,MID(C293,3,1)="-",MID(C293,7,1)="-"),MATCH(UPPER(MID(C293,4,3)),Guide!$D$7:$D$18,0),0)),0)</f>
        <v>1</v>
      </c>
      <c r="F293" s="1">
        <f t="shared" si="33"/>
        <v>12</v>
      </c>
      <c r="G293" s="9">
        <f t="shared" si="34"/>
        <v>46034</v>
      </c>
      <c r="H293" s="1" t="str">
        <f>IF(Raw!D293="","",Raw!D293)</f>
        <v>P-H</v>
      </c>
      <c r="I293" s="1" t="str">
        <f>IFERROR(IF(EXACT(H293,INDEX(Guide!$A$7:$A$9,MATCH(SUBSTITUTE(SUBSTITUTE(SUBSTITUTE(H293,"~","~~"),"*","~*"),"?","~?"),Guide!$A$7:$A$9,0))),INDEX(Guide!$B$7:$B$9,MATCH(SUBSTITUTE(SUBSTITUTE(SUBSTITUTE(H293,"~","~~"),"*","~*"),"?","~?"),Guide!$A$7:$A$9,0)),""),"")</f>
        <v>Home</v>
      </c>
      <c r="J293" s="1" t="str">
        <f>IF(TRIM(Raw!E293)="",I293,IF(UPPER(TRIM(Raw!E293))=UPPER(I293),I293,""))</f>
        <v>Home</v>
      </c>
      <c r="K293" s="1" t="str">
        <f>IF(Raw!F293="","",Raw!F293)</f>
        <v>sale</v>
      </c>
      <c r="L293" s="1" t="str">
        <f>IF(LEFT(TRIM(Raw!G293),2)="-$","-"&amp;MID(TRIM(Raw!G293),3,99),IF(LEFT(TRIM(Raw!G293),1)="$",MID(TRIM(Raw!G293),2,99),TRIM(Raw!G293)))</f>
        <v>332.43</v>
      </c>
      <c r="M293" s="1">
        <f t="shared" si="35"/>
        <v>332.43</v>
      </c>
      <c r="N293" s="10">
        <f t="shared" si="36"/>
        <v>33243</v>
      </c>
      <c r="O293" s="1" t="b">
        <f>IFERROR(IF(ISNUMBER(Raw!G293),TRUE,OR(EXACT(L293,TEXT(M293,"0.00")),EXACT(L293,TEXT(M293,"#,##0.00")))),FALSE)</f>
        <v>1</v>
      </c>
      <c r="P293" s="1" t="str">
        <f>LEN(IF(Raw!A293="","",Raw!A293))&amp;":"&amp;IF(Raw!A293="","",Raw!A293)&amp;"|"&amp;LEN(IF(Raw!B293="","",Raw!B293))&amp;":"&amp;IF(Raw!B293="","",Raw!B293)&amp;"|"&amp;LEN(IF(Raw!C293="","",Raw!C293))&amp;":"&amp;IF(Raw!C293="","",Raw!C293)&amp;"|"&amp;LEN(IF(Raw!D293="","",Raw!D293))&amp;":"&amp;IF(Raw!D293="","",Raw!D293)&amp;"|"&amp;LEN(IF(Raw!E293="","",Raw!E293))&amp;":"&amp;IF(Raw!E293="","",Raw!E293)&amp;"|"&amp;LEN(IF(Raw!F293="","",Raw!F293))&amp;":"&amp;IF(Raw!F293="","",Raw!F293)&amp;"|"&amp;LEN(IF(Raw!G293="","",Raw!G293))&amp;":"&amp;IF(Raw!G293="","",Raw!G293)</f>
        <v>6:L00287|6:T00144|10:2026-01-12|3:P-H|4:Home|4:sale|6:332.43</v>
      </c>
      <c r="Q293" s="1">
        <f>1</f>
        <v>1</v>
      </c>
      <c r="R293" s="1" t="b">
        <f>FALSE</f>
        <v>0</v>
      </c>
      <c r="S293" s="1">
        <f>1</f>
        <v>1</v>
      </c>
      <c r="T293" s="1" t="str">
        <f>IF(AND(Raw!A293="",Raw!B293="",Raw!C293="",Raw!D293="",Raw!E293="",Raw!F293="",Raw!G293=""),"UNUSED",IF(A293="","missing line ID",IF(B293="","missing transaction ID",IF(G293="",IF(C293="","missing date","invalid date"),IF(I293="","unknown product",IF(J293="","conflicting category",IF(NOT(OR(EXACT(K293,"sale"),EXACT(K293,"refund"))),"unknown event",IF(OR(N293="",NOT(O293)),"invalid amount",IF(OR(AND(K293="sale",N293&lt;=0),AND(K293="refund",N293&gt;=0)),"invalid sign","")))))))))</f>
        <v/>
      </c>
      <c r="U293" s="1" t="str">
        <f t="shared" si="37"/>
        <v>INCLUDED</v>
      </c>
      <c r="V293" s="1" t="str">
        <f t="shared" si="38"/>
        <v>2026-01</v>
      </c>
      <c r="W293" s="1">
        <f>IF(AND(U293="INCLUDED",X293&gt;0,EXACT(A293,'AI output'!A293)),1,0)</f>
        <v>1</v>
      </c>
      <c r="X293" s="1">
        <f>293</f>
        <v>293</v>
      </c>
      <c r="Y293" s="1">
        <f>IF(AND(U293="INCLUDED",W293=1),--(NOT(EXACT(A293,'AI output'!A293)))+--(NOT(EXACT(B293,'AI output'!B293)))+--(NOT(EXACT(TEXT(G293,"yyyy-mm-dd"),'AI output'!C293)))+--(NOT(EXACT(H293,'AI output'!D293)))+--(NOT(EXACT(J293,'AI output'!E293)))+--(NOT(EXACT(K293,'AI output'!F293)))+--(N293&lt;&gt;'AI output'!L293)+--(NOT('AI output'!M293)),0)</f>
        <v>0</v>
      </c>
      <c r="Z293" s="1">
        <f t="shared" si="39"/>
        <v>0</v>
      </c>
      <c r="AA293" s="1">
        <f>--EXACT(A293,"L00287")</f>
        <v>1</v>
      </c>
    </row>
    <row r="294" spans="1:27" ht="18.95" customHeight="1">
      <c r="A294" s="1" t="str">
        <f>IF(Raw!A294="","",Raw!A294)</f>
        <v>L00288</v>
      </c>
      <c r="B294" s="1" t="str">
        <f>IF(Raw!B294="","",Raw!B294)</f>
        <v>T00144</v>
      </c>
      <c r="C294" s="1" t="str">
        <f>IF(Raw!C294="","",Raw!C294)</f>
        <v>2026-01-12</v>
      </c>
      <c r="D294" s="1">
        <f t="shared" si="32"/>
        <v>2026</v>
      </c>
      <c r="E294" s="1">
        <f>IFERROR(IF(AND(LEN(C294)=10,MID(C294,5,1)="-",MID(C294,8,1)="-"),VALUE(MID(C294,6,2)),IF(AND(LEN(C294)=11,MID(C294,3,1)="-",MID(C294,7,1)="-"),MATCH(UPPER(MID(C294,4,3)),Guide!$D$7:$D$18,0),0)),0)</f>
        <v>1</v>
      </c>
      <c r="F294" s="1">
        <f t="shared" si="33"/>
        <v>12</v>
      </c>
      <c r="G294" s="9">
        <f t="shared" si="34"/>
        <v>46034</v>
      </c>
      <c r="H294" s="1" t="str">
        <f>IF(Raw!D294="","",Raw!D294)</f>
        <v>P-O</v>
      </c>
      <c r="I294" s="1" t="str">
        <f>IFERROR(IF(EXACT(H294,INDEX(Guide!$A$7:$A$9,MATCH(SUBSTITUTE(SUBSTITUTE(SUBSTITUTE(H294,"~","~~"),"*","~*"),"?","~?"),Guide!$A$7:$A$9,0))),INDEX(Guide!$B$7:$B$9,MATCH(SUBSTITUTE(SUBSTITUTE(SUBSTITUTE(H294,"~","~~"),"*","~*"),"?","~?"),Guide!$A$7:$A$9,0)),""),"")</f>
        <v>Office</v>
      </c>
      <c r="J294" s="1" t="str">
        <f>IF(TRIM(Raw!E294)="",I294,IF(UPPER(TRIM(Raw!E294))=UPPER(I294),I294,""))</f>
        <v>Office</v>
      </c>
      <c r="K294" s="1" t="str">
        <f>IF(Raw!F294="","",Raw!F294)</f>
        <v>sale</v>
      </c>
      <c r="L294" s="1" t="str">
        <f>IF(LEFT(TRIM(Raw!G294),2)="-$","-"&amp;MID(TRIM(Raw!G294),3,99),IF(LEFT(TRIM(Raw!G294),1)="$",MID(TRIM(Raw!G294),2,99),TRIM(Raw!G294)))</f>
        <v>555.90</v>
      </c>
      <c r="M294" s="1">
        <f t="shared" si="35"/>
        <v>555.9</v>
      </c>
      <c r="N294" s="10">
        <f t="shared" si="36"/>
        <v>55590</v>
      </c>
      <c r="O294" s="1" t="b">
        <f>IFERROR(IF(ISNUMBER(Raw!G294),TRUE,OR(EXACT(L294,TEXT(M294,"0.00")),EXACT(L294,TEXT(M294,"#,##0.00")))),FALSE)</f>
        <v>1</v>
      </c>
      <c r="P294" s="1" t="str">
        <f>LEN(IF(Raw!A294="","",Raw!A294))&amp;":"&amp;IF(Raw!A294="","",Raw!A294)&amp;"|"&amp;LEN(IF(Raw!B294="","",Raw!B294))&amp;":"&amp;IF(Raw!B294="","",Raw!B294)&amp;"|"&amp;LEN(IF(Raw!C294="","",Raw!C294))&amp;":"&amp;IF(Raw!C294="","",Raw!C294)&amp;"|"&amp;LEN(IF(Raw!D294="","",Raw!D294))&amp;":"&amp;IF(Raw!D294="","",Raw!D294)&amp;"|"&amp;LEN(IF(Raw!E294="","",Raw!E294))&amp;":"&amp;IF(Raw!E294="","",Raw!E294)&amp;"|"&amp;LEN(IF(Raw!F294="","",Raw!F294))&amp;":"&amp;IF(Raw!F294="","",Raw!F294)&amp;"|"&amp;LEN(IF(Raw!G294="","",Raw!G294))&amp;":"&amp;IF(Raw!G294="","",Raw!G294)</f>
        <v>6:L00288|6:T00144|10:2026-01-12|3:P-O|6:Office|4:sale|6:555.90</v>
      </c>
      <c r="Q294" s="1">
        <f>1</f>
        <v>1</v>
      </c>
      <c r="R294" s="1" t="b">
        <f>FALSE</f>
        <v>0</v>
      </c>
      <c r="S294" s="1">
        <f>1</f>
        <v>1</v>
      </c>
      <c r="T294" s="1" t="str">
        <f>IF(AND(Raw!A294="",Raw!B294="",Raw!C294="",Raw!D294="",Raw!E294="",Raw!F294="",Raw!G294=""),"UNUSED",IF(A294="","missing line ID",IF(B294="","missing transaction ID",IF(G294="",IF(C294="","missing date","invalid date"),IF(I294="","unknown product",IF(J294="","conflicting category",IF(NOT(OR(EXACT(K294,"sale"),EXACT(K294,"refund"))),"unknown event",IF(OR(N294="",NOT(O294)),"invalid amount",IF(OR(AND(K294="sale",N294&lt;=0),AND(K294="refund",N294&gt;=0)),"invalid sign","")))))))))</f>
        <v/>
      </c>
      <c r="U294" s="1" t="str">
        <f t="shared" si="37"/>
        <v>INCLUDED</v>
      </c>
      <c r="V294" s="1" t="str">
        <f t="shared" si="38"/>
        <v>2026-01</v>
      </c>
      <c r="W294" s="1">
        <f>IF(AND(U294="INCLUDED",X294&gt;0,EXACT(A294,'AI output'!A294)),1,0)</f>
        <v>1</v>
      </c>
      <c r="X294" s="1">
        <f>294</f>
        <v>294</v>
      </c>
      <c r="Y294" s="1">
        <f>IF(AND(U294="INCLUDED",W294=1),--(NOT(EXACT(A294,'AI output'!A294)))+--(NOT(EXACT(B294,'AI output'!B294)))+--(NOT(EXACT(TEXT(G294,"yyyy-mm-dd"),'AI output'!C294)))+--(NOT(EXACT(H294,'AI output'!D294)))+--(NOT(EXACT(J294,'AI output'!E294)))+--(NOT(EXACT(K294,'AI output'!F294)))+--(N294&lt;&gt;'AI output'!L294)+--(NOT('AI output'!M294)),0)</f>
        <v>0</v>
      </c>
      <c r="Z294" s="1">
        <f t="shared" si="39"/>
        <v>0</v>
      </c>
      <c r="AA294" s="1">
        <f>--EXACT(A294,"L00288")</f>
        <v>1</v>
      </c>
    </row>
    <row r="295" spans="1:27" ht="18.95" customHeight="1">
      <c r="A295" s="1" t="str">
        <f>IF(Raw!A295="","",Raw!A295)</f>
        <v>L00289</v>
      </c>
      <c r="B295" s="1" t="str">
        <f>IF(Raw!B295="","",Raw!B295)</f>
        <v>T00145</v>
      </c>
      <c r="C295" s="1" t="str">
        <f>IF(Raw!C295="","",Raw!C295)</f>
        <v>2026-01-19</v>
      </c>
      <c r="D295" s="1">
        <f t="shared" si="32"/>
        <v>2026</v>
      </c>
      <c r="E295" s="1">
        <f>IFERROR(IF(AND(LEN(C295)=10,MID(C295,5,1)="-",MID(C295,8,1)="-"),VALUE(MID(C295,6,2)),IF(AND(LEN(C295)=11,MID(C295,3,1)="-",MID(C295,7,1)="-"),MATCH(UPPER(MID(C295,4,3)),Guide!$D$7:$D$18,0),0)),0)</f>
        <v>1</v>
      </c>
      <c r="F295" s="1">
        <f t="shared" si="33"/>
        <v>19</v>
      </c>
      <c r="G295" s="9">
        <f t="shared" si="34"/>
        <v>46041</v>
      </c>
      <c r="H295" s="1" t="str">
        <f>IF(Raw!D295="","",Raw!D295)</f>
        <v>P-A</v>
      </c>
      <c r="I295" s="1" t="str">
        <f>IFERROR(IF(EXACT(H295,INDEX(Guide!$A$7:$A$9,MATCH(SUBSTITUTE(SUBSTITUTE(SUBSTITUTE(H295,"~","~~"),"*","~*"),"?","~?"),Guide!$A$7:$A$9,0))),INDEX(Guide!$B$7:$B$9,MATCH(SUBSTITUTE(SUBSTITUTE(SUBSTITUTE(H295,"~","~~"),"*","~*"),"?","~?"),Guide!$A$7:$A$9,0)),""),"")</f>
        <v>Accessories</v>
      </c>
      <c r="J295" s="1" t="str">
        <f>IF(TRIM(Raw!E295)="",I295,IF(UPPER(TRIM(Raw!E295))=UPPER(I295),I295,""))</f>
        <v>Accessories</v>
      </c>
      <c r="K295" s="1" t="str">
        <f>IF(Raw!F295="","",Raw!F295)</f>
        <v>sale</v>
      </c>
      <c r="L295" s="1" t="str">
        <f>IF(LEFT(TRIM(Raw!G295),2)="-$","-"&amp;MID(TRIM(Raw!G295),3,99),IF(LEFT(TRIM(Raw!G295),1)="$",MID(TRIM(Raw!G295),2,99),TRIM(Raw!G295)))</f>
        <v>223.10</v>
      </c>
      <c r="M295" s="1">
        <f t="shared" si="35"/>
        <v>223.1</v>
      </c>
      <c r="N295" s="10">
        <f t="shared" si="36"/>
        <v>22310</v>
      </c>
      <c r="O295" s="1" t="b">
        <f>IFERROR(IF(ISNUMBER(Raw!G295),TRUE,OR(EXACT(L295,TEXT(M295,"0.00")),EXACT(L295,TEXT(M295,"#,##0.00")))),FALSE)</f>
        <v>1</v>
      </c>
      <c r="P295" s="1" t="str">
        <f>LEN(IF(Raw!A295="","",Raw!A295))&amp;":"&amp;IF(Raw!A295="","",Raw!A295)&amp;"|"&amp;LEN(IF(Raw!B295="","",Raw!B295))&amp;":"&amp;IF(Raw!B295="","",Raw!B295)&amp;"|"&amp;LEN(IF(Raw!C295="","",Raw!C295))&amp;":"&amp;IF(Raw!C295="","",Raw!C295)&amp;"|"&amp;LEN(IF(Raw!D295="","",Raw!D295))&amp;":"&amp;IF(Raw!D295="","",Raw!D295)&amp;"|"&amp;LEN(IF(Raw!E295="","",Raw!E295))&amp;":"&amp;IF(Raw!E295="","",Raw!E295)&amp;"|"&amp;LEN(IF(Raw!F295="","",Raw!F295))&amp;":"&amp;IF(Raw!F295="","",Raw!F295)&amp;"|"&amp;LEN(IF(Raw!G295="","",Raw!G295))&amp;":"&amp;IF(Raw!G295="","",Raw!G295)</f>
        <v>6:L00289|6:T00145|10:2026-01-19|3:P-A|11:Accessories|4:sale|6:223.10</v>
      </c>
      <c r="Q295" s="1">
        <f>1</f>
        <v>1</v>
      </c>
      <c r="R295" s="1" t="b">
        <f>FALSE</f>
        <v>0</v>
      </c>
      <c r="S295" s="1">
        <f>1</f>
        <v>1</v>
      </c>
      <c r="T295" s="1" t="str">
        <f>IF(AND(Raw!A295="",Raw!B295="",Raw!C295="",Raw!D295="",Raw!E295="",Raw!F295="",Raw!G295=""),"UNUSED",IF(A295="","missing line ID",IF(B295="","missing transaction ID",IF(G295="",IF(C295="","missing date","invalid date"),IF(I295="","unknown product",IF(J295="","conflicting category",IF(NOT(OR(EXACT(K295,"sale"),EXACT(K295,"refund"))),"unknown event",IF(OR(N295="",NOT(O295)),"invalid amount",IF(OR(AND(K295="sale",N295&lt;=0),AND(K295="refund",N295&gt;=0)),"invalid sign","")))))))))</f>
        <v/>
      </c>
      <c r="U295" s="1" t="str">
        <f t="shared" si="37"/>
        <v>INCLUDED</v>
      </c>
      <c r="V295" s="1" t="str">
        <f t="shared" si="38"/>
        <v>2026-01</v>
      </c>
      <c r="W295" s="1">
        <f>IF(AND(U295="INCLUDED",X295&gt;0,EXACT(A295,'AI output'!A295)),1,0)</f>
        <v>1</v>
      </c>
      <c r="X295" s="1">
        <f>295</f>
        <v>295</v>
      </c>
      <c r="Y295" s="1">
        <f>IF(AND(U295="INCLUDED",W295=1),--(NOT(EXACT(A295,'AI output'!A295)))+--(NOT(EXACT(B295,'AI output'!B295)))+--(NOT(EXACT(TEXT(G295,"yyyy-mm-dd"),'AI output'!C295)))+--(NOT(EXACT(H295,'AI output'!D295)))+--(NOT(EXACT(J295,'AI output'!E295)))+--(NOT(EXACT(K295,'AI output'!F295)))+--(N295&lt;&gt;'AI output'!L295)+--(NOT('AI output'!M295)),0)</f>
        <v>0</v>
      </c>
      <c r="Z295" s="1">
        <f t="shared" si="39"/>
        <v>0</v>
      </c>
      <c r="AA295" s="1">
        <f>--EXACT(A295,"L00289")</f>
        <v>1</v>
      </c>
    </row>
    <row r="296" spans="1:27" ht="18.95" customHeight="1">
      <c r="A296" s="1" t="str">
        <f>IF(Raw!A296="","",Raw!A296)</f>
        <v>L00290</v>
      </c>
      <c r="B296" s="1" t="str">
        <f>IF(Raw!B296="","",Raw!B296)</f>
        <v>T00145</v>
      </c>
      <c r="C296" s="1" t="str">
        <f>IF(Raw!C296="","",Raw!C296)</f>
        <v>2026-01-19</v>
      </c>
      <c r="D296" s="1">
        <f t="shared" si="32"/>
        <v>2026</v>
      </c>
      <c r="E296" s="1">
        <f>IFERROR(IF(AND(LEN(C296)=10,MID(C296,5,1)="-",MID(C296,8,1)="-"),VALUE(MID(C296,6,2)),IF(AND(LEN(C296)=11,MID(C296,3,1)="-",MID(C296,7,1)="-"),MATCH(UPPER(MID(C296,4,3)),Guide!$D$7:$D$18,0),0)),0)</f>
        <v>1</v>
      </c>
      <c r="F296" s="1">
        <f t="shared" si="33"/>
        <v>19</v>
      </c>
      <c r="G296" s="9">
        <f t="shared" si="34"/>
        <v>46041</v>
      </c>
      <c r="H296" s="1" t="str">
        <f>IF(Raw!D296="","",Raw!D296)</f>
        <v>P-H</v>
      </c>
      <c r="I296" s="1" t="str">
        <f>IFERROR(IF(EXACT(H296,INDEX(Guide!$A$7:$A$9,MATCH(SUBSTITUTE(SUBSTITUTE(SUBSTITUTE(H296,"~","~~"),"*","~*"),"?","~?"),Guide!$A$7:$A$9,0))),INDEX(Guide!$B$7:$B$9,MATCH(SUBSTITUTE(SUBSTITUTE(SUBSTITUTE(H296,"~","~~"),"*","~*"),"?","~?"),Guide!$A$7:$A$9,0)),""),"")</f>
        <v>Home</v>
      </c>
      <c r="J296" s="1" t="str">
        <f>IF(TRIM(Raw!E296)="",I296,IF(UPPER(TRIM(Raw!E296))=UPPER(I296),I296,""))</f>
        <v>Home</v>
      </c>
      <c r="K296" s="1" t="str">
        <f>IF(Raw!F296="","",Raw!F296)</f>
        <v>sale</v>
      </c>
      <c r="L296" s="1" t="str">
        <f>IF(LEFT(TRIM(Raw!G296),2)="-$","-"&amp;MID(TRIM(Raw!G296),3,99),IF(LEFT(TRIM(Raw!G296),1)="$",MID(TRIM(Raw!G296),2,99),TRIM(Raw!G296)))</f>
        <v>447.68</v>
      </c>
      <c r="M296" s="1">
        <f t="shared" si="35"/>
        <v>447.68</v>
      </c>
      <c r="N296" s="10">
        <f t="shared" si="36"/>
        <v>44768</v>
      </c>
      <c r="O296" s="1" t="b">
        <f>IFERROR(IF(ISNUMBER(Raw!G296),TRUE,OR(EXACT(L296,TEXT(M296,"0.00")),EXACT(L296,TEXT(M296,"#,##0.00")))),FALSE)</f>
        <v>1</v>
      </c>
      <c r="P296" s="1" t="str">
        <f>LEN(IF(Raw!A296="","",Raw!A296))&amp;":"&amp;IF(Raw!A296="","",Raw!A296)&amp;"|"&amp;LEN(IF(Raw!B296="","",Raw!B296))&amp;":"&amp;IF(Raw!B296="","",Raw!B296)&amp;"|"&amp;LEN(IF(Raw!C296="","",Raw!C296))&amp;":"&amp;IF(Raw!C296="","",Raw!C296)&amp;"|"&amp;LEN(IF(Raw!D296="","",Raw!D296))&amp;":"&amp;IF(Raw!D296="","",Raw!D296)&amp;"|"&amp;LEN(IF(Raw!E296="","",Raw!E296))&amp;":"&amp;IF(Raw!E296="","",Raw!E296)&amp;"|"&amp;LEN(IF(Raw!F296="","",Raw!F296))&amp;":"&amp;IF(Raw!F296="","",Raw!F296)&amp;"|"&amp;LEN(IF(Raw!G296="","",Raw!G296))&amp;":"&amp;IF(Raw!G296="","",Raw!G296)</f>
        <v>6:L00290|6:T00145|10:2026-01-19|3:P-H|4:Home|4:sale|6:447.68</v>
      </c>
      <c r="Q296" s="1">
        <f>1</f>
        <v>1</v>
      </c>
      <c r="R296" s="1" t="b">
        <f>FALSE</f>
        <v>0</v>
      </c>
      <c r="S296" s="1">
        <f>1</f>
        <v>1</v>
      </c>
      <c r="T296" s="1" t="str">
        <f>IF(AND(Raw!A296="",Raw!B296="",Raw!C296="",Raw!D296="",Raw!E296="",Raw!F296="",Raw!G296=""),"UNUSED",IF(A296="","missing line ID",IF(B296="","missing transaction ID",IF(G296="",IF(C296="","missing date","invalid date"),IF(I296="","unknown product",IF(J296="","conflicting category",IF(NOT(OR(EXACT(K296,"sale"),EXACT(K296,"refund"))),"unknown event",IF(OR(N296="",NOT(O296)),"invalid amount",IF(OR(AND(K296="sale",N296&lt;=0),AND(K296="refund",N296&gt;=0)),"invalid sign","")))))))))</f>
        <v/>
      </c>
      <c r="U296" s="1" t="str">
        <f t="shared" si="37"/>
        <v>INCLUDED</v>
      </c>
      <c r="V296" s="1" t="str">
        <f t="shared" si="38"/>
        <v>2026-01</v>
      </c>
      <c r="W296" s="1">
        <f>IF(AND(U296="INCLUDED",X296&gt;0,EXACT(A296,'AI output'!A296)),1,0)</f>
        <v>1</v>
      </c>
      <c r="X296" s="1">
        <f>296</f>
        <v>296</v>
      </c>
      <c r="Y296" s="1">
        <f>IF(AND(U296="INCLUDED",W296=1),--(NOT(EXACT(A296,'AI output'!A296)))+--(NOT(EXACT(B296,'AI output'!B296)))+--(NOT(EXACT(TEXT(G296,"yyyy-mm-dd"),'AI output'!C296)))+--(NOT(EXACT(H296,'AI output'!D296)))+--(NOT(EXACT(J296,'AI output'!E296)))+--(NOT(EXACT(K296,'AI output'!F296)))+--(N296&lt;&gt;'AI output'!L296)+--(NOT('AI output'!M296)),0)</f>
        <v>0</v>
      </c>
      <c r="Z296" s="1">
        <f t="shared" si="39"/>
        <v>0</v>
      </c>
      <c r="AA296" s="1">
        <f>--EXACT(A296,"L00290")</f>
        <v>1</v>
      </c>
    </row>
    <row r="297" spans="1:27" ht="18.95" customHeight="1">
      <c r="A297" s="1" t="str">
        <f>IF(Raw!A297="","",Raw!A297)</f>
        <v>L00291</v>
      </c>
      <c r="B297" s="1" t="str">
        <f>IF(Raw!B297="","",Raw!B297)</f>
        <v>T00146</v>
      </c>
      <c r="C297" s="1" t="str">
        <f>IF(Raw!C297="","",Raw!C297)</f>
        <v>2026-01-26</v>
      </c>
      <c r="D297" s="1">
        <f t="shared" si="32"/>
        <v>2026</v>
      </c>
      <c r="E297" s="1">
        <f>IFERROR(IF(AND(LEN(C297)=10,MID(C297,5,1)="-",MID(C297,8,1)="-"),VALUE(MID(C297,6,2)),IF(AND(LEN(C297)=11,MID(C297,3,1)="-",MID(C297,7,1)="-"),MATCH(UPPER(MID(C297,4,3)),Guide!$D$7:$D$18,0),0)),0)</f>
        <v>1</v>
      </c>
      <c r="F297" s="1">
        <f t="shared" si="33"/>
        <v>26</v>
      </c>
      <c r="G297" s="9">
        <f t="shared" si="34"/>
        <v>46048</v>
      </c>
      <c r="H297" s="1" t="str">
        <f>IF(Raw!D297="","",Raw!D297)</f>
        <v>P-O</v>
      </c>
      <c r="I297" s="1" t="str">
        <f>IFERROR(IF(EXACT(H297,INDEX(Guide!$A$7:$A$9,MATCH(SUBSTITUTE(SUBSTITUTE(SUBSTITUTE(H297,"~","~~"),"*","~*"),"?","~?"),Guide!$A$7:$A$9,0))),INDEX(Guide!$B$7:$B$9,MATCH(SUBSTITUTE(SUBSTITUTE(SUBSTITUTE(H297,"~","~~"),"*","~*"),"?","~?"),Guide!$A$7:$A$9,0)),""),"")</f>
        <v>Office</v>
      </c>
      <c r="J297" s="1" t="str">
        <f>IF(TRIM(Raw!E297)="",I297,IF(UPPER(TRIM(Raw!E297))=UPPER(I297),I297,""))</f>
        <v>Office</v>
      </c>
      <c r="K297" s="1" t="str">
        <f>IF(Raw!F297="","",Raw!F297)</f>
        <v>sale</v>
      </c>
      <c r="L297" s="1" t="str">
        <f>IF(LEFT(TRIM(Raw!G297),2)="-$","-"&amp;MID(TRIM(Raw!G297),3,99),IF(LEFT(TRIM(Raw!G297),1)="$",MID(TRIM(Raw!G297),2,99),TRIM(Raw!G297)))</f>
        <v>112.29</v>
      </c>
      <c r="M297" s="1">
        <f t="shared" si="35"/>
        <v>112.29</v>
      </c>
      <c r="N297" s="10">
        <f t="shared" si="36"/>
        <v>11229</v>
      </c>
      <c r="O297" s="1" t="b">
        <f>IFERROR(IF(ISNUMBER(Raw!G297),TRUE,OR(EXACT(L297,TEXT(M297,"0.00")),EXACT(L297,TEXT(M297,"#,##0.00")))),FALSE)</f>
        <v>1</v>
      </c>
      <c r="P297" s="1" t="str">
        <f>LEN(IF(Raw!A297="","",Raw!A297))&amp;":"&amp;IF(Raw!A297="","",Raw!A297)&amp;"|"&amp;LEN(IF(Raw!B297="","",Raw!B297))&amp;":"&amp;IF(Raw!B297="","",Raw!B297)&amp;"|"&amp;LEN(IF(Raw!C297="","",Raw!C297))&amp;":"&amp;IF(Raw!C297="","",Raw!C297)&amp;"|"&amp;LEN(IF(Raw!D297="","",Raw!D297))&amp;":"&amp;IF(Raw!D297="","",Raw!D297)&amp;"|"&amp;LEN(IF(Raw!E297="","",Raw!E297))&amp;":"&amp;IF(Raw!E297="","",Raw!E297)&amp;"|"&amp;LEN(IF(Raw!F297="","",Raw!F297))&amp;":"&amp;IF(Raw!F297="","",Raw!F297)&amp;"|"&amp;LEN(IF(Raw!G297="","",Raw!G297))&amp;":"&amp;IF(Raw!G297="","",Raw!G297)</f>
        <v>6:L00291|6:T00146|10:2026-01-26|3:P-O|6:Office|4:sale|6:112.29</v>
      </c>
      <c r="Q297" s="1">
        <f>1</f>
        <v>1</v>
      </c>
      <c r="R297" s="1" t="b">
        <f>FALSE</f>
        <v>0</v>
      </c>
      <c r="S297" s="1">
        <f>1</f>
        <v>1</v>
      </c>
      <c r="T297" s="1" t="str">
        <f>IF(AND(Raw!A297="",Raw!B297="",Raw!C297="",Raw!D297="",Raw!E297="",Raw!F297="",Raw!G297=""),"UNUSED",IF(A297="","missing line ID",IF(B297="","missing transaction ID",IF(G297="",IF(C297="","missing date","invalid date"),IF(I297="","unknown product",IF(J297="","conflicting category",IF(NOT(OR(EXACT(K297,"sale"),EXACT(K297,"refund"))),"unknown event",IF(OR(N297="",NOT(O297)),"invalid amount",IF(OR(AND(K297="sale",N297&lt;=0),AND(K297="refund",N297&gt;=0)),"invalid sign","")))))))))</f>
        <v/>
      </c>
      <c r="U297" s="1" t="str">
        <f t="shared" si="37"/>
        <v>INCLUDED</v>
      </c>
      <c r="V297" s="1" t="str">
        <f t="shared" si="38"/>
        <v>2026-01</v>
      </c>
      <c r="W297" s="1">
        <f>IF(AND(U297="INCLUDED",X297&gt;0,EXACT(A297,'AI output'!A297)),1,0)</f>
        <v>1</v>
      </c>
      <c r="X297" s="1">
        <f>297</f>
        <v>297</v>
      </c>
      <c r="Y297" s="1">
        <f>IF(AND(U297="INCLUDED",W297=1),--(NOT(EXACT(A297,'AI output'!A297)))+--(NOT(EXACT(B297,'AI output'!B297)))+--(NOT(EXACT(TEXT(G297,"yyyy-mm-dd"),'AI output'!C297)))+--(NOT(EXACT(H297,'AI output'!D297)))+--(NOT(EXACT(J297,'AI output'!E297)))+--(NOT(EXACT(K297,'AI output'!F297)))+--(N297&lt;&gt;'AI output'!L297)+--(NOT('AI output'!M297)),0)</f>
        <v>0</v>
      </c>
      <c r="Z297" s="1">
        <f t="shared" si="39"/>
        <v>0</v>
      </c>
      <c r="AA297" s="1">
        <f>--EXACT(A297,"L00291")</f>
        <v>1</v>
      </c>
    </row>
    <row r="298" spans="1:27" ht="18.95" customHeight="1">
      <c r="A298" s="1" t="str">
        <f>IF(Raw!A298="","",Raw!A298)</f>
        <v>L00292</v>
      </c>
      <c r="B298" s="1" t="str">
        <f>IF(Raw!B298="","",Raw!B298)</f>
        <v>T00146</v>
      </c>
      <c r="C298" s="1" t="str">
        <f>IF(Raw!C298="","",Raw!C298)</f>
        <v>2026-01-26</v>
      </c>
      <c r="D298" s="1">
        <f t="shared" si="32"/>
        <v>2026</v>
      </c>
      <c r="E298" s="1">
        <f>IFERROR(IF(AND(LEN(C298)=10,MID(C298,5,1)="-",MID(C298,8,1)="-"),VALUE(MID(C298,6,2)),IF(AND(LEN(C298)=11,MID(C298,3,1)="-",MID(C298,7,1)="-"),MATCH(UPPER(MID(C298,4,3)),Guide!$D$7:$D$18,0),0)),0)</f>
        <v>1</v>
      </c>
      <c r="F298" s="1">
        <f t="shared" si="33"/>
        <v>26</v>
      </c>
      <c r="G298" s="9">
        <f t="shared" si="34"/>
        <v>46048</v>
      </c>
      <c r="H298" s="1" t="str">
        <f>IF(Raw!D298="","",Raw!D298)</f>
        <v>P-A</v>
      </c>
      <c r="I298" s="1" t="str">
        <f>IFERROR(IF(EXACT(H298,INDEX(Guide!$A$7:$A$9,MATCH(SUBSTITUTE(SUBSTITUTE(SUBSTITUTE(H298,"~","~~"),"*","~*"),"?","~?"),Guide!$A$7:$A$9,0))),INDEX(Guide!$B$7:$B$9,MATCH(SUBSTITUTE(SUBSTITUTE(SUBSTITUTE(H298,"~","~~"),"*","~*"),"?","~?"),Guide!$A$7:$A$9,0)),""),"")</f>
        <v>Accessories</v>
      </c>
      <c r="J298" s="1" t="str">
        <f>IF(TRIM(Raw!E298)="",I298,IF(UPPER(TRIM(Raw!E298))=UPPER(I298),I298,""))</f>
        <v>Accessories</v>
      </c>
      <c r="K298" s="1" t="str">
        <f>IF(Raw!F298="","",Raw!F298)</f>
        <v>sale</v>
      </c>
      <c r="L298" s="1" t="str">
        <f>IF(LEFT(TRIM(Raw!G298),2)="-$","-"&amp;MID(TRIM(Raw!G298),3,99),IF(LEFT(TRIM(Raw!G298),1)="$",MID(TRIM(Raw!G298),2,99),TRIM(Raw!G298)))</f>
        <v>337.98</v>
      </c>
      <c r="M298" s="1">
        <f t="shared" si="35"/>
        <v>337.98</v>
      </c>
      <c r="N298" s="10">
        <f t="shared" si="36"/>
        <v>33798</v>
      </c>
      <c r="O298" s="1" t="b">
        <f>IFERROR(IF(ISNUMBER(Raw!G298),TRUE,OR(EXACT(L298,TEXT(M298,"0.00")),EXACT(L298,TEXT(M298,"#,##0.00")))),FALSE)</f>
        <v>1</v>
      </c>
      <c r="P298" s="1" t="str">
        <f>LEN(IF(Raw!A298="","",Raw!A298))&amp;":"&amp;IF(Raw!A298="","",Raw!A298)&amp;"|"&amp;LEN(IF(Raw!B298="","",Raw!B298))&amp;":"&amp;IF(Raw!B298="","",Raw!B298)&amp;"|"&amp;LEN(IF(Raw!C298="","",Raw!C298))&amp;":"&amp;IF(Raw!C298="","",Raw!C298)&amp;"|"&amp;LEN(IF(Raw!D298="","",Raw!D298))&amp;":"&amp;IF(Raw!D298="","",Raw!D298)&amp;"|"&amp;LEN(IF(Raw!E298="","",Raw!E298))&amp;":"&amp;IF(Raw!E298="","",Raw!E298)&amp;"|"&amp;LEN(IF(Raw!F298="","",Raw!F298))&amp;":"&amp;IF(Raw!F298="","",Raw!F298)&amp;"|"&amp;LEN(IF(Raw!G298="","",Raw!G298))&amp;":"&amp;IF(Raw!G298="","",Raw!G298)</f>
        <v>6:L00292|6:T00146|10:2026-01-26|3:P-A|11:Accessories|4:sale|6:337.98</v>
      </c>
      <c r="Q298" s="1">
        <f>1</f>
        <v>1</v>
      </c>
      <c r="R298" s="1" t="b">
        <f>FALSE</f>
        <v>0</v>
      </c>
      <c r="S298" s="1">
        <f>1</f>
        <v>1</v>
      </c>
      <c r="T298" s="1" t="str">
        <f>IF(AND(Raw!A298="",Raw!B298="",Raw!C298="",Raw!D298="",Raw!E298="",Raw!F298="",Raw!G298=""),"UNUSED",IF(A298="","missing line ID",IF(B298="","missing transaction ID",IF(G298="",IF(C298="","missing date","invalid date"),IF(I298="","unknown product",IF(J298="","conflicting category",IF(NOT(OR(EXACT(K298,"sale"),EXACT(K298,"refund"))),"unknown event",IF(OR(N298="",NOT(O298)),"invalid amount",IF(OR(AND(K298="sale",N298&lt;=0),AND(K298="refund",N298&gt;=0)),"invalid sign","")))))))))</f>
        <v/>
      </c>
      <c r="U298" s="1" t="str">
        <f t="shared" si="37"/>
        <v>INCLUDED</v>
      </c>
      <c r="V298" s="1" t="str">
        <f t="shared" si="38"/>
        <v>2026-01</v>
      </c>
      <c r="W298" s="1">
        <f>IF(AND(U298="INCLUDED",X298&gt;0,EXACT(A298,'AI output'!A298)),1,0)</f>
        <v>1</v>
      </c>
      <c r="X298" s="1">
        <f>298</f>
        <v>298</v>
      </c>
      <c r="Y298" s="1">
        <f>IF(AND(U298="INCLUDED",W298=1),--(NOT(EXACT(A298,'AI output'!A298)))+--(NOT(EXACT(B298,'AI output'!B298)))+--(NOT(EXACT(TEXT(G298,"yyyy-mm-dd"),'AI output'!C298)))+--(NOT(EXACT(H298,'AI output'!D298)))+--(NOT(EXACT(J298,'AI output'!E298)))+--(NOT(EXACT(K298,'AI output'!F298)))+--(N298&lt;&gt;'AI output'!L298)+--(NOT('AI output'!M298)),0)</f>
        <v>0</v>
      </c>
      <c r="Z298" s="1">
        <f t="shared" si="39"/>
        <v>0</v>
      </c>
      <c r="AA298" s="1">
        <f>--EXACT(A298,"L00292")</f>
        <v>1</v>
      </c>
    </row>
    <row r="299" spans="1:27" ht="18.95" customHeight="1">
      <c r="A299" s="1" t="str">
        <f>IF(Raw!A299="","",Raw!A299)</f>
        <v>L00293</v>
      </c>
      <c r="B299" s="1" t="str">
        <f>IF(Raw!B299="","",Raw!B299)</f>
        <v>T00147</v>
      </c>
      <c r="C299" s="1" t="str">
        <f>IF(Raw!C299="","",Raw!C299)</f>
        <v>2026-02-02</v>
      </c>
      <c r="D299" s="1">
        <f t="shared" si="32"/>
        <v>2026</v>
      </c>
      <c r="E299" s="1">
        <f>IFERROR(IF(AND(LEN(C299)=10,MID(C299,5,1)="-",MID(C299,8,1)="-"),VALUE(MID(C299,6,2)),IF(AND(LEN(C299)=11,MID(C299,3,1)="-",MID(C299,7,1)="-"),MATCH(UPPER(MID(C299,4,3)),Guide!$D$7:$D$18,0),0)),0)</f>
        <v>2</v>
      </c>
      <c r="F299" s="1">
        <f t="shared" si="33"/>
        <v>2</v>
      </c>
      <c r="G299" s="9">
        <f t="shared" si="34"/>
        <v>46055</v>
      </c>
      <c r="H299" s="1" t="str">
        <f>IF(Raw!D299="","",Raw!D299)</f>
        <v>P-H</v>
      </c>
      <c r="I299" s="1" t="str">
        <f>IFERROR(IF(EXACT(H299,INDEX(Guide!$A$7:$A$9,MATCH(SUBSTITUTE(SUBSTITUTE(SUBSTITUTE(H299,"~","~~"),"*","~*"),"?","~?"),Guide!$A$7:$A$9,0))),INDEX(Guide!$B$7:$B$9,MATCH(SUBSTITUTE(SUBSTITUTE(SUBSTITUTE(H299,"~","~~"),"*","~*"),"?","~?"),Guide!$A$7:$A$9,0)),""),"")</f>
        <v>Home</v>
      </c>
      <c r="J299" s="1" t="str">
        <f>IF(TRIM(Raw!E299)="",I299,IF(UPPER(TRIM(Raw!E299))=UPPER(I299),I299,""))</f>
        <v>Home</v>
      </c>
      <c r="K299" s="1" t="str">
        <f>IF(Raw!F299="","",Raw!F299)</f>
        <v>sale</v>
      </c>
      <c r="L299" s="1" t="str">
        <f>IF(LEFT(TRIM(Raw!G299),2)="-$","-"&amp;MID(TRIM(Raw!G299),3,99),IF(LEFT(TRIM(Raw!G299),1)="$",MID(TRIM(Raw!G299),2,99),TRIM(Raw!G299)))</f>
        <v>565.15</v>
      </c>
      <c r="M299" s="1">
        <f t="shared" si="35"/>
        <v>565.15</v>
      </c>
      <c r="N299" s="10">
        <f t="shared" si="36"/>
        <v>56515</v>
      </c>
      <c r="O299" s="1" t="b">
        <f>IFERROR(IF(ISNUMBER(Raw!G299),TRUE,OR(EXACT(L299,TEXT(M299,"0.00")),EXACT(L299,TEXT(M299,"#,##0.00")))),FALSE)</f>
        <v>1</v>
      </c>
      <c r="P299" s="1" t="str">
        <f>LEN(IF(Raw!A299="","",Raw!A299))&amp;":"&amp;IF(Raw!A299="","",Raw!A299)&amp;"|"&amp;LEN(IF(Raw!B299="","",Raw!B299))&amp;":"&amp;IF(Raw!B299="","",Raw!B299)&amp;"|"&amp;LEN(IF(Raw!C299="","",Raw!C299))&amp;":"&amp;IF(Raw!C299="","",Raw!C299)&amp;"|"&amp;LEN(IF(Raw!D299="","",Raw!D299))&amp;":"&amp;IF(Raw!D299="","",Raw!D299)&amp;"|"&amp;LEN(IF(Raw!E299="","",Raw!E299))&amp;":"&amp;IF(Raw!E299="","",Raw!E299)&amp;"|"&amp;LEN(IF(Raw!F299="","",Raw!F299))&amp;":"&amp;IF(Raw!F299="","",Raw!F299)&amp;"|"&amp;LEN(IF(Raw!G299="","",Raw!G299))&amp;":"&amp;IF(Raw!G299="","",Raw!G299)</f>
        <v>6:L00293|6:T00147|10:2026-02-02|3:P-H|4:Home|4:sale|6:565.15</v>
      </c>
      <c r="Q299" s="1">
        <f>1</f>
        <v>1</v>
      </c>
      <c r="R299" s="1" t="b">
        <f>FALSE</f>
        <v>0</v>
      </c>
      <c r="S299" s="1">
        <f>1</f>
        <v>1</v>
      </c>
      <c r="T299" s="1" t="str">
        <f>IF(AND(Raw!A299="",Raw!B299="",Raw!C299="",Raw!D299="",Raw!E299="",Raw!F299="",Raw!G299=""),"UNUSED",IF(A299="","missing line ID",IF(B299="","missing transaction ID",IF(G299="",IF(C299="","missing date","invalid date"),IF(I299="","unknown product",IF(J299="","conflicting category",IF(NOT(OR(EXACT(K299,"sale"),EXACT(K299,"refund"))),"unknown event",IF(OR(N299="",NOT(O299)),"invalid amount",IF(OR(AND(K299="sale",N299&lt;=0),AND(K299="refund",N299&gt;=0)),"invalid sign","")))))))))</f>
        <v/>
      </c>
      <c r="U299" s="1" t="str">
        <f t="shared" si="37"/>
        <v>INCLUDED</v>
      </c>
      <c r="V299" s="1" t="str">
        <f t="shared" si="38"/>
        <v>2026-02</v>
      </c>
      <c r="W299" s="1">
        <f>IF(AND(U299="INCLUDED",X299&gt;0,EXACT(A299,'AI output'!A299)),1,0)</f>
        <v>1</v>
      </c>
      <c r="X299" s="1">
        <f>299</f>
        <v>299</v>
      </c>
      <c r="Y299" s="1">
        <f>IF(AND(U299="INCLUDED",W299=1),--(NOT(EXACT(A299,'AI output'!A299)))+--(NOT(EXACT(B299,'AI output'!B299)))+--(NOT(EXACT(TEXT(G299,"yyyy-mm-dd"),'AI output'!C299)))+--(NOT(EXACT(H299,'AI output'!D299)))+--(NOT(EXACT(J299,'AI output'!E299)))+--(NOT(EXACT(K299,'AI output'!F299)))+--(N299&lt;&gt;'AI output'!L299)+--(NOT('AI output'!M299)),0)</f>
        <v>0</v>
      </c>
      <c r="Z299" s="1">
        <f t="shared" si="39"/>
        <v>0</v>
      </c>
      <c r="AA299" s="1">
        <f>--EXACT(A299,"L00293")</f>
        <v>1</v>
      </c>
    </row>
    <row r="300" spans="1:27" ht="18.95" customHeight="1">
      <c r="A300" s="1" t="str">
        <f>IF(Raw!A300="","",Raw!A300)</f>
        <v>L00294</v>
      </c>
      <c r="B300" s="1" t="str">
        <f>IF(Raw!B300="","",Raw!B300)</f>
        <v>T00147</v>
      </c>
      <c r="C300" s="1" t="str">
        <f>IF(Raw!C300="","",Raw!C300)</f>
        <v>2026-02-02</v>
      </c>
      <c r="D300" s="1">
        <f t="shared" si="32"/>
        <v>2026</v>
      </c>
      <c r="E300" s="1">
        <f>IFERROR(IF(AND(LEN(C300)=10,MID(C300,5,1)="-",MID(C300,8,1)="-"),VALUE(MID(C300,6,2)),IF(AND(LEN(C300)=11,MID(C300,3,1)="-",MID(C300,7,1)="-"),MATCH(UPPER(MID(C300,4,3)),Guide!$D$7:$D$18,0),0)),0)</f>
        <v>2</v>
      </c>
      <c r="F300" s="1">
        <f t="shared" si="33"/>
        <v>2</v>
      </c>
      <c r="G300" s="9">
        <f t="shared" si="34"/>
        <v>46055</v>
      </c>
      <c r="H300" s="1" t="str">
        <f>IF(Raw!D300="","",Raw!D300)</f>
        <v>P-O</v>
      </c>
      <c r="I300" s="1" t="str">
        <f>IFERROR(IF(EXACT(H300,INDEX(Guide!$A$7:$A$9,MATCH(SUBSTITUTE(SUBSTITUTE(SUBSTITUTE(H300,"~","~~"),"*","~*"),"?","~?"),Guide!$A$7:$A$9,0))),INDEX(Guide!$B$7:$B$9,MATCH(SUBSTITUTE(SUBSTITUTE(SUBSTITUTE(H300,"~","~~"),"*","~*"),"?","~?"),Guide!$A$7:$A$9,0)),""),"")</f>
        <v>Office</v>
      </c>
      <c r="J300" s="1" t="str">
        <f>IF(TRIM(Raw!E300)="",I300,IF(UPPER(TRIM(Raw!E300))=UPPER(I300),I300,""))</f>
        <v>Office</v>
      </c>
      <c r="K300" s="1" t="str">
        <f>IF(Raw!F300="","",Raw!F300)</f>
        <v>sale</v>
      </c>
      <c r="L300" s="1" t="str">
        <f>IF(LEFT(TRIM(Raw!G300),2)="-$","-"&amp;MID(TRIM(Raw!G300),3,99),IF(LEFT(TRIM(Raw!G300),1)="$",MID(TRIM(Raw!G300),2,99),TRIM(Raw!G300)))</f>
        <v>226.80</v>
      </c>
      <c r="M300" s="1">
        <f t="shared" si="35"/>
        <v>226.8</v>
      </c>
      <c r="N300" s="10">
        <f t="shared" si="36"/>
        <v>22680</v>
      </c>
      <c r="O300" s="1" t="b">
        <f>IFERROR(IF(ISNUMBER(Raw!G300),TRUE,OR(EXACT(L300,TEXT(M300,"0.00")),EXACT(L300,TEXT(M300,"#,##0.00")))),FALSE)</f>
        <v>1</v>
      </c>
      <c r="P300" s="1" t="str">
        <f>LEN(IF(Raw!A300="","",Raw!A300))&amp;":"&amp;IF(Raw!A300="","",Raw!A300)&amp;"|"&amp;LEN(IF(Raw!B300="","",Raw!B300))&amp;":"&amp;IF(Raw!B300="","",Raw!B300)&amp;"|"&amp;LEN(IF(Raw!C300="","",Raw!C300))&amp;":"&amp;IF(Raw!C300="","",Raw!C300)&amp;"|"&amp;LEN(IF(Raw!D300="","",Raw!D300))&amp;":"&amp;IF(Raw!D300="","",Raw!D300)&amp;"|"&amp;LEN(IF(Raw!E300="","",Raw!E300))&amp;":"&amp;IF(Raw!E300="","",Raw!E300)&amp;"|"&amp;LEN(IF(Raw!F300="","",Raw!F300))&amp;":"&amp;IF(Raw!F300="","",Raw!F300)&amp;"|"&amp;LEN(IF(Raw!G300="","",Raw!G300))&amp;":"&amp;IF(Raw!G300="","",Raw!G300)</f>
        <v>6:L00294|6:T00147|10:2026-02-02|3:P-O|6:Office|4:sale|6:226.80</v>
      </c>
      <c r="Q300" s="1">
        <f>1</f>
        <v>1</v>
      </c>
      <c r="R300" s="1" t="b">
        <f>FALSE</f>
        <v>0</v>
      </c>
      <c r="S300" s="1">
        <f>1</f>
        <v>1</v>
      </c>
      <c r="T300" s="1" t="str">
        <f>IF(AND(Raw!A300="",Raw!B300="",Raw!C300="",Raw!D300="",Raw!E300="",Raw!F300="",Raw!G300=""),"UNUSED",IF(A300="","missing line ID",IF(B300="","missing transaction ID",IF(G300="",IF(C300="","missing date","invalid date"),IF(I300="","unknown product",IF(J300="","conflicting category",IF(NOT(OR(EXACT(K300,"sale"),EXACT(K300,"refund"))),"unknown event",IF(OR(N300="",NOT(O300)),"invalid amount",IF(OR(AND(K300="sale",N300&lt;=0),AND(K300="refund",N300&gt;=0)),"invalid sign","")))))))))</f>
        <v/>
      </c>
      <c r="U300" s="1" t="str">
        <f t="shared" si="37"/>
        <v>INCLUDED</v>
      </c>
      <c r="V300" s="1" t="str">
        <f t="shared" si="38"/>
        <v>2026-02</v>
      </c>
      <c r="W300" s="1">
        <f>IF(AND(U300="INCLUDED",X300&gt;0,EXACT(A300,'AI output'!A300)),1,0)</f>
        <v>1</v>
      </c>
      <c r="X300" s="1">
        <f>300</f>
        <v>300</v>
      </c>
      <c r="Y300" s="1">
        <f>IF(AND(U300="INCLUDED",W300=1),--(NOT(EXACT(A300,'AI output'!A300)))+--(NOT(EXACT(B300,'AI output'!B300)))+--(NOT(EXACT(TEXT(G300,"yyyy-mm-dd"),'AI output'!C300)))+--(NOT(EXACT(H300,'AI output'!D300)))+--(NOT(EXACT(J300,'AI output'!E300)))+--(NOT(EXACT(K300,'AI output'!F300)))+--(N300&lt;&gt;'AI output'!L300)+--(NOT('AI output'!M300)),0)</f>
        <v>0</v>
      </c>
      <c r="Z300" s="1">
        <f t="shared" si="39"/>
        <v>0</v>
      </c>
      <c r="AA300" s="1">
        <f>--EXACT(A300,"L00294")</f>
        <v>1</v>
      </c>
    </row>
    <row r="301" spans="1:27" ht="18.95" customHeight="1">
      <c r="A301" s="1" t="str">
        <f>IF(Raw!A301="","",Raw!A301)</f>
        <v>L00295</v>
      </c>
      <c r="B301" s="1" t="str">
        <f>IF(Raw!B301="","",Raw!B301)</f>
        <v>T00148</v>
      </c>
      <c r="C301" s="1" t="str">
        <f>IF(Raw!C301="","",Raw!C301)</f>
        <v>2026-02-09</v>
      </c>
      <c r="D301" s="1">
        <f t="shared" si="32"/>
        <v>2026</v>
      </c>
      <c r="E301" s="1">
        <f>IFERROR(IF(AND(LEN(C301)=10,MID(C301,5,1)="-",MID(C301,8,1)="-"),VALUE(MID(C301,6,2)),IF(AND(LEN(C301)=11,MID(C301,3,1)="-",MID(C301,7,1)="-"),MATCH(UPPER(MID(C301,4,3)),Guide!$D$7:$D$18,0),0)),0)</f>
        <v>2</v>
      </c>
      <c r="F301" s="1">
        <f t="shared" si="33"/>
        <v>9</v>
      </c>
      <c r="G301" s="9">
        <f t="shared" si="34"/>
        <v>46062</v>
      </c>
      <c r="H301" s="1" t="str">
        <f>IF(Raw!D301="","",Raw!D301)</f>
        <v>P-A</v>
      </c>
      <c r="I301" s="1" t="str">
        <f>IFERROR(IF(EXACT(H301,INDEX(Guide!$A$7:$A$9,MATCH(SUBSTITUTE(SUBSTITUTE(SUBSTITUTE(H301,"~","~~"),"*","~*"),"?","~?"),Guide!$A$7:$A$9,0))),INDEX(Guide!$B$7:$B$9,MATCH(SUBSTITUTE(SUBSTITUTE(SUBSTITUTE(H301,"~","~~"),"*","~*"),"?","~?"),Guide!$A$7:$A$9,0)),""),"")</f>
        <v>Accessories</v>
      </c>
      <c r="J301" s="1" t="str">
        <f>IF(TRIM(Raw!E301)="",I301,IF(UPPER(TRIM(Raw!E301))=UPPER(I301),I301,""))</f>
        <v>Accessories</v>
      </c>
      <c r="K301" s="1" t="str">
        <f>IF(Raw!F301="","",Raw!F301)</f>
        <v>sale</v>
      </c>
      <c r="L301" s="1" t="str">
        <f>IF(LEFT(TRIM(Raw!G301),2)="-$","-"&amp;MID(TRIM(Raw!G301),3,99),IF(LEFT(TRIM(Raw!G301),1)="$",MID(TRIM(Raw!G301),2,99),TRIM(Raw!G301)))</f>
        <v>455.08</v>
      </c>
      <c r="M301" s="1">
        <f t="shared" si="35"/>
        <v>455.08</v>
      </c>
      <c r="N301" s="10">
        <f t="shared" si="36"/>
        <v>45508</v>
      </c>
      <c r="O301" s="1" t="b">
        <f>IFERROR(IF(ISNUMBER(Raw!G301),TRUE,OR(EXACT(L301,TEXT(M301,"0.00")),EXACT(L301,TEXT(M301,"#,##0.00")))),FALSE)</f>
        <v>1</v>
      </c>
      <c r="P301" s="1" t="str">
        <f>LEN(IF(Raw!A301="","",Raw!A301))&amp;":"&amp;IF(Raw!A301="","",Raw!A301)&amp;"|"&amp;LEN(IF(Raw!B301="","",Raw!B301))&amp;":"&amp;IF(Raw!B301="","",Raw!B301)&amp;"|"&amp;LEN(IF(Raw!C301="","",Raw!C301))&amp;":"&amp;IF(Raw!C301="","",Raw!C301)&amp;"|"&amp;LEN(IF(Raw!D301="","",Raw!D301))&amp;":"&amp;IF(Raw!D301="","",Raw!D301)&amp;"|"&amp;LEN(IF(Raw!E301="","",Raw!E301))&amp;":"&amp;IF(Raw!E301="","",Raw!E301)&amp;"|"&amp;LEN(IF(Raw!F301="","",Raw!F301))&amp;":"&amp;IF(Raw!F301="","",Raw!F301)&amp;"|"&amp;LEN(IF(Raw!G301="","",Raw!G301))&amp;":"&amp;IF(Raw!G301="","",Raw!G301)</f>
        <v>6:L00295|6:T00148|10:2026-02-09|3:P-A|11:Accessories|4:sale|6:455.08</v>
      </c>
      <c r="Q301" s="1">
        <f>1</f>
        <v>1</v>
      </c>
      <c r="R301" s="1" t="b">
        <f>FALSE</f>
        <v>0</v>
      </c>
      <c r="S301" s="1">
        <f>1</f>
        <v>1</v>
      </c>
      <c r="T301" s="1" t="str">
        <f>IF(AND(Raw!A301="",Raw!B301="",Raw!C301="",Raw!D301="",Raw!E301="",Raw!F301="",Raw!G301=""),"UNUSED",IF(A301="","missing line ID",IF(B301="","missing transaction ID",IF(G301="",IF(C301="","missing date","invalid date"),IF(I301="","unknown product",IF(J301="","conflicting category",IF(NOT(OR(EXACT(K301,"sale"),EXACT(K301,"refund"))),"unknown event",IF(OR(N301="",NOT(O301)),"invalid amount",IF(OR(AND(K301="sale",N301&lt;=0),AND(K301="refund",N301&gt;=0)),"invalid sign","")))))))))</f>
        <v/>
      </c>
      <c r="U301" s="1" t="str">
        <f t="shared" si="37"/>
        <v>INCLUDED</v>
      </c>
      <c r="V301" s="1" t="str">
        <f t="shared" si="38"/>
        <v>2026-02</v>
      </c>
      <c r="W301" s="1">
        <f>IF(AND(U301="INCLUDED",X301&gt;0,EXACT(A301,'AI output'!A301)),1,0)</f>
        <v>1</v>
      </c>
      <c r="X301" s="1">
        <f>301</f>
        <v>301</v>
      </c>
      <c r="Y301" s="1">
        <f>IF(AND(U301="INCLUDED",W301=1),--(NOT(EXACT(A301,'AI output'!A301)))+--(NOT(EXACT(B301,'AI output'!B301)))+--(NOT(EXACT(TEXT(G301,"yyyy-mm-dd"),'AI output'!C301)))+--(NOT(EXACT(H301,'AI output'!D301)))+--(NOT(EXACT(J301,'AI output'!E301)))+--(NOT(EXACT(K301,'AI output'!F301)))+--(N301&lt;&gt;'AI output'!L301)+--(NOT('AI output'!M301)),0)</f>
        <v>0</v>
      </c>
      <c r="Z301" s="1">
        <f t="shared" si="39"/>
        <v>0</v>
      </c>
      <c r="AA301" s="1">
        <f>--EXACT(A301,"L00295")</f>
        <v>1</v>
      </c>
    </row>
    <row r="302" spans="1:27" ht="18.95" customHeight="1">
      <c r="A302" s="1" t="str">
        <f>IF(Raw!A302="","",Raw!A302)</f>
        <v>L00296</v>
      </c>
      <c r="B302" s="1" t="str">
        <f>IF(Raw!B302="","",Raw!B302)</f>
        <v>T00148</v>
      </c>
      <c r="C302" s="1" t="str">
        <f>IF(Raw!C302="","",Raw!C302)</f>
        <v>2026-02-09</v>
      </c>
      <c r="D302" s="1">
        <f t="shared" si="32"/>
        <v>2026</v>
      </c>
      <c r="E302" s="1">
        <f>IFERROR(IF(AND(LEN(C302)=10,MID(C302,5,1)="-",MID(C302,8,1)="-"),VALUE(MID(C302,6,2)),IF(AND(LEN(C302)=11,MID(C302,3,1)="-",MID(C302,7,1)="-"),MATCH(UPPER(MID(C302,4,3)),Guide!$D$7:$D$18,0),0)),0)</f>
        <v>2</v>
      </c>
      <c r="F302" s="1">
        <f t="shared" si="33"/>
        <v>9</v>
      </c>
      <c r="G302" s="9">
        <f t="shared" si="34"/>
        <v>46062</v>
      </c>
      <c r="H302" s="1" t="str">
        <f>IF(Raw!D302="","",Raw!D302)</f>
        <v>P-H</v>
      </c>
      <c r="I302" s="1" t="str">
        <f>IFERROR(IF(EXACT(H302,INDEX(Guide!$A$7:$A$9,MATCH(SUBSTITUTE(SUBSTITUTE(SUBSTITUTE(H302,"~","~~"),"*","~*"),"?","~?"),Guide!$A$7:$A$9,0))),INDEX(Guide!$B$7:$B$9,MATCH(SUBSTITUTE(SUBSTITUTE(SUBSTITUTE(H302,"~","~~"),"*","~*"),"?","~?"),Guide!$A$7:$A$9,0)),""),"")</f>
        <v>Home</v>
      </c>
      <c r="J302" s="1" t="str">
        <f>IF(TRIM(Raw!E302)="",I302,IF(UPPER(TRIM(Raw!E302))=UPPER(I302),I302,""))</f>
        <v>Home</v>
      </c>
      <c r="K302" s="1" t="str">
        <f>IF(Raw!F302="","",Raw!F302)</f>
        <v>sale</v>
      </c>
      <c r="L302" s="1" t="str">
        <f>IF(LEFT(TRIM(Raw!G302),2)="-$","-"&amp;MID(TRIM(Raw!G302),3,99),IF(LEFT(TRIM(Raw!G302),1)="$",MID(TRIM(Raw!G302),2,99),TRIM(Raw!G302)))</f>
        <v>114.14</v>
      </c>
      <c r="M302" s="1">
        <f t="shared" si="35"/>
        <v>114.14</v>
      </c>
      <c r="N302" s="10">
        <f t="shared" si="36"/>
        <v>11414</v>
      </c>
      <c r="O302" s="1" t="b">
        <f>IFERROR(IF(ISNUMBER(Raw!G302),TRUE,OR(EXACT(L302,TEXT(M302,"0.00")),EXACT(L302,TEXT(M302,"#,##0.00")))),FALSE)</f>
        <v>1</v>
      </c>
      <c r="P302" s="1" t="str">
        <f>LEN(IF(Raw!A302="","",Raw!A302))&amp;":"&amp;IF(Raw!A302="","",Raw!A302)&amp;"|"&amp;LEN(IF(Raw!B302="","",Raw!B302))&amp;":"&amp;IF(Raw!B302="","",Raw!B302)&amp;"|"&amp;LEN(IF(Raw!C302="","",Raw!C302))&amp;":"&amp;IF(Raw!C302="","",Raw!C302)&amp;"|"&amp;LEN(IF(Raw!D302="","",Raw!D302))&amp;":"&amp;IF(Raw!D302="","",Raw!D302)&amp;"|"&amp;LEN(IF(Raw!E302="","",Raw!E302))&amp;":"&amp;IF(Raw!E302="","",Raw!E302)&amp;"|"&amp;LEN(IF(Raw!F302="","",Raw!F302))&amp;":"&amp;IF(Raw!F302="","",Raw!F302)&amp;"|"&amp;LEN(IF(Raw!G302="","",Raw!G302))&amp;":"&amp;IF(Raw!G302="","",Raw!G302)</f>
        <v>6:L00296|6:T00148|10:2026-02-09|3:P-H|4:Home|4:sale|6:114.14</v>
      </c>
      <c r="Q302" s="1">
        <f>1</f>
        <v>1</v>
      </c>
      <c r="R302" s="1" t="b">
        <f>FALSE</f>
        <v>0</v>
      </c>
      <c r="S302" s="1">
        <f>1</f>
        <v>1</v>
      </c>
      <c r="T302" s="1" t="str">
        <f>IF(AND(Raw!A302="",Raw!B302="",Raw!C302="",Raw!D302="",Raw!E302="",Raw!F302="",Raw!G302=""),"UNUSED",IF(A302="","missing line ID",IF(B302="","missing transaction ID",IF(G302="",IF(C302="","missing date","invalid date"),IF(I302="","unknown product",IF(J302="","conflicting category",IF(NOT(OR(EXACT(K302,"sale"),EXACT(K302,"refund"))),"unknown event",IF(OR(N302="",NOT(O302)),"invalid amount",IF(OR(AND(K302="sale",N302&lt;=0),AND(K302="refund",N302&gt;=0)),"invalid sign","")))))))))</f>
        <v/>
      </c>
      <c r="U302" s="1" t="str">
        <f t="shared" si="37"/>
        <v>INCLUDED</v>
      </c>
      <c r="V302" s="1" t="str">
        <f t="shared" si="38"/>
        <v>2026-02</v>
      </c>
      <c r="W302" s="1">
        <f>IF(AND(U302="INCLUDED",X302&gt;0,EXACT(A302,'AI output'!A302)),1,0)</f>
        <v>1</v>
      </c>
      <c r="X302" s="1">
        <f>302</f>
        <v>302</v>
      </c>
      <c r="Y302" s="1">
        <f>IF(AND(U302="INCLUDED",W302=1),--(NOT(EXACT(A302,'AI output'!A302)))+--(NOT(EXACT(B302,'AI output'!B302)))+--(NOT(EXACT(TEXT(G302,"yyyy-mm-dd"),'AI output'!C302)))+--(NOT(EXACT(H302,'AI output'!D302)))+--(NOT(EXACT(J302,'AI output'!E302)))+--(NOT(EXACT(K302,'AI output'!F302)))+--(N302&lt;&gt;'AI output'!L302)+--(NOT('AI output'!M302)),0)</f>
        <v>0</v>
      </c>
      <c r="Z302" s="1">
        <f t="shared" si="39"/>
        <v>0</v>
      </c>
      <c r="AA302" s="1">
        <f>--EXACT(A302,"L00296")</f>
        <v>1</v>
      </c>
    </row>
    <row r="303" spans="1:27" ht="18.95" customHeight="1">
      <c r="A303" s="1" t="str">
        <f>IF(Raw!A303="","",Raw!A303)</f>
        <v>L00297</v>
      </c>
      <c r="B303" s="1" t="str">
        <f>IF(Raw!B303="","",Raw!B303)</f>
        <v>T00149</v>
      </c>
      <c r="C303" s="1" t="str">
        <f>IF(Raw!C303="","",Raw!C303)</f>
        <v>2026-02-16</v>
      </c>
      <c r="D303" s="1">
        <f t="shared" si="32"/>
        <v>2026</v>
      </c>
      <c r="E303" s="1">
        <f>IFERROR(IF(AND(LEN(C303)=10,MID(C303,5,1)="-",MID(C303,8,1)="-"),VALUE(MID(C303,6,2)),IF(AND(LEN(C303)=11,MID(C303,3,1)="-",MID(C303,7,1)="-"),MATCH(UPPER(MID(C303,4,3)),Guide!$D$7:$D$18,0),0)),0)</f>
        <v>2</v>
      </c>
      <c r="F303" s="1">
        <f t="shared" si="33"/>
        <v>16</v>
      </c>
      <c r="G303" s="9">
        <f t="shared" si="34"/>
        <v>46069</v>
      </c>
      <c r="H303" s="1" t="str">
        <f>IF(Raw!D303="","",Raw!D303)</f>
        <v>P-O</v>
      </c>
      <c r="I303" s="1" t="str">
        <f>IFERROR(IF(EXACT(H303,INDEX(Guide!$A$7:$A$9,MATCH(SUBSTITUTE(SUBSTITUTE(SUBSTITUTE(H303,"~","~~"),"*","~*"),"?","~?"),Guide!$A$7:$A$9,0))),INDEX(Guide!$B$7:$B$9,MATCH(SUBSTITUTE(SUBSTITUTE(SUBSTITUTE(H303,"~","~~"),"*","~*"),"?","~?"),Guide!$A$7:$A$9,0)),""),"")</f>
        <v>Office</v>
      </c>
      <c r="J303" s="1" t="str">
        <f>IF(TRIM(Raw!E303)="",I303,IF(UPPER(TRIM(Raw!E303))=UPPER(I303),I303,""))</f>
        <v>Office</v>
      </c>
      <c r="K303" s="1" t="str">
        <f>IF(Raw!F303="","",Raw!F303)</f>
        <v>sale</v>
      </c>
      <c r="L303" s="1" t="str">
        <f>IF(LEFT(TRIM(Raw!G303),2)="-$","-"&amp;MID(TRIM(Raw!G303),3,99),IF(LEFT(TRIM(Raw!G303),1)="$",MID(TRIM(Raw!G303),2,99),TRIM(Raw!G303)))</f>
        <v>343.53</v>
      </c>
      <c r="M303" s="1">
        <f t="shared" si="35"/>
        <v>343.53</v>
      </c>
      <c r="N303" s="10">
        <f t="shared" si="36"/>
        <v>34353</v>
      </c>
      <c r="O303" s="1" t="b">
        <f>IFERROR(IF(ISNUMBER(Raw!G303),TRUE,OR(EXACT(L303,TEXT(M303,"0.00")),EXACT(L303,TEXT(M303,"#,##0.00")))),FALSE)</f>
        <v>1</v>
      </c>
      <c r="P303" s="1" t="str">
        <f>LEN(IF(Raw!A303="","",Raw!A303))&amp;":"&amp;IF(Raw!A303="","",Raw!A303)&amp;"|"&amp;LEN(IF(Raw!B303="","",Raw!B303))&amp;":"&amp;IF(Raw!B303="","",Raw!B303)&amp;"|"&amp;LEN(IF(Raw!C303="","",Raw!C303))&amp;":"&amp;IF(Raw!C303="","",Raw!C303)&amp;"|"&amp;LEN(IF(Raw!D303="","",Raw!D303))&amp;":"&amp;IF(Raw!D303="","",Raw!D303)&amp;"|"&amp;LEN(IF(Raw!E303="","",Raw!E303))&amp;":"&amp;IF(Raw!E303="","",Raw!E303)&amp;"|"&amp;LEN(IF(Raw!F303="","",Raw!F303))&amp;":"&amp;IF(Raw!F303="","",Raw!F303)&amp;"|"&amp;LEN(IF(Raw!G303="","",Raw!G303))&amp;":"&amp;IF(Raw!G303="","",Raw!G303)</f>
        <v>6:L00297|6:T00149|10:2026-02-16|3:P-O|10:  office  |4:sale|6:343.53</v>
      </c>
      <c r="Q303" s="1">
        <f>1</f>
        <v>1</v>
      </c>
      <c r="R303" s="1" t="b">
        <f>FALSE</f>
        <v>0</v>
      </c>
      <c r="S303" s="1">
        <f>1</f>
        <v>1</v>
      </c>
      <c r="T303" s="1" t="str">
        <f>IF(AND(Raw!A303="",Raw!B303="",Raw!C303="",Raw!D303="",Raw!E303="",Raw!F303="",Raw!G303=""),"UNUSED",IF(A303="","missing line ID",IF(B303="","missing transaction ID",IF(G303="",IF(C303="","missing date","invalid date"),IF(I303="","unknown product",IF(J303="","conflicting category",IF(NOT(OR(EXACT(K303,"sale"),EXACT(K303,"refund"))),"unknown event",IF(OR(N303="",NOT(O303)),"invalid amount",IF(OR(AND(K303="sale",N303&lt;=0),AND(K303="refund",N303&gt;=0)),"invalid sign","")))))))))</f>
        <v/>
      </c>
      <c r="U303" s="1" t="str">
        <f t="shared" si="37"/>
        <v>INCLUDED</v>
      </c>
      <c r="V303" s="1" t="str">
        <f t="shared" si="38"/>
        <v>2026-02</v>
      </c>
      <c r="W303" s="1">
        <f>IF(AND(U303="INCLUDED",X303&gt;0,EXACT(A303,'AI output'!A303)),1,0)</f>
        <v>1</v>
      </c>
      <c r="X303" s="1">
        <f>303</f>
        <v>303</v>
      </c>
      <c r="Y303" s="1">
        <f>IF(AND(U303="INCLUDED",W303=1),--(NOT(EXACT(A303,'AI output'!A303)))+--(NOT(EXACT(B303,'AI output'!B303)))+--(NOT(EXACT(TEXT(G303,"yyyy-mm-dd"),'AI output'!C303)))+--(NOT(EXACT(H303,'AI output'!D303)))+--(NOT(EXACT(J303,'AI output'!E303)))+--(NOT(EXACT(K303,'AI output'!F303)))+--(N303&lt;&gt;'AI output'!L303)+--(NOT('AI output'!M303)),0)</f>
        <v>0</v>
      </c>
      <c r="Z303" s="1">
        <f t="shared" si="39"/>
        <v>0</v>
      </c>
      <c r="AA303" s="1">
        <f>--EXACT(A303,"L00297")</f>
        <v>1</v>
      </c>
    </row>
    <row r="304" spans="1:27" ht="18.95" customHeight="1">
      <c r="A304" s="1" t="str">
        <f>IF(Raw!A304="","",Raw!A304)</f>
        <v>L00298</v>
      </c>
      <c r="B304" s="1" t="str">
        <f>IF(Raw!B304="","",Raw!B304)</f>
        <v>T00149</v>
      </c>
      <c r="C304" s="1" t="str">
        <f>IF(Raw!C304="","",Raw!C304)</f>
        <v>2026-02-16</v>
      </c>
      <c r="D304" s="1">
        <f t="shared" si="32"/>
        <v>2026</v>
      </c>
      <c r="E304" s="1">
        <f>IFERROR(IF(AND(LEN(C304)=10,MID(C304,5,1)="-",MID(C304,8,1)="-"),VALUE(MID(C304,6,2)),IF(AND(LEN(C304)=11,MID(C304,3,1)="-",MID(C304,7,1)="-"),MATCH(UPPER(MID(C304,4,3)),Guide!$D$7:$D$18,0),0)),0)</f>
        <v>2</v>
      </c>
      <c r="F304" s="1">
        <f t="shared" si="33"/>
        <v>16</v>
      </c>
      <c r="G304" s="9">
        <f t="shared" si="34"/>
        <v>46069</v>
      </c>
      <c r="H304" s="1" t="str">
        <f>IF(Raw!D304="","",Raw!D304)</f>
        <v>P-A</v>
      </c>
      <c r="I304" s="1" t="str">
        <f>IFERROR(IF(EXACT(H304,INDEX(Guide!$A$7:$A$9,MATCH(SUBSTITUTE(SUBSTITUTE(SUBSTITUTE(H304,"~","~~"),"*","~*"),"?","~?"),Guide!$A$7:$A$9,0))),INDEX(Guide!$B$7:$B$9,MATCH(SUBSTITUTE(SUBSTITUTE(SUBSTITUTE(H304,"~","~~"),"*","~*"),"?","~?"),Guide!$A$7:$A$9,0)),""),"")</f>
        <v>Accessories</v>
      </c>
      <c r="J304" s="1" t="str">
        <f>IF(TRIM(Raw!E304)="",I304,IF(UPPER(TRIM(Raw!E304))=UPPER(I304),I304,""))</f>
        <v>Accessories</v>
      </c>
      <c r="K304" s="1" t="str">
        <f>IF(Raw!F304="","",Raw!F304)</f>
        <v>sale</v>
      </c>
      <c r="L304" s="1" t="str">
        <f>IF(LEFT(TRIM(Raw!G304),2)="-$","-"&amp;MID(TRIM(Raw!G304),3,99),IF(LEFT(TRIM(Raw!G304),1)="$",MID(TRIM(Raw!G304),2,99),TRIM(Raw!G304)))</f>
        <v>574.40</v>
      </c>
      <c r="M304" s="1">
        <f t="shared" si="35"/>
        <v>574.4</v>
      </c>
      <c r="N304" s="10">
        <f t="shared" si="36"/>
        <v>57440</v>
      </c>
      <c r="O304" s="1" t="b">
        <f>IFERROR(IF(ISNUMBER(Raw!G304),TRUE,OR(EXACT(L304,TEXT(M304,"0.00")),EXACT(L304,TEXT(M304,"#,##0.00")))),FALSE)</f>
        <v>1</v>
      </c>
      <c r="P304" s="1" t="str">
        <f>LEN(IF(Raw!A304="","",Raw!A304))&amp;":"&amp;IF(Raw!A304="","",Raw!A304)&amp;"|"&amp;LEN(IF(Raw!B304="","",Raw!B304))&amp;":"&amp;IF(Raw!B304="","",Raw!B304)&amp;"|"&amp;LEN(IF(Raw!C304="","",Raw!C304))&amp;":"&amp;IF(Raw!C304="","",Raw!C304)&amp;"|"&amp;LEN(IF(Raw!D304="","",Raw!D304))&amp;":"&amp;IF(Raw!D304="","",Raw!D304)&amp;"|"&amp;LEN(IF(Raw!E304="","",Raw!E304))&amp;":"&amp;IF(Raw!E304="","",Raw!E304)&amp;"|"&amp;LEN(IF(Raw!F304="","",Raw!F304))&amp;":"&amp;IF(Raw!F304="","",Raw!F304)&amp;"|"&amp;LEN(IF(Raw!G304="","",Raw!G304))&amp;":"&amp;IF(Raw!G304="","",Raw!G304)</f>
        <v>6:L00298|6:T00149|10:2026-02-16|3:P-A|11:Accessories|4:sale|6:574.40</v>
      </c>
      <c r="Q304" s="1">
        <f>1</f>
        <v>1</v>
      </c>
      <c r="R304" s="1" t="b">
        <f>FALSE</f>
        <v>0</v>
      </c>
      <c r="S304" s="1">
        <f>1</f>
        <v>1</v>
      </c>
      <c r="T304" s="1" t="str">
        <f>IF(AND(Raw!A304="",Raw!B304="",Raw!C304="",Raw!D304="",Raw!E304="",Raw!F304="",Raw!G304=""),"UNUSED",IF(A304="","missing line ID",IF(B304="","missing transaction ID",IF(G304="",IF(C304="","missing date","invalid date"),IF(I304="","unknown product",IF(J304="","conflicting category",IF(NOT(OR(EXACT(K304,"sale"),EXACT(K304,"refund"))),"unknown event",IF(OR(N304="",NOT(O304)),"invalid amount",IF(OR(AND(K304="sale",N304&lt;=0),AND(K304="refund",N304&gt;=0)),"invalid sign","")))))))))</f>
        <v/>
      </c>
      <c r="U304" s="1" t="str">
        <f t="shared" si="37"/>
        <v>INCLUDED</v>
      </c>
      <c r="V304" s="1" t="str">
        <f t="shared" si="38"/>
        <v>2026-02</v>
      </c>
      <c r="W304" s="1">
        <f>IF(AND(U304="INCLUDED",X304&gt;0,EXACT(A304,'AI output'!A304)),1,0)</f>
        <v>1</v>
      </c>
      <c r="X304" s="1">
        <f>304</f>
        <v>304</v>
      </c>
      <c r="Y304" s="1">
        <f>IF(AND(U304="INCLUDED",W304=1),--(NOT(EXACT(A304,'AI output'!A304)))+--(NOT(EXACT(B304,'AI output'!B304)))+--(NOT(EXACT(TEXT(G304,"yyyy-mm-dd"),'AI output'!C304)))+--(NOT(EXACT(H304,'AI output'!D304)))+--(NOT(EXACT(J304,'AI output'!E304)))+--(NOT(EXACT(K304,'AI output'!F304)))+--(N304&lt;&gt;'AI output'!L304)+--(NOT('AI output'!M304)),0)</f>
        <v>0</v>
      </c>
      <c r="Z304" s="1">
        <f t="shared" si="39"/>
        <v>0</v>
      </c>
      <c r="AA304" s="1">
        <f>--EXACT(A304,"L00298")</f>
        <v>1</v>
      </c>
    </row>
    <row r="305" spans="1:27" ht="18.95" customHeight="1">
      <c r="A305" s="1" t="str">
        <f>IF(Raw!A305="","",Raw!A305)</f>
        <v>L00299</v>
      </c>
      <c r="B305" s="1" t="str">
        <f>IF(Raw!B305="","",Raw!B305)</f>
        <v>T00150</v>
      </c>
      <c r="C305" s="1" t="str">
        <f>IF(Raw!C305="","",Raw!C305)</f>
        <v>2026-02-23</v>
      </c>
      <c r="D305" s="1">
        <f t="shared" si="32"/>
        <v>2026</v>
      </c>
      <c r="E305" s="1">
        <f>IFERROR(IF(AND(LEN(C305)=10,MID(C305,5,1)="-",MID(C305,8,1)="-"),VALUE(MID(C305,6,2)),IF(AND(LEN(C305)=11,MID(C305,3,1)="-",MID(C305,7,1)="-"),MATCH(UPPER(MID(C305,4,3)),Guide!$D$7:$D$18,0),0)),0)</f>
        <v>2</v>
      </c>
      <c r="F305" s="1">
        <f t="shared" si="33"/>
        <v>23</v>
      </c>
      <c r="G305" s="9">
        <f t="shared" si="34"/>
        <v>46076</v>
      </c>
      <c r="H305" s="1" t="str">
        <f>IF(Raw!D305="","",Raw!D305)</f>
        <v>P-H</v>
      </c>
      <c r="I305" s="1" t="str">
        <f>IFERROR(IF(EXACT(H305,INDEX(Guide!$A$7:$A$9,MATCH(SUBSTITUTE(SUBSTITUTE(SUBSTITUTE(H305,"~","~~"),"*","~*"),"?","~?"),Guide!$A$7:$A$9,0))),INDEX(Guide!$B$7:$B$9,MATCH(SUBSTITUTE(SUBSTITUTE(SUBSTITUTE(H305,"~","~~"),"*","~*"),"?","~?"),Guide!$A$7:$A$9,0)),""),"")</f>
        <v>Home</v>
      </c>
      <c r="J305" s="1" t="str">
        <f>IF(TRIM(Raw!E305)="",I305,IF(UPPER(TRIM(Raw!E305))=UPPER(I305),I305,""))</f>
        <v>Home</v>
      </c>
      <c r="K305" s="1" t="str">
        <f>IF(Raw!F305="","",Raw!F305)</f>
        <v>sale</v>
      </c>
      <c r="L305" s="1" t="str">
        <f>IF(LEFT(TRIM(Raw!G305),2)="-$","-"&amp;MID(TRIM(Raw!G305),3,99),IF(LEFT(TRIM(Raw!G305),1)="$",MID(TRIM(Raw!G305),2,99),TRIM(Raw!G305)))</f>
        <v>230.50</v>
      </c>
      <c r="M305" s="1">
        <f t="shared" si="35"/>
        <v>230.5</v>
      </c>
      <c r="N305" s="10">
        <f t="shared" si="36"/>
        <v>23050</v>
      </c>
      <c r="O305" s="1" t="b">
        <f>IFERROR(IF(ISNUMBER(Raw!G305),TRUE,OR(EXACT(L305,TEXT(M305,"0.00")),EXACT(L305,TEXT(M305,"#,##0.00")))),FALSE)</f>
        <v>1</v>
      </c>
      <c r="P305" s="1" t="str">
        <f>LEN(IF(Raw!A305="","",Raw!A305))&amp;":"&amp;IF(Raw!A305="","",Raw!A305)&amp;"|"&amp;LEN(IF(Raw!B305="","",Raw!B305))&amp;":"&amp;IF(Raw!B305="","",Raw!B305)&amp;"|"&amp;LEN(IF(Raw!C305="","",Raw!C305))&amp;":"&amp;IF(Raw!C305="","",Raw!C305)&amp;"|"&amp;LEN(IF(Raw!D305="","",Raw!D305))&amp;":"&amp;IF(Raw!D305="","",Raw!D305)&amp;"|"&amp;LEN(IF(Raw!E305="","",Raw!E305))&amp;":"&amp;IF(Raw!E305="","",Raw!E305)&amp;"|"&amp;LEN(IF(Raw!F305="","",Raw!F305))&amp;":"&amp;IF(Raw!F305="","",Raw!F305)&amp;"|"&amp;LEN(IF(Raw!G305="","",Raw!G305))&amp;":"&amp;IF(Raw!G305="","",Raw!G305)</f>
        <v>6:L00299|6:T00150|10:2026-02-23|3:P-H|4:Home|4:sale|6:230.50</v>
      </c>
      <c r="Q305" s="1">
        <f>1</f>
        <v>1</v>
      </c>
      <c r="R305" s="1" t="b">
        <f>FALSE</f>
        <v>0</v>
      </c>
      <c r="S305" s="1">
        <f>1</f>
        <v>1</v>
      </c>
      <c r="T305" s="1" t="str">
        <f>IF(AND(Raw!A305="",Raw!B305="",Raw!C305="",Raw!D305="",Raw!E305="",Raw!F305="",Raw!G305=""),"UNUSED",IF(A305="","missing line ID",IF(B305="","missing transaction ID",IF(G305="",IF(C305="","missing date","invalid date"),IF(I305="","unknown product",IF(J305="","conflicting category",IF(NOT(OR(EXACT(K305,"sale"),EXACT(K305,"refund"))),"unknown event",IF(OR(N305="",NOT(O305)),"invalid amount",IF(OR(AND(K305="sale",N305&lt;=0),AND(K305="refund",N305&gt;=0)),"invalid sign","")))))))))</f>
        <v/>
      </c>
      <c r="U305" s="1" t="str">
        <f t="shared" si="37"/>
        <v>INCLUDED</v>
      </c>
      <c r="V305" s="1" t="str">
        <f t="shared" si="38"/>
        <v>2026-02</v>
      </c>
      <c r="W305" s="1">
        <f>IF(AND(U305="INCLUDED",X305&gt;0,EXACT(A305,'AI output'!A305)),1,0)</f>
        <v>1</v>
      </c>
      <c r="X305" s="1">
        <f>305</f>
        <v>305</v>
      </c>
      <c r="Y305" s="1">
        <f>IF(AND(U305="INCLUDED",W305=1),--(NOT(EXACT(A305,'AI output'!A305)))+--(NOT(EXACT(B305,'AI output'!B305)))+--(NOT(EXACT(TEXT(G305,"yyyy-mm-dd"),'AI output'!C305)))+--(NOT(EXACT(H305,'AI output'!D305)))+--(NOT(EXACT(J305,'AI output'!E305)))+--(NOT(EXACT(K305,'AI output'!F305)))+--(N305&lt;&gt;'AI output'!L305)+--(NOT('AI output'!M305)),0)</f>
        <v>0</v>
      </c>
      <c r="Z305" s="1">
        <f t="shared" si="39"/>
        <v>0</v>
      </c>
      <c r="AA305" s="1">
        <f>--EXACT(A305,"L00299")</f>
        <v>1</v>
      </c>
    </row>
    <row r="306" spans="1:27" ht="18.95" customHeight="1">
      <c r="A306" s="1" t="str">
        <f>IF(Raw!A306="","",Raw!A306)</f>
        <v>L00300</v>
      </c>
      <c r="B306" s="1" t="str">
        <f>IF(Raw!B306="","",Raw!B306)</f>
        <v>T00150</v>
      </c>
      <c r="C306" s="1" t="str">
        <f>IF(Raw!C306="","",Raw!C306)</f>
        <v>2026-02-23</v>
      </c>
      <c r="D306" s="1">
        <f t="shared" si="32"/>
        <v>2026</v>
      </c>
      <c r="E306" s="1">
        <f>IFERROR(IF(AND(LEN(C306)=10,MID(C306,5,1)="-",MID(C306,8,1)="-"),VALUE(MID(C306,6,2)),IF(AND(LEN(C306)=11,MID(C306,3,1)="-",MID(C306,7,1)="-"),MATCH(UPPER(MID(C306,4,3)),Guide!$D$7:$D$18,0),0)),0)</f>
        <v>2</v>
      </c>
      <c r="F306" s="1">
        <f t="shared" si="33"/>
        <v>23</v>
      </c>
      <c r="G306" s="9">
        <f t="shared" si="34"/>
        <v>46076</v>
      </c>
      <c r="H306" s="1" t="str">
        <f>IF(Raw!D306="","",Raw!D306)</f>
        <v>P-O</v>
      </c>
      <c r="I306" s="1" t="str">
        <f>IFERROR(IF(EXACT(H306,INDEX(Guide!$A$7:$A$9,MATCH(SUBSTITUTE(SUBSTITUTE(SUBSTITUTE(H306,"~","~~"),"*","~*"),"?","~?"),Guide!$A$7:$A$9,0))),INDEX(Guide!$B$7:$B$9,MATCH(SUBSTITUTE(SUBSTITUTE(SUBSTITUTE(H306,"~","~~"),"*","~*"),"?","~?"),Guide!$A$7:$A$9,0)),""),"")</f>
        <v>Office</v>
      </c>
      <c r="J306" s="1" t="str">
        <f>IF(TRIM(Raw!E306)="",I306,IF(UPPER(TRIM(Raw!E306))=UPPER(I306),I306,""))</f>
        <v>Office</v>
      </c>
      <c r="K306" s="1" t="str">
        <f>IF(Raw!F306="","",Raw!F306)</f>
        <v>refund</v>
      </c>
      <c r="L306" s="1" t="str">
        <f>IF(LEFT(TRIM(Raw!G306),2)="-$","-"&amp;MID(TRIM(Raw!G306),3,99),IF(LEFT(TRIM(Raw!G306),1)="$",MID(TRIM(Raw!G306),2,99),TRIM(Raw!G306)))</f>
        <v>-462.48</v>
      </c>
      <c r="M306" s="1">
        <f t="shared" si="35"/>
        <v>-462.48</v>
      </c>
      <c r="N306" s="10">
        <f t="shared" si="36"/>
        <v>-46248</v>
      </c>
      <c r="O306" s="1" t="b">
        <f>IFERROR(IF(ISNUMBER(Raw!G306),TRUE,OR(EXACT(L306,TEXT(M306,"0.00")),EXACT(L306,TEXT(M306,"#,##0.00")))),FALSE)</f>
        <v>1</v>
      </c>
      <c r="P306" s="1" t="str">
        <f>LEN(IF(Raw!A306="","",Raw!A306))&amp;":"&amp;IF(Raw!A306="","",Raw!A306)&amp;"|"&amp;LEN(IF(Raw!B306="","",Raw!B306))&amp;":"&amp;IF(Raw!B306="","",Raw!B306)&amp;"|"&amp;LEN(IF(Raw!C306="","",Raw!C306))&amp;":"&amp;IF(Raw!C306="","",Raw!C306)&amp;"|"&amp;LEN(IF(Raw!D306="","",Raw!D306))&amp;":"&amp;IF(Raw!D306="","",Raw!D306)&amp;"|"&amp;LEN(IF(Raw!E306="","",Raw!E306))&amp;":"&amp;IF(Raw!E306="","",Raw!E306)&amp;"|"&amp;LEN(IF(Raw!F306="","",Raw!F306))&amp;":"&amp;IF(Raw!F306="","",Raw!F306)&amp;"|"&amp;LEN(IF(Raw!G306="","",Raw!G306))&amp;":"&amp;IF(Raw!G306="","",Raw!G306)</f>
        <v>6:L00300|6:T00150|10:2026-02-23|3:P-O|6:Office|6:refund|7:-462.48</v>
      </c>
      <c r="Q306" s="1">
        <f>1</f>
        <v>1</v>
      </c>
      <c r="R306" s="1" t="b">
        <f>FALSE</f>
        <v>0</v>
      </c>
      <c r="S306" s="1">
        <f>1</f>
        <v>1</v>
      </c>
      <c r="T306" s="1" t="str">
        <f>IF(AND(Raw!A306="",Raw!B306="",Raw!C306="",Raw!D306="",Raw!E306="",Raw!F306="",Raw!G306=""),"UNUSED",IF(A306="","missing line ID",IF(B306="","missing transaction ID",IF(G306="",IF(C306="","missing date","invalid date"),IF(I306="","unknown product",IF(J306="","conflicting category",IF(NOT(OR(EXACT(K306,"sale"),EXACT(K306,"refund"))),"unknown event",IF(OR(N306="",NOT(O306)),"invalid amount",IF(OR(AND(K306="sale",N306&lt;=0),AND(K306="refund",N306&gt;=0)),"invalid sign","")))))))))</f>
        <v/>
      </c>
      <c r="U306" s="1" t="str">
        <f t="shared" si="37"/>
        <v>INCLUDED</v>
      </c>
      <c r="V306" s="1" t="str">
        <f t="shared" si="38"/>
        <v>2026-02</v>
      </c>
      <c r="W306" s="1">
        <f>IF(AND(U306="INCLUDED",X306&gt;0,EXACT(A306,'AI output'!A306)),1,0)</f>
        <v>1</v>
      </c>
      <c r="X306" s="1">
        <f>306</f>
        <v>306</v>
      </c>
      <c r="Y306" s="1">
        <f>IF(AND(U306="INCLUDED",W306=1),--(NOT(EXACT(A306,'AI output'!A306)))+--(NOT(EXACT(B306,'AI output'!B306)))+--(NOT(EXACT(TEXT(G306,"yyyy-mm-dd"),'AI output'!C306)))+--(NOT(EXACT(H306,'AI output'!D306)))+--(NOT(EXACT(J306,'AI output'!E306)))+--(NOT(EXACT(K306,'AI output'!F306)))+--(N306&lt;&gt;'AI output'!L306)+--(NOT('AI output'!M306)),0)</f>
        <v>0</v>
      </c>
      <c r="Z306" s="1">
        <f t="shared" si="39"/>
        <v>0</v>
      </c>
      <c r="AA306" s="1">
        <f>--EXACT(A306,"L00300")</f>
        <v>1</v>
      </c>
    </row>
    <row r="307" spans="1:27" ht="18.95" customHeight="1">
      <c r="A307" s="1" t="str">
        <f>IF(Raw!A307="","",Raw!A307)</f>
        <v>L00301</v>
      </c>
      <c r="B307" s="1" t="str">
        <f>IF(Raw!B307="","",Raw!B307)</f>
        <v>T00151</v>
      </c>
      <c r="C307" s="1" t="str">
        <f>IF(Raw!C307="","",Raw!C307)</f>
        <v>2026-03-02</v>
      </c>
      <c r="D307" s="1">
        <f t="shared" si="32"/>
        <v>2026</v>
      </c>
      <c r="E307" s="1">
        <f>IFERROR(IF(AND(LEN(C307)=10,MID(C307,5,1)="-",MID(C307,8,1)="-"),VALUE(MID(C307,6,2)),IF(AND(LEN(C307)=11,MID(C307,3,1)="-",MID(C307,7,1)="-"),MATCH(UPPER(MID(C307,4,3)),Guide!$D$7:$D$18,0),0)),0)</f>
        <v>3</v>
      </c>
      <c r="F307" s="1">
        <f t="shared" si="33"/>
        <v>2</v>
      </c>
      <c r="G307" s="9">
        <f t="shared" si="34"/>
        <v>46083</v>
      </c>
      <c r="H307" s="1" t="str">
        <f>IF(Raw!D307="","",Raw!D307)</f>
        <v>P-A</v>
      </c>
      <c r="I307" s="1" t="str">
        <f>IFERROR(IF(EXACT(H307,INDEX(Guide!$A$7:$A$9,MATCH(SUBSTITUTE(SUBSTITUTE(SUBSTITUTE(H307,"~","~~"),"*","~*"),"?","~?"),Guide!$A$7:$A$9,0))),INDEX(Guide!$B$7:$B$9,MATCH(SUBSTITUTE(SUBSTITUTE(SUBSTITUTE(H307,"~","~~"),"*","~*"),"?","~?"),Guide!$A$7:$A$9,0)),""),"")</f>
        <v>Accessories</v>
      </c>
      <c r="J307" s="1" t="str">
        <f>IF(TRIM(Raw!E307)="",I307,IF(UPPER(TRIM(Raw!E307))=UPPER(I307),I307,""))</f>
        <v>Accessories</v>
      </c>
      <c r="K307" s="1" t="str">
        <f>IF(Raw!F307="","",Raw!F307)</f>
        <v>sale</v>
      </c>
      <c r="L307" s="1" t="str">
        <f>IF(LEFT(TRIM(Raw!G307),2)="-$","-"&amp;MID(TRIM(Raw!G307),3,99),IF(LEFT(TRIM(Raw!G307),1)="$",MID(TRIM(Raw!G307),2,99),TRIM(Raw!G307)))</f>
        <v>115.99</v>
      </c>
      <c r="M307" s="1">
        <f t="shared" si="35"/>
        <v>115.99</v>
      </c>
      <c r="N307" s="10">
        <f t="shared" si="36"/>
        <v>11599</v>
      </c>
      <c r="O307" s="1" t="b">
        <f>IFERROR(IF(ISNUMBER(Raw!G307),TRUE,OR(EXACT(L307,TEXT(M307,"0.00")),EXACT(L307,TEXT(M307,"#,##0.00")))),FALSE)</f>
        <v>1</v>
      </c>
      <c r="P307" s="1" t="str">
        <f>LEN(IF(Raw!A307="","",Raw!A307))&amp;":"&amp;IF(Raw!A307="","",Raw!A307)&amp;"|"&amp;LEN(IF(Raw!B307="","",Raw!B307))&amp;":"&amp;IF(Raw!B307="","",Raw!B307)&amp;"|"&amp;LEN(IF(Raw!C307="","",Raw!C307))&amp;":"&amp;IF(Raw!C307="","",Raw!C307)&amp;"|"&amp;LEN(IF(Raw!D307="","",Raw!D307))&amp;":"&amp;IF(Raw!D307="","",Raw!D307)&amp;"|"&amp;LEN(IF(Raw!E307="","",Raw!E307))&amp;":"&amp;IF(Raw!E307="","",Raw!E307)&amp;"|"&amp;LEN(IF(Raw!F307="","",Raw!F307))&amp;":"&amp;IF(Raw!F307="","",Raw!F307)&amp;"|"&amp;LEN(IF(Raw!G307="","",Raw!G307))&amp;":"&amp;IF(Raw!G307="","",Raw!G307)</f>
        <v>6:L00301|6:T00151|10:2026-03-02|3:P-A|11:Accessories|4:sale|6:115.99</v>
      </c>
      <c r="Q307" s="1">
        <f>1</f>
        <v>1</v>
      </c>
      <c r="R307" s="1" t="b">
        <f>FALSE</f>
        <v>0</v>
      </c>
      <c r="S307" s="1">
        <f>1</f>
        <v>1</v>
      </c>
      <c r="T307" s="1" t="str">
        <f>IF(AND(Raw!A307="",Raw!B307="",Raw!C307="",Raw!D307="",Raw!E307="",Raw!F307="",Raw!G307=""),"UNUSED",IF(A307="","missing line ID",IF(B307="","missing transaction ID",IF(G307="",IF(C307="","missing date","invalid date"),IF(I307="","unknown product",IF(J307="","conflicting category",IF(NOT(OR(EXACT(K307,"sale"),EXACT(K307,"refund"))),"unknown event",IF(OR(N307="",NOT(O307)),"invalid amount",IF(OR(AND(K307="sale",N307&lt;=0),AND(K307="refund",N307&gt;=0)),"invalid sign","")))))))))</f>
        <v/>
      </c>
      <c r="U307" s="1" t="str">
        <f t="shared" si="37"/>
        <v>INCLUDED</v>
      </c>
      <c r="V307" s="1" t="str">
        <f t="shared" si="38"/>
        <v>2026-03</v>
      </c>
      <c r="W307" s="1">
        <f>IF(AND(U307="INCLUDED",X307&gt;0,EXACT(A307,'AI output'!A307)),1,0)</f>
        <v>1</v>
      </c>
      <c r="X307" s="1">
        <f>307</f>
        <v>307</v>
      </c>
      <c r="Y307" s="1">
        <f>IF(AND(U307="INCLUDED",W307=1),--(NOT(EXACT(A307,'AI output'!A307)))+--(NOT(EXACT(B307,'AI output'!B307)))+--(NOT(EXACT(TEXT(G307,"yyyy-mm-dd"),'AI output'!C307)))+--(NOT(EXACT(H307,'AI output'!D307)))+--(NOT(EXACT(J307,'AI output'!E307)))+--(NOT(EXACT(K307,'AI output'!F307)))+--(N307&lt;&gt;'AI output'!L307)+--(NOT('AI output'!M307)),0)</f>
        <v>0</v>
      </c>
      <c r="Z307" s="1">
        <f t="shared" si="39"/>
        <v>0</v>
      </c>
      <c r="AA307" s="1">
        <f>--EXACT(A307,"L00301")</f>
        <v>1</v>
      </c>
    </row>
    <row r="308" spans="1:27" ht="18.95" customHeight="1">
      <c r="A308" s="1" t="str">
        <f>IF(Raw!A308="","",Raw!A308)</f>
        <v>L00302</v>
      </c>
      <c r="B308" s="1" t="str">
        <f>IF(Raw!B308="","",Raw!B308)</f>
        <v>T00151</v>
      </c>
      <c r="C308" s="1" t="str">
        <f>IF(Raw!C308="","",Raw!C308)</f>
        <v>2026-03-02</v>
      </c>
      <c r="D308" s="1">
        <f t="shared" si="32"/>
        <v>2026</v>
      </c>
      <c r="E308" s="1">
        <f>IFERROR(IF(AND(LEN(C308)=10,MID(C308,5,1)="-",MID(C308,8,1)="-"),VALUE(MID(C308,6,2)),IF(AND(LEN(C308)=11,MID(C308,3,1)="-",MID(C308,7,1)="-"),MATCH(UPPER(MID(C308,4,3)),Guide!$D$7:$D$18,0),0)),0)</f>
        <v>3</v>
      </c>
      <c r="F308" s="1">
        <f t="shared" si="33"/>
        <v>2</v>
      </c>
      <c r="G308" s="9">
        <f t="shared" si="34"/>
        <v>46083</v>
      </c>
      <c r="H308" s="1" t="str">
        <f>IF(Raw!D308="","",Raw!D308)</f>
        <v>P-H</v>
      </c>
      <c r="I308" s="1" t="str">
        <f>IFERROR(IF(EXACT(H308,INDEX(Guide!$A$7:$A$9,MATCH(SUBSTITUTE(SUBSTITUTE(SUBSTITUTE(H308,"~","~~"),"*","~*"),"?","~?"),Guide!$A$7:$A$9,0))),INDEX(Guide!$B$7:$B$9,MATCH(SUBSTITUTE(SUBSTITUTE(SUBSTITUTE(H308,"~","~~"),"*","~*"),"?","~?"),Guide!$A$7:$A$9,0)),""),"")</f>
        <v>Home</v>
      </c>
      <c r="J308" s="1" t="str">
        <f>IF(TRIM(Raw!E308)="",I308,IF(UPPER(TRIM(Raw!E308))=UPPER(I308),I308,""))</f>
        <v>Home</v>
      </c>
      <c r="K308" s="1" t="str">
        <f>IF(Raw!F308="","",Raw!F308)</f>
        <v>sale</v>
      </c>
      <c r="L308" s="1" t="str">
        <f>IF(LEFT(TRIM(Raw!G308),2)="-$","-"&amp;MID(TRIM(Raw!G308),3,99),IF(LEFT(TRIM(Raw!G308),1)="$",MID(TRIM(Raw!G308),2,99),TRIM(Raw!G308)))</f>
        <v>349.08</v>
      </c>
      <c r="M308" s="1">
        <f t="shared" si="35"/>
        <v>349.08</v>
      </c>
      <c r="N308" s="10">
        <f t="shared" si="36"/>
        <v>34908</v>
      </c>
      <c r="O308" s="1" t="b">
        <f>IFERROR(IF(ISNUMBER(Raw!G308),TRUE,OR(EXACT(L308,TEXT(M308,"0.00")),EXACT(L308,TEXT(M308,"#,##0.00")))),FALSE)</f>
        <v>1</v>
      </c>
      <c r="P308" s="1" t="str">
        <f>LEN(IF(Raw!A308="","",Raw!A308))&amp;":"&amp;IF(Raw!A308="","",Raw!A308)&amp;"|"&amp;LEN(IF(Raw!B308="","",Raw!B308))&amp;":"&amp;IF(Raw!B308="","",Raw!B308)&amp;"|"&amp;LEN(IF(Raw!C308="","",Raw!C308))&amp;":"&amp;IF(Raw!C308="","",Raw!C308)&amp;"|"&amp;LEN(IF(Raw!D308="","",Raw!D308))&amp;":"&amp;IF(Raw!D308="","",Raw!D308)&amp;"|"&amp;LEN(IF(Raw!E308="","",Raw!E308))&amp;":"&amp;IF(Raw!E308="","",Raw!E308)&amp;"|"&amp;LEN(IF(Raw!F308="","",Raw!F308))&amp;":"&amp;IF(Raw!F308="","",Raw!F308)&amp;"|"&amp;LEN(IF(Raw!G308="","",Raw!G308))&amp;":"&amp;IF(Raw!G308="","",Raw!G308)</f>
        <v>6:L00302|6:T00151|10:2026-03-02|3:P-H|4:Home|4:sale|6:349.08</v>
      </c>
      <c r="Q308" s="1">
        <f>1</f>
        <v>1</v>
      </c>
      <c r="R308" s="1" t="b">
        <f>FALSE</f>
        <v>0</v>
      </c>
      <c r="S308" s="1">
        <f>1</f>
        <v>1</v>
      </c>
      <c r="T308" s="1" t="str">
        <f>IF(AND(Raw!A308="",Raw!B308="",Raw!C308="",Raw!D308="",Raw!E308="",Raw!F308="",Raw!G308=""),"UNUSED",IF(A308="","missing line ID",IF(B308="","missing transaction ID",IF(G308="",IF(C308="","missing date","invalid date"),IF(I308="","unknown product",IF(J308="","conflicting category",IF(NOT(OR(EXACT(K308,"sale"),EXACT(K308,"refund"))),"unknown event",IF(OR(N308="",NOT(O308)),"invalid amount",IF(OR(AND(K308="sale",N308&lt;=0),AND(K308="refund",N308&gt;=0)),"invalid sign","")))))))))</f>
        <v/>
      </c>
      <c r="U308" s="1" t="str">
        <f t="shared" si="37"/>
        <v>INCLUDED</v>
      </c>
      <c r="V308" s="1" t="str">
        <f t="shared" si="38"/>
        <v>2026-03</v>
      </c>
      <c r="W308" s="1">
        <f>IF(AND(U308="INCLUDED",X308&gt;0,EXACT(A308,'AI output'!A308)),1,0)</f>
        <v>1</v>
      </c>
      <c r="X308" s="1">
        <f>308</f>
        <v>308</v>
      </c>
      <c r="Y308" s="1">
        <f>IF(AND(U308="INCLUDED",W308=1),--(NOT(EXACT(A308,'AI output'!A308)))+--(NOT(EXACT(B308,'AI output'!B308)))+--(NOT(EXACT(TEXT(G308,"yyyy-mm-dd"),'AI output'!C308)))+--(NOT(EXACT(H308,'AI output'!D308)))+--(NOT(EXACT(J308,'AI output'!E308)))+--(NOT(EXACT(K308,'AI output'!F308)))+--(N308&lt;&gt;'AI output'!L308)+--(NOT('AI output'!M308)),0)</f>
        <v>0</v>
      </c>
      <c r="Z308" s="1">
        <f t="shared" si="39"/>
        <v>0</v>
      </c>
      <c r="AA308" s="1">
        <f>--EXACT(A308,"L00302")</f>
        <v>1</v>
      </c>
    </row>
    <row r="309" spans="1:27" ht="18.95" customHeight="1">
      <c r="A309" s="1" t="str">
        <f>IF(Raw!A309="","",Raw!A309)</f>
        <v>L00303</v>
      </c>
      <c r="B309" s="1" t="str">
        <f>IF(Raw!B309="","",Raw!B309)</f>
        <v>T00152</v>
      </c>
      <c r="C309" s="1" t="str">
        <f>IF(Raw!C309="","",Raw!C309)</f>
        <v>2026-03-09</v>
      </c>
      <c r="D309" s="1">
        <f t="shared" si="32"/>
        <v>2026</v>
      </c>
      <c r="E309" s="1">
        <f>IFERROR(IF(AND(LEN(C309)=10,MID(C309,5,1)="-",MID(C309,8,1)="-"),VALUE(MID(C309,6,2)),IF(AND(LEN(C309)=11,MID(C309,3,1)="-",MID(C309,7,1)="-"),MATCH(UPPER(MID(C309,4,3)),Guide!$D$7:$D$18,0),0)),0)</f>
        <v>3</v>
      </c>
      <c r="F309" s="1">
        <f t="shared" si="33"/>
        <v>9</v>
      </c>
      <c r="G309" s="9">
        <f t="shared" si="34"/>
        <v>46090</v>
      </c>
      <c r="H309" s="1" t="str">
        <f>IF(Raw!D309="","",Raw!D309)</f>
        <v>P-O</v>
      </c>
      <c r="I309" s="1" t="str">
        <f>IFERROR(IF(EXACT(H309,INDEX(Guide!$A$7:$A$9,MATCH(SUBSTITUTE(SUBSTITUTE(SUBSTITUTE(H309,"~","~~"),"*","~*"),"?","~?"),Guide!$A$7:$A$9,0))),INDEX(Guide!$B$7:$B$9,MATCH(SUBSTITUTE(SUBSTITUTE(SUBSTITUTE(H309,"~","~~"),"*","~*"),"?","~?"),Guide!$A$7:$A$9,0)),""),"")</f>
        <v>Office</v>
      </c>
      <c r="J309" s="1" t="str">
        <f>IF(TRIM(Raw!E309)="",I309,IF(UPPER(TRIM(Raw!E309))=UPPER(I309),I309,""))</f>
        <v>Office</v>
      </c>
      <c r="K309" s="1" t="str">
        <f>IF(Raw!F309="","",Raw!F309)</f>
        <v>sale</v>
      </c>
      <c r="L309" s="1" t="str">
        <f>IF(LEFT(TRIM(Raw!G309),2)="-$","-"&amp;MID(TRIM(Raw!G309),3,99),IF(LEFT(TRIM(Raw!G309),1)="$",MID(TRIM(Raw!G309),2,99),TRIM(Raw!G309)))</f>
        <v>583.65</v>
      </c>
      <c r="M309" s="1">
        <f t="shared" si="35"/>
        <v>583.65</v>
      </c>
      <c r="N309" s="10">
        <f t="shared" si="36"/>
        <v>58365</v>
      </c>
      <c r="O309" s="1" t="b">
        <f>IFERROR(IF(ISNUMBER(Raw!G309),TRUE,OR(EXACT(L309,TEXT(M309,"0.00")),EXACT(L309,TEXT(M309,"#,##0.00")))),FALSE)</f>
        <v>1</v>
      </c>
      <c r="P309" s="1" t="str">
        <f>LEN(IF(Raw!A309="","",Raw!A309))&amp;":"&amp;IF(Raw!A309="","",Raw!A309)&amp;"|"&amp;LEN(IF(Raw!B309="","",Raw!B309))&amp;":"&amp;IF(Raw!B309="","",Raw!B309)&amp;"|"&amp;LEN(IF(Raw!C309="","",Raw!C309))&amp;":"&amp;IF(Raw!C309="","",Raw!C309)&amp;"|"&amp;LEN(IF(Raw!D309="","",Raw!D309))&amp;":"&amp;IF(Raw!D309="","",Raw!D309)&amp;"|"&amp;LEN(IF(Raw!E309="","",Raw!E309))&amp;":"&amp;IF(Raw!E309="","",Raw!E309)&amp;"|"&amp;LEN(IF(Raw!F309="","",Raw!F309))&amp;":"&amp;IF(Raw!F309="","",Raw!F309)&amp;"|"&amp;LEN(IF(Raw!G309="","",Raw!G309))&amp;":"&amp;IF(Raw!G309="","",Raw!G309)</f>
        <v>6:L00303|6:T00152|10:2026-03-09|3:P-O|6:Office|4:sale|6:583.65</v>
      </c>
      <c r="Q309" s="1">
        <f>1</f>
        <v>1</v>
      </c>
      <c r="R309" s="1" t="b">
        <f>FALSE</f>
        <v>0</v>
      </c>
      <c r="S309" s="1">
        <f>1</f>
        <v>1</v>
      </c>
      <c r="T309" s="1" t="str">
        <f>IF(AND(Raw!A309="",Raw!B309="",Raw!C309="",Raw!D309="",Raw!E309="",Raw!F309="",Raw!G309=""),"UNUSED",IF(A309="","missing line ID",IF(B309="","missing transaction ID",IF(G309="",IF(C309="","missing date","invalid date"),IF(I309="","unknown product",IF(J309="","conflicting category",IF(NOT(OR(EXACT(K309,"sale"),EXACT(K309,"refund"))),"unknown event",IF(OR(N309="",NOT(O309)),"invalid amount",IF(OR(AND(K309="sale",N309&lt;=0),AND(K309="refund",N309&gt;=0)),"invalid sign","")))))))))</f>
        <v/>
      </c>
      <c r="U309" s="1" t="str">
        <f t="shared" si="37"/>
        <v>INCLUDED</v>
      </c>
      <c r="V309" s="1" t="str">
        <f t="shared" si="38"/>
        <v>2026-03</v>
      </c>
      <c r="W309" s="1">
        <f>IF(AND(U309="INCLUDED",X309&gt;0,EXACT(A309,'AI output'!A309)),1,0)</f>
        <v>1</v>
      </c>
      <c r="X309" s="1">
        <f>309</f>
        <v>309</v>
      </c>
      <c r="Y309" s="1">
        <f>IF(AND(U309="INCLUDED",W309=1),--(NOT(EXACT(A309,'AI output'!A309)))+--(NOT(EXACT(B309,'AI output'!B309)))+--(NOT(EXACT(TEXT(G309,"yyyy-mm-dd"),'AI output'!C309)))+--(NOT(EXACT(H309,'AI output'!D309)))+--(NOT(EXACT(J309,'AI output'!E309)))+--(NOT(EXACT(K309,'AI output'!F309)))+--(N309&lt;&gt;'AI output'!L309)+--(NOT('AI output'!M309)),0)</f>
        <v>0</v>
      </c>
      <c r="Z309" s="1">
        <f t="shared" si="39"/>
        <v>0</v>
      </c>
      <c r="AA309" s="1">
        <f>--EXACT(A309,"L00303")</f>
        <v>1</v>
      </c>
    </row>
    <row r="310" spans="1:27" ht="18.95" customHeight="1">
      <c r="A310" s="1" t="str">
        <f>IF(Raw!A310="","",Raw!A310)</f>
        <v>L00304</v>
      </c>
      <c r="B310" s="1" t="str">
        <f>IF(Raw!B310="","",Raw!B310)</f>
        <v>T00152</v>
      </c>
      <c r="C310" s="1" t="str">
        <f>IF(Raw!C310="","",Raw!C310)</f>
        <v>2026-03-09</v>
      </c>
      <c r="D310" s="1">
        <f t="shared" si="32"/>
        <v>2026</v>
      </c>
      <c r="E310" s="1">
        <f>IFERROR(IF(AND(LEN(C310)=10,MID(C310,5,1)="-",MID(C310,8,1)="-"),VALUE(MID(C310,6,2)),IF(AND(LEN(C310)=11,MID(C310,3,1)="-",MID(C310,7,1)="-"),MATCH(UPPER(MID(C310,4,3)),Guide!$D$7:$D$18,0),0)),0)</f>
        <v>3</v>
      </c>
      <c r="F310" s="1">
        <f t="shared" si="33"/>
        <v>9</v>
      </c>
      <c r="G310" s="9">
        <f t="shared" si="34"/>
        <v>46090</v>
      </c>
      <c r="H310" s="1" t="str">
        <f>IF(Raw!D310="","",Raw!D310)</f>
        <v>P-A</v>
      </c>
      <c r="I310" s="1" t="str">
        <f>IFERROR(IF(EXACT(H310,INDEX(Guide!$A$7:$A$9,MATCH(SUBSTITUTE(SUBSTITUTE(SUBSTITUTE(H310,"~","~~"),"*","~*"),"?","~?"),Guide!$A$7:$A$9,0))),INDEX(Guide!$B$7:$B$9,MATCH(SUBSTITUTE(SUBSTITUTE(SUBSTITUTE(H310,"~","~~"),"*","~*"),"?","~?"),Guide!$A$7:$A$9,0)),""),"")</f>
        <v>Accessories</v>
      </c>
      <c r="J310" s="1" t="str">
        <f>IF(TRIM(Raw!E310)="",I310,IF(UPPER(TRIM(Raw!E310))=UPPER(I310),I310,""))</f>
        <v>Accessories</v>
      </c>
      <c r="K310" s="1" t="str">
        <f>IF(Raw!F310="","",Raw!F310)</f>
        <v>sale</v>
      </c>
      <c r="L310" s="1" t="str">
        <f>IF(LEFT(TRIM(Raw!G310),2)="-$","-"&amp;MID(TRIM(Raw!G310),3,99),IF(LEFT(TRIM(Raw!G310),1)="$",MID(TRIM(Raw!G310),2,99),TRIM(Raw!G310)))</f>
        <v>234.20</v>
      </c>
      <c r="M310" s="1">
        <f t="shared" si="35"/>
        <v>234.2</v>
      </c>
      <c r="N310" s="10">
        <f t="shared" si="36"/>
        <v>23420</v>
      </c>
      <c r="O310" s="1" t="b">
        <f>IFERROR(IF(ISNUMBER(Raw!G310),TRUE,OR(EXACT(L310,TEXT(M310,"0.00")),EXACT(L310,TEXT(M310,"#,##0.00")))),FALSE)</f>
        <v>1</v>
      </c>
      <c r="P310" s="1" t="str">
        <f>LEN(IF(Raw!A310="","",Raw!A310))&amp;":"&amp;IF(Raw!A310="","",Raw!A310)&amp;"|"&amp;LEN(IF(Raw!B310="","",Raw!B310))&amp;":"&amp;IF(Raw!B310="","",Raw!B310)&amp;"|"&amp;LEN(IF(Raw!C310="","",Raw!C310))&amp;":"&amp;IF(Raw!C310="","",Raw!C310)&amp;"|"&amp;LEN(IF(Raw!D310="","",Raw!D310))&amp;":"&amp;IF(Raw!D310="","",Raw!D310)&amp;"|"&amp;LEN(IF(Raw!E310="","",Raw!E310))&amp;":"&amp;IF(Raw!E310="","",Raw!E310)&amp;"|"&amp;LEN(IF(Raw!F310="","",Raw!F310))&amp;":"&amp;IF(Raw!F310="","",Raw!F310)&amp;"|"&amp;LEN(IF(Raw!G310="","",Raw!G310))&amp;":"&amp;IF(Raw!G310="","",Raw!G310)</f>
        <v>6:L00304|6:T00152|10:2026-03-09|3:P-A|11:Accessories|4:sale|6:234.20</v>
      </c>
      <c r="Q310" s="1">
        <f>1</f>
        <v>1</v>
      </c>
      <c r="R310" s="1" t="b">
        <f>FALSE</f>
        <v>0</v>
      </c>
      <c r="S310" s="1">
        <f>1</f>
        <v>1</v>
      </c>
      <c r="T310" s="1" t="str">
        <f>IF(AND(Raw!A310="",Raw!B310="",Raw!C310="",Raw!D310="",Raw!E310="",Raw!F310="",Raw!G310=""),"UNUSED",IF(A310="","missing line ID",IF(B310="","missing transaction ID",IF(G310="",IF(C310="","missing date","invalid date"),IF(I310="","unknown product",IF(J310="","conflicting category",IF(NOT(OR(EXACT(K310,"sale"),EXACT(K310,"refund"))),"unknown event",IF(OR(N310="",NOT(O310)),"invalid amount",IF(OR(AND(K310="sale",N310&lt;=0),AND(K310="refund",N310&gt;=0)),"invalid sign","")))))))))</f>
        <v/>
      </c>
      <c r="U310" s="1" t="str">
        <f t="shared" si="37"/>
        <v>INCLUDED</v>
      </c>
      <c r="V310" s="1" t="str">
        <f t="shared" si="38"/>
        <v>2026-03</v>
      </c>
      <c r="W310" s="1">
        <f>IF(AND(U310="INCLUDED",X310&gt;0,EXACT(A310,'AI output'!A310)),1,0)</f>
        <v>1</v>
      </c>
      <c r="X310" s="1">
        <f>310</f>
        <v>310</v>
      </c>
      <c r="Y310" s="1">
        <f>IF(AND(U310="INCLUDED",W310=1),--(NOT(EXACT(A310,'AI output'!A310)))+--(NOT(EXACT(B310,'AI output'!B310)))+--(NOT(EXACT(TEXT(G310,"yyyy-mm-dd"),'AI output'!C310)))+--(NOT(EXACT(H310,'AI output'!D310)))+--(NOT(EXACT(J310,'AI output'!E310)))+--(NOT(EXACT(K310,'AI output'!F310)))+--(N310&lt;&gt;'AI output'!L310)+--(NOT('AI output'!M310)),0)</f>
        <v>0</v>
      </c>
      <c r="Z310" s="1">
        <f t="shared" si="39"/>
        <v>0</v>
      </c>
      <c r="AA310" s="1">
        <f>--EXACT(A310,"L00304")</f>
        <v>1</v>
      </c>
    </row>
    <row r="311" spans="1:27" ht="18.95" customHeight="1">
      <c r="A311" s="1" t="str">
        <f>IF(Raw!A311="","",Raw!A311)</f>
        <v>L00305</v>
      </c>
      <c r="B311" s="1" t="str">
        <f>IF(Raw!B311="","",Raw!B311)</f>
        <v>T00153</v>
      </c>
      <c r="C311" s="1" t="str">
        <f>IF(Raw!C311="","",Raw!C311)</f>
        <v>2026-03-16</v>
      </c>
      <c r="D311" s="1">
        <f t="shared" si="32"/>
        <v>2026</v>
      </c>
      <c r="E311" s="1">
        <f>IFERROR(IF(AND(LEN(C311)=10,MID(C311,5,1)="-",MID(C311,8,1)="-"),VALUE(MID(C311,6,2)),IF(AND(LEN(C311)=11,MID(C311,3,1)="-",MID(C311,7,1)="-"),MATCH(UPPER(MID(C311,4,3)),Guide!$D$7:$D$18,0),0)),0)</f>
        <v>3</v>
      </c>
      <c r="F311" s="1">
        <f t="shared" si="33"/>
        <v>16</v>
      </c>
      <c r="G311" s="9">
        <f t="shared" si="34"/>
        <v>46097</v>
      </c>
      <c r="H311" s="1" t="str">
        <f>IF(Raw!D311="","",Raw!D311)</f>
        <v>P-H</v>
      </c>
      <c r="I311" s="1" t="str">
        <f>IFERROR(IF(EXACT(H311,INDEX(Guide!$A$7:$A$9,MATCH(SUBSTITUTE(SUBSTITUTE(SUBSTITUTE(H311,"~","~~"),"*","~*"),"?","~?"),Guide!$A$7:$A$9,0))),INDEX(Guide!$B$7:$B$9,MATCH(SUBSTITUTE(SUBSTITUTE(SUBSTITUTE(H311,"~","~~"),"*","~*"),"?","~?"),Guide!$A$7:$A$9,0)),""),"")</f>
        <v>Home</v>
      </c>
      <c r="J311" s="1" t="str">
        <f>IF(TRIM(Raw!E311)="",I311,IF(UPPER(TRIM(Raw!E311))=UPPER(I311),I311,""))</f>
        <v>Home</v>
      </c>
      <c r="K311" s="1" t="str">
        <f>IF(Raw!F311="","",Raw!F311)</f>
        <v>sale</v>
      </c>
      <c r="L311" s="1" t="str">
        <f>IF(LEFT(TRIM(Raw!G311),2)="-$","-"&amp;MID(TRIM(Raw!G311),3,99),IF(LEFT(TRIM(Raw!G311),1)="$",MID(TRIM(Raw!G311),2,99),TRIM(Raw!G311)))</f>
        <v>469.88</v>
      </c>
      <c r="M311" s="1">
        <f t="shared" si="35"/>
        <v>469.88</v>
      </c>
      <c r="N311" s="10">
        <f t="shared" si="36"/>
        <v>46988</v>
      </c>
      <c r="O311" s="1" t="b">
        <f>IFERROR(IF(ISNUMBER(Raw!G311),TRUE,OR(EXACT(L311,TEXT(M311,"0.00")),EXACT(L311,TEXT(M311,"#,##0.00")))),FALSE)</f>
        <v>1</v>
      </c>
      <c r="P311" s="1" t="str">
        <f>LEN(IF(Raw!A311="","",Raw!A311))&amp;":"&amp;IF(Raw!A311="","",Raw!A311)&amp;"|"&amp;LEN(IF(Raw!B311="","",Raw!B311))&amp;":"&amp;IF(Raw!B311="","",Raw!B311)&amp;"|"&amp;LEN(IF(Raw!C311="","",Raw!C311))&amp;":"&amp;IF(Raw!C311="","",Raw!C311)&amp;"|"&amp;LEN(IF(Raw!D311="","",Raw!D311))&amp;":"&amp;IF(Raw!D311="","",Raw!D311)&amp;"|"&amp;LEN(IF(Raw!E311="","",Raw!E311))&amp;":"&amp;IF(Raw!E311="","",Raw!E311)&amp;"|"&amp;LEN(IF(Raw!F311="","",Raw!F311))&amp;":"&amp;IF(Raw!F311="","",Raw!F311)&amp;"|"&amp;LEN(IF(Raw!G311="","",Raw!G311))&amp;":"&amp;IF(Raw!G311="","",Raw!G311)</f>
        <v>6:L00305|6:T00153|10:2026-03-16|3:P-H|4:Home|4:sale|6:469.88</v>
      </c>
      <c r="Q311" s="1">
        <f>1</f>
        <v>1</v>
      </c>
      <c r="R311" s="1" t="b">
        <f>FALSE</f>
        <v>0</v>
      </c>
      <c r="S311" s="1">
        <f>1</f>
        <v>1</v>
      </c>
      <c r="T311" s="1" t="str">
        <f>IF(AND(Raw!A311="",Raw!B311="",Raw!C311="",Raw!D311="",Raw!E311="",Raw!F311="",Raw!G311=""),"UNUSED",IF(A311="","missing line ID",IF(B311="","missing transaction ID",IF(G311="",IF(C311="","missing date","invalid date"),IF(I311="","unknown product",IF(J311="","conflicting category",IF(NOT(OR(EXACT(K311,"sale"),EXACT(K311,"refund"))),"unknown event",IF(OR(N311="",NOT(O311)),"invalid amount",IF(OR(AND(K311="sale",N311&lt;=0),AND(K311="refund",N311&gt;=0)),"invalid sign","")))))))))</f>
        <v/>
      </c>
      <c r="U311" s="1" t="str">
        <f t="shared" si="37"/>
        <v>INCLUDED</v>
      </c>
      <c r="V311" s="1" t="str">
        <f t="shared" si="38"/>
        <v>2026-03</v>
      </c>
      <c r="W311" s="1">
        <f>IF(AND(U311="INCLUDED",X311&gt;0,EXACT(A311,'AI output'!A311)),1,0)</f>
        <v>1</v>
      </c>
      <c r="X311" s="1">
        <f>311</f>
        <v>311</v>
      </c>
      <c r="Y311" s="1">
        <f>IF(AND(U311="INCLUDED",W311=1),--(NOT(EXACT(A311,'AI output'!A311)))+--(NOT(EXACT(B311,'AI output'!B311)))+--(NOT(EXACT(TEXT(G311,"yyyy-mm-dd"),'AI output'!C311)))+--(NOT(EXACT(H311,'AI output'!D311)))+--(NOT(EXACT(J311,'AI output'!E311)))+--(NOT(EXACT(K311,'AI output'!F311)))+--(N311&lt;&gt;'AI output'!L311)+--(NOT('AI output'!M311)),0)</f>
        <v>0</v>
      </c>
      <c r="Z311" s="1">
        <f t="shared" si="39"/>
        <v>0</v>
      </c>
      <c r="AA311" s="1">
        <f>--EXACT(A311,"L00305")</f>
        <v>1</v>
      </c>
    </row>
    <row r="312" spans="1:27" ht="18.95" customHeight="1">
      <c r="A312" s="1" t="str">
        <f>IF(Raw!A312="","",Raw!A312)</f>
        <v>L00306</v>
      </c>
      <c r="B312" s="1" t="str">
        <f>IF(Raw!B312="","",Raw!B312)</f>
        <v>T00153</v>
      </c>
      <c r="C312" s="1" t="str">
        <f>IF(Raw!C312="","",Raw!C312)</f>
        <v>2026-03-16</v>
      </c>
      <c r="D312" s="1">
        <f t="shared" si="32"/>
        <v>2026</v>
      </c>
      <c r="E312" s="1">
        <f>IFERROR(IF(AND(LEN(C312)=10,MID(C312,5,1)="-",MID(C312,8,1)="-"),VALUE(MID(C312,6,2)),IF(AND(LEN(C312)=11,MID(C312,3,1)="-",MID(C312,7,1)="-"),MATCH(UPPER(MID(C312,4,3)),Guide!$D$7:$D$18,0),0)),0)</f>
        <v>3</v>
      </c>
      <c r="F312" s="1">
        <f t="shared" si="33"/>
        <v>16</v>
      </c>
      <c r="G312" s="9">
        <f t="shared" si="34"/>
        <v>46097</v>
      </c>
      <c r="H312" s="1" t="str">
        <f>IF(Raw!D312="","",Raw!D312)</f>
        <v>P-O</v>
      </c>
      <c r="I312" s="1" t="str">
        <f>IFERROR(IF(EXACT(H312,INDEX(Guide!$A$7:$A$9,MATCH(SUBSTITUTE(SUBSTITUTE(SUBSTITUTE(H312,"~","~~"),"*","~*"),"?","~?"),Guide!$A$7:$A$9,0))),INDEX(Guide!$B$7:$B$9,MATCH(SUBSTITUTE(SUBSTITUTE(SUBSTITUTE(H312,"~","~~"),"*","~*"),"?","~?"),Guide!$A$7:$A$9,0)),""),"")</f>
        <v>Office</v>
      </c>
      <c r="J312" s="1" t="str">
        <f>IF(TRIM(Raw!E312)="",I312,IF(UPPER(TRIM(Raw!E312))=UPPER(I312),I312,""))</f>
        <v>Office</v>
      </c>
      <c r="K312" s="1" t="str">
        <f>IF(Raw!F312="","",Raw!F312)</f>
        <v>sale</v>
      </c>
      <c r="L312" s="1" t="str">
        <f>IF(LEFT(TRIM(Raw!G312),2)="-$","-"&amp;MID(TRIM(Raw!G312),3,99),IF(LEFT(TRIM(Raw!G312),1)="$",MID(TRIM(Raw!G312),2,99),TRIM(Raw!G312)))</f>
        <v>117.84</v>
      </c>
      <c r="M312" s="1">
        <f t="shared" si="35"/>
        <v>117.84</v>
      </c>
      <c r="N312" s="10">
        <f t="shared" si="36"/>
        <v>11784</v>
      </c>
      <c r="O312" s="1" t="b">
        <f>IFERROR(IF(ISNUMBER(Raw!G312),TRUE,OR(EXACT(L312,TEXT(M312,"0.00")),EXACT(L312,TEXT(M312,"#,##0.00")))),FALSE)</f>
        <v>1</v>
      </c>
      <c r="P312" s="1" t="str">
        <f>LEN(IF(Raw!A312="","",Raw!A312))&amp;":"&amp;IF(Raw!A312="","",Raw!A312)&amp;"|"&amp;LEN(IF(Raw!B312="","",Raw!B312))&amp;":"&amp;IF(Raw!B312="","",Raw!B312)&amp;"|"&amp;LEN(IF(Raw!C312="","",Raw!C312))&amp;":"&amp;IF(Raw!C312="","",Raw!C312)&amp;"|"&amp;LEN(IF(Raw!D312="","",Raw!D312))&amp;":"&amp;IF(Raw!D312="","",Raw!D312)&amp;"|"&amp;LEN(IF(Raw!E312="","",Raw!E312))&amp;":"&amp;IF(Raw!E312="","",Raw!E312)&amp;"|"&amp;LEN(IF(Raw!F312="","",Raw!F312))&amp;":"&amp;IF(Raw!F312="","",Raw!F312)&amp;"|"&amp;LEN(IF(Raw!G312="","",Raw!G312))&amp;":"&amp;IF(Raw!G312="","",Raw!G312)</f>
        <v>6:L00306|6:T00153|10:2026-03-16|3:P-O|6:Office|4:sale|6:117.84</v>
      </c>
      <c r="Q312" s="1">
        <f>1</f>
        <v>1</v>
      </c>
      <c r="R312" s="1" t="b">
        <f>FALSE</f>
        <v>0</v>
      </c>
      <c r="S312" s="1">
        <f>1</f>
        <v>1</v>
      </c>
      <c r="T312" s="1" t="str">
        <f>IF(AND(Raw!A312="",Raw!B312="",Raw!C312="",Raw!D312="",Raw!E312="",Raw!F312="",Raw!G312=""),"UNUSED",IF(A312="","missing line ID",IF(B312="","missing transaction ID",IF(G312="",IF(C312="","missing date","invalid date"),IF(I312="","unknown product",IF(J312="","conflicting category",IF(NOT(OR(EXACT(K312,"sale"),EXACT(K312,"refund"))),"unknown event",IF(OR(N312="",NOT(O312)),"invalid amount",IF(OR(AND(K312="sale",N312&lt;=0),AND(K312="refund",N312&gt;=0)),"invalid sign","")))))))))</f>
        <v/>
      </c>
      <c r="U312" s="1" t="str">
        <f t="shared" si="37"/>
        <v>INCLUDED</v>
      </c>
      <c r="V312" s="1" t="str">
        <f t="shared" si="38"/>
        <v>2026-03</v>
      </c>
      <c r="W312" s="1">
        <f>IF(AND(U312="INCLUDED",X312&gt;0,EXACT(A312,'AI output'!A312)),1,0)</f>
        <v>1</v>
      </c>
      <c r="X312" s="1">
        <f>312</f>
        <v>312</v>
      </c>
      <c r="Y312" s="1">
        <f>IF(AND(U312="INCLUDED",W312=1),--(NOT(EXACT(A312,'AI output'!A312)))+--(NOT(EXACT(B312,'AI output'!B312)))+--(NOT(EXACT(TEXT(G312,"yyyy-mm-dd"),'AI output'!C312)))+--(NOT(EXACT(H312,'AI output'!D312)))+--(NOT(EXACT(J312,'AI output'!E312)))+--(NOT(EXACT(K312,'AI output'!F312)))+--(N312&lt;&gt;'AI output'!L312)+--(NOT('AI output'!M312)),0)</f>
        <v>0</v>
      </c>
      <c r="Z312" s="1">
        <f t="shared" si="39"/>
        <v>0</v>
      </c>
      <c r="AA312" s="1">
        <f>--EXACT(A312,"L00306")</f>
        <v>1</v>
      </c>
    </row>
    <row r="313" spans="1:27" ht="18.95" customHeight="1">
      <c r="A313" s="1" t="str">
        <f>IF(Raw!A313="","",Raw!A313)</f>
        <v>L00307</v>
      </c>
      <c r="B313" s="1" t="str">
        <f>IF(Raw!B313="","",Raw!B313)</f>
        <v>T00154</v>
      </c>
      <c r="C313" s="1" t="str">
        <f>IF(Raw!C313="","",Raw!C313)</f>
        <v>2026-03-23</v>
      </c>
      <c r="D313" s="1">
        <f t="shared" si="32"/>
        <v>2026</v>
      </c>
      <c r="E313" s="1">
        <f>IFERROR(IF(AND(LEN(C313)=10,MID(C313,5,1)="-",MID(C313,8,1)="-"),VALUE(MID(C313,6,2)),IF(AND(LEN(C313)=11,MID(C313,3,1)="-",MID(C313,7,1)="-"),MATCH(UPPER(MID(C313,4,3)),Guide!$D$7:$D$18,0),0)),0)</f>
        <v>3</v>
      </c>
      <c r="F313" s="1">
        <f t="shared" si="33"/>
        <v>23</v>
      </c>
      <c r="G313" s="9">
        <f t="shared" si="34"/>
        <v>46104</v>
      </c>
      <c r="H313" s="1" t="str">
        <f>IF(Raw!D313="","",Raw!D313)</f>
        <v>P-A</v>
      </c>
      <c r="I313" s="1" t="str">
        <f>IFERROR(IF(EXACT(H313,INDEX(Guide!$A$7:$A$9,MATCH(SUBSTITUTE(SUBSTITUTE(SUBSTITUTE(H313,"~","~~"),"*","~*"),"?","~?"),Guide!$A$7:$A$9,0))),INDEX(Guide!$B$7:$B$9,MATCH(SUBSTITUTE(SUBSTITUTE(SUBSTITUTE(H313,"~","~~"),"*","~*"),"?","~?"),Guide!$A$7:$A$9,0)),""),"")</f>
        <v>Accessories</v>
      </c>
      <c r="J313" s="1" t="str">
        <f>IF(TRIM(Raw!E313)="",I313,IF(UPPER(TRIM(Raw!E313))=UPPER(I313),I313,""))</f>
        <v>Accessories</v>
      </c>
      <c r="K313" s="1" t="str">
        <f>IF(Raw!F313="","",Raw!F313)</f>
        <v>sale</v>
      </c>
      <c r="L313" s="1" t="str">
        <f>IF(LEFT(TRIM(Raw!G313),2)="-$","-"&amp;MID(TRIM(Raw!G313),3,99),IF(LEFT(TRIM(Raw!G313),1)="$",MID(TRIM(Raw!G313),2,99),TRIM(Raw!G313)))</f>
        <v>354.63</v>
      </c>
      <c r="M313" s="1">
        <f t="shared" si="35"/>
        <v>354.63</v>
      </c>
      <c r="N313" s="10">
        <f t="shared" si="36"/>
        <v>35463</v>
      </c>
      <c r="O313" s="1" t="b">
        <f>IFERROR(IF(ISNUMBER(Raw!G313),TRUE,OR(EXACT(L313,TEXT(M313,"0.00")),EXACT(L313,TEXT(M313,"#,##0.00")))),FALSE)</f>
        <v>1</v>
      </c>
      <c r="P313" s="1" t="str">
        <f>LEN(IF(Raw!A313="","",Raw!A313))&amp;":"&amp;IF(Raw!A313="","",Raw!A313)&amp;"|"&amp;LEN(IF(Raw!B313="","",Raw!B313))&amp;":"&amp;IF(Raw!B313="","",Raw!B313)&amp;"|"&amp;LEN(IF(Raw!C313="","",Raw!C313))&amp;":"&amp;IF(Raw!C313="","",Raw!C313)&amp;"|"&amp;LEN(IF(Raw!D313="","",Raw!D313))&amp;":"&amp;IF(Raw!D313="","",Raw!D313)&amp;"|"&amp;LEN(IF(Raw!E313="","",Raw!E313))&amp;":"&amp;IF(Raw!E313="","",Raw!E313)&amp;"|"&amp;LEN(IF(Raw!F313="","",Raw!F313))&amp;":"&amp;IF(Raw!F313="","",Raw!F313)&amp;"|"&amp;LEN(IF(Raw!G313="","",Raw!G313))&amp;":"&amp;IF(Raw!G313="","",Raw!G313)</f>
        <v>6:L00307|6:T00154|10:2026-03-23|3:P-A|11:Accessories|4:sale|6:354.63</v>
      </c>
      <c r="Q313" s="1">
        <f>1</f>
        <v>1</v>
      </c>
      <c r="R313" s="1" t="b">
        <f>FALSE</f>
        <v>0</v>
      </c>
      <c r="S313" s="1">
        <f>1</f>
        <v>1</v>
      </c>
      <c r="T313" s="1" t="str">
        <f>IF(AND(Raw!A313="",Raw!B313="",Raw!C313="",Raw!D313="",Raw!E313="",Raw!F313="",Raw!G313=""),"UNUSED",IF(A313="","missing line ID",IF(B313="","missing transaction ID",IF(G313="",IF(C313="","missing date","invalid date"),IF(I313="","unknown product",IF(J313="","conflicting category",IF(NOT(OR(EXACT(K313,"sale"),EXACT(K313,"refund"))),"unknown event",IF(OR(N313="",NOT(O313)),"invalid amount",IF(OR(AND(K313="sale",N313&lt;=0),AND(K313="refund",N313&gt;=0)),"invalid sign","")))))))))</f>
        <v/>
      </c>
      <c r="U313" s="1" t="str">
        <f t="shared" si="37"/>
        <v>INCLUDED</v>
      </c>
      <c r="V313" s="1" t="str">
        <f t="shared" si="38"/>
        <v>2026-03</v>
      </c>
      <c r="W313" s="1">
        <f>IF(AND(U313="INCLUDED",X313&gt;0,EXACT(A313,'AI output'!A313)),1,0)</f>
        <v>1</v>
      </c>
      <c r="X313" s="1">
        <f>313</f>
        <v>313</v>
      </c>
      <c r="Y313" s="1">
        <f>IF(AND(U313="INCLUDED",W313=1),--(NOT(EXACT(A313,'AI output'!A313)))+--(NOT(EXACT(B313,'AI output'!B313)))+--(NOT(EXACT(TEXT(G313,"yyyy-mm-dd"),'AI output'!C313)))+--(NOT(EXACT(H313,'AI output'!D313)))+--(NOT(EXACT(J313,'AI output'!E313)))+--(NOT(EXACT(K313,'AI output'!F313)))+--(N313&lt;&gt;'AI output'!L313)+--(NOT('AI output'!M313)),0)</f>
        <v>0</v>
      </c>
      <c r="Z313" s="1">
        <f t="shared" si="39"/>
        <v>0</v>
      </c>
      <c r="AA313" s="1">
        <f>--EXACT(A313,"L00307")</f>
        <v>1</v>
      </c>
    </row>
    <row r="314" spans="1:27" ht="18.95" customHeight="1">
      <c r="A314" s="1" t="str">
        <f>IF(Raw!A314="","",Raw!A314)</f>
        <v>L00308</v>
      </c>
      <c r="B314" s="1" t="str">
        <f>IF(Raw!B314="","",Raw!B314)</f>
        <v>T00154</v>
      </c>
      <c r="C314" s="1" t="str">
        <f>IF(Raw!C314="","",Raw!C314)</f>
        <v>23-Mar-2026</v>
      </c>
      <c r="D314" s="1">
        <f t="shared" si="32"/>
        <v>2026</v>
      </c>
      <c r="E314" s="1">
        <f>IFERROR(IF(AND(LEN(C314)=10,MID(C314,5,1)="-",MID(C314,8,1)="-"),VALUE(MID(C314,6,2)),IF(AND(LEN(C314)=11,MID(C314,3,1)="-",MID(C314,7,1)="-"),MATCH(UPPER(MID(C314,4,3)),Guide!$D$7:$D$18,0),0)),0)</f>
        <v>3</v>
      </c>
      <c r="F314" s="1">
        <f t="shared" si="33"/>
        <v>23</v>
      </c>
      <c r="G314" s="9">
        <f t="shared" si="34"/>
        <v>46104</v>
      </c>
      <c r="H314" s="1" t="str">
        <f>IF(Raw!D314="","",Raw!D314)</f>
        <v>P-H</v>
      </c>
      <c r="I314" s="1" t="str">
        <f>IFERROR(IF(EXACT(H314,INDEX(Guide!$A$7:$A$9,MATCH(SUBSTITUTE(SUBSTITUTE(SUBSTITUTE(H314,"~","~~"),"*","~*"),"?","~?"),Guide!$A$7:$A$9,0))),INDEX(Guide!$B$7:$B$9,MATCH(SUBSTITUTE(SUBSTITUTE(SUBSTITUTE(H314,"~","~~"),"*","~*"),"?","~?"),Guide!$A$7:$A$9,0)),""),"")</f>
        <v>Home</v>
      </c>
      <c r="J314" s="1" t="str">
        <f>IF(TRIM(Raw!E314)="",I314,IF(UPPER(TRIM(Raw!E314))=UPPER(I314),I314,""))</f>
        <v>Home</v>
      </c>
      <c r="K314" s="1" t="str">
        <f>IF(Raw!F314="","",Raw!F314)</f>
        <v>sale</v>
      </c>
      <c r="L314" s="1" t="str">
        <f>IF(LEFT(TRIM(Raw!G314),2)="-$","-"&amp;MID(TRIM(Raw!G314),3,99),IF(LEFT(TRIM(Raw!G314),1)="$",MID(TRIM(Raw!G314),2,99),TRIM(Raw!G314)))</f>
        <v>592.90</v>
      </c>
      <c r="M314" s="1">
        <f t="shared" si="35"/>
        <v>592.9</v>
      </c>
      <c r="N314" s="10">
        <f t="shared" si="36"/>
        <v>59290</v>
      </c>
      <c r="O314" s="1" t="b">
        <f>IFERROR(IF(ISNUMBER(Raw!G314),TRUE,OR(EXACT(L314,TEXT(M314,"0.00")),EXACT(L314,TEXT(M314,"#,##0.00")))),FALSE)</f>
        <v>1</v>
      </c>
      <c r="P314" s="1" t="str">
        <f>LEN(IF(Raw!A314="","",Raw!A314))&amp;":"&amp;IF(Raw!A314="","",Raw!A314)&amp;"|"&amp;LEN(IF(Raw!B314="","",Raw!B314))&amp;":"&amp;IF(Raw!B314="","",Raw!B314)&amp;"|"&amp;LEN(IF(Raw!C314="","",Raw!C314))&amp;":"&amp;IF(Raw!C314="","",Raw!C314)&amp;"|"&amp;LEN(IF(Raw!D314="","",Raw!D314))&amp;":"&amp;IF(Raw!D314="","",Raw!D314)&amp;"|"&amp;LEN(IF(Raw!E314="","",Raw!E314))&amp;":"&amp;IF(Raw!E314="","",Raw!E314)&amp;"|"&amp;LEN(IF(Raw!F314="","",Raw!F314))&amp;":"&amp;IF(Raw!F314="","",Raw!F314)&amp;"|"&amp;LEN(IF(Raw!G314="","",Raw!G314))&amp;":"&amp;IF(Raw!G314="","",Raw!G314)</f>
        <v>6:L00308|6:T00154|11:23-Mar-2026|3:P-H|4:Home|4:sale|6:592.90</v>
      </c>
      <c r="Q314" s="1">
        <f>1</f>
        <v>1</v>
      </c>
      <c r="R314" s="1" t="b">
        <f>FALSE</f>
        <v>0</v>
      </c>
      <c r="S314" s="1">
        <f>1</f>
        <v>1</v>
      </c>
      <c r="T314" s="1" t="str">
        <f>IF(AND(Raw!A314="",Raw!B314="",Raw!C314="",Raw!D314="",Raw!E314="",Raw!F314="",Raw!G314=""),"UNUSED",IF(A314="","missing line ID",IF(B314="","missing transaction ID",IF(G314="",IF(C314="","missing date","invalid date"),IF(I314="","unknown product",IF(J314="","conflicting category",IF(NOT(OR(EXACT(K314,"sale"),EXACT(K314,"refund"))),"unknown event",IF(OR(N314="",NOT(O314)),"invalid amount",IF(OR(AND(K314="sale",N314&lt;=0),AND(K314="refund",N314&gt;=0)),"invalid sign","")))))))))</f>
        <v/>
      </c>
      <c r="U314" s="1" t="str">
        <f t="shared" si="37"/>
        <v>INCLUDED</v>
      </c>
      <c r="V314" s="1" t="str">
        <f t="shared" si="38"/>
        <v>2026-03</v>
      </c>
      <c r="W314" s="1">
        <f>IF(AND(U314="INCLUDED",X314&gt;0,EXACT(A314,'AI output'!A314)),1,0)</f>
        <v>1</v>
      </c>
      <c r="X314" s="1">
        <f>314</f>
        <v>314</v>
      </c>
      <c r="Y314" s="1">
        <f>IF(AND(U314="INCLUDED",W314=1),--(NOT(EXACT(A314,'AI output'!A314)))+--(NOT(EXACT(B314,'AI output'!B314)))+--(NOT(EXACT(TEXT(G314,"yyyy-mm-dd"),'AI output'!C314)))+--(NOT(EXACT(H314,'AI output'!D314)))+--(NOT(EXACT(J314,'AI output'!E314)))+--(NOT(EXACT(K314,'AI output'!F314)))+--(N314&lt;&gt;'AI output'!L314)+--(NOT('AI output'!M314)),0)</f>
        <v>0</v>
      </c>
      <c r="Z314" s="1">
        <f t="shared" si="39"/>
        <v>0</v>
      </c>
      <c r="AA314" s="1">
        <f>--EXACT(A314,"L00308")</f>
        <v>1</v>
      </c>
    </row>
    <row r="315" spans="1:27" ht="18.95" customHeight="1">
      <c r="A315" s="1" t="str">
        <f>IF(Raw!A315="","",Raw!A315)</f>
        <v>L00309</v>
      </c>
      <c r="B315" s="1" t="str">
        <f>IF(Raw!B315="","",Raw!B315)</f>
        <v>T00155</v>
      </c>
      <c r="C315" s="1" t="str">
        <f>IF(Raw!C315="","",Raw!C315)</f>
        <v>2026-03-30</v>
      </c>
      <c r="D315" s="1">
        <f t="shared" si="32"/>
        <v>2026</v>
      </c>
      <c r="E315" s="1">
        <f>IFERROR(IF(AND(LEN(C315)=10,MID(C315,5,1)="-",MID(C315,8,1)="-"),VALUE(MID(C315,6,2)),IF(AND(LEN(C315)=11,MID(C315,3,1)="-",MID(C315,7,1)="-"),MATCH(UPPER(MID(C315,4,3)),Guide!$D$7:$D$18,0),0)),0)</f>
        <v>3</v>
      </c>
      <c r="F315" s="1">
        <f t="shared" si="33"/>
        <v>30</v>
      </c>
      <c r="G315" s="9">
        <f t="shared" si="34"/>
        <v>46111</v>
      </c>
      <c r="H315" s="1" t="str">
        <f>IF(Raw!D315="","",Raw!D315)</f>
        <v>P-O</v>
      </c>
      <c r="I315" s="1" t="str">
        <f>IFERROR(IF(EXACT(H315,INDEX(Guide!$A$7:$A$9,MATCH(SUBSTITUTE(SUBSTITUTE(SUBSTITUTE(H315,"~","~~"),"*","~*"),"?","~?"),Guide!$A$7:$A$9,0))),INDEX(Guide!$B$7:$B$9,MATCH(SUBSTITUTE(SUBSTITUTE(SUBSTITUTE(H315,"~","~~"),"*","~*"),"?","~?"),Guide!$A$7:$A$9,0)),""),"")</f>
        <v>Office</v>
      </c>
      <c r="J315" s="1" t="str">
        <f>IF(TRIM(Raw!E315)="",I315,IF(UPPER(TRIM(Raw!E315))=UPPER(I315),I315,""))</f>
        <v>Office</v>
      </c>
      <c r="K315" s="1" t="str">
        <f>IF(Raw!F315="","",Raw!F315)</f>
        <v>sale</v>
      </c>
      <c r="L315" s="1" t="str">
        <f>IF(LEFT(TRIM(Raw!G315),2)="-$","-"&amp;MID(TRIM(Raw!G315),3,99),IF(LEFT(TRIM(Raw!G315),1)="$",MID(TRIM(Raw!G315),2,99),TRIM(Raw!G315)))</f>
        <v>237.90</v>
      </c>
      <c r="M315" s="1">
        <f t="shared" si="35"/>
        <v>237.9</v>
      </c>
      <c r="N315" s="10">
        <f t="shared" si="36"/>
        <v>23790</v>
      </c>
      <c r="O315" s="1" t="b">
        <f>IFERROR(IF(ISNUMBER(Raw!G315),TRUE,OR(EXACT(L315,TEXT(M315,"0.00")),EXACT(L315,TEXT(M315,"#,##0.00")))),FALSE)</f>
        <v>1</v>
      </c>
      <c r="P315" s="1" t="str">
        <f>LEN(IF(Raw!A315="","",Raw!A315))&amp;":"&amp;IF(Raw!A315="","",Raw!A315)&amp;"|"&amp;LEN(IF(Raw!B315="","",Raw!B315))&amp;":"&amp;IF(Raw!B315="","",Raw!B315)&amp;"|"&amp;LEN(IF(Raw!C315="","",Raw!C315))&amp;":"&amp;IF(Raw!C315="","",Raw!C315)&amp;"|"&amp;LEN(IF(Raw!D315="","",Raw!D315))&amp;":"&amp;IF(Raw!D315="","",Raw!D315)&amp;"|"&amp;LEN(IF(Raw!E315="","",Raw!E315))&amp;":"&amp;IF(Raw!E315="","",Raw!E315)&amp;"|"&amp;LEN(IF(Raw!F315="","",Raw!F315))&amp;":"&amp;IF(Raw!F315="","",Raw!F315)&amp;"|"&amp;LEN(IF(Raw!G315="","",Raw!G315))&amp;":"&amp;IF(Raw!G315="","",Raw!G315)</f>
        <v>6:L00309|6:T00155|10:2026-03-30|3:P-O|6:Office|4:sale|6:237.90</v>
      </c>
      <c r="Q315" s="1">
        <f>1</f>
        <v>1</v>
      </c>
      <c r="R315" s="1" t="b">
        <f>FALSE</f>
        <v>0</v>
      </c>
      <c r="S315" s="1">
        <f>1</f>
        <v>1</v>
      </c>
      <c r="T315" s="1" t="str">
        <f>IF(AND(Raw!A315="",Raw!B315="",Raw!C315="",Raw!D315="",Raw!E315="",Raw!F315="",Raw!G315=""),"UNUSED",IF(A315="","missing line ID",IF(B315="","missing transaction ID",IF(G315="",IF(C315="","missing date","invalid date"),IF(I315="","unknown product",IF(J315="","conflicting category",IF(NOT(OR(EXACT(K315,"sale"),EXACT(K315,"refund"))),"unknown event",IF(OR(N315="",NOT(O315)),"invalid amount",IF(OR(AND(K315="sale",N315&lt;=0),AND(K315="refund",N315&gt;=0)),"invalid sign","")))))))))</f>
        <v/>
      </c>
      <c r="U315" s="1" t="str">
        <f t="shared" si="37"/>
        <v>INCLUDED</v>
      </c>
      <c r="V315" s="1" t="str">
        <f t="shared" si="38"/>
        <v>2026-03</v>
      </c>
      <c r="W315" s="1">
        <f>IF(AND(U315="INCLUDED",X315&gt;0,EXACT(A315,'AI output'!A315)),1,0)</f>
        <v>1</v>
      </c>
      <c r="X315" s="1">
        <f>315</f>
        <v>315</v>
      </c>
      <c r="Y315" s="1">
        <f>IF(AND(U315="INCLUDED",W315=1),--(NOT(EXACT(A315,'AI output'!A315)))+--(NOT(EXACT(B315,'AI output'!B315)))+--(NOT(EXACT(TEXT(G315,"yyyy-mm-dd"),'AI output'!C315)))+--(NOT(EXACT(H315,'AI output'!D315)))+--(NOT(EXACT(J315,'AI output'!E315)))+--(NOT(EXACT(K315,'AI output'!F315)))+--(N315&lt;&gt;'AI output'!L315)+--(NOT('AI output'!M315)),0)</f>
        <v>0</v>
      </c>
      <c r="Z315" s="1">
        <f t="shared" si="39"/>
        <v>0</v>
      </c>
      <c r="AA315" s="1">
        <f>--EXACT(A315,"L00309")</f>
        <v>1</v>
      </c>
    </row>
    <row r="316" spans="1:27" ht="18.95" customHeight="1">
      <c r="A316" s="1" t="str">
        <f>IF(Raw!A316="","",Raw!A316)</f>
        <v>L00310</v>
      </c>
      <c r="B316" s="1" t="str">
        <f>IF(Raw!B316="","",Raw!B316)</f>
        <v>T00155</v>
      </c>
      <c r="C316" s="1" t="str">
        <f>IF(Raw!C316="","",Raw!C316)</f>
        <v>2026-03-30</v>
      </c>
      <c r="D316" s="1">
        <f t="shared" si="32"/>
        <v>2026</v>
      </c>
      <c r="E316" s="1">
        <f>IFERROR(IF(AND(LEN(C316)=10,MID(C316,5,1)="-",MID(C316,8,1)="-"),VALUE(MID(C316,6,2)),IF(AND(LEN(C316)=11,MID(C316,3,1)="-",MID(C316,7,1)="-"),MATCH(UPPER(MID(C316,4,3)),Guide!$D$7:$D$18,0),0)),0)</f>
        <v>3</v>
      </c>
      <c r="F316" s="1">
        <f t="shared" si="33"/>
        <v>30</v>
      </c>
      <c r="G316" s="9">
        <f t="shared" si="34"/>
        <v>46111</v>
      </c>
      <c r="H316" s="1" t="str">
        <f>IF(Raw!D316="","",Raw!D316)</f>
        <v>P-A</v>
      </c>
      <c r="I316" s="1" t="str">
        <f>IFERROR(IF(EXACT(H316,INDEX(Guide!$A$7:$A$9,MATCH(SUBSTITUTE(SUBSTITUTE(SUBSTITUTE(H316,"~","~~"),"*","~*"),"?","~?"),Guide!$A$7:$A$9,0))),INDEX(Guide!$B$7:$B$9,MATCH(SUBSTITUTE(SUBSTITUTE(SUBSTITUTE(H316,"~","~~"),"*","~*"),"?","~?"),Guide!$A$7:$A$9,0)),""),"")</f>
        <v>Accessories</v>
      </c>
      <c r="J316" s="1" t="str">
        <f>IF(TRIM(Raw!E316)="",I316,IF(UPPER(TRIM(Raw!E316))=UPPER(I316),I316,""))</f>
        <v>Accessories</v>
      </c>
      <c r="K316" s="1" t="str">
        <f>IF(Raw!F316="","",Raw!F316)</f>
        <v>sale</v>
      </c>
      <c r="L316" s="1" t="str">
        <f>IF(LEFT(TRIM(Raw!G316),2)="-$","-"&amp;MID(TRIM(Raw!G316),3,99),IF(LEFT(TRIM(Raw!G316),1)="$",MID(TRIM(Raw!G316),2,99),TRIM(Raw!G316)))</f>
        <v>477.28</v>
      </c>
      <c r="M316" s="1">
        <f t="shared" si="35"/>
        <v>477.28</v>
      </c>
      <c r="N316" s="10">
        <f t="shared" si="36"/>
        <v>47728</v>
      </c>
      <c r="O316" s="1" t="b">
        <f>IFERROR(IF(ISNUMBER(Raw!G316),TRUE,OR(EXACT(L316,TEXT(M316,"0.00")),EXACT(L316,TEXT(M316,"#,##0.00")))),FALSE)</f>
        <v>1</v>
      </c>
      <c r="P316" s="1" t="str">
        <f>LEN(IF(Raw!A316="","",Raw!A316))&amp;":"&amp;IF(Raw!A316="","",Raw!A316)&amp;"|"&amp;LEN(IF(Raw!B316="","",Raw!B316))&amp;":"&amp;IF(Raw!B316="","",Raw!B316)&amp;"|"&amp;LEN(IF(Raw!C316="","",Raw!C316))&amp;":"&amp;IF(Raw!C316="","",Raw!C316)&amp;"|"&amp;LEN(IF(Raw!D316="","",Raw!D316))&amp;":"&amp;IF(Raw!D316="","",Raw!D316)&amp;"|"&amp;LEN(IF(Raw!E316="","",Raw!E316))&amp;":"&amp;IF(Raw!E316="","",Raw!E316)&amp;"|"&amp;LEN(IF(Raw!F316="","",Raw!F316))&amp;":"&amp;IF(Raw!F316="","",Raw!F316)&amp;"|"&amp;LEN(IF(Raw!G316="","",Raw!G316))&amp;":"&amp;IF(Raw!G316="","",Raw!G316)</f>
        <v>6:L00310|6:T00155|10:2026-03-30|3:P-A|11:Accessories|4:sale|6:477.28</v>
      </c>
      <c r="Q316" s="1">
        <f>1</f>
        <v>1</v>
      </c>
      <c r="R316" s="1" t="b">
        <f>FALSE</f>
        <v>0</v>
      </c>
      <c r="S316" s="1">
        <f>1</f>
        <v>1</v>
      </c>
      <c r="T316" s="1" t="str">
        <f>IF(AND(Raw!A316="",Raw!B316="",Raw!C316="",Raw!D316="",Raw!E316="",Raw!F316="",Raw!G316=""),"UNUSED",IF(A316="","missing line ID",IF(B316="","missing transaction ID",IF(G316="",IF(C316="","missing date","invalid date"),IF(I316="","unknown product",IF(J316="","conflicting category",IF(NOT(OR(EXACT(K316,"sale"),EXACT(K316,"refund"))),"unknown event",IF(OR(N316="",NOT(O316)),"invalid amount",IF(OR(AND(K316="sale",N316&lt;=0),AND(K316="refund",N316&gt;=0)),"invalid sign","")))))))))</f>
        <v/>
      </c>
      <c r="U316" s="1" t="str">
        <f t="shared" si="37"/>
        <v>INCLUDED</v>
      </c>
      <c r="V316" s="1" t="str">
        <f t="shared" si="38"/>
        <v>2026-03</v>
      </c>
      <c r="W316" s="1">
        <f>IF(AND(U316="INCLUDED",X316&gt;0,EXACT(A316,'AI output'!A316)),1,0)</f>
        <v>1</v>
      </c>
      <c r="X316" s="1">
        <f>316</f>
        <v>316</v>
      </c>
      <c r="Y316" s="1">
        <f>IF(AND(U316="INCLUDED",W316=1),--(NOT(EXACT(A316,'AI output'!A316)))+--(NOT(EXACT(B316,'AI output'!B316)))+--(NOT(EXACT(TEXT(G316,"yyyy-mm-dd"),'AI output'!C316)))+--(NOT(EXACT(H316,'AI output'!D316)))+--(NOT(EXACT(J316,'AI output'!E316)))+--(NOT(EXACT(K316,'AI output'!F316)))+--(N316&lt;&gt;'AI output'!L316)+--(NOT('AI output'!M316)),0)</f>
        <v>0</v>
      </c>
      <c r="Z316" s="1">
        <f t="shared" si="39"/>
        <v>0</v>
      </c>
      <c r="AA316" s="1">
        <f>--EXACT(A316,"L00310")</f>
        <v>1</v>
      </c>
    </row>
    <row r="317" spans="1:27" ht="18.95" customHeight="1">
      <c r="A317" s="1" t="str">
        <f>IF(Raw!A317="","",Raw!A317)</f>
        <v>L00311</v>
      </c>
      <c r="B317" s="1" t="str">
        <f>IF(Raw!B317="","",Raw!B317)</f>
        <v>T00156</v>
      </c>
      <c r="C317" s="1" t="str">
        <f>IF(Raw!C317="","",Raw!C317)</f>
        <v>2026-01-06</v>
      </c>
      <c r="D317" s="1">
        <f t="shared" si="32"/>
        <v>2026</v>
      </c>
      <c r="E317" s="1">
        <f>IFERROR(IF(AND(LEN(C317)=10,MID(C317,5,1)="-",MID(C317,8,1)="-"),VALUE(MID(C317,6,2)),IF(AND(LEN(C317)=11,MID(C317,3,1)="-",MID(C317,7,1)="-"),MATCH(UPPER(MID(C317,4,3)),Guide!$D$7:$D$18,0),0)),0)</f>
        <v>1</v>
      </c>
      <c r="F317" s="1">
        <f t="shared" si="33"/>
        <v>6</v>
      </c>
      <c r="G317" s="9">
        <f t="shared" si="34"/>
        <v>46028</v>
      </c>
      <c r="H317" s="1" t="str">
        <f>IF(Raw!D317="","",Raw!D317)</f>
        <v>P-H</v>
      </c>
      <c r="I317" s="1" t="str">
        <f>IFERROR(IF(EXACT(H317,INDEX(Guide!$A$7:$A$9,MATCH(SUBSTITUTE(SUBSTITUTE(SUBSTITUTE(H317,"~","~~"),"*","~*"),"?","~?"),Guide!$A$7:$A$9,0))),INDEX(Guide!$B$7:$B$9,MATCH(SUBSTITUTE(SUBSTITUTE(SUBSTITUTE(H317,"~","~~"),"*","~*"),"?","~?"),Guide!$A$7:$A$9,0)),""),"")</f>
        <v>Home</v>
      </c>
      <c r="J317" s="1" t="str">
        <f>IF(TRIM(Raw!E317)="",I317,IF(UPPER(TRIM(Raw!E317))=UPPER(I317),I317,""))</f>
        <v>Home</v>
      </c>
      <c r="K317" s="1" t="str">
        <f>IF(Raw!F317="","",Raw!F317)</f>
        <v>sale</v>
      </c>
      <c r="L317" s="1" t="str">
        <f>IF(LEFT(TRIM(Raw!G317),2)="-$","-"&amp;MID(TRIM(Raw!G317),3,99),IF(LEFT(TRIM(Raw!G317),1)="$",MID(TRIM(Raw!G317),2,99),TRIM(Raw!G317)))</f>
        <v>119.69</v>
      </c>
      <c r="M317" s="1">
        <f t="shared" si="35"/>
        <v>119.69</v>
      </c>
      <c r="N317" s="10">
        <f t="shared" si="36"/>
        <v>11969</v>
      </c>
      <c r="O317" s="1" t="b">
        <f>IFERROR(IF(ISNUMBER(Raw!G317),TRUE,OR(EXACT(L317,TEXT(M317,"0.00")),EXACT(L317,TEXT(M317,"#,##0.00")))),FALSE)</f>
        <v>1</v>
      </c>
      <c r="P317" s="1" t="str">
        <f>LEN(IF(Raw!A317="","",Raw!A317))&amp;":"&amp;IF(Raw!A317="","",Raw!A317)&amp;"|"&amp;LEN(IF(Raw!B317="","",Raw!B317))&amp;":"&amp;IF(Raw!B317="","",Raw!B317)&amp;"|"&amp;LEN(IF(Raw!C317="","",Raw!C317))&amp;":"&amp;IF(Raw!C317="","",Raw!C317)&amp;"|"&amp;LEN(IF(Raw!D317="","",Raw!D317))&amp;":"&amp;IF(Raw!D317="","",Raw!D317)&amp;"|"&amp;LEN(IF(Raw!E317="","",Raw!E317))&amp;":"&amp;IF(Raw!E317="","",Raw!E317)&amp;"|"&amp;LEN(IF(Raw!F317="","",Raw!F317))&amp;":"&amp;IF(Raw!F317="","",Raw!F317)&amp;"|"&amp;LEN(IF(Raw!G317="","",Raw!G317))&amp;":"&amp;IF(Raw!G317="","",Raw!G317)</f>
        <v>6:L00311|6:T00156|10:2026-01-06|3:P-H|4:Home|4:sale|6:119.69</v>
      </c>
      <c r="Q317" s="1">
        <f>1</f>
        <v>1</v>
      </c>
      <c r="R317" s="1" t="b">
        <f>FALSE</f>
        <v>0</v>
      </c>
      <c r="S317" s="1">
        <f>1</f>
        <v>1</v>
      </c>
      <c r="T317" s="1" t="str">
        <f>IF(AND(Raw!A317="",Raw!B317="",Raw!C317="",Raw!D317="",Raw!E317="",Raw!F317="",Raw!G317=""),"UNUSED",IF(A317="","missing line ID",IF(B317="","missing transaction ID",IF(G317="",IF(C317="","missing date","invalid date"),IF(I317="","unknown product",IF(J317="","conflicting category",IF(NOT(OR(EXACT(K317,"sale"),EXACT(K317,"refund"))),"unknown event",IF(OR(N317="",NOT(O317)),"invalid amount",IF(OR(AND(K317="sale",N317&lt;=0),AND(K317="refund",N317&gt;=0)),"invalid sign","")))))))))</f>
        <v/>
      </c>
      <c r="U317" s="1" t="str">
        <f t="shared" si="37"/>
        <v>INCLUDED</v>
      </c>
      <c r="V317" s="1" t="str">
        <f t="shared" si="38"/>
        <v>2026-01</v>
      </c>
      <c r="W317" s="1">
        <f>IF(AND(U317="INCLUDED",X317&gt;0,EXACT(A317,'AI output'!A317)),1,0)</f>
        <v>1</v>
      </c>
      <c r="X317" s="1">
        <f>317</f>
        <v>317</v>
      </c>
      <c r="Y317" s="1">
        <f>IF(AND(U317="INCLUDED",W317=1),--(NOT(EXACT(A317,'AI output'!A317)))+--(NOT(EXACT(B317,'AI output'!B317)))+--(NOT(EXACT(TEXT(G317,"yyyy-mm-dd"),'AI output'!C317)))+--(NOT(EXACT(H317,'AI output'!D317)))+--(NOT(EXACT(J317,'AI output'!E317)))+--(NOT(EXACT(K317,'AI output'!F317)))+--(N317&lt;&gt;'AI output'!L317)+--(NOT('AI output'!M317)),0)</f>
        <v>0</v>
      </c>
      <c r="Z317" s="1">
        <f t="shared" si="39"/>
        <v>0</v>
      </c>
      <c r="AA317" s="1">
        <f>--EXACT(A317,"L00311")</f>
        <v>1</v>
      </c>
    </row>
    <row r="318" spans="1:27" ht="18.95" customHeight="1">
      <c r="A318" s="1" t="str">
        <f>IF(Raw!A318="","",Raw!A318)</f>
        <v>L00312</v>
      </c>
      <c r="B318" s="1" t="str">
        <f>IF(Raw!B318="","",Raw!B318)</f>
        <v>T00156</v>
      </c>
      <c r="C318" s="1" t="str">
        <f>IF(Raw!C318="","",Raw!C318)</f>
        <v>2026-01-06</v>
      </c>
      <c r="D318" s="1">
        <f t="shared" si="32"/>
        <v>2026</v>
      </c>
      <c r="E318" s="1">
        <f>IFERROR(IF(AND(LEN(C318)=10,MID(C318,5,1)="-",MID(C318,8,1)="-"),VALUE(MID(C318,6,2)),IF(AND(LEN(C318)=11,MID(C318,3,1)="-",MID(C318,7,1)="-"),MATCH(UPPER(MID(C318,4,3)),Guide!$D$7:$D$18,0),0)),0)</f>
        <v>1</v>
      </c>
      <c r="F318" s="1">
        <f t="shared" si="33"/>
        <v>6</v>
      </c>
      <c r="G318" s="9">
        <f t="shared" si="34"/>
        <v>46028</v>
      </c>
      <c r="H318" s="1" t="str">
        <f>IF(Raw!D318="","",Raw!D318)</f>
        <v>P-O</v>
      </c>
      <c r="I318" s="1" t="str">
        <f>IFERROR(IF(EXACT(H318,INDEX(Guide!$A$7:$A$9,MATCH(SUBSTITUTE(SUBSTITUTE(SUBSTITUTE(H318,"~","~~"),"*","~*"),"?","~?"),Guide!$A$7:$A$9,0))),INDEX(Guide!$B$7:$B$9,MATCH(SUBSTITUTE(SUBSTITUTE(SUBSTITUTE(H318,"~","~~"),"*","~*"),"?","~?"),Guide!$A$7:$A$9,0)),""),"")</f>
        <v>Office</v>
      </c>
      <c r="J318" s="1" t="str">
        <f>IF(TRIM(Raw!E318)="",I318,IF(UPPER(TRIM(Raw!E318))=UPPER(I318),I318,""))</f>
        <v>Office</v>
      </c>
      <c r="K318" s="1" t="str">
        <f>IF(Raw!F318="","",Raw!F318)</f>
        <v>sale</v>
      </c>
      <c r="L318" s="1" t="str">
        <f>IF(LEFT(TRIM(Raw!G318),2)="-$","-"&amp;MID(TRIM(Raw!G318),3,99),IF(LEFT(TRIM(Raw!G318),1)="$",MID(TRIM(Raw!G318),2,99),TRIM(Raw!G318)))</f>
        <v>360.18</v>
      </c>
      <c r="M318" s="1">
        <f t="shared" si="35"/>
        <v>360.18</v>
      </c>
      <c r="N318" s="10">
        <f t="shared" si="36"/>
        <v>36018</v>
      </c>
      <c r="O318" s="1" t="b">
        <f>IFERROR(IF(ISNUMBER(Raw!G318),TRUE,OR(EXACT(L318,TEXT(M318,"0.00")),EXACT(L318,TEXT(M318,"#,##0.00")))),FALSE)</f>
        <v>1</v>
      </c>
      <c r="P318" s="1" t="str">
        <f>LEN(IF(Raw!A318="","",Raw!A318))&amp;":"&amp;IF(Raw!A318="","",Raw!A318)&amp;"|"&amp;LEN(IF(Raw!B318="","",Raw!B318))&amp;":"&amp;IF(Raw!B318="","",Raw!B318)&amp;"|"&amp;LEN(IF(Raw!C318="","",Raw!C318))&amp;":"&amp;IF(Raw!C318="","",Raw!C318)&amp;"|"&amp;LEN(IF(Raw!D318="","",Raw!D318))&amp;":"&amp;IF(Raw!D318="","",Raw!D318)&amp;"|"&amp;LEN(IF(Raw!E318="","",Raw!E318))&amp;":"&amp;IF(Raw!E318="","",Raw!E318)&amp;"|"&amp;LEN(IF(Raw!F318="","",Raw!F318))&amp;":"&amp;IF(Raw!F318="","",Raw!F318)&amp;"|"&amp;LEN(IF(Raw!G318="","",Raw!G318))&amp;":"&amp;IF(Raw!G318="","",Raw!G318)</f>
        <v>6:L00312|6:T00156|10:2026-01-06|3:P-O|0:|4:sale|6:360.18</v>
      </c>
      <c r="Q318" s="1">
        <f>1</f>
        <v>1</v>
      </c>
      <c r="R318" s="1" t="b">
        <f>FALSE</f>
        <v>0</v>
      </c>
      <c r="S318" s="1">
        <f>1</f>
        <v>1</v>
      </c>
      <c r="T318" s="1" t="str">
        <f>IF(AND(Raw!A318="",Raw!B318="",Raw!C318="",Raw!D318="",Raw!E318="",Raw!F318="",Raw!G318=""),"UNUSED",IF(A318="","missing line ID",IF(B318="","missing transaction ID",IF(G318="",IF(C318="","missing date","invalid date"),IF(I318="","unknown product",IF(J318="","conflicting category",IF(NOT(OR(EXACT(K318,"sale"),EXACT(K318,"refund"))),"unknown event",IF(OR(N318="",NOT(O318)),"invalid amount",IF(OR(AND(K318="sale",N318&lt;=0),AND(K318="refund",N318&gt;=0)),"invalid sign","")))))))))</f>
        <v/>
      </c>
      <c r="U318" s="1" t="str">
        <f t="shared" si="37"/>
        <v>INCLUDED</v>
      </c>
      <c r="V318" s="1" t="str">
        <f t="shared" si="38"/>
        <v>2026-01</v>
      </c>
      <c r="W318" s="1">
        <f>IF(AND(U318="INCLUDED",X318&gt;0,EXACT(A318,'AI output'!A318)),1,0)</f>
        <v>1</v>
      </c>
      <c r="X318" s="1">
        <f>318</f>
        <v>318</v>
      </c>
      <c r="Y318" s="1">
        <f>IF(AND(U318="INCLUDED",W318=1),--(NOT(EXACT(A318,'AI output'!A318)))+--(NOT(EXACT(B318,'AI output'!B318)))+--(NOT(EXACT(TEXT(G318,"yyyy-mm-dd"),'AI output'!C318)))+--(NOT(EXACT(H318,'AI output'!D318)))+--(NOT(EXACT(J318,'AI output'!E318)))+--(NOT(EXACT(K318,'AI output'!F318)))+--(N318&lt;&gt;'AI output'!L318)+--(NOT('AI output'!M318)),0)</f>
        <v>0</v>
      </c>
      <c r="Z318" s="1">
        <f t="shared" si="39"/>
        <v>0</v>
      </c>
      <c r="AA318" s="1">
        <f>--EXACT(A318,"L00312")</f>
        <v>1</v>
      </c>
    </row>
    <row r="319" spans="1:27" ht="18.95" customHeight="1">
      <c r="A319" s="1" t="str">
        <f>IF(Raw!A319="","",Raw!A319)</f>
        <v>L00313</v>
      </c>
      <c r="B319" s="1" t="str">
        <f>IF(Raw!B319="","",Raw!B319)</f>
        <v>T00157</v>
      </c>
      <c r="C319" s="1" t="str">
        <f>IF(Raw!C319="","",Raw!C319)</f>
        <v>2026-01-13</v>
      </c>
      <c r="D319" s="1">
        <f t="shared" si="32"/>
        <v>2026</v>
      </c>
      <c r="E319" s="1">
        <f>IFERROR(IF(AND(LEN(C319)=10,MID(C319,5,1)="-",MID(C319,8,1)="-"),VALUE(MID(C319,6,2)),IF(AND(LEN(C319)=11,MID(C319,3,1)="-",MID(C319,7,1)="-"),MATCH(UPPER(MID(C319,4,3)),Guide!$D$7:$D$18,0),0)),0)</f>
        <v>1</v>
      </c>
      <c r="F319" s="1">
        <f t="shared" si="33"/>
        <v>13</v>
      </c>
      <c r="G319" s="9">
        <f t="shared" si="34"/>
        <v>46035</v>
      </c>
      <c r="H319" s="1" t="str">
        <f>IF(Raw!D319="","",Raw!D319)</f>
        <v>P-A</v>
      </c>
      <c r="I319" s="1" t="str">
        <f>IFERROR(IF(EXACT(H319,INDEX(Guide!$A$7:$A$9,MATCH(SUBSTITUTE(SUBSTITUTE(SUBSTITUTE(H319,"~","~~"),"*","~*"),"?","~?"),Guide!$A$7:$A$9,0))),INDEX(Guide!$B$7:$B$9,MATCH(SUBSTITUTE(SUBSTITUTE(SUBSTITUTE(H319,"~","~~"),"*","~*"),"?","~?"),Guide!$A$7:$A$9,0)),""),"")</f>
        <v>Accessories</v>
      </c>
      <c r="J319" s="1" t="str">
        <f>IF(TRIM(Raw!E319)="",I319,IF(UPPER(TRIM(Raw!E319))=UPPER(I319),I319,""))</f>
        <v>Accessories</v>
      </c>
      <c r="K319" s="1" t="str">
        <f>IF(Raw!F319="","",Raw!F319)</f>
        <v>sale</v>
      </c>
      <c r="L319" s="1" t="str">
        <f>IF(LEFT(TRIM(Raw!G319),2)="-$","-"&amp;MID(TRIM(Raw!G319),3,99),IF(LEFT(TRIM(Raw!G319),1)="$",MID(TRIM(Raw!G319),2,99),TRIM(Raw!G319)))</f>
        <v>602.15</v>
      </c>
      <c r="M319" s="1">
        <f t="shared" si="35"/>
        <v>602.15</v>
      </c>
      <c r="N319" s="10">
        <f t="shared" si="36"/>
        <v>60215</v>
      </c>
      <c r="O319" s="1" t="b">
        <f>IFERROR(IF(ISNUMBER(Raw!G319),TRUE,OR(EXACT(L319,TEXT(M319,"0.00")),EXACT(L319,TEXT(M319,"#,##0.00")))),FALSE)</f>
        <v>1</v>
      </c>
      <c r="P319" s="1" t="str">
        <f>LEN(IF(Raw!A319="","",Raw!A319))&amp;":"&amp;IF(Raw!A319="","",Raw!A319)&amp;"|"&amp;LEN(IF(Raw!B319="","",Raw!B319))&amp;":"&amp;IF(Raw!B319="","",Raw!B319)&amp;"|"&amp;LEN(IF(Raw!C319="","",Raw!C319))&amp;":"&amp;IF(Raw!C319="","",Raw!C319)&amp;"|"&amp;LEN(IF(Raw!D319="","",Raw!D319))&amp;":"&amp;IF(Raw!D319="","",Raw!D319)&amp;"|"&amp;LEN(IF(Raw!E319="","",Raw!E319))&amp;":"&amp;IF(Raw!E319="","",Raw!E319)&amp;"|"&amp;LEN(IF(Raw!F319="","",Raw!F319))&amp;":"&amp;IF(Raw!F319="","",Raw!F319)&amp;"|"&amp;LEN(IF(Raw!G319="","",Raw!G319))&amp;":"&amp;IF(Raw!G319="","",Raw!G319)</f>
        <v>6:L00313|6:T00157|10:2026-01-13|3:P-A|11:Accessories|4:sale|6:602.15</v>
      </c>
      <c r="Q319" s="1">
        <f>1</f>
        <v>1</v>
      </c>
      <c r="R319" s="1" t="b">
        <f>FALSE</f>
        <v>0</v>
      </c>
      <c r="S319" s="1">
        <f>1</f>
        <v>1</v>
      </c>
      <c r="T319" s="1" t="str">
        <f>IF(AND(Raw!A319="",Raw!B319="",Raw!C319="",Raw!D319="",Raw!E319="",Raw!F319="",Raw!G319=""),"UNUSED",IF(A319="","missing line ID",IF(B319="","missing transaction ID",IF(G319="",IF(C319="","missing date","invalid date"),IF(I319="","unknown product",IF(J319="","conflicting category",IF(NOT(OR(EXACT(K319,"sale"),EXACT(K319,"refund"))),"unknown event",IF(OR(N319="",NOT(O319)),"invalid amount",IF(OR(AND(K319="sale",N319&lt;=0),AND(K319="refund",N319&gt;=0)),"invalid sign","")))))))))</f>
        <v/>
      </c>
      <c r="U319" s="1" t="str">
        <f t="shared" si="37"/>
        <v>INCLUDED</v>
      </c>
      <c r="V319" s="1" t="str">
        <f t="shared" si="38"/>
        <v>2026-01</v>
      </c>
      <c r="W319" s="1">
        <f>IF(AND(U319="INCLUDED",X319&gt;0,EXACT(A319,'AI output'!A319)),1,0)</f>
        <v>1</v>
      </c>
      <c r="X319" s="1">
        <f>319</f>
        <v>319</v>
      </c>
      <c r="Y319" s="1">
        <f>IF(AND(U319="INCLUDED",W319=1),--(NOT(EXACT(A319,'AI output'!A319)))+--(NOT(EXACT(B319,'AI output'!B319)))+--(NOT(EXACT(TEXT(G319,"yyyy-mm-dd"),'AI output'!C319)))+--(NOT(EXACT(H319,'AI output'!D319)))+--(NOT(EXACT(J319,'AI output'!E319)))+--(NOT(EXACT(K319,'AI output'!F319)))+--(N319&lt;&gt;'AI output'!L319)+--(NOT('AI output'!M319)),0)</f>
        <v>0</v>
      </c>
      <c r="Z319" s="1">
        <f t="shared" si="39"/>
        <v>0</v>
      </c>
      <c r="AA319" s="1">
        <f>--EXACT(A319,"L00313")</f>
        <v>1</v>
      </c>
    </row>
    <row r="320" spans="1:27" ht="18.95" customHeight="1">
      <c r="A320" s="1" t="str">
        <f>IF(Raw!A320="","",Raw!A320)</f>
        <v>L00314</v>
      </c>
      <c r="B320" s="1" t="str">
        <f>IF(Raw!B320="","",Raw!B320)</f>
        <v>T00157</v>
      </c>
      <c r="C320" s="1" t="str">
        <f>IF(Raw!C320="","",Raw!C320)</f>
        <v>2026-01-13</v>
      </c>
      <c r="D320" s="1">
        <f t="shared" si="32"/>
        <v>2026</v>
      </c>
      <c r="E320" s="1">
        <f>IFERROR(IF(AND(LEN(C320)=10,MID(C320,5,1)="-",MID(C320,8,1)="-"),VALUE(MID(C320,6,2)),IF(AND(LEN(C320)=11,MID(C320,3,1)="-",MID(C320,7,1)="-"),MATCH(UPPER(MID(C320,4,3)),Guide!$D$7:$D$18,0),0)),0)</f>
        <v>1</v>
      </c>
      <c r="F320" s="1">
        <f t="shared" si="33"/>
        <v>13</v>
      </c>
      <c r="G320" s="9">
        <f t="shared" si="34"/>
        <v>46035</v>
      </c>
      <c r="H320" s="1" t="str">
        <f>IF(Raw!D320="","",Raw!D320)</f>
        <v>P-H</v>
      </c>
      <c r="I320" s="1" t="str">
        <f>IFERROR(IF(EXACT(H320,INDEX(Guide!$A$7:$A$9,MATCH(SUBSTITUTE(SUBSTITUTE(SUBSTITUTE(H320,"~","~~"),"*","~*"),"?","~?"),Guide!$A$7:$A$9,0))),INDEX(Guide!$B$7:$B$9,MATCH(SUBSTITUTE(SUBSTITUTE(SUBSTITUTE(H320,"~","~~"),"*","~*"),"?","~?"),Guide!$A$7:$A$9,0)),""),"")</f>
        <v>Home</v>
      </c>
      <c r="J320" s="1" t="str">
        <f>IF(TRIM(Raw!E320)="",I320,IF(UPPER(TRIM(Raw!E320))=UPPER(I320),I320,""))</f>
        <v>Home</v>
      </c>
      <c r="K320" s="1" t="str">
        <f>IF(Raw!F320="","",Raw!F320)</f>
        <v>sale</v>
      </c>
      <c r="L320" s="1" t="str">
        <f>IF(LEFT(TRIM(Raw!G320),2)="-$","-"&amp;MID(TRIM(Raw!G320),3,99),IF(LEFT(TRIM(Raw!G320),1)="$",MID(TRIM(Raw!G320),2,99),TRIM(Raw!G320)))</f>
        <v>241.60</v>
      </c>
      <c r="M320" s="1">
        <f t="shared" si="35"/>
        <v>241.6</v>
      </c>
      <c r="N320" s="10">
        <f t="shared" si="36"/>
        <v>24160</v>
      </c>
      <c r="O320" s="1" t="b">
        <f>IFERROR(IF(ISNUMBER(Raw!G320),TRUE,OR(EXACT(L320,TEXT(M320,"0.00")),EXACT(L320,TEXT(M320,"#,##0.00")))),FALSE)</f>
        <v>1</v>
      </c>
      <c r="P320" s="1" t="str">
        <f>LEN(IF(Raw!A320="","",Raw!A320))&amp;":"&amp;IF(Raw!A320="","",Raw!A320)&amp;"|"&amp;LEN(IF(Raw!B320="","",Raw!B320))&amp;":"&amp;IF(Raw!B320="","",Raw!B320)&amp;"|"&amp;LEN(IF(Raw!C320="","",Raw!C320))&amp;":"&amp;IF(Raw!C320="","",Raw!C320)&amp;"|"&amp;LEN(IF(Raw!D320="","",Raw!D320))&amp;":"&amp;IF(Raw!D320="","",Raw!D320)&amp;"|"&amp;LEN(IF(Raw!E320="","",Raw!E320))&amp;":"&amp;IF(Raw!E320="","",Raw!E320)&amp;"|"&amp;LEN(IF(Raw!F320="","",Raw!F320))&amp;":"&amp;IF(Raw!F320="","",Raw!F320)&amp;"|"&amp;LEN(IF(Raw!G320="","",Raw!G320))&amp;":"&amp;IF(Raw!G320="","",Raw!G320)</f>
        <v>6:L00314|6:T00157|10:2026-01-13|3:P-H|4:Home|4:sale|6:241.60</v>
      </c>
      <c r="Q320" s="1">
        <f>1</f>
        <v>1</v>
      </c>
      <c r="R320" s="1" t="b">
        <f>FALSE</f>
        <v>0</v>
      </c>
      <c r="S320" s="1">
        <f>1</f>
        <v>1</v>
      </c>
      <c r="T320" s="1" t="str">
        <f>IF(AND(Raw!A320="",Raw!B320="",Raw!C320="",Raw!D320="",Raw!E320="",Raw!F320="",Raw!G320=""),"UNUSED",IF(A320="","missing line ID",IF(B320="","missing transaction ID",IF(G320="",IF(C320="","missing date","invalid date"),IF(I320="","unknown product",IF(J320="","conflicting category",IF(NOT(OR(EXACT(K320,"sale"),EXACT(K320,"refund"))),"unknown event",IF(OR(N320="",NOT(O320)),"invalid amount",IF(OR(AND(K320="sale",N320&lt;=0),AND(K320="refund",N320&gt;=0)),"invalid sign","")))))))))</f>
        <v/>
      </c>
      <c r="U320" s="1" t="str">
        <f t="shared" si="37"/>
        <v>INCLUDED</v>
      </c>
      <c r="V320" s="1" t="str">
        <f t="shared" si="38"/>
        <v>2026-01</v>
      </c>
      <c r="W320" s="1">
        <f>IF(AND(U320="INCLUDED",X320&gt;0,EXACT(A320,'AI output'!A320)),1,0)</f>
        <v>1</v>
      </c>
      <c r="X320" s="1">
        <f>320</f>
        <v>320</v>
      </c>
      <c r="Y320" s="1">
        <f>IF(AND(U320="INCLUDED",W320=1),--(NOT(EXACT(A320,'AI output'!A320)))+--(NOT(EXACT(B320,'AI output'!B320)))+--(NOT(EXACT(TEXT(G320,"yyyy-mm-dd"),'AI output'!C320)))+--(NOT(EXACT(H320,'AI output'!D320)))+--(NOT(EXACT(J320,'AI output'!E320)))+--(NOT(EXACT(K320,'AI output'!F320)))+--(N320&lt;&gt;'AI output'!L320)+--(NOT('AI output'!M320)),0)</f>
        <v>0</v>
      </c>
      <c r="Z320" s="1">
        <f t="shared" si="39"/>
        <v>0</v>
      </c>
      <c r="AA320" s="1">
        <f>--EXACT(A320,"L00314")</f>
        <v>1</v>
      </c>
    </row>
    <row r="321" spans="1:27" ht="18.95" customHeight="1">
      <c r="A321" s="1" t="str">
        <f>IF(Raw!A321="","",Raw!A321)</f>
        <v>L00315</v>
      </c>
      <c r="B321" s="1" t="str">
        <f>IF(Raw!B321="","",Raw!B321)</f>
        <v>T00158</v>
      </c>
      <c r="C321" s="1" t="str">
        <f>IF(Raw!C321="","",Raw!C321)</f>
        <v>2026-01-20</v>
      </c>
      <c r="D321" s="1">
        <f t="shared" si="32"/>
        <v>2026</v>
      </c>
      <c r="E321" s="1">
        <f>IFERROR(IF(AND(LEN(C321)=10,MID(C321,5,1)="-",MID(C321,8,1)="-"),VALUE(MID(C321,6,2)),IF(AND(LEN(C321)=11,MID(C321,3,1)="-",MID(C321,7,1)="-"),MATCH(UPPER(MID(C321,4,3)),Guide!$D$7:$D$18,0),0)),0)</f>
        <v>1</v>
      </c>
      <c r="F321" s="1">
        <f t="shared" si="33"/>
        <v>20</v>
      </c>
      <c r="G321" s="9">
        <f t="shared" si="34"/>
        <v>46042</v>
      </c>
      <c r="H321" s="1" t="str">
        <f>IF(Raw!D321="","",Raw!D321)</f>
        <v>P-O</v>
      </c>
      <c r="I321" s="1" t="str">
        <f>IFERROR(IF(EXACT(H321,INDEX(Guide!$A$7:$A$9,MATCH(SUBSTITUTE(SUBSTITUTE(SUBSTITUTE(H321,"~","~~"),"*","~*"),"?","~?"),Guide!$A$7:$A$9,0))),INDEX(Guide!$B$7:$B$9,MATCH(SUBSTITUTE(SUBSTITUTE(SUBSTITUTE(H321,"~","~~"),"*","~*"),"?","~?"),Guide!$A$7:$A$9,0)),""),"")</f>
        <v>Office</v>
      </c>
      <c r="J321" s="1" t="str">
        <f>IF(TRIM(Raw!E321)="",I321,IF(UPPER(TRIM(Raw!E321))=UPPER(I321),I321,""))</f>
        <v>Office</v>
      </c>
      <c r="K321" s="1" t="str">
        <f>IF(Raw!F321="","",Raw!F321)</f>
        <v>sale</v>
      </c>
      <c r="L321" s="1" t="str">
        <f>IF(LEFT(TRIM(Raw!G321),2)="-$","-"&amp;MID(TRIM(Raw!G321),3,99),IF(LEFT(TRIM(Raw!G321),1)="$",MID(TRIM(Raw!G321),2,99),TRIM(Raw!G321)))</f>
        <v>484.68</v>
      </c>
      <c r="M321" s="1">
        <f t="shared" si="35"/>
        <v>484.68</v>
      </c>
      <c r="N321" s="10">
        <f t="shared" si="36"/>
        <v>48468</v>
      </c>
      <c r="O321" s="1" t="b">
        <f>IFERROR(IF(ISNUMBER(Raw!G321),TRUE,OR(EXACT(L321,TEXT(M321,"0.00")),EXACT(L321,TEXT(M321,"#,##0.00")))),FALSE)</f>
        <v>1</v>
      </c>
      <c r="P321" s="1" t="str">
        <f>LEN(IF(Raw!A321="","",Raw!A321))&amp;":"&amp;IF(Raw!A321="","",Raw!A321)&amp;"|"&amp;LEN(IF(Raw!B321="","",Raw!B321))&amp;":"&amp;IF(Raw!B321="","",Raw!B321)&amp;"|"&amp;LEN(IF(Raw!C321="","",Raw!C321))&amp;":"&amp;IF(Raw!C321="","",Raw!C321)&amp;"|"&amp;LEN(IF(Raw!D321="","",Raw!D321))&amp;":"&amp;IF(Raw!D321="","",Raw!D321)&amp;"|"&amp;LEN(IF(Raw!E321="","",Raw!E321))&amp;":"&amp;IF(Raw!E321="","",Raw!E321)&amp;"|"&amp;LEN(IF(Raw!F321="","",Raw!F321))&amp;":"&amp;IF(Raw!F321="","",Raw!F321)&amp;"|"&amp;LEN(IF(Raw!G321="","",Raw!G321))&amp;":"&amp;IF(Raw!G321="","",Raw!G321)</f>
        <v>6:L00315|6:T00158|10:2026-01-20|3:P-O|6:Office|4:sale|6:484.68</v>
      </c>
      <c r="Q321" s="1">
        <f>1</f>
        <v>1</v>
      </c>
      <c r="R321" s="1" t="b">
        <f>FALSE</f>
        <v>0</v>
      </c>
      <c r="S321" s="1">
        <f>1</f>
        <v>1</v>
      </c>
      <c r="T321" s="1" t="str">
        <f>IF(AND(Raw!A321="",Raw!B321="",Raw!C321="",Raw!D321="",Raw!E321="",Raw!F321="",Raw!G321=""),"UNUSED",IF(A321="","missing line ID",IF(B321="","missing transaction ID",IF(G321="",IF(C321="","missing date","invalid date"),IF(I321="","unknown product",IF(J321="","conflicting category",IF(NOT(OR(EXACT(K321,"sale"),EXACT(K321,"refund"))),"unknown event",IF(OR(N321="",NOT(O321)),"invalid amount",IF(OR(AND(K321="sale",N321&lt;=0),AND(K321="refund",N321&gt;=0)),"invalid sign","")))))))))</f>
        <v/>
      </c>
      <c r="U321" s="1" t="str">
        <f t="shared" si="37"/>
        <v>INCLUDED</v>
      </c>
      <c r="V321" s="1" t="str">
        <f t="shared" si="38"/>
        <v>2026-01</v>
      </c>
      <c r="W321" s="1">
        <f>IF(AND(U321="INCLUDED",X321&gt;0,EXACT(A321,'AI output'!A321)),1,0)</f>
        <v>1</v>
      </c>
      <c r="X321" s="1">
        <f>321</f>
        <v>321</v>
      </c>
      <c r="Y321" s="1">
        <f>IF(AND(U321="INCLUDED",W321=1),--(NOT(EXACT(A321,'AI output'!A321)))+--(NOT(EXACT(B321,'AI output'!B321)))+--(NOT(EXACT(TEXT(G321,"yyyy-mm-dd"),'AI output'!C321)))+--(NOT(EXACT(H321,'AI output'!D321)))+--(NOT(EXACT(J321,'AI output'!E321)))+--(NOT(EXACT(K321,'AI output'!F321)))+--(N321&lt;&gt;'AI output'!L321)+--(NOT('AI output'!M321)),0)</f>
        <v>0</v>
      </c>
      <c r="Z321" s="1">
        <f t="shared" si="39"/>
        <v>0</v>
      </c>
      <c r="AA321" s="1">
        <f>--EXACT(A321,"L00315")</f>
        <v>1</v>
      </c>
    </row>
    <row r="322" spans="1:27" ht="18.95" customHeight="1">
      <c r="A322" s="1" t="str">
        <f>IF(Raw!A322="","",Raw!A322)</f>
        <v>L00316</v>
      </c>
      <c r="B322" s="1" t="str">
        <f>IF(Raw!B322="","",Raw!B322)</f>
        <v>T00158</v>
      </c>
      <c r="C322" s="1" t="str">
        <f>IF(Raw!C322="","",Raw!C322)</f>
        <v>2026-01-20</v>
      </c>
      <c r="D322" s="1">
        <f t="shared" si="32"/>
        <v>2026</v>
      </c>
      <c r="E322" s="1">
        <f>IFERROR(IF(AND(LEN(C322)=10,MID(C322,5,1)="-",MID(C322,8,1)="-"),VALUE(MID(C322,6,2)),IF(AND(LEN(C322)=11,MID(C322,3,1)="-",MID(C322,7,1)="-"),MATCH(UPPER(MID(C322,4,3)),Guide!$D$7:$D$18,0),0)),0)</f>
        <v>1</v>
      </c>
      <c r="F322" s="1">
        <f t="shared" si="33"/>
        <v>20</v>
      </c>
      <c r="G322" s="9">
        <f t="shared" si="34"/>
        <v>46042</v>
      </c>
      <c r="H322" s="1" t="str">
        <f>IF(Raw!D322="","",Raw!D322)</f>
        <v>P-A</v>
      </c>
      <c r="I322" s="1" t="str">
        <f>IFERROR(IF(EXACT(H322,INDEX(Guide!$A$7:$A$9,MATCH(SUBSTITUTE(SUBSTITUTE(SUBSTITUTE(H322,"~","~~"),"*","~*"),"?","~?"),Guide!$A$7:$A$9,0))),INDEX(Guide!$B$7:$B$9,MATCH(SUBSTITUTE(SUBSTITUTE(SUBSTITUTE(H322,"~","~~"),"*","~*"),"?","~?"),Guide!$A$7:$A$9,0)),""),"")</f>
        <v>Accessories</v>
      </c>
      <c r="J322" s="1" t="str">
        <f>IF(TRIM(Raw!E322)="",I322,IF(UPPER(TRIM(Raw!E322))=UPPER(I322),I322,""))</f>
        <v>Accessories</v>
      </c>
      <c r="K322" s="1" t="str">
        <f>IF(Raw!F322="","",Raw!F322)</f>
        <v>sale</v>
      </c>
      <c r="L322" s="1" t="str">
        <f>IF(LEFT(TRIM(Raw!G322),2)="-$","-"&amp;MID(TRIM(Raw!G322),3,99),IF(LEFT(TRIM(Raw!G322),1)="$",MID(TRIM(Raw!G322),2,99),TRIM(Raw!G322)))</f>
        <v>121.54</v>
      </c>
      <c r="M322" s="1">
        <f t="shared" si="35"/>
        <v>121.54</v>
      </c>
      <c r="N322" s="10">
        <f t="shared" si="36"/>
        <v>12154</v>
      </c>
      <c r="O322" s="1" t="b">
        <f>IFERROR(IF(ISNUMBER(Raw!G322),TRUE,OR(EXACT(L322,TEXT(M322,"0.00")),EXACT(L322,TEXT(M322,"#,##0.00")))),FALSE)</f>
        <v>1</v>
      </c>
      <c r="P322" s="1" t="str">
        <f>LEN(IF(Raw!A322="","",Raw!A322))&amp;":"&amp;IF(Raw!A322="","",Raw!A322)&amp;"|"&amp;LEN(IF(Raw!B322="","",Raw!B322))&amp;":"&amp;IF(Raw!B322="","",Raw!B322)&amp;"|"&amp;LEN(IF(Raw!C322="","",Raw!C322))&amp;":"&amp;IF(Raw!C322="","",Raw!C322)&amp;"|"&amp;LEN(IF(Raw!D322="","",Raw!D322))&amp;":"&amp;IF(Raw!D322="","",Raw!D322)&amp;"|"&amp;LEN(IF(Raw!E322="","",Raw!E322))&amp;":"&amp;IF(Raw!E322="","",Raw!E322)&amp;"|"&amp;LEN(IF(Raw!F322="","",Raw!F322))&amp;":"&amp;IF(Raw!F322="","",Raw!F322)&amp;"|"&amp;LEN(IF(Raw!G322="","",Raw!G322))&amp;":"&amp;IF(Raw!G322="","",Raw!G322)</f>
        <v>6:L00316|6:T00158|10:2026-01-20|3:P-A|11:Accessories|4:sale|6:121.54</v>
      </c>
      <c r="Q322" s="1">
        <f>1</f>
        <v>1</v>
      </c>
      <c r="R322" s="1" t="b">
        <f>FALSE</f>
        <v>0</v>
      </c>
      <c r="S322" s="1">
        <f>1</f>
        <v>1</v>
      </c>
      <c r="T322" s="1" t="str">
        <f>IF(AND(Raw!A322="",Raw!B322="",Raw!C322="",Raw!D322="",Raw!E322="",Raw!F322="",Raw!G322=""),"UNUSED",IF(A322="","missing line ID",IF(B322="","missing transaction ID",IF(G322="",IF(C322="","missing date","invalid date"),IF(I322="","unknown product",IF(J322="","conflicting category",IF(NOT(OR(EXACT(K322,"sale"),EXACT(K322,"refund"))),"unknown event",IF(OR(N322="",NOT(O322)),"invalid amount",IF(OR(AND(K322="sale",N322&lt;=0),AND(K322="refund",N322&gt;=0)),"invalid sign","")))))))))</f>
        <v/>
      </c>
      <c r="U322" s="1" t="str">
        <f t="shared" si="37"/>
        <v>INCLUDED</v>
      </c>
      <c r="V322" s="1" t="str">
        <f t="shared" si="38"/>
        <v>2026-01</v>
      </c>
      <c r="W322" s="1">
        <f>IF(AND(U322="INCLUDED",X322&gt;0,EXACT(A322,'AI output'!A322)),1,0)</f>
        <v>1</v>
      </c>
      <c r="X322" s="1">
        <f>322</f>
        <v>322</v>
      </c>
      <c r="Y322" s="1">
        <f>IF(AND(U322="INCLUDED",W322=1),--(NOT(EXACT(A322,'AI output'!A322)))+--(NOT(EXACT(B322,'AI output'!B322)))+--(NOT(EXACT(TEXT(G322,"yyyy-mm-dd"),'AI output'!C322)))+--(NOT(EXACT(H322,'AI output'!D322)))+--(NOT(EXACT(J322,'AI output'!E322)))+--(NOT(EXACT(K322,'AI output'!F322)))+--(N322&lt;&gt;'AI output'!L322)+--(NOT('AI output'!M322)),0)</f>
        <v>0</v>
      </c>
      <c r="Z322" s="1">
        <f t="shared" si="39"/>
        <v>0</v>
      </c>
      <c r="AA322" s="1">
        <f>--EXACT(A322,"L00316")</f>
        <v>1</v>
      </c>
    </row>
    <row r="323" spans="1:27" ht="18.95" customHeight="1">
      <c r="A323" s="1" t="str">
        <f>IF(Raw!A323="","",Raw!A323)</f>
        <v>L00317</v>
      </c>
      <c r="B323" s="1" t="str">
        <f>IF(Raw!B323="","",Raw!B323)</f>
        <v>T00159</v>
      </c>
      <c r="C323" s="1" t="str">
        <f>IF(Raw!C323="","",Raw!C323)</f>
        <v>2026-01-27</v>
      </c>
      <c r="D323" s="1">
        <f t="shared" si="32"/>
        <v>2026</v>
      </c>
      <c r="E323" s="1">
        <f>IFERROR(IF(AND(LEN(C323)=10,MID(C323,5,1)="-",MID(C323,8,1)="-"),VALUE(MID(C323,6,2)),IF(AND(LEN(C323)=11,MID(C323,3,1)="-",MID(C323,7,1)="-"),MATCH(UPPER(MID(C323,4,3)),Guide!$D$7:$D$18,0),0)),0)</f>
        <v>1</v>
      </c>
      <c r="F323" s="1">
        <f t="shared" si="33"/>
        <v>27</v>
      </c>
      <c r="G323" s="9">
        <f t="shared" si="34"/>
        <v>46049</v>
      </c>
      <c r="H323" s="1" t="str">
        <f>IF(Raw!D323="","",Raw!D323)</f>
        <v>P-H</v>
      </c>
      <c r="I323" s="1" t="str">
        <f>IFERROR(IF(EXACT(H323,INDEX(Guide!$A$7:$A$9,MATCH(SUBSTITUTE(SUBSTITUTE(SUBSTITUTE(H323,"~","~~"),"*","~*"),"?","~?"),Guide!$A$7:$A$9,0))),INDEX(Guide!$B$7:$B$9,MATCH(SUBSTITUTE(SUBSTITUTE(SUBSTITUTE(H323,"~","~~"),"*","~*"),"?","~?"),Guide!$A$7:$A$9,0)),""),"")</f>
        <v>Home</v>
      </c>
      <c r="J323" s="1" t="str">
        <f>IF(TRIM(Raw!E323)="",I323,IF(UPPER(TRIM(Raw!E323))=UPPER(I323),I323,""))</f>
        <v>Home</v>
      </c>
      <c r="K323" s="1" t="str">
        <f>IF(Raw!F323="","",Raw!F323)</f>
        <v>sale</v>
      </c>
      <c r="L323" s="1" t="str">
        <f>IF(LEFT(TRIM(Raw!G323),2)="-$","-"&amp;MID(TRIM(Raw!G323),3,99),IF(LEFT(TRIM(Raw!G323),1)="$",MID(TRIM(Raw!G323),2,99),TRIM(Raw!G323)))</f>
        <v>365.73</v>
      </c>
      <c r="M323" s="1">
        <f t="shared" si="35"/>
        <v>365.73</v>
      </c>
      <c r="N323" s="10">
        <f t="shared" si="36"/>
        <v>36573</v>
      </c>
      <c r="O323" s="1" t="b">
        <f>IFERROR(IF(ISNUMBER(Raw!G323),TRUE,OR(EXACT(L323,TEXT(M323,"0.00")),EXACT(L323,TEXT(M323,"#,##0.00")))),FALSE)</f>
        <v>1</v>
      </c>
      <c r="P323" s="1" t="str">
        <f>LEN(IF(Raw!A323="","",Raw!A323))&amp;":"&amp;IF(Raw!A323="","",Raw!A323)&amp;"|"&amp;LEN(IF(Raw!B323="","",Raw!B323))&amp;":"&amp;IF(Raw!B323="","",Raw!B323)&amp;"|"&amp;LEN(IF(Raw!C323="","",Raw!C323))&amp;":"&amp;IF(Raw!C323="","",Raw!C323)&amp;"|"&amp;LEN(IF(Raw!D323="","",Raw!D323))&amp;":"&amp;IF(Raw!D323="","",Raw!D323)&amp;"|"&amp;LEN(IF(Raw!E323="","",Raw!E323))&amp;":"&amp;IF(Raw!E323="","",Raw!E323)&amp;"|"&amp;LEN(IF(Raw!F323="","",Raw!F323))&amp;":"&amp;IF(Raw!F323="","",Raw!F323)&amp;"|"&amp;LEN(IF(Raw!G323="","",Raw!G323))&amp;":"&amp;IF(Raw!G323="","",Raw!G323)</f>
        <v>6:L00317|6:T00159|10:2026-01-27|3:P-H|4:Home|4:sale|6:365.73</v>
      </c>
      <c r="Q323" s="1">
        <f>1</f>
        <v>1</v>
      </c>
      <c r="R323" s="1" t="b">
        <f>FALSE</f>
        <v>0</v>
      </c>
      <c r="S323" s="1">
        <f>1</f>
        <v>1</v>
      </c>
      <c r="T323" s="1" t="str">
        <f>IF(AND(Raw!A323="",Raw!B323="",Raw!C323="",Raw!D323="",Raw!E323="",Raw!F323="",Raw!G323=""),"UNUSED",IF(A323="","missing line ID",IF(B323="","missing transaction ID",IF(G323="",IF(C323="","missing date","invalid date"),IF(I323="","unknown product",IF(J323="","conflicting category",IF(NOT(OR(EXACT(K323,"sale"),EXACT(K323,"refund"))),"unknown event",IF(OR(N323="",NOT(O323)),"invalid amount",IF(OR(AND(K323="sale",N323&lt;=0),AND(K323="refund",N323&gt;=0)),"invalid sign","")))))))))</f>
        <v/>
      </c>
      <c r="U323" s="1" t="str">
        <f t="shared" si="37"/>
        <v>INCLUDED</v>
      </c>
      <c r="V323" s="1" t="str">
        <f t="shared" si="38"/>
        <v>2026-01</v>
      </c>
      <c r="W323" s="1">
        <f>IF(AND(U323="INCLUDED",X323&gt;0,EXACT(A323,'AI output'!A323)),1,0)</f>
        <v>1</v>
      </c>
      <c r="X323" s="1">
        <f>323</f>
        <v>323</v>
      </c>
      <c r="Y323" s="1">
        <f>IF(AND(U323="INCLUDED",W323=1),--(NOT(EXACT(A323,'AI output'!A323)))+--(NOT(EXACT(B323,'AI output'!B323)))+--(NOT(EXACT(TEXT(G323,"yyyy-mm-dd"),'AI output'!C323)))+--(NOT(EXACT(H323,'AI output'!D323)))+--(NOT(EXACT(J323,'AI output'!E323)))+--(NOT(EXACT(K323,'AI output'!F323)))+--(N323&lt;&gt;'AI output'!L323)+--(NOT('AI output'!M323)),0)</f>
        <v>0</v>
      </c>
      <c r="Z323" s="1">
        <f t="shared" si="39"/>
        <v>0</v>
      </c>
      <c r="AA323" s="1">
        <f>--EXACT(A323,"L00317")</f>
        <v>1</v>
      </c>
    </row>
    <row r="324" spans="1:27" ht="18.95" customHeight="1">
      <c r="A324" s="1" t="str">
        <f>IF(Raw!A324="","",Raw!A324)</f>
        <v>L00318</v>
      </c>
      <c r="B324" s="1" t="str">
        <f>IF(Raw!B324="","",Raw!B324)</f>
        <v>T00159</v>
      </c>
      <c r="C324" s="1" t="str">
        <f>IF(Raw!C324="","",Raw!C324)</f>
        <v>2026-01-27</v>
      </c>
      <c r="D324" s="1">
        <f t="shared" si="32"/>
        <v>2026</v>
      </c>
      <c r="E324" s="1">
        <f>IFERROR(IF(AND(LEN(C324)=10,MID(C324,5,1)="-",MID(C324,8,1)="-"),VALUE(MID(C324,6,2)),IF(AND(LEN(C324)=11,MID(C324,3,1)="-",MID(C324,7,1)="-"),MATCH(UPPER(MID(C324,4,3)),Guide!$D$7:$D$18,0),0)),0)</f>
        <v>1</v>
      </c>
      <c r="F324" s="1">
        <f t="shared" si="33"/>
        <v>27</v>
      </c>
      <c r="G324" s="9">
        <f t="shared" si="34"/>
        <v>46049</v>
      </c>
      <c r="H324" s="1" t="str">
        <f>IF(Raw!D324="","",Raw!D324)</f>
        <v>P-O</v>
      </c>
      <c r="I324" s="1" t="str">
        <f>IFERROR(IF(EXACT(H324,INDEX(Guide!$A$7:$A$9,MATCH(SUBSTITUTE(SUBSTITUTE(SUBSTITUTE(H324,"~","~~"),"*","~*"),"?","~?"),Guide!$A$7:$A$9,0))),INDEX(Guide!$B$7:$B$9,MATCH(SUBSTITUTE(SUBSTITUTE(SUBSTITUTE(H324,"~","~~"),"*","~*"),"?","~?"),Guide!$A$7:$A$9,0)),""),"")</f>
        <v>Office</v>
      </c>
      <c r="J324" s="1" t="str">
        <f>IF(TRIM(Raw!E324)="",I324,IF(UPPER(TRIM(Raw!E324))=UPPER(I324),I324,""))</f>
        <v>Office</v>
      </c>
      <c r="K324" s="1" t="str">
        <f>IF(Raw!F324="","",Raw!F324)</f>
        <v>sale</v>
      </c>
      <c r="L324" s="1" t="str">
        <f>IF(LEFT(TRIM(Raw!G324),2)="-$","-"&amp;MID(TRIM(Raw!G324),3,99),IF(LEFT(TRIM(Raw!G324),1)="$",MID(TRIM(Raw!G324),2,99),TRIM(Raw!G324)))</f>
        <v>611.40</v>
      </c>
      <c r="M324" s="1">
        <f t="shared" si="35"/>
        <v>611.4</v>
      </c>
      <c r="N324" s="10">
        <f t="shared" si="36"/>
        <v>61140</v>
      </c>
      <c r="O324" s="1" t="b">
        <f>IFERROR(IF(ISNUMBER(Raw!G324),TRUE,OR(EXACT(L324,TEXT(M324,"0.00")),EXACT(L324,TEXT(M324,"#,##0.00")))),FALSE)</f>
        <v>1</v>
      </c>
      <c r="P324" s="1" t="str">
        <f>LEN(IF(Raw!A324="","",Raw!A324))&amp;":"&amp;IF(Raw!A324="","",Raw!A324)&amp;"|"&amp;LEN(IF(Raw!B324="","",Raw!B324))&amp;":"&amp;IF(Raw!B324="","",Raw!B324)&amp;"|"&amp;LEN(IF(Raw!C324="","",Raw!C324))&amp;":"&amp;IF(Raw!C324="","",Raw!C324)&amp;"|"&amp;LEN(IF(Raw!D324="","",Raw!D324))&amp;":"&amp;IF(Raw!D324="","",Raw!D324)&amp;"|"&amp;LEN(IF(Raw!E324="","",Raw!E324))&amp;":"&amp;IF(Raw!E324="","",Raw!E324)&amp;"|"&amp;LEN(IF(Raw!F324="","",Raw!F324))&amp;":"&amp;IF(Raw!F324="","",Raw!F324)&amp;"|"&amp;LEN(IF(Raw!G324="","",Raw!G324))&amp;":"&amp;IF(Raw!G324="","",Raw!G324)</f>
        <v>6:L00318|6:T00159|10:2026-01-27|3:P-O|6:Office|4:sale|6:611.40</v>
      </c>
      <c r="Q324" s="1">
        <f>1</f>
        <v>1</v>
      </c>
      <c r="R324" s="1" t="b">
        <f>FALSE</f>
        <v>0</v>
      </c>
      <c r="S324" s="1">
        <f>1</f>
        <v>1</v>
      </c>
      <c r="T324" s="1" t="str">
        <f>IF(AND(Raw!A324="",Raw!B324="",Raw!C324="",Raw!D324="",Raw!E324="",Raw!F324="",Raw!G324=""),"UNUSED",IF(A324="","missing line ID",IF(B324="","missing transaction ID",IF(G324="",IF(C324="","missing date","invalid date"),IF(I324="","unknown product",IF(J324="","conflicting category",IF(NOT(OR(EXACT(K324,"sale"),EXACT(K324,"refund"))),"unknown event",IF(OR(N324="",NOT(O324)),"invalid amount",IF(OR(AND(K324="sale",N324&lt;=0),AND(K324="refund",N324&gt;=0)),"invalid sign","")))))))))</f>
        <v/>
      </c>
      <c r="U324" s="1" t="str">
        <f t="shared" si="37"/>
        <v>INCLUDED</v>
      </c>
      <c r="V324" s="1" t="str">
        <f t="shared" si="38"/>
        <v>2026-01</v>
      </c>
      <c r="W324" s="1">
        <f>IF(AND(U324="INCLUDED",X324&gt;0,EXACT(A324,'AI output'!A324)),1,0)</f>
        <v>1</v>
      </c>
      <c r="X324" s="1">
        <f>324</f>
        <v>324</v>
      </c>
      <c r="Y324" s="1">
        <f>IF(AND(U324="INCLUDED",W324=1),--(NOT(EXACT(A324,'AI output'!A324)))+--(NOT(EXACT(B324,'AI output'!B324)))+--(NOT(EXACT(TEXT(G324,"yyyy-mm-dd"),'AI output'!C324)))+--(NOT(EXACT(H324,'AI output'!D324)))+--(NOT(EXACT(J324,'AI output'!E324)))+--(NOT(EXACT(K324,'AI output'!F324)))+--(N324&lt;&gt;'AI output'!L324)+--(NOT('AI output'!M324)),0)</f>
        <v>0</v>
      </c>
      <c r="Z324" s="1">
        <f t="shared" si="39"/>
        <v>0</v>
      </c>
      <c r="AA324" s="1">
        <f>--EXACT(A324,"L00318")</f>
        <v>1</v>
      </c>
    </row>
    <row r="325" spans="1:27" ht="18.95" customHeight="1">
      <c r="A325" s="1" t="str">
        <f>IF(Raw!A325="","",Raw!A325)</f>
        <v>L00319</v>
      </c>
      <c r="B325" s="1" t="str">
        <f>IF(Raw!B325="","",Raw!B325)</f>
        <v>T00160</v>
      </c>
      <c r="C325" s="1" t="str">
        <f>IF(Raw!C325="","",Raw!C325)</f>
        <v>2026-02-03</v>
      </c>
      <c r="D325" s="1">
        <f t="shared" si="32"/>
        <v>2026</v>
      </c>
      <c r="E325" s="1">
        <f>IFERROR(IF(AND(LEN(C325)=10,MID(C325,5,1)="-",MID(C325,8,1)="-"),VALUE(MID(C325,6,2)),IF(AND(LEN(C325)=11,MID(C325,3,1)="-",MID(C325,7,1)="-"),MATCH(UPPER(MID(C325,4,3)),Guide!$D$7:$D$18,0),0)),0)</f>
        <v>2</v>
      </c>
      <c r="F325" s="1">
        <f t="shared" si="33"/>
        <v>3</v>
      </c>
      <c r="G325" s="9">
        <f t="shared" si="34"/>
        <v>46056</v>
      </c>
      <c r="H325" s="1" t="str">
        <f>IF(Raw!D325="","",Raw!D325)</f>
        <v>P-A</v>
      </c>
      <c r="I325" s="1" t="str">
        <f>IFERROR(IF(EXACT(H325,INDEX(Guide!$A$7:$A$9,MATCH(SUBSTITUTE(SUBSTITUTE(SUBSTITUTE(H325,"~","~~"),"*","~*"),"?","~?"),Guide!$A$7:$A$9,0))),INDEX(Guide!$B$7:$B$9,MATCH(SUBSTITUTE(SUBSTITUTE(SUBSTITUTE(H325,"~","~~"),"*","~*"),"?","~?"),Guide!$A$7:$A$9,0)),""),"")</f>
        <v>Accessories</v>
      </c>
      <c r="J325" s="1" t="str">
        <f>IF(TRIM(Raw!E325)="",I325,IF(UPPER(TRIM(Raw!E325))=UPPER(I325),I325,""))</f>
        <v>Accessories</v>
      </c>
      <c r="K325" s="1" t="str">
        <f>IF(Raw!F325="","",Raw!F325)</f>
        <v>sale</v>
      </c>
      <c r="L325" s="1" t="str">
        <f>IF(LEFT(TRIM(Raw!G325),2)="-$","-"&amp;MID(TRIM(Raw!G325),3,99),IF(LEFT(TRIM(Raw!G325),1)="$",MID(TRIM(Raw!G325),2,99),TRIM(Raw!G325)))</f>
        <v>245.30</v>
      </c>
      <c r="M325" s="1">
        <f t="shared" si="35"/>
        <v>245.3</v>
      </c>
      <c r="N325" s="10">
        <f t="shared" si="36"/>
        <v>24530</v>
      </c>
      <c r="O325" s="1" t="b">
        <f>IFERROR(IF(ISNUMBER(Raw!G325),TRUE,OR(EXACT(L325,TEXT(M325,"0.00")),EXACT(L325,TEXT(M325,"#,##0.00")))),FALSE)</f>
        <v>1</v>
      </c>
      <c r="P325" s="1" t="str">
        <f>LEN(IF(Raw!A325="","",Raw!A325))&amp;":"&amp;IF(Raw!A325="","",Raw!A325)&amp;"|"&amp;LEN(IF(Raw!B325="","",Raw!B325))&amp;":"&amp;IF(Raw!B325="","",Raw!B325)&amp;"|"&amp;LEN(IF(Raw!C325="","",Raw!C325))&amp;":"&amp;IF(Raw!C325="","",Raw!C325)&amp;"|"&amp;LEN(IF(Raw!D325="","",Raw!D325))&amp;":"&amp;IF(Raw!D325="","",Raw!D325)&amp;"|"&amp;LEN(IF(Raw!E325="","",Raw!E325))&amp;":"&amp;IF(Raw!E325="","",Raw!E325)&amp;"|"&amp;LEN(IF(Raw!F325="","",Raw!F325))&amp;":"&amp;IF(Raw!F325="","",Raw!F325)&amp;"|"&amp;LEN(IF(Raw!G325="","",Raw!G325))&amp;":"&amp;IF(Raw!G325="","",Raw!G325)</f>
        <v>6:L00319|6:T00160|10:2026-02-03|3:P-A|11:Accessories|4:sale|6:245.30</v>
      </c>
      <c r="Q325" s="1">
        <f>1</f>
        <v>1</v>
      </c>
      <c r="R325" s="1" t="b">
        <f>FALSE</f>
        <v>0</v>
      </c>
      <c r="S325" s="1">
        <f>1</f>
        <v>1</v>
      </c>
      <c r="T325" s="1" t="str">
        <f>IF(AND(Raw!A325="",Raw!B325="",Raw!C325="",Raw!D325="",Raw!E325="",Raw!F325="",Raw!G325=""),"UNUSED",IF(A325="","missing line ID",IF(B325="","missing transaction ID",IF(G325="",IF(C325="","missing date","invalid date"),IF(I325="","unknown product",IF(J325="","conflicting category",IF(NOT(OR(EXACT(K325,"sale"),EXACT(K325,"refund"))),"unknown event",IF(OR(N325="",NOT(O325)),"invalid amount",IF(OR(AND(K325="sale",N325&lt;=0),AND(K325="refund",N325&gt;=0)),"invalid sign","")))))))))</f>
        <v/>
      </c>
      <c r="U325" s="1" t="str">
        <f t="shared" si="37"/>
        <v>INCLUDED</v>
      </c>
      <c r="V325" s="1" t="str">
        <f t="shared" si="38"/>
        <v>2026-02</v>
      </c>
      <c r="W325" s="1">
        <f>IF(AND(U325="INCLUDED",X325&gt;0,EXACT(A325,'AI output'!A325)),1,0)</f>
        <v>1</v>
      </c>
      <c r="X325" s="1">
        <f>325</f>
        <v>325</v>
      </c>
      <c r="Y325" s="1">
        <f>IF(AND(U325="INCLUDED",W325=1),--(NOT(EXACT(A325,'AI output'!A325)))+--(NOT(EXACT(B325,'AI output'!B325)))+--(NOT(EXACT(TEXT(G325,"yyyy-mm-dd"),'AI output'!C325)))+--(NOT(EXACT(H325,'AI output'!D325)))+--(NOT(EXACT(J325,'AI output'!E325)))+--(NOT(EXACT(K325,'AI output'!F325)))+--(N325&lt;&gt;'AI output'!L325)+--(NOT('AI output'!M325)),0)</f>
        <v>0</v>
      </c>
      <c r="Z325" s="1">
        <f t="shared" si="39"/>
        <v>0</v>
      </c>
      <c r="AA325" s="1">
        <f>--EXACT(A325,"L00319")</f>
        <v>1</v>
      </c>
    </row>
    <row r="326" spans="1:27" ht="18.95" customHeight="1">
      <c r="A326" s="1" t="str">
        <f>IF(Raw!A326="","",Raw!A326)</f>
        <v>L00320</v>
      </c>
      <c r="B326" s="1" t="str">
        <f>IF(Raw!B326="","",Raw!B326)</f>
        <v>T00160</v>
      </c>
      <c r="C326" s="1" t="str">
        <f>IF(Raw!C326="","",Raw!C326)</f>
        <v>2026-02-03</v>
      </c>
      <c r="D326" s="1">
        <f t="shared" si="32"/>
        <v>2026</v>
      </c>
      <c r="E326" s="1">
        <f>IFERROR(IF(AND(LEN(C326)=10,MID(C326,5,1)="-",MID(C326,8,1)="-"),VALUE(MID(C326,6,2)),IF(AND(LEN(C326)=11,MID(C326,3,1)="-",MID(C326,7,1)="-"),MATCH(UPPER(MID(C326,4,3)),Guide!$D$7:$D$18,0),0)),0)</f>
        <v>2</v>
      </c>
      <c r="F326" s="1">
        <f t="shared" si="33"/>
        <v>3</v>
      </c>
      <c r="G326" s="9">
        <f t="shared" si="34"/>
        <v>46056</v>
      </c>
      <c r="H326" s="1" t="str">
        <f>IF(Raw!D326="","",Raw!D326)</f>
        <v>P-H</v>
      </c>
      <c r="I326" s="1" t="str">
        <f>IFERROR(IF(EXACT(H326,INDEX(Guide!$A$7:$A$9,MATCH(SUBSTITUTE(SUBSTITUTE(SUBSTITUTE(H326,"~","~~"),"*","~*"),"?","~?"),Guide!$A$7:$A$9,0))),INDEX(Guide!$B$7:$B$9,MATCH(SUBSTITUTE(SUBSTITUTE(SUBSTITUTE(H326,"~","~~"),"*","~*"),"?","~?"),Guide!$A$7:$A$9,0)),""),"")</f>
        <v>Home</v>
      </c>
      <c r="J326" s="1" t="str">
        <f>IF(TRIM(Raw!E326)="",I326,IF(UPPER(TRIM(Raw!E326))=UPPER(I326),I326,""))</f>
        <v>Home</v>
      </c>
      <c r="K326" s="1" t="str">
        <f>IF(Raw!F326="","",Raw!F326)</f>
        <v>sale</v>
      </c>
      <c r="L326" s="1" t="str">
        <f>IF(LEFT(TRIM(Raw!G326),2)="-$","-"&amp;MID(TRIM(Raw!G326),3,99),IF(LEFT(TRIM(Raw!G326),1)="$",MID(TRIM(Raw!G326),2,99),TRIM(Raw!G326)))</f>
        <v>492.08</v>
      </c>
      <c r="M326" s="1">
        <f t="shared" si="35"/>
        <v>492.08</v>
      </c>
      <c r="N326" s="10">
        <f t="shared" si="36"/>
        <v>49208</v>
      </c>
      <c r="O326" s="1" t="b">
        <f>IFERROR(IF(ISNUMBER(Raw!G326),TRUE,OR(EXACT(L326,TEXT(M326,"0.00")),EXACT(L326,TEXT(M326,"#,##0.00")))),FALSE)</f>
        <v>1</v>
      </c>
      <c r="P326" s="1" t="str">
        <f>LEN(IF(Raw!A326="","",Raw!A326))&amp;":"&amp;IF(Raw!A326="","",Raw!A326)&amp;"|"&amp;LEN(IF(Raw!B326="","",Raw!B326))&amp;":"&amp;IF(Raw!B326="","",Raw!B326)&amp;"|"&amp;LEN(IF(Raw!C326="","",Raw!C326))&amp;":"&amp;IF(Raw!C326="","",Raw!C326)&amp;"|"&amp;LEN(IF(Raw!D326="","",Raw!D326))&amp;":"&amp;IF(Raw!D326="","",Raw!D326)&amp;"|"&amp;LEN(IF(Raw!E326="","",Raw!E326))&amp;":"&amp;IF(Raw!E326="","",Raw!E326)&amp;"|"&amp;LEN(IF(Raw!F326="","",Raw!F326))&amp;":"&amp;IF(Raw!F326="","",Raw!F326)&amp;"|"&amp;LEN(IF(Raw!G326="","",Raw!G326))&amp;":"&amp;IF(Raw!G326="","",Raw!G326)</f>
        <v>6:L00320|6:T00160|10:2026-02-03|3:P-H|4:Home|4:sale|6:492.08</v>
      </c>
      <c r="Q326" s="1">
        <f>1</f>
        <v>1</v>
      </c>
      <c r="R326" s="1" t="b">
        <f>FALSE</f>
        <v>0</v>
      </c>
      <c r="S326" s="1">
        <f>1</f>
        <v>1</v>
      </c>
      <c r="T326" s="1" t="str">
        <f>IF(AND(Raw!A326="",Raw!B326="",Raw!C326="",Raw!D326="",Raw!E326="",Raw!F326="",Raw!G326=""),"UNUSED",IF(A326="","missing line ID",IF(B326="","missing transaction ID",IF(G326="",IF(C326="","missing date","invalid date"),IF(I326="","unknown product",IF(J326="","conflicting category",IF(NOT(OR(EXACT(K326,"sale"),EXACT(K326,"refund"))),"unknown event",IF(OR(N326="",NOT(O326)),"invalid amount",IF(OR(AND(K326="sale",N326&lt;=0),AND(K326="refund",N326&gt;=0)),"invalid sign","")))))))))</f>
        <v/>
      </c>
      <c r="U326" s="1" t="str">
        <f t="shared" si="37"/>
        <v>INCLUDED</v>
      </c>
      <c r="V326" s="1" t="str">
        <f t="shared" si="38"/>
        <v>2026-02</v>
      </c>
      <c r="W326" s="1">
        <f>IF(AND(U326="INCLUDED",X326&gt;0,EXACT(A326,'AI output'!A326)),1,0)</f>
        <v>1</v>
      </c>
      <c r="X326" s="1">
        <f>326</f>
        <v>326</v>
      </c>
      <c r="Y326" s="1">
        <f>IF(AND(U326="INCLUDED",W326=1),--(NOT(EXACT(A326,'AI output'!A326)))+--(NOT(EXACT(B326,'AI output'!B326)))+--(NOT(EXACT(TEXT(G326,"yyyy-mm-dd"),'AI output'!C326)))+--(NOT(EXACT(H326,'AI output'!D326)))+--(NOT(EXACT(J326,'AI output'!E326)))+--(NOT(EXACT(K326,'AI output'!F326)))+--(N326&lt;&gt;'AI output'!L326)+--(NOT('AI output'!M326)),0)</f>
        <v>0</v>
      </c>
      <c r="Z326" s="1">
        <f t="shared" si="39"/>
        <v>0</v>
      </c>
      <c r="AA326" s="1">
        <f>--EXACT(A326,"L00320")</f>
        <v>1</v>
      </c>
    </row>
    <row r="327" spans="1:27" ht="18.95" customHeight="1">
      <c r="A327" s="1" t="str">
        <f>IF(Raw!A327="","",Raw!A327)</f>
        <v>L00321</v>
      </c>
      <c r="B327" s="1" t="str">
        <f>IF(Raw!B327="","",Raw!B327)</f>
        <v>T00161</v>
      </c>
      <c r="C327" s="1" t="str">
        <f>IF(Raw!C327="","",Raw!C327)</f>
        <v>2026-02-10</v>
      </c>
      <c r="D327" s="1">
        <f t="shared" ref="D327:D390" si="40">IFERROR(IF(AND(LEN(C327)=10,MID(C327,5,1)="-",MID(C327,8,1)="-"),VALUE(LEFT(C327,4)),IF(AND(LEN(C327)=11,MID(C327,3,1)="-",MID(C327,7,1)="-"),VALUE(RIGHT(C327,4)),0)),0)</f>
        <v>2026</v>
      </c>
      <c r="E327" s="1">
        <f>IFERROR(IF(AND(LEN(C327)=10,MID(C327,5,1)="-",MID(C327,8,1)="-"),VALUE(MID(C327,6,2)),IF(AND(LEN(C327)=11,MID(C327,3,1)="-",MID(C327,7,1)="-"),MATCH(UPPER(MID(C327,4,3)),Guide!$D$7:$D$18,0),0)),0)</f>
        <v>2</v>
      </c>
      <c r="F327" s="1">
        <f t="shared" ref="F327:F390" si="41">IFERROR(IF(AND(LEN(C327)=10,MID(C327,5,1)="-",MID(C327,8,1)="-"),VALUE(RIGHT(C327,2)),IF(AND(LEN(C327)=11,MID(C327,3,1)="-",MID(C327,7,1)="-"),VALUE(LEFT(C327,2)),0)),0)</f>
        <v>10</v>
      </c>
      <c r="G327" s="9">
        <f t="shared" ref="G327:G390" si="42">IFERROR(IF(AND(D327&gt;=1900,D327&lt;=9999,YEAR(DATE(D327,E327,F327))=D327,MONTH(DATE(D327,E327,F327))=E327,DAY(DATE(D327,E327,F327))=F327),DATE(D327,E327,F327),""),"")</f>
        <v>46063</v>
      </c>
      <c r="H327" s="1" t="str">
        <f>IF(Raw!D327="","",Raw!D327)</f>
        <v>P-O</v>
      </c>
      <c r="I327" s="1" t="str">
        <f>IFERROR(IF(EXACT(H327,INDEX(Guide!$A$7:$A$9,MATCH(SUBSTITUTE(SUBSTITUTE(SUBSTITUTE(H327,"~","~~"),"*","~*"),"?","~?"),Guide!$A$7:$A$9,0))),INDEX(Guide!$B$7:$B$9,MATCH(SUBSTITUTE(SUBSTITUTE(SUBSTITUTE(H327,"~","~~"),"*","~*"),"?","~?"),Guide!$A$7:$A$9,0)),""),"")</f>
        <v>Office</v>
      </c>
      <c r="J327" s="1" t="str">
        <f>IF(TRIM(Raw!E327)="",I327,IF(UPPER(TRIM(Raw!E327))=UPPER(I327),I327,""))</f>
        <v>Office</v>
      </c>
      <c r="K327" s="1" t="str">
        <f>IF(Raw!F327="","",Raw!F327)</f>
        <v>sale</v>
      </c>
      <c r="L327" s="1" t="str">
        <f>IF(LEFT(TRIM(Raw!G327),2)="-$","-"&amp;MID(TRIM(Raw!G327),3,99),IF(LEFT(TRIM(Raw!G327),1)="$",MID(TRIM(Raw!G327),2,99),TRIM(Raw!G327)))</f>
        <v>123.39</v>
      </c>
      <c r="M327" s="1">
        <f t="shared" ref="M327:M390" si="43">IFERROR(VALUE(L327),"")</f>
        <v>123.39</v>
      </c>
      <c r="N327" s="10">
        <f t="shared" ref="N327:N390" si="44">IF(AND(ISNUMBER(M327),ABS(M327*100-ROUND(M327*100,0))&lt;0.0000001),ROUND(M327*100,0),"")</f>
        <v>12339</v>
      </c>
      <c r="O327" s="1" t="b">
        <f>IFERROR(IF(ISNUMBER(Raw!G327),TRUE,OR(EXACT(L327,TEXT(M327,"0.00")),EXACT(L327,TEXT(M327,"#,##0.00")))),FALSE)</f>
        <v>1</v>
      </c>
      <c r="P327" s="1" t="str">
        <f>LEN(IF(Raw!A327="","",Raw!A327))&amp;":"&amp;IF(Raw!A327="","",Raw!A327)&amp;"|"&amp;LEN(IF(Raw!B327="","",Raw!B327))&amp;":"&amp;IF(Raw!B327="","",Raw!B327)&amp;"|"&amp;LEN(IF(Raw!C327="","",Raw!C327))&amp;":"&amp;IF(Raw!C327="","",Raw!C327)&amp;"|"&amp;LEN(IF(Raw!D327="","",Raw!D327))&amp;":"&amp;IF(Raw!D327="","",Raw!D327)&amp;"|"&amp;LEN(IF(Raw!E327="","",Raw!E327))&amp;":"&amp;IF(Raw!E327="","",Raw!E327)&amp;"|"&amp;LEN(IF(Raw!F327="","",Raw!F327))&amp;":"&amp;IF(Raw!F327="","",Raw!F327)&amp;"|"&amp;LEN(IF(Raw!G327="","",Raw!G327))&amp;":"&amp;IF(Raw!G327="","",Raw!G327)</f>
        <v>6:L00321|6:T00161|10:2026-02-10|3:P-O|6:Office|4:sale|6:123.39</v>
      </c>
      <c r="Q327" s="1">
        <f>1</f>
        <v>1</v>
      </c>
      <c r="R327" s="1" t="b">
        <f>FALSE</f>
        <v>0</v>
      </c>
      <c r="S327" s="1">
        <f>1</f>
        <v>1</v>
      </c>
      <c r="T327" s="1" t="str">
        <f>IF(AND(Raw!A327="",Raw!B327="",Raw!C327="",Raw!D327="",Raw!E327="",Raw!F327="",Raw!G327=""),"UNUSED",IF(A327="","missing line ID",IF(B327="","missing transaction ID",IF(G327="",IF(C327="","missing date","invalid date"),IF(I327="","unknown product",IF(J327="","conflicting category",IF(NOT(OR(EXACT(K327,"sale"),EXACT(K327,"refund"))),"unknown event",IF(OR(N327="",NOT(O327)),"invalid amount",IF(OR(AND(K327="sale",N327&lt;=0),AND(K327="refund",N327&gt;=0)),"invalid sign","")))))))))</f>
        <v/>
      </c>
      <c r="U327" s="1" t="str">
        <f t="shared" ref="U327:U390" si="45">IF(T327="UNUSED","UNUSED",IF(R327,"QUARANTINE",IF(S327&gt;1,"DUPLICATE",IF(T327&lt;&gt;"","QUARANTINE","INCLUDED"))))</f>
        <v>INCLUDED</v>
      </c>
      <c r="V327" s="1" t="str">
        <f t="shared" ref="V327:V390" si="46">IF(G327="","",TEXT(G327,"yyyy-mm"))</f>
        <v>2026-02</v>
      </c>
      <c r="W327" s="1">
        <f>IF(AND(U327="INCLUDED",X327&gt;0,EXACT(A327,'AI output'!A327)),1,0)</f>
        <v>1</v>
      </c>
      <c r="X327" s="1">
        <f>327</f>
        <v>327</v>
      </c>
      <c r="Y327" s="1">
        <f>IF(AND(U327="INCLUDED",W327=1),--(NOT(EXACT(A327,'AI output'!A327)))+--(NOT(EXACT(B327,'AI output'!B327)))+--(NOT(EXACT(TEXT(G327,"yyyy-mm-dd"),'AI output'!C327)))+--(NOT(EXACT(H327,'AI output'!D327)))+--(NOT(EXACT(J327,'AI output'!E327)))+--(NOT(EXACT(K327,'AI output'!F327)))+--(N327&lt;&gt;'AI output'!L327)+--(NOT('AI output'!M327)),0)</f>
        <v>0</v>
      </c>
      <c r="Z327" s="1">
        <f t="shared" ref="Z327:Z390" si="47">IF(U327="INCLUDED",IF(OR(W327&lt;&gt;1,Y327&lt;&gt;0),1,0),0)</f>
        <v>0</v>
      </c>
      <c r="AA327" s="1">
        <f>--EXACT(A327,"L00321")</f>
        <v>1</v>
      </c>
    </row>
    <row r="328" spans="1:27" ht="18.95" customHeight="1">
      <c r="A328" s="1" t="str">
        <f>IF(Raw!A328="","",Raw!A328)</f>
        <v>L00322</v>
      </c>
      <c r="B328" s="1" t="str">
        <f>IF(Raw!B328="","",Raw!B328)</f>
        <v>T00161</v>
      </c>
      <c r="C328" s="1" t="str">
        <f>IF(Raw!C328="","",Raw!C328)</f>
        <v>2026-02-10</v>
      </c>
      <c r="D328" s="1">
        <f t="shared" si="40"/>
        <v>2026</v>
      </c>
      <c r="E328" s="1">
        <f>IFERROR(IF(AND(LEN(C328)=10,MID(C328,5,1)="-",MID(C328,8,1)="-"),VALUE(MID(C328,6,2)),IF(AND(LEN(C328)=11,MID(C328,3,1)="-",MID(C328,7,1)="-"),MATCH(UPPER(MID(C328,4,3)),Guide!$D$7:$D$18,0),0)),0)</f>
        <v>2</v>
      </c>
      <c r="F328" s="1">
        <f t="shared" si="41"/>
        <v>10</v>
      </c>
      <c r="G328" s="9">
        <f t="shared" si="42"/>
        <v>46063</v>
      </c>
      <c r="H328" s="1" t="str">
        <f>IF(Raw!D328="","",Raw!D328)</f>
        <v>P-A</v>
      </c>
      <c r="I328" s="1" t="str">
        <f>IFERROR(IF(EXACT(H328,INDEX(Guide!$A$7:$A$9,MATCH(SUBSTITUTE(SUBSTITUTE(SUBSTITUTE(H328,"~","~~"),"*","~*"),"?","~?"),Guide!$A$7:$A$9,0))),INDEX(Guide!$B$7:$B$9,MATCH(SUBSTITUTE(SUBSTITUTE(SUBSTITUTE(H328,"~","~~"),"*","~*"),"?","~?"),Guide!$A$7:$A$9,0)),""),"")</f>
        <v>Accessories</v>
      </c>
      <c r="J328" s="1" t="str">
        <f>IF(TRIM(Raw!E328)="",I328,IF(UPPER(TRIM(Raw!E328))=UPPER(I328),I328,""))</f>
        <v>Accessories</v>
      </c>
      <c r="K328" s="1" t="str">
        <f>IF(Raw!F328="","",Raw!F328)</f>
        <v>sale</v>
      </c>
      <c r="L328" s="1" t="str">
        <f>IF(LEFT(TRIM(Raw!G328),2)="-$","-"&amp;MID(TRIM(Raw!G328),3,99),IF(LEFT(TRIM(Raw!G328),1)="$",MID(TRIM(Raw!G328),2,99),TRIM(Raw!G328)))</f>
        <v>371.28</v>
      </c>
      <c r="M328" s="1">
        <f t="shared" si="43"/>
        <v>371.28</v>
      </c>
      <c r="N328" s="10">
        <f t="shared" si="44"/>
        <v>37128</v>
      </c>
      <c r="O328" s="1" t="b">
        <f>IFERROR(IF(ISNUMBER(Raw!G328),TRUE,OR(EXACT(L328,TEXT(M328,"0.00")),EXACT(L328,TEXT(M328,"#,##0.00")))),FALSE)</f>
        <v>1</v>
      </c>
      <c r="P328" s="1" t="str">
        <f>LEN(IF(Raw!A328="","",Raw!A328))&amp;":"&amp;IF(Raw!A328="","",Raw!A328)&amp;"|"&amp;LEN(IF(Raw!B328="","",Raw!B328))&amp;":"&amp;IF(Raw!B328="","",Raw!B328)&amp;"|"&amp;LEN(IF(Raw!C328="","",Raw!C328))&amp;":"&amp;IF(Raw!C328="","",Raw!C328)&amp;"|"&amp;LEN(IF(Raw!D328="","",Raw!D328))&amp;":"&amp;IF(Raw!D328="","",Raw!D328)&amp;"|"&amp;LEN(IF(Raw!E328="","",Raw!E328))&amp;":"&amp;IF(Raw!E328="","",Raw!E328)&amp;"|"&amp;LEN(IF(Raw!F328="","",Raw!F328))&amp;":"&amp;IF(Raw!F328="","",Raw!F328)&amp;"|"&amp;LEN(IF(Raw!G328="","",Raw!G328))&amp;":"&amp;IF(Raw!G328="","",Raw!G328)</f>
        <v>6:L00322|6:T00161|10:2026-02-10|3:P-A|11:Accessories|4:sale|6:371.28</v>
      </c>
      <c r="Q328" s="1">
        <f>1</f>
        <v>1</v>
      </c>
      <c r="R328" s="1" t="b">
        <f>FALSE</f>
        <v>0</v>
      </c>
      <c r="S328" s="1">
        <f>1</f>
        <v>1</v>
      </c>
      <c r="T328" s="1" t="str">
        <f>IF(AND(Raw!A328="",Raw!B328="",Raw!C328="",Raw!D328="",Raw!E328="",Raw!F328="",Raw!G328=""),"UNUSED",IF(A328="","missing line ID",IF(B328="","missing transaction ID",IF(G328="",IF(C328="","missing date","invalid date"),IF(I328="","unknown product",IF(J328="","conflicting category",IF(NOT(OR(EXACT(K328,"sale"),EXACT(K328,"refund"))),"unknown event",IF(OR(N328="",NOT(O328)),"invalid amount",IF(OR(AND(K328="sale",N328&lt;=0),AND(K328="refund",N328&gt;=0)),"invalid sign","")))))))))</f>
        <v/>
      </c>
      <c r="U328" s="1" t="str">
        <f t="shared" si="45"/>
        <v>INCLUDED</v>
      </c>
      <c r="V328" s="1" t="str">
        <f t="shared" si="46"/>
        <v>2026-02</v>
      </c>
      <c r="W328" s="1">
        <f>IF(AND(U328="INCLUDED",X328&gt;0,EXACT(A328,'AI output'!A328)),1,0)</f>
        <v>1</v>
      </c>
      <c r="X328" s="1">
        <f>328</f>
        <v>328</v>
      </c>
      <c r="Y328" s="1">
        <f>IF(AND(U328="INCLUDED",W328=1),--(NOT(EXACT(A328,'AI output'!A328)))+--(NOT(EXACT(B328,'AI output'!B328)))+--(NOT(EXACT(TEXT(G328,"yyyy-mm-dd"),'AI output'!C328)))+--(NOT(EXACT(H328,'AI output'!D328)))+--(NOT(EXACT(J328,'AI output'!E328)))+--(NOT(EXACT(K328,'AI output'!F328)))+--(N328&lt;&gt;'AI output'!L328)+--(NOT('AI output'!M328)),0)</f>
        <v>0</v>
      </c>
      <c r="Z328" s="1">
        <f t="shared" si="47"/>
        <v>0</v>
      </c>
      <c r="AA328" s="1">
        <f>--EXACT(A328,"L00322")</f>
        <v>1</v>
      </c>
    </row>
    <row r="329" spans="1:27" ht="18.95" customHeight="1">
      <c r="A329" s="1" t="str">
        <f>IF(Raw!A329="","",Raw!A329)</f>
        <v>L00323</v>
      </c>
      <c r="B329" s="1" t="str">
        <f>IF(Raw!B329="","",Raw!B329)</f>
        <v>T00162</v>
      </c>
      <c r="C329" s="1" t="str">
        <f>IF(Raw!C329="","",Raw!C329)</f>
        <v>2026-02-17</v>
      </c>
      <c r="D329" s="1">
        <f t="shared" si="40"/>
        <v>2026</v>
      </c>
      <c r="E329" s="1">
        <f>IFERROR(IF(AND(LEN(C329)=10,MID(C329,5,1)="-",MID(C329,8,1)="-"),VALUE(MID(C329,6,2)),IF(AND(LEN(C329)=11,MID(C329,3,1)="-",MID(C329,7,1)="-"),MATCH(UPPER(MID(C329,4,3)),Guide!$D$7:$D$18,0),0)),0)</f>
        <v>2</v>
      </c>
      <c r="F329" s="1">
        <f t="shared" si="41"/>
        <v>17</v>
      </c>
      <c r="G329" s="9">
        <f t="shared" si="42"/>
        <v>46070</v>
      </c>
      <c r="H329" s="1" t="str">
        <f>IF(Raw!D329="","",Raw!D329)</f>
        <v>P-H</v>
      </c>
      <c r="I329" s="1" t="str">
        <f>IFERROR(IF(EXACT(H329,INDEX(Guide!$A$7:$A$9,MATCH(SUBSTITUTE(SUBSTITUTE(SUBSTITUTE(H329,"~","~~"),"*","~*"),"?","~?"),Guide!$A$7:$A$9,0))),INDEX(Guide!$B$7:$B$9,MATCH(SUBSTITUTE(SUBSTITUTE(SUBSTITUTE(H329,"~","~~"),"*","~*"),"?","~?"),Guide!$A$7:$A$9,0)),""),"")</f>
        <v>Home</v>
      </c>
      <c r="J329" s="1" t="str">
        <f>IF(TRIM(Raw!E329)="",I329,IF(UPPER(TRIM(Raw!E329))=UPPER(I329),I329,""))</f>
        <v>Home</v>
      </c>
      <c r="K329" s="1" t="str">
        <f>IF(Raw!F329="","",Raw!F329)</f>
        <v>refund</v>
      </c>
      <c r="L329" s="1" t="str">
        <f>IF(LEFT(TRIM(Raw!G329),2)="-$","-"&amp;MID(TRIM(Raw!G329),3,99),IF(LEFT(TRIM(Raw!G329),1)="$",MID(TRIM(Raw!G329),2,99),TRIM(Raw!G329)))</f>
        <v>-620.65</v>
      </c>
      <c r="M329" s="1">
        <f t="shared" si="43"/>
        <v>-620.65</v>
      </c>
      <c r="N329" s="10">
        <f t="shared" si="44"/>
        <v>-62065</v>
      </c>
      <c r="O329" s="1" t="b">
        <f>IFERROR(IF(ISNUMBER(Raw!G329),TRUE,OR(EXACT(L329,TEXT(M329,"0.00")),EXACT(L329,TEXT(M329,"#,##0.00")))),FALSE)</f>
        <v>1</v>
      </c>
      <c r="P329" s="1" t="str">
        <f>LEN(IF(Raw!A329="","",Raw!A329))&amp;":"&amp;IF(Raw!A329="","",Raw!A329)&amp;"|"&amp;LEN(IF(Raw!B329="","",Raw!B329))&amp;":"&amp;IF(Raw!B329="","",Raw!B329)&amp;"|"&amp;LEN(IF(Raw!C329="","",Raw!C329))&amp;":"&amp;IF(Raw!C329="","",Raw!C329)&amp;"|"&amp;LEN(IF(Raw!D329="","",Raw!D329))&amp;":"&amp;IF(Raw!D329="","",Raw!D329)&amp;"|"&amp;LEN(IF(Raw!E329="","",Raw!E329))&amp;":"&amp;IF(Raw!E329="","",Raw!E329)&amp;"|"&amp;LEN(IF(Raw!F329="","",Raw!F329))&amp;":"&amp;IF(Raw!F329="","",Raw!F329)&amp;"|"&amp;LEN(IF(Raw!G329="","",Raw!G329))&amp;":"&amp;IF(Raw!G329="","",Raw!G329)</f>
        <v>6:L00323|6:T00162|10:2026-02-17|3:P-H|4:Home|6:refund|7:-620.65</v>
      </c>
      <c r="Q329" s="1">
        <f>1</f>
        <v>1</v>
      </c>
      <c r="R329" s="1" t="b">
        <f>FALSE</f>
        <v>0</v>
      </c>
      <c r="S329" s="1">
        <f>1</f>
        <v>1</v>
      </c>
      <c r="T329" s="1" t="str">
        <f>IF(AND(Raw!A329="",Raw!B329="",Raw!C329="",Raw!D329="",Raw!E329="",Raw!F329="",Raw!G329=""),"UNUSED",IF(A329="","missing line ID",IF(B329="","missing transaction ID",IF(G329="",IF(C329="","missing date","invalid date"),IF(I329="","unknown product",IF(J329="","conflicting category",IF(NOT(OR(EXACT(K329,"sale"),EXACT(K329,"refund"))),"unknown event",IF(OR(N329="",NOT(O329)),"invalid amount",IF(OR(AND(K329="sale",N329&lt;=0),AND(K329="refund",N329&gt;=0)),"invalid sign","")))))))))</f>
        <v/>
      </c>
      <c r="U329" s="1" t="str">
        <f t="shared" si="45"/>
        <v>INCLUDED</v>
      </c>
      <c r="V329" s="1" t="str">
        <f t="shared" si="46"/>
        <v>2026-02</v>
      </c>
      <c r="W329" s="1">
        <f>IF(AND(U329="INCLUDED",X329&gt;0,EXACT(A329,'AI output'!A329)),1,0)</f>
        <v>1</v>
      </c>
      <c r="X329" s="1">
        <f>329</f>
        <v>329</v>
      </c>
      <c r="Y329" s="1">
        <f>IF(AND(U329="INCLUDED",W329=1),--(NOT(EXACT(A329,'AI output'!A329)))+--(NOT(EXACT(B329,'AI output'!B329)))+--(NOT(EXACT(TEXT(G329,"yyyy-mm-dd"),'AI output'!C329)))+--(NOT(EXACT(H329,'AI output'!D329)))+--(NOT(EXACT(J329,'AI output'!E329)))+--(NOT(EXACT(K329,'AI output'!F329)))+--(N329&lt;&gt;'AI output'!L329)+--(NOT('AI output'!M329)),0)</f>
        <v>0</v>
      </c>
      <c r="Z329" s="1">
        <f t="shared" si="47"/>
        <v>0</v>
      </c>
      <c r="AA329" s="1">
        <f>--EXACT(A329,"L00323")</f>
        <v>1</v>
      </c>
    </row>
    <row r="330" spans="1:27" ht="18.95" customHeight="1">
      <c r="A330" s="1" t="str">
        <f>IF(Raw!A330="","",Raw!A330)</f>
        <v>L00324</v>
      </c>
      <c r="B330" s="1" t="str">
        <f>IF(Raw!B330="","",Raw!B330)</f>
        <v>T00162</v>
      </c>
      <c r="C330" s="1" t="str">
        <f>IF(Raw!C330="","",Raw!C330)</f>
        <v>2026-02-17</v>
      </c>
      <c r="D330" s="1">
        <f t="shared" si="40"/>
        <v>2026</v>
      </c>
      <c r="E330" s="1">
        <f>IFERROR(IF(AND(LEN(C330)=10,MID(C330,5,1)="-",MID(C330,8,1)="-"),VALUE(MID(C330,6,2)),IF(AND(LEN(C330)=11,MID(C330,3,1)="-",MID(C330,7,1)="-"),MATCH(UPPER(MID(C330,4,3)),Guide!$D$7:$D$18,0),0)),0)</f>
        <v>2</v>
      </c>
      <c r="F330" s="1">
        <f t="shared" si="41"/>
        <v>17</v>
      </c>
      <c r="G330" s="9">
        <f t="shared" si="42"/>
        <v>46070</v>
      </c>
      <c r="H330" s="1" t="str">
        <f>IF(Raw!D330="","",Raw!D330)</f>
        <v>P-O</v>
      </c>
      <c r="I330" s="1" t="str">
        <f>IFERROR(IF(EXACT(H330,INDEX(Guide!$A$7:$A$9,MATCH(SUBSTITUTE(SUBSTITUTE(SUBSTITUTE(H330,"~","~~"),"*","~*"),"?","~?"),Guide!$A$7:$A$9,0))),INDEX(Guide!$B$7:$B$9,MATCH(SUBSTITUTE(SUBSTITUTE(SUBSTITUTE(H330,"~","~~"),"*","~*"),"?","~?"),Guide!$A$7:$A$9,0)),""),"")</f>
        <v>Office</v>
      </c>
      <c r="J330" s="1" t="str">
        <f>IF(TRIM(Raw!E330)="",I330,IF(UPPER(TRIM(Raw!E330))=UPPER(I330),I330,""))</f>
        <v>Office</v>
      </c>
      <c r="K330" s="1" t="str">
        <f>IF(Raw!F330="","",Raw!F330)</f>
        <v>sale</v>
      </c>
      <c r="L330" s="1" t="str">
        <f>IF(LEFT(TRIM(Raw!G330),2)="-$","-"&amp;MID(TRIM(Raw!G330),3,99),IF(LEFT(TRIM(Raw!G330),1)="$",MID(TRIM(Raw!G330),2,99),TRIM(Raw!G330)))</f>
        <v>249.00</v>
      </c>
      <c r="M330" s="1">
        <f t="shared" si="43"/>
        <v>249</v>
      </c>
      <c r="N330" s="10">
        <f t="shared" si="44"/>
        <v>24900</v>
      </c>
      <c r="O330" s="1" t="b">
        <f>IFERROR(IF(ISNUMBER(Raw!G330),TRUE,OR(EXACT(L330,TEXT(M330,"0.00")),EXACT(L330,TEXT(M330,"#,##0.00")))),FALSE)</f>
        <v>1</v>
      </c>
      <c r="P330" s="1" t="str">
        <f>LEN(IF(Raw!A330="","",Raw!A330))&amp;":"&amp;IF(Raw!A330="","",Raw!A330)&amp;"|"&amp;LEN(IF(Raw!B330="","",Raw!B330))&amp;":"&amp;IF(Raw!B330="","",Raw!B330)&amp;"|"&amp;LEN(IF(Raw!C330="","",Raw!C330))&amp;":"&amp;IF(Raw!C330="","",Raw!C330)&amp;"|"&amp;LEN(IF(Raw!D330="","",Raw!D330))&amp;":"&amp;IF(Raw!D330="","",Raw!D330)&amp;"|"&amp;LEN(IF(Raw!E330="","",Raw!E330))&amp;":"&amp;IF(Raw!E330="","",Raw!E330)&amp;"|"&amp;LEN(IF(Raw!F330="","",Raw!F330))&amp;":"&amp;IF(Raw!F330="","",Raw!F330)&amp;"|"&amp;LEN(IF(Raw!G330="","",Raw!G330))&amp;":"&amp;IF(Raw!G330="","",Raw!G330)</f>
        <v>6:L00324|6:T00162|10:2026-02-17|3:P-O|6:Office|4:sale|6:249.00</v>
      </c>
      <c r="Q330" s="1">
        <f>1</f>
        <v>1</v>
      </c>
      <c r="R330" s="1" t="b">
        <f>FALSE</f>
        <v>0</v>
      </c>
      <c r="S330" s="1">
        <f>1</f>
        <v>1</v>
      </c>
      <c r="T330" s="1" t="str">
        <f>IF(AND(Raw!A330="",Raw!B330="",Raw!C330="",Raw!D330="",Raw!E330="",Raw!F330="",Raw!G330=""),"UNUSED",IF(A330="","missing line ID",IF(B330="","missing transaction ID",IF(G330="",IF(C330="","missing date","invalid date"),IF(I330="","unknown product",IF(J330="","conflicting category",IF(NOT(OR(EXACT(K330,"sale"),EXACT(K330,"refund"))),"unknown event",IF(OR(N330="",NOT(O330)),"invalid amount",IF(OR(AND(K330="sale",N330&lt;=0),AND(K330="refund",N330&gt;=0)),"invalid sign","")))))))))</f>
        <v/>
      </c>
      <c r="U330" s="1" t="str">
        <f t="shared" si="45"/>
        <v>INCLUDED</v>
      </c>
      <c r="V330" s="1" t="str">
        <f t="shared" si="46"/>
        <v>2026-02</v>
      </c>
      <c r="W330" s="1">
        <f>IF(AND(U330="INCLUDED",X330&gt;0,EXACT(A330,'AI output'!A330)),1,0)</f>
        <v>1</v>
      </c>
      <c r="X330" s="1">
        <f>330</f>
        <v>330</v>
      </c>
      <c r="Y330" s="1">
        <f>IF(AND(U330="INCLUDED",W330=1),--(NOT(EXACT(A330,'AI output'!A330)))+--(NOT(EXACT(B330,'AI output'!B330)))+--(NOT(EXACT(TEXT(G330,"yyyy-mm-dd"),'AI output'!C330)))+--(NOT(EXACT(H330,'AI output'!D330)))+--(NOT(EXACT(J330,'AI output'!E330)))+--(NOT(EXACT(K330,'AI output'!F330)))+--(N330&lt;&gt;'AI output'!L330)+--(NOT('AI output'!M330)),0)</f>
        <v>0</v>
      </c>
      <c r="Z330" s="1">
        <f t="shared" si="47"/>
        <v>0</v>
      </c>
      <c r="AA330" s="1">
        <f>--EXACT(A330,"L00324")</f>
        <v>1</v>
      </c>
    </row>
    <row r="331" spans="1:27" ht="18.95" customHeight="1">
      <c r="A331" s="1" t="str">
        <f>IF(Raw!A331="","",Raw!A331)</f>
        <v>L00325</v>
      </c>
      <c r="B331" s="1" t="str">
        <f>IF(Raw!B331="","",Raw!B331)</f>
        <v>T00163</v>
      </c>
      <c r="C331" s="1" t="str">
        <f>IF(Raw!C331="","",Raw!C331)</f>
        <v>2026-02-24</v>
      </c>
      <c r="D331" s="1">
        <f t="shared" si="40"/>
        <v>2026</v>
      </c>
      <c r="E331" s="1">
        <f>IFERROR(IF(AND(LEN(C331)=10,MID(C331,5,1)="-",MID(C331,8,1)="-"),VALUE(MID(C331,6,2)),IF(AND(LEN(C331)=11,MID(C331,3,1)="-",MID(C331,7,1)="-"),MATCH(UPPER(MID(C331,4,3)),Guide!$D$7:$D$18,0),0)),0)</f>
        <v>2</v>
      </c>
      <c r="F331" s="1">
        <f t="shared" si="41"/>
        <v>24</v>
      </c>
      <c r="G331" s="9">
        <f t="shared" si="42"/>
        <v>46077</v>
      </c>
      <c r="H331" s="1" t="str">
        <f>IF(Raw!D331="","",Raw!D331)</f>
        <v>P-A</v>
      </c>
      <c r="I331" s="1" t="str">
        <f>IFERROR(IF(EXACT(H331,INDEX(Guide!$A$7:$A$9,MATCH(SUBSTITUTE(SUBSTITUTE(SUBSTITUTE(H331,"~","~~"),"*","~*"),"?","~?"),Guide!$A$7:$A$9,0))),INDEX(Guide!$B$7:$B$9,MATCH(SUBSTITUTE(SUBSTITUTE(SUBSTITUTE(H331,"~","~~"),"*","~*"),"?","~?"),Guide!$A$7:$A$9,0)),""),"")</f>
        <v>Accessories</v>
      </c>
      <c r="J331" s="1" t="str">
        <f>IF(TRIM(Raw!E331)="",I331,IF(UPPER(TRIM(Raw!E331))=UPPER(I331),I331,""))</f>
        <v>Accessories</v>
      </c>
      <c r="K331" s="1" t="str">
        <f>IF(Raw!F331="","",Raw!F331)</f>
        <v>sale</v>
      </c>
      <c r="L331" s="1" t="str">
        <f>IF(LEFT(TRIM(Raw!G331),2)="-$","-"&amp;MID(TRIM(Raw!G331),3,99),IF(LEFT(TRIM(Raw!G331),1)="$",MID(TRIM(Raw!G331),2,99),TRIM(Raw!G331)))</f>
        <v>499.48</v>
      </c>
      <c r="M331" s="1">
        <f t="shared" si="43"/>
        <v>499.48</v>
      </c>
      <c r="N331" s="10">
        <f t="shared" si="44"/>
        <v>49948</v>
      </c>
      <c r="O331" s="1" t="b">
        <f>IFERROR(IF(ISNUMBER(Raw!G331),TRUE,OR(EXACT(L331,TEXT(M331,"0.00")),EXACT(L331,TEXT(M331,"#,##0.00")))),FALSE)</f>
        <v>1</v>
      </c>
      <c r="P331" s="1" t="str">
        <f>LEN(IF(Raw!A331="","",Raw!A331))&amp;":"&amp;IF(Raw!A331="","",Raw!A331)&amp;"|"&amp;LEN(IF(Raw!B331="","",Raw!B331))&amp;":"&amp;IF(Raw!B331="","",Raw!B331)&amp;"|"&amp;LEN(IF(Raw!C331="","",Raw!C331))&amp;":"&amp;IF(Raw!C331="","",Raw!C331)&amp;"|"&amp;LEN(IF(Raw!D331="","",Raw!D331))&amp;":"&amp;IF(Raw!D331="","",Raw!D331)&amp;"|"&amp;LEN(IF(Raw!E331="","",Raw!E331))&amp;":"&amp;IF(Raw!E331="","",Raw!E331)&amp;"|"&amp;LEN(IF(Raw!F331="","",Raw!F331))&amp;":"&amp;IF(Raw!F331="","",Raw!F331)&amp;"|"&amp;LEN(IF(Raw!G331="","",Raw!G331))&amp;":"&amp;IF(Raw!G331="","",Raw!G331)</f>
        <v>6:L00325|6:T00163|10:2026-02-24|3:P-A|11:Accessories|4:sale|6:499.48</v>
      </c>
      <c r="Q331" s="1">
        <f>1</f>
        <v>1</v>
      </c>
      <c r="R331" s="1" t="b">
        <f>FALSE</f>
        <v>0</v>
      </c>
      <c r="S331" s="1">
        <f>1</f>
        <v>1</v>
      </c>
      <c r="T331" s="1" t="str">
        <f>IF(AND(Raw!A331="",Raw!B331="",Raw!C331="",Raw!D331="",Raw!E331="",Raw!F331="",Raw!G331=""),"UNUSED",IF(A331="","missing line ID",IF(B331="","missing transaction ID",IF(G331="",IF(C331="","missing date","invalid date"),IF(I331="","unknown product",IF(J331="","conflicting category",IF(NOT(OR(EXACT(K331,"sale"),EXACT(K331,"refund"))),"unknown event",IF(OR(N331="",NOT(O331)),"invalid amount",IF(OR(AND(K331="sale",N331&lt;=0),AND(K331="refund",N331&gt;=0)),"invalid sign","")))))))))</f>
        <v/>
      </c>
      <c r="U331" s="1" t="str">
        <f t="shared" si="45"/>
        <v>INCLUDED</v>
      </c>
      <c r="V331" s="1" t="str">
        <f t="shared" si="46"/>
        <v>2026-02</v>
      </c>
      <c r="W331" s="1">
        <f>IF(AND(U331="INCLUDED",X331&gt;0,EXACT(A331,'AI output'!A331)),1,0)</f>
        <v>1</v>
      </c>
      <c r="X331" s="1">
        <f>331</f>
        <v>331</v>
      </c>
      <c r="Y331" s="1">
        <f>IF(AND(U331="INCLUDED",W331=1),--(NOT(EXACT(A331,'AI output'!A331)))+--(NOT(EXACT(B331,'AI output'!B331)))+--(NOT(EXACT(TEXT(G331,"yyyy-mm-dd"),'AI output'!C331)))+--(NOT(EXACT(H331,'AI output'!D331)))+--(NOT(EXACT(J331,'AI output'!E331)))+--(NOT(EXACT(K331,'AI output'!F331)))+--(N331&lt;&gt;'AI output'!L331)+--(NOT('AI output'!M331)),0)</f>
        <v>0</v>
      </c>
      <c r="Z331" s="1">
        <f t="shared" si="47"/>
        <v>0</v>
      </c>
      <c r="AA331" s="1">
        <f>--EXACT(A331,"L00325")</f>
        <v>1</v>
      </c>
    </row>
    <row r="332" spans="1:27" ht="18.95" customHeight="1">
      <c r="A332" s="1" t="str">
        <f>IF(Raw!A332="","",Raw!A332)</f>
        <v>L00326</v>
      </c>
      <c r="B332" s="1" t="str">
        <f>IF(Raw!B332="","",Raw!B332)</f>
        <v>T00163</v>
      </c>
      <c r="C332" s="1" t="str">
        <f>IF(Raw!C332="","",Raw!C332)</f>
        <v>2026-02-24</v>
      </c>
      <c r="D332" s="1">
        <f t="shared" si="40"/>
        <v>2026</v>
      </c>
      <c r="E332" s="1">
        <f>IFERROR(IF(AND(LEN(C332)=10,MID(C332,5,1)="-",MID(C332,8,1)="-"),VALUE(MID(C332,6,2)),IF(AND(LEN(C332)=11,MID(C332,3,1)="-",MID(C332,7,1)="-"),MATCH(UPPER(MID(C332,4,3)),Guide!$D$7:$D$18,0),0)),0)</f>
        <v>2</v>
      </c>
      <c r="F332" s="1">
        <f t="shared" si="41"/>
        <v>24</v>
      </c>
      <c r="G332" s="9">
        <f t="shared" si="42"/>
        <v>46077</v>
      </c>
      <c r="H332" s="1" t="str">
        <f>IF(Raw!D332="","",Raw!D332)</f>
        <v>P-H</v>
      </c>
      <c r="I332" s="1" t="str">
        <f>IFERROR(IF(EXACT(H332,INDEX(Guide!$A$7:$A$9,MATCH(SUBSTITUTE(SUBSTITUTE(SUBSTITUTE(H332,"~","~~"),"*","~*"),"?","~?"),Guide!$A$7:$A$9,0))),INDEX(Guide!$B$7:$B$9,MATCH(SUBSTITUTE(SUBSTITUTE(SUBSTITUTE(H332,"~","~~"),"*","~*"),"?","~?"),Guide!$A$7:$A$9,0)),""),"")</f>
        <v>Home</v>
      </c>
      <c r="J332" s="1" t="str">
        <f>IF(TRIM(Raw!E332)="",I332,IF(UPPER(TRIM(Raw!E332))=UPPER(I332),I332,""))</f>
        <v>Home</v>
      </c>
      <c r="K332" s="1" t="str">
        <f>IF(Raw!F332="","",Raw!F332)</f>
        <v>sale</v>
      </c>
      <c r="L332" s="1" t="str">
        <f>IF(LEFT(TRIM(Raw!G332),2)="-$","-"&amp;MID(TRIM(Raw!G332),3,99),IF(LEFT(TRIM(Raw!G332),1)="$",MID(TRIM(Raw!G332),2,99),TRIM(Raw!G332)))</f>
        <v>5.24</v>
      </c>
      <c r="M332" s="1">
        <f t="shared" si="43"/>
        <v>5.24</v>
      </c>
      <c r="N332" s="10">
        <f t="shared" si="44"/>
        <v>524</v>
      </c>
      <c r="O332" s="1" t="b">
        <f>IFERROR(IF(ISNUMBER(Raw!G332),TRUE,OR(EXACT(L332,TEXT(M332,"0.00")),EXACT(L332,TEXT(M332,"#,##0.00")))),FALSE)</f>
        <v>1</v>
      </c>
      <c r="P332" s="1" t="str">
        <f>LEN(IF(Raw!A332="","",Raw!A332))&amp;":"&amp;IF(Raw!A332="","",Raw!A332)&amp;"|"&amp;LEN(IF(Raw!B332="","",Raw!B332))&amp;":"&amp;IF(Raw!B332="","",Raw!B332)&amp;"|"&amp;LEN(IF(Raw!C332="","",Raw!C332))&amp;":"&amp;IF(Raw!C332="","",Raw!C332)&amp;"|"&amp;LEN(IF(Raw!D332="","",Raw!D332))&amp;":"&amp;IF(Raw!D332="","",Raw!D332)&amp;"|"&amp;LEN(IF(Raw!E332="","",Raw!E332))&amp;":"&amp;IF(Raw!E332="","",Raw!E332)&amp;"|"&amp;LEN(IF(Raw!F332="","",Raw!F332))&amp;":"&amp;IF(Raw!F332="","",Raw!F332)&amp;"|"&amp;LEN(IF(Raw!G332="","",Raw!G332))&amp;":"&amp;IF(Raw!G332="","",Raw!G332)</f>
        <v>6:L00326|6:T00163|10:2026-02-24|3:P-H|4:Home|4:sale|4:5.24</v>
      </c>
      <c r="Q332" s="1">
        <f>1</f>
        <v>1</v>
      </c>
      <c r="R332" s="1" t="b">
        <f>FALSE</f>
        <v>0</v>
      </c>
      <c r="S332" s="1">
        <f>1</f>
        <v>1</v>
      </c>
      <c r="T332" s="1" t="str">
        <f>IF(AND(Raw!A332="",Raw!B332="",Raw!C332="",Raw!D332="",Raw!E332="",Raw!F332="",Raw!G332=""),"UNUSED",IF(A332="","missing line ID",IF(B332="","missing transaction ID",IF(G332="",IF(C332="","missing date","invalid date"),IF(I332="","unknown product",IF(J332="","conflicting category",IF(NOT(OR(EXACT(K332,"sale"),EXACT(K332,"refund"))),"unknown event",IF(OR(N332="",NOT(O332)),"invalid amount",IF(OR(AND(K332="sale",N332&lt;=0),AND(K332="refund",N332&gt;=0)),"invalid sign","")))))))))</f>
        <v/>
      </c>
      <c r="U332" s="1" t="str">
        <f t="shared" si="45"/>
        <v>INCLUDED</v>
      </c>
      <c r="V332" s="1" t="str">
        <f t="shared" si="46"/>
        <v>2026-02</v>
      </c>
      <c r="W332" s="1">
        <f>IF(AND(U332="INCLUDED",X332&gt;0,EXACT(A332,'AI output'!A332)),1,0)</f>
        <v>1</v>
      </c>
      <c r="X332" s="1">
        <f>332</f>
        <v>332</v>
      </c>
      <c r="Y332" s="1">
        <f>IF(AND(U332="INCLUDED",W332=1),--(NOT(EXACT(A332,'AI output'!A332)))+--(NOT(EXACT(B332,'AI output'!B332)))+--(NOT(EXACT(TEXT(G332,"yyyy-mm-dd"),'AI output'!C332)))+--(NOT(EXACT(H332,'AI output'!D332)))+--(NOT(EXACT(J332,'AI output'!E332)))+--(NOT(EXACT(K332,'AI output'!F332)))+--(N332&lt;&gt;'AI output'!L332)+--(NOT('AI output'!M332)),0)</f>
        <v>0</v>
      </c>
      <c r="Z332" s="1">
        <f t="shared" si="47"/>
        <v>0</v>
      </c>
      <c r="AA332" s="1">
        <f>--EXACT(A332,"L00326")</f>
        <v>1</v>
      </c>
    </row>
    <row r="333" spans="1:27" ht="18.95" customHeight="1">
      <c r="A333" s="1" t="str">
        <f>IF(Raw!A333="","",Raw!A333)</f>
        <v>L00327</v>
      </c>
      <c r="B333" s="1" t="str">
        <f>IF(Raw!B333="","",Raw!B333)</f>
        <v>T00164</v>
      </c>
      <c r="C333" s="1" t="str">
        <f>IF(Raw!C333="","",Raw!C333)</f>
        <v>2026-03-03</v>
      </c>
      <c r="D333" s="1">
        <f t="shared" si="40"/>
        <v>2026</v>
      </c>
      <c r="E333" s="1">
        <f>IFERROR(IF(AND(LEN(C333)=10,MID(C333,5,1)="-",MID(C333,8,1)="-"),VALUE(MID(C333,6,2)),IF(AND(LEN(C333)=11,MID(C333,3,1)="-",MID(C333,7,1)="-"),MATCH(UPPER(MID(C333,4,3)),Guide!$D$7:$D$18,0),0)),0)</f>
        <v>3</v>
      </c>
      <c r="F333" s="1">
        <f t="shared" si="41"/>
        <v>3</v>
      </c>
      <c r="G333" s="9">
        <f t="shared" si="42"/>
        <v>46084</v>
      </c>
      <c r="H333" s="1" t="str">
        <f>IF(Raw!D333="","",Raw!D333)</f>
        <v>P-O</v>
      </c>
      <c r="I333" s="1" t="str">
        <f>IFERROR(IF(EXACT(H333,INDEX(Guide!$A$7:$A$9,MATCH(SUBSTITUTE(SUBSTITUTE(SUBSTITUTE(H333,"~","~~"),"*","~*"),"?","~?"),Guide!$A$7:$A$9,0))),INDEX(Guide!$B$7:$B$9,MATCH(SUBSTITUTE(SUBSTITUTE(SUBSTITUTE(H333,"~","~~"),"*","~*"),"?","~?"),Guide!$A$7:$A$9,0)),""),"")</f>
        <v>Office</v>
      </c>
      <c r="J333" s="1" t="str">
        <f>IF(TRIM(Raw!E333)="",I333,IF(UPPER(TRIM(Raw!E333))=UPPER(I333),I333,""))</f>
        <v>Office</v>
      </c>
      <c r="K333" s="1" t="str">
        <f>IF(Raw!F333="","",Raw!F333)</f>
        <v>sale</v>
      </c>
      <c r="L333" s="1" t="str">
        <f>IF(LEFT(TRIM(Raw!G333),2)="-$","-"&amp;MID(TRIM(Raw!G333),3,99),IF(LEFT(TRIM(Raw!G333),1)="$",MID(TRIM(Raw!G333),2,99),TRIM(Raw!G333)))</f>
        <v>16.83</v>
      </c>
      <c r="M333" s="1">
        <f t="shared" si="43"/>
        <v>16.829999999999998</v>
      </c>
      <c r="N333" s="10">
        <f t="shared" si="44"/>
        <v>1683</v>
      </c>
      <c r="O333" s="1" t="b">
        <f>IFERROR(IF(ISNUMBER(Raw!G333),TRUE,OR(EXACT(L333,TEXT(M333,"0.00")),EXACT(L333,TEXT(M333,"#,##0.00")))),FALSE)</f>
        <v>1</v>
      </c>
      <c r="P333" s="1" t="str">
        <f>LEN(IF(Raw!A333="","",Raw!A333))&amp;":"&amp;IF(Raw!A333="","",Raw!A333)&amp;"|"&amp;LEN(IF(Raw!B333="","",Raw!B333))&amp;":"&amp;IF(Raw!B333="","",Raw!B333)&amp;"|"&amp;LEN(IF(Raw!C333="","",Raw!C333))&amp;":"&amp;IF(Raw!C333="","",Raw!C333)&amp;"|"&amp;LEN(IF(Raw!D333="","",Raw!D333))&amp;":"&amp;IF(Raw!D333="","",Raw!D333)&amp;"|"&amp;LEN(IF(Raw!E333="","",Raw!E333))&amp;":"&amp;IF(Raw!E333="","",Raw!E333)&amp;"|"&amp;LEN(IF(Raw!F333="","",Raw!F333))&amp;":"&amp;IF(Raw!F333="","",Raw!F333)&amp;"|"&amp;LEN(IF(Raw!G333="","",Raw!G333))&amp;":"&amp;IF(Raw!G333="","",Raw!G333)</f>
        <v>6:L00327|6:T00164|10:2026-03-03|3:P-O|6:Office|4:sale|5:16.83</v>
      </c>
      <c r="Q333" s="1">
        <f>1</f>
        <v>1</v>
      </c>
      <c r="R333" s="1" t="b">
        <f>FALSE</f>
        <v>0</v>
      </c>
      <c r="S333" s="1">
        <f>1</f>
        <v>1</v>
      </c>
      <c r="T333" s="1" t="str">
        <f>IF(AND(Raw!A333="",Raw!B333="",Raw!C333="",Raw!D333="",Raw!E333="",Raw!F333="",Raw!G333=""),"UNUSED",IF(A333="","missing line ID",IF(B333="","missing transaction ID",IF(G333="",IF(C333="","missing date","invalid date"),IF(I333="","unknown product",IF(J333="","conflicting category",IF(NOT(OR(EXACT(K333,"sale"),EXACT(K333,"refund"))),"unknown event",IF(OR(N333="",NOT(O333)),"invalid amount",IF(OR(AND(K333="sale",N333&lt;=0),AND(K333="refund",N333&gt;=0)),"invalid sign","")))))))))</f>
        <v/>
      </c>
      <c r="U333" s="1" t="str">
        <f t="shared" si="45"/>
        <v>INCLUDED</v>
      </c>
      <c r="V333" s="1" t="str">
        <f t="shared" si="46"/>
        <v>2026-03</v>
      </c>
      <c r="W333" s="1">
        <f>IF(AND(U333="INCLUDED",X333&gt;0,EXACT(A333,'AI output'!A333)),1,0)</f>
        <v>1</v>
      </c>
      <c r="X333" s="1">
        <f>333</f>
        <v>333</v>
      </c>
      <c r="Y333" s="1">
        <f>IF(AND(U333="INCLUDED",W333=1),--(NOT(EXACT(A333,'AI output'!A333)))+--(NOT(EXACT(B333,'AI output'!B333)))+--(NOT(EXACT(TEXT(G333,"yyyy-mm-dd"),'AI output'!C333)))+--(NOT(EXACT(H333,'AI output'!D333)))+--(NOT(EXACT(J333,'AI output'!E333)))+--(NOT(EXACT(K333,'AI output'!F333)))+--(N333&lt;&gt;'AI output'!L333)+--(NOT('AI output'!M333)),0)</f>
        <v>0</v>
      </c>
      <c r="Z333" s="1">
        <f t="shared" si="47"/>
        <v>0</v>
      </c>
      <c r="AA333" s="1">
        <f>--EXACT(A333,"L00327")</f>
        <v>1</v>
      </c>
    </row>
    <row r="334" spans="1:27" ht="18.95" customHeight="1">
      <c r="A334" s="1" t="str">
        <f>IF(Raw!A334="","",Raw!A334)</f>
        <v>L00328</v>
      </c>
      <c r="B334" s="1" t="str">
        <f>IF(Raw!B334="","",Raw!B334)</f>
        <v>T00164</v>
      </c>
      <c r="C334" s="1" t="str">
        <f>IF(Raw!C334="","",Raw!C334)</f>
        <v>2026-03-03</v>
      </c>
      <c r="D334" s="1">
        <f t="shared" si="40"/>
        <v>2026</v>
      </c>
      <c r="E334" s="1">
        <f>IFERROR(IF(AND(LEN(C334)=10,MID(C334,5,1)="-",MID(C334,8,1)="-"),VALUE(MID(C334,6,2)),IF(AND(LEN(C334)=11,MID(C334,3,1)="-",MID(C334,7,1)="-"),MATCH(UPPER(MID(C334,4,3)),Guide!$D$7:$D$18,0),0)),0)</f>
        <v>3</v>
      </c>
      <c r="F334" s="1">
        <f t="shared" si="41"/>
        <v>3</v>
      </c>
      <c r="G334" s="9">
        <f t="shared" si="42"/>
        <v>46084</v>
      </c>
      <c r="H334" s="1" t="str">
        <f>IF(Raw!D334="","",Raw!D334)</f>
        <v>P-A</v>
      </c>
      <c r="I334" s="1" t="str">
        <f>IFERROR(IF(EXACT(H334,INDEX(Guide!$A$7:$A$9,MATCH(SUBSTITUTE(SUBSTITUTE(SUBSTITUTE(H334,"~","~~"),"*","~*"),"?","~?"),Guide!$A$7:$A$9,0))),INDEX(Guide!$B$7:$B$9,MATCH(SUBSTITUTE(SUBSTITUTE(SUBSTITUTE(H334,"~","~~"),"*","~*"),"?","~?"),Guide!$A$7:$A$9,0)),""),"")</f>
        <v>Accessories</v>
      </c>
      <c r="J334" s="1" t="str">
        <f>IF(TRIM(Raw!E334)="",I334,IF(UPPER(TRIM(Raw!E334))=UPPER(I334),I334,""))</f>
        <v>Accessories</v>
      </c>
      <c r="K334" s="1" t="str">
        <f>IF(Raw!F334="","",Raw!F334)</f>
        <v>sale</v>
      </c>
      <c r="L334" s="1" t="str">
        <f>IF(LEFT(TRIM(Raw!G334),2)="-$","-"&amp;MID(TRIM(Raw!G334),3,99),IF(LEFT(TRIM(Raw!G334),1)="$",MID(TRIM(Raw!G334),2,99),TRIM(Raw!G334)))</f>
        <v>29.90</v>
      </c>
      <c r="M334" s="1">
        <f t="shared" si="43"/>
        <v>29.9</v>
      </c>
      <c r="N334" s="10">
        <f t="shared" si="44"/>
        <v>2990</v>
      </c>
      <c r="O334" s="1" t="b">
        <f>IFERROR(IF(ISNUMBER(Raw!G334),TRUE,OR(EXACT(L334,TEXT(M334,"0.00")),EXACT(L334,TEXT(M334,"#,##0.00")))),FALSE)</f>
        <v>1</v>
      </c>
      <c r="P334" s="1" t="str">
        <f>LEN(IF(Raw!A334="","",Raw!A334))&amp;":"&amp;IF(Raw!A334="","",Raw!A334)&amp;"|"&amp;LEN(IF(Raw!B334="","",Raw!B334))&amp;":"&amp;IF(Raw!B334="","",Raw!B334)&amp;"|"&amp;LEN(IF(Raw!C334="","",Raw!C334))&amp;":"&amp;IF(Raw!C334="","",Raw!C334)&amp;"|"&amp;LEN(IF(Raw!D334="","",Raw!D334))&amp;":"&amp;IF(Raw!D334="","",Raw!D334)&amp;"|"&amp;LEN(IF(Raw!E334="","",Raw!E334))&amp;":"&amp;IF(Raw!E334="","",Raw!E334)&amp;"|"&amp;LEN(IF(Raw!F334="","",Raw!F334))&amp;":"&amp;IF(Raw!F334="","",Raw!F334)&amp;"|"&amp;LEN(IF(Raw!G334="","",Raw!G334))&amp;":"&amp;IF(Raw!G334="","",Raw!G334)</f>
        <v>6:L00328|6:T00164|10:2026-03-03|3:P-A|11:Accessories|4:sale|5:29.90</v>
      </c>
      <c r="Q334" s="1">
        <f>1</f>
        <v>1</v>
      </c>
      <c r="R334" s="1" t="b">
        <f>FALSE</f>
        <v>0</v>
      </c>
      <c r="S334" s="1">
        <f>1</f>
        <v>1</v>
      </c>
      <c r="T334" s="1" t="str">
        <f>IF(AND(Raw!A334="",Raw!B334="",Raw!C334="",Raw!D334="",Raw!E334="",Raw!F334="",Raw!G334=""),"UNUSED",IF(A334="","missing line ID",IF(B334="","missing transaction ID",IF(G334="",IF(C334="","missing date","invalid date"),IF(I334="","unknown product",IF(J334="","conflicting category",IF(NOT(OR(EXACT(K334,"sale"),EXACT(K334,"refund"))),"unknown event",IF(OR(N334="",NOT(O334)),"invalid amount",IF(OR(AND(K334="sale",N334&lt;=0),AND(K334="refund",N334&gt;=0)),"invalid sign","")))))))))</f>
        <v/>
      </c>
      <c r="U334" s="1" t="str">
        <f t="shared" si="45"/>
        <v>INCLUDED</v>
      </c>
      <c r="V334" s="1" t="str">
        <f t="shared" si="46"/>
        <v>2026-03</v>
      </c>
      <c r="W334" s="1">
        <f>IF(AND(U334="INCLUDED",X334&gt;0,EXACT(A334,'AI output'!A334)),1,0)</f>
        <v>1</v>
      </c>
      <c r="X334" s="1">
        <f>334</f>
        <v>334</v>
      </c>
      <c r="Y334" s="1">
        <f>IF(AND(U334="INCLUDED",W334=1),--(NOT(EXACT(A334,'AI output'!A334)))+--(NOT(EXACT(B334,'AI output'!B334)))+--(NOT(EXACT(TEXT(G334,"yyyy-mm-dd"),'AI output'!C334)))+--(NOT(EXACT(H334,'AI output'!D334)))+--(NOT(EXACT(J334,'AI output'!E334)))+--(NOT(EXACT(K334,'AI output'!F334)))+--(N334&lt;&gt;'AI output'!L334)+--(NOT('AI output'!M334)),0)</f>
        <v>0</v>
      </c>
      <c r="Z334" s="1">
        <f t="shared" si="47"/>
        <v>0</v>
      </c>
      <c r="AA334" s="1">
        <f>--EXACT(A334,"L00328")</f>
        <v>1</v>
      </c>
    </row>
    <row r="335" spans="1:27" ht="18.95" customHeight="1">
      <c r="A335" s="1" t="str">
        <f>IF(Raw!A335="","",Raw!A335)</f>
        <v>L00329</v>
      </c>
      <c r="B335" s="1" t="str">
        <f>IF(Raw!B335="","",Raw!B335)</f>
        <v>T00165</v>
      </c>
      <c r="C335" s="1" t="str">
        <f>IF(Raw!C335="","",Raw!C335)</f>
        <v>2026-03-10</v>
      </c>
      <c r="D335" s="1">
        <f t="shared" si="40"/>
        <v>2026</v>
      </c>
      <c r="E335" s="1">
        <f>IFERROR(IF(AND(LEN(C335)=10,MID(C335,5,1)="-",MID(C335,8,1)="-"),VALUE(MID(C335,6,2)),IF(AND(LEN(C335)=11,MID(C335,3,1)="-",MID(C335,7,1)="-"),MATCH(UPPER(MID(C335,4,3)),Guide!$D$7:$D$18,0),0)),0)</f>
        <v>3</v>
      </c>
      <c r="F335" s="1">
        <f t="shared" si="41"/>
        <v>10</v>
      </c>
      <c r="G335" s="9">
        <f t="shared" si="42"/>
        <v>46091</v>
      </c>
      <c r="H335" s="1" t="str">
        <f>IF(Raw!D335="","",Raw!D335)</f>
        <v>P-H</v>
      </c>
      <c r="I335" s="1" t="str">
        <f>IFERROR(IF(EXACT(H335,INDEX(Guide!$A$7:$A$9,MATCH(SUBSTITUTE(SUBSTITUTE(SUBSTITUTE(H335,"~","~~"),"*","~*"),"?","~?"),Guide!$A$7:$A$9,0))),INDEX(Guide!$B$7:$B$9,MATCH(SUBSTITUTE(SUBSTITUTE(SUBSTITUTE(H335,"~","~~"),"*","~*"),"?","~?"),Guide!$A$7:$A$9,0)),""),"")</f>
        <v>Home</v>
      </c>
      <c r="J335" s="1" t="str">
        <f>IF(TRIM(Raw!E335)="",I335,IF(UPPER(TRIM(Raw!E335))=UPPER(I335),I335,""))</f>
        <v>Home</v>
      </c>
      <c r="K335" s="1" t="str">
        <f>IF(Raw!F335="","",Raw!F335)</f>
        <v>sale</v>
      </c>
      <c r="L335" s="1" t="str">
        <f>IF(LEFT(TRIM(Raw!G335),2)="-$","-"&amp;MID(TRIM(Raw!G335),3,99),IF(LEFT(TRIM(Raw!G335),1)="$",MID(TRIM(Raw!G335),2,99),TRIM(Raw!G335)))</f>
        <v>12.70</v>
      </c>
      <c r="M335" s="1">
        <f t="shared" si="43"/>
        <v>12.7</v>
      </c>
      <c r="N335" s="10">
        <f t="shared" si="44"/>
        <v>1270</v>
      </c>
      <c r="O335" s="1" t="b">
        <f>IFERROR(IF(ISNUMBER(Raw!G335),TRUE,OR(EXACT(L335,TEXT(M335,"0.00")),EXACT(L335,TEXT(M335,"#,##0.00")))),FALSE)</f>
        <v>1</v>
      </c>
      <c r="P335" s="1" t="str">
        <f>LEN(IF(Raw!A335="","",Raw!A335))&amp;":"&amp;IF(Raw!A335="","",Raw!A335)&amp;"|"&amp;LEN(IF(Raw!B335="","",Raw!B335))&amp;":"&amp;IF(Raw!B335="","",Raw!B335)&amp;"|"&amp;LEN(IF(Raw!C335="","",Raw!C335))&amp;":"&amp;IF(Raw!C335="","",Raw!C335)&amp;"|"&amp;LEN(IF(Raw!D335="","",Raw!D335))&amp;":"&amp;IF(Raw!D335="","",Raw!D335)&amp;"|"&amp;LEN(IF(Raw!E335="","",Raw!E335))&amp;":"&amp;IF(Raw!E335="","",Raw!E335)&amp;"|"&amp;LEN(IF(Raw!F335="","",Raw!F335))&amp;":"&amp;IF(Raw!F335="","",Raw!F335)&amp;"|"&amp;LEN(IF(Raw!G335="","",Raw!G335))&amp;":"&amp;IF(Raw!G335="","",Raw!G335)</f>
        <v>6:L00329|6:T00165|10:2026-03-10|3:P-H|4:Home|4:sale|5:12.70</v>
      </c>
      <c r="Q335" s="1">
        <f>1</f>
        <v>1</v>
      </c>
      <c r="R335" s="1" t="b">
        <f>FALSE</f>
        <v>0</v>
      </c>
      <c r="S335" s="1">
        <f>1</f>
        <v>1</v>
      </c>
      <c r="T335" s="1" t="str">
        <f>IF(AND(Raw!A335="",Raw!B335="",Raw!C335="",Raw!D335="",Raw!E335="",Raw!F335="",Raw!G335=""),"UNUSED",IF(A335="","missing line ID",IF(B335="","missing transaction ID",IF(G335="",IF(C335="","missing date","invalid date"),IF(I335="","unknown product",IF(J335="","conflicting category",IF(NOT(OR(EXACT(K335,"sale"),EXACT(K335,"refund"))),"unknown event",IF(OR(N335="",NOT(O335)),"invalid amount",IF(OR(AND(K335="sale",N335&lt;=0),AND(K335="refund",N335&gt;=0)),"invalid sign","")))))))))</f>
        <v/>
      </c>
      <c r="U335" s="1" t="str">
        <f t="shared" si="45"/>
        <v>INCLUDED</v>
      </c>
      <c r="V335" s="1" t="str">
        <f t="shared" si="46"/>
        <v>2026-03</v>
      </c>
      <c r="W335" s="1">
        <f>IF(AND(U335="INCLUDED",X335&gt;0,EXACT(A335,'AI output'!A335)),1,0)</f>
        <v>1</v>
      </c>
      <c r="X335" s="1">
        <f>335</f>
        <v>335</v>
      </c>
      <c r="Y335" s="1">
        <f>IF(AND(U335="INCLUDED",W335=1),--(NOT(EXACT(A335,'AI output'!A335)))+--(NOT(EXACT(B335,'AI output'!B335)))+--(NOT(EXACT(TEXT(G335,"yyyy-mm-dd"),'AI output'!C335)))+--(NOT(EXACT(H335,'AI output'!D335)))+--(NOT(EXACT(J335,'AI output'!E335)))+--(NOT(EXACT(K335,'AI output'!F335)))+--(N335&lt;&gt;'AI output'!L335)+--(NOT('AI output'!M335)),0)</f>
        <v>0</v>
      </c>
      <c r="Z335" s="1">
        <f t="shared" si="47"/>
        <v>0</v>
      </c>
      <c r="AA335" s="1">
        <f>--EXACT(A335,"L00329")</f>
        <v>1</v>
      </c>
    </row>
    <row r="336" spans="1:27" ht="18.95" customHeight="1">
      <c r="A336" s="1" t="str">
        <f>IF(Raw!A336="","",Raw!A336)</f>
        <v>L00330</v>
      </c>
      <c r="B336" s="1" t="str">
        <f>IF(Raw!B336="","",Raw!B336)</f>
        <v>T00165</v>
      </c>
      <c r="C336" s="1" t="str">
        <f>IF(Raw!C336="","",Raw!C336)</f>
        <v>2026-03-10</v>
      </c>
      <c r="D336" s="1">
        <f t="shared" si="40"/>
        <v>2026</v>
      </c>
      <c r="E336" s="1">
        <f>IFERROR(IF(AND(LEN(C336)=10,MID(C336,5,1)="-",MID(C336,8,1)="-"),VALUE(MID(C336,6,2)),IF(AND(LEN(C336)=11,MID(C336,3,1)="-",MID(C336,7,1)="-"),MATCH(UPPER(MID(C336,4,3)),Guide!$D$7:$D$18,0),0)),0)</f>
        <v>3</v>
      </c>
      <c r="F336" s="1">
        <f t="shared" si="41"/>
        <v>10</v>
      </c>
      <c r="G336" s="9">
        <f t="shared" si="42"/>
        <v>46091</v>
      </c>
      <c r="H336" s="1" t="str">
        <f>IF(Raw!D336="","",Raw!D336)</f>
        <v>P-O</v>
      </c>
      <c r="I336" s="1" t="str">
        <f>IFERROR(IF(EXACT(H336,INDEX(Guide!$A$7:$A$9,MATCH(SUBSTITUTE(SUBSTITUTE(SUBSTITUTE(H336,"~","~~"),"*","~*"),"?","~?"),Guide!$A$7:$A$9,0))),INDEX(Guide!$B$7:$B$9,MATCH(SUBSTITUTE(SUBSTITUTE(SUBSTITUTE(H336,"~","~~"),"*","~*"),"?","~?"),Guide!$A$7:$A$9,0)),""),"")</f>
        <v>Office</v>
      </c>
      <c r="J336" s="1" t="str">
        <f>IF(TRIM(Raw!E336)="",I336,IF(UPPER(TRIM(Raw!E336))=UPPER(I336),I336,""))</f>
        <v>Office</v>
      </c>
      <c r="K336" s="1" t="str">
        <f>IF(Raw!F336="","",Raw!F336)</f>
        <v>sale</v>
      </c>
      <c r="L336" s="1" t="str">
        <f>IF(LEFT(TRIM(Raw!G336),2)="-$","-"&amp;MID(TRIM(Raw!G336),3,99),IF(LEFT(TRIM(Raw!G336),1)="$",MID(TRIM(Raw!G336),2,99),TRIM(Raw!G336)))</f>
        <v>26.88</v>
      </c>
      <c r="M336" s="1">
        <f t="shared" si="43"/>
        <v>26.88</v>
      </c>
      <c r="N336" s="10">
        <f t="shared" si="44"/>
        <v>2688</v>
      </c>
      <c r="O336" s="1" t="b">
        <f>IFERROR(IF(ISNUMBER(Raw!G336),TRUE,OR(EXACT(L336,TEXT(M336,"0.00")),EXACT(L336,TEXT(M336,"#,##0.00")))),FALSE)</f>
        <v>1</v>
      </c>
      <c r="P336" s="1" t="str">
        <f>LEN(IF(Raw!A336="","",Raw!A336))&amp;":"&amp;IF(Raw!A336="","",Raw!A336)&amp;"|"&amp;LEN(IF(Raw!B336="","",Raw!B336))&amp;":"&amp;IF(Raw!B336="","",Raw!B336)&amp;"|"&amp;LEN(IF(Raw!C336="","",Raw!C336))&amp;":"&amp;IF(Raw!C336="","",Raw!C336)&amp;"|"&amp;LEN(IF(Raw!D336="","",Raw!D336))&amp;":"&amp;IF(Raw!D336="","",Raw!D336)&amp;"|"&amp;LEN(IF(Raw!E336="","",Raw!E336))&amp;":"&amp;IF(Raw!E336="","",Raw!E336)&amp;"|"&amp;LEN(IF(Raw!F336="","",Raw!F336))&amp;":"&amp;IF(Raw!F336="","",Raw!F336)&amp;"|"&amp;LEN(IF(Raw!G336="","",Raw!G336))&amp;":"&amp;IF(Raw!G336="","",Raw!G336)</f>
        <v>6:L00330|6:T00165|10:2026-03-10|3:P-O|6:Office|4:sale|5:26.88</v>
      </c>
      <c r="Q336" s="1">
        <f>1</f>
        <v>1</v>
      </c>
      <c r="R336" s="1" t="b">
        <f>FALSE</f>
        <v>0</v>
      </c>
      <c r="S336" s="1">
        <f>1</f>
        <v>1</v>
      </c>
      <c r="T336" s="1" t="str">
        <f>IF(AND(Raw!A336="",Raw!B336="",Raw!C336="",Raw!D336="",Raw!E336="",Raw!F336="",Raw!G336=""),"UNUSED",IF(A336="","missing line ID",IF(B336="","missing transaction ID",IF(G336="",IF(C336="","missing date","invalid date"),IF(I336="","unknown product",IF(J336="","conflicting category",IF(NOT(OR(EXACT(K336,"sale"),EXACT(K336,"refund"))),"unknown event",IF(OR(N336="",NOT(O336)),"invalid amount",IF(OR(AND(K336="sale",N336&lt;=0),AND(K336="refund",N336&gt;=0)),"invalid sign","")))))))))</f>
        <v/>
      </c>
      <c r="U336" s="1" t="str">
        <f t="shared" si="45"/>
        <v>INCLUDED</v>
      </c>
      <c r="V336" s="1" t="str">
        <f t="shared" si="46"/>
        <v>2026-03</v>
      </c>
      <c r="W336" s="1">
        <f>IF(AND(U336="INCLUDED",X336&gt;0,EXACT(A336,'AI output'!A336)),1,0)</f>
        <v>1</v>
      </c>
      <c r="X336" s="1">
        <f>336</f>
        <v>336</v>
      </c>
      <c r="Y336" s="1">
        <f>IF(AND(U336="INCLUDED",W336=1),--(NOT(EXACT(A336,'AI output'!A336)))+--(NOT(EXACT(B336,'AI output'!B336)))+--(NOT(EXACT(TEXT(G336,"yyyy-mm-dd"),'AI output'!C336)))+--(NOT(EXACT(H336,'AI output'!D336)))+--(NOT(EXACT(J336,'AI output'!E336)))+--(NOT(EXACT(K336,'AI output'!F336)))+--(N336&lt;&gt;'AI output'!L336)+--(NOT('AI output'!M336)),0)</f>
        <v>0</v>
      </c>
      <c r="Z336" s="1">
        <f t="shared" si="47"/>
        <v>0</v>
      </c>
      <c r="AA336" s="1">
        <f>--EXACT(A336,"L00330")</f>
        <v>1</v>
      </c>
    </row>
    <row r="337" spans="1:27" ht="18.95" customHeight="1">
      <c r="A337" s="1" t="str">
        <f>IF(Raw!A337="","",Raw!A337)</f>
        <v>L00331</v>
      </c>
      <c r="B337" s="1" t="str">
        <f>IF(Raw!B337="","",Raw!B337)</f>
        <v>T00166</v>
      </c>
      <c r="C337" s="1" t="str">
        <f>IF(Raw!C337="","",Raw!C337)</f>
        <v>2026-03-17</v>
      </c>
      <c r="D337" s="1">
        <f t="shared" si="40"/>
        <v>2026</v>
      </c>
      <c r="E337" s="1">
        <f>IFERROR(IF(AND(LEN(C337)=10,MID(C337,5,1)="-",MID(C337,8,1)="-"),VALUE(MID(C337,6,2)),IF(AND(LEN(C337)=11,MID(C337,3,1)="-",MID(C337,7,1)="-"),MATCH(UPPER(MID(C337,4,3)),Guide!$D$7:$D$18,0),0)),0)</f>
        <v>3</v>
      </c>
      <c r="F337" s="1">
        <f t="shared" si="41"/>
        <v>17</v>
      </c>
      <c r="G337" s="9">
        <f t="shared" si="42"/>
        <v>46098</v>
      </c>
      <c r="H337" s="1" t="str">
        <f>IF(Raw!D337="","",Raw!D337)</f>
        <v>P-A</v>
      </c>
      <c r="I337" s="1" t="str">
        <f>IFERROR(IF(EXACT(H337,INDEX(Guide!$A$7:$A$9,MATCH(SUBSTITUTE(SUBSTITUTE(SUBSTITUTE(H337,"~","~~"),"*","~*"),"?","~?"),Guide!$A$7:$A$9,0))),INDEX(Guide!$B$7:$B$9,MATCH(SUBSTITUTE(SUBSTITUTE(SUBSTITUTE(H337,"~","~~"),"*","~*"),"?","~?"),Guide!$A$7:$A$9,0)),""),"")</f>
        <v>Accessories</v>
      </c>
      <c r="J337" s="1" t="str">
        <f>IF(TRIM(Raw!E337)="",I337,IF(UPPER(TRIM(Raw!E337))=UPPER(I337),I337,""))</f>
        <v>Accessories</v>
      </c>
      <c r="K337" s="1" t="str">
        <f>IF(Raw!F337="","",Raw!F337)</f>
        <v>sale</v>
      </c>
      <c r="L337" s="1" t="str">
        <f>IF(LEFT(TRIM(Raw!G337),2)="-$","-"&amp;MID(TRIM(Raw!G337),3,99),IF(LEFT(TRIM(Raw!G337),1)="$",MID(TRIM(Raw!G337),2,99),TRIM(Raw!G337)))</f>
        <v>7.09</v>
      </c>
      <c r="M337" s="1">
        <f t="shared" si="43"/>
        <v>7.09</v>
      </c>
      <c r="N337" s="10">
        <f t="shared" si="44"/>
        <v>709</v>
      </c>
      <c r="O337" s="1" t="b">
        <f>IFERROR(IF(ISNUMBER(Raw!G337),TRUE,OR(EXACT(L337,TEXT(M337,"0.00")),EXACT(L337,TEXT(M337,"#,##0.00")))),FALSE)</f>
        <v>1</v>
      </c>
      <c r="P337" s="1" t="str">
        <f>LEN(IF(Raw!A337="","",Raw!A337))&amp;":"&amp;IF(Raw!A337="","",Raw!A337)&amp;"|"&amp;LEN(IF(Raw!B337="","",Raw!B337))&amp;":"&amp;IF(Raw!B337="","",Raw!B337)&amp;"|"&amp;LEN(IF(Raw!C337="","",Raw!C337))&amp;":"&amp;IF(Raw!C337="","",Raw!C337)&amp;"|"&amp;LEN(IF(Raw!D337="","",Raw!D337))&amp;":"&amp;IF(Raw!D337="","",Raw!D337)&amp;"|"&amp;LEN(IF(Raw!E337="","",Raw!E337))&amp;":"&amp;IF(Raw!E337="","",Raw!E337)&amp;"|"&amp;LEN(IF(Raw!F337="","",Raw!F337))&amp;":"&amp;IF(Raw!F337="","",Raw!F337)&amp;"|"&amp;LEN(IF(Raw!G337="","",Raw!G337))&amp;":"&amp;IF(Raw!G337="","",Raw!G337)</f>
        <v>6:L00331|6:T00166|10:2026-03-17|3:P-A|11:Accessories|4:sale|4:7.09</v>
      </c>
      <c r="Q337" s="1">
        <f>1</f>
        <v>1</v>
      </c>
      <c r="R337" s="1" t="b">
        <f>FALSE</f>
        <v>0</v>
      </c>
      <c r="S337" s="1">
        <f>1</f>
        <v>1</v>
      </c>
      <c r="T337" s="1" t="str">
        <f>IF(AND(Raw!A337="",Raw!B337="",Raw!C337="",Raw!D337="",Raw!E337="",Raw!F337="",Raw!G337=""),"UNUSED",IF(A337="","missing line ID",IF(B337="","missing transaction ID",IF(G337="",IF(C337="","missing date","invalid date"),IF(I337="","unknown product",IF(J337="","conflicting category",IF(NOT(OR(EXACT(K337,"sale"),EXACT(K337,"refund"))),"unknown event",IF(OR(N337="",NOT(O337)),"invalid amount",IF(OR(AND(K337="sale",N337&lt;=0),AND(K337="refund",N337&gt;=0)),"invalid sign","")))))))))</f>
        <v/>
      </c>
      <c r="U337" s="1" t="str">
        <f t="shared" si="45"/>
        <v>INCLUDED</v>
      </c>
      <c r="V337" s="1" t="str">
        <f t="shared" si="46"/>
        <v>2026-03</v>
      </c>
      <c r="W337" s="1">
        <f>IF(AND(U337="INCLUDED",X337&gt;0,EXACT(A337,'AI output'!A337)),1,0)</f>
        <v>1</v>
      </c>
      <c r="X337" s="1">
        <f>337</f>
        <v>337</v>
      </c>
      <c r="Y337" s="1">
        <f>IF(AND(U337="INCLUDED",W337=1),--(NOT(EXACT(A337,'AI output'!A337)))+--(NOT(EXACT(B337,'AI output'!B337)))+--(NOT(EXACT(TEXT(G337,"yyyy-mm-dd"),'AI output'!C337)))+--(NOT(EXACT(H337,'AI output'!D337)))+--(NOT(EXACT(J337,'AI output'!E337)))+--(NOT(EXACT(K337,'AI output'!F337)))+--(N337&lt;&gt;'AI output'!L337)+--(NOT('AI output'!M337)),0)</f>
        <v>0</v>
      </c>
      <c r="Z337" s="1">
        <f t="shared" si="47"/>
        <v>0</v>
      </c>
      <c r="AA337" s="1">
        <f>--EXACT(A337,"L00331")</f>
        <v>1</v>
      </c>
    </row>
    <row r="338" spans="1:27" ht="18.95" customHeight="1">
      <c r="A338" s="1" t="str">
        <f>IF(Raw!A338="","",Raw!A338)</f>
        <v>L00332</v>
      </c>
      <c r="B338" s="1" t="str">
        <f>IF(Raw!B338="","",Raw!B338)</f>
        <v>T00166</v>
      </c>
      <c r="C338" s="1" t="str">
        <f>IF(Raw!C338="","",Raw!C338)</f>
        <v>2026-03-17</v>
      </c>
      <c r="D338" s="1">
        <f t="shared" si="40"/>
        <v>2026</v>
      </c>
      <c r="E338" s="1">
        <f>IFERROR(IF(AND(LEN(C338)=10,MID(C338,5,1)="-",MID(C338,8,1)="-"),VALUE(MID(C338,6,2)),IF(AND(LEN(C338)=11,MID(C338,3,1)="-",MID(C338,7,1)="-"),MATCH(UPPER(MID(C338,4,3)),Guide!$D$7:$D$18,0),0)),0)</f>
        <v>3</v>
      </c>
      <c r="F338" s="1">
        <f t="shared" si="41"/>
        <v>17</v>
      </c>
      <c r="G338" s="9">
        <f t="shared" si="42"/>
        <v>46098</v>
      </c>
      <c r="H338" s="1" t="str">
        <f>IF(Raw!D338="","",Raw!D338)</f>
        <v>P-H</v>
      </c>
      <c r="I338" s="1" t="str">
        <f>IFERROR(IF(EXACT(H338,INDEX(Guide!$A$7:$A$9,MATCH(SUBSTITUTE(SUBSTITUTE(SUBSTITUTE(H338,"~","~~"),"*","~*"),"?","~?"),Guide!$A$7:$A$9,0))),INDEX(Guide!$B$7:$B$9,MATCH(SUBSTITUTE(SUBSTITUTE(SUBSTITUTE(H338,"~","~~"),"*","~*"),"?","~?"),Guide!$A$7:$A$9,0)),""),"")</f>
        <v>Home</v>
      </c>
      <c r="J338" s="1" t="str">
        <f>IF(TRIM(Raw!E338)="",I338,IF(UPPER(TRIM(Raw!E338))=UPPER(I338),I338,""))</f>
        <v>Home</v>
      </c>
      <c r="K338" s="1" t="str">
        <f>IF(Raw!F338="","",Raw!F338)</f>
        <v>sale</v>
      </c>
      <c r="L338" s="1" t="str">
        <f>IF(LEFT(TRIM(Raw!G338),2)="-$","-"&amp;MID(TRIM(Raw!G338),3,99),IF(LEFT(TRIM(Raw!G338),1)="$",MID(TRIM(Raw!G338),2,99),TRIM(Raw!G338)))</f>
        <v>22.38</v>
      </c>
      <c r="M338" s="1">
        <f t="shared" si="43"/>
        <v>22.38</v>
      </c>
      <c r="N338" s="10">
        <f t="shared" si="44"/>
        <v>2238</v>
      </c>
      <c r="O338" s="1" t="b">
        <f>IFERROR(IF(ISNUMBER(Raw!G338),TRUE,OR(EXACT(L338,TEXT(M338,"0.00")),EXACT(L338,TEXT(M338,"#,##0.00")))),FALSE)</f>
        <v>1</v>
      </c>
      <c r="P338" s="1" t="str">
        <f>LEN(IF(Raw!A338="","",Raw!A338))&amp;":"&amp;IF(Raw!A338="","",Raw!A338)&amp;"|"&amp;LEN(IF(Raw!B338="","",Raw!B338))&amp;":"&amp;IF(Raw!B338="","",Raw!B338)&amp;"|"&amp;LEN(IF(Raw!C338="","",Raw!C338))&amp;":"&amp;IF(Raw!C338="","",Raw!C338)&amp;"|"&amp;LEN(IF(Raw!D338="","",Raw!D338))&amp;":"&amp;IF(Raw!D338="","",Raw!D338)&amp;"|"&amp;LEN(IF(Raw!E338="","",Raw!E338))&amp;":"&amp;IF(Raw!E338="","",Raw!E338)&amp;"|"&amp;LEN(IF(Raw!F338="","",Raw!F338))&amp;":"&amp;IF(Raw!F338="","",Raw!F338)&amp;"|"&amp;LEN(IF(Raw!G338="","",Raw!G338))&amp;":"&amp;IF(Raw!G338="","",Raw!G338)</f>
        <v>6:L00332|6:T00166|10:2026-03-17|3:P-H|4:Home|4:sale|6:$22.38</v>
      </c>
      <c r="Q338" s="1">
        <f>1</f>
        <v>1</v>
      </c>
      <c r="R338" s="1" t="b">
        <f>FALSE</f>
        <v>0</v>
      </c>
      <c r="S338" s="1">
        <f>1</f>
        <v>1</v>
      </c>
      <c r="T338" s="1" t="str">
        <f>IF(AND(Raw!A338="",Raw!B338="",Raw!C338="",Raw!D338="",Raw!E338="",Raw!F338="",Raw!G338=""),"UNUSED",IF(A338="","missing line ID",IF(B338="","missing transaction ID",IF(G338="",IF(C338="","missing date","invalid date"),IF(I338="","unknown product",IF(J338="","conflicting category",IF(NOT(OR(EXACT(K338,"sale"),EXACT(K338,"refund"))),"unknown event",IF(OR(N338="",NOT(O338)),"invalid amount",IF(OR(AND(K338="sale",N338&lt;=0),AND(K338="refund",N338&gt;=0)),"invalid sign","")))))))))</f>
        <v/>
      </c>
      <c r="U338" s="1" t="str">
        <f t="shared" si="45"/>
        <v>INCLUDED</v>
      </c>
      <c r="V338" s="1" t="str">
        <f t="shared" si="46"/>
        <v>2026-03</v>
      </c>
      <c r="W338" s="1">
        <f>IF(AND(U338="INCLUDED",X338&gt;0,EXACT(A338,'AI output'!A338)),1,0)</f>
        <v>1</v>
      </c>
      <c r="X338" s="1">
        <f>338</f>
        <v>338</v>
      </c>
      <c r="Y338" s="1">
        <f>IF(AND(U338="INCLUDED",W338=1),--(NOT(EXACT(A338,'AI output'!A338)))+--(NOT(EXACT(B338,'AI output'!B338)))+--(NOT(EXACT(TEXT(G338,"yyyy-mm-dd"),'AI output'!C338)))+--(NOT(EXACT(H338,'AI output'!D338)))+--(NOT(EXACT(J338,'AI output'!E338)))+--(NOT(EXACT(K338,'AI output'!F338)))+--(N338&lt;&gt;'AI output'!L338)+--(NOT('AI output'!M338)),0)</f>
        <v>0</v>
      </c>
      <c r="Z338" s="1">
        <f t="shared" si="47"/>
        <v>0</v>
      </c>
      <c r="AA338" s="1">
        <f>--EXACT(A338,"L00332")</f>
        <v>1</v>
      </c>
    </row>
    <row r="339" spans="1:27" ht="18.95" customHeight="1">
      <c r="A339" s="1" t="str">
        <f>IF(Raw!A339="","",Raw!A339)</f>
        <v>L00333</v>
      </c>
      <c r="B339" s="1" t="str">
        <f>IF(Raw!B339="","",Raw!B339)</f>
        <v>T00167</v>
      </c>
      <c r="C339" s="1" t="str">
        <f>IF(Raw!C339="","",Raw!C339)</f>
        <v>2026-03-24</v>
      </c>
      <c r="D339" s="1">
        <f t="shared" si="40"/>
        <v>2026</v>
      </c>
      <c r="E339" s="1">
        <f>IFERROR(IF(AND(LEN(C339)=10,MID(C339,5,1)="-",MID(C339,8,1)="-"),VALUE(MID(C339,6,2)),IF(AND(LEN(C339)=11,MID(C339,3,1)="-",MID(C339,7,1)="-"),MATCH(UPPER(MID(C339,4,3)),Guide!$D$7:$D$18,0),0)),0)</f>
        <v>3</v>
      </c>
      <c r="F339" s="1">
        <f t="shared" si="41"/>
        <v>24</v>
      </c>
      <c r="G339" s="9">
        <f t="shared" si="42"/>
        <v>46105</v>
      </c>
      <c r="H339" s="1" t="str">
        <f>IF(Raw!D339="","",Raw!D339)</f>
        <v>P-O</v>
      </c>
      <c r="I339" s="1" t="str">
        <f>IFERROR(IF(EXACT(H339,INDEX(Guide!$A$7:$A$9,MATCH(SUBSTITUTE(SUBSTITUTE(SUBSTITUTE(H339,"~","~~"),"*","~*"),"?","~?"),Guide!$A$7:$A$9,0))),INDEX(Guide!$B$7:$B$9,MATCH(SUBSTITUTE(SUBSTITUTE(SUBSTITUTE(H339,"~","~~"),"*","~*"),"?","~?"),Guide!$A$7:$A$9,0)),""),"")</f>
        <v>Office</v>
      </c>
      <c r="J339" s="1" t="str">
        <f>IF(TRIM(Raw!E339)="",I339,IF(UPPER(TRIM(Raw!E339))=UPPER(I339),I339,""))</f>
        <v>Office</v>
      </c>
      <c r="K339" s="1" t="str">
        <f>IF(Raw!F339="","",Raw!F339)</f>
        <v>sale</v>
      </c>
      <c r="L339" s="1" t="str">
        <f>IF(LEFT(TRIM(Raw!G339),2)="-$","-"&amp;MID(TRIM(Raw!G339),3,99),IF(LEFT(TRIM(Raw!G339),1)="$",MID(TRIM(Raw!G339),2,99),TRIM(Raw!G339)))</f>
        <v>39.15</v>
      </c>
      <c r="M339" s="1">
        <f t="shared" si="43"/>
        <v>39.15</v>
      </c>
      <c r="N339" s="10">
        <f t="shared" si="44"/>
        <v>3915</v>
      </c>
      <c r="O339" s="1" t="b">
        <f>IFERROR(IF(ISNUMBER(Raw!G339),TRUE,OR(EXACT(L339,TEXT(M339,"0.00")),EXACT(L339,TEXT(M339,"#,##0.00")))),FALSE)</f>
        <v>1</v>
      </c>
      <c r="P339" s="1" t="str">
        <f>LEN(IF(Raw!A339="","",Raw!A339))&amp;":"&amp;IF(Raw!A339="","",Raw!A339)&amp;"|"&amp;LEN(IF(Raw!B339="","",Raw!B339))&amp;":"&amp;IF(Raw!B339="","",Raw!B339)&amp;"|"&amp;LEN(IF(Raw!C339="","",Raw!C339))&amp;":"&amp;IF(Raw!C339="","",Raw!C339)&amp;"|"&amp;LEN(IF(Raw!D339="","",Raw!D339))&amp;":"&amp;IF(Raw!D339="","",Raw!D339)&amp;"|"&amp;LEN(IF(Raw!E339="","",Raw!E339))&amp;":"&amp;IF(Raw!E339="","",Raw!E339)&amp;"|"&amp;LEN(IF(Raw!F339="","",Raw!F339))&amp;":"&amp;IF(Raw!F339="","",Raw!F339)&amp;"|"&amp;LEN(IF(Raw!G339="","",Raw!G339))&amp;":"&amp;IF(Raw!G339="","",Raw!G339)</f>
        <v>6:L00333|6:T00167|10:2026-03-24|3:P-O|6:Office|4:sale|5:39.15</v>
      </c>
      <c r="Q339" s="1">
        <f>1</f>
        <v>1</v>
      </c>
      <c r="R339" s="1" t="b">
        <f>FALSE</f>
        <v>0</v>
      </c>
      <c r="S339" s="1">
        <f>1</f>
        <v>1</v>
      </c>
      <c r="T339" s="1" t="str">
        <f>IF(AND(Raw!A339="",Raw!B339="",Raw!C339="",Raw!D339="",Raw!E339="",Raw!F339="",Raw!G339=""),"UNUSED",IF(A339="","missing line ID",IF(B339="","missing transaction ID",IF(G339="",IF(C339="","missing date","invalid date"),IF(I339="","unknown product",IF(J339="","conflicting category",IF(NOT(OR(EXACT(K339,"sale"),EXACT(K339,"refund"))),"unknown event",IF(OR(N339="",NOT(O339)),"invalid amount",IF(OR(AND(K339="sale",N339&lt;=0),AND(K339="refund",N339&gt;=0)),"invalid sign","")))))))))</f>
        <v/>
      </c>
      <c r="U339" s="1" t="str">
        <f t="shared" si="45"/>
        <v>INCLUDED</v>
      </c>
      <c r="V339" s="1" t="str">
        <f t="shared" si="46"/>
        <v>2026-03</v>
      </c>
      <c r="W339" s="1">
        <f>IF(AND(U339="INCLUDED",X339&gt;0,EXACT(A339,'AI output'!A339)),1,0)</f>
        <v>1</v>
      </c>
      <c r="X339" s="1">
        <f>339</f>
        <v>339</v>
      </c>
      <c r="Y339" s="1">
        <f>IF(AND(U339="INCLUDED",W339=1),--(NOT(EXACT(A339,'AI output'!A339)))+--(NOT(EXACT(B339,'AI output'!B339)))+--(NOT(EXACT(TEXT(G339,"yyyy-mm-dd"),'AI output'!C339)))+--(NOT(EXACT(H339,'AI output'!D339)))+--(NOT(EXACT(J339,'AI output'!E339)))+--(NOT(EXACT(K339,'AI output'!F339)))+--(N339&lt;&gt;'AI output'!L339)+--(NOT('AI output'!M339)),0)</f>
        <v>0</v>
      </c>
      <c r="Z339" s="1">
        <f t="shared" si="47"/>
        <v>0</v>
      </c>
      <c r="AA339" s="1">
        <f>--EXACT(A339,"L00333")</f>
        <v>1</v>
      </c>
    </row>
    <row r="340" spans="1:27" ht="18.95" customHeight="1">
      <c r="A340" s="1" t="str">
        <f>IF(Raw!A340="","",Raw!A340)</f>
        <v>L00334</v>
      </c>
      <c r="B340" s="1" t="str">
        <f>IF(Raw!B340="","",Raw!B340)</f>
        <v>T00167</v>
      </c>
      <c r="C340" s="1" t="str">
        <f>IF(Raw!C340="","",Raw!C340)</f>
        <v>2026-03-24</v>
      </c>
      <c r="D340" s="1">
        <f t="shared" si="40"/>
        <v>2026</v>
      </c>
      <c r="E340" s="1">
        <f>IFERROR(IF(AND(LEN(C340)=10,MID(C340,5,1)="-",MID(C340,8,1)="-"),VALUE(MID(C340,6,2)),IF(AND(LEN(C340)=11,MID(C340,3,1)="-",MID(C340,7,1)="-"),MATCH(UPPER(MID(C340,4,3)),Guide!$D$7:$D$18,0),0)),0)</f>
        <v>3</v>
      </c>
      <c r="F340" s="1">
        <f t="shared" si="41"/>
        <v>24</v>
      </c>
      <c r="G340" s="9">
        <f t="shared" si="42"/>
        <v>46105</v>
      </c>
      <c r="H340" s="1" t="str">
        <f>IF(Raw!D340="","",Raw!D340)</f>
        <v>P-A</v>
      </c>
      <c r="I340" s="1" t="str">
        <f>IFERROR(IF(EXACT(H340,INDEX(Guide!$A$7:$A$9,MATCH(SUBSTITUTE(SUBSTITUTE(SUBSTITUTE(H340,"~","~~"),"*","~*"),"?","~?"),Guide!$A$7:$A$9,0))),INDEX(Guide!$B$7:$B$9,MATCH(SUBSTITUTE(SUBSTITUTE(SUBSTITUTE(H340,"~","~~"),"*","~*"),"?","~?"),Guide!$A$7:$A$9,0)),""),"")</f>
        <v>Accessories</v>
      </c>
      <c r="J340" s="1" t="str">
        <f>IF(TRIM(Raw!E340)="",I340,IF(UPPER(TRIM(Raw!E340))=UPPER(I340),I340,""))</f>
        <v>Accessories</v>
      </c>
      <c r="K340" s="1" t="str">
        <f>IF(Raw!F340="","",Raw!F340)</f>
        <v>sale</v>
      </c>
      <c r="L340" s="1" t="str">
        <f>IF(LEFT(TRIM(Raw!G340),2)="-$","-"&amp;MID(TRIM(Raw!G340),3,99),IF(LEFT(TRIM(Raw!G340),1)="$",MID(TRIM(Raw!G340),2,99),TRIM(Raw!G340)))</f>
        <v>16.40</v>
      </c>
      <c r="M340" s="1">
        <f t="shared" si="43"/>
        <v>16.399999999999999</v>
      </c>
      <c r="N340" s="10">
        <f t="shared" si="44"/>
        <v>1640</v>
      </c>
      <c r="O340" s="1" t="b">
        <f>IFERROR(IF(ISNUMBER(Raw!G340),TRUE,OR(EXACT(L340,TEXT(M340,"0.00")),EXACT(L340,TEXT(M340,"#,##0.00")))),FALSE)</f>
        <v>1</v>
      </c>
      <c r="P340" s="1" t="str">
        <f>LEN(IF(Raw!A340="","",Raw!A340))&amp;":"&amp;IF(Raw!A340="","",Raw!A340)&amp;"|"&amp;LEN(IF(Raw!B340="","",Raw!B340))&amp;":"&amp;IF(Raw!B340="","",Raw!B340)&amp;"|"&amp;LEN(IF(Raw!C340="","",Raw!C340))&amp;":"&amp;IF(Raw!C340="","",Raw!C340)&amp;"|"&amp;LEN(IF(Raw!D340="","",Raw!D340))&amp;":"&amp;IF(Raw!D340="","",Raw!D340)&amp;"|"&amp;LEN(IF(Raw!E340="","",Raw!E340))&amp;":"&amp;IF(Raw!E340="","",Raw!E340)&amp;"|"&amp;LEN(IF(Raw!F340="","",Raw!F340))&amp;":"&amp;IF(Raw!F340="","",Raw!F340)&amp;"|"&amp;LEN(IF(Raw!G340="","",Raw!G340))&amp;":"&amp;IF(Raw!G340="","",Raw!G340)</f>
        <v>6:L00334|6:T00167|10:2026-03-24|3:P-A|11:Accessories|4:sale|5:16.40</v>
      </c>
      <c r="Q340" s="1">
        <f>1</f>
        <v>1</v>
      </c>
      <c r="R340" s="1" t="b">
        <f>FALSE</f>
        <v>0</v>
      </c>
      <c r="S340" s="1">
        <f>1</f>
        <v>1</v>
      </c>
      <c r="T340" s="1" t="str">
        <f>IF(AND(Raw!A340="",Raw!B340="",Raw!C340="",Raw!D340="",Raw!E340="",Raw!F340="",Raw!G340=""),"UNUSED",IF(A340="","missing line ID",IF(B340="","missing transaction ID",IF(G340="",IF(C340="","missing date","invalid date"),IF(I340="","unknown product",IF(J340="","conflicting category",IF(NOT(OR(EXACT(K340,"sale"),EXACT(K340,"refund"))),"unknown event",IF(OR(N340="",NOT(O340)),"invalid amount",IF(OR(AND(K340="sale",N340&lt;=0),AND(K340="refund",N340&gt;=0)),"invalid sign","")))))))))</f>
        <v/>
      </c>
      <c r="U340" s="1" t="str">
        <f t="shared" si="45"/>
        <v>INCLUDED</v>
      </c>
      <c r="V340" s="1" t="str">
        <f t="shared" si="46"/>
        <v>2026-03</v>
      </c>
      <c r="W340" s="1">
        <f>IF(AND(U340="INCLUDED",X340&gt;0,EXACT(A340,'AI output'!A340)),1,0)</f>
        <v>1</v>
      </c>
      <c r="X340" s="1">
        <f>340</f>
        <v>340</v>
      </c>
      <c r="Y340" s="1">
        <f>IF(AND(U340="INCLUDED",W340=1),--(NOT(EXACT(A340,'AI output'!A340)))+--(NOT(EXACT(B340,'AI output'!B340)))+--(NOT(EXACT(TEXT(G340,"yyyy-mm-dd"),'AI output'!C340)))+--(NOT(EXACT(H340,'AI output'!D340)))+--(NOT(EXACT(J340,'AI output'!E340)))+--(NOT(EXACT(K340,'AI output'!F340)))+--(N340&lt;&gt;'AI output'!L340)+--(NOT('AI output'!M340)),0)</f>
        <v>0</v>
      </c>
      <c r="Z340" s="1">
        <f t="shared" si="47"/>
        <v>0</v>
      </c>
      <c r="AA340" s="1">
        <f>--EXACT(A340,"L00334")</f>
        <v>1</v>
      </c>
    </row>
    <row r="341" spans="1:27" ht="18.95" customHeight="1">
      <c r="A341" s="1" t="str">
        <f>IF(Raw!A341="","",Raw!A341)</f>
        <v>L00335</v>
      </c>
      <c r="B341" s="1" t="str">
        <f>IF(Raw!B341="","",Raw!B341)</f>
        <v>T00168</v>
      </c>
      <c r="C341" s="1" t="str">
        <f>IF(Raw!C341="","",Raw!C341)</f>
        <v>2026-03-31</v>
      </c>
      <c r="D341" s="1">
        <f t="shared" si="40"/>
        <v>2026</v>
      </c>
      <c r="E341" s="1">
        <f>IFERROR(IF(AND(LEN(C341)=10,MID(C341,5,1)="-",MID(C341,8,1)="-"),VALUE(MID(C341,6,2)),IF(AND(LEN(C341)=11,MID(C341,3,1)="-",MID(C341,7,1)="-"),MATCH(UPPER(MID(C341,4,3)),Guide!$D$7:$D$18,0),0)),0)</f>
        <v>3</v>
      </c>
      <c r="F341" s="1">
        <f t="shared" si="41"/>
        <v>31</v>
      </c>
      <c r="G341" s="9">
        <f t="shared" si="42"/>
        <v>46112</v>
      </c>
      <c r="H341" s="1" t="str">
        <f>IF(Raw!D341="","",Raw!D341)</f>
        <v>P-H</v>
      </c>
      <c r="I341" s="1" t="str">
        <f>IFERROR(IF(EXACT(H341,INDEX(Guide!$A$7:$A$9,MATCH(SUBSTITUTE(SUBSTITUTE(SUBSTITUTE(H341,"~","~~"),"*","~*"),"?","~?"),Guide!$A$7:$A$9,0))),INDEX(Guide!$B$7:$B$9,MATCH(SUBSTITUTE(SUBSTITUTE(SUBSTITUTE(H341,"~","~~"),"*","~*"),"?","~?"),Guide!$A$7:$A$9,0)),""),"")</f>
        <v>Home</v>
      </c>
      <c r="J341" s="1" t="str">
        <f>IF(TRIM(Raw!E341)="",I341,IF(UPPER(TRIM(Raw!E341))=UPPER(I341),I341,""))</f>
        <v>Home</v>
      </c>
      <c r="K341" s="1" t="str">
        <f>IF(Raw!F341="","",Raw!F341)</f>
        <v>sale</v>
      </c>
      <c r="L341" s="1" t="str">
        <f>IF(LEFT(TRIM(Raw!G341),2)="-$","-"&amp;MID(TRIM(Raw!G341),3,99),IF(LEFT(TRIM(Raw!G341),1)="$",MID(TRIM(Raw!G341),2,99),TRIM(Raw!G341)))</f>
        <v>34.28</v>
      </c>
      <c r="M341" s="1">
        <f t="shared" si="43"/>
        <v>34.28</v>
      </c>
      <c r="N341" s="10">
        <f t="shared" si="44"/>
        <v>3428</v>
      </c>
      <c r="O341" s="1" t="b">
        <f>IFERROR(IF(ISNUMBER(Raw!G341),TRUE,OR(EXACT(L341,TEXT(M341,"0.00")),EXACT(L341,TEXT(M341,"#,##0.00")))),FALSE)</f>
        <v>1</v>
      </c>
      <c r="P341" s="1" t="str">
        <f>LEN(IF(Raw!A341="","",Raw!A341))&amp;":"&amp;IF(Raw!A341="","",Raw!A341)&amp;"|"&amp;LEN(IF(Raw!B341="","",Raw!B341))&amp;":"&amp;IF(Raw!B341="","",Raw!B341)&amp;"|"&amp;LEN(IF(Raw!C341="","",Raw!C341))&amp;":"&amp;IF(Raw!C341="","",Raw!C341)&amp;"|"&amp;LEN(IF(Raw!D341="","",Raw!D341))&amp;":"&amp;IF(Raw!D341="","",Raw!D341)&amp;"|"&amp;LEN(IF(Raw!E341="","",Raw!E341))&amp;":"&amp;IF(Raw!E341="","",Raw!E341)&amp;"|"&amp;LEN(IF(Raw!F341="","",Raw!F341))&amp;":"&amp;IF(Raw!F341="","",Raw!F341)&amp;"|"&amp;LEN(IF(Raw!G341="","",Raw!G341))&amp;":"&amp;IF(Raw!G341="","",Raw!G341)</f>
        <v>6:L00335|6:T00168|10:2026-03-31|3:P-H|4:Home|4:sale|5:34.28</v>
      </c>
      <c r="Q341" s="1">
        <f>1</f>
        <v>1</v>
      </c>
      <c r="R341" s="1" t="b">
        <f>FALSE</f>
        <v>0</v>
      </c>
      <c r="S341" s="1">
        <f>1</f>
        <v>1</v>
      </c>
      <c r="T341" s="1" t="str">
        <f>IF(AND(Raw!A341="",Raw!B341="",Raw!C341="",Raw!D341="",Raw!E341="",Raw!F341="",Raw!G341=""),"UNUSED",IF(A341="","missing line ID",IF(B341="","missing transaction ID",IF(G341="",IF(C341="","missing date","invalid date"),IF(I341="","unknown product",IF(J341="","conflicting category",IF(NOT(OR(EXACT(K341,"sale"),EXACT(K341,"refund"))),"unknown event",IF(OR(N341="",NOT(O341)),"invalid amount",IF(OR(AND(K341="sale",N341&lt;=0),AND(K341="refund",N341&gt;=0)),"invalid sign","")))))))))</f>
        <v/>
      </c>
      <c r="U341" s="1" t="str">
        <f t="shared" si="45"/>
        <v>INCLUDED</v>
      </c>
      <c r="V341" s="1" t="str">
        <f t="shared" si="46"/>
        <v>2026-03</v>
      </c>
      <c r="W341" s="1">
        <f>IF(AND(U341="INCLUDED",X341&gt;0,EXACT(A341,'AI output'!A341)),1,0)</f>
        <v>1</v>
      </c>
      <c r="X341" s="1">
        <f>341</f>
        <v>341</v>
      </c>
      <c r="Y341" s="1">
        <f>IF(AND(U341="INCLUDED",W341=1),--(NOT(EXACT(A341,'AI output'!A341)))+--(NOT(EXACT(B341,'AI output'!B341)))+--(NOT(EXACT(TEXT(G341,"yyyy-mm-dd"),'AI output'!C341)))+--(NOT(EXACT(H341,'AI output'!D341)))+--(NOT(EXACT(J341,'AI output'!E341)))+--(NOT(EXACT(K341,'AI output'!F341)))+--(N341&lt;&gt;'AI output'!L341)+--(NOT('AI output'!M341)),0)</f>
        <v>0</v>
      </c>
      <c r="Z341" s="1">
        <f t="shared" si="47"/>
        <v>0</v>
      </c>
      <c r="AA341" s="1">
        <f>--EXACT(A341,"L00335")</f>
        <v>1</v>
      </c>
    </row>
    <row r="342" spans="1:27" ht="18.95" customHeight="1">
      <c r="A342" s="1" t="str">
        <f>IF(Raw!A342="","",Raw!A342)</f>
        <v>L00336</v>
      </c>
      <c r="B342" s="1" t="str">
        <f>IF(Raw!B342="","",Raw!B342)</f>
        <v>T00168</v>
      </c>
      <c r="C342" s="1" t="str">
        <f>IF(Raw!C342="","",Raw!C342)</f>
        <v>2026-03-31</v>
      </c>
      <c r="D342" s="1">
        <f t="shared" si="40"/>
        <v>2026</v>
      </c>
      <c r="E342" s="1">
        <f>IFERROR(IF(AND(LEN(C342)=10,MID(C342,5,1)="-",MID(C342,8,1)="-"),VALUE(MID(C342,6,2)),IF(AND(LEN(C342)=11,MID(C342,3,1)="-",MID(C342,7,1)="-"),MATCH(UPPER(MID(C342,4,3)),Guide!$D$7:$D$18,0),0)),0)</f>
        <v>3</v>
      </c>
      <c r="F342" s="1">
        <f t="shared" si="41"/>
        <v>31</v>
      </c>
      <c r="G342" s="9">
        <f t="shared" si="42"/>
        <v>46112</v>
      </c>
      <c r="H342" s="1" t="str">
        <f>IF(Raw!D342="","",Raw!D342)</f>
        <v>P-O</v>
      </c>
      <c r="I342" s="1" t="str">
        <f>IFERROR(IF(EXACT(H342,INDEX(Guide!$A$7:$A$9,MATCH(SUBSTITUTE(SUBSTITUTE(SUBSTITUTE(H342,"~","~~"),"*","~*"),"?","~?"),Guide!$A$7:$A$9,0))),INDEX(Guide!$B$7:$B$9,MATCH(SUBSTITUTE(SUBSTITUTE(SUBSTITUTE(H342,"~","~~"),"*","~*"),"?","~?"),Guide!$A$7:$A$9,0)),""),"")</f>
        <v>Office</v>
      </c>
      <c r="J342" s="1" t="str">
        <f>IF(TRIM(Raw!E342)="",I342,IF(UPPER(TRIM(Raw!E342))=UPPER(I342),I342,""))</f>
        <v>Office</v>
      </c>
      <c r="K342" s="1" t="str">
        <f>IF(Raw!F342="","",Raw!F342)</f>
        <v>sale</v>
      </c>
      <c r="L342" s="1" t="str">
        <f>IF(LEFT(TRIM(Raw!G342),2)="-$","-"&amp;MID(TRIM(Raw!G342),3,99),IF(LEFT(TRIM(Raw!G342),1)="$",MID(TRIM(Raw!G342),2,99),TRIM(Raw!G342)))</f>
        <v>8.94</v>
      </c>
      <c r="M342" s="1">
        <f t="shared" si="43"/>
        <v>8.94</v>
      </c>
      <c r="N342" s="10">
        <f t="shared" si="44"/>
        <v>894</v>
      </c>
      <c r="O342" s="1" t="b">
        <f>IFERROR(IF(ISNUMBER(Raw!G342),TRUE,OR(EXACT(L342,TEXT(M342,"0.00")),EXACT(L342,TEXT(M342,"#,##0.00")))),FALSE)</f>
        <v>1</v>
      </c>
      <c r="P342" s="1" t="str">
        <f>LEN(IF(Raw!A342="","",Raw!A342))&amp;":"&amp;IF(Raw!A342="","",Raw!A342)&amp;"|"&amp;LEN(IF(Raw!B342="","",Raw!B342))&amp;":"&amp;IF(Raw!B342="","",Raw!B342)&amp;"|"&amp;LEN(IF(Raw!C342="","",Raw!C342))&amp;":"&amp;IF(Raw!C342="","",Raw!C342)&amp;"|"&amp;LEN(IF(Raw!D342="","",Raw!D342))&amp;":"&amp;IF(Raw!D342="","",Raw!D342)&amp;"|"&amp;LEN(IF(Raw!E342="","",Raw!E342))&amp;":"&amp;IF(Raw!E342="","",Raw!E342)&amp;"|"&amp;LEN(IF(Raw!F342="","",Raw!F342))&amp;":"&amp;IF(Raw!F342="","",Raw!F342)&amp;"|"&amp;LEN(IF(Raw!G342="","",Raw!G342))&amp;":"&amp;IF(Raw!G342="","",Raw!G342)</f>
        <v>6:L00336|6:T00168|10:2026-03-31|3:P-O|6:Office|4:sale|4:8.94</v>
      </c>
      <c r="Q342" s="1">
        <f>1</f>
        <v>1</v>
      </c>
      <c r="R342" s="1" t="b">
        <f>FALSE</f>
        <v>0</v>
      </c>
      <c r="S342" s="1">
        <f>1</f>
        <v>1</v>
      </c>
      <c r="T342" s="1" t="str">
        <f>IF(AND(Raw!A342="",Raw!B342="",Raw!C342="",Raw!D342="",Raw!E342="",Raw!F342="",Raw!G342=""),"UNUSED",IF(A342="","missing line ID",IF(B342="","missing transaction ID",IF(G342="",IF(C342="","missing date","invalid date"),IF(I342="","unknown product",IF(J342="","conflicting category",IF(NOT(OR(EXACT(K342,"sale"),EXACT(K342,"refund"))),"unknown event",IF(OR(N342="",NOT(O342)),"invalid amount",IF(OR(AND(K342="sale",N342&lt;=0),AND(K342="refund",N342&gt;=0)),"invalid sign","")))))))))</f>
        <v/>
      </c>
      <c r="U342" s="1" t="str">
        <f t="shared" si="45"/>
        <v>INCLUDED</v>
      </c>
      <c r="V342" s="1" t="str">
        <f t="shared" si="46"/>
        <v>2026-03</v>
      </c>
      <c r="W342" s="1">
        <f>IF(AND(U342="INCLUDED",X342&gt;0,EXACT(A342,'AI output'!A342)),1,0)</f>
        <v>1</v>
      </c>
      <c r="X342" s="1">
        <f>342</f>
        <v>342</v>
      </c>
      <c r="Y342" s="1">
        <f>IF(AND(U342="INCLUDED",W342=1),--(NOT(EXACT(A342,'AI output'!A342)))+--(NOT(EXACT(B342,'AI output'!B342)))+--(NOT(EXACT(TEXT(G342,"yyyy-mm-dd"),'AI output'!C342)))+--(NOT(EXACT(H342,'AI output'!D342)))+--(NOT(EXACT(J342,'AI output'!E342)))+--(NOT(EXACT(K342,'AI output'!F342)))+--(N342&lt;&gt;'AI output'!L342)+--(NOT('AI output'!M342)),0)</f>
        <v>0</v>
      </c>
      <c r="Z342" s="1">
        <f t="shared" si="47"/>
        <v>0</v>
      </c>
      <c r="AA342" s="1">
        <f>--EXACT(A342,"L00336")</f>
        <v>1</v>
      </c>
    </row>
    <row r="343" spans="1:27" ht="18.95" customHeight="1">
      <c r="A343" s="1" t="str">
        <f>IF(Raw!A343="","",Raw!A343)</f>
        <v>L00337</v>
      </c>
      <c r="B343" s="1" t="str">
        <f>IF(Raw!B343="","",Raw!B343)</f>
        <v>T00169</v>
      </c>
      <c r="C343" s="1" t="str">
        <f>IF(Raw!C343="","",Raw!C343)</f>
        <v>2026-01-07</v>
      </c>
      <c r="D343" s="1">
        <f t="shared" si="40"/>
        <v>2026</v>
      </c>
      <c r="E343" s="1">
        <f>IFERROR(IF(AND(LEN(C343)=10,MID(C343,5,1)="-",MID(C343,8,1)="-"),VALUE(MID(C343,6,2)),IF(AND(LEN(C343)=11,MID(C343,3,1)="-",MID(C343,7,1)="-"),MATCH(UPPER(MID(C343,4,3)),Guide!$D$7:$D$18,0),0)),0)</f>
        <v>1</v>
      </c>
      <c r="F343" s="1">
        <f t="shared" si="41"/>
        <v>7</v>
      </c>
      <c r="G343" s="9">
        <f t="shared" si="42"/>
        <v>46029</v>
      </c>
      <c r="H343" s="1" t="str">
        <f>IF(Raw!D343="","",Raw!D343)</f>
        <v>P-A</v>
      </c>
      <c r="I343" s="1" t="str">
        <f>IFERROR(IF(EXACT(H343,INDEX(Guide!$A$7:$A$9,MATCH(SUBSTITUTE(SUBSTITUTE(SUBSTITUTE(H343,"~","~~"),"*","~*"),"?","~?"),Guide!$A$7:$A$9,0))),INDEX(Guide!$B$7:$B$9,MATCH(SUBSTITUTE(SUBSTITUTE(SUBSTITUTE(H343,"~","~~"),"*","~*"),"?","~?"),Guide!$A$7:$A$9,0)),""),"")</f>
        <v>Accessories</v>
      </c>
      <c r="J343" s="1" t="str">
        <f>IF(TRIM(Raw!E343)="",I343,IF(UPPER(TRIM(Raw!E343))=UPPER(I343),I343,""))</f>
        <v>Accessories</v>
      </c>
      <c r="K343" s="1" t="str">
        <f>IF(Raw!F343="","",Raw!F343)</f>
        <v>sale</v>
      </c>
      <c r="L343" s="1" t="str">
        <f>IF(LEFT(TRIM(Raw!G343),2)="-$","-"&amp;MID(TRIM(Raw!G343),3,99),IF(LEFT(TRIM(Raw!G343),1)="$",MID(TRIM(Raw!G343),2,99),TRIM(Raw!G343)))</f>
        <v>27.93</v>
      </c>
      <c r="M343" s="1">
        <f t="shared" si="43"/>
        <v>27.93</v>
      </c>
      <c r="N343" s="10">
        <f t="shared" si="44"/>
        <v>2793</v>
      </c>
      <c r="O343" s="1" t="b">
        <f>IFERROR(IF(ISNUMBER(Raw!G343),TRUE,OR(EXACT(L343,TEXT(M343,"0.00")),EXACT(L343,TEXT(M343,"#,##0.00")))),FALSE)</f>
        <v>1</v>
      </c>
      <c r="P343" s="1" t="str">
        <f>LEN(IF(Raw!A343="","",Raw!A343))&amp;":"&amp;IF(Raw!A343="","",Raw!A343)&amp;"|"&amp;LEN(IF(Raw!B343="","",Raw!B343))&amp;":"&amp;IF(Raw!B343="","",Raw!B343)&amp;"|"&amp;LEN(IF(Raw!C343="","",Raw!C343))&amp;":"&amp;IF(Raw!C343="","",Raw!C343)&amp;"|"&amp;LEN(IF(Raw!D343="","",Raw!D343))&amp;":"&amp;IF(Raw!D343="","",Raw!D343)&amp;"|"&amp;LEN(IF(Raw!E343="","",Raw!E343))&amp;":"&amp;IF(Raw!E343="","",Raw!E343)&amp;"|"&amp;LEN(IF(Raw!F343="","",Raw!F343))&amp;":"&amp;IF(Raw!F343="","",Raw!F343)&amp;"|"&amp;LEN(IF(Raw!G343="","",Raw!G343))&amp;":"&amp;IF(Raw!G343="","",Raw!G343)</f>
        <v>6:L00337|6:T00169|10:2026-01-07|3:P-A|11:Accessories|4:sale|5:27.93</v>
      </c>
      <c r="Q343" s="1">
        <f>1</f>
        <v>1</v>
      </c>
      <c r="R343" s="1" t="b">
        <f>FALSE</f>
        <v>0</v>
      </c>
      <c r="S343" s="1">
        <f>1</f>
        <v>1</v>
      </c>
      <c r="T343" s="1" t="str">
        <f>IF(AND(Raw!A343="",Raw!B343="",Raw!C343="",Raw!D343="",Raw!E343="",Raw!F343="",Raw!G343=""),"UNUSED",IF(A343="","missing line ID",IF(B343="","missing transaction ID",IF(G343="",IF(C343="","missing date","invalid date"),IF(I343="","unknown product",IF(J343="","conflicting category",IF(NOT(OR(EXACT(K343,"sale"),EXACT(K343,"refund"))),"unknown event",IF(OR(N343="",NOT(O343)),"invalid amount",IF(OR(AND(K343="sale",N343&lt;=0),AND(K343="refund",N343&gt;=0)),"invalid sign","")))))))))</f>
        <v/>
      </c>
      <c r="U343" s="1" t="str">
        <f t="shared" si="45"/>
        <v>INCLUDED</v>
      </c>
      <c r="V343" s="1" t="str">
        <f t="shared" si="46"/>
        <v>2026-01</v>
      </c>
      <c r="W343" s="1">
        <f>IF(AND(U343="INCLUDED",X343&gt;0,EXACT(A343,'AI output'!A343)),1,0)</f>
        <v>1</v>
      </c>
      <c r="X343" s="1">
        <f>343</f>
        <v>343</v>
      </c>
      <c r="Y343" s="1">
        <f>IF(AND(U343="INCLUDED",W343=1),--(NOT(EXACT(A343,'AI output'!A343)))+--(NOT(EXACT(B343,'AI output'!B343)))+--(NOT(EXACT(TEXT(G343,"yyyy-mm-dd"),'AI output'!C343)))+--(NOT(EXACT(H343,'AI output'!D343)))+--(NOT(EXACT(J343,'AI output'!E343)))+--(NOT(EXACT(K343,'AI output'!F343)))+--(N343&lt;&gt;'AI output'!L343)+--(NOT('AI output'!M343)),0)</f>
        <v>0</v>
      </c>
      <c r="Z343" s="1">
        <f t="shared" si="47"/>
        <v>0</v>
      </c>
      <c r="AA343" s="1">
        <f>--EXACT(A343,"L00337")</f>
        <v>1</v>
      </c>
    </row>
    <row r="344" spans="1:27" ht="18.95" customHeight="1">
      <c r="A344" s="1" t="str">
        <f>IF(Raw!A344="","",Raw!A344)</f>
        <v>L00338</v>
      </c>
      <c r="B344" s="1" t="str">
        <f>IF(Raw!B344="","",Raw!B344)</f>
        <v>T00169</v>
      </c>
      <c r="C344" s="1" t="str">
        <f>IF(Raw!C344="","",Raw!C344)</f>
        <v>2026-01-07</v>
      </c>
      <c r="D344" s="1">
        <f t="shared" si="40"/>
        <v>2026</v>
      </c>
      <c r="E344" s="1">
        <f>IFERROR(IF(AND(LEN(C344)=10,MID(C344,5,1)="-",MID(C344,8,1)="-"),VALUE(MID(C344,6,2)),IF(AND(LEN(C344)=11,MID(C344,3,1)="-",MID(C344,7,1)="-"),MATCH(UPPER(MID(C344,4,3)),Guide!$D$7:$D$18,0),0)),0)</f>
        <v>1</v>
      </c>
      <c r="F344" s="1">
        <f t="shared" si="41"/>
        <v>7</v>
      </c>
      <c r="G344" s="9">
        <f t="shared" si="42"/>
        <v>46029</v>
      </c>
      <c r="H344" s="1" t="str">
        <f>IF(Raw!D344="","",Raw!D344)</f>
        <v>P-H</v>
      </c>
      <c r="I344" s="1" t="str">
        <f>IFERROR(IF(EXACT(H344,INDEX(Guide!$A$7:$A$9,MATCH(SUBSTITUTE(SUBSTITUTE(SUBSTITUTE(H344,"~","~~"),"*","~*"),"?","~?"),Guide!$A$7:$A$9,0))),INDEX(Guide!$B$7:$B$9,MATCH(SUBSTITUTE(SUBSTITUTE(SUBSTITUTE(H344,"~","~~"),"*","~*"),"?","~?"),Guide!$A$7:$A$9,0)),""),"")</f>
        <v>Home</v>
      </c>
      <c r="J344" s="1" t="str">
        <f>IF(TRIM(Raw!E344)="",I344,IF(UPPER(TRIM(Raw!E344))=UPPER(I344),I344,""))</f>
        <v>Home</v>
      </c>
      <c r="K344" s="1" t="str">
        <f>IF(Raw!F344="","",Raw!F344)</f>
        <v>sale</v>
      </c>
      <c r="L344" s="1" t="str">
        <f>IF(LEFT(TRIM(Raw!G344),2)="-$","-"&amp;MID(TRIM(Raw!G344),3,99),IF(LEFT(TRIM(Raw!G344),1)="$",MID(TRIM(Raw!G344),2,99),TRIM(Raw!G344)))</f>
        <v>48.40</v>
      </c>
      <c r="M344" s="1">
        <f t="shared" si="43"/>
        <v>48.4</v>
      </c>
      <c r="N344" s="10">
        <f t="shared" si="44"/>
        <v>4840</v>
      </c>
      <c r="O344" s="1" t="b">
        <f>IFERROR(IF(ISNUMBER(Raw!G344),TRUE,OR(EXACT(L344,TEXT(M344,"0.00")),EXACT(L344,TEXT(M344,"#,##0.00")))),FALSE)</f>
        <v>1</v>
      </c>
      <c r="P344" s="1" t="str">
        <f>LEN(IF(Raw!A344="","",Raw!A344))&amp;":"&amp;IF(Raw!A344="","",Raw!A344)&amp;"|"&amp;LEN(IF(Raw!B344="","",Raw!B344))&amp;":"&amp;IF(Raw!B344="","",Raw!B344)&amp;"|"&amp;LEN(IF(Raw!C344="","",Raw!C344))&amp;":"&amp;IF(Raw!C344="","",Raw!C344)&amp;"|"&amp;LEN(IF(Raw!D344="","",Raw!D344))&amp;":"&amp;IF(Raw!D344="","",Raw!D344)&amp;"|"&amp;LEN(IF(Raw!E344="","",Raw!E344))&amp;":"&amp;IF(Raw!E344="","",Raw!E344)&amp;"|"&amp;LEN(IF(Raw!F344="","",Raw!F344))&amp;":"&amp;IF(Raw!F344="","",Raw!F344)&amp;"|"&amp;LEN(IF(Raw!G344="","",Raw!G344))&amp;":"&amp;IF(Raw!G344="","",Raw!G344)</f>
        <v>6:L00338|6:T00169|10:2026-01-07|3:P-H|4:Home|4:sale|5:48.40</v>
      </c>
      <c r="Q344" s="1">
        <f>1</f>
        <v>1</v>
      </c>
      <c r="R344" s="1" t="b">
        <f>FALSE</f>
        <v>0</v>
      </c>
      <c r="S344" s="1">
        <f>1</f>
        <v>1</v>
      </c>
      <c r="T344" s="1" t="str">
        <f>IF(AND(Raw!A344="",Raw!B344="",Raw!C344="",Raw!D344="",Raw!E344="",Raw!F344="",Raw!G344=""),"UNUSED",IF(A344="","missing line ID",IF(B344="","missing transaction ID",IF(G344="",IF(C344="","missing date","invalid date"),IF(I344="","unknown product",IF(J344="","conflicting category",IF(NOT(OR(EXACT(K344,"sale"),EXACT(K344,"refund"))),"unknown event",IF(OR(N344="",NOT(O344)),"invalid amount",IF(OR(AND(K344="sale",N344&lt;=0),AND(K344="refund",N344&gt;=0)),"invalid sign","")))))))))</f>
        <v/>
      </c>
      <c r="U344" s="1" t="str">
        <f t="shared" si="45"/>
        <v>INCLUDED</v>
      </c>
      <c r="V344" s="1" t="str">
        <f t="shared" si="46"/>
        <v>2026-01</v>
      </c>
      <c r="W344" s="1">
        <f>IF(AND(U344="INCLUDED",X344&gt;0,EXACT(A344,'AI output'!A344)),1,0)</f>
        <v>1</v>
      </c>
      <c r="X344" s="1">
        <f>344</f>
        <v>344</v>
      </c>
      <c r="Y344" s="1">
        <f>IF(AND(U344="INCLUDED",W344=1),--(NOT(EXACT(A344,'AI output'!A344)))+--(NOT(EXACT(B344,'AI output'!B344)))+--(NOT(EXACT(TEXT(G344,"yyyy-mm-dd"),'AI output'!C344)))+--(NOT(EXACT(H344,'AI output'!D344)))+--(NOT(EXACT(J344,'AI output'!E344)))+--(NOT(EXACT(K344,'AI output'!F344)))+--(N344&lt;&gt;'AI output'!L344)+--(NOT('AI output'!M344)),0)</f>
        <v>0</v>
      </c>
      <c r="Z344" s="1">
        <f t="shared" si="47"/>
        <v>0</v>
      </c>
      <c r="AA344" s="1">
        <f>--EXACT(A344,"L00338")</f>
        <v>1</v>
      </c>
    </row>
    <row r="345" spans="1:27" ht="18.95" customHeight="1">
      <c r="A345" s="1" t="str">
        <f>IF(Raw!A345="","",Raw!A345)</f>
        <v>L00339</v>
      </c>
      <c r="B345" s="1" t="str">
        <f>IF(Raw!B345="","",Raw!B345)</f>
        <v>T00170</v>
      </c>
      <c r="C345" s="1" t="str">
        <f>IF(Raw!C345="","",Raw!C345)</f>
        <v>2026-01-14</v>
      </c>
      <c r="D345" s="1">
        <f t="shared" si="40"/>
        <v>2026</v>
      </c>
      <c r="E345" s="1">
        <f>IFERROR(IF(AND(LEN(C345)=10,MID(C345,5,1)="-",MID(C345,8,1)="-"),VALUE(MID(C345,6,2)),IF(AND(LEN(C345)=11,MID(C345,3,1)="-",MID(C345,7,1)="-"),MATCH(UPPER(MID(C345,4,3)),Guide!$D$7:$D$18,0),0)),0)</f>
        <v>1</v>
      </c>
      <c r="F345" s="1">
        <f t="shared" si="41"/>
        <v>14</v>
      </c>
      <c r="G345" s="9">
        <f t="shared" si="42"/>
        <v>46036</v>
      </c>
      <c r="H345" s="1" t="str">
        <f>IF(Raw!D345="","",Raw!D345)</f>
        <v>P-O</v>
      </c>
      <c r="I345" s="1" t="str">
        <f>IFERROR(IF(EXACT(H345,INDEX(Guide!$A$7:$A$9,MATCH(SUBSTITUTE(SUBSTITUTE(SUBSTITUTE(H345,"~","~~"),"*","~*"),"?","~?"),Guide!$A$7:$A$9,0))),INDEX(Guide!$B$7:$B$9,MATCH(SUBSTITUTE(SUBSTITUTE(SUBSTITUTE(H345,"~","~~"),"*","~*"),"?","~?"),Guide!$A$7:$A$9,0)),""),"")</f>
        <v>Office</v>
      </c>
      <c r="J345" s="1" t="str">
        <f>IF(TRIM(Raw!E345)="",I345,IF(UPPER(TRIM(Raw!E345))=UPPER(I345),I345,""))</f>
        <v>Office</v>
      </c>
      <c r="K345" s="1" t="str">
        <f>IF(Raw!F345="","",Raw!F345)</f>
        <v>sale</v>
      </c>
      <c r="L345" s="1" t="str">
        <f>IF(LEFT(TRIM(Raw!G345),2)="-$","-"&amp;MID(TRIM(Raw!G345),3,99),IF(LEFT(TRIM(Raw!G345),1)="$",MID(TRIM(Raw!G345),2,99),TRIM(Raw!G345)))</f>
        <v>20.10</v>
      </c>
      <c r="M345" s="1">
        <f t="shared" si="43"/>
        <v>20.100000000000001</v>
      </c>
      <c r="N345" s="10">
        <f t="shared" si="44"/>
        <v>2010</v>
      </c>
      <c r="O345" s="1" t="b">
        <f>IFERROR(IF(ISNUMBER(Raw!G345),TRUE,OR(EXACT(L345,TEXT(M345,"0.00")),EXACT(L345,TEXT(M345,"#,##0.00")))),FALSE)</f>
        <v>1</v>
      </c>
      <c r="P345" s="1" t="str">
        <f>LEN(IF(Raw!A345="","",Raw!A345))&amp;":"&amp;IF(Raw!A345="","",Raw!A345)&amp;"|"&amp;LEN(IF(Raw!B345="","",Raw!B345))&amp;":"&amp;IF(Raw!B345="","",Raw!B345)&amp;"|"&amp;LEN(IF(Raw!C345="","",Raw!C345))&amp;":"&amp;IF(Raw!C345="","",Raw!C345)&amp;"|"&amp;LEN(IF(Raw!D345="","",Raw!D345))&amp;":"&amp;IF(Raw!D345="","",Raw!D345)&amp;"|"&amp;LEN(IF(Raw!E345="","",Raw!E345))&amp;":"&amp;IF(Raw!E345="","",Raw!E345)&amp;"|"&amp;LEN(IF(Raw!F345="","",Raw!F345))&amp;":"&amp;IF(Raw!F345="","",Raw!F345)&amp;"|"&amp;LEN(IF(Raw!G345="","",Raw!G345))&amp;":"&amp;IF(Raw!G345="","",Raw!G345)</f>
        <v>6:L00339|6:T00170|10:2026-01-14|3:P-O|6:Office|4:sale|5:20.10</v>
      </c>
      <c r="Q345" s="1">
        <f>1</f>
        <v>1</v>
      </c>
      <c r="R345" s="1" t="b">
        <f>FALSE</f>
        <v>0</v>
      </c>
      <c r="S345" s="1">
        <f>1</f>
        <v>1</v>
      </c>
      <c r="T345" s="1" t="str">
        <f>IF(AND(Raw!A345="",Raw!B345="",Raw!C345="",Raw!D345="",Raw!E345="",Raw!F345="",Raw!G345=""),"UNUSED",IF(A345="","missing line ID",IF(B345="","missing transaction ID",IF(G345="",IF(C345="","missing date","invalid date"),IF(I345="","unknown product",IF(J345="","conflicting category",IF(NOT(OR(EXACT(K345,"sale"),EXACT(K345,"refund"))),"unknown event",IF(OR(N345="",NOT(O345)),"invalid amount",IF(OR(AND(K345="sale",N345&lt;=0),AND(K345="refund",N345&gt;=0)),"invalid sign","")))))))))</f>
        <v/>
      </c>
      <c r="U345" s="1" t="str">
        <f t="shared" si="45"/>
        <v>INCLUDED</v>
      </c>
      <c r="V345" s="1" t="str">
        <f t="shared" si="46"/>
        <v>2026-01</v>
      </c>
      <c r="W345" s="1">
        <f>IF(AND(U345="INCLUDED",X345&gt;0,EXACT(A345,'AI output'!A345)),1,0)</f>
        <v>1</v>
      </c>
      <c r="X345" s="1">
        <f>345</f>
        <v>345</v>
      </c>
      <c r="Y345" s="1">
        <f>IF(AND(U345="INCLUDED",W345=1),--(NOT(EXACT(A345,'AI output'!A345)))+--(NOT(EXACT(B345,'AI output'!B345)))+--(NOT(EXACT(TEXT(G345,"yyyy-mm-dd"),'AI output'!C345)))+--(NOT(EXACT(H345,'AI output'!D345)))+--(NOT(EXACT(J345,'AI output'!E345)))+--(NOT(EXACT(K345,'AI output'!F345)))+--(N345&lt;&gt;'AI output'!L345)+--(NOT('AI output'!M345)),0)</f>
        <v>0</v>
      </c>
      <c r="Z345" s="1">
        <f t="shared" si="47"/>
        <v>0</v>
      </c>
      <c r="AA345" s="1">
        <f>--EXACT(A345,"L00339")</f>
        <v>1</v>
      </c>
    </row>
    <row r="346" spans="1:27" ht="18.95" customHeight="1">
      <c r="A346" s="1" t="str">
        <f>IF(Raw!A346="","",Raw!A346)</f>
        <v>L00340</v>
      </c>
      <c r="B346" s="1" t="str">
        <f>IF(Raw!B346="","",Raw!B346)</f>
        <v>T00170</v>
      </c>
      <c r="C346" s="1" t="str">
        <f>IF(Raw!C346="","",Raw!C346)</f>
        <v>2026-01-14</v>
      </c>
      <c r="D346" s="1">
        <f t="shared" si="40"/>
        <v>2026</v>
      </c>
      <c r="E346" s="1">
        <f>IFERROR(IF(AND(LEN(C346)=10,MID(C346,5,1)="-",MID(C346,8,1)="-"),VALUE(MID(C346,6,2)),IF(AND(LEN(C346)=11,MID(C346,3,1)="-",MID(C346,7,1)="-"),MATCH(UPPER(MID(C346,4,3)),Guide!$D$7:$D$18,0),0)),0)</f>
        <v>1</v>
      </c>
      <c r="F346" s="1">
        <f t="shared" si="41"/>
        <v>14</v>
      </c>
      <c r="G346" s="9">
        <f t="shared" si="42"/>
        <v>46036</v>
      </c>
      <c r="H346" s="1" t="str">
        <f>IF(Raw!D346="","",Raw!D346)</f>
        <v>P-A</v>
      </c>
      <c r="I346" s="1" t="str">
        <f>IFERROR(IF(EXACT(H346,INDEX(Guide!$A$7:$A$9,MATCH(SUBSTITUTE(SUBSTITUTE(SUBSTITUTE(H346,"~","~~"),"*","~*"),"?","~?"),Guide!$A$7:$A$9,0))),INDEX(Guide!$B$7:$B$9,MATCH(SUBSTITUTE(SUBSTITUTE(SUBSTITUTE(H346,"~","~~"),"*","~*"),"?","~?"),Guide!$A$7:$A$9,0)),""),"")</f>
        <v>Accessories</v>
      </c>
      <c r="J346" s="1" t="str">
        <f>IF(TRIM(Raw!E346)="",I346,IF(UPPER(TRIM(Raw!E346))=UPPER(I346),I346,""))</f>
        <v>Accessories</v>
      </c>
      <c r="K346" s="1" t="str">
        <f>IF(Raw!F346="","",Raw!F346)</f>
        <v>sale</v>
      </c>
      <c r="L346" s="1" t="str">
        <f>IF(LEFT(TRIM(Raw!G346),2)="-$","-"&amp;MID(TRIM(Raw!G346),3,99),IF(LEFT(TRIM(Raw!G346),1)="$",MID(TRIM(Raw!G346),2,99),TRIM(Raw!G346)))</f>
        <v>41.68</v>
      </c>
      <c r="M346" s="1">
        <f t="shared" si="43"/>
        <v>41.68</v>
      </c>
      <c r="N346" s="10">
        <f t="shared" si="44"/>
        <v>4168</v>
      </c>
      <c r="O346" s="1" t="b">
        <f>IFERROR(IF(ISNUMBER(Raw!G346),TRUE,OR(EXACT(L346,TEXT(M346,"0.00")),EXACT(L346,TEXT(M346,"#,##0.00")))),FALSE)</f>
        <v>1</v>
      </c>
      <c r="P346" s="1" t="str">
        <f>LEN(IF(Raw!A346="","",Raw!A346))&amp;":"&amp;IF(Raw!A346="","",Raw!A346)&amp;"|"&amp;LEN(IF(Raw!B346="","",Raw!B346))&amp;":"&amp;IF(Raw!B346="","",Raw!B346)&amp;"|"&amp;LEN(IF(Raw!C346="","",Raw!C346))&amp;":"&amp;IF(Raw!C346="","",Raw!C346)&amp;"|"&amp;LEN(IF(Raw!D346="","",Raw!D346))&amp;":"&amp;IF(Raw!D346="","",Raw!D346)&amp;"|"&amp;LEN(IF(Raw!E346="","",Raw!E346))&amp;":"&amp;IF(Raw!E346="","",Raw!E346)&amp;"|"&amp;LEN(IF(Raw!F346="","",Raw!F346))&amp;":"&amp;IF(Raw!F346="","",Raw!F346)&amp;"|"&amp;LEN(IF(Raw!G346="","",Raw!G346))&amp;":"&amp;IF(Raw!G346="","",Raw!G346)</f>
        <v>6:L00340|6:T00170|10:2026-01-14|3:P-A|11:Accessories|4:sale|5:41.68</v>
      </c>
      <c r="Q346" s="1">
        <f>1</f>
        <v>1</v>
      </c>
      <c r="R346" s="1" t="b">
        <f>FALSE</f>
        <v>0</v>
      </c>
      <c r="S346" s="1">
        <f>1</f>
        <v>1</v>
      </c>
      <c r="T346" s="1" t="str">
        <f>IF(AND(Raw!A346="",Raw!B346="",Raw!C346="",Raw!D346="",Raw!E346="",Raw!F346="",Raw!G346=""),"UNUSED",IF(A346="","missing line ID",IF(B346="","missing transaction ID",IF(G346="",IF(C346="","missing date","invalid date"),IF(I346="","unknown product",IF(J346="","conflicting category",IF(NOT(OR(EXACT(K346,"sale"),EXACT(K346,"refund"))),"unknown event",IF(OR(N346="",NOT(O346)),"invalid amount",IF(OR(AND(K346="sale",N346&lt;=0),AND(K346="refund",N346&gt;=0)),"invalid sign","")))))))))</f>
        <v/>
      </c>
      <c r="U346" s="1" t="str">
        <f t="shared" si="45"/>
        <v>INCLUDED</v>
      </c>
      <c r="V346" s="1" t="str">
        <f t="shared" si="46"/>
        <v>2026-01</v>
      </c>
      <c r="W346" s="1">
        <f>IF(AND(U346="INCLUDED",X346&gt;0,EXACT(A346,'AI output'!A346)),1,0)</f>
        <v>1</v>
      </c>
      <c r="X346" s="1">
        <f>346</f>
        <v>346</v>
      </c>
      <c r="Y346" s="1">
        <f>IF(AND(U346="INCLUDED",W346=1),--(NOT(EXACT(A346,'AI output'!A346)))+--(NOT(EXACT(B346,'AI output'!B346)))+--(NOT(EXACT(TEXT(G346,"yyyy-mm-dd"),'AI output'!C346)))+--(NOT(EXACT(H346,'AI output'!D346)))+--(NOT(EXACT(J346,'AI output'!E346)))+--(NOT(EXACT(K346,'AI output'!F346)))+--(N346&lt;&gt;'AI output'!L346)+--(NOT('AI output'!M346)),0)</f>
        <v>0</v>
      </c>
      <c r="Z346" s="1">
        <f t="shared" si="47"/>
        <v>0</v>
      </c>
      <c r="AA346" s="1">
        <f>--EXACT(A346,"L00340")</f>
        <v>1</v>
      </c>
    </row>
    <row r="347" spans="1:27" ht="18.95" customHeight="1">
      <c r="A347" s="1" t="str">
        <f>IF(Raw!A347="","",Raw!A347)</f>
        <v>L00341</v>
      </c>
      <c r="B347" s="1" t="str">
        <f>IF(Raw!B347="","",Raw!B347)</f>
        <v>T00171</v>
      </c>
      <c r="C347" s="1" t="str">
        <f>IF(Raw!C347="","",Raw!C347)</f>
        <v>2026-01-21</v>
      </c>
      <c r="D347" s="1">
        <f t="shared" si="40"/>
        <v>2026</v>
      </c>
      <c r="E347" s="1">
        <f>IFERROR(IF(AND(LEN(C347)=10,MID(C347,5,1)="-",MID(C347,8,1)="-"),VALUE(MID(C347,6,2)),IF(AND(LEN(C347)=11,MID(C347,3,1)="-",MID(C347,7,1)="-"),MATCH(UPPER(MID(C347,4,3)),Guide!$D$7:$D$18,0),0)),0)</f>
        <v>1</v>
      </c>
      <c r="F347" s="1">
        <f t="shared" si="41"/>
        <v>21</v>
      </c>
      <c r="G347" s="9">
        <f t="shared" si="42"/>
        <v>46043</v>
      </c>
      <c r="H347" s="1" t="str">
        <f>IF(Raw!D347="","",Raw!D347)</f>
        <v>P-H</v>
      </c>
      <c r="I347" s="1" t="str">
        <f>IFERROR(IF(EXACT(H347,INDEX(Guide!$A$7:$A$9,MATCH(SUBSTITUTE(SUBSTITUTE(SUBSTITUTE(H347,"~","~~"),"*","~*"),"?","~?"),Guide!$A$7:$A$9,0))),INDEX(Guide!$B$7:$B$9,MATCH(SUBSTITUTE(SUBSTITUTE(SUBSTITUTE(H347,"~","~~"),"*","~*"),"?","~?"),Guide!$A$7:$A$9,0)),""),"")</f>
        <v>Home</v>
      </c>
      <c r="J347" s="1" t="str">
        <f>IF(TRIM(Raw!E347)="",I347,IF(UPPER(TRIM(Raw!E347))=UPPER(I347),I347,""))</f>
        <v>Home</v>
      </c>
      <c r="K347" s="1" t="str">
        <f>IF(Raw!F347="","",Raw!F347)</f>
        <v>sale</v>
      </c>
      <c r="L347" s="1" t="str">
        <f>IF(LEFT(TRIM(Raw!G347),2)="-$","-"&amp;MID(TRIM(Raw!G347),3,99),IF(LEFT(TRIM(Raw!G347),1)="$",MID(TRIM(Raw!G347),2,99),TRIM(Raw!G347)))</f>
        <v>10.79</v>
      </c>
      <c r="M347" s="1">
        <f t="shared" si="43"/>
        <v>10.79</v>
      </c>
      <c r="N347" s="10">
        <f t="shared" si="44"/>
        <v>1079</v>
      </c>
      <c r="O347" s="1" t="b">
        <f>IFERROR(IF(ISNUMBER(Raw!G347),TRUE,OR(EXACT(L347,TEXT(M347,"0.00")),EXACT(L347,TEXT(M347,"#,##0.00")))),FALSE)</f>
        <v>1</v>
      </c>
      <c r="P347" s="1" t="str">
        <f>LEN(IF(Raw!A347="","",Raw!A347))&amp;":"&amp;IF(Raw!A347="","",Raw!A347)&amp;"|"&amp;LEN(IF(Raw!B347="","",Raw!B347))&amp;":"&amp;IF(Raw!B347="","",Raw!B347)&amp;"|"&amp;LEN(IF(Raw!C347="","",Raw!C347))&amp;":"&amp;IF(Raw!C347="","",Raw!C347)&amp;"|"&amp;LEN(IF(Raw!D347="","",Raw!D347))&amp;":"&amp;IF(Raw!D347="","",Raw!D347)&amp;"|"&amp;LEN(IF(Raw!E347="","",Raw!E347))&amp;":"&amp;IF(Raw!E347="","",Raw!E347)&amp;"|"&amp;LEN(IF(Raw!F347="","",Raw!F347))&amp;":"&amp;IF(Raw!F347="","",Raw!F347)&amp;"|"&amp;LEN(IF(Raw!G347="","",Raw!G347))&amp;":"&amp;IF(Raw!G347="","",Raw!G347)</f>
        <v>6:L00341|6:T00171|10:2026-01-21|3:P-H|4:Home|4:sale|5:10.79</v>
      </c>
      <c r="Q347" s="1">
        <f>1</f>
        <v>1</v>
      </c>
      <c r="R347" s="1" t="b">
        <f>FALSE</f>
        <v>0</v>
      </c>
      <c r="S347" s="1">
        <f>1</f>
        <v>1</v>
      </c>
      <c r="T347" s="1" t="str">
        <f>IF(AND(Raw!A347="",Raw!B347="",Raw!C347="",Raw!D347="",Raw!E347="",Raw!F347="",Raw!G347=""),"UNUSED",IF(A347="","missing line ID",IF(B347="","missing transaction ID",IF(G347="",IF(C347="","missing date","invalid date"),IF(I347="","unknown product",IF(J347="","conflicting category",IF(NOT(OR(EXACT(K347,"sale"),EXACT(K347,"refund"))),"unknown event",IF(OR(N347="",NOT(O347)),"invalid amount",IF(OR(AND(K347="sale",N347&lt;=0),AND(K347="refund",N347&gt;=0)),"invalid sign","")))))))))</f>
        <v/>
      </c>
      <c r="U347" s="1" t="str">
        <f t="shared" si="45"/>
        <v>INCLUDED</v>
      </c>
      <c r="V347" s="1" t="str">
        <f t="shared" si="46"/>
        <v>2026-01</v>
      </c>
      <c r="W347" s="1">
        <f>IF(AND(U347="INCLUDED",X347&gt;0,EXACT(A347,'AI output'!A347)),1,0)</f>
        <v>1</v>
      </c>
      <c r="X347" s="1">
        <f>347</f>
        <v>347</v>
      </c>
      <c r="Y347" s="1">
        <f>IF(AND(U347="INCLUDED",W347=1),--(NOT(EXACT(A347,'AI output'!A347)))+--(NOT(EXACT(B347,'AI output'!B347)))+--(NOT(EXACT(TEXT(G347,"yyyy-mm-dd"),'AI output'!C347)))+--(NOT(EXACT(H347,'AI output'!D347)))+--(NOT(EXACT(J347,'AI output'!E347)))+--(NOT(EXACT(K347,'AI output'!F347)))+--(N347&lt;&gt;'AI output'!L347)+--(NOT('AI output'!M347)),0)</f>
        <v>0</v>
      </c>
      <c r="Z347" s="1">
        <f t="shared" si="47"/>
        <v>0</v>
      </c>
      <c r="AA347" s="1">
        <f>--EXACT(A347,"L00341")</f>
        <v>1</v>
      </c>
    </row>
    <row r="348" spans="1:27" ht="18.95" customHeight="1">
      <c r="A348" s="1" t="str">
        <f>IF(Raw!A348="","",Raw!A348)</f>
        <v>L00342</v>
      </c>
      <c r="B348" s="1" t="str">
        <f>IF(Raw!B348="","",Raw!B348)</f>
        <v>T00171</v>
      </c>
      <c r="C348" s="1" t="str">
        <f>IF(Raw!C348="","",Raw!C348)</f>
        <v>2026-01-21</v>
      </c>
      <c r="D348" s="1">
        <f t="shared" si="40"/>
        <v>2026</v>
      </c>
      <c r="E348" s="1">
        <f>IFERROR(IF(AND(LEN(C348)=10,MID(C348,5,1)="-",MID(C348,8,1)="-"),VALUE(MID(C348,6,2)),IF(AND(LEN(C348)=11,MID(C348,3,1)="-",MID(C348,7,1)="-"),MATCH(UPPER(MID(C348,4,3)),Guide!$D$7:$D$18,0),0)),0)</f>
        <v>1</v>
      </c>
      <c r="F348" s="1">
        <f t="shared" si="41"/>
        <v>21</v>
      </c>
      <c r="G348" s="9">
        <f t="shared" si="42"/>
        <v>46043</v>
      </c>
      <c r="H348" s="1" t="str">
        <f>IF(Raw!D348="","",Raw!D348)</f>
        <v>P-O</v>
      </c>
      <c r="I348" s="1" t="str">
        <f>IFERROR(IF(EXACT(H348,INDEX(Guide!$A$7:$A$9,MATCH(SUBSTITUTE(SUBSTITUTE(SUBSTITUTE(H348,"~","~~"),"*","~*"),"?","~?"),Guide!$A$7:$A$9,0))),INDEX(Guide!$B$7:$B$9,MATCH(SUBSTITUTE(SUBSTITUTE(SUBSTITUTE(H348,"~","~~"),"*","~*"),"?","~?"),Guide!$A$7:$A$9,0)),""),"")</f>
        <v>Office</v>
      </c>
      <c r="J348" s="1" t="str">
        <f>IF(TRIM(Raw!E348)="",I348,IF(UPPER(TRIM(Raw!E348))=UPPER(I348),I348,""))</f>
        <v>Office</v>
      </c>
      <c r="K348" s="1" t="str">
        <f>IF(Raw!F348="","",Raw!F348)</f>
        <v>sale</v>
      </c>
      <c r="L348" s="1" t="str">
        <f>IF(LEFT(TRIM(Raw!G348),2)="-$","-"&amp;MID(TRIM(Raw!G348),3,99),IF(LEFT(TRIM(Raw!G348),1)="$",MID(TRIM(Raw!G348),2,99),TRIM(Raw!G348)))</f>
        <v>33.48</v>
      </c>
      <c r="M348" s="1">
        <f t="shared" si="43"/>
        <v>33.479999999999997</v>
      </c>
      <c r="N348" s="10">
        <f t="shared" si="44"/>
        <v>3348</v>
      </c>
      <c r="O348" s="1" t="b">
        <f>IFERROR(IF(ISNUMBER(Raw!G348),TRUE,OR(EXACT(L348,TEXT(M348,"0.00")),EXACT(L348,TEXT(M348,"#,##0.00")))),FALSE)</f>
        <v>1</v>
      </c>
      <c r="P348" s="1" t="str">
        <f>LEN(IF(Raw!A348="","",Raw!A348))&amp;":"&amp;IF(Raw!A348="","",Raw!A348)&amp;"|"&amp;LEN(IF(Raw!B348="","",Raw!B348))&amp;":"&amp;IF(Raw!B348="","",Raw!B348)&amp;"|"&amp;LEN(IF(Raw!C348="","",Raw!C348))&amp;":"&amp;IF(Raw!C348="","",Raw!C348)&amp;"|"&amp;LEN(IF(Raw!D348="","",Raw!D348))&amp;":"&amp;IF(Raw!D348="","",Raw!D348)&amp;"|"&amp;LEN(IF(Raw!E348="","",Raw!E348))&amp;":"&amp;IF(Raw!E348="","",Raw!E348)&amp;"|"&amp;LEN(IF(Raw!F348="","",Raw!F348))&amp;":"&amp;IF(Raw!F348="","",Raw!F348)&amp;"|"&amp;LEN(IF(Raw!G348="","",Raw!G348))&amp;":"&amp;IF(Raw!G348="","",Raw!G348)</f>
        <v>6:L00342|6:T00171|10:2026-01-21|3:P-O|6:Office|4:sale|5:33.48</v>
      </c>
      <c r="Q348" s="1">
        <f>1</f>
        <v>1</v>
      </c>
      <c r="R348" s="1" t="b">
        <f>FALSE</f>
        <v>0</v>
      </c>
      <c r="S348" s="1">
        <f>1</f>
        <v>1</v>
      </c>
      <c r="T348" s="1" t="str">
        <f>IF(AND(Raw!A348="",Raw!B348="",Raw!C348="",Raw!D348="",Raw!E348="",Raw!F348="",Raw!G348=""),"UNUSED",IF(A348="","missing line ID",IF(B348="","missing transaction ID",IF(G348="",IF(C348="","missing date","invalid date"),IF(I348="","unknown product",IF(J348="","conflicting category",IF(NOT(OR(EXACT(K348,"sale"),EXACT(K348,"refund"))),"unknown event",IF(OR(N348="",NOT(O348)),"invalid amount",IF(OR(AND(K348="sale",N348&lt;=0),AND(K348="refund",N348&gt;=0)),"invalid sign","")))))))))</f>
        <v/>
      </c>
      <c r="U348" s="1" t="str">
        <f t="shared" si="45"/>
        <v>INCLUDED</v>
      </c>
      <c r="V348" s="1" t="str">
        <f t="shared" si="46"/>
        <v>2026-01</v>
      </c>
      <c r="W348" s="1">
        <f>IF(AND(U348="INCLUDED",X348&gt;0,EXACT(A348,'AI output'!A348)),1,0)</f>
        <v>1</v>
      </c>
      <c r="X348" s="1">
        <f>348</f>
        <v>348</v>
      </c>
      <c r="Y348" s="1">
        <f>IF(AND(U348="INCLUDED",W348=1),--(NOT(EXACT(A348,'AI output'!A348)))+--(NOT(EXACT(B348,'AI output'!B348)))+--(NOT(EXACT(TEXT(G348,"yyyy-mm-dd"),'AI output'!C348)))+--(NOT(EXACT(H348,'AI output'!D348)))+--(NOT(EXACT(J348,'AI output'!E348)))+--(NOT(EXACT(K348,'AI output'!F348)))+--(N348&lt;&gt;'AI output'!L348)+--(NOT('AI output'!M348)),0)</f>
        <v>0</v>
      </c>
      <c r="Z348" s="1">
        <f t="shared" si="47"/>
        <v>0</v>
      </c>
      <c r="AA348" s="1">
        <f>--EXACT(A348,"L00342")</f>
        <v>1</v>
      </c>
    </row>
    <row r="349" spans="1:27" ht="18.95" customHeight="1">
      <c r="A349" s="1" t="str">
        <f>IF(Raw!A349="","",Raw!A349)</f>
        <v>L00343</v>
      </c>
      <c r="B349" s="1" t="str">
        <f>IF(Raw!B349="","",Raw!B349)</f>
        <v>T00172</v>
      </c>
      <c r="C349" s="1" t="str">
        <f>IF(Raw!C349="","",Raw!C349)</f>
        <v>2026-01-28</v>
      </c>
      <c r="D349" s="1">
        <f t="shared" si="40"/>
        <v>2026</v>
      </c>
      <c r="E349" s="1">
        <f>IFERROR(IF(AND(LEN(C349)=10,MID(C349,5,1)="-",MID(C349,8,1)="-"),VALUE(MID(C349,6,2)),IF(AND(LEN(C349)=11,MID(C349,3,1)="-",MID(C349,7,1)="-"),MATCH(UPPER(MID(C349,4,3)),Guide!$D$7:$D$18,0),0)),0)</f>
        <v>1</v>
      </c>
      <c r="F349" s="1">
        <f t="shared" si="41"/>
        <v>28</v>
      </c>
      <c r="G349" s="9">
        <f t="shared" si="42"/>
        <v>46050</v>
      </c>
      <c r="H349" s="1" t="str">
        <f>IF(Raw!D349="","",Raw!D349)</f>
        <v>P-A</v>
      </c>
      <c r="I349" s="1" t="str">
        <f>IFERROR(IF(EXACT(H349,INDEX(Guide!$A$7:$A$9,MATCH(SUBSTITUTE(SUBSTITUTE(SUBSTITUTE(H349,"~","~~"),"*","~*"),"?","~?"),Guide!$A$7:$A$9,0))),INDEX(Guide!$B$7:$B$9,MATCH(SUBSTITUTE(SUBSTITUTE(SUBSTITUTE(H349,"~","~~"),"*","~*"),"?","~?"),Guide!$A$7:$A$9,0)),""),"")</f>
        <v>Accessories</v>
      </c>
      <c r="J349" s="1" t="str">
        <f>IF(TRIM(Raw!E349)="",I349,IF(UPPER(TRIM(Raw!E349))=UPPER(I349),I349,""))</f>
        <v>Accessories</v>
      </c>
      <c r="K349" s="1" t="str">
        <f>IF(Raw!F349="","",Raw!F349)</f>
        <v>sale</v>
      </c>
      <c r="L349" s="1" t="str">
        <f>IF(LEFT(TRIM(Raw!G349),2)="-$","-"&amp;MID(TRIM(Raw!G349),3,99),IF(LEFT(TRIM(Raw!G349),1)="$",MID(TRIM(Raw!G349),2,99),TRIM(Raw!G349)))</f>
        <v>57.65</v>
      </c>
      <c r="M349" s="1">
        <f t="shared" si="43"/>
        <v>57.65</v>
      </c>
      <c r="N349" s="10">
        <f t="shared" si="44"/>
        <v>5765</v>
      </c>
      <c r="O349" s="1" t="b">
        <f>IFERROR(IF(ISNUMBER(Raw!G349),TRUE,OR(EXACT(L349,TEXT(M349,"0.00")),EXACT(L349,TEXT(M349,"#,##0.00")))),FALSE)</f>
        <v>1</v>
      </c>
      <c r="P349" s="1" t="str">
        <f>LEN(IF(Raw!A349="","",Raw!A349))&amp;":"&amp;IF(Raw!A349="","",Raw!A349)&amp;"|"&amp;LEN(IF(Raw!B349="","",Raw!B349))&amp;":"&amp;IF(Raw!B349="","",Raw!B349)&amp;"|"&amp;LEN(IF(Raw!C349="","",Raw!C349))&amp;":"&amp;IF(Raw!C349="","",Raw!C349)&amp;"|"&amp;LEN(IF(Raw!D349="","",Raw!D349))&amp;":"&amp;IF(Raw!D349="","",Raw!D349)&amp;"|"&amp;LEN(IF(Raw!E349="","",Raw!E349))&amp;":"&amp;IF(Raw!E349="","",Raw!E349)&amp;"|"&amp;LEN(IF(Raw!F349="","",Raw!F349))&amp;":"&amp;IF(Raw!F349="","",Raw!F349)&amp;"|"&amp;LEN(IF(Raw!G349="","",Raw!G349))&amp;":"&amp;IF(Raw!G349="","",Raw!G349)</f>
        <v>6:L00343|6:T00172|10:2026-01-28|3:P-A|11:Accessories|4:sale|5:57.65</v>
      </c>
      <c r="Q349" s="1">
        <f>1</f>
        <v>1</v>
      </c>
      <c r="R349" s="1" t="b">
        <f>FALSE</f>
        <v>0</v>
      </c>
      <c r="S349" s="1">
        <f>1</f>
        <v>1</v>
      </c>
      <c r="T349" s="1" t="str">
        <f>IF(AND(Raw!A349="",Raw!B349="",Raw!C349="",Raw!D349="",Raw!E349="",Raw!F349="",Raw!G349=""),"UNUSED",IF(A349="","missing line ID",IF(B349="","missing transaction ID",IF(G349="",IF(C349="","missing date","invalid date"),IF(I349="","unknown product",IF(J349="","conflicting category",IF(NOT(OR(EXACT(K349,"sale"),EXACT(K349,"refund"))),"unknown event",IF(OR(N349="",NOT(O349)),"invalid amount",IF(OR(AND(K349="sale",N349&lt;=0),AND(K349="refund",N349&gt;=0)),"invalid sign","")))))))))</f>
        <v/>
      </c>
      <c r="U349" s="1" t="str">
        <f t="shared" si="45"/>
        <v>INCLUDED</v>
      </c>
      <c r="V349" s="1" t="str">
        <f t="shared" si="46"/>
        <v>2026-01</v>
      </c>
      <c r="W349" s="1">
        <f>IF(AND(U349="INCLUDED",X349&gt;0,EXACT(A349,'AI output'!A349)),1,0)</f>
        <v>1</v>
      </c>
      <c r="X349" s="1">
        <f>349</f>
        <v>349</v>
      </c>
      <c r="Y349" s="1">
        <f>IF(AND(U349="INCLUDED",W349=1),--(NOT(EXACT(A349,'AI output'!A349)))+--(NOT(EXACT(B349,'AI output'!B349)))+--(NOT(EXACT(TEXT(G349,"yyyy-mm-dd"),'AI output'!C349)))+--(NOT(EXACT(H349,'AI output'!D349)))+--(NOT(EXACT(J349,'AI output'!E349)))+--(NOT(EXACT(K349,'AI output'!F349)))+--(N349&lt;&gt;'AI output'!L349)+--(NOT('AI output'!M349)),0)</f>
        <v>0</v>
      </c>
      <c r="Z349" s="1">
        <f t="shared" si="47"/>
        <v>0</v>
      </c>
      <c r="AA349" s="1">
        <f>--EXACT(A349,"L00343")</f>
        <v>1</v>
      </c>
    </row>
    <row r="350" spans="1:27" ht="18.95" customHeight="1">
      <c r="A350" s="1" t="str">
        <f>IF(Raw!A350="","",Raw!A350)</f>
        <v>L00344</v>
      </c>
      <c r="B350" s="1" t="str">
        <f>IF(Raw!B350="","",Raw!B350)</f>
        <v>T00172</v>
      </c>
      <c r="C350" s="1" t="str">
        <f>IF(Raw!C350="","",Raw!C350)</f>
        <v>2026-01-28</v>
      </c>
      <c r="D350" s="1">
        <f t="shared" si="40"/>
        <v>2026</v>
      </c>
      <c r="E350" s="1">
        <f>IFERROR(IF(AND(LEN(C350)=10,MID(C350,5,1)="-",MID(C350,8,1)="-"),VALUE(MID(C350,6,2)),IF(AND(LEN(C350)=11,MID(C350,3,1)="-",MID(C350,7,1)="-"),MATCH(UPPER(MID(C350,4,3)),Guide!$D$7:$D$18,0),0)),0)</f>
        <v>1</v>
      </c>
      <c r="F350" s="1">
        <f t="shared" si="41"/>
        <v>28</v>
      </c>
      <c r="G350" s="9">
        <f t="shared" si="42"/>
        <v>46050</v>
      </c>
      <c r="H350" s="1" t="str">
        <f>IF(Raw!D350="","",Raw!D350)</f>
        <v>P-H</v>
      </c>
      <c r="I350" s="1" t="str">
        <f>IFERROR(IF(EXACT(H350,INDEX(Guide!$A$7:$A$9,MATCH(SUBSTITUTE(SUBSTITUTE(SUBSTITUTE(H350,"~","~~"),"*","~*"),"?","~?"),Guide!$A$7:$A$9,0))),INDEX(Guide!$B$7:$B$9,MATCH(SUBSTITUTE(SUBSTITUTE(SUBSTITUTE(H350,"~","~~"),"*","~*"),"?","~?"),Guide!$A$7:$A$9,0)),""),"")</f>
        <v>Home</v>
      </c>
      <c r="J350" s="1" t="str">
        <f>IF(TRIM(Raw!E350)="",I350,IF(UPPER(TRIM(Raw!E350))=UPPER(I350),I350,""))</f>
        <v>Home</v>
      </c>
      <c r="K350" s="1" t="str">
        <f>IF(Raw!F350="","",Raw!F350)</f>
        <v>sale</v>
      </c>
      <c r="L350" s="1" t="str">
        <f>IF(LEFT(TRIM(Raw!G350),2)="-$","-"&amp;MID(TRIM(Raw!G350),3,99),IF(LEFT(TRIM(Raw!G350),1)="$",MID(TRIM(Raw!G350),2,99),TRIM(Raw!G350)))</f>
        <v>23.80</v>
      </c>
      <c r="M350" s="1">
        <f t="shared" si="43"/>
        <v>23.8</v>
      </c>
      <c r="N350" s="10">
        <f t="shared" si="44"/>
        <v>2380</v>
      </c>
      <c r="O350" s="1" t="b">
        <f>IFERROR(IF(ISNUMBER(Raw!G350),TRUE,OR(EXACT(L350,TEXT(M350,"0.00")),EXACT(L350,TEXT(M350,"#,##0.00")))),FALSE)</f>
        <v>1</v>
      </c>
      <c r="P350" s="1" t="str">
        <f>LEN(IF(Raw!A350="","",Raw!A350))&amp;":"&amp;IF(Raw!A350="","",Raw!A350)&amp;"|"&amp;LEN(IF(Raw!B350="","",Raw!B350))&amp;":"&amp;IF(Raw!B350="","",Raw!B350)&amp;"|"&amp;LEN(IF(Raw!C350="","",Raw!C350))&amp;":"&amp;IF(Raw!C350="","",Raw!C350)&amp;"|"&amp;LEN(IF(Raw!D350="","",Raw!D350))&amp;":"&amp;IF(Raw!D350="","",Raw!D350)&amp;"|"&amp;LEN(IF(Raw!E350="","",Raw!E350))&amp;":"&amp;IF(Raw!E350="","",Raw!E350)&amp;"|"&amp;LEN(IF(Raw!F350="","",Raw!F350))&amp;":"&amp;IF(Raw!F350="","",Raw!F350)&amp;"|"&amp;LEN(IF(Raw!G350="","",Raw!G350))&amp;":"&amp;IF(Raw!G350="","",Raw!G350)</f>
        <v>6:L00344|6:T00172|10:2026-01-28|3:P-H|4:Home|4:sale|5:23.80</v>
      </c>
      <c r="Q350" s="1">
        <f>1</f>
        <v>1</v>
      </c>
      <c r="R350" s="1" t="b">
        <f>FALSE</f>
        <v>0</v>
      </c>
      <c r="S350" s="1">
        <f>1</f>
        <v>1</v>
      </c>
      <c r="T350" s="1" t="str">
        <f>IF(AND(Raw!A350="",Raw!B350="",Raw!C350="",Raw!D350="",Raw!E350="",Raw!F350="",Raw!G350=""),"UNUSED",IF(A350="","missing line ID",IF(B350="","missing transaction ID",IF(G350="",IF(C350="","missing date","invalid date"),IF(I350="","unknown product",IF(J350="","conflicting category",IF(NOT(OR(EXACT(K350,"sale"),EXACT(K350,"refund"))),"unknown event",IF(OR(N350="",NOT(O350)),"invalid amount",IF(OR(AND(K350="sale",N350&lt;=0),AND(K350="refund",N350&gt;=0)),"invalid sign","")))))))))</f>
        <v/>
      </c>
      <c r="U350" s="1" t="str">
        <f t="shared" si="45"/>
        <v>INCLUDED</v>
      </c>
      <c r="V350" s="1" t="str">
        <f t="shared" si="46"/>
        <v>2026-01</v>
      </c>
      <c r="W350" s="1">
        <f>IF(AND(U350="INCLUDED",X350&gt;0,EXACT(A350,'AI output'!A350)),1,0)</f>
        <v>1</v>
      </c>
      <c r="X350" s="1">
        <f>350</f>
        <v>350</v>
      </c>
      <c r="Y350" s="1">
        <f>IF(AND(U350="INCLUDED",W350=1),--(NOT(EXACT(A350,'AI output'!A350)))+--(NOT(EXACT(B350,'AI output'!B350)))+--(NOT(EXACT(TEXT(G350,"yyyy-mm-dd"),'AI output'!C350)))+--(NOT(EXACT(H350,'AI output'!D350)))+--(NOT(EXACT(J350,'AI output'!E350)))+--(NOT(EXACT(K350,'AI output'!F350)))+--(N350&lt;&gt;'AI output'!L350)+--(NOT('AI output'!M350)),0)</f>
        <v>0</v>
      </c>
      <c r="Z350" s="1">
        <f t="shared" si="47"/>
        <v>0</v>
      </c>
      <c r="AA350" s="1">
        <f>--EXACT(A350,"L00344")</f>
        <v>1</v>
      </c>
    </row>
    <row r="351" spans="1:27" ht="18.95" customHeight="1">
      <c r="A351" s="1" t="str">
        <f>IF(Raw!A351="","",Raw!A351)</f>
        <v>L00345</v>
      </c>
      <c r="B351" s="1" t="str">
        <f>IF(Raw!B351="","",Raw!B351)</f>
        <v>T00173</v>
      </c>
      <c r="C351" s="1" t="str">
        <f>IF(Raw!C351="","",Raw!C351)</f>
        <v>2026-02-04</v>
      </c>
      <c r="D351" s="1">
        <f t="shared" si="40"/>
        <v>2026</v>
      </c>
      <c r="E351" s="1">
        <f>IFERROR(IF(AND(LEN(C351)=10,MID(C351,5,1)="-",MID(C351,8,1)="-"),VALUE(MID(C351,6,2)),IF(AND(LEN(C351)=11,MID(C351,3,1)="-",MID(C351,7,1)="-"),MATCH(UPPER(MID(C351,4,3)),Guide!$D$7:$D$18,0),0)),0)</f>
        <v>2</v>
      </c>
      <c r="F351" s="1">
        <f t="shared" si="41"/>
        <v>4</v>
      </c>
      <c r="G351" s="9">
        <f t="shared" si="42"/>
        <v>46057</v>
      </c>
      <c r="H351" s="1" t="str">
        <f>IF(Raw!D351="","",Raw!D351)</f>
        <v>P-O</v>
      </c>
      <c r="I351" s="1" t="str">
        <f>IFERROR(IF(EXACT(H351,INDEX(Guide!$A$7:$A$9,MATCH(SUBSTITUTE(SUBSTITUTE(SUBSTITUTE(H351,"~","~~"),"*","~*"),"?","~?"),Guide!$A$7:$A$9,0))),INDEX(Guide!$B$7:$B$9,MATCH(SUBSTITUTE(SUBSTITUTE(SUBSTITUTE(H351,"~","~~"),"*","~*"),"?","~?"),Guide!$A$7:$A$9,0)),""),"")</f>
        <v>Office</v>
      </c>
      <c r="J351" s="1" t="str">
        <f>IF(TRIM(Raw!E351)="",I351,IF(UPPER(TRIM(Raw!E351))=UPPER(I351),I351,""))</f>
        <v>Office</v>
      </c>
      <c r="K351" s="1" t="str">
        <f>IF(Raw!F351="","",Raw!F351)</f>
        <v>sale</v>
      </c>
      <c r="L351" s="1" t="str">
        <f>IF(LEFT(TRIM(Raw!G351),2)="-$","-"&amp;MID(TRIM(Raw!G351),3,99),IF(LEFT(TRIM(Raw!G351),1)="$",MID(TRIM(Raw!G351),2,99),TRIM(Raw!G351)))</f>
        <v>49.08</v>
      </c>
      <c r="M351" s="1">
        <f t="shared" si="43"/>
        <v>49.08</v>
      </c>
      <c r="N351" s="10">
        <f t="shared" si="44"/>
        <v>4908</v>
      </c>
      <c r="O351" s="1" t="b">
        <f>IFERROR(IF(ISNUMBER(Raw!G351),TRUE,OR(EXACT(L351,TEXT(M351,"0.00")),EXACT(L351,TEXT(M351,"#,##0.00")))),FALSE)</f>
        <v>1</v>
      </c>
      <c r="P351" s="1" t="str">
        <f>LEN(IF(Raw!A351="","",Raw!A351))&amp;":"&amp;IF(Raw!A351="","",Raw!A351)&amp;"|"&amp;LEN(IF(Raw!B351="","",Raw!B351))&amp;":"&amp;IF(Raw!B351="","",Raw!B351)&amp;"|"&amp;LEN(IF(Raw!C351="","",Raw!C351))&amp;":"&amp;IF(Raw!C351="","",Raw!C351)&amp;"|"&amp;LEN(IF(Raw!D351="","",Raw!D351))&amp;":"&amp;IF(Raw!D351="","",Raw!D351)&amp;"|"&amp;LEN(IF(Raw!E351="","",Raw!E351))&amp;":"&amp;IF(Raw!E351="","",Raw!E351)&amp;"|"&amp;LEN(IF(Raw!F351="","",Raw!F351))&amp;":"&amp;IF(Raw!F351="","",Raw!F351)&amp;"|"&amp;LEN(IF(Raw!G351="","",Raw!G351))&amp;":"&amp;IF(Raw!G351="","",Raw!G351)</f>
        <v>6:L00345|6:T00173|10:2026-02-04|3:P-O|6:Office|4:sale|5:49.08</v>
      </c>
      <c r="Q351" s="1">
        <f>1</f>
        <v>1</v>
      </c>
      <c r="R351" s="1" t="b">
        <f>FALSE</f>
        <v>0</v>
      </c>
      <c r="S351" s="1">
        <f>1</f>
        <v>1</v>
      </c>
      <c r="T351" s="1" t="str">
        <f>IF(AND(Raw!A351="",Raw!B351="",Raw!C351="",Raw!D351="",Raw!E351="",Raw!F351="",Raw!G351=""),"UNUSED",IF(A351="","missing line ID",IF(B351="","missing transaction ID",IF(G351="",IF(C351="","missing date","invalid date"),IF(I351="","unknown product",IF(J351="","conflicting category",IF(NOT(OR(EXACT(K351,"sale"),EXACT(K351,"refund"))),"unknown event",IF(OR(N351="",NOT(O351)),"invalid amount",IF(OR(AND(K351="sale",N351&lt;=0),AND(K351="refund",N351&gt;=0)),"invalid sign","")))))))))</f>
        <v/>
      </c>
      <c r="U351" s="1" t="str">
        <f t="shared" si="45"/>
        <v>INCLUDED</v>
      </c>
      <c r="V351" s="1" t="str">
        <f t="shared" si="46"/>
        <v>2026-02</v>
      </c>
      <c r="W351" s="1">
        <f>IF(AND(U351="INCLUDED",X351&gt;0,EXACT(A351,'AI output'!A351)),1,0)</f>
        <v>1</v>
      </c>
      <c r="X351" s="1">
        <f>351</f>
        <v>351</v>
      </c>
      <c r="Y351" s="1">
        <f>IF(AND(U351="INCLUDED",W351=1),--(NOT(EXACT(A351,'AI output'!A351)))+--(NOT(EXACT(B351,'AI output'!B351)))+--(NOT(EXACT(TEXT(G351,"yyyy-mm-dd"),'AI output'!C351)))+--(NOT(EXACT(H351,'AI output'!D351)))+--(NOT(EXACT(J351,'AI output'!E351)))+--(NOT(EXACT(K351,'AI output'!F351)))+--(N351&lt;&gt;'AI output'!L351)+--(NOT('AI output'!M351)),0)</f>
        <v>0</v>
      </c>
      <c r="Z351" s="1">
        <f t="shared" si="47"/>
        <v>0</v>
      </c>
      <c r="AA351" s="1">
        <f>--EXACT(A351,"L00345")</f>
        <v>1</v>
      </c>
    </row>
    <row r="352" spans="1:27" ht="18.95" customHeight="1">
      <c r="A352" s="1" t="str">
        <f>IF(Raw!A352="","",Raw!A352)</f>
        <v>L00346</v>
      </c>
      <c r="B352" s="1" t="str">
        <f>IF(Raw!B352="","",Raw!B352)</f>
        <v>T00173</v>
      </c>
      <c r="C352" s="1" t="str">
        <f>IF(Raw!C352="","",Raw!C352)</f>
        <v>2026-02-04</v>
      </c>
      <c r="D352" s="1">
        <f t="shared" si="40"/>
        <v>2026</v>
      </c>
      <c r="E352" s="1">
        <f>IFERROR(IF(AND(LEN(C352)=10,MID(C352,5,1)="-",MID(C352,8,1)="-"),VALUE(MID(C352,6,2)),IF(AND(LEN(C352)=11,MID(C352,3,1)="-",MID(C352,7,1)="-"),MATCH(UPPER(MID(C352,4,3)),Guide!$D$7:$D$18,0),0)),0)</f>
        <v>2</v>
      </c>
      <c r="F352" s="1">
        <f t="shared" si="41"/>
        <v>4</v>
      </c>
      <c r="G352" s="9">
        <f t="shared" si="42"/>
        <v>46057</v>
      </c>
      <c r="H352" s="1" t="str">
        <f>IF(Raw!D352="","",Raw!D352)</f>
        <v>P-A</v>
      </c>
      <c r="I352" s="1" t="str">
        <f>IFERROR(IF(EXACT(H352,INDEX(Guide!$A$7:$A$9,MATCH(SUBSTITUTE(SUBSTITUTE(SUBSTITUTE(H352,"~","~~"),"*","~*"),"?","~?"),Guide!$A$7:$A$9,0))),INDEX(Guide!$B$7:$B$9,MATCH(SUBSTITUTE(SUBSTITUTE(SUBSTITUTE(H352,"~","~~"),"*","~*"),"?","~?"),Guide!$A$7:$A$9,0)),""),"")</f>
        <v>Accessories</v>
      </c>
      <c r="J352" s="1" t="str">
        <f>IF(TRIM(Raw!E352)="",I352,IF(UPPER(TRIM(Raw!E352))=UPPER(I352),I352,""))</f>
        <v>Accessories</v>
      </c>
      <c r="K352" s="1" t="str">
        <f>IF(Raw!F352="","",Raw!F352)</f>
        <v>refund</v>
      </c>
      <c r="L352" s="1" t="str">
        <f>IF(LEFT(TRIM(Raw!G352),2)="-$","-"&amp;MID(TRIM(Raw!G352),3,99),IF(LEFT(TRIM(Raw!G352),1)="$",MID(TRIM(Raw!G352),2,99),TRIM(Raw!G352)))</f>
        <v>-12.64</v>
      </c>
      <c r="M352" s="1">
        <f t="shared" si="43"/>
        <v>-12.64</v>
      </c>
      <c r="N352" s="10">
        <f t="shared" si="44"/>
        <v>-1264</v>
      </c>
      <c r="O352" s="1" t="b">
        <f>IFERROR(IF(ISNUMBER(Raw!G352),TRUE,OR(EXACT(L352,TEXT(M352,"0.00")),EXACT(L352,TEXT(M352,"#,##0.00")))),FALSE)</f>
        <v>1</v>
      </c>
      <c r="P352" s="1" t="str">
        <f>LEN(IF(Raw!A352="","",Raw!A352))&amp;":"&amp;IF(Raw!A352="","",Raw!A352)&amp;"|"&amp;LEN(IF(Raw!B352="","",Raw!B352))&amp;":"&amp;IF(Raw!B352="","",Raw!B352)&amp;"|"&amp;LEN(IF(Raw!C352="","",Raw!C352))&amp;":"&amp;IF(Raw!C352="","",Raw!C352)&amp;"|"&amp;LEN(IF(Raw!D352="","",Raw!D352))&amp;":"&amp;IF(Raw!D352="","",Raw!D352)&amp;"|"&amp;LEN(IF(Raw!E352="","",Raw!E352))&amp;":"&amp;IF(Raw!E352="","",Raw!E352)&amp;"|"&amp;LEN(IF(Raw!F352="","",Raw!F352))&amp;":"&amp;IF(Raw!F352="","",Raw!F352)&amp;"|"&amp;LEN(IF(Raw!G352="","",Raw!G352))&amp;":"&amp;IF(Raw!G352="","",Raw!G352)</f>
        <v>6:L00346|6:T00173|10:2026-02-04|3:P-A|11:Accessories|6:refund|6:-12.64</v>
      </c>
      <c r="Q352" s="1">
        <f>1</f>
        <v>1</v>
      </c>
      <c r="R352" s="1" t="b">
        <f>FALSE</f>
        <v>0</v>
      </c>
      <c r="S352" s="1">
        <f>1</f>
        <v>1</v>
      </c>
      <c r="T352" s="1" t="str">
        <f>IF(AND(Raw!A352="",Raw!B352="",Raw!C352="",Raw!D352="",Raw!E352="",Raw!F352="",Raw!G352=""),"UNUSED",IF(A352="","missing line ID",IF(B352="","missing transaction ID",IF(G352="",IF(C352="","missing date","invalid date"),IF(I352="","unknown product",IF(J352="","conflicting category",IF(NOT(OR(EXACT(K352,"sale"),EXACT(K352,"refund"))),"unknown event",IF(OR(N352="",NOT(O352)),"invalid amount",IF(OR(AND(K352="sale",N352&lt;=0),AND(K352="refund",N352&gt;=0)),"invalid sign","")))))))))</f>
        <v/>
      </c>
      <c r="U352" s="1" t="str">
        <f t="shared" si="45"/>
        <v>INCLUDED</v>
      </c>
      <c r="V352" s="1" t="str">
        <f t="shared" si="46"/>
        <v>2026-02</v>
      </c>
      <c r="W352" s="1">
        <f>IF(AND(U352="INCLUDED",X352&gt;0,EXACT(A352,'AI output'!A352)),1,0)</f>
        <v>1</v>
      </c>
      <c r="X352" s="1">
        <f>352</f>
        <v>352</v>
      </c>
      <c r="Y352" s="1">
        <f>IF(AND(U352="INCLUDED",W352=1),--(NOT(EXACT(A352,'AI output'!A352)))+--(NOT(EXACT(B352,'AI output'!B352)))+--(NOT(EXACT(TEXT(G352,"yyyy-mm-dd"),'AI output'!C352)))+--(NOT(EXACT(H352,'AI output'!D352)))+--(NOT(EXACT(J352,'AI output'!E352)))+--(NOT(EXACT(K352,'AI output'!F352)))+--(N352&lt;&gt;'AI output'!L352)+--(NOT('AI output'!M352)),0)</f>
        <v>0</v>
      </c>
      <c r="Z352" s="1">
        <f t="shared" si="47"/>
        <v>0</v>
      </c>
      <c r="AA352" s="1">
        <f>--EXACT(A352,"L00346")</f>
        <v>1</v>
      </c>
    </row>
    <row r="353" spans="1:27" ht="18.95" customHeight="1">
      <c r="A353" s="1" t="str">
        <f>IF(Raw!A353="","",Raw!A353)</f>
        <v>L00347</v>
      </c>
      <c r="B353" s="1" t="str">
        <f>IF(Raw!B353="","",Raw!B353)</f>
        <v>T00174</v>
      </c>
      <c r="C353" s="1" t="str">
        <f>IF(Raw!C353="","",Raw!C353)</f>
        <v>2026-02-11</v>
      </c>
      <c r="D353" s="1">
        <f t="shared" si="40"/>
        <v>2026</v>
      </c>
      <c r="E353" s="1">
        <f>IFERROR(IF(AND(LEN(C353)=10,MID(C353,5,1)="-",MID(C353,8,1)="-"),VALUE(MID(C353,6,2)),IF(AND(LEN(C353)=11,MID(C353,3,1)="-",MID(C353,7,1)="-"),MATCH(UPPER(MID(C353,4,3)),Guide!$D$7:$D$18,0),0)),0)</f>
        <v>2</v>
      </c>
      <c r="F353" s="1">
        <f t="shared" si="41"/>
        <v>11</v>
      </c>
      <c r="G353" s="9">
        <f t="shared" si="42"/>
        <v>46064</v>
      </c>
      <c r="H353" s="1" t="str">
        <f>IF(Raw!D353="","",Raw!D353)</f>
        <v>P-H</v>
      </c>
      <c r="I353" s="1" t="str">
        <f>IFERROR(IF(EXACT(H353,INDEX(Guide!$A$7:$A$9,MATCH(SUBSTITUTE(SUBSTITUTE(SUBSTITUTE(H353,"~","~~"),"*","~*"),"?","~?"),Guide!$A$7:$A$9,0))),INDEX(Guide!$B$7:$B$9,MATCH(SUBSTITUTE(SUBSTITUTE(SUBSTITUTE(H353,"~","~~"),"*","~*"),"?","~?"),Guide!$A$7:$A$9,0)),""),"")</f>
        <v>Home</v>
      </c>
      <c r="J353" s="1" t="str">
        <f>IF(TRIM(Raw!E353)="",I353,IF(UPPER(TRIM(Raw!E353))=UPPER(I353),I353,""))</f>
        <v>Home</v>
      </c>
      <c r="K353" s="1" t="str">
        <f>IF(Raw!F353="","",Raw!F353)</f>
        <v>sale</v>
      </c>
      <c r="L353" s="1" t="str">
        <f>IF(LEFT(TRIM(Raw!G353),2)="-$","-"&amp;MID(TRIM(Raw!G353),3,99),IF(LEFT(TRIM(Raw!G353),1)="$",MID(TRIM(Raw!G353),2,99),TRIM(Raw!G353)))</f>
        <v>39.03</v>
      </c>
      <c r="M353" s="1">
        <f t="shared" si="43"/>
        <v>39.03</v>
      </c>
      <c r="N353" s="10">
        <f t="shared" si="44"/>
        <v>3903</v>
      </c>
      <c r="O353" s="1" t="b">
        <f>IFERROR(IF(ISNUMBER(Raw!G353),TRUE,OR(EXACT(L353,TEXT(M353,"0.00")),EXACT(L353,TEXT(M353,"#,##0.00")))),FALSE)</f>
        <v>1</v>
      </c>
      <c r="P353" s="1" t="str">
        <f>LEN(IF(Raw!A353="","",Raw!A353))&amp;":"&amp;IF(Raw!A353="","",Raw!A353)&amp;"|"&amp;LEN(IF(Raw!B353="","",Raw!B353))&amp;":"&amp;IF(Raw!B353="","",Raw!B353)&amp;"|"&amp;LEN(IF(Raw!C353="","",Raw!C353))&amp;":"&amp;IF(Raw!C353="","",Raw!C353)&amp;"|"&amp;LEN(IF(Raw!D353="","",Raw!D353))&amp;":"&amp;IF(Raw!D353="","",Raw!D353)&amp;"|"&amp;LEN(IF(Raw!E353="","",Raw!E353))&amp;":"&amp;IF(Raw!E353="","",Raw!E353)&amp;"|"&amp;LEN(IF(Raw!F353="","",Raw!F353))&amp;":"&amp;IF(Raw!F353="","",Raw!F353)&amp;"|"&amp;LEN(IF(Raw!G353="","",Raw!G353))&amp;":"&amp;IF(Raw!G353="","",Raw!G353)</f>
        <v>6:L00347|6:T00174|10:2026-02-11|3:P-H|4:Home|4:sale|5:39.03</v>
      </c>
      <c r="Q353" s="1">
        <f>1</f>
        <v>1</v>
      </c>
      <c r="R353" s="1" t="b">
        <f>FALSE</f>
        <v>0</v>
      </c>
      <c r="S353" s="1">
        <f>1</f>
        <v>1</v>
      </c>
      <c r="T353" s="1" t="str">
        <f>IF(AND(Raw!A353="",Raw!B353="",Raw!C353="",Raw!D353="",Raw!E353="",Raw!F353="",Raw!G353=""),"UNUSED",IF(A353="","missing line ID",IF(B353="","missing transaction ID",IF(G353="",IF(C353="","missing date","invalid date"),IF(I353="","unknown product",IF(J353="","conflicting category",IF(NOT(OR(EXACT(K353,"sale"),EXACT(K353,"refund"))),"unknown event",IF(OR(N353="",NOT(O353)),"invalid amount",IF(OR(AND(K353="sale",N353&lt;=0),AND(K353="refund",N353&gt;=0)),"invalid sign","")))))))))</f>
        <v/>
      </c>
      <c r="U353" s="1" t="str">
        <f t="shared" si="45"/>
        <v>INCLUDED</v>
      </c>
      <c r="V353" s="1" t="str">
        <f t="shared" si="46"/>
        <v>2026-02</v>
      </c>
      <c r="W353" s="1">
        <f>IF(AND(U353="INCLUDED",X353&gt;0,EXACT(A353,'AI output'!A353)),1,0)</f>
        <v>1</v>
      </c>
      <c r="X353" s="1">
        <f>353</f>
        <v>353</v>
      </c>
      <c r="Y353" s="1">
        <f>IF(AND(U353="INCLUDED",W353=1),--(NOT(EXACT(A353,'AI output'!A353)))+--(NOT(EXACT(B353,'AI output'!B353)))+--(NOT(EXACT(TEXT(G353,"yyyy-mm-dd"),'AI output'!C353)))+--(NOT(EXACT(H353,'AI output'!D353)))+--(NOT(EXACT(J353,'AI output'!E353)))+--(NOT(EXACT(K353,'AI output'!F353)))+--(N353&lt;&gt;'AI output'!L353)+--(NOT('AI output'!M353)),0)</f>
        <v>0</v>
      </c>
      <c r="Z353" s="1">
        <f t="shared" si="47"/>
        <v>0</v>
      </c>
      <c r="AA353" s="1">
        <f>--EXACT(A353,"L00347")</f>
        <v>1</v>
      </c>
    </row>
    <row r="354" spans="1:27" ht="18.95" customHeight="1">
      <c r="A354" s="1" t="str">
        <f>IF(Raw!A354="","",Raw!A354)</f>
        <v>L00348</v>
      </c>
      <c r="B354" s="1" t="str">
        <f>IF(Raw!B354="","",Raw!B354)</f>
        <v>T00174</v>
      </c>
      <c r="C354" s="1" t="str">
        <f>IF(Raw!C354="","",Raw!C354)</f>
        <v>2026-02-11</v>
      </c>
      <c r="D354" s="1">
        <f t="shared" si="40"/>
        <v>2026</v>
      </c>
      <c r="E354" s="1">
        <f>IFERROR(IF(AND(LEN(C354)=10,MID(C354,5,1)="-",MID(C354,8,1)="-"),VALUE(MID(C354,6,2)),IF(AND(LEN(C354)=11,MID(C354,3,1)="-",MID(C354,7,1)="-"),MATCH(UPPER(MID(C354,4,3)),Guide!$D$7:$D$18,0),0)),0)</f>
        <v>2</v>
      </c>
      <c r="F354" s="1">
        <f t="shared" si="41"/>
        <v>11</v>
      </c>
      <c r="G354" s="9">
        <f t="shared" si="42"/>
        <v>46064</v>
      </c>
      <c r="H354" s="1" t="str">
        <f>IF(Raw!D354="","",Raw!D354)</f>
        <v>P-O</v>
      </c>
      <c r="I354" s="1" t="str">
        <f>IFERROR(IF(EXACT(H354,INDEX(Guide!$A$7:$A$9,MATCH(SUBSTITUTE(SUBSTITUTE(SUBSTITUTE(H354,"~","~~"),"*","~*"),"?","~?"),Guide!$A$7:$A$9,0))),INDEX(Guide!$B$7:$B$9,MATCH(SUBSTITUTE(SUBSTITUTE(SUBSTITUTE(H354,"~","~~"),"*","~*"),"?","~?"),Guide!$A$7:$A$9,0)),""),"")</f>
        <v>Office</v>
      </c>
      <c r="J354" s="1" t="str">
        <f>IF(TRIM(Raw!E354)="",I354,IF(UPPER(TRIM(Raw!E354))=UPPER(I354),I354,""))</f>
        <v>Office</v>
      </c>
      <c r="K354" s="1" t="str">
        <f>IF(Raw!F354="","",Raw!F354)</f>
        <v>sale</v>
      </c>
      <c r="L354" s="1" t="str">
        <f>IF(LEFT(TRIM(Raw!G354),2)="-$","-"&amp;MID(TRIM(Raw!G354),3,99),IF(LEFT(TRIM(Raw!G354),1)="$",MID(TRIM(Raw!G354),2,99),TRIM(Raw!G354)))</f>
        <v>66.90</v>
      </c>
      <c r="M354" s="1">
        <f t="shared" si="43"/>
        <v>66.900000000000006</v>
      </c>
      <c r="N354" s="10">
        <f t="shared" si="44"/>
        <v>6690</v>
      </c>
      <c r="O354" s="1" t="b">
        <f>IFERROR(IF(ISNUMBER(Raw!G354),TRUE,OR(EXACT(L354,TEXT(M354,"0.00")),EXACT(L354,TEXT(M354,"#,##0.00")))),FALSE)</f>
        <v>1</v>
      </c>
      <c r="P354" s="1" t="str">
        <f>LEN(IF(Raw!A354="","",Raw!A354))&amp;":"&amp;IF(Raw!A354="","",Raw!A354)&amp;"|"&amp;LEN(IF(Raw!B354="","",Raw!B354))&amp;":"&amp;IF(Raw!B354="","",Raw!B354)&amp;"|"&amp;LEN(IF(Raw!C354="","",Raw!C354))&amp;":"&amp;IF(Raw!C354="","",Raw!C354)&amp;"|"&amp;LEN(IF(Raw!D354="","",Raw!D354))&amp;":"&amp;IF(Raw!D354="","",Raw!D354)&amp;"|"&amp;LEN(IF(Raw!E354="","",Raw!E354))&amp;":"&amp;IF(Raw!E354="","",Raw!E354)&amp;"|"&amp;LEN(IF(Raw!F354="","",Raw!F354))&amp;":"&amp;IF(Raw!F354="","",Raw!F354)&amp;"|"&amp;LEN(IF(Raw!G354="","",Raw!G354))&amp;":"&amp;IF(Raw!G354="","",Raw!G354)</f>
        <v>6:L00348|6:T00174|10:2026-02-11|3:P-O|6:Office|4:sale|5:66.90</v>
      </c>
      <c r="Q354" s="1">
        <f>1</f>
        <v>1</v>
      </c>
      <c r="R354" s="1" t="b">
        <f>FALSE</f>
        <v>0</v>
      </c>
      <c r="S354" s="1">
        <f>1</f>
        <v>1</v>
      </c>
      <c r="T354" s="1" t="str">
        <f>IF(AND(Raw!A354="",Raw!B354="",Raw!C354="",Raw!D354="",Raw!E354="",Raw!F354="",Raw!G354=""),"UNUSED",IF(A354="","missing line ID",IF(B354="","missing transaction ID",IF(G354="",IF(C354="","missing date","invalid date"),IF(I354="","unknown product",IF(J354="","conflicting category",IF(NOT(OR(EXACT(K354,"sale"),EXACT(K354,"refund"))),"unknown event",IF(OR(N354="",NOT(O354)),"invalid amount",IF(OR(AND(K354="sale",N354&lt;=0),AND(K354="refund",N354&gt;=0)),"invalid sign","")))))))))</f>
        <v/>
      </c>
      <c r="U354" s="1" t="str">
        <f t="shared" si="45"/>
        <v>INCLUDED</v>
      </c>
      <c r="V354" s="1" t="str">
        <f t="shared" si="46"/>
        <v>2026-02</v>
      </c>
      <c r="W354" s="1">
        <f>IF(AND(U354="INCLUDED",X354&gt;0,EXACT(A354,'AI output'!A354)),1,0)</f>
        <v>1</v>
      </c>
      <c r="X354" s="1">
        <f>354</f>
        <v>354</v>
      </c>
      <c r="Y354" s="1">
        <f>IF(AND(U354="INCLUDED",W354=1),--(NOT(EXACT(A354,'AI output'!A354)))+--(NOT(EXACT(B354,'AI output'!B354)))+--(NOT(EXACT(TEXT(G354,"yyyy-mm-dd"),'AI output'!C354)))+--(NOT(EXACT(H354,'AI output'!D354)))+--(NOT(EXACT(J354,'AI output'!E354)))+--(NOT(EXACT(K354,'AI output'!F354)))+--(N354&lt;&gt;'AI output'!L354)+--(NOT('AI output'!M354)),0)</f>
        <v>0</v>
      </c>
      <c r="Z354" s="1">
        <f t="shared" si="47"/>
        <v>0</v>
      </c>
      <c r="AA354" s="1">
        <f>--EXACT(A354,"L00348")</f>
        <v>1</v>
      </c>
    </row>
    <row r="355" spans="1:27" ht="18.95" customHeight="1">
      <c r="A355" s="1" t="str">
        <f>IF(Raw!A355="","",Raw!A355)</f>
        <v>L00349</v>
      </c>
      <c r="B355" s="1" t="str">
        <f>IF(Raw!B355="","",Raw!B355)</f>
        <v>T00175</v>
      </c>
      <c r="C355" s="1" t="str">
        <f>IF(Raw!C355="","",Raw!C355)</f>
        <v>2026-02-18</v>
      </c>
      <c r="D355" s="1">
        <f t="shared" si="40"/>
        <v>2026</v>
      </c>
      <c r="E355" s="1">
        <f>IFERROR(IF(AND(LEN(C355)=10,MID(C355,5,1)="-",MID(C355,8,1)="-"),VALUE(MID(C355,6,2)),IF(AND(LEN(C355)=11,MID(C355,3,1)="-",MID(C355,7,1)="-"),MATCH(UPPER(MID(C355,4,3)),Guide!$D$7:$D$18,0),0)),0)</f>
        <v>2</v>
      </c>
      <c r="F355" s="1">
        <f t="shared" si="41"/>
        <v>18</v>
      </c>
      <c r="G355" s="9">
        <f t="shared" si="42"/>
        <v>46071</v>
      </c>
      <c r="H355" s="1" t="str">
        <f>IF(Raw!D355="","",Raw!D355)</f>
        <v>P-A</v>
      </c>
      <c r="I355" s="1" t="str">
        <f>IFERROR(IF(EXACT(H355,INDEX(Guide!$A$7:$A$9,MATCH(SUBSTITUTE(SUBSTITUTE(SUBSTITUTE(H355,"~","~~"),"*","~*"),"?","~?"),Guide!$A$7:$A$9,0))),INDEX(Guide!$B$7:$B$9,MATCH(SUBSTITUTE(SUBSTITUTE(SUBSTITUTE(H355,"~","~~"),"*","~*"),"?","~?"),Guide!$A$7:$A$9,0)),""),"")</f>
        <v>Accessories</v>
      </c>
      <c r="J355" s="1" t="str">
        <f>IF(TRIM(Raw!E355)="",I355,IF(UPPER(TRIM(Raw!E355))=UPPER(I355),I355,""))</f>
        <v>Accessories</v>
      </c>
      <c r="K355" s="1" t="str">
        <f>IF(Raw!F355="","",Raw!F355)</f>
        <v>sale</v>
      </c>
      <c r="L355" s="1" t="str">
        <f>IF(LEFT(TRIM(Raw!G355),2)="-$","-"&amp;MID(TRIM(Raw!G355),3,99),IF(LEFT(TRIM(Raw!G355),1)="$",MID(TRIM(Raw!G355),2,99),TRIM(Raw!G355)))</f>
        <v>27.50</v>
      </c>
      <c r="M355" s="1">
        <f t="shared" si="43"/>
        <v>27.5</v>
      </c>
      <c r="N355" s="10">
        <f t="shared" si="44"/>
        <v>2750</v>
      </c>
      <c r="O355" s="1" t="b">
        <f>IFERROR(IF(ISNUMBER(Raw!G355),TRUE,OR(EXACT(L355,TEXT(M355,"0.00")),EXACT(L355,TEXT(M355,"#,##0.00")))),FALSE)</f>
        <v>1</v>
      </c>
      <c r="P355" s="1" t="str">
        <f>LEN(IF(Raw!A355="","",Raw!A355))&amp;":"&amp;IF(Raw!A355="","",Raw!A355)&amp;"|"&amp;LEN(IF(Raw!B355="","",Raw!B355))&amp;":"&amp;IF(Raw!B355="","",Raw!B355)&amp;"|"&amp;LEN(IF(Raw!C355="","",Raw!C355))&amp;":"&amp;IF(Raw!C355="","",Raw!C355)&amp;"|"&amp;LEN(IF(Raw!D355="","",Raw!D355))&amp;":"&amp;IF(Raw!D355="","",Raw!D355)&amp;"|"&amp;LEN(IF(Raw!E355="","",Raw!E355))&amp;":"&amp;IF(Raw!E355="","",Raw!E355)&amp;"|"&amp;LEN(IF(Raw!F355="","",Raw!F355))&amp;":"&amp;IF(Raw!F355="","",Raw!F355)&amp;"|"&amp;LEN(IF(Raw!G355="","",Raw!G355))&amp;":"&amp;IF(Raw!G355="","",Raw!G355)</f>
        <v>6:L00349|6:T00175|10:2026-02-18|3:P-A|11:Accessories|4:sale|5:27.50</v>
      </c>
      <c r="Q355" s="1">
        <f>1</f>
        <v>1</v>
      </c>
      <c r="R355" s="1" t="b">
        <f>FALSE</f>
        <v>0</v>
      </c>
      <c r="S355" s="1">
        <f>1</f>
        <v>1</v>
      </c>
      <c r="T355" s="1" t="str">
        <f>IF(AND(Raw!A355="",Raw!B355="",Raw!C355="",Raw!D355="",Raw!E355="",Raw!F355="",Raw!G355=""),"UNUSED",IF(A355="","missing line ID",IF(B355="","missing transaction ID",IF(G355="",IF(C355="","missing date","invalid date"),IF(I355="","unknown product",IF(J355="","conflicting category",IF(NOT(OR(EXACT(K355,"sale"),EXACT(K355,"refund"))),"unknown event",IF(OR(N355="",NOT(O355)),"invalid amount",IF(OR(AND(K355="sale",N355&lt;=0),AND(K355="refund",N355&gt;=0)),"invalid sign","")))))))))</f>
        <v/>
      </c>
      <c r="U355" s="1" t="str">
        <f t="shared" si="45"/>
        <v>INCLUDED</v>
      </c>
      <c r="V355" s="1" t="str">
        <f t="shared" si="46"/>
        <v>2026-02</v>
      </c>
      <c r="W355" s="1">
        <f>IF(AND(U355="INCLUDED",X355&gt;0,EXACT(A355,'AI output'!A355)),1,0)</f>
        <v>1</v>
      </c>
      <c r="X355" s="1">
        <f>355</f>
        <v>355</v>
      </c>
      <c r="Y355" s="1">
        <f>IF(AND(U355="INCLUDED",W355=1),--(NOT(EXACT(A355,'AI output'!A355)))+--(NOT(EXACT(B355,'AI output'!B355)))+--(NOT(EXACT(TEXT(G355,"yyyy-mm-dd"),'AI output'!C355)))+--(NOT(EXACT(H355,'AI output'!D355)))+--(NOT(EXACT(J355,'AI output'!E355)))+--(NOT(EXACT(K355,'AI output'!F355)))+--(N355&lt;&gt;'AI output'!L355)+--(NOT('AI output'!M355)),0)</f>
        <v>0</v>
      </c>
      <c r="Z355" s="1">
        <f t="shared" si="47"/>
        <v>0</v>
      </c>
      <c r="AA355" s="1">
        <f>--EXACT(A355,"L00349")</f>
        <v>1</v>
      </c>
    </row>
    <row r="356" spans="1:27" ht="18.95" customHeight="1">
      <c r="A356" s="1" t="str">
        <f>IF(Raw!A356="","",Raw!A356)</f>
        <v>L00350</v>
      </c>
      <c r="B356" s="1" t="str">
        <f>IF(Raw!B356="","",Raw!B356)</f>
        <v>T00175</v>
      </c>
      <c r="C356" s="1" t="str">
        <f>IF(Raw!C356="","",Raw!C356)</f>
        <v>2026-02-18</v>
      </c>
      <c r="D356" s="1">
        <f t="shared" si="40"/>
        <v>2026</v>
      </c>
      <c r="E356" s="1">
        <f>IFERROR(IF(AND(LEN(C356)=10,MID(C356,5,1)="-",MID(C356,8,1)="-"),VALUE(MID(C356,6,2)),IF(AND(LEN(C356)=11,MID(C356,3,1)="-",MID(C356,7,1)="-"),MATCH(UPPER(MID(C356,4,3)),Guide!$D$7:$D$18,0),0)),0)</f>
        <v>2</v>
      </c>
      <c r="F356" s="1">
        <f t="shared" si="41"/>
        <v>18</v>
      </c>
      <c r="G356" s="9">
        <f t="shared" si="42"/>
        <v>46071</v>
      </c>
      <c r="H356" s="1" t="str">
        <f>IF(Raw!D356="","",Raw!D356)</f>
        <v>P-H</v>
      </c>
      <c r="I356" s="1" t="str">
        <f>IFERROR(IF(EXACT(H356,INDEX(Guide!$A$7:$A$9,MATCH(SUBSTITUTE(SUBSTITUTE(SUBSTITUTE(H356,"~","~~"),"*","~*"),"?","~?"),Guide!$A$7:$A$9,0))),INDEX(Guide!$B$7:$B$9,MATCH(SUBSTITUTE(SUBSTITUTE(SUBSTITUTE(H356,"~","~~"),"*","~*"),"?","~?"),Guide!$A$7:$A$9,0)),""),"")</f>
        <v>Home</v>
      </c>
      <c r="J356" s="1" t="str">
        <f>IF(TRIM(Raw!E356)="",I356,IF(UPPER(TRIM(Raw!E356))=UPPER(I356),I356,""))</f>
        <v>Home</v>
      </c>
      <c r="K356" s="1" t="str">
        <f>IF(Raw!F356="","",Raw!F356)</f>
        <v>sale</v>
      </c>
      <c r="L356" s="1" t="str">
        <f>IF(LEFT(TRIM(Raw!G356),2)="-$","-"&amp;MID(TRIM(Raw!G356),3,99),IF(LEFT(TRIM(Raw!G356),1)="$",MID(TRIM(Raw!G356),2,99),TRIM(Raw!G356)))</f>
        <v>56.48</v>
      </c>
      <c r="M356" s="1">
        <f t="shared" si="43"/>
        <v>56.48</v>
      </c>
      <c r="N356" s="10">
        <f t="shared" si="44"/>
        <v>5648</v>
      </c>
      <c r="O356" s="1" t="b">
        <f>IFERROR(IF(ISNUMBER(Raw!G356),TRUE,OR(EXACT(L356,TEXT(M356,"0.00")),EXACT(L356,TEXT(M356,"#,##0.00")))),FALSE)</f>
        <v>1</v>
      </c>
      <c r="P356" s="1" t="str">
        <f>LEN(IF(Raw!A356="","",Raw!A356))&amp;":"&amp;IF(Raw!A356="","",Raw!A356)&amp;"|"&amp;LEN(IF(Raw!B356="","",Raw!B356))&amp;":"&amp;IF(Raw!B356="","",Raw!B356)&amp;"|"&amp;LEN(IF(Raw!C356="","",Raw!C356))&amp;":"&amp;IF(Raw!C356="","",Raw!C356)&amp;"|"&amp;LEN(IF(Raw!D356="","",Raw!D356))&amp;":"&amp;IF(Raw!D356="","",Raw!D356)&amp;"|"&amp;LEN(IF(Raw!E356="","",Raw!E356))&amp;":"&amp;IF(Raw!E356="","",Raw!E356)&amp;"|"&amp;LEN(IF(Raw!F356="","",Raw!F356))&amp;":"&amp;IF(Raw!F356="","",Raw!F356)&amp;"|"&amp;LEN(IF(Raw!G356="","",Raw!G356))&amp;":"&amp;IF(Raw!G356="","",Raw!G356)</f>
        <v>6:L00350|6:T00175|10:2026-02-18|3:P-H|4:Home|4:sale|5:56.48</v>
      </c>
      <c r="Q356" s="1">
        <f>1</f>
        <v>1</v>
      </c>
      <c r="R356" s="1" t="b">
        <f>FALSE</f>
        <v>0</v>
      </c>
      <c r="S356" s="1">
        <f>1</f>
        <v>1</v>
      </c>
      <c r="T356" s="1" t="str">
        <f>IF(AND(Raw!A356="",Raw!B356="",Raw!C356="",Raw!D356="",Raw!E356="",Raw!F356="",Raw!G356=""),"UNUSED",IF(A356="","missing line ID",IF(B356="","missing transaction ID",IF(G356="",IF(C356="","missing date","invalid date"),IF(I356="","unknown product",IF(J356="","conflicting category",IF(NOT(OR(EXACT(K356,"sale"),EXACT(K356,"refund"))),"unknown event",IF(OR(N356="",NOT(O356)),"invalid amount",IF(OR(AND(K356="sale",N356&lt;=0),AND(K356="refund",N356&gt;=0)),"invalid sign","")))))))))</f>
        <v/>
      </c>
      <c r="U356" s="1" t="str">
        <f t="shared" si="45"/>
        <v>INCLUDED</v>
      </c>
      <c r="V356" s="1" t="str">
        <f t="shared" si="46"/>
        <v>2026-02</v>
      </c>
      <c r="W356" s="1">
        <f>IF(AND(U356="INCLUDED",X356&gt;0,EXACT(A356,'AI output'!A356)),1,0)</f>
        <v>1</v>
      </c>
      <c r="X356" s="1">
        <f>356</f>
        <v>356</v>
      </c>
      <c r="Y356" s="1">
        <f>IF(AND(U356="INCLUDED",W356=1),--(NOT(EXACT(A356,'AI output'!A356)))+--(NOT(EXACT(B356,'AI output'!B356)))+--(NOT(EXACT(TEXT(G356,"yyyy-mm-dd"),'AI output'!C356)))+--(NOT(EXACT(H356,'AI output'!D356)))+--(NOT(EXACT(J356,'AI output'!E356)))+--(NOT(EXACT(K356,'AI output'!F356)))+--(N356&lt;&gt;'AI output'!L356)+--(NOT('AI output'!M356)),0)</f>
        <v>0</v>
      </c>
      <c r="Z356" s="1">
        <f t="shared" si="47"/>
        <v>0</v>
      </c>
      <c r="AA356" s="1">
        <f>--EXACT(A356,"L00350")</f>
        <v>1</v>
      </c>
    </row>
    <row r="357" spans="1:27" ht="18.95" customHeight="1">
      <c r="A357" s="1" t="str">
        <f>IF(Raw!A357="","",Raw!A357)</f>
        <v>L00351</v>
      </c>
      <c r="B357" s="1" t="str">
        <f>IF(Raw!B357="","",Raw!B357)</f>
        <v>T00176</v>
      </c>
      <c r="C357" s="1" t="str">
        <f>IF(Raw!C357="","",Raw!C357)</f>
        <v>2026-02-25</v>
      </c>
      <c r="D357" s="1">
        <f t="shared" si="40"/>
        <v>2026</v>
      </c>
      <c r="E357" s="1">
        <f>IFERROR(IF(AND(LEN(C357)=10,MID(C357,5,1)="-",MID(C357,8,1)="-"),VALUE(MID(C357,6,2)),IF(AND(LEN(C357)=11,MID(C357,3,1)="-",MID(C357,7,1)="-"),MATCH(UPPER(MID(C357,4,3)),Guide!$D$7:$D$18,0),0)),0)</f>
        <v>2</v>
      </c>
      <c r="F357" s="1">
        <f t="shared" si="41"/>
        <v>25</v>
      </c>
      <c r="G357" s="9">
        <f t="shared" si="42"/>
        <v>46078</v>
      </c>
      <c r="H357" s="1" t="str">
        <f>IF(Raw!D357="","",Raw!D357)</f>
        <v>P-O</v>
      </c>
      <c r="I357" s="1" t="str">
        <f>IFERROR(IF(EXACT(H357,INDEX(Guide!$A$7:$A$9,MATCH(SUBSTITUTE(SUBSTITUTE(SUBSTITUTE(H357,"~","~~"),"*","~*"),"?","~?"),Guide!$A$7:$A$9,0))),INDEX(Guide!$B$7:$B$9,MATCH(SUBSTITUTE(SUBSTITUTE(SUBSTITUTE(H357,"~","~~"),"*","~*"),"?","~?"),Guide!$A$7:$A$9,0)),""),"")</f>
        <v>Office</v>
      </c>
      <c r="J357" s="1" t="str">
        <f>IF(TRIM(Raw!E357)="",I357,IF(UPPER(TRIM(Raw!E357))=UPPER(I357),I357,""))</f>
        <v>Office</v>
      </c>
      <c r="K357" s="1" t="str">
        <f>IF(Raw!F357="","",Raw!F357)</f>
        <v>sale</v>
      </c>
      <c r="L357" s="1" t="str">
        <f>IF(LEFT(TRIM(Raw!G357),2)="-$","-"&amp;MID(TRIM(Raw!G357),3,99),IF(LEFT(TRIM(Raw!G357),1)="$",MID(TRIM(Raw!G357),2,99),TRIM(Raw!G357)))</f>
        <v>14.49</v>
      </c>
      <c r="M357" s="1">
        <f t="shared" si="43"/>
        <v>14.49</v>
      </c>
      <c r="N357" s="10">
        <f t="shared" si="44"/>
        <v>1449</v>
      </c>
      <c r="O357" s="1" t="b">
        <f>IFERROR(IF(ISNUMBER(Raw!G357),TRUE,OR(EXACT(L357,TEXT(M357,"0.00")),EXACT(L357,TEXT(M357,"#,##0.00")))),FALSE)</f>
        <v>1</v>
      </c>
      <c r="P357" s="1" t="str">
        <f>LEN(IF(Raw!A357="","",Raw!A357))&amp;":"&amp;IF(Raw!A357="","",Raw!A357)&amp;"|"&amp;LEN(IF(Raw!B357="","",Raw!B357))&amp;":"&amp;IF(Raw!B357="","",Raw!B357)&amp;"|"&amp;LEN(IF(Raw!C357="","",Raw!C357))&amp;":"&amp;IF(Raw!C357="","",Raw!C357)&amp;"|"&amp;LEN(IF(Raw!D357="","",Raw!D357))&amp;":"&amp;IF(Raw!D357="","",Raw!D357)&amp;"|"&amp;LEN(IF(Raw!E357="","",Raw!E357))&amp;":"&amp;IF(Raw!E357="","",Raw!E357)&amp;"|"&amp;LEN(IF(Raw!F357="","",Raw!F357))&amp;":"&amp;IF(Raw!F357="","",Raw!F357)&amp;"|"&amp;LEN(IF(Raw!G357="","",Raw!G357))&amp;":"&amp;IF(Raw!G357="","",Raw!G357)</f>
        <v>6:L00351|6:T00176|10:2026-02-25|3:P-O|6:Office|4:sale|5:14.49</v>
      </c>
      <c r="Q357" s="1">
        <f>1</f>
        <v>1</v>
      </c>
      <c r="R357" s="1" t="b">
        <f>FALSE</f>
        <v>0</v>
      </c>
      <c r="S357" s="1">
        <f>1</f>
        <v>1</v>
      </c>
      <c r="T357" s="1" t="str">
        <f>IF(AND(Raw!A357="",Raw!B357="",Raw!C357="",Raw!D357="",Raw!E357="",Raw!F357="",Raw!G357=""),"UNUSED",IF(A357="","missing line ID",IF(B357="","missing transaction ID",IF(G357="",IF(C357="","missing date","invalid date"),IF(I357="","unknown product",IF(J357="","conflicting category",IF(NOT(OR(EXACT(K357,"sale"),EXACT(K357,"refund"))),"unknown event",IF(OR(N357="",NOT(O357)),"invalid amount",IF(OR(AND(K357="sale",N357&lt;=0),AND(K357="refund",N357&gt;=0)),"invalid sign","")))))))))</f>
        <v/>
      </c>
      <c r="U357" s="1" t="str">
        <f t="shared" si="45"/>
        <v>INCLUDED</v>
      </c>
      <c r="V357" s="1" t="str">
        <f t="shared" si="46"/>
        <v>2026-02</v>
      </c>
      <c r="W357" s="1">
        <f>IF(AND(U357="INCLUDED",X357&gt;0,EXACT(A357,'AI output'!A357)),1,0)</f>
        <v>1</v>
      </c>
      <c r="X357" s="1">
        <f>357</f>
        <v>357</v>
      </c>
      <c r="Y357" s="1">
        <f>IF(AND(U357="INCLUDED",W357=1),--(NOT(EXACT(A357,'AI output'!A357)))+--(NOT(EXACT(B357,'AI output'!B357)))+--(NOT(EXACT(TEXT(G357,"yyyy-mm-dd"),'AI output'!C357)))+--(NOT(EXACT(H357,'AI output'!D357)))+--(NOT(EXACT(J357,'AI output'!E357)))+--(NOT(EXACT(K357,'AI output'!F357)))+--(N357&lt;&gt;'AI output'!L357)+--(NOT('AI output'!M357)),0)</f>
        <v>0</v>
      </c>
      <c r="Z357" s="1">
        <f t="shared" si="47"/>
        <v>0</v>
      </c>
      <c r="AA357" s="1">
        <f>--EXACT(A357,"L00351")</f>
        <v>1</v>
      </c>
    </row>
    <row r="358" spans="1:27" ht="18.95" customHeight="1">
      <c r="A358" s="1" t="str">
        <f>IF(Raw!A358="","",Raw!A358)</f>
        <v>L00352</v>
      </c>
      <c r="B358" s="1" t="str">
        <f>IF(Raw!B358="","",Raw!B358)</f>
        <v>T00176</v>
      </c>
      <c r="C358" s="1" t="str">
        <f>IF(Raw!C358="","",Raw!C358)</f>
        <v>2026-02-25</v>
      </c>
      <c r="D358" s="1">
        <f t="shared" si="40"/>
        <v>2026</v>
      </c>
      <c r="E358" s="1">
        <f>IFERROR(IF(AND(LEN(C358)=10,MID(C358,5,1)="-",MID(C358,8,1)="-"),VALUE(MID(C358,6,2)),IF(AND(LEN(C358)=11,MID(C358,3,1)="-",MID(C358,7,1)="-"),MATCH(UPPER(MID(C358,4,3)),Guide!$D$7:$D$18,0),0)),0)</f>
        <v>2</v>
      </c>
      <c r="F358" s="1">
        <f t="shared" si="41"/>
        <v>25</v>
      </c>
      <c r="G358" s="9">
        <f t="shared" si="42"/>
        <v>46078</v>
      </c>
      <c r="H358" s="1" t="str">
        <f>IF(Raw!D358="","",Raw!D358)</f>
        <v>P-A</v>
      </c>
      <c r="I358" s="1" t="str">
        <f>IFERROR(IF(EXACT(H358,INDEX(Guide!$A$7:$A$9,MATCH(SUBSTITUTE(SUBSTITUTE(SUBSTITUTE(H358,"~","~~"),"*","~*"),"?","~?"),Guide!$A$7:$A$9,0))),INDEX(Guide!$B$7:$B$9,MATCH(SUBSTITUTE(SUBSTITUTE(SUBSTITUTE(H358,"~","~~"),"*","~*"),"?","~?"),Guide!$A$7:$A$9,0)),""),"")</f>
        <v>Accessories</v>
      </c>
      <c r="J358" s="1" t="str">
        <f>IF(TRIM(Raw!E358)="",I358,IF(UPPER(TRIM(Raw!E358))=UPPER(I358),I358,""))</f>
        <v>Accessories</v>
      </c>
      <c r="K358" s="1" t="str">
        <f>IF(Raw!F358="","",Raw!F358)</f>
        <v>sale</v>
      </c>
      <c r="L358" s="1" t="str">
        <f>IF(LEFT(TRIM(Raw!G358),2)="-$","-"&amp;MID(TRIM(Raw!G358),3,99),IF(LEFT(TRIM(Raw!G358),1)="$",MID(TRIM(Raw!G358),2,99),TRIM(Raw!G358)))</f>
        <v>44.58</v>
      </c>
      <c r="M358" s="1">
        <f t="shared" si="43"/>
        <v>44.58</v>
      </c>
      <c r="N358" s="10">
        <f t="shared" si="44"/>
        <v>4458</v>
      </c>
      <c r="O358" s="1" t="b">
        <f>IFERROR(IF(ISNUMBER(Raw!G358),TRUE,OR(EXACT(L358,TEXT(M358,"0.00")),EXACT(L358,TEXT(M358,"#,##0.00")))),FALSE)</f>
        <v>1</v>
      </c>
      <c r="P358" s="1" t="str">
        <f>LEN(IF(Raw!A358="","",Raw!A358))&amp;":"&amp;IF(Raw!A358="","",Raw!A358)&amp;"|"&amp;LEN(IF(Raw!B358="","",Raw!B358))&amp;":"&amp;IF(Raw!B358="","",Raw!B358)&amp;"|"&amp;LEN(IF(Raw!C358="","",Raw!C358))&amp;":"&amp;IF(Raw!C358="","",Raw!C358)&amp;"|"&amp;LEN(IF(Raw!D358="","",Raw!D358))&amp;":"&amp;IF(Raw!D358="","",Raw!D358)&amp;"|"&amp;LEN(IF(Raw!E358="","",Raw!E358))&amp;":"&amp;IF(Raw!E358="","",Raw!E358)&amp;"|"&amp;LEN(IF(Raw!F358="","",Raw!F358))&amp;":"&amp;IF(Raw!F358="","",Raw!F358)&amp;"|"&amp;LEN(IF(Raw!G358="","",Raw!G358))&amp;":"&amp;IF(Raw!G358="","",Raw!G358)</f>
        <v>6:L00352|6:T00176|10:2026-02-25|3:P-A|11:Accessories|4:sale|5:44.58</v>
      </c>
      <c r="Q358" s="1">
        <f>1</f>
        <v>1</v>
      </c>
      <c r="R358" s="1" t="b">
        <f>FALSE</f>
        <v>0</v>
      </c>
      <c r="S358" s="1">
        <f>1</f>
        <v>1</v>
      </c>
      <c r="T358" s="1" t="str">
        <f>IF(AND(Raw!A358="",Raw!B358="",Raw!C358="",Raw!D358="",Raw!E358="",Raw!F358="",Raw!G358=""),"UNUSED",IF(A358="","missing line ID",IF(B358="","missing transaction ID",IF(G358="",IF(C358="","missing date","invalid date"),IF(I358="","unknown product",IF(J358="","conflicting category",IF(NOT(OR(EXACT(K358,"sale"),EXACT(K358,"refund"))),"unknown event",IF(OR(N358="",NOT(O358)),"invalid amount",IF(OR(AND(K358="sale",N358&lt;=0),AND(K358="refund",N358&gt;=0)),"invalid sign","")))))))))</f>
        <v/>
      </c>
      <c r="U358" s="1" t="str">
        <f t="shared" si="45"/>
        <v>INCLUDED</v>
      </c>
      <c r="V358" s="1" t="str">
        <f t="shared" si="46"/>
        <v>2026-02</v>
      </c>
      <c r="W358" s="1">
        <f>IF(AND(U358="INCLUDED",X358&gt;0,EXACT(A358,'AI output'!A358)),1,0)</f>
        <v>1</v>
      </c>
      <c r="X358" s="1">
        <f>358</f>
        <v>358</v>
      </c>
      <c r="Y358" s="1">
        <f>IF(AND(U358="INCLUDED",W358=1),--(NOT(EXACT(A358,'AI output'!A358)))+--(NOT(EXACT(B358,'AI output'!B358)))+--(NOT(EXACT(TEXT(G358,"yyyy-mm-dd"),'AI output'!C358)))+--(NOT(EXACT(H358,'AI output'!D358)))+--(NOT(EXACT(J358,'AI output'!E358)))+--(NOT(EXACT(K358,'AI output'!F358)))+--(N358&lt;&gt;'AI output'!L358)+--(NOT('AI output'!M358)),0)</f>
        <v>0</v>
      </c>
      <c r="Z358" s="1">
        <f t="shared" si="47"/>
        <v>0</v>
      </c>
      <c r="AA358" s="1">
        <f>--EXACT(A358,"L00352")</f>
        <v>1</v>
      </c>
    </row>
    <row r="359" spans="1:27" ht="18.95" customHeight="1">
      <c r="A359" s="1" t="str">
        <f>IF(Raw!A359="","",Raw!A359)</f>
        <v>L00353</v>
      </c>
      <c r="B359" s="1" t="str">
        <f>IF(Raw!B359="","",Raw!B359)</f>
        <v>T00177</v>
      </c>
      <c r="C359" s="1" t="str">
        <f>IF(Raw!C359="","",Raw!C359)</f>
        <v>2026-03-04</v>
      </c>
      <c r="D359" s="1">
        <f t="shared" si="40"/>
        <v>2026</v>
      </c>
      <c r="E359" s="1">
        <f>IFERROR(IF(AND(LEN(C359)=10,MID(C359,5,1)="-",MID(C359,8,1)="-"),VALUE(MID(C359,6,2)),IF(AND(LEN(C359)=11,MID(C359,3,1)="-",MID(C359,7,1)="-"),MATCH(UPPER(MID(C359,4,3)),Guide!$D$7:$D$18,0),0)),0)</f>
        <v>3</v>
      </c>
      <c r="F359" s="1">
        <f t="shared" si="41"/>
        <v>4</v>
      </c>
      <c r="G359" s="9">
        <f t="shared" si="42"/>
        <v>46085</v>
      </c>
      <c r="H359" s="1" t="str">
        <f>IF(Raw!D359="","",Raw!D359)</f>
        <v>P-H</v>
      </c>
      <c r="I359" s="1" t="str">
        <f>IFERROR(IF(EXACT(H359,INDEX(Guide!$A$7:$A$9,MATCH(SUBSTITUTE(SUBSTITUTE(SUBSTITUTE(H359,"~","~~"),"*","~*"),"?","~?"),Guide!$A$7:$A$9,0))),INDEX(Guide!$B$7:$B$9,MATCH(SUBSTITUTE(SUBSTITUTE(SUBSTITUTE(H359,"~","~~"),"*","~*"),"?","~?"),Guide!$A$7:$A$9,0)),""),"")</f>
        <v>Home</v>
      </c>
      <c r="J359" s="1" t="str">
        <f>IF(TRIM(Raw!E359)="",I359,IF(UPPER(TRIM(Raw!E359))=UPPER(I359),I359,""))</f>
        <v>Home</v>
      </c>
      <c r="K359" s="1" t="str">
        <f>IF(Raw!F359="","",Raw!F359)</f>
        <v>sale</v>
      </c>
      <c r="L359" s="1" t="str">
        <f>IF(LEFT(TRIM(Raw!G359),2)="-$","-"&amp;MID(TRIM(Raw!G359),3,99),IF(LEFT(TRIM(Raw!G359),1)="$",MID(TRIM(Raw!G359),2,99),TRIM(Raw!G359)))</f>
        <v>76.15</v>
      </c>
      <c r="M359" s="1">
        <f t="shared" si="43"/>
        <v>76.150000000000006</v>
      </c>
      <c r="N359" s="10">
        <f t="shared" si="44"/>
        <v>7615</v>
      </c>
      <c r="O359" s="1" t="b">
        <f>IFERROR(IF(ISNUMBER(Raw!G359),TRUE,OR(EXACT(L359,TEXT(M359,"0.00")),EXACT(L359,TEXT(M359,"#,##0.00")))),FALSE)</f>
        <v>1</v>
      </c>
      <c r="P359" s="1" t="str">
        <f>LEN(IF(Raw!A359="","",Raw!A359))&amp;":"&amp;IF(Raw!A359="","",Raw!A359)&amp;"|"&amp;LEN(IF(Raw!B359="","",Raw!B359))&amp;":"&amp;IF(Raw!B359="","",Raw!B359)&amp;"|"&amp;LEN(IF(Raw!C359="","",Raw!C359))&amp;":"&amp;IF(Raw!C359="","",Raw!C359)&amp;"|"&amp;LEN(IF(Raw!D359="","",Raw!D359))&amp;":"&amp;IF(Raw!D359="","",Raw!D359)&amp;"|"&amp;LEN(IF(Raw!E359="","",Raw!E359))&amp;":"&amp;IF(Raw!E359="","",Raw!E359)&amp;"|"&amp;LEN(IF(Raw!F359="","",Raw!F359))&amp;":"&amp;IF(Raw!F359="","",Raw!F359)&amp;"|"&amp;LEN(IF(Raw!G359="","",Raw!G359))&amp;":"&amp;IF(Raw!G359="","",Raw!G359)</f>
        <v>6:L00353|6:T00177|10:2026-03-04|3:P-H|4:Home|4:sale|5:76.15</v>
      </c>
      <c r="Q359" s="1">
        <f>1</f>
        <v>1</v>
      </c>
      <c r="R359" s="1" t="b">
        <f>FALSE</f>
        <v>0</v>
      </c>
      <c r="S359" s="1">
        <f>1</f>
        <v>1</v>
      </c>
      <c r="T359" s="1" t="str">
        <f>IF(AND(Raw!A359="",Raw!B359="",Raw!C359="",Raw!D359="",Raw!E359="",Raw!F359="",Raw!G359=""),"UNUSED",IF(A359="","missing line ID",IF(B359="","missing transaction ID",IF(G359="",IF(C359="","missing date","invalid date"),IF(I359="","unknown product",IF(J359="","conflicting category",IF(NOT(OR(EXACT(K359,"sale"),EXACT(K359,"refund"))),"unknown event",IF(OR(N359="",NOT(O359)),"invalid amount",IF(OR(AND(K359="sale",N359&lt;=0),AND(K359="refund",N359&gt;=0)),"invalid sign","")))))))))</f>
        <v/>
      </c>
      <c r="U359" s="1" t="str">
        <f t="shared" si="45"/>
        <v>INCLUDED</v>
      </c>
      <c r="V359" s="1" t="str">
        <f t="shared" si="46"/>
        <v>2026-03</v>
      </c>
      <c r="W359" s="1">
        <f>IF(AND(U359="INCLUDED",X359&gt;0,EXACT(A359,'AI output'!A359)),1,0)</f>
        <v>1</v>
      </c>
      <c r="X359" s="1">
        <f>359</f>
        <v>359</v>
      </c>
      <c r="Y359" s="1">
        <f>IF(AND(U359="INCLUDED",W359=1),--(NOT(EXACT(A359,'AI output'!A359)))+--(NOT(EXACT(B359,'AI output'!B359)))+--(NOT(EXACT(TEXT(G359,"yyyy-mm-dd"),'AI output'!C359)))+--(NOT(EXACT(H359,'AI output'!D359)))+--(NOT(EXACT(J359,'AI output'!E359)))+--(NOT(EXACT(K359,'AI output'!F359)))+--(N359&lt;&gt;'AI output'!L359)+--(NOT('AI output'!M359)),0)</f>
        <v>0</v>
      </c>
      <c r="Z359" s="1">
        <f t="shared" si="47"/>
        <v>0</v>
      </c>
      <c r="AA359" s="1">
        <f>--EXACT(A359,"L00353")</f>
        <v>1</v>
      </c>
    </row>
    <row r="360" spans="1:27" ht="18.95" customHeight="1">
      <c r="A360" s="1" t="str">
        <f>IF(Raw!A360="","",Raw!A360)</f>
        <v>L00354</v>
      </c>
      <c r="B360" s="1" t="str">
        <f>IF(Raw!B360="","",Raw!B360)</f>
        <v>T00177</v>
      </c>
      <c r="C360" s="1" t="str">
        <f>IF(Raw!C360="","",Raw!C360)</f>
        <v>2026-03-04</v>
      </c>
      <c r="D360" s="1">
        <f t="shared" si="40"/>
        <v>2026</v>
      </c>
      <c r="E360" s="1">
        <f>IFERROR(IF(AND(LEN(C360)=10,MID(C360,5,1)="-",MID(C360,8,1)="-"),VALUE(MID(C360,6,2)),IF(AND(LEN(C360)=11,MID(C360,3,1)="-",MID(C360,7,1)="-"),MATCH(UPPER(MID(C360,4,3)),Guide!$D$7:$D$18,0),0)),0)</f>
        <v>3</v>
      </c>
      <c r="F360" s="1">
        <f t="shared" si="41"/>
        <v>4</v>
      </c>
      <c r="G360" s="9">
        <f t="shared" si="42"/>
        <v>46085</v>
      </c>
      <c r="H360" s="1" t="str">
        <f>IF(Raw!D360="","",Raw!D360)</f>
        <v>P-O</v>
      </c>
      <c r="I360" s="1" t="str">
        <f>IFERROR(IF(EXACT(H360,INDEX(Guide!$A$7:$A$9,MATCH(SUBSTITUTE(SUBSTITUTE(SUBSTITUTE(H360,"~","~~"),"*","~*"),"?","~?"),Guide!$A$7:$A$9,0))),INDEX(Guide!$B$7:$B$9,MATCH(SUBSTITUTE(SUBSTITUTE(SUBSTITUTE(H360,"~","~~"),"*","~*"),"?","~?"),Guide!$A$7:$A$9,0)),""),"")</f>
        <v>Office</v>
      </c>
      <c r="J360" s="1" t="str">
        <f>IF(TRIM(Raw!E360)="",I360,IF(UPPER(TRIM(Raw!E360))=UPPER(I360),I360,""))</f>
        <v>Office</v>
      </c>
      <c r="K360" s="1" t="str">
        <f>IF(Raw!F360="","",Raw!F360)</f>
        <v>sale</v>
      </c>
      <c r="L360" s="1" t="str">
        <f>IF(LEFT(TRIM(Raw!G360),2)="-$","-"&amp;MID(TRIM(Raw!G360),3,99),IF(LEFT(TRIM(Raw!G360),1)="$",MID(TRIM(Raw!G360),2,99),TRIM(Raw!G360)))</f>
        <v>31.20</v>
      </c>
      <c r="M360" s="1">
        <f t="shared" si="43"/>
        <v>31.2</v>
      </c>
      <c r="N360" s="10">
        <f t="shared" si="44"/>
        <v>3120</v>
      </c>
      <c r="O360" s="1" t="b">
        <f>IFERROR(IF(ISNUMBER(Raw!G360),TRUE,OR(EXACT(L360,TEXT(M360,"0.00")),EXACT(L360,TEXT(M360,"#,##0.00")))),FALSE)</f>
        <v>1</v>
      </c>
      <c r="P360" s="1" t="str">
        <f>LEN(IF(Raw!A360="","",Raw!A360))&amp;":"&amp;IF(Raw!A360="","",Raw!A360)&amp;"|"&amp;LEN(IF(Raw!B360="","",Raw!B360))&amp;":"&amp;IF(Raw!B360="","",Raw!B360)&amp;"|"&amp;LEN(IF(Raw!C360="","",Raw!C360))&amp;":"&amp;IF(Raw!C360="","",Raw!C360)&amp;"|"&amp;LEN(IF(Raw!D360="","",Raw!D360))&amp;":"&amp;IF(Raw!D360="","",Raw!D360)&amp;"|"&amp;LEN(IF(Raw!E360="","",Raw!E360))&amp;":"&amp;IF(Raw!E360="","",Raw!E360)&amp;"|"&amp;LEN(IF(Raw!F360="","",Raw!F360))&amp;":"&amp;IF(Raw!F360="","",Raw!F360)&amp;"|"&amp;LEN(IF(Raw!G360="","",Raw!G360))&amp;":"&amp;IF(Raw!G360="","",Raw!G360)</f>
        <v>6:L00354|6:T00177|10:2026-03-04|3:P-O|6:Office|4:sale|5:31.20</v>
      </c>
      <c r="Q360" s="1">
        <f>1</f>
        <v>1</v>
      </c>
      <c r="R360" s="1" t="b">
        <f>FALSE</f>
        <v>0</v>
      </c>
      <c r="S360" s="1">
        <f>1</f>
        <v>1</v>
      </c>
      <c r="T360" s="1" t="str">
        <f>IF(AND(Raw!A360="",Raw!B360="",Raw!C360="",Raw!D360="",Raw!E360="",Raw!F360="",Raw!G360=""),"UNUSED",IF(A360="","missing line ID",IF(B360="","missing transaction ID",IF(G360="",IF(C360="","missing date","invalid date"),IF(I360="","unknown product",IF(J360="","conflicting category",IF(NOT(OR(EXACT(K360,"sale"),EXACT(K360,"refund"))),"unknown event",IF(OR(N360="",NOT(O360)),"invalid amount",IF(OR(AND(K360="sale",N360&lt;=0),AND(K360="refund",N360&gt;=0)),"invalid sign","")))))))))</f>
        <v/>
      </c>
      <c r="U360" s="1" t="str">
        <f t="shared" si="45"/>
        <v>INCLUDED</v>
      </c>
      <c r="V360" s="1" t="str">
        <f t="shared" si="46"/>
        <v>2026-03</v>
      </c>
      <c r="W360" s="1">
        <f>IF(AND(U360="INCLUDED",X360&gt;0,EXACT(A360,'AI output'!A360)),1,0)</f>
        <v>1</v>
      </c>
      <c r="X360" s="1">
        <f>360</f>
        <v>360</v>
      </c>
      <c r="Y360" s="1">
        <f>IF(AND(U360="INCLUDED",W360=1),--(NOT(EXACT(A360,'AI output'!A360)))+--(NOT(EXACT(B360,'AI output'!B360)))+--(NOT(EXACT(TEXT(G360,"yyyy-mm-dd"),'AI output'!C360)))+--(NOT(EXACT(H360,'AI output'!D360)))+--(NOT(EXACT(J360,'AI output'!E360)))+--(NOT(EXACT(K360,'AI output'!F360)))+--(N360&lt;&gt;'AI output'!L360)+--(NOT('AI output'!M360)),0)</f>
        <v>0</v>
      </c>
      <c r="Z360" s="1">
        <f t="shared" si="47"/>
        <v>0</v>
      </c>
      <c r="AA360" s="1">
        <f>--EXACT(A360,"L00354")</f>
        <v>1</v>
      </c>
    </row>
    <row r="361" spans="1:27" ht="18.95" customHeight="1">
      <c r="A361" s="1" t="str">
        <f>IF(Raw!A361="","",Raw!A361)</f>
        <v>L00355</v>
      </c>
      <c r="B361" s="1" t="str">
        <f>IF(Raw!B361="","",Raw!B361)</f>
        <v>T00178</v>
      </c>
      <c r="C361" s="1" t="str">
        <f>IF(Raw!C361="","",Raw!C361)</f>
        <v>2026-03-11</v>
      </c>
      <c r="D361" s="1">
        <f t="shared" si="40"/>
        <v>2026</v>
      </c>
      <c r="E361" s="1">
        <f>IFERROR(IF(AND(LEN(C361)=10,MID(C361,5,1)="-",MID(C361,8,1)="-"),VALUE(MID(C361,6,2)),IF(AND(LEN(C361)=11,MID(C361,3,1)="-",MID(C361,7,1)="-"),MATCH(UPPER(MID(C361,4,3)),Guide!$D$7:$D$18,0),0)),0)</f>
        <v>3</v>
      </c>
      <c r="F361" s="1">
        <f t="shared" si="41"/>
        <v>11</v>
      </c>
      <c r="G361" s="9">
        <f t="shared" si="42"/>
        <v>46092</v>
      </c>
      <c r="H361" s="1" t="str">
        <f>IF(Raw!D361="","",Raw!D361)</f>
        <v>P-A</v>
      </c>
      <c r="I361" s="1" t="str">
        <f>IFERROR(IF(EXACT(H361,INDEX(Guide!$A$7:$A$9,MATCH(SUBSTITUTE(SUBSTITUTE(SUBSTITUTE(H361,"~","~~"),"*","~*"),"?","~?"),Guide!$A$7:$A$9,0))),INDEX(Guide!$B$7:$B$9,MATCH(SUBSTITUTE(SUBSTITUTE(SUBSTITUTE(H361,"~","~~"),"*","~*"),"?","~?"),Guide!$A$7:$A$9,0)),""),"")</f>
        <v>Accessories</v>
      </c>
      <c r="J361" s="1" t="str">
        <f>IF(TRIM(Raw!E361)="",I361,IF(UPPER(TRIM(Raw!E361))=UPPER(I361),I361,""))</f>
        <v>Accessories</v>
      </c>
      <c r="K361" s="1" t="str">
        <f>IF(Raw!F361="","",Raw!F361)</f>
        <v>sale</v>
      </c>
      <c r="L361" s="1" t="str">
        <f>IF(LEFT(TRIM(Raw!G361),2)="-$","-"&amp;MID(TRIM(Raw!G361),3,99),IF(LEFT(TRIM(Raw!G361),1)="$",MID(TRIM(Raw!G361),2,99),TRIM(Raw!G361)))</f>
        <v>63.88</v>
      </c>
      <c r="M361" s="1">
        <f t="shared" si="43"/>
        <v>63.88</v>
      </c>
      <c r="N361" s="10">
        <f t="shared" si="44"/>
        <v>6388</v>
      </c>
      <c r="O361" s="1" t="b">
        <f>IFERROR(IF(ISNUMBER(Raw!G361),TRUE,OR(EXACT(L361,TEXT(M361,"0.00")),EXACT(L361,TEXT(M361,"#,##0.00")))),FALSE)</f>
        <v>1</v>
      </c>
      <c r="P361" s="1" t="str">
        <f>LEN(IF(Raw!A361="","",Raw!A361))&amp;":"&amp;IF(Raw!A361="","",Raw!A361)&amp;"|"&amp;LEN(IF(Raw!B361="","",Raw!B361))&amp;":"&amp;IF(Raw!B361="","",Raw!B361)&amp;"|"&amp;LEN(IF(Raw!C361="","",Raw!C361))&amp;":"&amp;IF(Raw!C361="","",Raw!C361)&amp;"|"&amp;LEN(IF(Raw!D361="","",Raw!D361))&amp;":"&amp;IF(Raw!D361="","",Raw!D361)&amp;"|"&amp;LEN(IF(Raw!E361="","",Raw!E361))&amp;":"&amp;IF(Raw!E361="","",Raw!E361)&amp;"|"&amp;LEN(IF(Raw!F361="","",Raw!F361))&amp;":"&amp;IF(Raw!F361="","",Raw!F361)&amp;"|"&amp;LEN(IF(Raw!G361="","",Raw!G361))&amp;":"&amp;IF(Raw!G361="","",Raw!G361)</f>
        <v>6:L00355|6:T00178|10:2026-03-11|3:P-A|11:Accessories|4:sale|5:63.88</v>
      </c>
      <c r="Q361" s="1">
        <f>1</f>
        <v>1</v>
      </c>
      <c r="R361" s="1" t="b">
        <f>FALSE</f>
        <v>0</v>
      </c>
      <c r="S361" s="1">
        <f>1</f>
        <v>1</v>
      </c>
      <c r="T361" s="1" t="str">
        <f>IF(AND(Raw!A361="",Raw!B361="",Raw!C361="",Raw!D361="",Raw!E361="",Raw!F361="",Raw!G361=""),"UNUSED",IF(A361="","missing line ID",IF(B361="","missing transaction ID",IF(G361="",IF(C361="","missing date","invalid date"),IF(I361="","unknown product",IF(J361="","conflicting category",IF(NOT(OR(EXACT(K361,"sale"),EXACT(K361,"refund"))),"unknown event",IF(OR(N361="",NOT(O361)),"invalid amount",IF(OR(AND(K361="sale",N361&lt;=0),AND(K361="refund",N361&gt;=0)),"invalid sign","")))))))))</f>
        <v/>
      </c>
      <c r="U361" s="1" t="str">
        <f t="shared" si="45"/>
        <v>INCLUDED</v>
      </c>
      <c r="V361" s="1" t="str">
        <f t="shared" si="46"/>
        <v>2026-03</v>
      </c>
      <c r="W361" s="1">
        <f>IF(AND(U361="INCLUDED",X361&gt;0,EXACT(A361,'AI output'!A361)),1,0)</f>
        <v>1</v>
      </c>
      <c r="X361" s="1">
        <f>361</f>
        <v>361</v>
      </c>
      <c r="Y361" s="1">
        <f>IF(AND(U361="INCLUDED",W361=1),--(NOT(EXACT(A361,'AI output'!A361)))+--(NOT(EXACT(B361,'AI output'!B361)))+--(NOT(EXACT(TEXT(G361,"yyyy-mm-dd"),'AI output'!C361)))+--(NOT(EXACT(H361,'AI output'!D361)))+--(NOT(EXACT(J361,'AI output'!E361)))+--(NOT(EXACT(K361,'AI output'!F361)))+--(N361&lt;&gt;'AI output'!L361)+--(NOT('AI output'!M361)),0)</f>
        <v>0</v>
      </c>
      <c r="Z361" s="1">
        <f t="shared" si="47"/>
        <v>0</v>
      </c>
      <c r="AA361" s="1">
        <f>--EXACT(A361,"L00355")</f>
        <v>1</v>
      </c>
    </row>
    <row r="362" spans="1:27" ht="18.95" customHeight="1">
      <c r="A362" s="1" t="str">
        <f>IF(Raw!A362="","",Raw!A362)</f>
        <v>L00356</v>
      </c>
      <c r="B362" s="1" t="str">
        <f>IF(Raw!B362="","",Raw!B362)</f>
        <v>T00178</v>
      </c>
      <c r="C362" s="1" t="str">
        <f>IF(Raw!C362="","",Raw!C362)</f>
        <v>2026-03-11</v>
      </c>
      <c r="D362" s="1">
        <f t="shared" si="40"/>
        <v>2026</v>
      </c>
      <c r="E362" s="1">
        <f>IFERROR(IF(AND(LEN(C362)=10,MID(C362,5,1)="-",MID(C362,8,1)="-"),VALUE(MID(C362,6,2)),IF(AND(LEN(C362)=11,MID(C362,3,1)="-",MID(C362,7,1)="-"),MATCH(UPPER(MID(C362,4,3)),Guide!$D$7:$D$18,0),0)),0)</f>
        <v>3</v>
      </c>
      <c r="F362" s="1">
        <f t="shared" si="41"/>
        <v>11</v>
      </c>
      <c r="G362" s="9">
        <f t="shared" si="42"/>
        <v>46092</v>
      </c>
      <c r="H362" s="1" t="str">
        <f>IF(Raw!D362="","",Raw!D362)</f>
        <v>P-H</v>
      </c>
      <c r="I362" s="1" t="str">
        <f>IFERROR(IF(EXACT(H362,INDEX(Guide!$A$7:$A$9,MATCH(SUBSTITUTE(SUBSTITUTE(SUBSTITUTE(H362,"~","~~"),"*","~*"),"?","~?"),Guide!$A$7:$A$9,0))),INDEX(Guide!$B$7:$B$9,MATCH(SUBSTITUTE(SUBSTITUTE(SUBSTITUTE(H362,"~","~~"),"*","~*"),"?","~?"),Guide!$A$7:$A$9,0)),""),"")</f>
        <v>Home</v>
      </c>
      <c r="J362" s="1" t="str">
        <f>IF(TRIM(Raw!E362)="",I362,IF(UPPER(TRIM(Raw!E362))=UPPER(I362),I362,""))</f>
        <v>Home</v>
      </c>
      <c r="K362" s="1" t="str">
        <f>IF(Raw!F362="","",Raw!F362)</f>
        <v>sale</v>
      </c>
      <c r="L362" s="1" t="str">
        <f>IF(LEFT(TRIM(Raw!G362),2)="-$","-"&amp;MID(TRIM(Raw!G362),3,99),IF(LEFT(TRIM(Raw!G362),1)="$",MID(TRIM(Raw!G362),2,99),TRIM(Raw!G362)))</f>
        <v>16.34</v>
      </c>
      <c r="M362" s="1">
        <f t="shared" si="43"/>
        <v>16.34</v>
      </c>
      <c r="N362" s="10">
        <f t="shared" si="44"/>
        <v>1634</v>
      </c>
      <c r="O362" s="1" t="b">
        <f>IFERROR(IF(ISNUMBER(Raw!G362),TRUE,OR(EXACT(L362,TEXT(M362,"0.00")),EXACT(L362,TEXT(M362,"#,##0.00")))),FALSE)</f>
        <v>1</v>
      </c>
      <c r="P362" s="1" t="str">
        <f>LEN(IF(Raw!A362="","",Raw!A362))&amp;":"&amp;IF(Raw!A362="","",Raw!A362)&amp;"|"&amp;LEN(IF(Raw!B362="","",Raw!B362))&amp;":"&amp;IF(Raw!B362="","",Raw!B362)&amp;"|"&amp;LEN(IF(Raw!C362="","",Raw!C362))&amp;":"&amp;IF(Raw!C362="","",Raw!C362)&amp;"|"&amp;LEN(IF(Raw!D362="","",Raw!D362))&amp;":"&amp;IF(Raw!D362="","",Raw!D362)&amp;"|"&amp;LEN(IF(Raw!E362="","",Raw!E362))&amp;":"&amp;IF(Raw!E362="","",Raw!E362)&amp;"|"&amp;LEN(IF(Raw!F362="","",Raw!F362))&amp;":"&amp;IF(Raw!F362="","",Raw!F362)&amp;"|"&amp;LEN(IF(Raw!G362="","",Raw!G362))&amp;":"&amp;IF(Raw!G362="","",Raw!G362)</f>
        <v>6:L00356|6:T00178|10:2026-03-11|3:P-H|4:Home|4:sale|5:16.34</v>
      </c>
      <c r="Q362" s="1">
        <f>1</f>
        <v>1</v>
      </c>
      <c r="R362" s="1" t="b">
        <f>FALSE</f>
        <v>0</v>
      </c>
      <c r="S362" s="1">
        <f>1</f>
        <v>1</v>
      </c>
      <c r="T362" s="1" t="str">
        <f>IF(AND(Raw!A362="",Raw!B362="",Raw!C362="",Raw!D362="",Raw!E362="",Raw!F362="",Raw!G362=""),"UNUSED",IF(A362="","missing line ID",IF(B362="","missing transaction ID",IF(G362="",IF(C362="","missing date","invalid date"),IF(I362="","unknown product",IF(J362="","conflicting category",IF(NOT(OR(EXACT(K362,"sale"),EXACT(K362,"refund"))),"unknown event",IF(OR(N362="",NOT(O362)),"invalid amount",IF(OR(AND(K362="sale",N362&lt;=0),AND(K362="refund",N362&gt;=0)),"invalid sign","")))))))))</f>
        <v/>
      </c>
      <c r="U362" s="1" t="str">
        <f t="shared" si="45"/>
        <v>INCLUDED</v>
      </c>
      <c r="V362" s="1" t="str">
        <f t="shared" si="46"/>
        <v>2026-03</v>
      </c>
      <c r="W362" s="1">
        <f>IF(AND(U362="INCLUDED",X362&gt;0,EXACT(A362,'AI output'!A362)),1,0)</f>
        <v>1</v>
      </c>
      <c r="X362" s="1">
        <f>362</f>
        <v>362</v>
      </c>
      <c r="Y362" s="1">
        <f>IF(AND(U362="INCLUDED",W362=1),--(NOT(EXACT(A362,'AI output'!A362)))+--(NOT(EXACT(B362,'AI output'!B362)))+--(NOT(EXACT(TEXT(G362,"yyyy-mm-dd"),'AI output'!C362)))+--(NOT(EXACT(H362,'AI output'!D362)))+--(NOT(EXACT(J362,'AI output'!E362)))+--(NOT(EXACT(K362,'AI output'!F362)))+--(N362&lt;&gt;'AI output'!L362)+--(NOT('AI output'!M362)),0)</f>
        <v>0</v>
      </c>
      <c r="Z362" s="1">
        <f t="shared" si="47"/>
        <v>0</v>
      </c>
      <c r="AA362" s="1">
        <f>--EXACT(A362,"L00356")</f>
        <v>1</v>
      </c>
    </row>
    <row r="363" spans="1:27" ht="18.95" customHeight="1">
      <c r="A363" s="1" t="str">
        <f>IF(Raw!A363="","",Raw!A363)</f>
        <v>L00357</v>
      </c>
      <c r="B363" s="1" t="str">
        <f>IF(Raw!B363="","",Raw!B363)</f>
        <v>T00179</v>
      </c>
      <c r="C363" s="1" t="str">
        <f>IF(Raw!C363="","",Raw!C363)</f>
        <v>2026-03-18</v>
      </c>
      <c r="D363" s="1">
        <f t="shared" si="40"/>
        <v>2026</v>
      </c>
      <c r="E363" s="1">
        <f>IFERROR(IF(AND(LEN(C363)=10,MID(C363,5,1)="-",MID(C363,8,1)="-"),VALUE(MID(C363,6,2)),IF(AND(LEN(C363)=11,MID(C363,3,1)="-",MID(C363,7,1)="-"),MATCH(UPPER(MID(C363,4,3)),Guide!$D$7:$D$18,0),0)),0)</f>
        <v>3</v>
      </c>
      <c r="F363" s="1">
        <f t="shared" si="41"/>
        <v>18</v>
      </c>
      <c r="G363" s="9">
        <f t="shared" si="42"/>
        <v>46099</v>
      </c>
      <c r="H363" s="1" t="str">
        <f>IF(Raw!D363="","",Raw!D363)</f>
        <v>P-O</v>
      </c>
      <c r="I363" s="1" t="str">
        <f>IFERROR(IF(EXACT(H363,INDEX(Guide!$A$7:$A$9,MATCH(SUBSTITUTE(SUBSTITUTE(SUBSTITUTE(H363,"~","~~"),"*","~*"),"?","~?"),Guide!$A$7:$A$9,0))),INDEX(Guide!$B$7:$B$9,MATCH(SUBSTITUTE(SUBSTITUTE(SUBSTITUTE(H363,"~","~~"),"*","~*"),"?","~?"),Guide!$A$7:$A$9,0)),""),"")</f>
        <v>Office</v>
      </c>
      <c r="J363" s="1" t="str">
        <f>IF(TRIM(Raw!E363)="",I363,IF(UPPER(TRIM(Raw!E363))=UPPER(I363),I363,""))</f>
        <v>Office</v>
      </c>
      <c r="K363" s="1" t="str">
        <f>IF(Raw!F363="","",Raw!F363)</f>
        <v>sale</v>
      </c>
      <c r="L363" s="1" t="str">
        <f>IF(LEFT(TRIM(Raw!G363),2)="-$","-"&amp;MID(TRIM(Raw!G363),3,99),IF(LEFT(TRIM(Raw!G363),1)="$",MID(TRIM(Raw!G363),2,99),TRIM(Raw!G363)))</f>
        <v>50.13</v>
      </c>
      <c r="M363" s="1">
        <f t="shared" si="43"/>
        <v>50.13</v>
      </c>
      <c r="N363" s="10">
        <f t="shared" si="44"/>
        <v>5013</v>
      </c>
      <c r="O363" s="1" t="b">
        <f>IFERROR(IF(ISNUMBER(Raw!G363),TRUE,OR(EXACT(L363,TEXT(M363,"0.00")),EXACT(L363,TEXT(M363,"#,##0.00")))),FALSE)</f>
        <v>1</v>
      </c>
      <c r="P363" s="1" t="str">
        <f>LEN(IF(Raw!A363="","",Raw!A363))&amp;":"&amp;IF(Raw!A363="","",Raw!A363)&amp;"|"&amp;LEN(IF(Raw!B363="","",Raw!B363))&amp;":"&amp;IF(Raw!B363="","",Raw!B363)&amp;"|"&amp;LEN(IF(Raw!C363="","",Raw!C363))&amp;":"&amp;IF(Raw!C363="","",Raw!C363)&amp;"|"&amp;LEN(IF(Raw!D363="","",Raw!D363))&amp;":"&amp;IF(Raw!D363="","",Raw!D363)&amp;"|"&amp;LEN(IF(Raw!E363="","",Raw!E363))&amp;":"&amp;IF(Raw!E363="","",Raw!E363)&amp;"|"&amp;LEN(IF(Raw!F363="","",Raw!F363))&amp;":"&amp;IF(Raw!F363="","",Raw!F363)&amp;"|"&amp;LEN(IF(Raw!G363="","",Raw!G363))&amp;":"&amp;IF(Raw!G363="","",Raw!G363)</f>
        <v>6:L00357|6:T00179|10:2026-03-18|3:P-O|6:Office|4:sale|5:50.13</v>
      </c>
      <c r="Q363" s="1">
        <f>1</f>
        <v>1</v>
      </c>
      <c r="R363" s="1" t="b">
        <f>FALSE</f>
        <v>0</v>
      </c>
      <c r="S363" s="1">
        <f>1</f>
        <v>1</v>
      </c>
      <c r="T363" s="1" t="str">
        <f>IF(AND(Raw!A363="",Raw!B363="",Raw!C363="",Raw!D363="",Raw!E363="",Raw!F363="",Raw!G363=""),"UNUSED",IF(A363="","missing line ID",IF(B363="","missing transaction ID",IF(G363="",IF(C363="","missing date","invalid date"),IF(I363="","unknown product",IF(J363="","conflicting category",IF(NOT(OR(EXACT(K363,"sale"),EXACT(K363,"refund"))),"unknown event",IF(OR(N363="",NOT(O363)),"invalid amount",IF(OR(AND(K363="sale",N363&lt;=0),AND(K363="refund",N363&gt;=0)),"invalid sign","")))))))))</f>
        <v/>
      </c>
      <c r="U363" s="1" t="str">
        <f t="shared" si="45"/>
        <v>INCLUDED</v>
      </c>
      <c r="V363" s="1" t="str">
        <f t="shared" si="46"/>
        <v>2026-03</v>
      </c>
      <c r="W363" s="1">
        <f>IF(AND(U363="INCLUDED",X363&gt;0,EXACT(A363,'AI output'!A363)),1,0)</f>
        <v>1</v>
      </c>
      <c r="X363" s="1">
        <f>363</f>
        <v>363</v>
      </c>
      <c r="Y363" s="1">
        <f>IF(AND(U363="INCLUDED",W363=1),--(NOT(EXACT(A363,'AI output'!A363)))+--(NOT(EXACT(B363,'AI output'!B363)))+--(NOT(EXACT(TEXT(G363,"yyyy-mm-dd"),'AI output'!C363)))+--(NOT(EXACT(H363,'AI output'!D363)))+--(NOT(EXACT(J363,'AI output'!E363)))+--(NOT(EXACT(K363,'AI output'!F363)))+--(N363&lt;&gt;'AI output'!L363)+--(NOT('AI output'!M363)),0)</f>
        <v>0</v>
      </c>
      <c r="Z363" s="1">
        <f t="shared" si="47"/>
        <v>0</v>
      </c>
      <c r="AA363" s="1">
        <f>--EXACT(A363,"L00357")</f>
        <v>1</v>
      </c>
    </row>
    <row r="364" spans="1:27" ht="18.95" customHeight="1">
      <c r="A364" s="1" t="str">
        <f>IF(Raw!A364="","",Raw!A364)</f>
        <v>L00358</v>
      </c>
      <c r="B364" s="1" t="str">
        <f>IF(Raw!B364="","",Raw!B364)</f>
        <v>T00179</v>
      </c>
      <c r="C364" s="1" t="str">
        <f>IF(Raw!C364="","",Raw!C364)</f>
        <v>2026-03-18</v>
      </c>
      <c r="D364" s="1">
        <f t="shared" si="40"/>
        <v>2026</v>
      </c>
      <c r="E364" s="1">
        <f>IFERROR(IF(AND(LEN(C364)=10,MID(C364,5,1)="-",MID(C364,8,1)="-"),VALUE(MID(C364,6,2)),IF(AND(LEN(C364)=11,MID(C364,3,1)="-",MID(C364,7,1)="-"),MATCH(UPPER(MID(C364,4,3)),Guide!$D$7:$D$18,0),0)),0)</f>
        <v>3</v>
      </c>
      <c r="F364" s="1">
        <f t="shared" si="41"/>
        <v>18</v>
      </c>
      <c r="G364" s="9">
        <f t="shared" si="42"/>
        <v>46099</v>
      </c>
      <c r="H364" s="1" t="str">
        <f>IF(Raw!D364="","",Raw!D364)</f>
        <v>P-A</v>
      </c>
      <c r="I364" s="1" t="str">
        <f>IFERROR(IF(EXACT(H364,INDEX(Guide!$A$7:$A$9,MATCH(SUBSTITUTE(SUBSTITUTE(SUBSTITUTE(H364,"~","~~"),"*","~*"),"?","~?"),Guide!$A$7:$A$9,0))),INDEX(Guide!$B$7:$B$9,MATCH(SUBSTITUTE(SUBSTITUTE(SUBSTITUTE(H364,"~","~~"),"*","~*"),"?","~?"),Guide!$A$7:$A$9,0)),""),"")</f>
        <v>Accessories</v>
      </c>
      <c r="J364" s="1" t="str">
        <f>IF(TRIM(Raw!E364)="",I364,IF(UPPER(TRIM(Raw!E364))=UPPER(I364),I364,""))</f>
        <v>Accessories</v>
      </c>
      <c r="K364" s="1" t="str">
        <f>IF(Raw!F364="","",Raw!F364)</f>
        <v>sale</v>
      </c>
      <c r="L364" s="1" t="str">
        <f>IF(LEFT(TRIM(Raw!G364),2)="-$","-"&amp;MID(TRIM(Raw!G364),3,99),IF(LEFT(TRIM(Raw!G364),1)="$",MID(TRIM(Raw!G364),2,99),TRIM(Raw!G364)))</f>
        <v>85.40</v>
      </c>
      <c r="M364" s="1">
        <f t="shared" si="43"/>
        <v>85.4</v>
      </c>
      <c r="N364" s="10">
        <f t="shared" si="44"/>
        <v>8540</v>
      </c>
      <c r="O364" s="1" t="b">
        <f>IFERROR(IF(ISNUMBER(Raw!G364),TRUE,OR(EXACT(L364,TEXT(M364,"0.00")),EXACT(L364,TEXT(M364,"#,##0.00")))),FALSE)</f>
        <v>1</v>
      </c>
      <c r="P364" s="1" t="str">
        <f>LEN(IF(Raw!A364="","",Raw!A364))&amp;":"&amp;IF(Raw!A364="","",Raw!A364)&amp;"|"&amp;LEN(IF(Raw!B364="","",Raw!B364))&amp;":"&amp;IF(Raw!B364="","",Raw!B364)&amp;"|"&amp;LEN(IF(Raw!C364="","",Raw!C364))&amp;":"&amp;IF(Raw!C364="","",Raw!C364)&amp;"|"&amp;LEN(IF(Raw!D364="","",Raw!D364))&amp;":"&amp;IF(Raw!D364="","",Raw!D364)&amp;"|"&amp;LEN(IF(Raw!E364="","",Raw!E364))&amp;":"&amp;IF(Raw!E364="","",Raw!E364)&amp;"|"&amp;LEN(IF(Raw!F364="","",Raw!F364))&amp;":"&amp;IF(Raw!F364="","",Raw!F364)&amp;"|"&amp;LEN(IF(Raw!G364="","",Raw!G364))&amp;":"&amp;IF(Raw!G364="","",Raw!G364)</f>
        <v>6:L00358|6:T00179|10:2026-03-18|3:P-A|11:Accessories|4:sale|5:85.40</v>
      </c>
      <c r="Q364" s="1">
        <f>1</f>
        <v>1</v>
      </c>
      <c r="R364" s="1" t="b">
        <f>FALSE</f>
        <v>0</v>
      </c>
      <c r="S364" s="1">
        <f>1</f>
        <v>1</v>
      </c>
      <c r="T364" s="1" t="str">
        <f>IF(AND(Raw!A364="",Raw!B364="",Raw!C364="",Raw!D364="",Raw!E364="",Raw!F364="",Raw!G364=""),"UNUSED",IF(A364="","missing line ID",IF(B364="","missing transaction ID",IF(G364="",IF(C364="","missing date","invalid date"),IF(I364="","unknown product",IF(J364="","conflicting category",IF(NOT(OR(EXACT(K364,"sale"),EXACT(K364,"refund"))),"unknown event",IF(OR(N364="",NOT(O364)),"invalid amount",IF(OR(AND(K364="sale",N364&lt;=0),AND(K364="refund",N364&gt;=0)),"invalid sign","")))))))))</f>
        <v/>
      </c>
      <c r="U364" s="1" t="str">
        <f t="shared" si="45"/>
        <v>INCLUDED</v>
      </c>
      <c r="V364" s="1" t="str">
        <f t="shared" si="46"/>
        <v>2026-03</v>
      </c>
      <c r="W364" s="1">
        <f>IF(AND(U364="INCLUDED",X364&gt;0,EXACT(A364,'AI output'!A364)),1,0)</f>
        <v>1</v>
      </c>
      <c r="X364" s="1">
        <f>364</f>
        <v>364</v>
      </c>
      <c r="Y364" s="1">
        <f>IF(AND(U364="INCLUDED",W364=1),--(NOT(EXACT(A364,'AI output'!A364)))+--(NOT(EXACT(B364,'AI output'!B364)))+--(NOT(EXACT(TEXT(G364,"yyyy-mm-dd"),'AI output'!C364)))+--(NOT(EXACT(H364,'AI output'!D364)))+--(NOT(EXACT(J364,'AI output'!E364)))+--(NOT(EXACT(K364,'AI output'!F364)))+--(N364&lt;&gt;'AI output'!L364)+--(NOT('AI output'!M364)),0)</f>
        <v>0</v>
      </c>
      <c r="Z364" s="1">
        <f t="shared" si="47"/>
        <v>0</v>
      </c>
      <c r="AA364" s="1">
        <f>--EXACT(A364,"L00358")</f>
        <v>1</v>
      </c>
    </row>
    <row r="365" spans="1:27" ht="18.95" customHeight="1">
      <c r="A365" s="1" t="str">
        <f>IF(Raw!A365="","",Raw!A365)</f>
        <v>L00359</v>
      </c>
      <c r="B365" s="1" t="str">
        <f>IF(Raw!B365="","",Raw!B365)</f>
        <v>T00180</v>
      </c>
      <c r="C365" s="1" t="str">
        <f>IF(Raw!C365="","",Raw!C365)</f>
        <v>2026-03-25</v>
      </c>
      <c r="D365" s="1">
        <f t="shared" si="40"/>
        <v>2026</v>
      </c>
      <c r="E365" s="1">
        <f>IFERROR(IF(AND(LEN(C365)=10,MID(C365,5,1)="-",MID(C365,8,1)="-"),VALUE(MID(C365,6,2)),IF(AND(LEN(C365)=11,MID(C365,3,1)="-",MID(C365,7,1)="-"),MATCH(UPPER(MID(C365,4,3)),Guide!$D$7:$D$18,0),0)),0)</f>
        <v>3</v>
      </c>
      <c r="F365" s="1">
        <f t="shared" si="41"/>
        <v>25</v>
      </c>
      <c r="G365" s="9">
        <f t="shared" si="42"/>
        <v>46106</v>
      </c>
      <c r="H365" s="1" t="str">
        <f>IF(Raw!D365="","",Raw!D365)</f>
        <v>P-H</v>
      </c>
      <c r="I365" s="1" t="str">
        <f>IFERROR(IF(EXACT(H365,INDEX(Guide!$A$7:$A$9,MATCH(SUBSTITUTE(SUBSTITUTE(SUBSTITUTE(H365,"~","~~"),"*","~*"),"?","~?"),Guide!$A$7:$A$9,0))),INDEX(Guide!$B$7:$B$9,MATCH(SUBSTITUTE(SUBSTITUTE(SUBSTITUTE(H365,"~","~~"),"*","~*"),"?","~?"),Guide!$A$7:$A$9,0)),""),"")</f>
        <v>Home</v>
      </c>
      <c r="J365" s="1" t="str">
        <f>IF(TRIM(Raw!E365)="",I365,IF(UPPER(TRIM(Raw!E365))=UPPER(I365),I365,""))</f>
        <v>Home</v>
      </c>
      <c r="K365" s="1" t="str">
        <f>IF(Raw!F365="","",Raw!F365)</f>
        <v>sale</v>
      </c>
      <c r="L365" s="1" t="str">
        <f>IF(LEFT(TRIM(Raw!G365),2)="-$","-"&amp;MID(TRIM(Raw!G365),3,99),IF(LEFT(TRIM(Raw!G365),1)="$",MID(TRIM(Raw!G365),2,99),TRIM(Raw!G365)))</f>
        <v>34.90</v>
      </c>
      <c r="M365" s="1">
        <f t="shared" si="43"/>
        <v>34.9</v>
      </c>
      <c r="N365" s="10">
        <f t="shared" si="44"/>
        <v>3490</v>
      </c>
      <c r="O365" s="1" t="b">
        <f>IFERROR(IF(ISNUMBER(Raw!G365),TRUE,OR(EXACT(L365,TEXT(M365,"0.00")),EXACT(L365,TEXT(M365,"#,##0.00")))),FALSE)</f>
        <v>1</v>
      </c>
      <c r="P365" s="1" t="str">
        <f>LEN(IF(Raw!A365="","",Raw!A365))&amp;":"&amp;IF(Raw!A365="","",Raw!A365)&amp;"|"&amp;LEN(IF(Raw!B365="","",Raw!B365))&amp;":"&amp;IF(Raw!B365="","",Raw!B365)&amp;"|"&amp;LEN(IF(Raw!C365="","",Raw!C365))&amp;":"&amp;IF(Raw!C365="","",Raw!C365)&amp;"|"&amp;LEN(IF(Raw!D365="","",Raw!D365))&amp;":"&amp;IF(Raw!D365="","",Raw!D365)&amp;"|"&amp;LEN(IF(Raw!E365="","",Raw!E365))&amp;":"&amp;IF(Raw!E365="","",Raw!E365)&amp;"|"&amp;LEN(IF(Raw!F365="","",Raw!F365))&amp;":"&amp;IF(Raw!F365="","",Raw!F365)&amp;"|"&amp;LEN(IF(Raw!G365="","",Raw!G365))&amp;":"&amp;IF(Raw!G365="","",Raw!G365)</f>
        <v>6:L00359|6:T00180|10:2026-03-25|3:P-H|4:Home|4:sale|5:34.90</v>
      </c>
      <c r="Q365" s="1">
        <f>1</f>
        <v>1</v>
      </c>
      <c r="R365" s="1" t="b">
        <f>FALSE</f>
        <v>0</v>
      </c>
      <c r="S365" s="1">
        <f>1</f>
        <v>1</v>
      </c>
      <c r="T365" s="1" t="str">
        <f>IF(AND(Raw!A365="",Raw!B365="",Raw!C365="",Raw!D365="",Raw!E365="",Raw!F365="",Raw!G365=""),"UNUSED",IF(A365="","missing line ID",IF(B365="","missing transaction ID",IF(G365="",IF(C365="","missing date","invalid date"),IF(I365="","unknown product",IF(J365="","conflicting category",IF(NOT(OR(EXACT(K365,"sale"),EXACT(K365,"refund"))),"unknown event",IF(OR(N365="",NOT(O365)),"invalid amount",IF(OR(AND(K365="sale",N365&lt;=0),AND(K365="refund",N365&gt;=0)),"invalid sign","")))))))))</f>
        <v/>
      </c>
      <c r="U365" s="1" t="str">
        <f t="shared" si="45"/>
        <v>INCLUDED</v>
      </c>
      <c r="V365" s="1" t="str">
        <f t="shared" si="46"/>
        <v>2026-03</v>
      </c>
      <c r="W365" s="1">
        <f>IF(AND(U365="INCLUDED",X365&gt;0,EXACT(A365,'AI output'!A365)),1,0)</f>
        <v>1</v>
      </c>
      <c r="X365" s="1">
        <f>365</f>
        <v>365</v>
      </c>
      <c r="Y365" s="1">
        <f>IF(AND(U365="INCLUDED",W365=1),--(NOT(EXACT(A365,'AI output'!A365)))+--(NOT(EXACT(B365,'AI output'!B365)))+--(NOT(EXACT(TEXT(G365,"yyyy-mm-dd"),'AI output'!C365)))+--(NOT(EXACT(H365,'AI output'!D365)))+--(NOT(EXACT(J365,'AI output'!E365)))+--(NOT(EXACT(K365,'AI output'!F365)))+--(N365&lt;&gt;'AI output'!L365)+--(NOT('AI output'!M365)),0)</f>
        <v>0</v>
      </c>
      <c r="Z365" s="1">
        <f t="shared" si="47"/>
        <v>0</v>
      </c>
      <c r="AA365" s="1">
        <f>--EXACT(A365,"L00359")</f>
        <v>1</v>
      </c>
    </row>
    <row r="366" spans="1:27" ht="18.95" customHeight="1">
      <c r="A366" s="1" t="str">
        <f>IF(Raw!A366="","",Raw!A366)</f>
        <v>L00360</v>
      </c>
      <c r="B366" s="1" t="str">
        <f>IF(Raw!B366="","",Raw!B366)</f>
        <v>T00180</v>
      </c>
      <c r="C366" s="1" t="str">
        <f>IF(Raw!C366="","",Raw!C366)</f>
        <v>2026-03-25</v>
      </c>
      <c r="D366" s="1">
        <f t="shared" si="40"/>
        <v>2026</v>
      </c>
      <c r="E366" s="1">
        <f>IFERROR(IF(AND(LEN(C366)=10,MID(C366,5,1)="-",MID(C366,8,1)="-"),VALUE(MID(C366,6,2)),IF(AND(LEN(C366)=11,MID(C366,3,1)="-",MID(C366,7,1)="-"),MATCH(UPPER(MID(C366,4,3)),Guide!$D$7:$D$18,0),0)),0)</f>
        <v>3</v>
      </c>
      <c r="F366" s="1">
        <f t="shared" si="41"/>
        <v>25</v>
      </c>
      <c r="G366" s="9">
        <f t="shared" si="42"/>
        <v>46106</v>
      </c>
      <c r="H366" s="1" t="str">
        <f>IF(Raw!D366="","",Raw!D366)</f>
        <v>P-O</v>
      </c>
      <c r="I366" s="1" t="str">
        <f>IFERROR(IF(EXACT(H366,INDEX(Guide!$A$7:$A$9,MATCH(SUBSTITUTE(SUBSTITUTE(SUBSTITUTE(H366,"~","~~"),"*","~*"),"?","~?"),Guide!$A$7:$A$9,0))),INDEX(Guide!$B$7:$B$9,MATCH(SUBSTITUTE(SUBSTITUTE(SUBSTITUTE(H366,"~","~~"),"*","~*"),"?","~?"),Guide!$A$7:$A$9,0)),""),"")</f>
        <v>Office</v>
      </c>
      <c r="J366" s="1" t="str">
        <f>IF(TRIM(Raw!E366)="",I366,IF(UPPER(TRIM(Raw!E366))=UPPER(I366),I366,""))</f>
        <v>Office</v>
      </c>
      <c r="K366" s="1" t="str">
        <f>IF(Raw!F366="","",Raw!F366)</f>
        <v>sale</v>
      </c>
      <c r="L366" s="1" t="str">
        <f>IF(LEFT(TRIM(Raw!G366),2)="-$","-"&amp;MID(TRIM(Raw!G366),3,99),IF(LEFT(TRIM(Raw!G366),1)="$",MID(TRIM(Raw!G366),2,99),TRIM(Raw!G366)))</f>
        <v>71.28</v>
      </c>
      <c r="M366" s="1">
        <f t="shared" si="43"/>
        <v>71.28</v>
      </c>
      <c r="N366" s="10">
        <f t="shared" si="44"/>
        <v>7128</v>
      </c>
      <c r="O366" s="1" t="b">
        <f>IFERROR(IF(ISNUMBER(Raw!G366),TRUE,OR(EXACT(L366,TEXT(M366,"0.00")),EXACT(L366,TEXT(M366,"#,##0.00")))),FALSE)</f>
        <v>1</v>
      </c>
      <c r="P366" s="1" t="str">
        <f>LEN(IF(Raw!A366="","",Raw!A366))&amp;":"&amp;IF(Raw!A366="","",Raw!A366)&amp;"|"&amp;LEN(IF(Raw!B366="","",Raw!B366))&amp;":"&amp;IF(Raw!B366="","",Raw!B366)&amp;"|"&amp;LEN(IF(Raw!C366="","",Raw!C366))&amp;":"&amp;IF(Raw!C366="","",Raw!C366)&amp;"|"&amp;LEN(IF(Raw!D366="","",Raw!D366))&amp;":"&amp;IF(Raw!D366="","",Raw!D366)&amp;"|"&amp;LEN(IF(Raw!E366="","",Raw!E366))&amp;":"&amp;IF(Raw!E366="","",Raw!E366)&amp;"|"&amp;LEN(IF(Raw!F366="","",Raw!F366))&amp;":"&amp;IF(Raw!F366="","",Raw!F366)&amp;"|"&amp;LEN(IF(Raw!G366="","",Raw!G366))&amp;":"&amp;IF(Raw!G366="","",Raw!G366)</f>
        <v>6:L00360|6:T00180|10:2026-03-25|3:P-O|10:  office  |4:sale|5:71.28</v>
      </c>
      <c r="Q366" s="1">
        <f>2</f>
        <v>2</v>
      </c>
      <c r="R366" s="1" t="b">
        <f>OR(NOT(EXACT(P366,P1991)))</f>
        <v>0</v>
      </c>
      <c r="S366" s="1">
        <f>1</f>
        <v>1</v>
      </c>
      <c r="T366" s="1" t="str">
        <f>IF(AND(Raw!A366="",Raw!B366="",Raw!C366="",Raw!D366="",Raw!E366="",Raw!F366="",Raw!G366=""),"UNUSED",IF(A366="","missing line ID",IF(B366="","missing transaction ID",IF(G366="",IF(C366="","missing date","invalid date"),IF(I366="","unknown product",IF(J366="","conflicting category",IF(NOT(OR(EXACT(K366,"sale"),EXACT(K366,"refund"))),"unknown event",IF(OR(N366="",NOT(O366)),"invalid amount",IF(OR(AND(K366="sale",N366&lt;=0),AND(K366="refund",N366&gt;=0)),"invalid sign","")))))))))</f>
        <v/>
      </c>
      <c r="U366" s="1" t="str">
        <f t="shared" si="45"/>
        <v>INCLUDED</v>
      </c>
      <c r="V366" s="1" t="str">
        <f t="shared" si="46"/>
        <v>2026-03</v>
      </c>
      <c r="W366" s="1">
        <f>IF(AND(U366="INCLUDED",X366&gt;0,EXACT(A366,'AI output'!A366)),1,0)</f>
        <v>1</v>
      </c>
      <c r="X366" s="1">
        <f>366</f>
        <v>366</v>
      </c>
      <c r="Y366" s="1">
        <f>IF(AND(U366="INCLUDED",W366=1),--(NOT(EXACT(A366,'AI output'!A366)))+--(NOT(EXACT(B366,'AI output'!B366)))+--(NOT(EXACT(TEXT(G366,"yyyy-mm-dd"),'AI output'!C366)))+--(NOT(EXACT(H366,'AI output'!D366)))+--(NOT(EXACT(J366,'AI output'!E366)))+--(NOT(EXACT(K366,'AI output'!F366)))+--(N366&lt;&gt;'AI output'!L366)+--(NOT('AI output'!M366)),0)</f>
        <v>0</v>
      </c>
      <c r="Z366" s="1">
        <f t="shared" si="47"/>
        <v>0</v>
      </c>
      <c r="AA366" s="1">
        <f>--EXACT(A366,"L00360")</f>
        <v>1</v>
      </c>
    </row>
    <row r="367" spans="1:27" ht="18.95" customHeight="1">
      <c r="A367" s="1" t="str">
        <f>IF(Raw!A367="","",Raw!A367)</f>
        <v>L00361</v>
      </c>
      <c r="B367" s="1" t="str">
        <f>IF(Raw!B367="","",Raw!B367)</f>
        <v>T00181</v>
      </c>
      <c r="C367" s="1" t="str">
        <f>IF(Raw!C367="","",Raw!C367)</f>
        <v>2026-01-01</v>
      </c>
      <c r="D367" s="1">
        <f t="shared" si="40"/>
        <v>2026</v>
      </c>
      <c r="E367" s="1">
        <f>IFERROR(IF(AND(LEN(C367)=10,MID(C367,5,1)="-",MID(C367,8,1)="-"),VALUE(MID(C367,6,2)),IF(AND(LEN(C367)=11,MID(C367,3,1)="-",MID(C367,7,1)="-"),MATCH(UPPER(MID(C367,4,3)),Guide!$D$7:$D$18,0),0)),0)</f>
        <v>1</v>
      </c>
      <c r="F367" s="1">
        <f t="shared" si="41"/>
        <v>1</v>
      </c>
      <c r="G367" s="9">
        <f t="shared" si="42"/>
        <v>46023</v>
      </c>
      <c r="H367" s="1" t="str">
        <f>IF(Raw!D367="","",Raw!D367)</f>
        <v>P-A</v>
      </c>
      <c r="I367" s="1" t="str">
        <f>IFERROR(IF(EXACT(H367,INDEX(Guide!$A$7:$A$9,MATCH(SUBSTITUTE(SUBSTITUTE(SUBSTITUTE(H367,"~","~~"),"*","~*"),"?","~?"),Guide!$A$7:$A$9,0))),INDEX(Guide!$B$7:$B$9,MATCH(SUBSTITUTE(SUBSTITUTE(SUBSTITUTE(H367,"~","~~"),"*","~*"),"?","~?"),Guide!$A$7:$A$9,0)),""),"")</f>
        <v>Accessories</v>
      </c>
      <c r="J367" s="1" t="str">
        <f>IF(TRIM(Raw!E367)="",I367,IF(UPPER(TRIM(Raw!E367))=UPPER(I367),I367,""))</f>
        <v>Accessories</v>
      </c>
      <c r="K367" s="1" t="str">
        <f>IF(Raw!F367="","",Raw!F367)</f>
        <v>sale</v>
      </c>
      <c r="L367" s="1" t="str">
        <f>IF(LEFT(TRIM(Raw!G367),2)="-$","-"&amp;MID(TRIM(Raw!G367),3,99),IF(LEFT(TRIM(Raw!G367),1)="$",MID(TRIM(Raw!G367),2,99),TRIM(Raw!G367)))</f>
        <v>18.19</v>
      </c>
      <c r="M367" s="1">
        <f t="shared" si="43"/>
        <v>18.190000000000001</v>
      </c>
      <c r="N367" s="10">
        <f t="shared" si="44"/>
        <v>1819</v>
      </c>
      <c r="O367" s="1" t="b">
        <f>IFERROR(IF(ISNUMBER(Raw!G367),TRUE,OR(EXACT(L367,TEXT(M367,"0.00")),EXACT(L367,TEXT(M367,"#,##0.00")))),FALSE)</f>
        <v>1</v>
      </c>
      <c r="P367" s="1" t="str">
        <f>LEN(IF(Raw!A367="","",Raw!A367))&amp;":"&amp;IF(Raw!A367="","",Raw!A367)&amp;"|"&amp;LEN(IF(Raw!B367="","",Raw!B367))&amp;":"&amp;IF(Raw!B367="","",Raw!B367)&amp;"|"&amp;LEN(IF(Raw!C367="","",Raw!C367))&amp;":"&amp;IF(Raw!C367="","",Raw!C367)&amp;"|"&amp;LEN(IF(Raw!D367="","",Raw!D367))&amp;":"&amp;IF(Raw!D367="","",Raw!D367)&amp;"|"&amp;LEN(IF(Raw!E367="","",Raw!E367))&amp;":"&amp;IF(Raw!E367="","",Raw!E367)&amp;"|"&amp;LEN(IF(Raw!F367="","",Raw!F367))&amp;":"&amp;IF(Raw!F367="","",Raw!F367)&amp;"|"&amp;LEN(IF(Raw!G367="","",Raw!G367))&amp;":"&amp;IF(Raw!G367="","",Raw!G367)</f>
        <v>6:L00361|6:T00181|10:2026-01-01|3:P-A|11:Accessories|4:sale|5:18.19</v>
      </c>
      <c r="Q367" s="1">
        <f>1</f>
        <v>1</v>
      </c>
      <c r="R367" s="1" t="b">
        <f>FALSE</f>
        <v>0</v>
      </c>
      <c r="S367" s="1">
        <f>1</f>
        <v>1</v>
      </c>
      <c r="T367" s="1" t="str">
        <f>IF(AND(Raw!A367="",Raw!B367="",Raw!C367="",Raw!D367="",Raw!E367="",Raw!F367="",Raw!G367=""),"UNUSED",IF(A367="","missing line ID",IF(B367="","missing transaction ID",IF(G367="",IF(C367="","missing date","invalid date"),IF(I367="","unknown product",IF(J367="","conflicting category",IF(NOT(OR(EXACT(K367,"sale"),EXACT(K367,"refund"))),"unknown event",IF(OR(N367="",NOT(O367)),"invalid amount",IF(OR(AND(K367="sale",N367&lt;=0),AND(K367="refund",N367&gt;=0)),"invalid sign","")))))))))</f>
        <v/>
      </c>
      <c r="U367" s="1" t="str">
        <f t="shared" si="45"/>
        <v>INCLUDED</v>
      </c>
      <c r="V367" s="1" t="str">
        <f t="shared" si="46"/>
        <v>2026-01</v>
      </c>
      <c r="W367" s="1">
        <f>IF(AND(U367="INCLUDED",X367&gt;0,EXACT(A367,'AI output'!A367)),1,0)</f>
        <v>1</v>
      </c>
      <c r="X367" s="1">
        <f>367</f>
        <v>367</v>
      </c>
      <c r="Y367" s="1">
        <f>IF(AND(U367="INCLUDED",W367=1),--(NOT(EXACT(A367,'AI output'!A367)))+--(NOT(EXACT(B367,'AI output'!B367)))+--(NOT(EXACT(TEXT(G367,"yyyy-mm-dd"),'AI output'!C367)))+--(NOT(EXACT(H367,'AI output'!D367)))+--(NOT(EXACT(J367,'AI output'!E367)))+--(NOT(EXACT(K367,'AI output'!F367)))+--(N367&lt;&gt;'AI output'!L367)+--(NOT('AI output'!M367)),0)</f>
        <v>0</v>
      </c>
      <c r="Z367" s="1">
        <f t="shared" si="47"/>
        <v>0</v>
      </c>
      <c r="AA367" s="1">
        <f>--EXACT(A367,"L00361")</f>
        <v>1</v>
      </c>
    </row>
    <row r="368" spans="1:27" ht="18.95" customHeight="1">
      <c r="A368" s="1" t="str">
        <f>IF(Raw!A368="","",Raw!A368)</f>
        <v>L00362</v>
      </c>
      <c r="B368" s="1" t="str">
        <f>IF(Raw!B368="","",Raw!B368)</f>
        <v>T00181</v>
      </c>
      <c r="C368" s="1" t="str">
        <f>IF(Raw!C368="","",Raw!C368)</f>
        <v>2026-01-01</v>
      </c>
      <c r="D368" s="1">
        <f t="shared" si="40"/>
        <v>2026</v>
      </c>
      <c r="E368" s="1">
        <f>IFERROR(IF(AND(LEN(C368)=10,MID(C368,5,1)="-",MID(C368,8,1)="-"),VALUE(MID(C368,6,2)),IF(AND(LEN(C368)=11,MID(C368,3,1)="-",MID(C368,7,1)="-"),MATCH(UPPER(MID(C368,4,3)),Guide!$D$7:$D$18,0),0)),0)</f>
        <v>1</v>
      </c>
      <c r="F368" s="1">
        <f t="shared" si="41"/>
        <v>1</v>
      </c>
      <c r="G368" s="9">
        <f t="shared" si="42"/>
        <v>46023</v>
      </c>
      <c r="H368" s="1" t="str">
        <f>IF(Raw!D368="","",Raw!D368)</f>
        <v>P-H</v>
      </c>
      <c r="I368" s="1" t="str">
        <f>IFERROR(IF(EXACT(H368,INDEX(Guide!$A$7:$A$9,MATCH(SUBSTITUTE(SUBSTITUTE(SUBSTITUTE(H368,"~","~~"),"*","~*"),"?","~?"),Guide!$A$7:$A$9,0))),INDEX(Guide!$B$7:$B$9,MATCH(SUBSTITUTE(SUBSTITUTE(SUBSTITUTE(H368,"~","~~"),"*","~*"),"?","~?"),Guide!$A$7:$A$9,0)),""),"")</f>
        <v>Home</v>
      </c>
      <c r="J368" s="1" t="str">
        <f>IF(TRIM(Raw!E368)="",I368,IF(UPPER(TRIM(Raw!E368))=UPPER(I368),I368,""))</f>
        <v>Home</v>
      </c>
      <c r="K368" s="1" t="str">
        <f>IF(Raw!F368="","",Raw!F368)</f>
        <v>sale</v>
      </c>
      <c r="L368" s="1" t="str">
        <f>IF(LEFT(TRIM(Raw!G368),2)="-$","-"&amp;MID(TRIM(Raw!G368),3,99),IF(LEFT(TRIM(Raw!G368),1)="$",MID(TRIM(Raw!G368),2,99),TRIM(Raw!G368)))</f>
        <v>55.68</v>
      </c>
      <c r="M368" s="1">
        <f t="shared" si="43"/>
        <v>55.68</v>
      </c>
      <c r="N368" s="10">
        <f t="shared" si="44"/>
        <v>5568</v>
      </c>
      <c r="O368" s="1" t="b">
        <f>IFERROR(IF(ISNUMBER(Raw!G368),TRUE,OR(EXACT(L368,TEXT(M368,"0.00")),EXACT(L368,TEXT(M368,"#,##0.00")))),FALSE)</f>
        <v>1</v>
      </c>
      <c r="P368" s="1" t="str">
        <f>LEN(IF(Raw!A368="","",Raw!A368))&amp;":"&amp;IF(Raw!A368="","",Raw!A368)&amp;"|"&amp;LEN(IF(Raw!B368="","",Raw!B368))&amp;":"&amp;IF(Raw!B368="","",Raw!B368)&amp;"|"&amp;LEN(IF(Raw!C368="","",Raw!C368))&amp;":"&amp;IF(Raw!C368="","",Raw!C368)&amp;"|"&amp;LEN(IF(Raw!D368="","",Raw!D368))&amp;":"&amp;IF(Raw!D368="","",Raw!D368)&amp;"|"&amp;LEN(IF(Raw!E368="","",Raw!E368))&amp;":"&amp;IF(Raw!E368="","",Raw!E368)&amp;"|"&amp;LEN(IF(Raw!F368="","",Raw!F368))&amp;":"&amp;IF(Raw!F368="","",Raw!F368)&amp;"|"&amp;LEN(IF(Raw!G368="","",Raw!G368))&amp;":"&amp;IF(Raw!G368="","",Raw!G368)</f>
        <v>6:L00362|6:T00181|10:2026-01-01|3:P-H|4:Home|4:sale|5:55.68</v>
      </c>
      <c r="Q368" s="1">
        <f>1</f>
        <v>1</v>
      </c>
      <c r="R368" s="1" t="b">
        <f>FALSE</f>
        <v>0</v>
      </c>
      <c r="S368" s="1">
        <f>1</f>
        <v>1</v>
      </c>
      <c r="T368" s="1" t="str">
        <f>IF(AND(Raw!A368="",Raw!B368="",Raw!C368="",Raw!D368="",Raw!E368="",Raw!F368="",Raw!G368=""),"UNUSED",IF(A368="","missing line ID",IF(B368="","missing transaction ID",IF(G368="",IF(C368="","missing date","invalid date"),IF(I368="","unknown product",IF(J368="","conflicting category",IF(NOT(OR(EXACT(K368,"sale"),EXACT(K368,"refund"))),"unknown event",IF(OR(N368="",NOT(O368)),"invalid amount",IF(OR(AND(K368="sale",N368&lt;=0),AND(K368="refund",N368&gt;=0)),"invalid sign","")))))))))</f>
        <v/>
      </c>
      <c r="U368" s="1" t="str">
        <f t="shared" si="45"/>
        <v>INCLUDED</v>
      </c>
      <c r="V368" s="1" t="str">
        <f t="shared" si="46"/>
        <v>2026-01</v>
      </c>
      <c r="W368" s="1">
        <f>IF(AND(U368="INCLUDED",X368&gt;0,EXACT(A368,'AI output'!A368)),1,0)</f>
        <v>1</v>
      </c>
      <c r="X368" s="1">
        <f>368</f>
        <v>368</v>
      </c>
      <c r="Y368" s="1">
        <f>IF(AND(U368="INCLUDED",W368=1),--(NOT(EXACT(A368,'AI output'!A368)))+--(NOT(EXACT(B368,'AI output'!B368)))+--(NOT(EXACT(TEXT(G368,"yyyy-mm-dd"),'AI output'!C368)))+--(NOT(EXACT(H368,'AI output'!D368)))+--(NOT(EXACT(J368,'AI output'!E368)))+--(NOT(EXACT(K368,'AI output'!F368)))+--(N368&lt;&gt;'AI output'!L368)+--(NOT('AI output'!M368)),0)</f>
        <v>0</v>
      </c>
      <c r="Z368" s="1">
        <f t="shared" si="47"/>
        <v>0</v>
      </c>
      <c r="AA368" s="1">
        <f>--EXACT(A368,"L00362")</f>
        <v>1</v>
      </c>
    </row>
    <row r="369" spans="1:27" ht="18.95" customHeight="1">
      <c r="A369" s="1" t="str">
        <f>IF(Raw!A369="","",Raw!A369)</f>
        <v>L00363</v>
      </c>
      <c r="B369" s="1" t="str">
        <f>IF(Raw!B369="","",Raw!B369)</f>
        <v>T00182</v>
      </c>
      <c r="C369" s="1" t="str">
        <f>IF(Raw!C369="","",Raw!C369)</f>
        <v>2026-01-08</v>
      </c>
      <c r="D369" s="1">
        <f t="shared" si="40"/>
        <v>2026</v>
      </c>
      <c r="E369" s="1">
        <f>IFERROR(IF(AND(LEN(C369)=10,MID(C369,5,1)="-",MID(C369,8,1)="-"),VALUE(MID(C369,6,2)),IF(AND(LEN(C369)=11,MID(C369,3,1)="-",MID(C369,7,1)="-"),MATCH(UPPER(MID(C369,4,3)),Guide!$D$7:$D$18,0),0)),0)</f>
        <v>1</v>
      </c>
      <c r="F369" s="1">
        <f t="shared" si="41"/>
        <v>8</v>
      </c>
      <c r="G369" s="9">
        <f t="shared" si="42"/>
        <v>46030</v>
      </c>
      <c r="H369" s="1" t="str">
        <f>IF(Raw!D369="","",Raw!D369)</f>
        <v>P-O</v>
      </c>
      <c r="I369" s="1" t="str">
        <f>IFERROR(IF(EXACT(H369,INDEX(Guide!$A$7:$A$9,MATCH(SUBSTITUTE(SUBSTITUTE(SUBSTITUTE(H369,"~","~~"),"*","~*"),"?","~?"),Guide!$A$7:$A$9,0))),INDEX(Guide!$B$7:$B$9,MATCH(SUBSTITUTE(SUBSTITUTE(SUBSTITUTE(H369,"~","~~"),"*","~*"),"?","~?"),Guide!$A$7:$A$9,0)),""),"")</f>
        <v>Office</v>
      </c>
      <c r="J369" s="1" t="str">
        <f>IF(TRIM(Raw!E369)="",I369,IF(UPPER(TRIM(Raw!E369))=UPPER(I369),I369,""))</f>
        <v>Office</v>
      </c>
      <c r="K369" s="1" t="str">
        <f>IF(Raw!F369="","",Raw!F369)</f>
        <v>sale</v>
      </c>
      <c r="L369" s="1" t="str">
        <f>IF(LEFT(TRIM(Raw!G369),2)="-$","-"&amp;MID(TRIM(Raw!G369),3,99),IF(LEFT(TRIM(Raw!G369),1)="$",MID(TRIM(Raw!G369),2,99),TRIM(Raw!G369)))</f>
        <v>94.65</v>
      </c>
      <c r="M369" s="1">
        <f t="shared" si="43"/>
        <v>94.65</v>
      </c>
      <c r="N369" s="10">
        <f t="shared" si="44"/>
        <v>9465</v>
      </c>
      <c r="O369" s="1" t="b">
        <f>IFERROR(IF(ISNUMBER(Raw!G369),TRUE,OR(EXACT(L369,TEXT(M369,"0.00")),EXACT(L369,TEXT(M369,"#,##0.00")))),FALSE)</f>
        <v>1</v>
      </c>
      <c r="P369" s="1" t="str">
        <f>LEN(IF(Raw!A369="","",Raw!A369))&amp;":"&amp;IF(Raw!A369="","",Raw!A369)&amp;"|"&amp;LEN(IF(Raw!B369="","",Raw!B369))&amp;":"&amp;IF(Raw!B369="","",Raw!B369)&amp;"|"&amp;LEN(IF(Raw!C369="","",Raw!C369))&amp;":"&amp;IF(Raw!C369="","",Raw!C369)&amp;"|"&amp;LEN(IF(Raw!D369="","",Raw!D369))&amp;":"&amp;IF(Raw!D369="","",Raw!D369)&amp;"|"&amp;LEN(IF(Raw!E369="","",Raw!E369))&amp;":"&amp;IF(Raw!E369="","",Raw!E369)&amp;"|"&amp;LEN(IF(Raw!F369="","",Raw!F369))&amp;":"&amp;IF(Raw!F369="","",Raw!F369)&amp;"|"&amp;LEN(IF(Raw!G369="","",Raw!G369))&amp;":"&amp;IF(Raw!G369="","",Raw!G369)</f>
        <v>6:L00363|6:T00182|10:2026-01-08|3:P-O|6:Office|4:sale|5:94.65</v>
      </c>
      <c r="Q369" s="1">
        <f>1</f>
        <v>1</v>
      </c>
      <c r="R369" s="1" t="b">
        <f>FALSE</f>
        <v>0</v>
      </c>
      <c r="S369" s="1">
        <f>1</f>
        <v>1</v>
      </c>
      <c r="T369" s="1" t="str">
        <f>IF(AND(Raw!A369="",Raw!B369="",Raw!C369="",Raw!D369="",Raw!E369="",Raw!F369="",Raw!G369=""),"UNUSED",IF(A369="","missing line ID",IF(B369="","missing transaction ID",IF(G369="",IF(C369="","missing date","invalid date"),IF(I369="","unknown product",IF(J369="","conflicting category",IF(NOT(OR(EXACT(K369,"sale"),EXACT(K369,"refund"))),"unknown event",IF(OR(N369="",NOT(O369)),"invalid amount",IF(OR(AND(K369="sale",N369&lt;=0),AND(K369="refund",N369&gt;=0)),"invalid sign","")))))))))</f>
        <v/>
      </c>
      <c r="U369" s="1" t="str">
        <f t="shared" si="45"/>
        <v>INCLUDED</v>
      </c>
      <c r="V369" s="1" t="str">
        <f t="shared" si="46"/>
        <v>2026-01</v>
      </c>
      <c r="W369" s="1">
        <f>IF(AND(U369="INCLUDED",X369&gt;0,EXACT(A369,'AI output'!A369)),1,0)</f>
        <v>1</v>
      </c>
      <c r="X369" s="1">
        <f>369</f>
        <v>369</v>
      </c>
      <c r="Y369" s="1">
        <f>IF(AND(U369="INCLUDED",W369=1),--(NOT(EXACT(A369,'AI output'!A369)))+--(NOT(EXACT(B369,'AI output'!B369)))+--(NOT(EXACT(TEXT(G369,"yyyy-mm-dd"),'AI output'!C369)))+--(NOT(EXACT(H369,'AI output'!D369)))+--(NOT(EXACT(J369,'AI output'!E369)))+--(NOT(EXACT(K369,'AI output'!F369)))+--(N369&lt;&gt;'AI output'!L369)+--(NOT('AI output'!M369)),0)</f>
        <v>0</v>
      </c>
      <c r="Z369" s="1">
        <f t="shared" si="47"/>
        <v>0</v>
      </c>
      <c r="AA369" s="1">
        <f>--EXACT(A369,"L00363")</f>
        <v>1</v>
      </c>
    </row>
    <row r="370" spans="1:27" ht="18.95" customHeight="1">
      <c r="A370" s="1" t="str">
        <f>IF(Raw!A370="","",Raw!A370)</f>
        <v>L00364</v>
      </c>
      <c r="B370" s="1" t="str">
        <f>IF(Raw!B370="","",Raw!B370)</f>
        <v>T00182</v>
      </c>
      <c r="C370" s="1" t="str">
        <f>IF(Raw!C370="","",Raw!C370)</f>
        <v>2026-01-08</v>
      </c>
      <c r="D370" s="1">
        <f t="shared" si="40"/>
        <v>2026</v>
      </c>
      <c r="E370" s="1">
        <f>IFERROR(IF(AND(LEN(C370)=10,MID(C370,5,1)="-",MID(C370,8,1)="-"),VALUE(MID(C370,6,2)),IF(AND(LEN(C370)=11,MID(C370,3,1)="-",MID(C370,7,1)="-"),MATCH(UPPER(MID(C370,4,3)),Guide!$D$7:$D$18,0),0)),0)</f>
        <v>1</v>
      </c>
      <c r="F370" s="1">
        <f t="shared" si="41"/>
        <v>8</v>
      </c>
      <c r="G370" s="9">
        <f t="shared" si="42"/>
        <v>46030</v>
      </c>
      <c r="H370" s="1" t="str">
        <f>IF(Raw!D370="","",Raw!D370)</f>
        <v>P-A</v>
      </c>
      <c r="I370" s="1" t="str">
        <f>IFERROR(IF(EXACT(H370,INDEX(Guide!$A$7:$A$9,MATCH(SUBSTITUTE(SUBSTITUTE(SUBSTITUTE(H370,"~","~~"),"*","~*"),"?","~?"),Guide!$A$7:$A$9,0))),INDEX(Guide!$B$7:$B$9,MATCH(SUBSTITUTE(SUBSTITUTE(SUBSTITUTE(H370,"~","~~"),"*","~*"),"?","~?"),Guide!$A$7:$A$9,0)),""),"")</f>
        <v>Accessories</v>
      </c>
      <c r="J370" s="1" t="str">
        <f>IF(TRIM(Raw!E370)="",I370,IF(UPPER(TRIM(Raw!E370))=UPPER(I370),I370,""))</f>
        <v>Accessories</v>
      </c>
      <c r="K370" s="1" t="str">
        <f>IF(Raw!F370="","",Raw!F370)</f>
        <v>sale</v>
      </c>
      <c r="L370" s="1" t="str">
        <f>IF(LEFT(TRIM(Raw!G370),2)="-$","-"&amp;MID(TRIM(Raw!G370),3,99),IF(LEFT(TRIM(Raw!G370),1)="$",MID(TRIM(Raw!G370),2,99),TRIM(Raw!G370)))</f>
        <v>38.60</v>
      </c>
      <c r="M370" s="1">
        <f t="shared" si="43"/>
        <v>38.6</v>
      </c>
      <c r="N370" s="10">
        <f t="shared" si="44"/>
        <v>3860</v>
      </c>
      <c r="O370" s="1" t="b">
        <f>IFERROR(IF(ISNUMBER(Raw!G370),TRUE,OR(EXACT(L370,TEXT(M370,"0.00")),EXACT(L370,TEXT(M370,"#,##0.00")))),FALSE)</f>
        <v>1</v>
      </c>
      <c r="P370" s="1" t="str">
        <f>LEN(IF(Raw!A370="","",Raw!A370))&amp;":"&amp;IF(Raw!A370="","",Raw!A370)&amp;"|"&amp;LEN(IF(Raw!B370="","",Raw!B370))&amp;":"&amp;IF(Raw!B370="","",Raw!B370)&amp;"|"&amp;LEN(IF(Raw!C370="","",Raw!C370))&amp;":"&amp;IF(Raw!C370="","",Raw!C370)&amp;"|"&amp;LEN(IF(Raw!D370="","",Raw!D370))&amp;":"&amp;IF(Raw!D370="","",Raw!D370)&amp;"|"&amp;LEN(IF(Raw!E370="","",Raw!E370))&amp;":"&amp;IF(Raw!E370="","",Raw!E370)&amp;"|"&amp;LEN(IF(Raw!F370="","",Raw!F370))&amp;":"&amp;IF(Raw!F370="","",Raw!F370)&amp;"|"&amp;LEN(IF(Raw!G370="","",Raw!G370))&amp;":"&amp;IF(Raw!G370="","",Raw!G370)</f>
        <v>6:L00364|6:T00182|10:2026-01-08|3:P-A|11:Accessories|4:sale|5:38.60</v>
      </c>
      <c r="Q370" s="1">
        <f>1</f>
        <v>1</v>
      </c>
      <c r="R370" s="1" t="b">
        <f>FALSE</f>
        <v>0</v>
      </c>
      <c r="S370" s="1">
        <f>1</f>
        <v>1</v>
      </c>
      <c r="T370" s="1" t="str">
        <f>IF(AND(Raw!A370="",Raw!B370="",Raw!C370="",Raw!D370="",Raw!E370="",Raw!F370="",Raw!G370=""),"UNUSED",IF(A370="","missing line ID",IF(B370="","missing transaction ID",IF(G370="",IF(C370="","missing date","invalid date"),IF(I370="","unknown product",IF(J370="","conflicting category",IF(NOT(OR(EXACT(K370,"sale"),EXACT(K370,"refund"))),"unknown event",IF(OR(N370="",NOT(O370)),"invalid amount",IF(OR(AND(K370="sale",N370&lt;=0),AND(K370="refund",N370&gt;=0)),"invalid sign","")))))))))</f>
        <v/>
      </c>
      <c r="U370" s="1" t="str">
        <f t="shared" si="45"/>
        <v>INCLUDED</v>
      </c>
      <c r="V370" s="1" t="str">
        <f t="shared" si="46"/>
        <v>2026-01</v>
      </c>
      <c r="W370" s="1">
        <f>IF(AND(U370="INCLUDED",X370&gt;0,EXACT(A370,'AI output'!A370)),1,0)</f>
        <v>1</v>
      </c>
      <c r="X370" s="1">
        <f>370</f>
        <v>370</v>
      </c>
      <c r="Y370" s="1">
        <f>IF(AND(U370="INCLUDED",W370=1),--(NOT(EXACT(A370,'AI output'!A370)))+--(NOT(EXACT(B370,'AI output'!B370)))+--(NOT(EXACT(TEXT(G370,"yyyy-mm-dd"),'AI output'!C370)))+--(NOT(EXACT(H370,'AI output'!D370)))+--(NOT(EXACT(J370,'AI output'!E370)))+--(NOT(EXACT(K370,'AI output'!F370)))+--(N370&lt;&gt;'AI output'!L370)+--(NOT('AI output'!M370)),0)</f>
        <v>0</v>
      </c>
      <c r="Z370" s="1">
        <f t="shared" si="47"/>
        <v>0</v>
      </c>
      <c r="AA370" s="1">
        <f>--EXACT(A370,"L00364")</f>
        <v>1</v>
      </c>
    </row>
    <row r="371" spans="1:27" ht="18.95" customHeight="1">
      <c r="A371" s="1" t="str">
        <f>IF(Raw!A371="","",Raw!A371)</f>
        <v>L00365</v>
      </c>
      <c r="B371" s="1" t="str">
        <f>IF(Raw!B371="","",Raw!B371)</f>
        <v>T00183</v>
      </c>
      <c r="C371" s="1" t="str">
        <f>IF(Raw!C371="","",Raw!C371)</f>
        <v>2026-01-15</v>
      </c>
      <c r="D371" s="1">
        <f t="shared" si="40"/>
        <v>2026</v>
      </c>
      <c r="E371" s="1">
        <f>IFERROR(IF(AND(LEN(C371)=10,MID(C371,5,1)="-",MID(C371,8,1)="-"),VALUE(MID(C371,6,2)),IF(AND(LEN(C371)=11,MID(C371,3,1)="-",MID(C371,7,1)="-"),MATCH(UPPER(MID(C371,4,3)),Guide!$D$7:$D$18,0),0)),0)</f>
        <v>1</v>
      </c>
      <c r="F371" s="1">
        <f t="shared" si="41"/>
        <v>15</v>
      </c>
      <c r="G371" s="9">
        <f t="shared" si="42"/>
        <v>46037</v>
      </c>
      <c r="H371" s="1" t="str">
        <f>IF(Raw!D371="","",Raw!D371)</f>
        <v>P-H</v>
      </c>
      <c r="I371" s="1" t="str">
        <f>IFERROR(IF(EXACT(H371,INDEX(Guide!$A$7:$A$9,MATCH(SUBSTITUTE(SUBSTITUTE(SUBSTITUTE(H371,"~","~~"),"*","~*"),"?","~?"),Guide!$A$7:$A$9,0))),INDEX(Guide!$B$7:$B$9,MATCH(SUBSTITUTE(SUBSTITUTE(SUBSTITUTE(H371,"~","~~"),"*","~*"),"?","~?"),Guide!$A$7:$A$9,0)),""),"")</f>
        <v>Home</v>
      </c>
      <c r="J371" s="1" t="str">
        <f>IF(TRIM(Raw!E371)="",I371,IF(UPPER(TRIM(Raw!E371))=UPPER(I371),I371,""))</f>
        <v>Home</v>
      </c>
      <c r="K371" s="1" t="str">
        <f>IF(Raw!F371="","",Raw!F371)</f>
        <v>sale</v>
      </c>
      <c r="L371" s="1" t="str">
        <f>IF(LEFT(TRIM(Raw!G371),2)="-$","-"&amp;MID(TRIM(Raw!G371),3,99),IF(LEFT(TRIM(Raw!G371),1)="$",MID(TRIM(Raw!G371),2,99),TRIM(Raw!G371)))</f>
        <v>78.68</v>
      </c>
      <c r="M371" s="1">
        <f t="shared" si="43"/>
        <v>78.680000000000007</v>
      </c>
      <c r="N371" s="10">
        <f t="shared" si="44"/>
        <v>7868</v>
      </c>
      <c r="O371" s="1" t="b">
        <f>IFERROR(IF(ISNUMBER(Raw!G371),TRUE,OR(EXACT(L371,TEXT(M371,"0.00")),EXACT(L371,TEXT(M371,"#,##0.00")))),FALSE)</f>
        <v>1</v>
      </c>
      <c r="P371" s="1" t="str">
        <f>LEN(IF(Raw!A371="","",Raw!A371))&amp;":"&amp;IF(Raw!A371="","",Raw!A371)&amp;"|"&amp;LEN(IF(Raw!B371="","",Raw!B371))&amp;":"&amp;IF(Raw!B371="","",Raw!B371)&amp;"|"&amp;LEN(IF(Raw!C371="","",Raw!C371))&amp;":"&amp;IF(Raw!C371="","",Raw!C371)&amp;"|"&amp;LEN(IF(Raw!D371="","",Raw!D371))&amp;":"&amp;IF(Raw!D371="","",Raw!D371)&amp;"|"&amp;LEN(IF(Raw!E371="","",Raw!E371))&amp;":"&amp;IF(Raw!E371="","",Raw!E371)&amp;"|"&amp;LEN(IF(Raw!F371="","",Raw!F371))&amp;":"&amp;IF(Raw!F371="","",Raw!F371)&amp;"|"&amp;LEN(IF(Raw!G371="","",Raw!G371))&amp;":"&amp;IF(Raw!G371="","",Raw!G371)</f>
        <v>6:L00365|6:T00183|10:2026-01-15|3:P-H|4:Home|4:sale|5:78.68</v>
      </c>
      <c r="Q371" s="1">
        <f>1</f>
        <v>1</v>
      </c>
      <c r="R371" s="1" t="b">
        <f>FALSE</f>
        <v>0</v>
      </c>
      <c r="S371" s="1">
        <f>1</f>
        <v>1</v>
      </c>
      <c r="T371" s="1" t="str">
        <f>IF(AND(Raw!A371="",Raw!B371="",Raw!C371="",Raw!D371="",Raw!E371="",Raw!F371="",Raw!G371=""),"UNUSED",IF(A371="","missing line ID",IF(B371="","missing transaction ID",IF(G371="",IF(C371="","missing date","invalid date"),IF(I371="","unknown product",IF(J371="","conflicting category",IF(NOT(OR(EXACT(K371,"sale"),EXACT(K371,"refund"))),"unknown event",IF(OR(N371="",NOT(O371)),"invalid amount",IF(OR(AND(K371="sale",N371&lt;=0),AND(K371="refund",N371&gt;=0)),"invalid sign","")))))))))</f>
        <v/>
      </c>
      <c r="U371" s="1" t="str">
        <f t="shared" si="45"/>
        <v>INCLUDED</v>
      </c>
      <c r="V371" s="1" t="str">
        <f t="shared" si="46"/>
        <v>2026-01</v>
      </c>
      <c r="W371" s="1">
        <f>IF(AND(U371="INCLUDED",X371&gt;0,EXACT(A371,'AI output'!A371)),1,0)</f>
        <v>1</v>
      </c>
      <c r="X371" s="1">
        <f>371</f>
        <v>371</v>
      </c>
      <c r="Y371" s="1">
        <f>IF(AND(U371="INCLUDED",W371=1),--(NOT(EXACT(A371,'AI output'!A371)))+--(NOT(EXACT(B371,'AI output'!B371)))+--(NOT(EXACT(TEXT(G371,"yyyy-mm-dd"),'AI output'!C371)))+--(NOT(EXACT(H371,'AI output'!D371)))+--(NOT(EXACT(J371,'AI output'!E371)))+--(NOT(EXACT(K371,'AI output'!F371)))+--(N371&lt;&gt;'AI output'!L371)+--(NOT('AI output'!M371)),0)</f>
        <v>0</v>
      </c>
      <c r="Z371" s="1">
        <f t="shared" si="47"/>
        <v>0</v>
      </c>
      <c r="AA371" s="1">
        <f>--EXACT(A371,"L00365")</f>
        <v>1</v>
      </c>
    </row>
    <row r="372" spans="1:27" ht="18.95" customHeight="1">
      <c r="A372" s="1" t="str">
        <f>IF(Raw!A372="","",Raw!A372)</f>
        <v>L00366</v>
      </c>
      <c r="B372" s="1" t="str">
        <f>IF(Raw!B372="","",Raw!B372)</f>
        <v>T00183</v>
      </c>
      <c r="C372" s="1" t="str">
        <f>IF(Raw!C372="","",Raw!C372)</f>
        <v>2026-01-15</v>
      </c>
      <c r="D372" s="1">
        <f t="shared" si="40"/>
        <v>2026</v>
      </c>
      <c r="E372" s="1">
        <f>IFERROR(IF(AND(LEN(C372)=10,MID(C372,5,1)="-",MID(C372,8,1)="-"),VALUE(MID(C372,6,2)),IF(AND(LEN(C372)=11,MID(C372,3,1)="-",MID(C372,7,1)="-"),MATCH(UPPER(MID(C372,4,3)),Guide!$D$7:$D$18,0),0)),0)</f>
        <v>1</v>
      </c>
      <c r="F372" s="1">
        <f t="shared" si="41"/>
        <v>15</v>
      </c>
      <c r="G372" s="9">
        <f t="shared" si="42"/>
        <v>46037</v>
      </c>
      <c r="H372" s="1" t="str">
        <f>IF(Raw!D372="","",Raw!D372)</f>
        <v>P-O</v>
      </c>
      <c r="I372" s="1" t="str">
        <f>IFERROR(IF(EXACT(H372,INDEX(Guide!$A$7:$A$9,MATCH(SUBSTITUTE(SUBSTITUTE(SUBSTITUTE(H372,"~","~~"),"*","~*"),"?","~?"),Guide!$A$7:$A$9,0))),INDEX(Guide!$B$7:$B$9,MATCH(SUBSTITUTE(SUBSTITUTE(SUBSTITUTE(H372,"~","~~"),"*","~*"),"?","~?"),Guide!$A$7:$A$9,0)),""),"")</f>
        <v>Office</v>
      </c>
      <c r="J372" s="1" t="str">
        <f>IF(TRIM(Raw!E372)="",I372,IF(UPPER(TRIM(Raw!E372))=UPPER(I372),I372,""))</f>
        <v>Office</v>
      </c>
      <c r="K372" s="1" t="str">
        <f>IF(Raw!F372="","",Raw!F372)</f>
        <v>sale</v>
      </c>
      <c r="L372" s="1" t="str">
        <f>IF(LEFT(TRIM(Raw!G372),2)="-$","-"&amp;MID(TRIM(Raw!G372),3,99),IF(LEFT(TRIM(Raw!G372),1)="$",MID(TRIM(Raw!G372),2,99),TRIM(Raw!G372)))</f>
        <v>20.04</v>
      </c>
      <c r="M372" s="1">
        <f t="shared" si="43"/>
        <v>20.04</v>
      </c>
      <c r="N372" s="10">
        <f t="shared" si="44"/>
        <v>2004</v>
      </c>
      <c r="O372" s="1" t="b">
        <f>IFERROR(IF(ISNUMBER(Raw!G372),TRUE,OR(EXACT(L372,TEXT(M372,"0.00")),EXACT(L372,TEXT(M372,"#,##0.00")))),FALSE)</f>
        <v>1</v>
      </c>
      <c r="P372" s="1" t="str">
        <f>LEN(IF(Raw!A372="","",Raw!A372))&amp;":"&amp;IF(Raw!A372="","",Raw!A372)&amp;"|"&amp;LEN(IF(Raw!B372="","",Raw!B372))&amp;":"&amp;IF(Raw!B372="","",Raw!B372)&amp;"|"&amp;LEN(IF(Raw!C372="","",Raw!C372))&amp;":"&amp;IF(Raw!C372="","",Raw!C372)&amp;"|"&amp;LEN(IF(Raw!D372="","",Raw!D372))&amp;":"&amp;IF(Raw!D372="","",Raw!D372)&amp;"|"&amp;LEN(IF(Raw!E372="","",Raw!E372))&amp;":"&amp;IF(Raw!E372="","",Raw!E372)&amp;"|"&amp;LEN(IF(Raw!F372="","",Raw!F372))&amp;":"&amp;IF(Raw!F372="","",Raw!F372)&amp;"|"&amp;LEN(IF(Raw!G372="","",Raw!G372))&amp;":"&amp;IF(Raw!G372="","",Raw!G372)</f>
        <v>6:L00366|6:T00183|10:2026-01-15|3:P-O|6:Office|4:sale|5:20.04</v>
      </c>
      <c r="Q372" s="1">
        <f>1</f>
        <v>1</v>
      </c>
      <c r="R372" s="1" t="b">
        <f>FALSE</f>
        <v>0</v>
      </c>
      <c r="S372" s="1">
        <f>1</f>
        <v>1</v>
      </c>
      <c r="T372" s="1" t="str">
        <f>IF(AND(Raw!A372="",Raw!B372="",Raw!C372="",Raw!D372="",Raw!E372="",Raw!F372="",Raw!G372=""),"UNUSED",IF(A372="","missing line ID",IF(B372="","missing transaction ID",IF(G372="",IF(C372="","missing date","invalid date"),IF(I372="","unknown product",IF(J372="","conflicting category",IF(NOT(OR(EXACT(K372,"sale"),EXACT(K372,"refund"))),"unknown event",IF(OR(N372="",NOT(O372)),"invalid amount",IF(OR(AND(K372="sale",N372&lt;=0),AND(K372="refund",N372&gt;=0)),"invalid sign","")))))))))</f>
        <v/>
      </c>
      <c r="U372" s="1" t="str">
        <f t="shared" si="45"/>
        <v>INCLUDED</v>
      </c>
      <c r="V372" s="1" t="str">
        <f t="shared" si="46"/>
        <v>2026-01</v>
      </c>
      <c r="W372" s="1">
        <f>IF(AND(U372="INCLUDED",X372&gt;0,EXACT(A372,'AI output'!A372)),1,0)</f>
        <v>1</v>
      </c>
      <c r="X372" s="1">
        <f>372</f>
        <v>372</v>
      </c>
      <c r="Y372" s="1">
        <f>IF(AND(U372="INCLUDED",W372=1),--(NOT(EXACT(A372,'AI output'!A372)))+--(NOT(EXACT(B372,'AI output'!B372)))+--(NOT(EXACT(TEXT(G372,"yyyy-mm-dd"),'AI output'!C372)))+--(NOT(EXACT(H372,'AI output'!D372)))+--(NOT(EXACT(J372,'AI output'!E372)))+--(NOT(EXACT(K372,'AI output'!F372)))+--(N372&lt;&gt;'AI output'!L372)+--(NOT('AI output'!M372)),0)</f>
        <v>0</v>
      </c>
      <c r="Z372" s="1">
        <f t="shared" si="47"/>
        <v>0</v>
      </c>
      <c r="AA372" s="1">
        <f>--EXACT(A372,"L00366")</f>
        <v>1</v>
      </c>
    </row>
    <row r="373" spans="1:27" ht="18.95" customHeight="1">
      <c r="A373" s="1" t="str">
        <f>IF(Raw!A373="","",Raw!A373)</f>
        <v>L00367</v>
      </c>
      <c r="B373" s="1" t="str">
        <f>IF(Raw!B373="","",Raw!B373)</f>
        <v>T00184</v>
      </c>
      <c r="C373" s="1" t="str">
        <f>IF(Raw!C373="","",Raw!C373)</f>
        <v>2026-01-22</v>
      </c>
      <c r="D373" s="1">
        <f t="shared" si="40"/>
        <v>2026</v>
      </c>
      <c r="E373" s="1">
        <f>IFERROR(IF(AND(LEN(C373)=10,MID(C373,5,1)="-",MID(C373,8,1)="-"),VALUE(MID(C373,6,2)),IF(AND(LEN(C373)=11,MID(C373,3,1)="-",MID(C373,7,1)="-"),MATCH(UPPER(MID(C373,4,3)),Guide!$D$7:$D$18,0),0)),0)</f>
        <v>1</v>
      </c>
      <c r="F373" s="1">
        <f t="shared" si="41"/>
        <v>22</v>
      </c>
      <c r="G373" s="9">
        <f t="shared" si="42"/>
        <v>46044</v>
      </c>
      <c r="H373" s="1" t="str">
        <f>IF(Raw!D373="","",Raw!D373)</f>
        <v>P-A</v>
      </c>
      <c r="I373" s="1" t="str">
        <f>IFERROR(IF(EXACT(H373,INDEX(Guide!$A$7:$A$9,MATCH(SUBSTITUTE(SUBSTITUTE(SUBSTITUTE(H373,"~","~~"),"*","~*"),"?","~?"),Guide!$A$7:$A$9,0))),INDEX(Guide!$B$7:$B$9,MATCH(SUBSTITUTE(SUBSTITUTE(SUBSTITUTE(H373,"~","~~"),"*","~*"),"?","~?"),Guide!$A$7:$A$9,0)),""),"")</f>
        <v>Accessories</v>
      </c>
      <c r="J373" s="1" t="str">
        <f>IF(TRIM(Raw!E373)="",I373,IF(UPPER(TRIM(Raw!E373))=UPPER(I373),I373,""))</f>
        <v>Accessories</v>
      </c>
      <c r="K373" s="1" t="str">
        <f>IF(Raw!F373="","",Raw!F373)</f>
        <v>sale</v>
      </c>
      <c r="L373" s="1" t="str">
        <f>IF(LEFT(TRIM(Raw!G373),2)="-$","-"&amp;MID(TRIM(Raw!G373),3,99),IF(LEFT(TRIM(Raw!G373),1)="$",MID(TRIM(Raw!G373),2,99),TRIM(Raw!G373)))</f>
        <v>61.23</v>
      </c>
      <c r="M373" s="1">
        <f t="shared" si="43"/>
        <v>61.23</v>
      </c>
      <c r="N373" s="10">
        <f t="shared" si="44"/>
        <v>6123</v>
      </c>
      <c r="O373" s="1" t="b">
        <f>IFERROR(IF(ISNUMBER(Raw!G373),TRUE,OR(EXACT(L373,TEXT(M373,"0.00")),EXACT(L373,TEXT(M373,"#,##0.00")))),FALSE)</f>
        <v>1</v>
      </c>
      <c r="P373" s="1" t="str">
        <f>LEN(IF(Raw!A373="","",Raw!A373))&amp;":"&amp;IF(Raw!A373="","",Raw!A373)&amp;"|"&amp;LEN(IF(Raw!B373="","",Raw!B373))&amp;":"&amp;IF(Raw!B373="","",Raw!B373)&amp;"|"&amp;LEN(IF(Raw!C373="","",Raw!C373))&amp;":"&amp;IF(Raw!C373="","",Raw!C373)&amp;"|"&amp;LEN(IF(Raw!D373="","",Raw!D373))&amp;":"&amp;IF(Raw!D373="","",Raw!D373)&amp;"|"&amp;LEN(IF(Raw!E373="","",Raw!E373))&amp;":"&amp;IF(Raw!E373="","",Raw!E373)&amp;"|"&amp;LEN(IF(Raw!F373="","",Raw!F373))&amp;":"&amp;IF(Raw!F373="","",Raw!F373)&amp;"|"&amp;LEN(IF(Raw!G373="","",Raw!G373))&amp;":"&amp;IF(Raw!G373="","",Raw!G373)</f>
        <v>6:L00367|6:T00184|10:2026-01-22|3:P-A|11:Accessories|4:sale|5:61.23</v>
      </c>
      <c r="Q373" s="1">
        <f>1</f>
        <v>1</v>
      </c>
      <c r="R373" s="1" t="b">
        <f>FALSE</f>
        <v>0</v>
      </c>
      <c r="S373" s="1">
        <f>1</f>
        <v>1</v>
      </c>
      <c r="T373" s="1" t="str">
        <f>IF(AND(Raw!A373="",Raw!B373="",Raw!C373="",Raw!D373="",Raw!E373="",Raw!F373="",Raw!G373=""),"UNUSED",IF(A373="","missing line ID",IF(B373="","missing transaction ID",IF(G373="",IF(C373="","missing date","invalid date"),IF(I373="","unknown product",IF(J373="","conflicting category",IF(NOT(OR(EXACT(K373,"sale"),EXACT(K373,"refund"))),"unknown event",IF(OR(N373="",NOT(O373)),"invalid amount",IF(OR(AND(K373="sale",N373&lt;=0),AND(K373="refund",N373&gt;=0)),"invalid sign","")))))))))</f>
        <v/>
      </c>
      <c r="U373" s="1" t="str">
        <f t="shared" si="45"/>
        <v>INCLUDED</v>
      </c>
      <c r="V373" s="1" t="str">
        <f t="shared" si="46"/>
        <v>2026-01</v>
      </c>
      <c r="W373" s="1">
        <f>IF(AND(U373="INCLUDED",X373&gt;0,EXACT(A373,'AI output'!A373)),1,0)</f>
        <v>1</v>
      </c>
      <c r="X373" s="1">
        <f>373</f>
        <v>373</v>
      </c>
      <c r="Y373" s="1">
        <f>IF(AND(U373="INCLUDED",W373=1),--(NOT(EXACT(A373,'AI output'!A373)))+--(NOT(EXACT(B373,'AI output'!B373)))+--(NOT(EXACT(TEXT(G373,"yyyy-mm-dd"),'AI output'!C373)))+--(NOT(EXACT(H373,'AI output'!D373)))+--(NOT(EXACT(J373,'AI output'!E373)))+--(NOT(EXACT(K373,'AI output'!F373)))+--(N373&lt;&gt;'AI output'!L373)+--(NOT('AI output'!M373)),0)</f>
        <v>0</v>
      </c>
      <c r="Z373" s="1">
        <f t="shared" si="47"/>
        <v>0</v>
      </c>
      <c r="AA373" s="1">
        <f>--EXACT(A373,"L00367")</f>
        <v>1</v>
      </c>
    </row>
    <row r="374" spans="1:27" ht="18.95" customHeight="1">
      <c r="A374" s="1" t="str">
        <f>IF(Raw!A374="","",Raw!A374)</f>
        <v>L00368</v>
      </c>
      <c r="B374" s="1" t="str">
        <f>IF(Raw!B374="","",Raw!B374)</f>
        <v>T00184</v>
      </c>
      <c r="C374" s="1" t="str">
        <f>IF(Raw!C374="","",Raw!C374)</f>
        <v>2026-01-22</v>
      </c>
      <c r="D374" s="1">
        <f t="shared" si="40"/>
        <v>2026</v>
      </c>
      <c r="E374" s="1">
        <f>IFERROR(IF(AND(LEN(C374)=10,MID(C374,5,1)="-",MID(C374,8,1)="-"),VALUE(MID(C374,6,2)),IF(AND(LEN(C374)=11,MID(C374,3,1)="-",MID(C374,7,1)="-"),MATCH(UPPER(MID(C374,4,3)),Guide!$D$7:$D$18,0),0)),0)</f>
        <v>1</v>
      </c>
      <c r="F374" s="1">
        <f t="shared" si="41"/>
        <v>22</v>
      </c>
      <c r="G374" s="9">
        <f t="shared" si="42"/>
        <v>46044</v>
      </c>
      <c r="H374" s="1" t="str">
        <f>IF(Raw!D374="","",Raw!D374)</f>
        <v>P-H</v>
      </c>
      <c r="I374" s="1" t="str">
        <f>IFERROR(IF(EXACT(H374,INDEX(Guide!$A$7:$A$9,MATCH(SUBSTITUTE(SUBSTITUTE(SUBSTITUTE(H374,"~","~~"),"*","~*"),"?","~?"),Guide!$A$7:$A$9,0))),INDEX(Guide!$B$7:$B$9,MATCH(SUBSTITUTE(SUBSTITUTE(SUBSTITUTE(H374,"~","~~"),"*","~*"),"?","~?"),Guide!$A$7:$A$9,0)),""),"")</f>
        <v>Home</v>
      </c>
      <c r="J374" s="1" t="str">
        <f>IF(TRIM(Raw!E374)="",I374,IF(UPPER(TRIM(Raw!E374))=UPPER(I374),I374,""))</f>
        <v>Home</v>
      </c>
      <c r="K374" s="1" t="str">
        <f>IF(Raw!F374="","",Raw!F374)</f>
        <v>sale</v>
      </c>
      <c r="L374" s="1" t="str">
        <f>IF(LEFT(TRIM(Raw!G374),2)="-$","-"&amp;MID(TRIM(Raw!G374),3,99),IF(LEFT(TRIM(Raw!G374),1)="$",MID(TRIM(Raw!G374),2,99),TRIM(Raw!G374)))</f>
        <v>103.90</v>
      </c>
      <c r="M374" s="1">
        <f t="shared" si="43"/>
        <v>103.9</v>
      </c>
      <c r="N374" s="10">
        <f t="shared" si="44"/>
        <v>10390</v>
      </c>
      <c r="O374" s="1" t="b">
        <f>IFERROR(IF(ISNUMBER(Raw!G374),TRUE,OR(EXACT(L374,TEXT(M374,"0.00")),EXACT(L374,TEXT(M374,"#,##0.00")))),FALSE)</f>
        <v>1</v>
      </c>
      <c r="P374" s="1" t="str">
        <f>LEN(IF(Raw!A374="","",Raw!A374))&amp;":"&amp;IF(Raw!A374="","",Raw!A374)&amp;"|"&amp;LEN(IF(Raw!B374="","",Raw!B374))&amp;":"&amp;IF(Raw!B374="","",Raw!B374)&amp;"|"&amp;LEN(IF(Raw!C374="","",Raw!C374))&amp;":"&amp;IF(Raw!C374="","",Raw!C374)&amp;"|"&amp;LEN(IF(Raw!D374="","",Raw!D374))&amp;":"&amp;IF(Raw!D374="","",Raw!D374)&amp;"|"&amp;LEN(IF(Raw!E374="","",Raw!E374))&amp;":"&amp;IF(Raw!E374="","",Raw!E374)&amp;"|"&amp;LEN(IF(Raw!F374="","",Raw!F374))&amp;":"&amp;IF(Raw!F374="","",Raw!F374)&amp;"|"&amp;LEN(IF(Raw!G374="","",Raw!G374))&amp;":"&amp;IF(Raw!G374="","",Raw!G374)</f>
        <v>6:L00368|6:T00184|10:2026-01-22|3:P-H|4:Home|4:sale|6:103.90</v>
      </c>
      <c r="Q374" s="1">
        <f>1</f>
        <v>1</v>
      </c>
      <c r="R374" s="1" t="b">
        <f>FALSE</f>
        <v>0</v>
      </c>
      <c r="S374" s="1">
        <f>1</f>
        <v>1</v>
      </c>
      <c r="T374" s="1" t="str">
        <f>IF(AND(Raw!A374="",Raw!B374="",Raw!C374="",Raw!D374="",Raw!E374="",Raw!F374="",Raw!G374=""),"UNUSED",IF(A374="","missing line ID",IF(B374="","missing transaction ID",IF(G374="",IF(C374="","missing date","invalid date"),IF(I374="","unknown product",IF(J374="","conflicting category",IF(NOT(OR(EXACT(K374,"sale"),EXACT(K374,"refund"))),"unknown event",IF(OR(N374="",NOT(O374)),"invalid amount",IF(OR(AND(K374="sale",N374&lt;=0),AND(K374="refund",N374&gt;=0)),"invalid sign","")))))))))</f>
        <v/>
      </c>
      <c r="U374" s="1" t="str">
        <f t="shared" si="45"/>
        <v>INCLUDED</v>
      </c>
      <c r="V374" s="1" t="str">
        <f t="shared" si="46"/>
        <v>2026-01</v>
      </c>
      <c r="W374" s="1">
        <f>IF(AND(U374="INCLUDED",X374&gt;0,EXACT(A374,'AI output'!A374)),1,0)</f>
        <v>1</v>
      </c>
      <c r="X374" s="1">
        <f>374</f>
        <v>374</v>
      </c>
      <c r="Y374" s="1">
        <f>IF(AND(U374="INCLUDED",W374=1),--(NOT(EXACT(A374,'AI output'!A374)))+--(NOT(EXACT(B374,'AI output'!B374)))+--(NOT(EXACT(TEXT(G374,"yyyy-mm-dd"),'AI output'!C374)))+--(NOT(EXACT(H374,'AI output'!D374)))+--(NOT(EXACT(J374,'AI output'!E374)))+--(NOT(EXACT(K374,'AI output'!F374)))+--(N374&lt;&gt;'AI output'!L374)+--(NOT('AI output'!M374)),0)</f>
        <v>0</v>
      </c>
      <c r="Z374" s="1">
        <f t="shared" si="47"/>
        <v>0</v>
      </c>
      <c r="AA374" s="1">
        <f>--EXACT(A374,"L00368")</f>
        <v>1</v>
      </c>
    </row>
    <row r="375" spans="1:27" ht="18.95" customHeight="1">
      <c r="A375" s="1" t="str">
        <f>IF(Raw!A375="","",Raw!A375)</f>
        <v>L00369</v>
      </c>
      <c r="B375" s="1" t="str">
        <f>IF(Raw!B375="","",Raw!B375)</f>
        <v>T00185</v>
      </c>
      <c r="C375" s="1" t="str">
        <f>IF(Raw!C375="","",Raw!C375)</f>
        <v>2026-01-29</v>
      </c>
      <c r="D375" s="1">
        <f t="shared" si="40"/>
        <v>2026</v>
      </c>
      <c r="E375" s="1">
        <f>IFERROR(IF(AND(LEN(C375)=10,MID(C375,5,1)="-",MID(C375,8,1)="-"),VALUE(MID(C375,6,2)),IF(AND(LEN(C375)=11,MID(C375,3,1)="-",MID(C375,7,1)="-"),MATCH(UPPER(MID(C375,4,3)),Guide!$D$7:$D$18,0),0)),0)</f>
        <v>1</v>
      </c>
      <c r="F375" s="1">
        <f t="shared" si="41"/>
        <v>29</v>
      </c>
      <c r="G375" s="9">
        <f t="shared" si="42"/>
        <v>46051</v>
      </c>
      <c r="H375" s="1" t="str">
        <f>IF(Raw!D375="","",Raw!D375)</f>
        <v>P-O</v>
      </c>
      <c r="I375" s="1" t="str">
        <f>IFERROR(IF(EXACT(H375,INDEX(Guide!$A$7:$A$9,MATCH(SUBSTITUTE(SUBSTITUTE(SUBSTITUTE(H375,"~","~~"),"*","~*"),"?","~?"),Guide!$A$7:$A$9,0))),INDEX(Guide!$B$7:$B$9,MATCH(SUBSTITUTE(SUBSTITUTE(SUBSTITUTE(H375,"~","~~"),"*","~*"),"?","~?"),Guide!$A$7:$A$9,0)),""),"")</f>
        <v>Office</v>
      </c>
      <c r="J375" s="1" t="str">
        <f>IF(TRIM(Raw!E375)="",I375,IF(UPPER(TRIM(Raw!E375))=UPPER(I375),I375,""))</f>
        <v>Office</v>
      </c>
      <c r="K375" s="1" t="str">
        <f>IF(Raw!F375="","",Raw!F375)</f>
        <v>refund</v>
      </c>
      <c r="L375" s="1" t="str">
        <f>IF(LEFT(TRIM(Raw!G375),2)="-$","-"&amp;MID(TRIM(Raw!G375),3,99),IF(LEFT(TRIM(Raw!G375),1)="$",MID(TRIM(Raw!G375),2,99),TRIM(Raw!G375)))</f>
        <v>-42.30</v>
      </c>
      <c r="M375" s="1">
        <f t="shared" si="43"/>
        <v>-42.3</v>
      </c>
      <c r="N375" s="10">
        <f t="shared" si="44"/>
        <v>-4230</v>
      </c>
      <c r="O375" s="1" t="b">
        <f>IFERROR(IF(ISNUMBER(Raw!G375),TRUE,OR(EXACT(L375,TEXT(M375,"0.00")),EXACT(L375,TEXT(M375,"#,##0.00")))),FALSE)</f>
        <v>1</v>
      </c>
      <c r="P375" s="1" t="str">
        <f>LEN(IF(Raw!A375="","",Raw!A375))&amp;":"&amp;IF(Raw!A375="","",Raw!A375)&amp;"|"&amp;LEN(IF(Raw!B375="","",Raw!B375))&amp;":"&amp;IF(Raw!B375="","",Raw!B375)&amp;"|"&amp;LEN(IF(Raw!C375="","",Raw!C375))&amp;":"&amp;IF(Raw!C375="","",Raw!C375)&amp;"|"&amp;LEN(IF(Raw!D375="","",Raw!D375))&amp;":"&amp;IF(Raw!D375="","",Raw!D375)&amp;"|"&amp;LEN(IF(Raw!E375="","",Raw!E375))&amp;":"&amp;IF(Raw!E375="","",Raw!E375)&amp;"|"&amp;LEN(IF(Raw!F375="","",Raw!F375))&amp;":"&amp;IF(Raw!F375="","",Raw!F375)&amp;"|"&amp;LEN(IF(Raw!G375="","",Raw!G375))&amp;":"&amp;IF(Raw!G375="","",Raw!G375)</f>
        <v>6:L00369|6:T00185|10:2026-01-29|3:P-O|6:Office|6:refund|6:-42.30</v>
      </c>
      <c r="Q375" s="1">
        <f>1</f>
        <v>1</v>
      </c>
      <c r="R375" s="1" t="b">
        <f>FALSE</f>
        <v>0</v>
      </c>
      <c r="S375" s="1">
        <f>1</f>
        <v>1</v>
      </c>
      <c r="T375" s="1" t="str">
        <f>IF(AND(Raw!A375="",Raw!B375="",Raw!C375="",Raw!D375="",Raw!E375="",Raw!F375="",Raw!G375=""),"UNUSED",IF(A375="","missing line ID",IF(B375="","missing transaction ID",IF(G375="",IF(C375="","missing date","invalid date"),IF(I375="","unknown product",IF(J375="","conflicting category",IF(NOT(OR(EXACT(K375,"sale"),EXACT(K375,"refund"))),"unknown event",IF(OR(N375="",NOT(O375)),"invalid amount",IF(OR(AND(K375="sale",N375&lt;=0),AND(K375="refund",N375&gt;=0)),"invalid sign","")))))))))</f>
        <v/>
      </c>
      <c r="U375" s="1" t="str">
        <f t="shared" si="45"/>
        <v>INCLUDED</v>
      </c>
      <c r="V375" s="1" t="str">
        <f t="shared" si="46"/>
        <v>2026-01</v>
      </c>
      <c r="W375" s="1">
        <f>IF(AND(U375="INCLUDED",X375&gt;0,EXACT(A375,'AI output'!A375)),1,0)</f>
        <v>1</v>
      </c>
      <c r="X375" s="1">
        <f>375</f>
        <v>375</v>
      </c>
      <c r="Y375" s="1">
        <f>IF(AND(U375="INCLUDED",W375=1),--(NOT(EXACT(A375,'AI output'!A375)))+--(NOT(EXACT(B375,'AI output'!B375)))+--(NOT(EXACT(TEXT(G375,"yyyy-mm-dd"),'AI output'!C375)))+--(NOT(EXACT(H375,'AI output'!D375)))+--(NOT(EXACT(J375,'AI output'!E375)))+--(NOT(EXACT(K375,'AI output'!F375)))+--(N375&lt;&gt;'AI output'!L375)+--(NOT('AI output'!M375)),0)</f>
        <v>0</v>
      </c>
      <c r="Z375" s="1">
        <f t="shared" si="47"/>
        <v>0</v>
      </c>
      <c r="AA375" s="1">
        <f>--EXACT(A375,"L00369")</f>
        <v>1</v>
      </c>
    </row>
    <row r="376" spans="1:27" ht="18.95" customHeight="1">
      <c r="A376" s="1" t="str">
        <f>IF(Raw!A376="","",Raw!A376)</f>
        <v>L00370</v>
      </c>
      <c r="B376" s="1" t="str">
        <f>IF(Raw!B376="","",Raw!B376)</f>
        <v>T00185</v>
      </c>
      <c r="C376" s="1" t="str">
        <f>IF(Raw!C376="","",Raw!C376)</f>
        <v>2026-01-29</v>
      </c>
      <c r="D376" s="1">
        <f t="shared" si="40"/>
        <v>2026</v>
      </c>
      <c r="E376" s="1">
        <f>IFERROR(IF(AND(LEN(C376)=10,MID(C376,5,1)="-",MID(C376,8,1)="-"),VALUE(MID(C376,6,2)),IF(AND(LEN(C376)=11,MID(C376,3,1)="-",MID(C376,7,1)="-"),MATCH(UPPER(MID(C376,4,3)),Guide!$D$7:$D$18,0),0)),0)</f>
        <v>1</v>
      </c>
      <c r="F376" s="1">
        <f t="shared" si="41"/>
        <v>29</v>
      </c>
      <c r="G376" s="9">
        <f t="shared" si="42"/>
        <v>46051</v>
      </c>
      <c r="H376" s="1" t="str">
        <f>IF(Raw!D376="","",Raw!D376)</f>
        <v>P-A</v>
      </c>
      <c r="I376" s="1" t="str">
        <f>IFERROR(IF(EXACT(H376,INDEX(Guide!$A$7:$A$9,MATCH(SUBSTITUTE(SUBSTITUTE(SUBSTITUTE(H376,"~","~~"),"*","~*"),"?","~?"),Guide!$A$7:$A$9,0))),INDEX(Guide!$B$7:$B$9,MATCH(SUBSTITUTE(SUBSTITUTE(SUBSTITUTE(H376,"~","~~"),"*","~*"),"?","~?"),Guide!$A$7:$A$9,0)),""),"")</f>
        <v>Accessories</v>
      </c>
      <c r="J376" s="1" t="str">
        <f>IF(TRIM(Raw!E376)="",I376,IF(UPPER(TRIM(Raw!E376))=UPPER(I376),I376,""))</f>
        <v>Accessories</v>
      </c>
      <c r="K376" s="1" t="str">
        <f>IF(Raw!F376="","",Raw!F376)</f>
        <v>sale</v>
      </c>
      <c r="L376" s="1" t="str">
        <f>IF(LEFT(TRIM(Raw!G376),2)="-$","-"&amp;MID(TRIM(Raw!G376),3,99),IF(LEFT(TRIM(Raw!G376),1)="$",MID(TRIM(Raw!G376),2,99),TRIM(Raw!G376)))</f>
        <v>86.08</v>
      </c>
      <c r="M376" s="1">
        <f t="shared" si="43"/>
        <v>86.08</v>
      </c>
      <c r="N376" s="10">
        <f t="shared" si="44"/>
        <v>8608</v>
      </c>
      <c r="O376" s="1" t="b">
        <f>IFERROR(IF(ISNUMBER(Raw!G376),TRUE,OR(EXACT(L376,TEXT(M376,"0.00")),EXACT(L376,TEXT(M376,"#,##0.00")))),FALSE)</f>
        <v>1</v>
      </c>
      <c r="P376" s="1" t="str">
        <f>LEN(IF(Raw!A376="","",Raw!A376))&amp;":"&amp;IF(Raw!A376="","",Raw!A376)&amp;"|"&amp;LEN(IF(Raw!B376="","",Raw!B376))&amp;":"&amp;IF(Raw!B376="","",Raw!B376)&amp;"|"&amp;LEN(IF(Raw!C376="","",Raw!C376))&amp;":"&amp;IF(Raw!C376="","",Raw!C376)&amp;"|"&amp;LEN(IF(Raw!D376="","",Raw!D376))&amp;":"&amp;IF(Raw!D376="","",Raw!D376)&amp;"|"&amp;LEN(IF(Raw!E376="","",Raw!E376))&amp;":"&amp;IF(Raw!E376="","",Raw!E376)&amp;"|"&amp;LEN(IF(Raw!F376="","",Raw!F376))&amp;":"&amp;IF(Raw!F376="","",Raw!F376)&amp;"|"&amp;LEN(IF(Raw!G376="","",Raw!G376))&amp;":"&amp;IF(Raw!G376="","",Raw!G376)</f>
        <v>6:L00370|6:T00185|10:2026-01-29|3:P-A|11:Accessories|4:sale|5:86.08</v>
      </c>
      <c r="Q376" s="1">
        <f>1</f>
        <v>1</v>
      </c>
      <c r="R376" s="1" t="b">
        <f>FALSE</f>
        <v>0</v>
      </c>
      <c r="S376" s="1">
        <f>1</f>
        <v>1</v>
      </c>
      <c r="T376" s="1" t="str">
        <f>IF(AND(Raw!A376="",Raw!B376="",Raw!C376="",Raw!D376="",Raw!E376="",Raw!F376="",Raw!G376=""),"UNUSED",IF(A376="","missing line ID",IF(B376="","missing transaction ID",IF(G376="",IF(C376="","missing date","invalid date"),IF(I376="","unknown product",IF(J376="","conflicting category",IF(NOT(OR(EXACT(K376,"sale"),EXACT(K376,"refund"))),"unknown event",IF(OR(N376="",NOT(O376)),"invalid amount",IF(OR(AND(K376="sale",N376&lt;=0),AND(K376="refund",N376&gt;=0)),"invalid sign","")))))))))</f>
        <v/>
      </c>
      <c r="U376" s="1" t="str">
        <f t="shared" si="45"/>
        <v>INCLUDED</v>
      </c>
      <c r="V376" s="1" t="str">
        <f t="shared" si="46"/>
        <v>2026-01</v>
      </c>
      <c r="W376" s="1">
        <f>IF(AND(U376="INCLUDED",X376&gt;0,EXACT(A376,'AI output'!A376)),1,0)</f>
        <v>1</v>
      </c>
      <c r="X376" s="1">
        <f>376</f>
        <v>376</v>
      </c>
      <c r="Y376" s="1">
        <f>IF(AND(U376="INCLUDED",W376=1),--(NOT(EXACT(A376,'AI output'!A376)))+--(NOT(EXACT(B376,'AI output'!B376)))+--(NOT(EXACT(TEXT(G376,"yyyy-mm-dd"),'AI output'!C376)))+--(NOT(EXACT(H376,'AI output'!D376)))+--(NOT(EXACT(J376,'AI output'!E376)))+--(NOT(EXACT(K376,'AI output'!F376)))+--(N376&lt;&gt;'AI output'!L376)+--(NOT('AI output'!M376)),0)</f>
        <v>0</v>
      </c>
      <c r="Z376" s="1">
        <f t="shared" si="47"/>
        <v>0</v>
      </c>
      <c r="AA376" s="1">
        <f>--EXACT(A376,"L00370")</f>
        <v>1</v>
      </c>
    </row>
    <row r="377" spans="1:27" ht="18.95" customHeight="1">
      <c r="A377" s="1" t="str">
        <f>IF(Raw!A377="","",Raw!A377)</f>
        <v>L00371</v>
      </c>
      <c r="B377" s="1" t="str">
        <f>IF(Raw!B377="","",Raw!B377)</f>
        <v>T00186</v>
      </c>
      <c r="C377" s="1" t="str">
        <f>IF(Raw!C377="","",Raw!C377)</f>
        <v>2026-02-05</v>
      </c>
      <c r="D377" s="1">
        <f t="shared" si="40"/>
        <v>2026</v>
      </c>
      <c r="E377" s="1">
        <f>IFERROR(IF(AND(LEN(C377)=10,MID(C377,5,1)="-",MID(C377,8,1)="-"),VALUE(MID(C377,6,2)),IF(AND(LEN(C377)=11,MID(C377,3,1)="-",MID(C377,7,1)="-"),MATCH(UPPER(MID(C377,4,3)),Guide!$D$7:$D$18,0),0)),0)</f>
        <v>2</v>
      </c>
      <c r="F377" s="1">
        <f t="shared" si="41"/>
        <v>5</v>
      </c>
      <c r="G377" s="9">
        <f t="shared" si="42"/>
        <v>46058</v>
      </c>
      <c r="H377" s="1" t="str">
        <f>IF(Raw!D377="","",Raw!D377)</f>
        <v>P-H</v>
      </c>
      <c r="I377" s="1" t="str">
        <f>IFERROR(IF(EXACT(H377,INDEX(Guide!$A$7:$A$9,MATCH(SUBSTITUTE(SUBSTITUTE(SUBSTITUTE(H377,"~","~~"),"*","~*"),"?","~?"),Guide!$A$7:$A$9,0))),INDEX(Guide!$B$7:$B$9,MATCH(SUBSTITUTE(SUBSTITUTE(SUBSTITUTE(H377,"~","~~"),"*","~*"),"?","~?"),Guide!$A$7:$A$9,0)),""),"")</f>
        <v>Home</v>
      </c>
      <c r="J377" s="1" t="str">
        <f>IF(TRIM(Raw!E377)="",I377,IF(UPPER(TRIM(Raw!E377))=UPPER(I377),I377,""))</f>
        <v>Home</v>
      </c>
      <c r="K377" s="1" t="str">
        <f>IF(Raw!F377="","",Raw!F377)</f>
        <v>sale</v>
      </c>
      <c r="L377" s="1" t="str">
        <f>IF(LEFT(TRIM(Raw!G377),2)="-$","-"&amp;MID(TRIM(Raw!G377),3,99),IF(LEFT(TRIM(Raw!G377),1)="$",MID(TRIM(Raw!G377),2,99),TRIM(Raw!G377)))</f>
        <v>21.89</v>
      </c>
      <c r="M377" s="1">
        <f t="shared" si="43"/>
        <v>21.89</v>
      </c>
      <c r="N377" s="10">
        <f t="shared" si="44"/>
        <v>2189</v>
      </c>
      <c r="O377" s="1" t="b">
        <f>IFERROR(IF(ISNUMBER(Raw!G377),TRUE,OR(EXACT(L377,TEXT(M377,"0.00")),EXACT(L377,TEXT(M377,"#,##0.00")))),FALSE)</f>
        <v>1</v>
      </c>
      <c r="P377" s="1" t="str">
        <f>LEN(IF(Raw!A377="","",Raw!A377))&amp;":"&amp;IF(Raw!A377="","",Raw!A377)&amp;"|"&amp;LEN(IF(Raw!B377="","",Raw!B377))&amp;":"&amp;IF(Raw!B377="","",Raw!B377)&amp;"|"&amp;LEN(IF(Raw!C377="","",Raw!C377))&amp;":"&amp;IF(Raw!C377="","",Raw!C377)&amp;"|"&amp;LEN(IF(Raw!D377="","",Raw!D377))&amp;":"&amp;IF(Raw!D377="","",Raw!D377)&amp;"|"&amp;LEN(IF(Raw!E377="","",Raw!E377))&amp;":"&amp;IF(Raw!E377="","",Raw!E377)&amp;"|"&amp;LEN(IF(Raw!F377="","",Raw!F377))&amp;":"&amp;IF(Raw!F377="","",Raw!F377)&amp;"|"&amp;LEN(IF(Raw!G377="","",Raw!G377))&amp;":"&amp;IF(Raw!G377="","",Raw!G377)</f>
        <v>6:L00371|6:T00186|10:2026-02-05|3:P-H|4:Home|4:sale|5:21.89</v>
      </c>
      <c r="Q377" s="1">
        <f>1</f>
        <v>1</v>
      </c>
      <c r="R377" s="1" t="b">
        <f>FALSE</f>
        <v>0</v>
      </c>
      <c r="S377" s="1">
        <f>1</f>
        <v>1</v>
      </c>
      <c r="T377" s="1" t="str">
        <f>IF(AND(Raw!A377="",Raw!B377="",Raw!C377="",Raw!D377="",Raw!E377="",Raw!F377="",Raw!G377=""),"UNUSED",IF(A377="","missing line ID",IF(B377="","missing transaction ID",IF(G377="",IF(C377="","missing date","invalid date"),IF(I377="","unknown product",IF(J377="","conflicting category",IF(NOT(OR(EXACT(K377,"sale"),EXACT(K377,"refund"))),"unknown event",IF(OR(N377="",NOT(O377)),"invalid amount",IF(OR(AND(K377="sale",N377&lt;=0),AND(K377="refund",N377&gt;=0)),"invalid sign","")))))))))</f>
        <v/>
      </c>
      <c r="U377" s="1" t="str">
        <f t="shared" si="45"/>
        <v>INCLUDED</v>
      </c>
      <c r="V377" s="1" t="str">
        <f t="shared" si="46"/>
        <v>2026-02</v>
      </c>
      <c r="W377" s="1">
        <f>IF(AND(U377="INCLUDED",X377&gt;0,EXACT(A377,'AI output'!A377)),1,0)</f>
        <v>1</v>
      </c>
      <c r="X377" s="1">
        <f>377</f>
        <v>377</v>
      </c>
      <c r="Y377" s="1">
        <f>IF(AND(U377="INCLUDED",W377=1),--(NOT(EXACT(A377,'AI output'!A377)))+--(NOT(EXACT(B377,'AI output'!B377)))+--(NOT(EXACT(TEXT(G377,"yyyy-mm-dd"),'AI output'!C377)))+--(NOT(EXACT(H377,'AI output'!D377)))+--(NOT(EXACT(J377,'AI output'!E377)))+--(NOT(EXACT(K377,'AI output'!F377)))+--(N377&lt;&gt;'AI output'!L377)+--(NOT('AI output'!M377)),0)</f>
        <v>0</v>
      </c>
      <c r="Z377" s="1">
        <f t="shared" si="47"/>
        <v>0</v>
      </c>
      <c r="AA377" s="1">
        <f>--EXACT(A377,"L00371")</f>
        <v>1</v>
      </c>
    </row>
    <row r="378" spans="1:27" ht="18.95" customHeight="1">
      <c r="A378" s="1" t="str">
        <f>IF(Raw!A378="","",Raw!A378)</f>
        <v>L00372</v>
      </c>
      <c r="B378" s="1" t="str">
        <f>IF(Raw!B378="","",Raw!B378)</f>
        <v>T00186</v>
      </c>
      <c r="C378" s="1" t="str">
        <f>IF(Raw!C378="","",Raw!C378)</f>
        <v>2026-02-05</v>
      </c>
      <c r="D378" s="1">
        <f t="shared" si="40"/>
        <v>2026</v>
      </c>
      <c r="E378" s="1">
        <f>IFERROR(IF(AND(LEN(C378)=10,MID(C378,5,1)="-",MID(C378,8,1)="-"),VALUE(MID(C378,6,2)),IF(AND(LEN(C378)=11,MID(C378,3,1)="-",MID(C378,7,1)="-"),MATCH(UPPER(MID(C378,4,3)),Guide!$D$7:$D$18,0),0)),0)</f>
        <v>2</v>
      </c>
      <c r="F378" s="1">
        <f t="shared" si="41"/>
        <v>5</v>
      </c>
      <c r="G378" s="9">
        <f t="shared" si="42"/>
        <v>46058</v>
      </c>
      <c r="H378" s="1" t="str">
        <f>IF(Raw!D378="","",Raw!D378)</f>
        <v>P-O</v>
      </c>
      <c r="I378" s="1" t="str">
        <f>IFERROR(IF(EXACT(H378,INDEX(Guide!$A$7:$A$9,MATCH(SUBSTITUTE(SUBSTITUTE(SUBSTITUTE(H378,"~","~~"),"*","~*"),"?","~?"),Guide!$A$7:$A$9,0))),INDEX(Guide!$B$7:$B$9,MATCH(SUBSTITUTE(SUBSTITUTE(SUBSTITUTE(H378,"~","~~"),"*","~*"),"?","~?"),Guide!$A$7:$A$9,0)),""),"")</f>
        <v>Office</v>
      </c>
      <c r="J378" s="1" t="str">
        <f>IF(TRIM(Raw!E378)="",I378,IF(UPPER(TRIM(Raw!E378))=UPPER(I378),I378,""))</f>
        <v>Office</v>
      </c>
      <c r="K378" s="1" t="str">
        <f>IF(Raw!F378="","",Raw!F378)</f>
        <v>sale</v>
      </c>
      <c r="L378" s="1" t="str">
        <f>IF(LEFT(TRIM(Raw!G378),2)="-$","-"&amp;MID(TRIM(Raw!G378),3,99),IF(LEFT(TRIM(Raw!G378),1)="$",MID(TRIM(Raw!G378),2,99),TRIM(Raw!G378)))</f>
        <v>66.78</v>
      </c>
      <c r="M378" s="1">
        <f t="shared" si="43"/>
        <v>66.78</v>
      </c>
      <c r="N378" s="10">
        <f t="shared" si="44"/>
        <v>6678</v>
      </c>
      <c r="O378" s="1" t="b">
        <f>IFERROR(IF(ISNUMBER(Raw!G378),TRUE,OR(EXACT(L378,TEXT(M378,"0.00")),EXACT(L378,TEXT(M378,"#,##0.00")))),FALSE)</f>
        <v>1</v>
      </c>
      <c r="P378" s="1" t="str">
        <f>LEN(IF(Raw!A378="","",Raw!A378))&amp;":"&amp;IF(Raw!A378="","",Raw!A378)&amp;"|"&amp;LEN(IF(Raw!B378="","",Raw!B378))&amp;":"&amp;IF(Raw!B378="","",Raw!B378)&amp;"|"&amp;LEN(IF(Raw!C378="","",Raw!C378))&amp;":"&amp;IF(Raw!C378="","",Raw!C378)&amp;"|"&amp;LEN(IF(Raw!D378="","",Raw!D378))&amp;":"&amp;IF(Raw!D378="","",Raw!D378)&amp;"|"&amp;LEN(IF(Raw!E378="","",Raw!E378))&amp;":"&amp;IF(Raw!E378="","",Raw!E378)&amp;"|"&amp;LEN(IF(Raw!F378="","",Raw!F378))&amp;":"&amp;IF(Raw!F378="","",Raw!F378)&amp;"|"&amp;LEN(IF(Raw!G378="","",Raw!G378))&amp;":"&amp;IF(Raw!G378="","",Raw!G378)</f>
        <v>6:L00372|6:T00186|10:2026-02-05|3:P-O|6:Office|4:sale|5:66.78</v>
      </c>
      <c r="Q378" s="1">
        <f>1</f>
        <v>1</v>
      </c>
      <c r="R378" s="1" t="b">
        <f>FALSE</f>
        <v>0</v>
      </c>
      <c r="S378" s="1">
        <f>1</f>
        <v>1</v>
      </c>
      <c r="T378" s="1" t="str">
        <f>IF(AND(Raw!A378="",Raw!B378="",Raw!C378="",Raw!D378="",Raw!E378="",Raw!F378="",Raw!G378=""),"UNUSED",IF(A378="","missing line ID",IF(B378="","missing transaction ID",IF(G378="",IF(C378="","missing date","invalid date"),IF(I378="","unknown product",IF(J378="","conflicting category",IF(NOT(OR(EXACT(K378,"sale"),EXACT(K378,"refund"))),"unknown event",IF(OR(N378="",NOT(O378)),"invalid amount",IF(OR(AND(K378="sale",N378&lt;=0),AND(K378="refund",N378&gt;=0)),"invalid sign","")))))))))</f>
        <v/>
      </c>
      <c r="U378" s="1" t="str">
        <f t="shared" si="45"/>
        <v>INCLUDED</v>
      </c>
      <c r="V378" s="1" t="str">
        <f t="shared" si="46"/>
        <v>2026-02</v>
      </c>
      <c r="W378" s="1">
        <f>IF(AND(U378="INCLUDED",X378&gt;0,EXACT(A378,'AI output'!A378)),1,0)</f>
        <v>1</v>
      </c>
      <c r="X378" s="1">
        <f>378</f>
        <v>378</v>
      </c>
      <c r="Y378" s="1">
        <f>IF(AND(U378="INCLUDED",W378=1),--(NOT(EXACT(A378,'AI output'!A378)))+--(NOT(EXACT(B378,'AI output'!B378)))+--(NOT(EXACT(TEXT(G378,"yyyy-mm-dd"),'AI output'!C378)))+--(NOT(EXACT(H378,'AI output'!D378)))+--(NOT(EXACT(J378,'AI output'!E378)))+--(NOT(EXACT(K378,'AI output'!F378)))+--(N378&lt;&gt;'AI output'!L378)+--(NOT('AI output'!M378)),0)</f>
        <v>0</v>
      </c>
      <c r="Z378" s="1">
        <f t="shared" si="47"/>
        <v>0</v>
      </c>
      <c r="AA378" s="1">
        <f>--EXACT(A378,"L00372")</f>
        <v>1</v>
      </c>
    </row>
    <row r="379" spans="1:27" ht="18.95" customHeight="1">
      <c r="A379" s="1" t="str">
        <f>IF(Raw!A379="","",Raw!A379)</f>
        <v>L00373</v>
      </c>
      <c r="B379" s="1" t="str">
        <f>IF(Raw!B379="","",Raw!B379)</f>
        <v>T00187</v>
      </c>
      <c r="C379" s="1" t="str">
        <f>IF(Raw!C379="","",Raw!C379)</f>
        <v>2026-02-12</v>
      </c>
      <c r="D379" s="1">
        <f t="shared" si="40"/>
        <v>2026</v>
      </c>
      <c r="E379" s="1">
        <f>IFERROR(IF(AND(LEN(C379)=10,MID(C379,5,1)="-",MID(C379,8,1)="-"),VALUE(MID(C379,6,2)),IF(AND(LEN(C379)=11,MID(C379,3,1)="-",MID(C379,7,1)="-"),MATCH(UPPER(MID(C379,4,3)),Guide!$D$7:$D$18,0),0)),0)</f>
        <v>2</v>
      </c>
      <c r="F379" s="1">
        <f t="shared" si="41"/>
        <v>12</v>
      </c>
      <c r="G379" s="9">
        <f t="shared" si="42"/>
        <v>46065</v>
      </c>
      <c r="H379" s="1" t="str">
        <f>IF(Raw!D379="","",Raw!D379)</f>
        <v>P-A</v>
      </c>
      <c r="I379" s="1" t="str">
        <f>IFERROR(IF(EXACT(H379,INDEX(Guide!$A$7:$A$9,MATCH(SUBSTITUTE(SUBSTITUTE(SUBSTITUTE(H379,"~","~~"),"*","~*"),"?","~?"),Guide!$A$7:$A$9,0))),INDEX(Guide!$B$7:$B$9,MATCH(SUBSTITUTE(SUBSTITUTE(SUBSTITUTE(H379,"~","~~"),"*","~*"),"?","~?"),Guide!$A$7:$A$9,0)),""),"")</f>
        <v>Accessories</v>
      </c>
      <c r="J379" s="1" t="str">
        <f>IF(TRIM(Raw!E379)="",I379,IF(UPPER(TRIM(Raw!E379))=UPPER(I379),I379,""))</f>
        <v>Accessories</v>
      </c>
      <c r="K379" s="1" t="str">
        <f>IF(Raw!F379="","",Raw!F379)</f>
        <v>sale</v>
      </c>
      <c r="L379" s="1" t="str">
        <f>IF(LEFT(TRIM(Raw!G379),2)="-$","-"&amp;MID(TRIM(Raw!G379),3,99),IF(LEFT(TRIM(Raw!G379),1)="$",MID(TRIM(Raw!G379),2,99),TRIM(Raw!G379)))</f>
        <v>113.15</v>
      </c>
      <c r="M379" s="1">
        <f t="shared" si="43"/>
        <v>113.15</v>
      </c>
      <c r="N379" s="10">
        <f t="shared" si="44"/>
        <v>11315</v>
      </c>
      <c r="O379" s="1" t="b">
        <f>IFERROR(IF(ISNUMBER(Raw!G379),TRUE,OR(EXACT(L379,TEXT(M379,"0.00")),EXACT(L379,TEXT(M379,"#,##0.00")))),FALSE)</f>
        <v>1</v>
      </c>
      <c r="P379" s="1" t="str">
        <f>LEN(IF(Raw!A379="","",Raw!A379))&amp;":"&amp;IF(Raw!A379="","",Raw!A379)&amp;"|"&amp;LEN(IF(Raw!B379="","",Raw!B379))&amp;":"&amp;IF(Raw!B379="","",Raw!B379)&amp;"|"&amp;LEN(IF(Raw!C379="","",Raw!C379))&amp;":"&amp;IF(Raw!C379="","",Raw!C379)&amp;"|"&amp;LEN(IF(Raw!D379="","",Raw!D379))&amp;":"&amp;IF(Raw!D379="","",Raw!D379)&amp;"|"&amp;LEN(IF(Raw!E379="","",Raw!E379))&amp;":"&amp;IF(Raw!E379="","",Raw!E379)&amp;"|"&amp;LEN(IF(Raw!F379="","",Raw!F379))&amp;":"&amp;IF(Raw!F379="","",Raw!F379)&amp;"|"&amp;LEN(IF(Raw!G379="","",Raw!G379))&amp;":"&amp;IF(Raw!G379="","",Raw!G379)</f>
        <v>6:L00373|6:T00187|10:2026-02-12|3:P-A|11:Accessories|4:sale|6:113.15</v>
      </c>
      <c r="Q379" s="1">
        <f>1</f>
        <v>1</v>
      </c>
      <c r="R379" s="1" t="b">
        <f>FALSE</f>
        <v>0</v>
      </c>
      <c r="S379" s="1">
        <f>1</f>
        <v>1</v>
      </c>
      <c r="T379" s="1" t="str">
        <f>IF(AND(Raw!A379="",Raw!B379="",Raw!C379="",Raw!D379="",Raw!E379="",Raw!F379="",Raw!G379=""),"UNUSED",IF(A379="","missing line ID",IF(B379="","missing transaction ID",IF(G379="",IF(C379="","missing date","invalid date"),IF(I379="","unknown product",IF(J379="","conflicting category",IF(NOT(OR(EXACT(K379,"sale"),EXACT(K379,"refund"))),"unknown event",IF(OR(N379="",NOT(O379)),"invalid amount",IF(OR(AND(K379="sale",N379&lt;=0),AND(K379="refund",N379&gt;=0)),"invalid sign","")))))))))</f>
        <v/>
      </c>
      <c r="U379" s="1" t="str">
        <f t="shared" si="45"/>
        <v>INCLUDED</v>
      </c>
      <c r="V379" s="1" t="str">
        <f t="shared" si="46"/>
        <v>2026-02</v>
      </c>
      <c r="W379" s="1">
        <f>IF(AND(U379="INCLUDED",X379&gt;0,EXACT(A379,'AI output'!A379)),1,0)</f>
        <v>1</v>
      </c>
      <c r="X379" s="1">
        <f>379</f>
        <v>379</v>
      </c>
      <c r="Y379" s="1">
        <f>IF(AND(U379="INCLUDED",W379=1),--(NOT(EXACT(A379,'AI output'!A379)))+--(NOT(EXACT(B379,'AI output'!B379)))+--(NOT(EXACT(TEXT(G379,"yyyy-mm-dd"),'AI output'!C379)))+--(NOT(EXACT(H379,'AI output'!D379)))+--(NOT(EXACT(J379,'AI output'!E379)))+--(NOT(EXACT(K379,'AI output'!F379)))+--(N379&lt;&gt;'AI output'!L379)+--(NOT('AI output'!M379)),0)</f>
        <v>0</v>
      </c>
      <c r="Z379" s="1">
        <f t="shared" si="47"/>
        <v>0</v>
      </c>
      <c r="AA379" s="1">
        <f>--EXACT(A379,"L00373")</f>
        <v>1</v>
      </c>
    </row>
    <row r="380" spans="1:27" ht="18.95" customHeight="1">
      <c r="A380" s="1" t="str">
        <f>IF(Raw!A380="","",Raw!A380)</f>
        <v>L00374</v>
      </c>
      <c r="B380" s="1" t="str">
        <f>IF(Raw!B380="","",Raw!B380)</f>
        <v>T00187</v>
      </c>
      <c r="C380" s="1" t="str">
        <f>IF(Raw!C380="","",Raw!C380)</f>
        <v>2026-02-12</v>
      </c>
      <c r="D380" s="1">
        <f t="shared" si="40"/>
        <v>2026</v>
      </c>
      <c r="E380" s="1">
        <f>IFERROR(IF(AND(LEN(C380)=10,MID(C380,5,1)="-",MID(C380,8,1)="-"),VALUE(MID(C380,6,2)),IF(AND(LEN(C380)=11,MID(C380,3,1)="-",MID(C380,7,1)="-"),MATCH(UPPER(MID(C380,4,3)),Guide!$D$7:$D$18,0),0)),0)</f>
        <v>2</v>
      </c>
      <c r="F380" s="1">
        <f t="shared" si="41"/>
        <v>12</v>
      </c>
      <c r="G380" s="9">
        <f t="shared" si="42"/>
        <v>46065</v>
      </c>
      <c r="H380" s="1" t="str">
        <f>IF(Raw!D380="","",Raw!D380)</f>
        <v>P-H</v>
      </c>
      <c r="I380" s="1" t="str">
        <f>IFERROR(IF(EXACT(H380,INDEX(Guide!$A$7:$A$9,MATCH(SUBSTITUTE(SUBSTITUTE(SUBSTITUTE(H380,"~","~~"),"*","~*"),"?","~?"),Guide!$A$7:$A$9,0))),INDEX(Guide!$B$7:$B$9,MATCH(SUBSTITUTE(SUBSTITUTE(SUBSTITUTE(H380,"~","~~"),"*","~*"),"?","~?"),Guide!$A$7:$A$9,0)),""),"")</f>
        <v>Home</v>
      </c>
      <c r="J380" s="1" t="str">
        <f>IF(TRIM(Raw!E380)="",I380,IF(UPPER(TRIM(Raw!E380))=UPPER(I380),I380,""))</f>
        <v>Home</v>
      </c>
      <c r="K380" s="1" t="str">
        <f>IF(Raw!F380="","",Raw!F380)</f>
        <v>sale</v>
      </c>
      <c r="L380" s="1" t="str">
        <f>IF(LEFT(TRIM(Raw!G380),2)="-$","-"&amp;MID(TRIM(Raw!G380),3,99),IF(LEFT(TRIM(Raw!G380),1)="$",MID(TRIM(Raw!G380),2,99),TRIM(Raw!G380)))</f>
        <v>46.00</v>
      </c>
      <c r="M380" s="1">
        <f t="shared" si="43"/>
        <v>46</v>
      </c>
      <c r="N380" s="10">
        <f t="shared" si="44"/>
        <v>4600</v>
      </c>
      <c r="O380" s="1" t="b">
        <f>IFERROR(IF(ISNUMBER(Raw!G380),TRUE,OR(EXACT(L380,TEXT(M380,"0.00")),EXACT(L380,TEXT(M380,"#,##0.00")))),FALSE)</f>
        <v>1</v>
      </c>
      <c r="P380" s="1" t="str">
        <f>LEN(IF(Raw!A380="","",Raw!A380))&amp;":"&amp;IF(Raw!A380="","",Raw!A380)&amp;"|"&amp;LEN(IF(Raw!B380="","",Raw!B380))&amp;":"&amp;IF(Raw!B380="","",Raw!B380)&amp;"|"&amp;LEN(IF(Raw!C380="","",Raw!C380))&amp;":"&amp;IF(Raw!C380="","",Raw!C380)&amp;"|"&amp;LEN(IF(Raw!D380="","",Raw!D380))&amp;":"&amp;IF(Raw!D380="","",Raw!D380)&amp;"|"&amp;LEN(IF(Raw!E380="","",Raw!E380))&amp;":"&amp;IF(Raw!E380="","",Raw!E380)&amp;"|"&amp;LEN(IF(Raw!F380="","",Raw!F380))&amp;":"&amp;IF(Raw!F380="","",Raw!F380)&amp;"|"&amp;LEN(IF(Raw!G380="","",Raw!G380))&amp;":"&amp;IF(Raw!G380="","",Raw!G380)</f>
        <v>6:L00374|6:T00187|10:2026-02-12|3:P-H|4:Home|4:sale|5:46.00</v>
      </c>
      <c r="Q380" s="1">
        <f>1</f>
        <v>1</v>
      </c>
      <c r="R380" s="1" t="b">
        <f>FALSE</f>
        <v>0</v>
      </c>
      <c r="S380" s="1">
        <f>1</f>
        <v>1</v>
      </c>
      <c r="T380" s="1" t="str">
        <f>IF(AND(Raw!A380="",Raw!B380="",Raw!C380="",Raw!D380="",Raw!E380="",Raw!F380="",Raw!G380=""),"UNUSED",IF(A380="","missing line ID",IF(B380="","missing transaction ID",IF(G380="",IF(C380="","missing date","invalid date"),IF(I380="","unknown product",IF(J380="","conflicting category",IF(NOT(OR(EXACT(K380,"sale"),EXACT(K380,"refund"))),"unknown event",IF(OR(N380="",NOT(O380)),"invalid amount",IF(OR(AND(K380="sale",N380&lt;=0),AND(K380="refund",N380&gt;=0)),"invalid sign","")))))))))</f>
        <v/>
      </c>
      <c r="U380" s="1" t="str">
        <f t="shared" si="45"/>
        <v>INCLUDED</v>
      </c>
      <c r="V380" s="1" t="str">
        <f t="shared" si="46"/>
        <v>2026-02</v>
      </c>
      <c r="W380" s="1">
        <f>IF(AND(U380="INCLUDED",X380&gt;0,EXACT(A380,'AI output'!A380)),1,0)</f>
        <v>1</v>
      </c>
      <c r="X380" s="1">
        <f>380</f>
        <v>380</v>
      </c>
      <c r="Y380" s="1">
        <f>IF(AND(U380="INCLUDED",W380=1),--(NOT(EXACT(A380,'AI output'!A380)))+--(NOT(EXACT(B380,'AI output'!B380)))+--(NOT(EXACT(TEXT(G380,"yyyy-mm-dd"),'AI output'!C380)))+--(NOT(EXACT(H380,'AI output'!D380)))+--(NOT(EXACT(J380,'AI output'!E380)))+--(NOT(EXACT(K380,'AI output'!F380)))+--(N380&lt;&gt;'AI output'!L380)+--(NOT('AI output'!M380)),0)</f>
        <v>0</v>
      </c>
      <c r="Z380" s="1">
        <f t="shared" si="47"/>
        <v>0</v>
      </c>
      <c r="AA380" s="1">
        <f>--EXACT(A380,"L00374")</f>
        <v>1</v>
      </c>
    </row>
    <row r="381" spans="1:27" ht="18.95" customHeight="1">
      <c r="A381" s="1" t="str">
        <f>IF(Raw!A381="","",Raw!A381)</f>
        <v>L00375</v>
      </c>
      <c r="B381" s="1" t="str">
        <f>IF(Raw!B381="","",Raw!B381)</f>
        <v>T00188</v>
      </c>
      <c r="C381" s="1" t="str">
        <f>IF(Raw!C381="","",Raw!C381)</f>
        <v>2026-02-19</v>
      </c>
      <c r="D381" s="1">
        <f t="shared" si="40"/>
        <v>2026</v>
      </c>
      <c r="E381" s="1">
        <f>IFERROR(IF(AND(LEN(C381)=10,MID(C381,5,1)="-",MID(C381,8,1)="-"),VALUE(MID(C381,6,2)),IF(AND(LEN(C381)=11,MID(C381,3,1)="-",MID(C381,7,1)="-"),MATCH(UPPER(MID(C381,4,3)),Guide!$D$7:$D$18,0),0)),0)</f>
        <v>2</v>
      </c>
      <c r="F381" s="1">
        <f t="shared" si="41"/>
        <v>19</v>
      </c>
      <c r="G381" s="9">
        <f t="shared" si="42"/>
        <v>46072</v>
      </c>
      <c r="H381" s="1" t="str">
        <f>IF(Raw!D381="","",Raw!D381)</f>
        <v>P-O</v>
      </c>
      <c r="I381" s="1" t="str">
        <f>IFERROR(IF(EXACT(H381,INDEX(Guide!$A$7:$A$9,MATCH(SUBSTITUTE(SUBSTITUTE(SUBSTITUTE(H381,"~","~~"),"*","~*"),"?","~?"),Guide!$A$7:$A$9,0))),INDEX(Guide!$B$7:$B$9,MATCH(SUBSTITUTE(SUBSTITUTE(SUBSTITUTE(H381,"~","~~"),"*","~*"),"?","~?"),Guide!$A$7:$A$9,0)),""),"")</f>
        <v>Office</v>
      </c>
      <c r="J381" s="1" t="str">
        <f>IF(TRIM(Raw!E381)="",I381,IF(UPPER(TRIM(Raw!E381))=UPPER(I381),I381,""))</f>
        <v>Office</v>
      </c>
      <c r="K381" s="1" t="str">
        <f>IF(Raw!F381="","",Raw!F381)</f>
        <v>sale</v>
      </c>
      <c r="L381" s="1" t="str">
        <f>IF(LEFT(TRIM(Raw!G381),2)="-$","-"&amp;MID(TRIM(Raw!G381),3,99),IF(LEFT(TRIM(Raw!G381),1)="$",MID(TRIM(Raw!G381),2,99),TRIM(Raw!G381)))</f>
        <v>93.48</v>
      </c>
      <c r="M381" s="1">
        <f t="shared" si="43"/>
        <v>93.48</v>
      </c>
      <c r="N381" s="10">
        <f t="shared" si="44"/>
        <v>9348</v>
      </c>
      <c r="O381" s="1" t="b">
        <f>IFERROR(IF(ISNUMBER(Raw!G381),TRUE,OR(EXACT(L381,TEXT(M381,"0.00")),EXACT(L381,TEXT(M381,"#,##0.00")))),FALSE)</f>
        <v>1</v>
      </c>
      <c r="P381" s="1" t="str">
        <f>LEN(IF(Raw!A381="","",Raw!A381))&amp;":"&amp;IF(Raw!A381="","",Raw!A381)&amp;"|"&amp;LEN(IF(Raw!B381="","",Raw!B381))&amp;":"&amp;IF(Raw!B381="","",Raw!B381)&amp;"|"&amp;LEN(IF(Raw!C381="","",Raw!C381))&amp;":"&amp;IF(Raw!C381="","",Raw!C381)&amp;"|"&amp;LEN(IF(Raw!D381="","",Raw!D381))&amp;":"&amp;IF(Raw!D381="","",Raw!D381)&amp;"|"&amp;LEN(IF(Raw!E381="","",Raw!E381))&amp;":"&amp;IF(Raw!E381="","",Raw!E381)&amp;"|"&amp;LEN(IF(Raw!F381="","",Raw!F381))&amp;":"&amp;IF(Raw!F381="","",Raw!F381)&amp;"|"&amp;LEN(IF(Raw!G381="","",Raw!G381))&amp;":"&amp;IF(Raw!G381="","",Raw!G381)</f>
        <v>6:L00375|6:T00188|10:2026-02-19|3:P-O|6:Office|4:sale|5:93.48</v>
      </c>
      <c r="Q381" s="1">
        <f>1</f>
        <v>1</v>
      </c>
      <c r="R381" s="1" t="b">
        <f>FALSE</f>
        <v>0</v>
      </c>
      <c r="S381" s="1">
        <f>1</f>
        <v>1</v>
      </c>
      <c r="T381" s="1" t="str">
        <f>IF(AND(Raw!A381="",Raw!B381="",Raw!C381="",Raw!D381="",Raw!E381="",Raw!F381="",Raw!G381=""),"UNUSED",IF(A381="","missing line ID",IF(B381="","missing transaction ID",IF(G381="",IF(C381="","missing date","invalid date"),IF(I381="","unknown product",IF(J381="","conflicting category",IF(NOT(OR(EXACT(K381,"sale"),EXACT(K381,"refund"))),"unknown event",IF(OR(N381="",NOT(O381)),"invalid amount",IF(OR(AND(K381="sale",N381&lt;=0),AND(K381="refund",N381&gt;=0)),"invalid sign","")))))))))</f>
        <v/>
      </c>
      <c r="U381" s="1" t="str">
        <f t="shared" si="45"/>
        <v>INCLUDED</v>
      </c>
      <c r="V381" s="1" t="str">
        <f t="shared" si="46"/>
        <v>2026-02</v>
      </c>
      <c r="W381" s="1">
        <f>IF(AND(U381="INCLUDED",X381&gt;0,EXACT(A381,'AI output'!A381)),1,0)</f>
        <v>1</v>
      </c>
      <c r="X381" s="1">
        <f>381</f>
        <v>381</v>
      </c>
      <c r="Y381" s="1">
        <f>IF(AND(U381="INCLUDED",W381=1),--(NOT(EXACT(A381,'AI output'!A381)))+--(NOT(EXACT(B381,'AI output'!B381)))+--(NOT(EXACT(TEXT(G381,"yyyy-mm-dd"),'AI output'!C381)))+--(NOT(EXACT(H381,'AI output'!D381)))+--(NOT(EXACT(J381,'AI output'!E381)))+--(NOT(EXACT(K381,'AI output'!F381)))+--(N381&lt;&gt;'AI output'!L381)+--(NOT('AI output'!M381)),0)</f>
        <v>0</v>
      </c>
      <c r="Z381" s="1">
        <f t="shared" si="47"/>
        <v>0</v>
      </c>
      <c r="AA381" s="1">
        <f>--EXACT(A381,"L00375")</f>
        <v>1</v>
      </c>
    </row>
    <row r="382" spans="1:27" ht="18.95" customHeight="1">
      <c r="A382" s="1" t="str">
        <f>IF(Raw!A382="","",Raw!A382)</f>
        <v>L00376</v>
      </c>
      <c r="B382" s="1" t="str">
        <f>IF(Raw!B382="","",Raw!B382)</f>
        <v>T00188</v>
      </c>
      <c r="C382" s="1" t="str">
        <f>IF(Raw!C382="","",Raw!C382)</f>
        <v>2026-02-19</v>
      </c>
      <c r="D382" s="1">
        <f t="shared" si="40"/>
        <v>2026</v>
      </c>
      <c r="E382" s="1">
        <f>IFERROR(IF(AND(LEN(C382)=10,MID(C382,5,1)="-",MID(C382,8,1)="-"),VALUE(MID(C382,6,2)),IF(AND(LEN(C382)=11,MID(C382,3,1)="-",MID(C382,7,1)="-"),MATCH(UPPER(MID(C382,4,3)),Guide!$D$7:$D$18,0),0)),0)</f>
        <v>2</v>
      </c>
      <c r="F382" s="1">
        <f t="shared" si="41"/>
        <v>19</v>
      </c>
      <c r="G382" s="9">
        <f t="shared" si="42"/>
        <v>46072</v>
      </c>
      <c r="H382" s="1" t="str">
        <f>IF(Raw!D382="","",Raw!D382)</f>
        <v>P-A</v>
      </c>
      <c r="I382" s="1" t="str">
        <f>IFERROR(IF(EXACT(H382,INDEX(Guide!$A$7:$A$9,MATCH(SUBSTITUTE(SUBSTITUTE(SUBSTITUTE(H382,"~","~~"),"*","~*"),"?","~?"),Guide!$A$7:$A$9,0))),INDEX(Guide!$B$7:$B$9,MATCH(SUBSTITUTE(SUBSTITUTE(SUBSTITUTE(H382,"~","~~"),"*","~*"),"?","~?"),Guide!$A$7:$A$9,0)),""),"")</f>
        <v>Accessories</v>
      </c>
      <c r="J382" s="1" t="str">
        <f>IF(TRIM(Raw!E382)="",I382,IF(UPPER(TRIM(Raw!E382))=UPPER(I382),I382,""))</f>
        <v>Accessories</v>
      </c>
      <c r="K382" s="1" t="str">
        <f>IF(Raw!F382="","",Raw!F382)</f>
        <v>sale</v>
      </c>
      <c r="L382" s="1" t="str">
        <f>IF(LEFT(TRIM(Raw!G382),2)="-$","-"&amp;MID(TRIM(Raw!G382),3,99),IF(LEFT(TRIM(Raw!G382),1)="$",MID(TRIM(Raw!G382),2,99),TRIM(Raw!G382)))</f>
        <v>23.74</v>
      </c>
      <c r="M382" s="1">
        <f t="shared" si="43"/>
        <v>23.74</v>
      </c>
      <c r="N382" s="10">
        <f t="shared" si="44"/>
        <v>2374</v>
      </c>
      <c r="O382" s="1" t="b">
        <f>IFERROR(IF(ISNUMBER(Raw!G382),TRUE,OR(EXACT(L382,TEXT(M382,"0.00")),EXACT(L382,TEXT(M382,"#,##0.00")))),FALSE)</f>
        <v>1</v>
      </c>
      <c r="P382" s="1" t="str">
        <f>LEN(IF(Raw!A382="","",Raw!A382))&amp;":"&amp;IF(Raw!A382="","",Raw!A382)&amp;"|"&amp;LEN(IF(Raw!B382="","",Raw!B382))&amp;":"&amp;IF(Raw!B382="","",Raw!B382)&amp;"|"&amp;LEN(IF(Raw!C382="","",Raw!C382))&amp;":"&amp;IF(Raw!C382="","",Raw!C382)&amp;"|"&amp;LEN(IF(Raw!D382="","",Raw!D382))&amp;":"&amp;IF(Raw!D382="","",Raw!D382)&amp;"|"&amp;LEN(IF(Raw!E382="","",Raw!E382))&amp;":"&amp;IF(Raw!E382="","",Raw!E382)&amp;"|"&amp;LEN(IF(Raw!F382="","",Raw!F382))&amp;":"&amp;IF(Raw!F382="","",Raw!F382)&amp;"|"&amp;LEN(IF(Raw!G382="","",Raw!G382))&amp;":"&amp;IF(Raw!G382="","",Raw!G382)</f>
        <v>6:L00376|6:T00188|10:2026-02-19|3:P-A|11:Accessories|4:sale|5:23.74</v>
      </c>
      <c r="Q382" s="1">
        <f>1</f>
        <v>1</v>
      </c>
      <c r="R382" s="1" t="b">
        <f>FALSE</f>
        <v>0</v>
      </c>
      <c r="S382" s="1">
        <f>1</f>
        <v>1</v>
      </c>
      <c r="T382" s="1" t="str">
        <f>IF(AND(Raw!A382="",Raw!B382="",Raw!C382="",Raw!D382="",Raw!E382="",Raw!F382="",Raw!G382=""),"UNUSED",IF(A382="","missing line ID",IF(B382="","missing transaction ID",IF(G382="",IF(C382="","missing date","invalid date"),IF(I382="","unknown product",IF(J382="","conflicting category",IF(NOT(OR(EXACT(K382,"sale"),EXACT(K382,"refund"))),"unknown event",IF(OR(N382="",NOT(O382)),"invalid amount",IF(OR(AND(K382="sale",N382&lt;=0),AND(K382="refund",N382&gt;=0)),"invalid sign","")))))))))</f>
        <v/>
      </c>
      <c r="U382" s="1" t="str">
        <f t="shared" si="45"/>
        <v>INCLUDED</v>
      </c>
      <c r="V382" s="1" t="str">
        <f t="shared" si="46"/>
        <v>2026-02</v>
      </c>
      <c r="W382" s="1">
        <f>IF(AND(U382="INCLUDED",X382&gt;0,EXACT(A382,'AI output'!A382)),1,0)</f>
        <v>1</v>
      </c>
      <c r="X382" s="1">
        <f>382</f>
        <v>382</v>
      </c>
      <c r="Y382" s="1">
        <f>IF(AND(U382="INCLUDED",W382=1),--(NOT(EXACT(A382,'AI output'!A382)))+--(NOT(EXACT(B382,'AI output'!B382)))+--(NOT(EXACT(TEXT(G382,"yyyy-mm-dd"),'AI output'!C382)))+--(NOT(EXACT(H382,'AI output'!D382)))+--(NOT(EXACT(J382,'AI output'!E382)))+--(NOT(EXACT(K382,'AI output'!F382)))+--(N382&lt;&gt;'AI output'!L382)+--(NOT('AI output'!M382)),0)</f>
        <v>0</v>
      </c>
      <c r="Z382" s="1">
        <f t="shared" si="47"/>
        <v>0</v>
      </c>
      <c r="AA382" s="1">
        <f>--EXACT(A382,"L00376")</f>
        <v>1</v>
      </c>
    </row>
    <row r="383" spans="1:27" ht="18.95" customHeight="1">
      <c r="A383" s="1" t="str">
        <f>IF(Raw!A383="","",Raw!A383)</f>
        <v>L00377</v>
      </c>
      <c r="B383" s="1" t="str">
        <f>IF(Raw!B383="","",Raw!B383)</f>
        <v>T00189</v>
      </c>
      <c r="C383" s="1" t="str">
        <f>IF(Raw!C383="","",Raw!C383)</f>
        <v>2026-02-26</v>
      </c>
      <c r="D383" s="1">
        <f t="shared" si="40"/>
        <v>2026</v>
      </c>
      <c r="E383" s="1">
        <f>IFERROR(IF(AND(LEN(C383)=10,MID(C383,5,1)="-",MID(C383,8,1)="-"),VALUE(MID(C383,6,2)),IF(AND(LEN(C383)=11,MID(C383,3,1)="-",MID(C383,7,1)="-"),MATCH(UPPER(MID(C383,4,3)),Guide!$D$7:$D$18,0),0)),0)</f>
        <v>2</v>
      </c>
      <c r="F383" s="1">
        <f t="shared" si="41"/>
        <v>26</v>
      </c>
      <c r="G383" s="9">
        <f t="shared" si="42"/>
        <v>46079</v>
      </c>
      <c r="H383" s="1" t="str">
        <f>IF(Raw!D383="","",Raw!D383)</f>
        <v>P-H</v>
      </c>
      <c r="I383" s="1" t="str">
        <f>IFERROR(IF(EXACT(H383,INDEX(Guide!$A$7:$A$9,MATCH(SUBSTITUTE(SUBSTITUTE(SUBSTITUTE(H383,"~","~~"),"*","~*"),"?","~?"),Guide!$A$7:$A$9,0))),INDEX(Guide!$B$7:$B$9,MATCH(SUBSTITUTE(SUBSTITUTE(SUBSTITUTE(H383,"~","~~"),"*","~*"),"?","~?"),Guide!$A$7:$A$9,0)),""),"")</f>
        <v>Home</v>
      </c>
      <c r="J383" s="1" t="str">
        <f>IF(TRIM(Raw!E383)="",I383,IF(UPPER(TRIM(Raw!E383))=UPPER(I383),I383,""))</f>
        <v>Home</v>
      </c>
      <c r="K383" s="1" t="str">
        <f>IF(Raw!F383="","",Raw!F383)</f>
        <v>sale</v>
      </c>
      <c r="L383" s="1" t="str">
        <f>IF(LEFT(TRIM(Raw!G383),2)="-$","-"&amp;MID(TRIM(Raw!G383),3,99),IF(LEFT(TRIM(Raw!G383),1)="$",MID(TRIM(Raw!G383),2,99),TRIM(Raw!G383)))</f>
        <v>72.33</v>
      </c>
      <c r="M383" s="1">
        <f t="shared" si="43"/>
        <v>72.33</v>
      </c>
      <c r="N383" s="10">
        <f t="shared" si="44"/>
        <v>7233</v>
      </c>
      <c r="O383" s="1" t="b">
        <f>IFERROR(IF(ISNUMBER(Raw!G383),TRUE,OR(EXACT(L383,TEXT(M383,"0.00")),EXACT(L383,TEXT(M383,"#,##0.00")))),FALSE)</f>
        <v>1</v>
      </c>
      <c r="P383" s="1" t="str">
        <f>LEN(IF(Raw!A383="","",Raw!A383))&amp;":"&amp;IF(Raw!A383="","",Raw!A383)&amp;"|"&amp;LEN(IF(Raw!B383="","",Raw!B383))&amp;":"&amp;IF(Raw!B383="","",Raw!B383)&amp;"|"&amp;LEN(IF(Raw!C383="","",Raw!C383))&amp;":"&amp;IF(Raw!C383="","",Raw!C383)&amp;"|"&amp;LEN(IF(Raw!D383="","",Raw!D383))&amp;":"&amp;IF(Raw!D383="","",Raw!D383)&amp;"|"&amp;LEN(IF(Raw!E383="","",Raw!E383))&amp;":"&amp;IF(Raw!E383="","",Raw!E383)&amp;"|"&amp;LEN(IF(Raw!F383="","",Raw!F383))&amp;":"&amp;IF(Raw!F383="","",Raw!F383)&amp;"|"&amp;LEN(IF(Raw!G383="","",Raw!G383))&amp;":"&amp;IF(Raw!G383="","",Raw!G383)</f>
        <v>6:L00377|6:T00189|10:2026-02-26|3:P-H|4:Home|4:sale|5:72.33</v>
      </c>
      <c r="Q383" s="1">
        <f>1</f>
        <v>1</v>
      </c>
      <c r="R383" s="1" t="b">
        <f>FALSE</f>
        <v>0</v>
      </c>
      <c r="S383" s="1">
        <f>1</f>
        <v>1</v>
      </c>
      <c r="T383" s="1" t="str">
        <f>IF(AND(Raw!A383="",Raw!B383="",Raw!C383="",Raw!D383="",Raw!E383="",Raw!F383="",Raw!G383=""),"UNUSED",IF(A383="","missing line ID",IF(B383="","missing transaction ID",IF(G383="",IF(C383="","missing date","invalid date"),IF(I383="","unknown product",IF(J383="","conflicting category",IF(NOT(OR(EXACT(K383,"sale"),EXACT(K383,"refund"))),"unknown event",IF(OR(N383="",NOT(O383)),"invalid amount",IF(OR(AND(K383="sale",N383&lt;=0),AND(K383="refund",N383&gt;=0)),"invalid sign","")))))))))</f>
        <v/>
      </c>
      <c r="U383" s="1" t="str">
        <f t="shared" si="45"/>
        <v>INCLUDED</v>
      </c>
      <c r="V383" s="1" t="str">
        <f t="shared" si="46"/>
        <v>2026-02</v>
      </c>
      <c r="W383" s="1">
        <f>IF(AND(U383="INCLUDED",X383&gt;0,EXACT(A383,'AI output'!A383)),1,0)</f>
        <v>1</v>
      </c>
      <c r="X383" s="1">
        <f>383</f>
        <v>383</v>
      </c>
      <c r="Y383" s="1">
        <f>IF(AND(U383="INCLUDED",W383=1),--(NOT(EXACT(A383,'AI output'!A383)))+--(NOT(EXACT(B383,'AI output'!B383)))+--(NOT(EXACT(TEXT(G383,"yyyy-mm-dd"),'AI output'!C383)))+--(NOT(EXACT(H383,'AI output'!D383)))+--(NOT(EXACT(J383,'AI output'!E383)))+--(NOT(EXACT(K383,'AI output'!F383)))+--(N383&lt;&gt;'AI output'!L383)+--(NOT('AI output'!M383)),0)</f>
        <v>0</v>
      </c>
      <c r="Z383" s="1">
        <f t="shared" si="47"/>
        <v>0</v>
      </c>
      <c r="AA383" s="1">
        <f>--EXACT(A383,"L00377")</f>
        <v>1</v>
      </c>
    </row>
    <row r="384" spans="1:27" ht="18.95" customHeight="1">
      <c r="A384" s="1" t="str">
        <f>IF(Raw!A384="","",Raw!A384)</f>
        <v>L00378</v>
      </c>
      <c r="B384" s="1" t="str">
        <f>IF(Raw!B384="","",Raw!B384)</f>
        <v>T00189</v>
      </c>
      <c r="C384" s="1" t="str">
        <f>IF(Raw!C384="","",Raw!C384)</f>
        <v>2026-02-26</v>
      </c>
      <c r="D384" s="1">
        <f t="shared" si="40"/>
        <v>2026</v>
      </c>
      <c r="E384" s="1">
        <f>IFERROR(IF(AND(LEN(C384)=10,MID(C384,5,1)="-",MID(C384,8,1)="-"),VALUE(MID(C384,6,2)),IF(AND(LEN(C384)=11,MID(C384,3,1)="-",MID(C384,7,1)="-"),MATCH(UPPER(MID(C384,4,3)),Guide!$D$7:$D$18,0),0)),0)</f>
        <v>2</v>
      </c>
      <c r="F384" s="1">
        <f t="shared" si="41"/>
        <v>26</v>
      </c>
      <c r="G384" s="9">
        <f t="shared" si="42"/>
        <v>46079</v>
      </c>
      <c r="H384" s="1" t="str">
        <f>IF(Raw!D384="","",Raw!D384)</f>
        <v>P-O</v>
      </c>
      <c r="I384" s="1" t="str">
        <f>IFERROR(IF(EXACT(H384,INDEX(Guide!$A$7:$A$9,MATCH(SUBSTITUTE(SUBSTITUTE(SUBSTITUTE(H384,"~","~~"),"*","~*"),"?","~?"),Guide!$A$7:$A$9,0))),INDEX(Guide!$B$7:$B$9,MATCH(SUBSTITUTE(SUBSTITUTE(SUBSTITUTE(H384,"~","~~"),"*","~*"),"?","~?"),Guide!$A$7:$A$9,0)),""),"")</f>
        <v>Office</v>
      </c>
      <c r="J384" s="1" t="str">
        <f>IF(TRIM(Raw!E384)="",I384,IF(UPPER(TRIM(Raw!E384))=UPPER(I384),I384,""))</f>
        <v>Office</v>
      </c>
      <c r="K384" s="1" t="str">
        <f>IF(Raw!F384="","",Raw!F384)</f>
        <v>sale</v>
      </c>
      <c r="L384" s="1" t="str">
        <f>IF(LEFT(TRIM(Raw!G384),2)="-$","-"&amp;MID(TRIM(Raw!G384),3,99),IF(LEFT(TRIM(Raw!G384),1)="$",MID(TRIM(Raw!G384),2,99),TRIM(Raw!G384)))</f>
        <v>122.40</v>
      </c>
      <c r="M384" s="1">
        <f t="shared" si="43"/>
        <v>122.4</v>
      </c>
      <c r="N384" s="10">
        <f t="shared" si="44"/>
        <v>12240</v>
      </c>
      <c r="O384" s="1" t="b">
        <f>IFERROR(IF(ISNUMBER(Raw!G384),TRUE,OR(EXACT(L384,TEXT(M384,"0.00")),EXACT(L384,TEXT(M384,"#,##0.00")))),FALSE)</f>
        <v>1</v>
      </c>
      <c r="P384" s="1" t="str">
        <f>LEN(IF(Raw!A384="","",Raw!A384))&amp;":"&amp;IF(Raw!A384="","",Raw!A384)&amp;"|"&amp;LEN(IF(Raw!B384="","",Raw!B384))&amp;":"&amp;IF(Raw!B384="","",Raw!B384)&amp;"|"&amp;LEN(IF(Raw!C384="","",Raw!C384))&amp;":"&amp;IF(Raw!C384="","",Raw!C384)&amp;"|"&amp;LEN(IF(Raw!D384="","",Raw!D384))&amp;":"&amp;IF(Raw!D384="","",Raw!D384)&amp;"|"&amp;LEN(IF(Raw!E384="","",Raw!E384))&amp;":"&amp;IF(Raw!E384="","",Raw!E384)&amp;"|"&amp;LEN(IF(Raw!F384="","",Raw!F384))&amp;":"&amp;IF(Raw!F384="","",Raw!F384)&amp;"|"&amp;LEN(IF(Raw!G384="","",Raw!G384))&amp;":"&amp;IF(Raw!G384="","",Raw!G384)</f>
        <v>6:L00378|6:T00189|10:2026-02-26|3:P-O|6:Office|4:sale|6:122.40</v>
      </c>
      <c r="Q384" s="1">
        <f>1</f>
        <v>1</v>
      </c>
      <c r="R384" s="1" t="b">
        <f>FALSE</f>
        <v>0</v>
      </c>
      <c r="S384" s="1">
        <f>1</f>
        <v>1</v>
      </c>
      <c r="T384" s="1" t="str">
        <f>IF(AND(Raw!A384="",Raw!B384="",Raw!C384="",Raw!D384="",Raw!E384="",Raw!F384="",Raw!G384=""),"UNUSED",IF(A384="","missing line ID",IF(B384="","missing transaction ID",IF(G384="",IF(C384="","missing date","invalid date"),IF(I384="","unknown product",IF(J384="","conflicting category",IF(NOT(OR(EXACT(K384,"sale"),EXACT(K384,"refund"))),"unknown event",IF(OR(N384="",NOT(O384)),"invalid amount",IF(OR(AND(K384="sale",N384&lt;=0),AND(K384="refund",N384&gt;=0)),"invalid sign","")))))))))</f>
        <v/>
      </c>
      <c r="U384" s="1" t="str">
        <f t="shared" si="45"/>
        <v>INCLUDED</v>
      </c>
      <c r="V384" s="1" t="str">
        <f t="shared" si="46"/>
        <v>2026-02</v>
      </c>
      <c r="W384" s="1">
        <f>IF(AND(U384="INCLUDED",X384&gt;0,EXACT(A384,'AI output'!A384)),1,0)</f>
        <v>1</v>
      </c>
      <c r="X384" s="1">
        <f>384</f>
        <v>384</v>
      </c>
      <c r="Y384" s="1">
        <f>IF(AND(U384="INCLUDED",W384=1),--(NOT(EXACT(A384,'AI output'!A384)))+--(NOT(EXACT(B384,'AI output'!B384)))+--(NOT(EXACT(TEXT(G384,"yyyy-mm-dd"),'AI output'!C384)))+--(NOT(EXACT(H384,'AI output'!D384)))+--(NOT(EXACT(J384,'AI output'!E384)))+--(NOT(EXACT(K384,'AI output'!F384)))+--(N384&lt;&gt;'AI output'!L384)+--(NOT('AI output'!M384)),0)</f>
        <v>0</v>
      </c>
      <c r="Z384" s="1">
        <f t="shared" si="47"/>
        <v>0</v>
      </c>
      <c r="AA384" s="1">
        <f>--EXACT(A384,"L00378")</f>
        <v>1</v>
      </c>
    </row>
    <row r="385" spans="1:27" ht="18.95" customHeight="1">
      <c r="A385" s="1" t="str">
        <f>IF(Raw!A385="","",Raw!A385)</f>
        <v>L00379</v>
      </c>
      <c r="B385" s="1" t="str">
        <f>IF(Raw!B385="","",Raw!B385)</f>
        <v>T00190</v>
      </c>
      <c r="C385" s="1" t="str">
        <f>IF(Raw!C385="","",Raw!C385)</f>
        <v>2026-03-05</v>
      </c>
      <c r="D385" s="1">
        <f t="shared" si="40"/>
        <v>2026</v>
      </c>
      <c r="E385" s="1">
        <f>IFERROR(IF(AND(LEN(C385)=10,MID(C385,5,1)="-",MID(C385,8,1)="-"),VALUE(MID(C385,6,2)),IF(AND(LEN(C385)=11,MID(C385,3,1)="-",MID(C385,7,1)="-"),MATCH(UPPER(MID(C385,4,3)),Guide!$D$7:$D$18,0),0)),0)</f>
        <v>3</v>
      </c>
      <c r="F385" s="1">
        <f t="shared" si="41"/>
        <v>5</v>
      </c>
      <c r="G385" s="9">
        <f t="shared" si="42"/>
        <v>46086</v>
      </c>
      <c r="H385" s="1" t="str">
        <f>IF(Raw!D385="","",Raw!D385)</f>
        <v>P-A</v>
      </c>
      <c r="I385" s="1" t="str">
        <f>IFERROR(IF(EXACT(H385,INDEX(Guide!$A$7:$A$9,MATCH(SUBSTITUTE(SUBSTITUTE(SUBSTITUTE(H385,"~","~~"),"*","~*"),"?","~?"),Guide!$A$7:$A$9,0))),INDEX(Guide!$B$7:$B$9,MATCH(SUBSTITUTE(SUBSTITUTE(SUBSTITUTE(H385,"~","~~"),"*","~*"),"?","~?"),Guide!$A$7:$A$9,0)),""),"")</f>
        <v>Accessories</v>
      </c>
      <c r="J385" s="1" t="str">
        <f>IF(TRIM(Raw!E385)="",I385,IF(UPPER(TRIM(Raw!E385))=UPPER(I385),I385,""))</f>
        <v>Accessories</v>
      </c>
      <c r="K385" s="1" t="str">
        <f>IF(Raw!F385="","",Raw!F385)</f>
        <v>sale</v>
      </c>
      <c r="L385" s="1" t="str">
        <f>IF(LEFT(TRIM(Raw!G385),2)="-$","-"&amp;MID(TRIM(Raw!G385),3,99),IF(LEFT(TRIM(Raw!G385),1)="$",MID(TRIM(Raw!G385),2,99),TRIM(Raw!G385)))</f>
        <v>49.70</v>
      </c>
      <c r="M385" s="1">
        <f t="shared" si="43"/>
        <v>49.7</v>
      </c>
      <c r="N385" s="10">
        <f t="shared" si="44"/>
        <v>4970</v>
      </c>
      <c r="O385" s="1" t="b">
        <f>IFERROR(IF(ISNUMBER(Raw!G385),TRUE,OR(EXACT(L385,TEXT(M385,"0.00")),EXACT(L385,TEXT(M385,"#,##0.00")))),FALSE)</f>
        <v>1</v>
      </c>
      <c r="P385" s="1" t="str">
        <f>LEN(IF(Raw!A385="","",Raw!A385))&amp;":"&amp;IF(Raw!A385="","",Raw!A385)&amp;"|"&amp;LEN(IF(Raw!B385="","",Raw!B385))&amp;":"&amp;IF(Raw!B385="","",Raw!B385)&amp;"|"&amp;LEN(IF(Raw!C385="","",Raw!C385))&amp;":"&amp;IF(Raw!C385="","",Raw!C385)&amp;"|"&amp;LEN(IF(Raw!D385="","",Raw!D385))&amp;":"&amp;IF(Raw!D385="","",Raw!D385)&amp;"|"&amp;LEN(IF(Raw!E385="","",Raw!E385))&amp;":"&amp;IF(Raw!E385="","",Raw!E385)&amp;"|"&amp;LEN(IF(Raw!F385="","",Raw!F385))&amp;":"&amp;IF(Raw!F385="","",Raw!F385)&amp;"|"&amp;LEN(IF(Raw!G385="","",Raw!G385))&amp;":"&amp;IF(Raw!G385="","",Raw!G385)</f>
        <v>6:L00379|6:T00190|10:2026-03-05|3:P-A|11:Accessories|4:sale|5:49.70</v>
      </c>
      <c r="Q385" s="1">
        <f>1</f>
        <v>1</v>
      </c>
      <c r="R385" s="1" t="b">
        <f>FALSE</f>
        <v>0</v>
      </c>
      <c r="S385" s="1">
        <f>1</f>
        <v>1</v>
      </c>
      <c r="T385" s="1" t="str">
        <f>IF(AND(Raw!A385="",Raw!B385="",Raw!C385="",Raw!D385="",Raw!E385="",Raw!F385="",Raw!G385=""),"UNUSED",IF(A385="","missing line ID",IF(B385="","missing transaction ID",IF(G385="",IF(C385="","missing date","invalid date"),IF(I385="","unknown product",IF(J385="","conflicting category",IF(NOT(OR(EXACT(K385,"sale"),EXACT(K385,"refund"))),"unknown event",IF(OR(N385="",NOT(O385)),"invalid amount",IF(OR(AND(K385="sale",N385&lt;=0),AND(K385="refund",N385&gt;=0)),"invalid sign","")))))))))</f>
        <v/>
      </c>
      <c r="U385" s="1" t="str">
        <f t="shared" si="45"/>
        <v>INCLUDED</v>
      </c>
      <c r="V385" s="1" t="str">
        <f t="shared" si="46"/>
        <v>2026-03</v>
      </c>
      <c r="W385" s="1">
        <f>IF(AND(U385="INCLUDED",X385&gt;0,EXACT(A385,'AI output'!A385)),1,0)</f>
        <v>1</v>
      </c>
      <c r="X385" s="1">
        <f>385</f>
        <v>385</v>
      </c>
      <c r="Y385" s="1">
        <f>IF(AND(U385="INCLUDED",W385=1),--(NOT(EXACT(A385,'AI output'!A385)))+--(NOT(EXACT(B385,'AI output'!B385)))+--(NOT(EXACT(TEXT(G385,"yyyy-mm-dd"),'AI output'!C385)))+--(NOT(EXACT(H385,'AI output'!D385)))+--(NOT(EXACT(J385,'AI output'!E385)))+--(NOT(EXACT(K385,'AI output'!F385)))+--(N385&lt;&gt;'AI output'!L385)+--(NOT('AI output'!M385)),0)</f>
        <v>0</v>
      </c>
      <c r="Z385" s="1">
        <f t="shared" si="47"/>
        <v>0</v>
      </c>
      <c r="AA385" s="1">
        <f>--EXACT(A385,"L00379")</f>
        <v>1</v>
      </c>
    </row>
    <row r="386" spans="1:27" ht="18.95" customHeight="1">
      <c r="A386" s="1" t="str">
        <f>IF(Raw!A386="","",Raw!A386)</f>
        <v>L00380</v>
      </c>
      <c r="B386" s="1" t="str">
        <f>IF(Raw!B386="","",Raw!B386)</f>
        <v>T00190</v>
      </c>
      <c r="C386" s="1" t="str">
        <f>IF(Raw!C386="","",Raw!C386)</f>
        <v>2026-03-05</v>
      </c>
      <c r="D386" s="1">
        <f t="shared" si="40"/>
        <v>2026</v>
      </c>
      <c r="E386" s="1">
        <f>IFERROR(IF(AND(LEN(C386)=10,MID(C386,5,1)="-",MID(C386,8,1)="-"),VALUE(MID(C386,6,2)),IF(AND(LEN(C386)=11,MID(C386,3,1)="-",MID(C386,7,1)="-"),MATCH(UPPER(MID(C386,4,3)),Guide!$D$7:$D$18,0),0)),0)</f>
        <v>3</v>
      </c>
      <c r="F386" s="1">
        <f t="shared" si="41"/>
        <v>5</v>
      </c>
      <c r="G386" s="9">
        <f t="shared" si="42"/>
        <v>46086</v>
      </c>
      <c r="H386" s="1" t="str">
        <f>IF(Raw!D386="","",Raw!D386)</f>
        <v>P-H</v>
      </c>
      <c r="I386" s="1" t="str">
        <f>IFERROR(IF(EXACT(H386,INDEX(Guide!$A$7:$A$9,MATCH(SUBSTITUTE(SUBSTITUTE(SUBSTITUTE(H386,"~","~~"),"*","~*"),"?","~?"),Guide!$A$7:$A$9,0))),INDEX(Guide!$B$7:$B$9,MATCH(SUBSTITUTE(SUBSTITUTE(SUBSTITUTE(H386,"~","~~"),"*","~*"),"?","~?"),Guide!$A$7:$A$9,0)),""),"")</f>
        <v>Home</v>
      </c>
      <c r="J386" s="1" t="str">
        <f>IF(TRIM(Raw!E386)="",I386,IF(UPPER(TRIM(Raw!E386))=UPPER(I386),I386,""))</f>
        <v>Home</v>
      </c>
      <c r="K386" s="1" t="str">
        <f>IF(Raw!F386="","",Raw!F386)</f>
        <v>sale</v>
      </c>
      <c r="L386" s="1" t="str">
        <f>IF(LEFT(TRIM(Raw!G386),2)="-$","-"&amp;MID(TRIM(Raw!G386),3,99),IF(LEFT(TRIM(Raw!G386),1)="$",MID(TRIM(Raw!G386),2,99),TRIM(Raw!G386)))</f>
        <v>100.88</v>
      </c>
      <c r="M386" s="1">
        <f t="shared" si="43"/>
        <v>100.88</v>
      </c>
      <c r="N386" s="10">
        <f t="shared" si="44"/>
        <v>10088</v>
      </c>
      <c r="O386" s="1" t="b">
        <f>IFERROR(IF(ISNUMBER(Raw!G386),TRUE,OR(EXACT(L386,TEXT(M386,"0.00")),EXACT(L386,TEXT(M386,"#,##0.00")))),FALSE)</f>
        <v>1</v>
      </c>
      <c r="P386" s="1" t="str">
        <f>LEN(IF(Raw!A386="","",Raw!A386))&amp;":"&amp;IF(Raw!A386="","",Raw!A386)&amp;"|"&amp;LEN(IF(Raw!B386="","",Raw!B386))&amp;":"&amp;IF(Raw!B386="","",Raw!B386)&amp;"|"&amp;LEN(IF(Raw!C386="","",Raw!C386))&amp;":"&amp;IF(Raw!C386="","",Raw!C386)&amp;"|"&amp;LEN(IF(Raw!D386="","",Raw!D386))&amp;":"&amp;IF(Raw!D386="","",Raw!D386)&amp;"|"&amp;LEN(IF(Raw!E386="","",Raw!E386))&amp;":"&amp;IF(Raw!E386="","",Raw!E386)&amp;"|"&amp;LEN(IF(Raw!F386="","",Raw!F386))&amp;":"&amp;IF(Raw!F386="","",Raw!F386)&amp;"|"&amp;LEN(IF(Raw!G386="","",Raw!G386))&amp;":"&amp;IF(Raw!G386="","",Raw!G386)</f>
        <v>6:L00380|6:T00190|10:2026-03-05|3:P-H|4:Home|4:sale|6:100.88</v>
      </c>
      <c r="Q386" s="1">
        <f>1</f>
        <v>1</v>
      </c>
      <c r="R386" s="1" t="b">
        <f>FALSE</f>
        <v>0</v>
      </c>
      <c r="S386" s="1">
        <f>1</f>
        <v>1</v>
      </c>
      <c r="T386" s="1" t="str">
        <f>IF(AND(Raw!A386="",Raw!B386="",Raw!C386="",Raw!D386="",Raw!E386="",Raw!F386="",Raw!G386=""),"UNUSED",IF(A386="","missing line ID",IF(B386="","missing transaction ID",IF(G386="",IF(C386="","missing date","invalid date"),IF(I386="","unknown product",IF(J386="","conflicting category",IF(NOT(OR(EXACT(K386,"sale"),EXACT(K386,"refund"))),"unknown event",IF(OR(N386="",NOT(O386)),"invalid amount",IF(OR(AND(K386="sale",N386&lt;=0),AND(K386="refund",N386&gt;=0)),"invalid sign","")))))))))</f>
        <v/>
      </c>
      <c r="U386" s="1" t="str">
        <f t="shared" si="45"/>
        <v>INCLUDED</v>
      </c>
      <c r="V386" s="1" t="str">
        <f t="shared" si="46"/>
        <v>2026-03</v>
      </c>
      <c r="W386" s="1">
        <f>IF(AND(U386="INCLUDED",X386&gt;0,EXACT(A386,'AI output'!A386)),1,0)</f>
        <v>1</v>
      </c>
      <c r="X386" s="1">
        <f>386</f>
        <v>386</v>
      </c>
      <c r="Y386" s="1">
        <f>IF(AND(U386="INCLUDED",W386=1),--(NOT(EXACT(A386,'AI output'!A386)))+--(NOT(EXACT(B386,'AI output'!B386)))+--(NOT(EXACT(TEXT(G386,"yyyy-mm-dd"),'AI output'!C386)))+--(NOT(EXACT(H386,'AI output'!D386)))+--(NOT(EXACT(J386,'AI output'!E386)))+--(NOT(EXACT(K386,'AI output'!F386)))+--(N386&lt;&gt;'AI output'!L386)+--(NOT('AI output'!M386)),0)</f>
        <v>0</v>
      </c>
      <c r="Z386" s="1">
        <f t="shared" si="47"/>
        <v>0</v>
      </c>
      <c r="AA386" s="1">
        <f>--EXACT(A386,"L00380")</f>
        <v>1</v>
      </c>
    </row>
    <row r="387" spans="1:27" ht="18.95" customHeight="1">
      <c r="A387" s="1" t="str">
        <f>IF(Raw!A387="","",Raw!A387)</f>
        <v>L00381</v>
      </c>
      <c r="B387" s="1" t="str">
        <f>IF(Raw!B387="","",Raw!B387)</f>
        <v>T00191</v>
      </c>
      <c r="C387" s="1" t="str">
        <f>IF(Raw!C387="","",Raw!C387)</f>
        <v>2026-03-12</v>
      </c>
      <c r="D387" s="1">
        <f t="shared" si="40"/>
        <v>2026</v>
      </c>
      <c r="E387" s="1">
        <f>IFERROR(IF(AND(LEN(C387)=10,MID(C387,5,1)="-",MID(C387,8,1)="-"),VALUE(MID(C387,6,2)),IF(AND(LEN(C387)=11,MID(C387,3,1)="-",MID(C387,7,1)="-"),MATCH(UPPER(MID(C387,4,3)),Guide!$D$7:$D$18,0),0)),0)</f>
        <v>3</v>
      </c>
      <c r="F387" s="1">
        <f t="shared" si="41"/>
        <v>12</v>
      </c>
      <c r="G387" s="9">
        <f t="shared" si="42"/>
        <v>46093</v>
      </c>
      <c r="H387" s="1" t="str">
        <f>IF(Raw!D387="","",Raw!D387)</f>
        <v>P-O</v>
      </c>
      <c r="I387" s="1" t="str">
        <f>IFERROR(IF(EXACT(H387,INDEX(Guide!$A$7:$A$9,MATCH(SUBSTITUTE(SUBSTITUTE(SUBSTITUTE(H387,"~","~~"),"*","~*"),"?","~?"),Guide!$A$7:$A$9,0))),INDEX(Guide!$B$7:$B$9,MATCH(SUBSTITUTE(SUBSTITUTE(SUBSTITUTE(H387,"~","~~"),"*","~*"),"?","~?"),Guide!$A$7:$A$9,0)),""),"")</f>
        <v>Office</v>
      </c>
      <c r="J387" s="1" t="str">
        <f>IF(TRIM(Raw!E387)="",I387,IF(UPPER(TRIM(Raw!E387))=UPPER(I387),I387,""))</f>
        <v>Office</v>
      </c>
      <c r="K387" s="1" t="str">
        <f>IF(Raw!F387="","",Raw!F387)</f>
        <v>sale</v>
      </c>
      <c r="L387" s="1" t="str">
        <f>IF(LEFT(TRIM(Raw!G387),2)="-$","-"&amp;MID(TRIM(Raw!G387),3,99),IF(LEFT(TRIM(Raw!G387),1)="$",MID(TRIM(Raw!G387),2,99),TRIM(Raw!G387)))</f>
        <v>25.59</v>
      </c>
      <c r="M387" s="1">
        <f t="shared" si="43"/>
        <v>25.59</v>
      </c>
      <c r="N387" s="10">
        <f t="shared" si="44"/>
        <v>2559</v>
      </c>
      <c r="O387" s="1" t="b">
        <f>IFERROR(IF(ISNUMBER(Raw!G387),TRUE,OR(EXACT(L387,TEXT(M387,"0.00")),EXACT(L387,TEXT(M387,"#,##0.00")))),FALSE)</f>
        <v>1</v>
      </c>
      <c r="P387" s="1" t="str">
        <f>LEN(IF(Raw!A387="","",Raw!A387))&amp;":"&amp;IF(Raw!A387="","",Raw!A387)&amp;"|"&amp;LEN(IF(Raw!B387="","",Raw!B387))&amp;":"&amp;IF(Raw!B387="","",Raw!B387)&amp;"|"&amp;LEN(IF(Raw!C387="","",Raw!C387))&amp;":"&amp;IF(Raw!C387="","",Raw!C387)&amp;"|"&amp;LEN(IF(Raw!D387="","",Raw!D387))&amp;":"&amp;IF(Raw!D387="","",Raw!D387)&amp;"|"&amp;LEN(IF(Raw!E387="","",Raw!E387))&amp;":"&amp;IF(Raw!E387="","",Raw!E387)&amp;"|"&amp;LEN(IF(Raw!F387="","",Raw!F387))&amp;":"&amp;IF(Raw!F387="","",Raw!F387)&amp;"|"&amp;LEN(IF(Raw!G387="","",Raw!G387))&amp;":"&amp;IF(Raw!G387="","",Raw!G387)</f>
        <v>6:L00381|6:T00191|10:2026-03-12|3:P-O|6:Office|4:sale|5:25.59</v>
      </c>
      <c r="Q387" s="1">
        <f>1</f>
        <v>1</v>
      </c>
      <c r="R387" s="1" t="b">
        <f>FALSE</f>
        <v>0</v>
      </c>
      <c r="S387" s="1">
        <f>1</f>
        <v>1</v>
      </c>
      <c r="T387" s="1" t="str">
        <f>IF(AND(Raw!A387="",Raw!B387="",Raw!C387="",Raw!D387="",Raw!E387="",Raw!F387="",Raw!G387=""),"UNUSED",IF(A387="","missing line ID",IF(B387="","missing transaction ID",IF(G387="",IF(C387="","missing date","invalid date"),IF(I387="","unknown product",IF(J387="","conflicting category",IF(NOT(OR(EXACT(K387,"sale"),EXACT(K387,"refund"))),"unknown event",IF(OR(N387="",NOT(O387)),"invalid amount",IF(OR(AND(K387="sale",N387&lt;=0),AND(K387="refund",N387&gt;=0)),"invalid sign","")))))))))</f>
        <v/>
      </c>
      <c r="U387" s="1" t="str">
        <f t="shared" si="45"/>
        <v>INCLUDED</v>
      </c>
      <c r="V387" s="1" t="str">
        <f t="shared" si="46"/>
        <v>2026-03</v>
      </c>
      <c r="W387" s="1">
        <f>IF(AND(U387="INCLUDED",X387&gt;0,EXACT(A387,'AI output'!A387)),1,0)</f>
        <v>1</v>
      </c>
      <c r="X387" s="1">
        <f>387</f>
        <v>387</v>
      </c>
      <c r="Y387" s="1">
        <f>IF(AND(U387="INCLUDED",W387=1),--(NOT(EXACT(A387,'AI output'!A387)))+--(NOT(EXACT(B387,'AI output'!B387)))+--(NOT(EXACT(TEXT(G387,"yyyy-mm-dd"),'AI output'!C387)))+--(NOT(EXACT(H387,'AI output'!D387)))+--(NOT(EXACT(J387,'AI output'!E387)))+--(NOT(EXACT(K387,'AI output'!F387)))+--(N387&lt;&gt;'AI output'!L387)+--(NOT('AI output'!M387)),0)</f>
        <v>0</v>
      </c>
      <c r="Z387" s="1">
        <f t="shared" si="47"/>
        <v>0</v>
      </c>
      <c r="AA387" s="1">
        <f>--EXACT(A387,"L00381")</f>
        <v>1</v>
      </c>
    </row>
    <row r="388" spans="1:27" ht="18.95" customHeight="1">
      <c r="A388" s="1" t="str">
        <f>IF(Raw!A388="","",Raw!A388)</f>
        <v>L00382</v>
      </c>
      <c r="B388" s="1" t="str">
        <f>IF(Raw!B388="","",Raw!B388)</f>
        <v>T00191</v>
      </c>
      <c r="C388" s="1" t="str">
        <f>IF(Raw!C388="","",Raw!C388)</f>
        <v>2026-03-12</v>
      </c>
      <c r="D388" s="1">
        <f t="shared" si="40"/>
        <v>2026</v>
      </c>
      <c r="E388" s="1">
        <f>IFERROR(IF(AND(LEN(C388)=10,MID(C388,5,1)="-",MID(C388,8,1)="-"),VALUE(MID(C388,6,2)),IF(AND(LEN(C388)=11,MID(C388,3,1)="-",MID(C388,7,1)="-"),MATCH(UPPER(MID(C388,4,3)),Guide!$D$7:$D$18,0),0)),0)</f>
        <v>3</v>
      </c>
      <c r="F388" s="1">
        <f t="shared" si="41"/>
        <v>12</v>
      </c>
      <c r="G388" s="9">
        <f t="shared" si="42"/>
        <v>46093</v>
      </c>
      <c r="H388" s="1" t="str">
        <f>IF(Raw!D388="","",Raw!D388)</f>
        <v>P-A</v>
      </c>
      <c r="I388" s="1" t="str">
        <f>IFERROR(IF(EXACT(H388,INDEX(Guide!$A$7:$A$9,MATCH(SUBSTITUTE(SUBSTITUTE(SUBSTITUTE(H388,"~","~~"),"*","~*"),"?","~?"),Guide!$A$7:$A$9,0))),INDEX(Guide!$B$7:$B$9,MATCH(SUBSTITUTE(SUBSTITUTE(SUBSTITUTE(H388,"~","~~"),"*","~*"),"?","~?"),Guide!$A$7:$A$9,0)),""),"")</f>
        <v>Accessories</v>
      </c>
      <c r="J388" s="1" t="str">
        <f>IF(TRIM(Raw!E388)="",I388,IF(UPPER(TRIM(Raw!E388))=UPPER(I388),I388,""))</f>
        <v>Accessories</v>
      </c>
      <c r="K388" s="1" t="str">
        <f>IF(Raw!F388="","",Raw!F388)</f>
        <v>sale</v>
      </c>
      <c r="L388" s="1" t="str">
        <f>IF(LEFT(TRIM(Raw!G388),2)="-$","-"&amp;MID(TRIM(Raw!G388),3,99),IF(LEFT(TRIM(Raw!G388),1)="$",MID(TRIM(Raw!G388),2,99),TRIM(Raw!G388)))</f>
        <v>77.88</v>
      </c>
      <c r="M388" s="1">
        <f t="shared" si="43"/>
        <v>77.88</v>
      </c>
      <c r="N388" s="10">
        <f t="shared" si="44"/>
        <v>7788</v>
      </c>
      <c r="O388" s="1" t="b">
        <f>IFERROR(IF(ISNUMBER(Raw!G388),TRUE,OR(EXACT(L388,TEXT(M388,"0.00")),EXACT(L388,TEXT(M388,"#,##0.00")))),FALSE)</f>
        <v>1</v>
      </c>
      <c r="P388" s="1" t="str">
        <f>LEN(IF(Raw!A388="","",Raw!A388))&amp;":"&amp;IF(Raw!A388="","",Raw!A388)&amp;"|"&amp;LEN(IF(Raw!B388="","",Raw!B388))&amp;":"&amp;IF(Raw!B388="","",Raw!B388)&amp;"|"&amp;LEN(IF(Raw!C388="","",Raw!C388))&amp;":"&amp;IF(Raw!C388="","",Raw!C388)&amp;"|"&amp;LEN(IF(Raw!D388="","",Raw!D388))&amp;":"&amp;IF(Raw!D388="","",Raw!D388)&amp;"|"&amp;LEN(IF(Raw!E388="","",Raw!E388))&amp;":"&amp;IF(Raw!E388="","",Raw!E388)&amp;"|"&amp;LEN(IF(Raw!F388="","",Raw!F388))&amp;":"&amp;IF(Raw!F388="","",Raw!F388)&amp;"|"&amp;LEN(IF(Raw!G388="","",Raw!G388))&amp;":"&amp;IF(Raw!G388="","",Raw!G388)</f>
        <v>6:L00382|6:T00191|10:2026-03-12|3:P-A|11:Accessories|4:sale|5:77.88</v>
      </c>
      <c r="Q388" s="1">
        <f>1</f>
        <v>1</v>
      </c>
      <c r="R388" s="1" t="b">
        <f>FALSE</f>
        <v>0</v>
      </c>
      <c r="S388" s="1">
        <f>1</f>
        <v>1</v>
      </c>
      <c r="T388" s="1" t="str">
        <f>IF(AND(Raw!A388="",Raw!B388="",Raw!C388="",Raw!D388="",Raw!E388="",Raw!F388="",Raw!G388=""),"UNUSED",IF(A388="","missing line ID",IF(B388="","missing transaction ID",IF(G388="",IF(C388="","missing date","invalid date"),IF(I388="","unknown product",IF(J388="","conflicting category",IF(NOT(OR(EXACT(K388,"sale"),EXACT(K388,"refund"))),"unknown event",IF(OR(N388="",NOT(O388)),"invalid amount",IF(OR(AND(K388="sale",N388&lt;=0),AND(K388="refund",N388&gt;=0)),"invalid sign","")))))))))</f>
        <v/>
      </c>
      <c r="U388" s="1" t="str">
        <f t="shared" si="45"/>
        <v>INCLUDED</v>
      </c>
      <c r="V388" s="1" t="str">
        <f t="shared" si="46"/>
        <v>2026-03</v>
      </c>
      <c r="W388" s="1">
        <f>IF(AND(U388="INCLUDED",X388&gt;0,EXACT(A388,'AI output'!A388)),1,0)</f>
        <v>1</v>
      </c>
      <c r="X388" s="1">
        <f>388</f>
        <v>388</v>
      </c>
      <c r="Y388" s="1">
        <f>IF(AND(U388="INCLUDED",W388=1),--(NOT(EXACT(A388,'AI output'!A388)))+--(NOT(EXACT(B388,'AI output'!B388)))+--(NOT(EXACT(TEXT(G388,"yyyy-mm-dd"),'AI output'!C388)))+--(NOT(EXACT(H388,'AI output'!D388)))+--(NOT(EXACT(J388,'AI output'!E388)))+--(NOT(EXACT(K388,'AI output'!F388)))+--(N388&lt;&gt;'AI output'!L388)+--(NOT('AI output'!M388)),0)</f>
        <v>0</v>
      </c>
      <c r="Z388" s="1">
        <f t="shared" si="47"/>
        <v>0</v>
      </c>
      <c r="AA388" s="1">
        <f>--EXACT(A388,"L00382")</f>
        <v>1</v>
      </c>
    </row>
    <row r="389" spans="1:27" ht="18.95" customHeight="1">
      <c r="A389" s="1" t="str">
        <f>IF(Raw!A389="","",Raw!A389)</f>
        <v>L00383</v>
      </c>
      <c r="B389" s="1" t="str">
        <f>IF(Raw!B389="","",Raw!B389)</f>
        <v>T00192</v>
      </c>
      <c r="C389" s="1" t="str">
        <f>IF(Raw!C389="","",Raw!C389)</f>
        <v>2026-03-19</v>
      </c>
      <c r="D389" s="1">
        <f t="shared" si="40"/>
        <v>2026</v>
      </c>
      <c r="E389" s="1">
        <f>IFERROR(IF(AND(LEN(C389)=10,MID(C389,5,1)="-",MID(C389,8,1)="-"),VALUE(MID(C389,6,2)),IF(AND(LEN(C389)=11,MID(C389,3,1)="-",MID(C389,7,1)="-"),MATCH(UPPER(MID(C389,4,3)),Guide!$D$7:$D$18,0),0)),0)</f>
        <v>3</v>
      </c>
      <c r="F389" s="1">
        <f t="shared" si="41"/>
        <v>19</v>
      </c>
      <c r="G389" s="9">
        <f t="shared" si="42"/>
        <v>46100</v>
      </c>
      <c r="H389" s="1" t="str">
        <f>IF(Raw!D389="","",Raw!D389)</f>
        <v>P-H</v>
      </c>
      <c r="I389" s="1" t="str">
        <f>IFERROR(IF(EXACT(H389,INDEX(Guide!$A$7:$A$9,MATCH(SUBSTITUTE(SUBSTITUTE(SUBSTITUTE(H389,"~","~~"),"*","~*"),"?","~?"),Guide!$A$7:$A$9,0))),INDEX(Guide!$B$7:$B$9,MATCH(SUBSTITUTE(SUBSTITUTE(SUBSTITUTE(H389,"~","~~"),"*","~*"),"?","~?"),Guide!$A$7:$A$9,0)),""),"")</f>
        <v>Home</v>
      </c>
      <c r="J389" s="1" t="str">
        <f>IF(TRIM(Raw!E389)="",I389,IF(UPPER(TRIM(Raw!E389))=UPPER(I389),I389,""))</f>
        <v>Home</v>
      </c>
      <c r="K389" s="1" t="str">
        <f>IF(Raw!F389="","",Raw!F389)</f>
        <v>sale</v>
      </c>
      <c r="L389" s="1" t="str">
        <f>IF(LEFT(TRIM(Raw!G389),2)="-$","-"&amp;MID(TRIM(Raw!G389),3,99),IF(LEFT(TRIM(Raw!G389),1)="$",MID(TRIM(Raw!G389),2,99),TRIM(Raw!G389)))</f>
        <v>131.65</v>
      </c>
      <c r="M389" s="1">
        <f t="shared" si="43"/>
        <v>131.65</v>
      </c>
      <c r="N389" s="10">
        <f t="shared" si="44"/>
        <v>13165</v>
      </c>
      <c r="O389" s="1" t="b">
        <f>IFERROR(IF(ISNUMBER(Raw!G389),TRUE,OR(EXACT(L389,TEXT(M389,"0.00")),EXACT(L389,TEXT(M389,"#,##0.00")))),FALSE)</f>
        <v>1</v>
      </c>
      <c r="P389" s="1" t="str">
        <f>LEN(IF(Raw!A389="","",Raw!A389))&amp;":"&amp;IF(Raw!A389="","",Raw!A389)&amp;"|"&amp;LEN(IF(Raw!B389="","",Raw!B389))&amp;":"&amp;IF(Raw!B389="","",Raw!B389)&amp;"|"&amp;LEN(IF(Raw!C389="","",Raw!C389))&amp;":"&amp;IF(Raw!C389="","",Raw!C389)&amp;"|"&amp;LEN(IF(Raw!D389="","",Raw!D389))&amp;":"&amp;IF(Raw!D389="","",Raw!D389)&amp;"|"&amp;LEN(IF(Raw!E389="","",Raw!E389))&amp;":"&amp;IF(Raw!E389="","",Raw!E389)&amp;"|"&amp;LEN(IF(Raw!F389="","",Raw!F389))&amp;":"&amp;IF(Raw!F389="","",Raw!F389)&amp;"|"&amp;LEN(IF(Raw!G389="","",Raw!G389))&amp;":"&amp;IF(Raw!G389="","",Raw!G389)</f>
        <v>6:L00383|6:T00192|10:2026-03-19|3:P-H|4:Home|4:sale|6:131.65</v>
      </c>
      <c r="Q389" s="1">
        <f>1</f>
        <v>1</v>
      </c>
      <c r="R389" s="1" t="b">
        <f>FALSE</f>
        <v>0</v>
      </c>
      <c r="S389" s="1">
        <f>1</f>
        <v>1</v>
      </c>
      <c r="T389" s="1" t="str">
        <f>IF(AND(Raw!A389="",Raw!B389="",Raw!C389="",Raw!D389="",Raw!E389="",Raw!F389="",Raw!G389=""),"UNUSED",IF(A389="","missing line ID",IF(B389="","missing transaction ID",IF(G389="",IF(C389="","missing date","invalid date"),IF(I389="","unknown product",IF(J389="","conflicting category",IF(NOT(OR(EXACT(K389,"sale"),EXACT(K389,"refund"))),"unknown event",IF(OR(N389="",NOT(O389)),"invalid amount",IF(OR(AND(K389="sale",N389&lt;=0),AND(K389="refund",N389&gt;=0)),"invalid sign","")))))))))</f>
        <v/>
      </c>
      <c r="U389" s="1" t="str">
        <f t="shared" si="45"/>
        <v>INCLUDED</v>
      </c>
      <c r="V389" s="1" t="str">
        <f t="shared" si="46"/>
        <v>2026-03</v>
      </c>
      <c r="W389" s="1">
        <f>IF(AND(U389="INCLUDED",X389&gt;0,EXACT(A389,'AI output'!A389)),1,0)</f>
        <v>1</v>
      </c>
      <c r="X389" s="1">
        <f>389</f>
        <v>389</v>
      </c>
      <c r="Y389" s="1">
        <f>IF(AND(U389="INCLUDED",W389=1),--(NOT(EXACT(A389,'AI output'!A389)))+--(NOT(EXACT(B389,'AI output'!B389)))+--(NOT(EXACT(TEXT(G389,"yyyy-mm-dd"),'AI output'!C389)))+--(NOT(EXACT(H389,'AI output'!D389)))+--(NOT(EXACT(J389,'AI output'!E389)))+--(NOT(EXACT(K389,'AI output'!F389)))+--(N389&lt;&gt;'AI output'!L389)+--(NOT('AI output'!M389)),0)</f>
        <v>0</v>
      </c>
      <c r="Z389" s="1">
        <f t="shared" si="47"/>
        <v>0</v>
      </c>
      <c r="AA389" s="1">
        <f>--EXACT(A389,"L00383")</f>
        <v>1</v>
      </c>
    </row>
    <row r="390" spans="1:27" ht="18.95" customHeight="1">
      <c r="A390" s="1" t="str">
        <f>IF(Raw!A390="","",Raw!A390)</f>
        <v>L00384</v>
      </c>
      <c r="B390" s="1" t="str">
        <f>IF(Raw!B390="","",Raw!B390)</f>
        <v>T00192</v>
      </c>
      <c r="C390" s="1" t="str">
        <f>IF(Raw!C390="","",Raw!C390)</f>
        <v>2026-03-19</v>
      </c>
      <c r="D390" s="1">
        <f t="shared" si="40"/>
        <v>2026</v>
      </c>
      <c r="E390" s="1">
        <f>IFERROR(IF(AND(LEN(C390)=10,MID(C390,5,1)="-",MID(C390,8,1)="-"),VALUE(MID(C390,6,2)),IF(AND(LEN(C390)=11,MID(C390,3,1)="-",MID(C390,7,1)="-"),MATCH(UPPER(MID(C390,4,3)),Guide!$D$7:$D$18,0),0)),0)</f>
        <v>3</v>
      </c>
      <c r="F390" s="1">
        <f t="shared" si="41"/>
        <v>19</v>
      </c>
      <c r="G390" s="9">
        <f t="shared" si="42"/>
        <v>46100</v>
      </c>
      <c r="H390" s="1" t="str">
        <f>IF(Raw!D390="","",Raw!D390)</f>
        <v>P-O</v>
      </c>
      <c r="I390" s="1" t="str">
        <f>IFERROR(IF(EXACT(H390,INDEX(Guide!$A$7:$A$9,MATCH(SUBSTITUTE(SUBSTITUTE(SUBSTITUTE(H390,"~","~~"),"*","~*"),"?","~?"),Guide!$A$7:$A$9,0))),INDEX(Guide!$B$7:$B$9,MATCH(SUBSTITUTE(SUBSTITUTE(SUBSTITUTE(H390,"~","~~"),"*","~*"),"?","~?"),Guide!$A$7:$A$9,0)),""),"")</f>
        <v>Office</v>
      </c>
      <c r="J390" s="1" t="str">
        <f>IF(TRIM(Raw!E390)="",I390,IF(UPPER(TRIM(Raw!E390))=UPPER(I390),I390,""))</f>
        <v>Office</v>
      </c>
      <c r="K390" s="1" t="str">
        <f>IF(Raw!F390="","",Raw!F390)</f>
        <v>sale</v>
      </c>
      <c r="L390" s="1" t="str">
        <f>IF(LEFT(TRIM(Raw!G390),2)="-$","-"&amp;MID(TRIM(Raw!G390),3,99),IF(LEFT(TRIM(Raw!G390),1)="$",MID(TRIM(Raw!G390),2,99),TRIM(Raw!G390)))</f>
        <v>53.40</v>
      </c>
      <c r="M390" s="1">
        <f t="shared" si="43"/>
        <v>53.4</v>
      </c>
      <c r="N390" s="10">
        <f t="shared" si="44"/>
        <v>5340</v>
      </c>
      <c r="O390" s="1" t="b">
        <f>IFERROR(IF(ISNUMBER(Raw!G390),TRUE,OR(EXACT(L390,TEXT(M390,"0.00")),EXACT(L390,TEXT(M390,"#,##0.00")))),FALSE)</f>
        <v>1</v>
      </c>
      <c r="P390" s="1" t="str">
        <f>LEN(IF(Raw!A390="","",Raw!A390))&amp;":"&amp;IF(Raw!A390="","",Raw!A390)&amp;"|"&amp;LEN(IF(Raw!B390="","",Raw!B390))&amp;":"&amp;IF(Raw!B390="","",Raw!B390)&amp;"|"&amp;LEN(IF(Raw!C390="","",Raw!C390))&amp;":"&amp;IF(Raw!C390="","",Raw!C390)&amp;"|"&amp;LEN(IF(Raw!D390="","",Raw!D390))&amp;":"&amp;IF(Raw!D390="","",Raw!D390)&amp;"|"&amp;LEN(IF(Raw!E390="","",Raw!E390))&amp;":"&amp;IF(Raw!E390="","",Raw!E390)&amp;"|"&amp;LEN(IF(Raw!F390="","",Raw!F390))&amp;":"&amp;IF(Raw!F390="","",Raw!F390)&amp;"|"&amp;LEN(IF(Raw!G390="","",Raw!G390))&amp;":"&amp;IF(Raw!G390="","",Raw!G390)</f>
        <v>6:L00384|6:T00192|10:2026-03-19|3:P-O|6:Office|4:sale|5:53.40</v>
      </c>
      <c r="Q390" s="1">
        <f>1</f>
        <v>1</v>
      </c>
      <c r="R390" s="1" t="b">
        <f>FALSE</f>
        <v>0</v>
      </c>
      <c r="S390" s="1">
        <f>1</f>
        <v>1</v>
      </c>
      <c r="T390" s="1" t="str">
        <f>IF(AND(Raw!A390="",Raw!B390="",Raw!C390="",Raw!D390="",Raw!E390="",Raw!F390="",Raw!G390=""),"UNUSED",IF(A390="","missing line ID",IF(B390="","missing transaction ID",IF(G390="",IF(C390="","missing date","invalid date"),IF(I390="","unknown product",IF(J390="","conflicting category",IF(NOT(OR(EXACT(K390,"sale"),EXACT(K390,"refund"))),"unknown event",IF(OR(N390="",NOT(O390)),"invalid amount",IF(OR(AND(K390="sale",N390&lt;=0),AND(K390="refund",N390&gt;=0)),"invalid sign","")))))))))</f>
        <v/>
      </c>
      <c r="U390" s="1" t="str">
        <f t="shared" si="45"/>
        <v>INCLUDED</v>
      </c>
      <c r="V390" s="1" t="str">
        <f t="shared" si="46"/>
        <v>2026-03</v>
      </c>
      <c r="W390" s="1">
        <f>IF(AND(U390="INCLUDED",X390&gt;0,EXACT(A390,'AI output'!A390)),1,0)</f>
        <v>1</v>
      </c>
      <c r="X390" s="1">
        <f>390</f>
        <v>390</v>
      </c>
      <c r="Y390" s="1">
        <f>IF(AND(U390="INCLUDED",W390=1),--(NOT(EXACT(A390,'AI output'!A390)))+--(NOT(EXACT(B390,'AI output'!B390)))+--(NOT(EXACT(TEXT(G390,"yyyy-mm-dd"),'AI output'!C390)))+--(NOT(EXACT(H390,'AI output'!D390)))+--(NOT(EXACT(J390,'AI output'!E390)))+--(NOT(EXACT(K390,'AI output'!F390)))+--(N390&lt;&gt;'AI output'!L390)+--(NOT('AI output'!M390)),0)</f>
        <v>0</v>
      </c>
      <c r="Z390" s="1">
        <f t="shared" si="47"/>
        <v>0</v>
      </c>
      <c r="AA390" s="1">
        <f>--EXACT(A390,"L00384")</f>
        <v>1</v>
      </c>
    </row>
    <row r="391" spans="1:27" ht="18.95" customHeight="1">
      <c r="A391" s="1" t="str">
        <f>IF(Raw!A391="","",Raw!A391)</f>
        <v>L00385</v>
      </c>
      <c r="B391" s="1" t="str">
        <f>IF(Raw!B391="","",Raw!B391)</f>
        <v>T00193</v>
      </c>
      <c r="C391" s="1" t="str">
        <f>IF(Raw!C391="","",Raw!C391)</f>
        <v>2026-03-26</v>
      </c>
      <c r="D391" s="1">
        <f t="shared" ref="D391:D454" si="48">IFERROR(IF(AND(LEN(C391)=10,MID(C391,5,1)="-",MID(C391,8,1)="-"),VALUE(LEFT(C391,4)),IF(AND(LEN(C391)=11,MID(C391,3,1)="-",MID(C391,7,1)="-"),VALUE(RIGHT(C391,4)),0)),0)</f>
        <v>2026</v>
      </c>
      <c r="E391" s="1">
        <f>IFERROR(IF(AND(LEN(C391)=10,MID(C391,5,1)="-",MID(C391,8,1)="-"),VALUE(MID(C391,6,2)),IF(AND(LEN(C391)=11,MID(C391,3,1)="-",MID(C391,7,1)="-"),MATCH(UPPER(MID(C391,4,3)),Guide!$D$7:$D$18,0),0)),0)</f>
        <v>3</v>
      </c>
      <c r="F391" s="1">
        <f t="shared" ref="F391:F454" si="49">IFERROR(IF(AND(LEN(C391)=10,MID(C391,5,1)="-",MID(C391,8,1)="-"),VALUE(RIGHT(C391,2)),IF(AND(LEN(C391)=11,MID(C391,3,1)="-",MID(C391,7,1)="-"),VALUE(LEFT(C391,2)),0)),0)</f>
        <v>26</v>
      </c>
      <c r="G391" s="9">
        <f t="shared" ref="G391:G454" si="50">IFERROR(IF(AND(D391&gt;=1900,D391&lt;=9999,YEAR(DATE(D391,E391,F391))=D391,MONTH(DATE(D391,E391,F391))=E391,DAY(DATE(D391,E391,F391))=F391),DATE(D391,E391,F391),""),"")</f>
        <v>46107</v>
      </c>
      <c r="H391" s="1" t="str">
        <f>IF(Raw!D391="","",Raw!D391)</f>
        <v>P-A</v>
      </c>
      <c r="I391" s="1" t="str">
        <f>IFERROR(IF(EXACT(H391,INDEX(Guide!$A$7:$A$9,MATCH(SUBSTITUTE(SUBSTITUTE(SUBSTITUTE(H391,"~","~~"),"*","~*"),"?","~?"),Guide!$A$7:$A$9,0))),INDEX(Guide!$B$7:$B$9,MATCH(SUBSTITUTE(SUBSTITUTE(SUBSTITUTE(H391,"~","~~"),"*","~*"),"?","~?"),Guide!$A$7:$A$9,0)),""),"")</f>
        <v>Accessories</v>
      </c>
      <c r="J391" s="1" t="str">
        <f>IF(TRIM(Raw!E391)="",I391,IF(UPPER(TRIM(Raw!E391))=UPPER(I391),I391,""))</f>
        <v>Accessories</v>
      </c>
      <c r="K391" s="1" t="str">
        <f>IF(Raw!F391="","",Raw!F391)</f>
        <v>sale</v>
      </c>
      <c r="L391" s="1" t="str">
        <f>IF(LEFT(TRIM(Raw!G391),2)="-$","-"&amp;MID(TRIM(Raw!G391),3,99),IF(LEFT(TRIM(Raw!G391),1)="$",MID(TRIM(Raw!G391),2,99),TRIM(Raw!G391)))</f>
        <v>108.28</v>
      </c>
      <c r="M391" s="1">
        <f t="shared" ref="M391:M454" si="51">IFERROR(VALUE(L391),"")</f>
        <v>108.28</v>
      </c>
      <c r="N391" s="10">
        <f t="shared" ref="N391:N454" si="52">IF(AND(ISNUMBER(M391),ABS(M391*100-ROUND(M391*100,0))&lt;0.0000001),ROUND(M391*100,0),"")</f>
        <v>10828</v>
      </c>
      <c r="O391" s="1" t="b">
        <f>IFERROR(IF(ISNUMBER(Raw!G391),TRUE,OR(EXACT(L391,TEXT(M391,"0.00")),EXACT(L391,TEXT(M391,"#,##0.00")))),FALSE)</f>
        <v>1</v>
      </c>
      <c r="P391" s="1" t="str">
        <f>LEN(IF(Raw!A391="","",Raw!A391))&amp;":"&amp;IF(Raw!A391="","",Raw!A391)&amp;"|"&amp;LEN(IF(Raw!B391="","",Raw!B391))&amp;":"&amp;IF(Raw!B391="","",Raw!B391)&amp;"|"&amp;LEN(IF(Raw!C391="","",Raw!C391))&amp;":"&amp;IF(Raw!C391="","",Raw!C391)&amp;"|"&amp;LEN(IF(Raw!D391="","",Raw!D391))&amp;":"&amp;IF(Raw!D391="","",Raw!D391)&amp;"|"&amp;LEN(IF(Raw!E391="","",Raw!E391))&amp;":"&amp;IF(Raw!E391="","",Raw!E391)&amp;"|"&amp;LEN(IF(Raw!F391="","",Raw!F391))&amp;":"&amp;IF(Raw!F391="","",Raw!F391)&amp;"|"&amp;LEN(IF(Raw!G391="","",Raw!G391))&amp;":"&amp;IF(Raw!G391="","",Raw!G391)</f>
        <v>6:L00385|6:T00193|10:2026-03-26|3:P-A|11:Accessories|4:sale|6:108.28</v>
      </c>
      <c r="Q391" s="1">
        <f>1</f>
        <v>1</v>
      </c>
      <c r="R391" s="1" t="b">
        <f>FALSE</f>
        <v>0</v>
      </c>
      <c r="S391" s="1">
        <f>1</f>
        <v>1</v>
      </c>
      <c r="T391" s="1" t="str">
        <f>IF(AND(Raw!A391="",Raw!B391="",Raw!C391="",Raw!D391="",Raw!E391="",Raw!F391="",Raw!G391=""),"UNUSED",IF(A391="","missing line ID",IF(B391="","missing transaction ID",IF(G391="",IF(C391="","missing date","invalid date"),IF(I391="","unknown product",IF(J391="","conflicting category",IF(NOT(OR(EXACT(K391,"sale"),EXACT(K391,"refund"))),"unknown event",IF(OR(N391="",NOT(O391)),"invalid amount",IF(OR(AND(K391="sale",N391&lt;=0),AND(K391="refund",N391&gt;=0)),"invalid sign","")))))))))</f>
        <v/>
      </c>
      <c r="U391" s="1" t="str">
        <f t="shared" ref="U391:U454" si="53">IF(T391="UNUSED","UNUSED",IF(R391,"QUARANTINE",IF(S391&gt;1,"DUPLICATE",IF(T391&lt;&gt;"","QUARANTINE","INCLUDED"))))</f>
        <v>INCLUDED</v>
      </c>
      <c r="V391" s="1" t="str">
        <f t="shared" ref="V391:V454" si="54">IF(G391="","",TEXT(G391,"yyyy-mm"))</f>
        <v>2026-03</v>
      </c>
      <c r="W391" s="1">
        <f>IF(AND(U391="INCLUDED",X391&gt;0,EXACT(A391,'AI output'!A391)),1,0)</f>
        <v>1</v>
      </c>
      <c r="X391" s="1">
        <f>391</f>
        <v>391</v>
      </c>
      <c r="Y391" s="1">
        <f>IF(AND(U391="INCLUDED",W391=1),--(NOT(EXACT(A391,'AI output'!A391)))+--(NOT(EXACT(B391,'AI output'!B391)))+--(NOT(EXACT(TEXT(G391,"yyyy-mm-dd"),'AI output'!C391)))+--(NOT(EXACT(H391,'AI output'!D391)))+--(NOT(EXACT(J391,'AI output'!E391)))+--(NOT(EXACT(K391,'AI output'!F391)))+--(N391&lt;&gt;'AI output'!L391)+--(NOT('AI output'!M391)),0)</f>
        <v>0</v>
      </c>
      <c r="Z391" s="1">
        <f t="shared" ref="Z391:Z454" si="55">IF(U391="INCLUDED",IF(OR(W391&lt;&gt;1,Y391&lt;&gt;0),1,0),0)</f>
        <v>0</v>
      </c>
      <c r="AA391" s="1">
        <f>--EXACT(A391,"L00385")</f>
        <v>1</v>
      </c>
    </row>
    <row r="392" spans="1:27" ht="18.95" customHeight="1">
      <c r="A392" s="1" t="str">
        <f>IF(Raw!A392="","",Raw!A392)</f>
        <v>L00386</v>
      </c>
      <c r="B392" s="1" t="str">
        <f>IF(Raw!B392="","",Raw!B392)</f>
        <v>T00193</v>
      </c>
      <c r="C392" s="1" t="str">
        <f>IF(Raw!C392="","",Raw!C392)</f>
        <v>2026-03-26</v>
      </c>
      <c r="D392" s="1">
        <f t="shared" si="48"/>
        <v>2026</v>
      </c>
      <c r="E392" s="1">
        <f>IFERROR(IF(AND(LEN(C392)=10,MID(C392,5,1)="-",MID(C392,8,1)="-"),VALUE(MID(C392,6,2)),IF(AND(LEN(C392)=11,MID(C392,3,1)="-",MID(C392,7,1)="-"),MATCH(UPPER(MID(C392,4,3)),Guide!$D$7:$D$18,0),0)),0)</f>
        <v>3</v>
      </c>
      <c r="F392" s="1">
        <f t="shared" si="49"/>
        <v>26</v>
      </c>
      <c r="G392" s="9">
        <f t="shared" si="50"/>
        <v>46107</v>
      </c>
      <c r="H392" s="1" t="str">
        <f>IF(Raw!D392="","",Raw!D392)</f>
        <v>P-H</v>
      </c>
      <c r="I392" s="1" t="str">
        <f>IFERROR(IF(EXACT(H392,INDEX(Guide!$A$7:$A$9,MATCH(SUBSTITUTE(SUBSTITUTE(SUBSTITUTE(H392,"~","~~"),"*","~*"),"?","~?"),Guide!$A$7:$A$9,0))),INDEX(Guide!$B$7:$B$9,MATCH(SUBSTITUTE(SUBSTITUTE(SUBSTITUTE(H392,"~","~~"),"*","~*"),"?","~?"),Guide!$A$7:$A$9,0)),""),"")</f>
        <v>Home</v>
      </c>
      <c r="J392" s="1" t="str">
        <f>IF(TRIM(Raw!E392)="",I392,IF(UPPER(TRIM(Raw!E392))=UPPER(I392),I392,""))</f>
        <v>Home</v>
      </c>
      <c r="K392" s="1" t="str">
        <f>IF(Raw!F392="","",Raw!F392)</f>
        <v>sale</v>
      </c>
      <c r="L392" s="1" t="str">
        <f>IF(LEFT(TRIM(Raw!G392),2)="-$","-"&amp;MID(TRIM(Raw!G392),3,99),IF(LEFT(TRIM(Raw!G392),1)="$",MID(TRIM(Raw!G392),2,99),TRIM(Raw!G392)))</f>
        <v>27.44</v>
      </c>
      <c r="M392" s="1">
        <f t="shared" si="51"/>
        <v>27.44</v>
      </c>
      <c r="N392" s="10">
        <f t="shared" si="52"/>
        <v>2744</v>
      </c>
      <c r="O392" s="1" t="b">
        <f>IFERROR(IF(ISNUMBER(Raw!G392),TRUE,OR(EXACT(L392,TEXT(M392,"0.00")),EXACT(L392,TEXT(M392,"#,##0.00")))),FALSE)</f>
        <v>1</v>
      </c>
      <c r="P392" s="1" t="str">
        <f>LEN(IF(Raw!A392="","",Raw!A392))&amp;":"&amp;IF(Raw!A392="","",Raw!A392)&amp;"|"&amp;LEN(IF(Raw!B392="","",Raw!B392))&amp;":"&amp;IF(Raw!B392="","",Raw!B392)&amp;"|"&amp;LEN(IF(Raw!C392="","",Raw!C392))&amp;":"&amp;IF(Raw!C392="","",Raw!C392)&amp;"|"&amp;LEN(IF(Raw!D392="","",Raw!D392))&amp;":"&amp;IF(Raw!D392="","",Raw!D392)&amp;"|"&amp;LEN(IF(Raw!E392="","",Raw!E392))&amp;":"&amp;IF(Raw!E392="","",Raw!E392)&amp;"|"&amp;LEN(IF(Raw!F392="","",Raw!F392))&amp;":"&amp;IF(Raw!F392="","",Raw!F392)&amp;"|"&amp;LEN(IF(Raw!G392="","",Raw!G392))&amp;":"&amp;IF(Raw!G392="","",Raw!G392)</f>
        <v>6:L00386|6:T00193|10:2026-03-26|3:P-H|4:Home|4:sale|5:27.44</v>
      </c>
      <c r="Q392" s="1">
        <f>1</f>
        <v>1</v>
      </c>
      <c r="R392" s="1" t="b">
        <f>FALSE</f>
        <v>0</v>
      </c>
      <c r="S392" s="1">
        <f>1</f>
        <v>1</v>
      </c>
      <c r="T392" s="1" t="str">
        <f>IF(AND(Raw!A392="",Raw!B392="",Raw!C392="",Raw!D392="",Raw!E392="",Raw!F392="",Raw!G392=""),"UNUSED",IF(A392="","missing line ID",IF(B392="","missing transaction ID",IF(G392="",IF(C392="","missing date","invalid date"),IF(I392="","unknown product",IF(J392="","conflicting category",IF(NOT(OR(EXACT(K392,"sale"),EXACT(K392,"refund"))),"unknown event",IF(OR(N392="",NOT(O392)),"invalid amount",IF(OR(AND(K392="sale",N392&lt;=0),AND(K392="refund",N392&gt;=0)),"invalid sign","")))))))))</f>
        <v/>
      </c>
      <c r="U392" s="1" t="str">
        <f t="shared" si="53"/>
        <v>INCLUDED</v>
      </c>
      <c r="V392" s="1" t="str">
        <f t="shared" si="54"/>
        <v>2026-03</v>
      </c>
      <c r="W392" s="1">
        <f>IF(AND(U392="INCLUDED",X392&gt;0,EXACT(A392,'AI output'!A392)),1,0)</f>
        <v>1</v>
      </c>
      <c r="X392" s="1">
        <f>392</f>
        <v>392</v>
      </c>
      <c r="Y392" s="1">
        <f>IF(AND(U392="INCLUDED",W392=1),--(NOT(EXACT(A392,'AI output'!A392)))+--(NOT(EXACT(B392,'AI output'!B392)))+--(NOT(EXACT(TEXT(G392,"yyyy-mm-dd"),'AI output'!C392)))+--(NOT(EXACT(H392,'AI output'!D392)))+--(NOT(EXACT(J392,'AI output'!E392)))+--(NOT(EXACT(K392,'AI output'!F392)))+--(N392&lt;&gt;'AI output'!L392)+--(NOT('AI output'!M392)),0)</f>
        <v>0</v>
      </c>
      <c r="Z392" s="1">
        <f t="shared" si="55"/>
        <v>0</v>
      </c>
      <c r="AA392" s="1">
        <f>--EXACT(A392,"L00386")</f>
        <v>1</v>
      </c>
    </row>
    <row r="393" spans="1:27" ht="18.95" customHeight="1">
      <c r="A393" s="1" t="str">
        <f>IF(Raw!A393="","",Raw!A393)</f>
        <v>L00387</v>
      </c>
      <c r="B393" s="1" t="str">
        <f>IF(Raw!B393="","",Raw!B393)</f>
        <v>T00194</v>
      </c>
      <c r="C393" s="1" t="str">
        <f>IF(Raw!C393="","",Raw!C393)</f>
        <v>2026-01-02</v>
      </c>
      <c r="D393" s="1">
        <f t="shared" si="48"/>
        <v>2026</v>
      </c>
      <c r="E393" s="1">
        <f>IFERROR(IF(AND(LEN(C393)=10,MID(C393,5,1)="-",MID(C393,8,1)="-"),VALUE(MID(C393,6,2)),IF(AND(LEN(C393)=11,MID(C393,3,1)="-",MID(C393,7,1)="-"),MATCH(UPPER(MID(C393,4,3)),Guide!$D$7:$D$18,0),0)),0)</f>
        <v>1</v>
      </c>
      <c r="F393" s="1">
        <f t="shared" si="49"/>
        <v>2</v>
      </c>
      <c r="G393" s="9">
        <f t="shared" si="50"/>
        <v>46024</v>
      </c>
      <c r="H393" s="1" t="str">
        <f>IF(Raw!D393="","",Raw!D393)</f>
        <v>P-O</v>
      </c>
      <c r="I393" s="1" t="str">
        <f>IFERROR(IF(EXACT(H393,INDEX(Guide!$A$7:$A$9,MATCH(SUBSTITUTE(SUBSTITUTE(SUBSTITUTE(H393,"~","~~"),"*","~*"),"?","~?"),Guide!$A$7:$A$9,0))),INDEX(Guide!$B$7:$B$9,MATCH(SUBSTITUTE(SUBSTITUTE(SUBSTITUTE(H393,"~","~~"),"*","~*"),"?","~?"),Guide!$A$7:$A$9,0)),""),"")</f>
        <v>Office</v>
      </c>
      <c r="J393" s="1" t="str">
        <f>IF(TRIM(Raw!E393)="",I393,IF(UPPER(TRIM(Raw!E393))=UPPER(I393),I393,""))</f>
        <v>Office</v>
      </c>
      <c r="K393" s="1" t="str">
        <f>IF(Raw!F393="","",Raw!F393)</f>
        <v>sale</v>
      </c>
      <c r="L393" s="1" t="str">
        <f>IF(LEFT(TRIM(Raw!G393),2)="-$","-"&amp;MID(TRIM(Raw!G393),3,99),IF(LEFT(TRIM(Raw!G393),1)="$",MID(TRIM(Raw!G393),2,99),TRIM(Raw!G393)))</f>
        <v>83.43</v>
      </c>
      <c r="M393" s="1">
        <f t="shared" si="51"/>
        <v>83.43</v>
      </c>
      <c r="N393" s="10">
        <f t="shared" si="52"/>
        <v>8343</v>
      </c>
      <c r="O393" s="1" t="b">
        <f>IFERROR(IF(ISNUMBER(Raw!G393),TRUE,OR(EXACT(L393,TEXT(M393,"0.00")),EXACT(L393,TEXT(M393,"#,##0.00")))),FALSE)</f>
        <v>1</v>
      </c>
      <c r="P393" s="1" t="str">
        <f>LEN(IF(Raw!A393="","",Raw!A393))&amp;":"&amp;IF(Raw!A393="","",Raw!A393)&amp;"|"&amp;LEN(IF(Raw!B393="","",Raw!B393))&amp;":"&amp;IF(Raw!B393="","",Raw!B393)&amp;"|"&amp;LEN(IF(Raw!C393="","",Raw!C393))&amp;":"&amp;IF(Raw!C393="","",Raw!C393)&amp;"|"&amp;LEN(IF(Raw!D393="","",Raw!D393))&amp;":"&amp;IF(Raw!D393="","",Raw!D393)&amp;"|"&amp;LEN(IF(Raw!E393="","",Raw!E393))&amp;":"&amp;IF(Raw!E393="","",Raw!E393)&amp;"|"&amp;LEN(IF(Raw!F393="","",Raw!F393))&amp;":"&amp;IF(Raw!F393="","",Raw!F393)&amp;"|"&amp;LEN(IF(Raw!G393="","",Raw!G393))&amp;":"&amp;IF(Raw!G393="","",Raw!G393)</f>
        <v>6:L00387|6:T00194|10:2026-01-02|3:P-O|6:Office|4:sale|5:83.43</v>
      </c>
      <c r="Q393" s="1">
        <f>1</f>
        <v>1</v>
      </c>
      <c r="R393" s="1" t="b">
        <f>FALSE</f>
        <v>0</v>
      </c>
      <c r="S393" s="1">
        <f>1</f>
        <v>1</v>
      </c>
      <c r="T393" s="1" t="str">
        <f>IF(AND(Raw!A393="",Raw!B393="",Raw!C393="",Raw!D393="",Raw!E393="",Raw!F393="",Raw!G393=""),"UNUSED",IF(A393="","missing line ID",IF(B393="","missing transaction ID",IF(G393="",IF(C393="","missing date","invalid date"),IF(I393="","unknown product",IF(J393="","conflicting category",IF(NOT(OR(EXACT(K393,"sale"),EXACT(K393,"refund"))),"unknown event",IF(OR(N393="",NOT(O393)),"invalid amount",IF(OR(AND(K393="sale",N393&lt;=0),AND(K393="refund",N393&gt;=0)),"invalid sign","")))))))))</f>
        <v/>
      </c>
      <c r="U393" s="1" t="str">
        <f t="shared" si="53"/>
        <v>INCLUDED</v>
      </c>
      <c r="V393" s="1" t="str">
        <f t="shared" si="54"/>
        <v>2026-01</v>
      </c>
      <c r="W393" s="1">
        <f>IF(AND(U393="INCLUDED",X393&gt;0,EXACT(A393,'AI output'!A393)),1,0)</f>
        <v>1</v>
      </c>
      <c r="X393" s="1">
        <f>393</f>
        <v>393</v>
      </c>
      <c r="Y393" s="1">
        <f>IF(AND(U393="INCLUDED",W393=1),--(NOT(EXACT(A393,'AI output'!A393)))+--(NOT(EXACT(B393,'AI output'!B393)))+--(NOT(EXACT(TEXT(G393,"yyyy-mm-dd"),'AI output'!C393)))+--(NOT(EXACT(H393,'AI output'!D393)))+--(NOT(EXACT(J393,'AI output'!E393)))+--(NOT(EXACT(K393,'AI output'!F393)))+--(N393&lt;&gt;'AI output'!L393)+--(NOT('AI output'!M393)),0)</f>
        <v>0</v>
      </c>
      <c r="Z393" s="1">
        <f t="shared" si="55"/>
        <v>0</v>
      </c>
      <c r="AA393" s="1">
        <f>--EXACT(A393,"L00387")</f>
        <v>1</v>
      </c>
    </row>
    <row r="394" spans="1:27" ht="18.95" customHeight="1">
      <c r="A394" s="1" t="str">
        <f>IF(Raw!A394="","",Raw!A394)</f>
        <v>L00388</v>
      </c>
      <c r="B394" s="1" t="str">
        <f>IF(Raw!B394="","",Raw!B394)</f>
        <v>T00194</v>
      </c>
      <c r="C394" s="1" t="str">
        <f>IF(Raw!C394="","",Raw!C394)</f>
        <v>2026-01-02</v>
      </c>
      <c r="D394" s="1">
        <f t="shared" si="48"/>
        <v>2026</v>
      </c>
      <c r="E394" s="1">
        <f>IFERROR(IF(AND(LEN(C394)=10,MID(C394,5,1)="-",MID(C394,8,1)="-"),VALUE(MID(C394,6,2)),IF(AND(LEN(C394)=11,MID(C394,3,1)="-",MID(C394,7,1)="-"),MATCH(UPPER(MID(C394,4,3)),Guide!$D$7:$D$18,0),0)),0)</f>
        <v>1</v>
      </c>
      <c r="F394" s="1">
        <f t="shared" si="49"/>
        <v>2</v>
      </c>
      <c r="G394" s="9">
        <f t="shared" si="50"/>
        <v>46024</v>
      </c>
      <c r="H394" s="1" t="str">
        <f>IF(Raw!D394="","",Raw!D394)</f>
        <v>P-A</v>
      </c>
      <c r="I394" s="1" t="str">
        <f>IFERROR(IF(EXACT(H394,INDEX(Guide!$A$7:$A$9,MATCH(SUBSTITUTE(SUBSTITUTE(SUBSTITUTE(H394,"~","~~"),"*","~*"),"?","~?"),Guide!$A$7:$A$9,0))),INDEX(Guide!$B$7:$B$9,MATCH(SUBSTITUTE(SUBSTITUTE(SUBSTITUTE(H394,"~","~~"),"*","~*"),"?","~?"),Guide!$A$7:$A$9,0)),""),"")</f>
        <v>Accessories</v>
      </c>
      <c r="J394" s="1" t="str">
        <f>IF(TRIM(Raw!E394)="",I394,IF(UPPER(TRIM(Raw!E394))=UPPER(I394),I394,""))</f>
        <v>Accessories</v>
      </c>
      <c r="K394" s="1" t="str">
        <f>IF(Raw!F394="","",Raw!F394)</f>
        <v>sale</v>
      </c>
      <c r="L394" s="1" t="str">
        <f>IF(LEFT(TRIM(Raw!G394),2)="-$","-"&amp;MID(TRIM(Raw!G394),3,99),IF(LEFT(TRIM(Raw!G394),1)="$",MID(TRIM(Raw!G394),2,99),TRIM(Raw!G394)))</f>
        <v>140.90</v>
      </c>
      <c r="M394" s="1">
        <f t="shared" si="51"/>
        <v>140.9</v>
      </c>
      <c r="N394" s="10">
        <f t="shared" si="52"/>
        <v>14090</v>
      </c>
      <c r="O394" s="1" t="b">
        <f>IFERROR(IF(ISNUMBER(Raw!G394),TRUE,OR(EXACT(L394,TEXT(M394,"0.00")),EXACT(L394,TEXT(M394,"#,##0.00")))),FALSE)</f>
        <v>1</v>
      </c>
      <c r="P394" s="1" t="str">
        <f>LEN(IF(Raw!A394="","",Raw!A394))&amp;":"&amp;IF(Raw!A394="","",Raw!A394)&amp;"|"&amp;LEN(IF(Raw!B394="","",Raw!B394))&amp;":"&amp;IF(Raw!B394="","",Raw!B394)&amp;"|"&amp;LEN(IF(Raw!C394="","",Raw!C394))&amp;":"&amp;IF(Raw!C394="","",Raw!C394)&amp;"|"&amp;LEN(IF(Raw!D394="","",Raw!D394))&amp;":"&amp;IF(Raw!D394="","",Raw!D394)&amp;"|"&amp;LEN(IF(Raw!E394="","",Raw!E394))&amp;":"&amp;IF(Raw!E394="","",Raw!E394)&amp;"|"&amp;LEN(IF(Raw!F394="","",Raw!F394))&amp;":"&amp;IF(Raw!F394="","",Raw!F394)&amp;"|"&amp;LEN(IF(Raw!G394="","",Raw!G394))&amp;":"&amp;IF(Raw!G394="","",Raw!G394)</f>
        <v>6:L00388|6:T00194|10:2026-01-02|3:P-A|11:Accessories|4:sale|6:140.90</v>
      </c>
      <c r="Q394" s="1">
        <f>1</f>
        <v>1</v>
      </c>
      <c r="R394" s="1" t="b">
        <f>FALSE</f>
        <v>0</v>
      </c>
      <c r="S394" s="1">
        <f>1</f>
        <v>1</v>
      </c>
      <c r="T394" s="1" t="str">
        <f>IF(AND(Raw!A394="",Raw!B394="",Raw!C394="",Raw!D394="",Raw!E394="",Raw!F394="",Raw!G394=""),"UNUSED",IF(A394="","missing line ID",IF(B394="","missing transaction ID",IF(G394="",IF(C394="","missing date","invalid date"),IF(I394="","unknown product",IF(J394="","conflicting category",IF(NOT(OR(EXACT(K394,"sale"),EXACT(K394,"refund"))),"unknown event",IF(OR(N394="",NOT(O394)),"invalid amount",IF(OR(AND(K394="sale",N394&lt;=0),AND(K394="refund",N394&gt;=0)),"invalid sign","")))))))))</f>
        <v/>
      </c>
      <c r="U394" s="1" t="str">
        <f t="shared" si="53"/>
        <v>INCLUDED</v>
      </c>
      <c r="V394" s="1" t="str">
        <f t="shared" si="54"/>
        <v>2026-01</v>
      </c>
      <c r="W394" s="1">
        <f>IF(AND(U394="INCLUDED",X394&gt;0,EXACT(A394,'AI output'!A394)),1,0)</f>
        <v>1</v>
      </c>
      <c r="X394" s="1">
        <f>394</f>
        <v>394</v>
      </c>
      <c r="Y394" s="1">
        <f>IF(AND(U394="INCLUDED",W394=1),--(NOT(EXACT(A394,'AI output'!A394)))+--(NOT(EXACT(B394,'AI output'!B394)))+--(NOT(EXACT(TEXT(G394,"yyyy-mm-dd"),'AI output'!C394)))+--(NOT(EXACT(H394,'AI output'!D394)))+--(NOT(EXACT(J394,'AI output'!E394)))+--(NOT(EXACT(K394,'AI output'!F394)))+--(N394&lt;&gt;'AI output'!L394)+--(NOT('AI output'!M394)),0)</f>
        <v>0</v>
      </c>
      <c r="Z394" s="1">
        <f t="shared" si="55"/>
        <v>0</v>
      </c>
      <c r="AA394" s="1">
        <f>--EXACT(A394,"L00388")</f>
        <v>1</v>
      </c>
    </row>
    <row r="395" spans="1:27" ht="18.95" customHeight="1">
      <c r="A395" s="1" t="str">
        <f>IF(Raw!A395="","",Raw!A395)</f>
        <v>L00389</v>
      </c>
      <c r="B395" s="1" t="str">
        <f>IF(Raw!B395="","",Raw!B395)</f>
        <v>T00195</v>
      </c>
      <c r="C395" s="1" t="str">
        <f>IF(Raw!C395="","",Raw!C395)</f>
        <v>2026-01-09</v>
      </c>
      <c r="D395" s="1">
        <f t="shared" si="48"/>
        <v>2026</v>
      </c>
      <c r="E395" s="1">
        <f>IFERROR(IF(AND(LEN(C395)=10,MID(C395,5,1)="-",MID(C395,8,1)="-"),VALUE(MID(C395,6,2)),IF(AND(LEN(C395)=11,MID(C395,3,1)="-",MID(C395,7,1)="-"),MATCH(UPPER(MID(C395,4,3)),Guide!$D$7:$D$18,0),0)),0)</f>
        <v>1</v>
      </c>
      <c r="F395" s="1">
        <f t="shared" si="49"/>
        <v>9</v>
      </c>
      <c r="G395" s="9">
        <f t="shared" si="50"/>
        <v>46031</v>
      </c>
      <c r="H395" s="1" t="str">
        <f>IF(Raw!D395="","",Raw!D395)</f>
        <v>P-H</v>
      </c>
      <c r="I395" s="1" t="str">
        <f>IFERROR(IF(EXACT(H395,INDEX(Guide!$A$7:$A$9,MATCH(SUBSTITUTE(SUBSTITUTE(SUBSTITUTE(H395,"~","~~"),"*","~*"),"?","~?"),Guide!$A$7:$A$9,0))),INDEX(Guide!$B$7:$B$9,MATCH(SUBSTITUTE(SUBSTITUTE(SUBSTITUTE(H395,"~","~~"),"*","~*"),"?","~?"),Guide!$A$7:$A$9,0)),""),"")</f>
        <v>Home</v>
      </c>
      <c r="J395" s="1" t="str">
        <f>IF(TRIM(Raw!E395)="",I395,IF(UPPER(TRIM(Raw!E395))=UPPER(I395),I395,""))</f>
        <v>Home</v>
      </c>
      <c r="K395" s="1" t="str">
        <f>IF(Raw!F395="","",Raw!F395)</f>
        <v>sale</v>
      </c>
      <c r="L395" s="1" t="str">
        <f>IF(LEFT(TRIM(Raw!G395),2)="-$","-"&amp;MID(TRIM(Raw!G395),3,99),IF(LEFT(TRIM(Raw!G395),1)="$",MID(TRIM(Raw!G395),2,99),TRIM(Raw!G395)))</f>
        <v>57.10</v>
      </c>
      <c r="M395" s="1">
        <f t="shared" si="51"/>
        <v>57.1</v>
      </c>
      <c r="N395" s="10">
        <f t="shared" si="52"/>
        <v>5710</v>
      </c>
      <c r="O395" s="1" t="b">
        <f>IFERROR(IF(ISNUMBER(Raw!G395),TRUE,OR(EXACT(L395,TEXT(M395,"0.00")),EXACT(L395,TEXT(M395,"#,##0.00")))),FALSE)</f>
        <v>1</v>
      </c>
      <c r="P395" s="1" t="str">
        <f>LEN(IF(Raw!A395="","",Raw!A395))&amp;":"&amp;IF(Raw!A395="","",Raw!A395)&amp;"|"&amp;LEN(IF(Raw!B395="","",Raw!B395))&amp;":"&amp;IF(Raw!B395="","",Raw!B395)&amp;"|"&amp;LEN(IF(Raw!C395="","",Raw!C395))&amp;":"&amp;IF(Raw!C395="","",Raw!C395)&amp;"|"&amp;LEN(IF(Raw!D395="","",Raw!D395))&amp;":"&amp;IF(Raw!D395="","",Raw!D395)&amp;"|"&amp;LEN(IF(Raw!E395="","",Raw!E395))&amp;":"&amp;IF(Raw!E395="","",Raw!E395)&amp;"|"&amp;LEN(IF(Raw!F395="","",Raw!F395))&amp;":"&amp;IF(Raw!F395="","",Raw!F395)&amp;"|"&amp;LEN(IF(Raw!G395="","",Raw!G395))&amp;":"&amp;IF(Raw!G395="","",Raw!G395)</f>
        <v>6:L00389|6:T00195|10:2026-01-09|3:P-H|4:Home|4:sale|5:57.10</v>
      </c>
      <c r="Q395" s="1">
        <f>1</f>
        <v>1</v>
      </c>
      <c r="R395" s="1" t="b">
        <f>FALSE</f>
        <v>0</v>
      </c>
      <c r="S395" s="1">
        <f>1</f>
        <v>1</v>
      </c>
      <c r="T395" s="1" t="str">
        <f>IF(AND(Raw!A395="",Raw!B395="",Raw!C395="",Raw!D395="",Raw!E395="",Raw!F395="",Raw!G395=""),"UNUSED",IF(A395="","missing line ID",IF(B395="","missing transaction ID",IF(G395="",IF(C395="","missing date","invalid date"),IF(I395="","unknown product",IF(J395="","conflicting category",IF(NOT(OR(EXACT(K395,"sale"),EXACT(K395,"refund"))),"unknown event",IF(OR(N395="",NOT(O395)),"invalid amount",IF(OR(AND(K395="sale",N395&lt;=0),AND(K395="refund",N395&gt;=0)),"invalid sign","")))))))))</f>
        <v/>
      </c>
      <c r="U395" s="1" t="str">
        <f t="shared" si="53"/>
        <v>INCLUDED</v>
      </c>
      <c r="V395" s="1" t="str">
        <f t="shared" si="54"/>
        <v>2026-01</v>
      </c>
      <c r="W395" s="1">
        <f>IF(AND(U395="INCLUDED",X395&gt;0,EXACT(A395,'AI output'!A395)),1,0)</f>
        <v>1</v>
      </c>
      <c r="X395" s="1">
        <f>395</f>
        <v>395</v>
      </c>
      <c r="Y395" s="1">
        <f>IF(AND(U395="INCLUDED",W395=1),--(NOT(EXACT(A395,'AI output'!A395)))+--(NOT(EXACT(B395,'AI output'!B395)))+--(NOT(EXACT(TEXT(G395,"yyyy-mm-dd"),'AI output'!C395)))+--(NOT(EXACT(H395,'AI output'!D395)))+--(NOT(EXACT(J395,'AI output'!E395)))+--(NOT(EXACT(K395,'AI output'!F395)))+--(N395&lt;&gt;'AI output'!L395)+--(NOT('AI output'!M395)),0)</f>
        <v>0</v>
      </c>
      <c r="Z395" s="1">
        <f t="shared" si="55"/>
        <v>0</v>
      </c>
      <c r="AA395" s="1">
        <f>--EXACT(A395,"L00389")</f>
        <v>1</v>
      </c>
    </row>
    <row r="396" spans="1:27" ht="18.95" customHeight="1">
      <c r="A396" s="1" t="str">
        <f>IF(Raw!A396="","",Raw!A396)</f>
        <v>L00390</v>
      </c>
      <c r="B396" s="1" t="str">
        <f>IF(Raw!B396="","",Raw!B396)</f>
        <v>T00195</v>
      </c>
      <c r="C396" s="1" t="str">
        <f>IF(Raw!C396="","",Raw!C396)</f>
        <v>2026-01-09</v>
      </c>
      <c r="D396" s="1">
        <f t="shared" si="48"/>
        <v>2026</v>
      </c>
      <c r="E396" s="1">
        <f>IFERROR(IF(AND(LEN(C396)=10,MID(C396,5,1)="-",MID(C396,8,1)="-"),VALUE(MID(C396,6,2)),IF(AND(LEN(C396)=11,MID(C396,3,1)="-",MID(C396,7,1)="-"),MATCH(UPPER(MID(C396,4,3)),Guide!$D$7:$D$18,0),0)),0)</f>
        <v>1</v>
      </c>
      <c r="F396" s="1">
        <f t="shared" si="49"/>
        <v>9</v>
      </c>
      <c r="G396" s="9">
        <f t="shared" si="50"/>
        <v>46031</v>
      </c>
      <c r="H396" s="1" t="str">
        <f>IF(Raw!D396="","",Raw!D396)</f>
        <v>P-O</v>
      </c>
      <c r="I396" s="1" t="str">
        <f>IFERROR(IF(EXACT(H396,INDEX(Guide!$A$7:$A$9,MATCH(SUBSTITUTE(SUBSTITUTE(SUBSTITUTE(H396,"~","~~"),"*","~*"),"?","~?"),Guide!$A$7:$A$9,0))),INDEX(Guide!$B$7:$B$9,MATCH(SUBSTITUTE(SUBSTITUTE(SUBSTITUTE(H396,"~","~~"),"*","~*"),"?","~?"),Guide!$A$7:$A$9,0)),""),"")</f>
        <v>Office</v>
      </c>
      <c r="J396" s="1" t="str">
        <f>IF(TRIM(Raw!E396)="",I396,IF(UPPER(TRIM(Raw!E396))=UPPER(I396),I396,""))</f>
        <v>Office</v>
      </c>
      <c r="K396" s="1" t="str">
        <f>IF(Raw!F396="","",Raw!F396)</f>
        <v>sale</v>
      </c>
      <c r="L396" s="1" t="str">
        <f>IF(LEFT(TRIM(Raw!G396),2)="-$","-"&amp;MID(TRIM(Raw!G396),3,99),IF(LEFT(TRIM(Raw!G396),1)="$",MID(TRIM(Raw!G396),2,99),TRIM(Raw!G396)))</f>
        <v>115.68</v>
      </c>
      <c r="M396" s="1">
        <f t="shared" si="51"/>
        <v>115.68</v>
      </c>
      <c r="N396" s="10">
        <f t="shared" si="52"/>
        <v>11568</v>
      </c>
      <c r="O396" s="1" t="b">
        <f>IFERROR(IF(ISNUMBER(Raw!G396),TRUE,OR(EXACT(L396,TEXT(M396,"0.00")),EXACT(L396,TEXT(M396,"#,##0.00")))),FALSE)</f>
        <v>1</v>
      </c>
      <c r="P396" s="1" t="str">
        <f>LEN(IF(Raw!A396="","",Raw!A396))&amp;":"&amp;IF(Raw!A396="","",Raw!A396)&amp;"|"&amp;LEN(IF(Raw!B396="","",Raw!B396))&amp;":"&amp;IF(Raw!B396="","",Raw!B396)&amp;"|"&amp;LEN(IF(Raw!C396="","",Raw!C396))&amp;":"&amp;IF(Raw!C396="","",Raw!C396)&amp;"|"&amp;LEN(IF(Raw!D396="","",Raw!D396))&amp;":"&amp;IF(Raw!D396="","",Raw!D396)&amp;"|"&amp;LEN(IF(Raw!E396="","",Raw!E396))&amp;":"&amp;IF(Raw!E396="","",Raw!E396)&amp;"|"&amp;LEN(IF(Raw!F396="","",Raw!F396))&amp;":"&amp;IF(Raw!F396="","",Raw!F396)&amp;"|"&amp;LEN(IF(Raw!G396="","",Raw!G396))&amp;":"&amp;IF(Raw!G396="","",Raw!G396)</f>
        <v>6:L00390|6:T00195|10:2026-01-09|3:P-O|6:Office|4:sale|6:115.68</v>
      </c>
      <c r="Q396" s="1">
        <f>1</f>
        <v>1</v>
      </c>
      <c r="R396" s="1" t="b">
        <f>FALSE</f>
        <v>0</v>
      </c>
      <c r="S396" s="1">
        <f>1</f>
        <v>1</v>
      </c>
      <c r="T396" s="1" t="str">
        <f>IF(AND(Raw!A396="",Raw!B396="",Raw!C396="",Raw!D396="",Raw!E396="",Raw!F396="",Raw!G396=""),"UNUSED",IF(A396="","missing line ID",IF(B396="","missing transaction ID",IF(G396="",IF(C396="","missing date","invalid date"),IF(I396="","unknown product",IF(J396="","conflicting category",IF(NOT(OR(EXACT(K396,"sale"),EXACT(K396,"refund"))),"unknown event",IF(OR(N396="",NOT(O396)),"invalid amount",IF(OR(AND(K396="sale",N396&lt;=0),AND(K396="refund",N396&gt;=0)),"invalid sign","")))))))))</f>
        <v/>
      </c>
      <c r="U396" s="1" t="str">
        <f t="shared" si="53"/>
        <v>INCLUDED</v>
      </c>
      <c r="V396" s="1" t="str">
        <f t="shared" si="54"/>
        <v>2026-01</v>
      </c>
      <c r="W396" s="1">
        <f>IF(AND(U396="INCLUDED",X396&gt;0,EXACT(A396,'AI output'!A396)),1,0)</f>
        <v>1</v>
      </c>
      <c r="X396" s="1">
        <f>396</f>
        <v>396</v>
      </c>
      <c r="Y396" s="1">
        <f>IF(AND(U396="INCLUDED",W396=1),--(NOT(EXACT(A396,'AI output'!A396)))+--(NOT(EXACT(B396,'AI output'!B396)))+--(NOT(EXACT(TEXT(G396,"yyyy-mm-dd"),'AI output'!C396)))+--(NOT(EXACT(H396,'AI output'!D396)))+--(NOT(EXACT(J396,'AI output'!E396)))+--(NOT(EXACT(K396,'AI output'!F396)))+--(N396&lt;&gt;'AI output'!L396)+--(NOT('AI output'!M396)),0)</f>
        <v>0</v>
      </c>
      <c r="Z396" s="1">
        <f t="shared" si="55"/>
        <v>0</v>
      </c>
      <c r="AA396" s="1">
        <f>--EXACT(A396,"L00390")</f>
        <v>1</v>
      </c>
    </row>
    <row r="397" spans="1:27" ht="18.95" customHeight="1">
      <c r="A397" s="1" t="str">
        <f>IF(Raw!A397="","",Raw!A397)</f>
        <v>L00391</v>
      </c>
      <c r="B397" s="1" t="str">
        <f>IF(Raw!B397="","",Raw!B397)</f>
        <v>T00196</v>
      </c>
      <c r="C397" s="1" t="str">
        <f>IF(Raw!C397="","",Raw!C397)</f>
        <v>2026-01-16</v>
      </c>
      <c r="D397" s="1">
        <f t="shared" si="48"/>
        <v>2026</v>
      </c>
      <c r="E397" s="1">
        <f>IFERROR(IF(AND(LEN(C397)=10,MID(C397,5,1)="-",MID(C397,8,1)="-"),VALUE(MID(C397,6,2)),IF(AND(LEN(C397)=11,MID(C397,3,1)="-",MID(C397,7,1)="-"),MATCH(UPPER(MID(C397,4,3)),Guide!$D$7:$D$18,0),0)),0)</f>
        <v>1</v>
      </c>
      <c r="F397" s="1">
        <f t="shared" si="49"/>
        <v>16</v>
      </c>
      <c r="G397" s="9">
        <f t="shared" si="50"/>
        <v>46038</v>
      </c>
      <c r="H397" s="1" t="str">
        <f>IF(Raw!D397="","",Raw!D397)</f>
        <v>P-A</v>
      </c>
      <c r="I397" s="1" t="str">
        <f>IFERROR(IF(EXACT(H397,INDEX(Guide!$A$7:$A$9,MATCH(SUBSTITUTE(SUBSTITUTE(SUBSTITUTE(H397,"~","~~"),"*","~*"),"?","~?"),Guide!$A$7:$A$9,0))),INDEX(Guide!$B$7:$B$9,MATCH(SUBSTITUTE(SUBSTITUTE(SUBSTITUTE(H397,"~","~~"),"*","~*"),"?","~?"),Guide!$A$7:$A$9,0)),""),"")</f>
        <v>Accessories</v>
      </c>
      <c r="J397" s="1" t="str">
        <f>IF(TRIM(Raw!E397)="",I397,IF(UPPER(TRIM(Raw!E397))=UPPER(I397),I397,""))</f>
        <v>Accessories</v>
      </c>
      <c r="K397" s="1" t="str">
        <f>IF(Raw!F397="","",Raw!F397)</f>
        <v>sale</v>
      </c>
      <c r="L397" s="1" t="str">
        <f>IF(LEFT(TRIM(Raw!G397),2)="-$","-"&amp;MID(TRIM(Raw!G397),3,99),IF(LEFT(TRIM(Raw!G397),1)="$",MID(TRIM(Raw!G397),2,99),TRIM(Raw!G397)))</f>
        <v>29.29</v>
      </c>
      <c r="M397" s="1">
        <f t="shared" si="51"/>
        <v>29.29</v>
      </c>
      <c r="N397" s="10">
        <f t="shared" si="52"/>
        <v>2929</v>
      </c>
      <c r="O397" s="1" t="b">
        <f>IFERROR(IF(ISNUMBER(Raw!G397),TRUE,OR(EXACT(L397,TEXT(M397,"0.00")),EXACT(L397,TEXT(M397,"#,##0.00")))),FALSE)</f>
        <v>1</v>
      </c>
      <c r="P397" s="1" t="str">
        <f>LEN(IF(Raw!A397="","",Raw!A397))&amp;":"&amp;IF(Raw!A397="","",Raw!A397)&amp;"|"&amp;LEN(IF(Raw!B397="","",Raw!B397))&amp;":"&amp;IF(Raw!B397="","",Raw!B397)&amp;"|"&amp;LEN(IF(Raw!C397="","",Raw!C397))&amp;":"&amp;IF(Raw!C397="","",Raw!C397)&amp;"|"&amp;LEN(IF(Raw!D397="","",Raw!D397))&amp;":"&amp;IF(Raw!D397="","",Raw!D397)&amp;"|"&amp;LEN(IF(Raw!E397="","",Raw!E397))&amp;":"&amp;IF(Raw!E397="","",Raw!E397)&amp;"|"&amp;LEN(IF(Raw!F397="","",Raw!F397))&amp;":"&amp;IF(Raw!F397="","",Raw!F397)&amp;"|"&amp;LEN(IF(Raw!G397="","",Raw!G397))&amp;":"&amp;IF(Raw!G397="","",Raw!G397)</f>
        <v>6:L00391|6:T00196|10:2026-01-16|3:P-A|11:Accessories|4:sale|5:29.29</v>
      </c>
      <c r="Q397" s="1">
        <f>1</f>
        <v>1</v>
      </c>
      <c r="R397" s="1" t="b">
        <f>FALSE</f>
        <v>0</v>
      </c>
      <c r="S397" s="1">
        <f>1</f>
        <v>1</v>
      </c>
      <c r="T397" s="1" t="str">
        <f>IF(AND(Raw!A397="",Raw!B397="",Raw!C397="",Raw!D397="",Raw!E397="",Raw!F397="",Raw!G397=""),"UNUSED",IF(A397="","missing line ID",IF(B397="","missing transaction ID",IF(G397="",IF(C397="","missing date","invalid date"),IF(I397="","unknown product",IF(J397="","conflicting category",IF(NOT(OR(EXACT(K397,"sale"),EXACT(K397,"refund"))),"unknown event",IF(OR(N397="",NOT(O397)),"invalid amount",IF(OR(AND(K397="sale",N397&lt;=0),AND(K397="refund",N397&gt;=0)),"invalid sign","")))))))))</f>
        <v/>
      </c>
      <c r="U397" s="1" t="str">
        <f t="shared" si="53"/>
        <v>INCLUDED</v>
      </c>
      <c r="V397" s="1" t="str">
        <f t="shared" si="54"/>
        <v>2026-01</v>
      </c>
      <c r="W397" s="1">
        <f>IF(AND(U397="INCLUDED",X397&gt;0,EXACT(A397,'AI output'!A397)),1,0)</f>
        <v>1</v>
      </c>
      <c r="X397" s="1">
        <f>397</f>
        <v>397</v>
      </c>
      <c r="Y397" s="1">
        <f>IF(AND(U397="INCLUDED",W397=1),--(NOT(EXACT(A397,'AI output'!A397)))+--(NOT(EXACT(B397,'AI output'!B397)))+--(NOT(EXACT(TEXT(G397,"yyyy-mm-dd"),'AI output'!C397)))+--(NOT(EXACT(H397,'AI output'!D397)))+--(NOT(EXACT(J397,'AI output'!E397)))+--(NOT(EXACT(K397,'AI output'!F397)))+--(N397&lt;&gt;'AI output'!L397)+--(NOT('AI output'!M397)),0)</f>
        <v>0</v>
      </c>
      <c r="Z397" s="1">
        <f t="shared" si="55"/>
        <v>0</v>
      </c>
      <c r="AA397" s="1">
        <f>--EXACT(A397,"L00391")</f>
        <v>1</v>
      </c>
    </row>
    <row r="398" spans="1:27" ht="18.95" customHeight="1">
      <c r="A398" s="1" t="str">
        <f>IF(Raw!A398="","",Raw!A398)</f>
        <v>L00392</v>
      </c>
      <c r="B398" s="1" t="str">
        <f>IF(Raw!B398="","",Raw!B398)</f>
        <v>T00196</v>
      </c>
      <c r="C398" s="1" t="str">
        <f>IF(Raw!C398="","",Raw!C398)</f>
        <v>2026-01-16</v>
      </c>
      <c r="D398" s="1">
        <f t="shared" si="48"/>
        <v>2026</v>
      </c>
      <c r="E398" s="1">
        <f>IFERROR(IF(AND(LEN(C398)=10,MID(C398,5,1)="-",MID(C398,8,1)="-"),VALUE(MID(C398,6,2)),IF(AND(LEN(C398)=11,MID(C398,3,1)="-",MID(C398,7,1)="-"),MATCH(UPPER(MID(C398,4,3)),Guide!$D$7:$D$18,0),0)),0)</f>
        <v>1</v>
      </c>
      <c r="F398" s="1">
        <f t="shared" si="49"/>
        <v>16</v>
      </c>
      <c r="G398" s="9">
        <f t="shared" si="50"/>
        <v>46038</v>
      </c>
      <c r="H398" s="1" t="str">
        <f>IF(Raw!D398="","",Raw!D398)</f>
        <v>P-H</v>
      </c>
      <c r="I398" s="1" t="str">
        <f>IFERROR(IF(EXACT(H398,INDEX(Guide!$A$7:$A$9,MATCH(SUBSTITUTE(SUBSTITUTE(SUBSTITUTE(H398,"~","~~"),"*","~*"),"?","~?"),Guide!$A$7:$A$9,0))),INDEX(Guide!$B$7:$B$9,MATCH(SUBSTITUTE(SUBSTITUTE(SUBSTITUTE(H398,"~","~~"),"*","~*"),"?","~?"),Guide!$A$7:$A$9,0)),""),"")</f>
        <v>Home</v>
      </c>
      <c r="J398" s="1" t="str">
        <f>IF(TRIM(Raw!E398)="",I398,IF(UPPER(TRIM(Raw!E398))=UPPER(I398),I398,""))</f>
        <v>Home</v>
      </c>
      <c r="K398" s="1" t="str">
        <f>IF(Raw!F398="","",Raw!F398)</f>
        <v>refund</v>
      </c>
      <c r="L398" s="1" t="str">
        <f>IF(LEFT(TRIM(Raw!G398),2)="-$","-"&amp;MID(TRIM(Raw!G398),3,99),IF(LEFT(TRIM(Raw!G398),1)="$",MID(TRIM(Raw!G398),2,99),TRIM(Raw!G398)))</f>
        <v>-88.98</v>
      </c>
      <c r="M398" s="1">
        <f t="shared" si="51"/>
        <v>-88.98</v>
      </c>
      <c r="N398" s="10">
        <f t="shared" si="52"/>
        <v>-8898</v>
      </c>
      <c r="O398" s="1" t="b">
        <f>IFERROR(IF(ISNUMBER(Raw!G398),TRUE,OR(EXACT(L398,TEXT(M398,"0.00")),EXACT(L398,TEXT(M398,"#,##0.00")))),FALSE)</f>
        <v>1</v>
      </c>
      <c r="P398" s="1" t="str">
        <f>LEN(IF(Raw!A398="","",Raw!A398))&amp;":"&amp;IF(Raw!A398="","",Raw!A398)&amp;"|"&amp;LEN(IF(Raw!B398="","",Raw!B398))&amp;":"&amp;IF(Raw!B398="","",Raw!B398)&amp;"|"&amp;LEN(IF(Raw!C398="","",Raw!C398))&amp;":"&amp;IF(Raw!C398="","",Raw!C398)&amp;"|"&amp;LEN(IF(Raw!D398="","",Raw!D398))&amp;":"&amp;IF(Raw!D398="","",Raw!D398)&amp;"|"&amp;LEN(IF(Raw!E398="","",Raw!E398))&amp;":"&amp;IF(Raw!E398="","",Raw!E398)&amp;"|"&amp;LEN(IF(Raw!F398="","",Raw!F398))&amp;":"&amp;IF(Raw!F398="","",Raw!F398)&amp;"|"&amp;LEN(IF(Raw!G398="","",Raw!G398))&amp;":"&amp;IF(Raw!G398="","",Raw!G398)</f>
        <v>6:L00392|6:T00196|10:2026-01-16|3:P-H|4:Home|6:refund|6:-88.98</v>
      </c>
      <c r="Q398" s="1">
        <f>1</f>
        <v>1</v>
      </c>
      <c r="R398" s="1" t="b">
        <f>FALSE</f>
        <v>0</v>
      </c>
      <c r="S398" s="1">
        <f>1</f>
        <v>1</v>
      </c>
      <c r="T398" s="1" t="str">
        <f>IF(AND(Raw!A398="",Raw!B398="",Raw!C398="",Raw!D398="",Raw!E398="",Raw!F398="",Raw!G398=""),"UNUSED",IF(A398="","missing line ID",IF(B398="","missing transaction ID",IF(G398="",IF(C398="","missing date","invalid date"),IF(I398="","unknown product",IF(J398="","conflicting category",IF(NOT(OR(EXACT(K398,"sale"),EXACT(K398,"refund"))),"unknown event",IF(OR(N398="",NOT(O398)),"invalid amount",IF(OR(AND(K398="sale",N398&lt;=0),AND(K398="refund",N398&gt;=0)),"invalid sign","")))))))))</f>
        <v/>
      </c>
      <c r="U398" s="1" t="str">
        <f t="shared" si="53"/>
        <v>INCLUDED</v>
      </c>
      <c r="V398" s="1" t="str">
        <f t="shared" si="54"/>
        <v>2026-01</v>
      </c>
      <c r="W398" s="1">
        <f>IF(AND(U398="INCLUDED",X398&gt;0,EXACT(A398,'AI output'!A398)),1,0)</f>
        <v>1</v>
      </c>
      <c r="X398" s="1">
        <f>398</f>
        <v>398</v>
      </c>
      <c r="Y398" s="1">
        <f>IF(AND(U398="INCLUDED",W398=1),--(NOT(EXACT(A398,'AI output'!A398)))+--(NOT(EXACT(B398,'AI output'!B398)))+--(NOT(EXACT(TEXT(G398,"yyyy-mm-dd"),'AI output'!C398)))+--(NOT(EXACT(H398,'AI output'!D398)))+--(NOT(EXACT(J398,'AI output'!E398)))+--(NOT(EXACT(K398,'AI output'!F398)))+--(N398&lt;&gt;'AI output'!L398)+--(NOT('AI output'!M398)),0)</f>
        <v>0</v>
      </c>
      <c r="Z398" s="1">
        <f t="shared" si="55"/>
        <v>0</v>
      </c>
      <c r="AA398" s="1">
        <f>--EXACT(A398,"L00392")</f>
        <v>1</v>
      </c>
    </row>
    <row r="399" spans="1:27" ht="18.95" customHeight="1">
      <c r="A399" s="1" t="str">
        <f>IF(Raw!A399="","",Raw!A399)</f>
        <v>L00393</v>
      </c>
      <c r="B399" s="1" t="str">
        <f>IF(Raw!B399="","",Raw!B399)</f>
        <v>T00197</v>
      </c>
      <c r="C399" s="1" t="str">
        <f>IF(Raw!C399="","",Raw!C399)</f>
        <v>2026-01-23</v>
      </c>
      <c r="D399" s="1">
        <f t="shared" si="48"/>
        <v>2026</v>
      </c>
      <c r="E399" s="1">
        <f>IFERROR(IF(AND(LEN(C399)=10,MID(C399,5,1)="-",MID(C399,8,1)="-"),VALUE(MID(C399,6,2)),IF(AND(LEN(C399)=11,MID(C399,3,1)="-",MID(C399,7,1)="-"),MATCH(UPPER(MID(C399,4,3)),Guide!$D$7:$D$18,0),0)),0)</f>
        <v>1</v>
      </c>
      <c r="F399" s="1">
        <f t="shared" si="49"/>
        <v>23</v>
      </c>
      <c r="G399" s="9">
        <f t="shared" si="50"/>
        <v>46045</v>
      </c>
      <c r="H399" s="1" t="str">
        <f>IF(Raw!D399="","",Raw!D399)</f>
        <v>P-O</v>
      </c>
      <c r="I399" s="1" t="str">
        <f>IFERROR(IF(EXACT(H399,INDEX(Guide!$A$7:$A$9,MATCH(SUBSTITUTE(SUBSTITUTE(SUBSTITUTE(H399,"~","~~"),"*","~*"),"?","~?"),Guide!$A$7:$A$9,0))),INDEX(Guide!$B$7:$B$9,MATCH(SUBSTITUTE(SUBSTITUTE(SUBSTITUTE(H399,"~","~~"),"*","~*"),"?","~?"),Guide!$A$7:$A$9,0)),""),"")</f>
        <v>Office</v>
      </c>
      <c r="J399" s="1" t="str">
        <f>IF(TRIM(Raw!E399)="",I399,IF(UPPER(TRIM(Raw!E399))=UPPER(I399),I399,""))</f>
        <v>Office</v>
      </c>
      <c r="K399" s="1" t="str">
        <f>IF(Raw!F399="","",Raw!F399)</f>
        <v>sale</v>
      </c>
      <c r="L399" s="1" t="str">
        <f>IF(LEFT(TRIM(Raw!G399),2)="-$","-"&amp;MID(TRIM(Raw!G399),3,99),IF(LEFT(TRIM(Raw!G399),1)="$",MID(TRIM(Raw!G399),2,99),TRIM(Raw!G399)))</f>
        <v>150.15</v>
      </c>
      <c r="M399" s="1">
        <f t="shared" si="51"/>
        <v>150.15</v>
      </c>
      <c r="N399" s="10">
        <f t="shared" si="52"/>
        <v>15015</v>
      </c>
      <c r="O399" s="1" t="b">
        <f>IFERROR(IF(ISNUMBER(Raw!G399),TRUE,OR(EXACT(L399,TEXT(M399,"0.00")),EXACT(L399,TEXT(M399,"#,##0.00")))),FALSE)</f>
        <v>1</v>
      </c>
      <c r="P399" s="1" t="str">
        <f>LEN(IF(Raw!A399="","",Raw!A399))&amp;":"&amp;IF(Raw!A399="","",Raw!A399)&amp;"|"&amp;LEN(IF(Raw!B399="","",Raw!B399))&amp;":"&amp;IF(Raw!B399="","",Raw!B399)&amp;"|"&amp;LEN(IF(Raw!C399="","",Raw!C399))&amp;":"&amp;IF(Raw!C399="","",Raw!C399)&amp;"|"&amp;LEN(IF(Raw!D399="","",Raw!D399))&amp;":"&amp;IF(Raw!D399="","",Raw!D399)&amp;"|"&amp;LEN(IF(Raw!E399="","",Raw!E399))&amp;":"&amp;IF(Raw!E399="","",Raw!E399)&amp;"|"&amp;LEN(IF(Raw!F399="","",Raw!F399))&amp;":"&amp;IF(Raw!F399="","",Raw!F399)&amp;"|"&amp;LEN(IF(Raw!G399="","",Raw!G399))&amp;":"&amp;IF(Raw!G399="","",Raw!G399)</f>
        <v>6:L00393|6:T00197|10:2026-01-23|3:P-O|6:Office|4:sale|6:150.15</v>
      </c>
      <c r="Q399" s="1">
        <f>1</f>
        <v>1</v>
      </c>
      <c r="R399" s="1" t="b">
        <f>FALSE</f>
        <v>0</v>
      </c>
      <c r="S399" s="1">
        <f>1</f>
        <v>1</v>
      </c>
      <c r="T399" s="1" t="str">
        <f>IF(AND(Raw!A399="",Raw!B399="",Raw!C399="",Raw!D399="",Raw!E399="",Raw!F399="",Raw!G399=""),"UNUSED",IF(A399="","missing line ID",IF(B399="","missing transaction ID",IF(G399="",IF(C399="","missing date","invalid date"),IF(I399="","unknown product",IF(J399="","conflicting category",IF(NOT(OR(EXACT(K399,"sale"),EXACT(K399,"refund"))),"unknown event",IF(OR(N399="",NOT(O399)),"invalid amount",IF(OR(AND(K399="sale",N399&lt;=0),AND(K399="refund",N399&gt;=0)),"invalid sign","")))))))))</f>
        <v/>
      </c>
      <c r="U399" s="1" t="str">
        <f t="shared" si="53"/>
        <v>INCLUDED</v>
      </c>
      <c r="V399" s="1" t="str">
        <f t="shared" si="54"/>
        <v>2026-01</v>
      </c>
      <c r="W399" s="1">
        <f>IF(AND(U399="INCLUDED",X399&gt;0,EXACT(A399,'AI output'!A399)),1,0)</f>
        <v>1</v>
      </c>
      <c r="X399" s="1">
        <f>399</f>
        <v>399</v>
      </c>
      <c r="Y399" s="1">
        <f>IF(AND(U399="INCLUDED",W399=1),--(NOT(EXACT(A399,'AI output'!A399)))+--(NOT(EXACT(B399,'AI output'!B399)))+--(NOT(EXACT(TEXT(G399,"yyyy-mm-dd"),'AI output'!C399)))+--(NOT(EXACT(H399,'AI output'!D399)))+--(NOT(EXACT(J399,'AI output'!E399)))+--(NOT(EXACT(K399,'AI output'!F399)))+--(N399&lt;&gt;'AI output'!L399)+--(NOT('AI output'!M399)),0)</f>
        <v>0</v>
      </c>
      <c r="Z399" s="1">
        <f t="shared" si="55"/>
        <v>0</v>
      </c>
      <c r="AA399" s="1">
        <f>--EXACT(A399,"L00393")</f>
        <v>1</v>
      </c>
    </row>
    <row r="400" spans="1:27" ht="18.95" customHeight="1">
      <c r="A400" s="1" t="str">
        <f>IF(Raw!A400="","",Raw!A400)</f>
        <v>L00394</v>
      </c>
      <c r="B400" s="1" t="str">
        <f>IF(Raw!B400="","",Raw!B400)</f>
        <v>T00197</v>
      </c>
      <c r="C400" s="1" t="str">
        <f>IF(Raw!C400="","",Raw!C400)</f>
        <v>2026-01-23</v>
      </c>
      <c r="D400" s="1">
        <f t="shared" si="48"/>
        <v>2026</v>
      </c>
      <c r="E400" s="1">
        <f>IFERROR(IF(AND(LEN(C400)=10,MID(C400,5,1)="-",MID(C400,8,1)="-"),VALUE(MID(C400,6,2)),IF(AND(LEN(C400)=11,MID(C400,3,1)="-",MID(C400,7,1)="-"),MATCH(UPPER(MID(C400,4,3)),Guide!$D$7:$D$18,0),0)),0)</f>
        <v>1</v>
      </c>
      <c r="F400" s="1">
        <f t="shared" si="49"/>
        <v>23</v>
      </c>
      <c r="G400" s="9">
        <f t="shared" si="50"/>
        <v>46045</v>
      </c>
      <c r="H400" s="1" t="str">
        <f>IF(Raw!D400="","",Raw!D400)</f>
        <v>P-A</v>
      </c>
      <c r="I400" s="1" t="str">
        <f>IFERROR(IF(EXACT(H400,INDEX(Guide!$A$7:$A$9,MATCH(SUBSTITUTE(SUBSTITUTE(SUBSTITUTE(H400,"~","~~"),"*","~*"),"?","~?"),Guide!$A$7:$A$9,0))),INDEX(Guide!$B$7:$B$9,MATCH(SUBSTITUTE(SUBSTITUTE(SUBSTITUTE(H400,"~","~~"),"*","~*"),"?","~?"),Guide!$A$7:$A$9,0)),""),"")</f>
        <v>Accessories</v>
      </c>
      <c r="J400" s="1" t="str">
        <f>IF(TRIM(Raw!E400)="",I400,IF(UPPER(TRIM(Raw!E400))=UPPER(I400),I400,""))</f>
        <v>Accessories</v>
      </c>
      <c r="K400" s="1" t="str">
        <f>IF(Raw!F400="","",Raw!F400)</f>
        <v>sale</v>
      </c>
      <c r="L400" s="1" t="str">
        <f>IF(LEFT(TRIM(Raw!G400),2)="-$","-"&amp;MID(TRIM(Raw!G400),3,99),IF(LEFT(TRIM(Raw!G400),1)="$",MID(TRIM(Raw!G400),2,99),TRIM(Raw!G400)))</f>
        <v>60.80</v>
      </c>
      <c r="M400" s="1">
        <f t="shared" si="51"/>
        <v>60.8</v>
      </c>
      <c r="N400" s="10">
        <f t="shared" si="52"/>
        <v>6080</v>
      </c>
      <c r="O400" s="1" t="b">
        <f>IFERROR(IF(ISNUMBER(Raw!G400),TRUE,OR(EXACT(L400,TEXT(M400,"0.00")),EXACT(L400,TEXT(M400,"#,##0.00")))),FALSE)</f>
        <v>1</v>
      </c>
      <c r="P400" s="1" t="str">
        <f>LEN(IF(Raw!A400="","",Raw!A400))&amp;":"&amp;IF(Raw!A400="","",Raw!A400)&amp;"|"&amp;LEN(IF(Raw!B400="","",Raw!B400))&amp;":"&amp;IF(Raw!B400="","",Raw!B400)&amp;"|"&amp;LEN(IF(Raw!C400="","",Raw!C400))&amp;":"&amp;IF(Raw!C400="","",Raw!C400)&amp;"|"&amp;LEN(IF(Raw!D400="","",Raw!D400))&amp;":"&amp;IF(Raw!D400="","",Raw!D400)&amp;"|"&amp;LEN(IF(Raw!E400="","",Raw!E400))&amp;":"&amp;IF(Raw!E400="","",Raw!E400)&amp;"|"&amp;LEN(IF(Raw!F400="","",Raw!F400))&amp;":"&amp;IF(Raw!F400="","",Raw!F400)&amp;"|"&amp;LEN(IF(Raw!G400="","",Raw!G400))&amp;":"&amp;IF(Raw!G400="","",Raw!G400)</f>
        <v>6:L00394|6:T00197|10:2026-01-23|3:P-A|11:Accessories|4:sale|5:60.80</v>
      </c>
      <c r="Q400" s="1">
        <f>1</f>
        <v>1</v>
      </c>
      <c r="R400" s="1" t="b">
        <f>FALSE</f>
        <v>0</v>
      </c>
      <c r="S400" s="1">
        <f>1</f>
        <v>1</v>
      </c>
      <c r="T400" s="1" t="str">
        <f>IF(AND(Raw!A400="",Raw!B400="",Raw!C400="",Raw!D400="",Raw!E400="",Raw!F400="",Raw!G400=""),"UNUSED",IF(A400="","missing line ID",IF(B400="","missing transaction ID",IF(G400="",IF(C400="","missing date","invalid date"),IF(I400="","unknown product",IF(J400="","conflicting category",IF(NOT(OR(EXACT(K400,"sale"),EXACT(K400,"refund"))),"unknown event",IF(OR(N400="",NOT(O400)),"invalid amount",IF(OR(AND(K400="sale",N400&lt;=0),AND(K400="refund",N400&gt;=0)),"invalid sign","")))))))))</f>
        <v/>
      </c>
      <c r="U400" s="1" t="str">
        <f t="shared" si="53"/>
        <v>INCLUDED</v>
      </c>
      <c r="V400" s="1" t="str">
        <f t="shared" si="54"/>
        <v>2026-01</v>
      </c>
      <c r="W400" s="1">
        <f>IF(AND(U400="INCLUDED",X400&gt;0,EXACT(A400,'AI output'!A400)),1,0)</f>
        <v>1</v>
      </c>
      <c r="X400" s="1">
        <f>400</f>
        <v>400</v>
      </c>
      <c r="Y400" s="1">
        <f>IF(AND(U400="INCLUDED",W400=1),--(NOT(EXACT(A400,'AI output'!A400)))+--(NOT(EXACT(B400,'AI output'!B400)))+--(NOT(EXACT(TEXT(G400,"yyyy-mm-dd"),'AI output'!C400)))+--(NOT(EXACT(H400,'AI output'!D400)))+--(NOT(EXACT(J400,'AI output'!E400)))+--(NOT(EXACT(K400,'AI output'!F400)))+--(N400&lt;&gt;'AI output'!L400)+--(NOT('AI output'!M400)),0)</f>
        <v>0</v>
      </c>
      <c r="Z400" s="1">
        <f t="shared" si="55"/>
        <v>0</v>
      </c>
      <c r="AA400" s="1">
        <f>--EXACT(A400,"L00394")</f>
        <v>1</v>
      </c>
    </row>
    <row r="401" spans="1:27" ht="18.95" customHeight="1">
      <c r="A401" s="1" t="str">
        <f>IF(Raw!A401="","",Raw!A401)</f>
        <v>L00395</v>
      </c>
      <c r="B401" s="1" t="str">
        <f>IF(Raw!B401="","",Raw!B401)</f>
        <v>T00198</v>
      </c>
      <c r="C401" s="1" t="str">
        <f>IF(Raw!C401="","",Raw!C401)</f>
        <v>2026-01-30</v>
      </c>
      <c r="D401" s="1">
        <f t="shared" si="48"/>
        <v>2026</v>
      </c>
      <c r="E401" s="1">
        <f>IFERROR(IF(AND(LEN(C401)=10,MID(C401,5,1)="-",MID(C401,8,1)="-"),VALUE(MID(C401,6,2)),IF(AND(LEN(C401)=11,MID(C401,3,1)="-",MID(C401,7,1)="-"),MATCH(UPPER(MID(C401,4,3)),Guide!$D$7:$D$18,0),0)),0)</f>
        <v>1</v>
      </c>
      <c r="F401" s="1">
        <f t="shared" si="49"/>
        <v>30</v>
      </c>
      <c r="G401" s="9">
        <f t="shared" si="50"/>
        <v>46052</v>
      </c>
      <c r="H401" s="1" t="str">
        <f>IF(Raw!D401="","",Raw!D401)</f>
        <v>P-H</v>
      </c>
      <c r="I401" s="1" t="str">
        <f>IFERROR(IF(EXACT(H401,INDEX(Guide!$A$7:$A$9,MATCH(SUBSTITUTE(SUBSTITUTE(SUBSTITUTE(H401,"~","~~"),"*","~*"),"?","~?"),Guide!$A$7:$A$9,0))),INDEX(Guide!$B$7:$B$9,MATCH(SUBSTITUTE(SUBSTITUTE(SUBSTITUTE(H401,"~","~~"),"*","~*"),"?","~?"),Guide!$A$7:$A$9,0)),""),"")</f>
        <v>Home</v>
      </c>
      <c r="J401" s="1" t="str">
        <f>IF(TRIM(Raw!E401)="",I401,IF(UPPER(TRIM(Raw!E401))=UPPER(I401),I401,""))</f>
        <v>Home</v>
      </c>
      <c r="K401" s="1" t="str">
        <f>IF(Raw!F401="","",Raw!F401)</f>
        <v>sale</v>
      </c>
      <c r="L401" s="1" t="str">
        <f>IF(LEFT(TRIM(Raw!G401),2)="-$","-"&amp;MID(TRIM(Raw!G401),3,99),IF(LEFT(TRIM(Raw!G401),1)="$",MID(TRIM(Raw!G401),2,99),TRIM(Raw!G401)))</f>
        <v>123.08</v>
      </c>
      <c r="M401" s="1">
        <f t="shared" si="51"/>
        <v>123.08</v>
      </c>
      <c r="N401" s="10">
        <f t="shared" si="52"/>
        <v>12308</v>
      </c>
      <c r="O401" s="1" t="b">
        <f>IFERROR(IF(ISNUMBER(Raw!G401),TRUE,OR(EXACT(L401,TEXT(M401,"0.00")),EXACT(L401,TEXT(M401,"#,##0.00")))),FALSE)</f>
        <v>1</v>
      </c>
      <c r="P401" s="1" t="str">
        <f>LEN(IF(Raw!A401="","",Raw!A401))&amp;":"&amp;IF(Raw!A401="","",Raw!A401)&amp;"|"&amp;LEN(IF(Raw!B401="","",Raw!B401))&amp;":"&amp;IF(Raw!B401="","",Raw!B401)&amp;"|"&amp;LEN(IF(Raw!C401="","",Raw!C401))&amp;":"&amp;IF(Raw!C401="","",Raw!C401)&amp;"|"&amp;LEN(IF(Raw!D401="","",Raw!D401))&amp;":"&amp;IF(Raw!D401="","",Raw!D401)&amp;"|"&amp;LEN(IF(Raw!E401="","",Raw!E401))&amp;":"&amp;IF(Raw!E401="","",Raw!E401)&amp;"|"&amp;LEN(IF(Raw!F401="","",Raw!F401))&amp;":"&amp;IF(Raw!F401="","",Raw!F401)&amp;"|"&amp;LEN(IF(Raw!G401="","",Raw!G401))&amp;":"&amp;IF(Raw!G401="","",Raw!G401)</f>
        <v>6:L00395|6:T00198|10:2026-01-30|3:P-H|4:Home|4:sale|6:123.08</v>
      </c>
      <c r="Q401" s="1">
        <f>1</f>
        <v>1</v>
      </c>
      <c r="R401" s="1" t="b">
        <f>FALSE</f>
        <v>0</v>
      </c>
      <c r="S401" s="1">
        <f>1</f>
        <v>1</v>
      </c>
      <c r="T401" s="1" t="str">
        <f>IF(AND(Raw!A401="",Raw!B401="",Raw!C401="",Raw!D401="",Raw!E401="",Raw!F401="",Raw!G401=""),"UNUSED",IF(A401="","missing line ID",IF(B401="","missing transaction ID",IF(G401="",IF(C401="","missing date","invalid date"),IF(I401="","unknown product",IF(J401="","conflicting category",IF(NOT(OR(EXACT(K401,"sale"),EXACT(K401,"refund"))),"unknown event",IF(OR(N401="",NOT(O401)),"invalid amount",IF(OR(AND(K401="sale",N401&lt;=0),AND(K401="refund",N401&gt;=0)),"invalid sign","")))))))))</f>
        <v/>
      </c>
      <c r="U401" s="1" t="str">
        <f t="shared" si="53"/>
        <v>INCLUDED</v>
      </c>
      <c r="V401" s="1" t="str">
        <f t="shared" si="54"/>
        <v>2026-01</v>
      </c>
      <c r="W401" s="1">
        <f>IF(AND(U401="INCLUDED",X401&gt;0,EXACT(A401,'AI output'!A401)),1,0)</f>
        <v>1</v>
      </c>
      <c r="X401" s="1">
        <f>401</f>
        <v>401</v>
      </c>
      <c r="Y401" s="1">
        <f>IF(AND(U401="INCLUDED",W401=1),--(NOT(EXACT(A401,'AI output'!A401)))+--(NOT(EXACT(B401,'AI output'!B401)))+--(NOT(EXACT(TEXT(G401,"yyyy-mm-dd"),'AI output'!C401)))+--(NOT(EXACT(H401,'AI output'!D401)))+--(NOT(EXACT(J401,'AI output'!E401)))+--(NOT(EXACT(K401,'AI output'!F401)))+--(N401&lt;&gt;'AI output'!L401)+--(NOT('AI output'!M401)),0)</f>
        <v>0</v>
      </c>
      <c r="Z401" s="1">
        <f t="shared" si="55"/>
        <v>0</v>
      </c>
      <c r="AA401" s="1">
        <f>--EXACT(A401,"L00395")</f>
        <v>1</v>
      </c>
    </row>
    <row r="402" spans="1:27" ht="18.95" customHeight="1">
      <c r="A402" s="1" t="str">
        <f>IF(Raw!A402="","",Raw!A402)</f>
        <v>L00396</v>
      </c>
      <c r="B402" s="1" t="str">
        <f>IF(Raw!B402="","",Raw!B402)</f>
        <v>T00198</v>
      </c>
      <c r="C402" s="1" t="str">
        <f>IF(Raw!C402="","",Raw!C402)</f>
        <v>2026-01-30</v>
      </c>
      <c r="D402" s="1">
        <f t="shared" si="48"/>
        <v>2026</v>
      </c>
      <c r="E402" s="1">
        <f>IFERROR(IF(AND(LEN(C402)=10,MID(C402,5,1)="-",MID(C402,8,1)="-"),VALUE(MID(C402,6,2)),IF(AND(LEN(C402)=11,MID(C402,3,1)="-",MID(C402,7,1)="-"),MATCH(UPPER(MID(C402,4,3)),Guide!$D$7:$D$18,0),0)),0)</f>
        <v>1</v>
      </c>
      <c r="F402" s="1">
        <f t="shared" si="49"/>
        <v>30</v>
      </c>
      <c r="G402" s="9">
        <f t="shared" si="50"/>
        <v>46052</v>
      </c>
      <c r="H402" s="1" t="str">
        <f>IF(Raw!D402="","",Raw!D402)</f>
        <v>P-O</v>
      </c>
      <c r="I402" s="1" t="str">
        <f>IFERROR(IF(EXACT(H402,INDEX(Guide!$A$7:$A$9,MATCH(SUBSTITUTE(SUBSTITUTE(SUBSTITUTE(H402,"~","~~"),"*","~*"),"?","~?"),Guide!$A$7:$A$9,0))),INDEX(Guide!$B$7:$B$9,MATCH(SUBSTITUTE(SUBSTITUTE(SUBSTITUTE(H402,"~","~~"),"*","~*"),"?","~?"),Guide!$A$7:$A$9,0)),""),"")</f>
        <v>Office</v>
      </c>
      <c r="J402" s="1" t="str">
        <f>IF(TRIM(Raw!E402)="",I402,IF(UPPER(TRIM(Raw!E402))=UPPER(I402),I402,""))</f>
        <v>Office</v>
      </c>
      <c r="K402" s="1" t="str">
        <f>IF(Raw!F402="","",Raw!F402)</f>
        <v>sale</v>
      </c>
      <c r="L402" s="1" t="str">
        <f>IF(LEFT(TRIM(Raw!G402),2)="-$","-"&amp;MID(TRIM(Raw!G402),3,99),IF(LEFT(TRIM(Raw!G402),1)="$",MID(TRIM(Raw!G402),2,99),TRIM(Raw!G402)))</f>
        <v>31.14</v>
      </c>
      <c r="M402" s="1">
        <f t="shared" si="51"/>
        <v>31.14</v>
      </c>
      <c r="N402" s="10">
        <f t="shared" si="52"/>
        <v>3114</v>
      </c>
      <c r="O402" s="1" t="b">
        <f>IFERROR(IF(ISNUMBER(Raw!G402),TRUE,OR(EXACT(L402,TEXT(M402,"0.00")),EXACT(L402,TEXT(M402,"#,##0.00")))),FALSE)</f>
        <v>1</v>
      </c>
      <c r="P402" s="1" t="str">
        <f>LEN(IF(Raw!A402="","",Raw!A402))&amp;":"&amp;IF(Raw!A402="","",Raw!A402)&amp;"|"&amp;LEN(IF(Raw!B402="","",Raw!B402))&amp;":"&amp;IF(Raw!B402="","",Raw!B402)&amp;"|"&amp;LEN(IF(Raw!C402="","",Raw!C402))&amp;":"&amp;IF(Raw!C402="","",Raw!C402)&amp;"|"&amp;LEN(IF(Raw!D402="","",Raw!D402))&amp;":"&amp;IF(Raw!D402="","",Raw!D402)&amp;"|"&amp;LEN(IF(Raw!E402="","",Raw!E402))&amp;":"&amp;IF(Raw!E402="","",Raw!E402)&amp;"|"&amp;LEN(IF(Raw!F402="","",Raw!F402))&amp;":"&amp;IF(Raw!F402="","",Raw!F402)&amp;"|"&amp;LEN(IF(Raw!G402="","",Raw!G402))&amp;":"&amp;IF(Raw!G402="","",Raw!G402)</f>
        <v>6:L00396|6:T00198|10:2026-01-30|3:P-O|6:Office|4:sale|5:31.14</v>
      </c>
      <c r="Q402" s="1">
        <f>1</f>
        <v>1</v>
      </c>
      <c r="R402" s="1" t="b">
        <f>FALSE</f>
        <v>0</v>
      </c>
      <c r="S402" s="1">
        <f>1</f>
        <v>1</v>
      </c>
      <c r="T402" s="1" t="str">
        <f>IF(AND(Raw!A402="",Raw!B402="",Raw!C402="",Raw!D402="",Raw!E402="",Raw!F402="",Raw!G402=""),"UNUSED",IF(A402="","missing line ID",IF(B402="","missing transaction ID",IF(G402="",IF(C402="","missing date","invalid date"),IF(I402="","unknown product",IF(J402="","conflicting category",IF(NOT(OR(EXACT(K402,"sale"),EXACT(K402,"refund"))),"unknown event",IF(OR(N402="",NOT(O402)),"invalid amount",IF(OR(AND(K402="sale",N402&lt;=0),AND(K402="refund",N402&gt;=0)),"invalid sign","")))))))))</f>
        <v/>
      </c>
      <c r="U402" s="1" t="str">
        <f t="shared" si="53"/>
        <v>INCLUDED</v>
      </c>
      <c r="V402" s="1" t="str">
        <f t="shared" si="54"/>
        <v>2026-01</v>
      </c>
      <c r="W402" s="1">
        <f>IF(AND(U402="INCLUDED",X402&gt;0,EXACT(A402,'AI output'!A402)),1,0)</f>
        <v>1</v>
      </c>
      <c r="X402" s="1">
        <f>402</f>
        <v>402</v>
      </c>
      <c r="Y402" s="1">
        <f>IF(AND(U402="INCLUDED",W402=1),--(NOT(EXACT(A402,'AI output'!A402)))+--(NOT(EXACT(B402,'AI output'!B402)))+--(NOT(EXACT(TEXT(G402,"yyyy-mm-dd"),'AI output'!C402)))+--(NOT(EXACT(H402,'AI output'!D402)))+--(NOT(EXACT(J402,'AI output'!E402)))+--(NOT(EXACT(K402,'AI output'!F402)))+--(N402&lt;&gt;'AI output'!L402)+--(NOT('AI output'!M402)),0)</f>
        <v>0</v>
      </c>
      <c r="Z402" s="1">
        <f t="shared" si="55"/>
        <v>0</v>
      </c>
      <c r="AA402" s="1">
        <f>--EXACT(A402,"L00396")</f>
        <v>1</v>
      </c>
    </row>
    <row r="403" spans="1:27" ht="18.95" customHeight="1">
      <c r="A403" s="1" t="str">
        <f>IF(Raw!A403="","",Raw!A403)</f>
        <v>L00397</v>
      </c>
      <c r="B403" s="1" t="str">
        <f>IF(Raw!B403="","",Raw!B403)</f>
        <v>T00199</v>
      </c>
      <c r="C403" s="1" t="str">
        <f>IF(Raw!C403="","",Raw!C403)</f>
        <v>2026-02-06</v>
      </c>
      <c r="D403" s="1">
        <f t="shared" si="48"/>
        <v>2026</v>
      </c>
      <c r="E403" s="1">
        <f>IFERROR(IF(AND(LEN(C403)=10,MID(C403,5,1)="-",MID(C403,8,1)="-"),VALUE(MID(C403,6,2)),IF(AND(LEN(C403)=11,MID(C403,3,1)="-",MID(C403,7,1)="-"),MATCH(UPPER(MID(C403,4,3)),Guide!$D$7:$D$18,0),0)),0)</f>
        <v>2</v>
      </c>
      <c r="F403" s="1">
        <f t="shared" si="49"/>
        <v>6</v>
      </c>
      <c r="G403" s="9">
        <f t="shared" si="50"/>
        <v>46059</v>
      </c>
      <c r="H403" s="1" t="str">
        <f>IF(Raw!D403="","",Raw!D403)</f>
        <v>P-A</v>
      </c>
      <c r="I403" s="1" t="str">
        <f>IFERROR(IF(EXACT(H403,INDEX(Guide!$A$7:$A$9,MATCH(SUBSTITUTE(SUBSTITUTE(SUBSTITUTE(H403,"~","~~"),"*","~*"),"?","~?"),Guide!$A$7:$A$9,0))),INDEX(Guide!$B$7:$B$9,MATCH(SUBSTITUTE(SUBSTITUTE(SUBSTITUTE(H403,"~","~~"),"*","~*"),"?","~?"),Guide!$A$7:$A$9,0)),""),"")</f>
        <v>Accessories</v>
      </c>
      <c r="J403" s="1" t="str">
        <f>IF(TRIM(Raw!E403)="",I403,IF(UPPER(TRIM(Raw!E403))=UPPER(I403),I403,""))</f>
        <v>Accessories</v>
      </c>
      <c r="K403" s="1" t="str">
        <f>IF(Raw!F403="","",Raw!F403)</f>
        <v>sale</v>
      </c>
      <c r="L403" s="1" t="str">
        <f>IF(LEFT(TRIM(Raw!G403),2)="-$","-"&amp;MID(TRIM(Raw!G403),3,99),IF(LEFT(TRIM(Raw!G403),1)="$",MID(TRIM(Raw!G403),2,99),TRIM(Raw!G403)))</f>
        <v>94.53</v>
      </c>
      <c r="M403" s="1">
        <f t="shared" si="51"/>
        <v>94.53</v>
      </c>
      <c r="N403" s="10">
        <f t="shared" si="52"/>
        <v>9453</v>
      </c>
      <c r="O403" s="1" t="b">
        <f>IFERROR(IF(ISNUMBER(Raw!G403),TRUE,OR(EXACT(L403,TEXT(M403,"0.00")),EXACT(L403,TEXT(M403,"#,##0.00")))),FALSE)</f>
        <v>1</v>
      </c>
      <c r="P403" s="1" t="str">
        <f>LEN(IF(Raw!A403="","",Raw!A403))&amp;":"&amp;IF(Raw!A403="","",Raw!A403)&amp;"|"&amp;LEN(IF(Raw!B403="","",Raw!B403))&amp;":"&amp;IF(Raw!B403="","",Raw!B403)&amp;"|"&amp;LEN(IF(Raw!C403="","",Raw!C403))&amp;":"&amp;IF(Raw!C403="","",Raw!C403)&amp;"|"&amp;LEN(IF(Raw!D403="","",Raw!D403))&amp;":"&amp;IF(Raw!D403="","",Raw!D403)&amp;"|"&amp;LEN(IF(Raw!E403="","",Raw!E403))&amp;":"&amp;IF(Raw!E403="","",Raw!E403)&amp;"|"&amp;LEN(IF(Raw!F403="","",Raw!F403))&amp;":"&amp;IF(Raw!F403="","",Raw!F403)&amp;"|"&amp;LEN(IF(Raw!G403="","",Raw!G403))&amp;":"&amp;IF(Raw!G403="","",Raw!G403)</f>
        <v>6:L00397|6:T00199|10:2026-02-06|3:P-A|11:Accessories|4:sale|5:94.53</v>
      </c>
      <c r="Q403" s="1">
        <f>1</f>
        <v>1</v>
      </c>
      <c r="R403" s="1" t="b">
        <f>FALSE</f>
        <v>0</v>
      </c>
      <c r="S403" s="1">
        <f>1</f>
        <v>1</v>
      </c>
      <c r="T403" s="1" t="str">
        <f>IF(AND(Raw!A403="",Raw!B403="",Raw!C403="",Raw!D403="",Raw!E403="",Raw!F403="",Raw!G403=""),"UNUSED",IF(A403="","missing line ID",IF(B403="","missing transaction ID",IF(G403="",IF(C403="","missing date","invalid date"),IF(I403="","unknown product",IF(J403="","conflicting category",IF(NOT(OR(EXACT(K403,"sale"),EXACT(K403,"refund"))),"unknown event",IF(OR(N403="",NOT(O403)),"invalid amount",IF(OR(AND(K403="sale",N403&lt;=0),AND(K403="refund",N403&gt;=0)),"invalid sign","")))))))))</f>
        <v/>
      </c>
      <c r="U403" s="1" t="str">
        <f t="shared" si="53"/>
        <v>INCLUDED</v>
      </c>
      <c r="V403" s="1" t="str">
        <f t="shared" si="54"/>
        <v>2026-02</v>
      </c>
      <c r="W403" s="1">
        <f>IF(AND(U403="INCLUDED",X403&gt;0,EXACT(A403,'AI output'!A403)),1,0)</f>
        <v>1</v>
      </c>
      <c r="X403" s="1">
        <f>403</f>
        <v>403</v>
      </c>
      <c r="Y403" s="1">
        <f>IF(AND(U403="INCLUDED",W403=1),--(NOT(EXACT(A403,'AI output'!A403)))+--(NOT(EXACT(B403,'AI output'!B403)))+--(NOT(EXACT(TEXT(G403,"yyyy-mm-dd"),'AI output'!C403)))+--(NOT(EXACT(H403,'AI output'!D403)))+--(NOT(EXACT(J403,'AI output'!E403)))+--(NOT(EXACT(K403,'AI output'!F403)))+--(N403&lt;&gt;'AI output'!L403)+--(NOT('AI output'!M403)),0)</f>
        <v>0</v>
      </c>
      <c r="Z403" s="1">
        <f t="shared" si="55"/>
        <v>0</v>
      </c>
      <c r="AA403" s="1">
        <f>--EXACT(A403,"L00397")</f>
        <v>1</v>
      </c>
    </row>
    <row r="404" spans="1:27" ht="18.95" customHeight="1">
      <c r="A404" s="1" t="str">
        <f>IF(Raw!A404="","",Raw!A404)</f>
        <v>L00398</v>
      </c>
      <c r="B404" s="1" t="str">
        <f>IF(Raw!B404="","",Raw!B404)</f>
        <v>T00199</v>
      </c>
      <c r="C404" s="1" t="str">
        <f>IF(Raw!C404="","",Raw!C404)</f>
        <v>2026-02-06</v>
      </c>
      <c r="D404" s="1">
        <f t="shared" si="48"/>
        <v>2026</v>
      </c>
      <c r="E404" s="1">
        <f>IFERROR(IF(AND(LEN(C404)=10,MID(C404,5,1)="-",MID(C404,8,1)="-"),VALUE(MID(C404,6,2)),IF(AND(LEN(C404)=11,MID(C404,3,1)="-",MID(C404,7,1)="-"),MATCH(UPPER(MID(C404,4,3)),Guide!$D$7:$D$18,0),0)),0)</f>
        <v>2</v>
      </c>
      <c r="F404" s="1">
        <f t="shared" si="49"/>
        <v>6</v>
      </c>
      <c r="G404" s="9">
        <f t="shared" si="50"/>
        <v>46059</v>
      </c>
      <c r="H404" s="1" t="str">
        <f>IF(Raw!D404="","",Raw!D404)</f>
        <v>P-H</v>
      </c>
      <c r="I404" s="1" t="str">
        <f>IFERROR(IF(EXACT(H404,INDEX(Guide!$A$7:$A$9,MATCH(SUBSTITUTE(SUBSTITUTE(SUBSTITUTE(H404,"~","~~"),"*","~*"),"?","~?"),Guide!$A$7:$A$9,0))),INDEX(Guide!$B$7:$B$9,MATCH(SUBSTITUTE(SUBSTITUTE(SUBSTITUTE(H404,"~","~~"),"*","~*"),"?","~?"),Guide!$A$7:$A$9,0)),""),"")</f>
        <v>Home</v>
      </c>
      <c r="J404" s="1" t="str">
        <f>IF(TRIM(Raw!E404)="",I404,IF(UPPER(TRIM(Raw!E404))=UPPER(I404),I404,""))</f>
        <v>Home</v>
      </c>
      <c r="K404" s="1" t="str">
        <f>IF(Raw!F404="","",Raw!F404)</f>
        <v>sale</v>
      </c>
      <c r="L404" s="1" t="str">
        <f>IF(LEFT(TRIM(Raw!G404),2)="-$","-"&amp;MID(TRIM(Raw!G404),3,99),IF(LEFT(TRIM(Raw!G404),1)="$",MID(TRIM(Raw!G404),2,99),TRIM(Raw!G404)))</f>
        <v>159.40</v>
      </c>
      <c r="M404" s="1">
        <f t="shared" si="51"/>
        <v>159.4</v>
      </c>
      <c r="N404" s="10">
        <f t="shared" si="52"/>
        <v>15940</v>
      </c>
      <c r="O404" s="1" t="b">
        <f>IFERROR(IF(ISNUMBER(Raw!G404),TRUE,OR(EXACT(L404,TEXT(M404,"0.00")),EXACT(L404,TEXT(M404,"#,##0.00")))),FALSE)</f>
        <v>1</v>
      </c>
      <c r="P404" s="1" t="str">
        <f>LEN(IF(Raw!A404="","",Raw!A404))&amp;":"&amp;IF(Raw!A404="","",Raw!A404)&amp;"|"&amp;LEN(IF(Raw!B404="","",Raw!B404))&amp;":"&amp;IF(Raw!B404="","",Raw!B404)&amp;"|"&amp;LEN(IF(Raw!C404="","",Raw!C404))&amp;":"&amp;IF(Raw!C404="","",Raw!C404)&amp;"|"&amp;LEN(IF(Raw!D404="","",Raw!D404))&amp;":"&amp;IF(Raw!D404="","",Raw!D404)&amp;"|"&amp;LEN(IF(Raw!E404="","",Raw!E404))&amp;":"&amp;IF(Raw!E404="","",Raw!E404)&amp;"|"&amp;LEN(IF(Raw!F404="","",Raw!F404))&amp;":"&amp;IF(Raw!F404="","",Raw!F404)&amp;"|"&amp;LEN(IF(Raw!G404="","",Raw!G404))&amp;":"&amp;IF(Raw!G404="","",Raw!G404)</f>
        <v>6:L00398|6:T00199|10:2026-02-06|3:P-H|4:Home|4:sale|6:159.40</v>
      </c>
      <c r="Q404" s="1">
        <f>1</f>
        <v>1</v>
      </c>
      <c r="R404" s="1" t="b">
        <f>FALSE</f>
        <v>0</v>
      </c>
      <c r="S404" s="1">
        <f>1</f>
        <v>1</v>
      </c>
      <c r="T404" s="1" t="str">
        <f>IF(AND(Raw!A404="",Raw!B404="",Raw!C404="",Raw!D404="",Raw!E404="",Raw!F404="",Raw!G404=""),"UNUSED",IF(A404="","missing line ID",IF(B404="","missing transaction ID",IF(G404="",IF(C404="","missing date","invalid date"),IF(I404="","unknown product",IF(J404="","conflicting category",IF(NOT(OR(EXACT(K404,"sale"),EXACT(K404,"refund"))),"unknown event",IF(OR(N404="",NOT(O404)),"invalid amount",IF(OR(AND(K404="sale",N404&lt;=0),AND(K404="refund",N404&gt;=0)),"invalid sign","")))))))))</f>
        <v/>
      </c>
      <c r="U404" s="1" t="str">
        <f t="shared" si="53"/>
        <v>INCLUDED</v>
      </c>
      <c r="V404" s="1" t="str">
        <f t="shared" si="54"/>
        <v>2026-02</v>
      </c>
      <c r="W404" s="1">
        <f>IF(AND(U404="INCLUDED",X404&gt;0,EXACT(A404,'AI output'!A404)),1,0)</f>
        <v>1</v>
      </c>
      <c r="X404" s="1">
        <f>404</f>
        <v>404</v>
      </c>
      <c r="Y404" s="1">
        <f>IF(AND(U404="INCLUDED",W404=1),--(NOT(EXACT(A404,'AI output'!A404)))+--(NOT(EXACT(B404,'AI output'!B404)))+--(NOT(EXACT(TEXT(G404,"yyyy-mm-dd"),'AI output'!C404)))+--(NOT(EXACT(H404,'AI output'!D404)))+--(NOT(EXACT(J404,'AI output'!E404)))+--(NOT(EXACT(K404,'AI output'!F404)))+--(N404&lt;&gt;'AI output'!L404)+--(NOT('AI output'!M404)),0)</f>
        <v>0</v>
      </c>
      <c r="Z404" s="1">
        <f t="shared" si="55"/>
        <v>0</v>
      </c>
      <c r="AA404" s="1">
        <f>--EXACT(A404,"L00398")</f>
        <v>1</v>
      </c>
    </row>
    <row r="405" spans="1:27" ht="18.95" customHeight="1">
      <c r="A405" s="1" t="str">
        <f>IF(Raw!A405="","",Raw!A405)</f>
        <v>L00399</v>
      </c>
      <c r="B405" s="1" t="str">
        <f>IF(Raw!B405="","",Raw!B405)</f>
        <v>T00200</v>
      </c>
      <c r="C405" s="1" t="str">
        <f>IF(Raw!C405="","",Raw!C405)</f>
        <v>2026-02-13</v>
      </c>
      <c r="D405" s="1">
        <f t="shared" si="48"/>
        <v>2026</v>
      </c>
      <c r="E405" s="1">
        <f>IFERROR(IF(AND(LEN(C405)=10,MID(C405,5,1)="-",MID(C405,8,1)="-"),VALUE(MID(C405,6,2)),IF(AND(LEN(C405)=11,MID(C405,3,1)="-",MID(C405,7,1)="-"),MATCH(UPPER(MID(C405,4,3)),Guide!$D$7:$D$18,0),0)),0)</f>
        <v>2</v>
      </c>
      <c r="F405" s="1">
        <f t="shared" si="49"/>
        <v>13</v>
      </c>
      <c r="G405" s="9">
        <f t="shared" si="50"/>
        <v>46066</v>
      </c>
      <c r="H405" s="1" t="str">
        <f>IF(Raw!D405="","",Raw!D405)</f>
        <v>P-O</v>
      </c>
      <c r="I405" s="1" t="str">
        <f>IFERROR(IF(EXACT(H405,INDEX(Guide!$A$7:$A$9,MATCH(SUBSTITUTE(SUBSTITUTE(SUBSTITUTE(H405,"~","~~"),"*","~*"),"?","~?"),Guide!$A$7:$A$9,0))),INDEX(Guide!$B$7:$B$9,MATCH(SUBSTITUTE(SUBSTITUTE(SUBSTITUTE(H405,"~","~~"),"*","~*"),"?","~?"),Guide!$A$7:$A$9,0)),""),"")</f>
        <v>Office</v>
      </c>
      <c r="J405" s="1" t="str">
        <f>IF(TRIM(Raw!E405)="",I405,IF(UPPER(TRIM(Raw!E405))=UPPER(I405),I405,""))</f>
        <v>Office</v>
      </c>
      <c r="K405" s="1" t="str">
        <f>IF(Raw!F405="","",Raw!F405)</f>
        <v>sale</v>
      </c>
      <c r="L405" s="1" t="str">
        <f>IF(LEFT(TRIM(Raw!G405),2)="-$","-"&amp;MID(TRIM(Raw!G405),3,99),IF(LEFT(TRIM(Raw!G405),1)="$",MID(TRIM(Raw!G405),2,99),TRIM(Raw!G405)))</f>
        <v>64.50</v>
      </c>
      <c r="M405" s="1">
        <f t="shared" si="51"/>
        <v>64.5</v>
      </c>
      <c r="N405" s="10">
        <f t="shared" si="52"/>
        <v>6450</v>
      </c>
      <c r="O405" s="1" t="b">
        <f>IFERROR(IF(ISNUMBER(Raw!G405),TRUE,OR(EXACT(L405,TEXT(M405,"0.00")),EXACT(L405,TEXT(M405,"#,##0.00")))),FALSE)</f>
        <v>1</v>
      </c>
      <c r="P405" s="1" t="str">
        <f>LEN(IF(Raw!A405="","",Raw!A405))&amp;":"&amp;IF(Raw!A405="","",Raw!A405)&amp;"|"&amp;LEN(IF(Raw!B405="","",Raw!B405))&amp;":"&amp;IF(Raw!B405="","",Raw!B405)&amp;"|"&amp;LEN(IF(Raw!C405="","",Raw!C405))&amp;":"&amp;IF(Raw!C405="","",Raw!C405)&amp;"|"&amp;LEN(IF(Raw!D405="","",Raw!D405))&amp;":"&amp;IF(Raw!D405="","",Raw!D405)&amp;"|"&amp;LEN(IF(Raw!E405="","",Raw!E405))&amp;":"&amp;IF(Raw!E405="","",Raw!E405)&amp;"|"&amp;LEN(IF(Raw!F405="","",Raw!F405))&amp;":"&amp;IF(Raw!F405="","",Raw!F405)&amp;"|"&amp;LEN(IF(Raw!G405="","",Raw!G405))&amp;":"&amp;IF(Raw!G405="","",Raw!G405)</f>
        <v>6:L00399|6:T00200|10:2026-02-13|3:P-O|6:Office|4:sale|5:64.50</v>
      </c>
      <c r="Q405" s="1">
        <f>1</f>
        <v>1</v>
      </c>
      <c r="R405" s="1" t="b">
        <f>FALSE</f>
        <v>0</v>
      </c>
      <c r="S405" s="1">
        <f>1</f>
        <v>1</v>
      </c>
      <c r="T405" s="1" t="str">
        <f>IF(AND(Raw!A405="",Raw!B405="",Raw!C405="",Raw!D405="",Raw!E405="",Raw!F405="",Raw!G405=""),"UNUSED",IF(A405="","missing line ID",IF(B405="","missing transaction ID",IF(G405="",IF(C405="","missing date","invalid date"),IF(I405="","unknown product",IF(J405="","conflicting category",IF(NOT(OR(EXACT(K405,"sale"),EXACT(K405,"refund"))),"unknown event",IF(OR(N405="",NOT(O405)),"invalid amount",IF(OR(AND(K405="sale",N405&lt;=0),AND(K405="refund",N405&gt;=0)),"invalid sign","")))))))))</f>
        <v/>
      </c>
      <c r="U405" s="1" t="str">
        <f t="shared" si="53"/>
        <v>INCLUDED</v>
      </c>
      <c r="V405" s="1" t="str">
        <f t="shared" si="54"/>
        <v>2026-02</v>
      </c>
      <c r="W405" s="1">
        <f>IF(AND(U405="INCLUDED",X405&gt;0,EXACT(A405,'AI output'!A405)),1,0)</f>
        <v>1</v>
      </c>
      <c r="X405" s="1">
        <f>405</f>
        <v>405</v>
      </c>
      <c r="Y405" s="1">
        <f>IF(AND(U405="INCLUDED",W405=1),--(NOT(EXACT(A405,'AI output'!A405)))+--(NOT(EXACT(B405,'AI output'!B405)))+--(NOT(EXACT(TEXT(G405,"yyyy-mm-dd"),'AI output'!C405)))+--(NOT(EXACT(H405,'AI output'!D405)))+--(NOT(EXACT(J405,'AI output'!E405)))+--(NOT(EXACT(K405,'AI output'!F405)))+--(N405&lt;&gt;'AI output'!L405)+--(NOT('AI output'!M405)),0)</f>
        <v>0</v>
      </c>
      <c r="Z405" s="1">
        <f t="shared" si="55"/>
        <v>0</v>
      </c>
      <c r="AA405" s="1">
        <f>--EXACT(A405,"L00399")</f>
        <v>1</v>
      </c>
    </row>
    <row r="406" spans="1:27" ht="18.95" customHeight="1">
      <c r="A406" s="1" t="str">
        <f>IF(Raw!A406="","",Raw!A406)</f>
        <v>L00400</v>
      </c>
      <c r="B406" s="1" t="str">
        <f>IF(Raw!B406="","",Raw!B406)</f>
        <v>T00200</v>
      </c>
      <c r="C406" s="1" t="str">
        <f>IF(Raw!C406="","",Raw!C406)</f>
        <v>2026-02-13</v>
      </c>
      <c r="D406" s="1">
        <f t="shared" si="48"/>
        <v>2026</v>
      </c>
      <c r="E406" s="1">
        <f>IFERROR(IF(AND(LEN(C406)=10,MID(C406,5,1)="-",MID(C406,8,1)="-"),VALUE(MID(C406,6,2)),IF(AND(LEN(C406)=11,MID(C406,3,1)="-",MID(C406,7,1)="-"),MATCH(UPPER(MID(C406,4,3)),Guide!$D$7:$D$18,0),0)),0)</f>
        <v>2</v>
      </c>
      <c r="F406" s="1">
        <f t="shared" si="49"/>
        <v>13</v>
      </c>
      <c r="G406" s="9">
        <f t="shared" si="50"/>
        <v>46066</v>
      </c>
      <c r="H406" s="1" t="str">
        <f>IF(Raw!D406="","",Raw!D406)</f>
        <v>P-A</v>
      </c>
      <c r="I406" s="1" t="str">
        <f>IFERROR(IF(EXACT(H406,INDEX(Guide!$A$7:$A$9,MATCH(SUBSTITUTE(SUBSTITUTE(SUBSTITUTE(H406,"~","~~"),"*","~*"),"?","~?"),Guide!$A$7:$A$9,0))),INDEX(Guide!$B$7:$B$9,MATCH(SUBSTITUTE(SUBSTITUTE(SUBSTITUTE(H406,"~","~~"),"*","~*"),"?","~?"),Guide!$A$7:$A$9,0)),""),"")</f>
        <v>Accessories</v>
      </c>
      <c r="J406" s="1" t="str">
        <f>IF(TRIM(Raw!E406)="",I406,IF(UPPER(TRIM(Raw!E406))=UPPER(I406),I406,""))</f>
        <v>Accessories</v>
      </c>
      <c r="K406" s="1" t="str">
        <f>IF(Raw!F406="","",Raw!F406)</f>
        <v>sale</v>
      </c>
      <c r="L406" s="1" t="str">
        <f>IF(LEFT(TRIM(Raw!G406),2)="-$","-"&amp;MID(TRIM(Raw!G406),3,99),IF(LEFT(TRIM(Raw!G406),1)="$",MID(TRIM(Raw!G406),2,99),TRIM(Raw!G406)))</f>
        <v>130.48</v>
      </c>
      <c r="M406" s="1">
        <f t="shared" si="51"/>
        <v>130.47999999999999</v>
      </c>
      <c r="N406" s="10">
        <f t="shared" si="52"/>
        <v>13048</v>
      </c>
      <c r="O406" s="1" t="b">
        <f>IFERROR(IF(ISNUMBER(Raw!G406),TRUE,OR(EXACT(L406,TEXT(M406,"0.00")),EXACT(L406,TEXT(M406,"#,##0.00")))),FALSE)</f>
        <v>1</v>
      </c>
      <c r="P406" s="1" t="str">
        <f>LEN(IF(Raw!A406="","",Raw!A406))&amp;":"&amp;IF(Raw!A406="","",Raw!A406)&amp;"|"&amp;LEN(IF(Raw!B406="","",Raw!B406))&amp;":"&amp;IF(Raw!B406="","",Raw!B406)&amp;"|"&amp;LEN(IF(Raw!C406="","",Raw!C406))&amp;":"&amp;IF(Raw!C406="","",Raw!C406)&amp;"|"&amp;LEN(IF(Raw!D406="","",Raw!D406))&amp;":"&amp;IF(Raw!D406="","",Raw!D406)&amp;"|"&amp;LEN(IF(Raw!E406="","",Raw!E406))&amp;":"&amp;IF(Raw!E406="","",Raw!E406)&amp;"|"&amp;LEN(IF(Raw!F406="","",Raw!F406))&amp;":"&amp;IF(Raw!F406="","",Raw!F406)&amp;"|"&amp;LEN(IF(Raw!G406="","",Raw!G406))&amp;":"&amp;IF(Raw!G406="","",Raw!G406)</f>
        <v>6:L00400|6:T00200|10:2026-02-13|3:P-A|11:Accessories|4:sale|6:130.48</v>
      </c>
      <c r="Q406" s="1">
        <f>1</f>
        <v>1</v>
      </c>
      <c r="R406" s="1" t="b">
        <f>FALSE</f>
        <v>0</v>
      </c>
      <c r="S406" s="1">
        <f>1</f>
        <v>1</v>
      </c>
      <c r="T406" s="1" t="str">
        <f>IF(AND(Raw!A406="",Raw!B406="",Raw!C406="",Raw!D406="",Raw!E406="",Raw!F406="",Raw!G406=""),"UNUSED",IF(A406="","missing line ID",IF(B406="","missing transaction ID",IF(G406="",IF(C406="","missing date","invalid date"),IF(I406="","unknown product",IF(J406="","conflicting category",IF(NOT(OR(EXACT(K406,"sale"),EXACT(K406,"refund"))),"unknown event",IF(OR(N406="",NOT(O406)),"invalid amount",IF(OR(AND(K406="sale",N406&lt;=0),AND(K406="refund",N406&gt;=0)),"invalid sign","")))))))))</f>
        <v/>
      </c>
      <c r="U406" s="1" t="str">
        <f t="shared" si="53"/>
        <v>INCLUDED</v>
      </c>
      <c r="V406" s="1" t="str">
        <f t="shared" si="54"/>
        <v>2026-02</v>
      </c>
      <c r="W406" s="1">
        <f>IF(AND(U406="INCLUDED",X406&gt;0,EXACT(A406,'AI output'!A406)),1,0)</f>
        <v>1</v>
      </c>
      <c r="X406" s="1">
        <f>406</f>
        <v>406</v>
      </c>
      <c r="Y406" s="1">
        <f>IF(AND(U406="INCLUDED",W406=1),--(NOT(EXACT(A406,'AI output'!A406)))+--(NOT(EXACT(B406,'AI output'!B406)))+--(NOT(EXACT(TEXT(G406,"yyyy-mm-dd"),'AI output'!C406)))+--(NOT(EXACT(H406,'AI output'!D406)))+--(NOT(EXACT(J406,'AI output'!E406)))+--(NOT(EXACT(K406,'AI output'!F406)))+--(N406&lt;&gt;'AI output'!L406)+--(NOT('AI output'!M406)),0)</f>
        <v>0</v>
      </c>
      <c r="Z406" s="1">
        <f t="shared" si="55"/>
        <v>0</v>
      </c>
      <c r="AA406" s="1">
        <f>--EXACT(A406,"L00400")</f>
        <v>1</v>
      </c>
    </row>
    <row r="407" spans="1:27" ht="18.95" customHeight="1">
      <c r="A407" s="1" t="str">
        <f>IF(Raw!A407="","",Raw!A407)</f>
        <v>L00401</v>
      </c>
      <c r="B407" s="1" t="str">
        <f>IF(Raw!B407="","",Raw!B407)</f>
        <v>T00201</v>
      </c>
      <c r="C407" s="1" t="str">
        <f>IF(Raw!C407="","",Raw!C407)</f>
        <v>2026-02-20</v>
      </c>
      <c r="D407" s="1">
        <f t="shared" si="48"/>
        <v>2026</v>
      </c>
      <c r="E407" s="1">
        <f>IFERROR(IF(AND(LEN(C407)=10,MID(C407,5,1)="-",MID(C407,8,1)="-"),VALUE(MID(C407,6,2)),IF(AND(LEN(C407)=11,MID(C407,3,1)="-",MID(C407,7,1)="-"),MATCH(UPPER(MID(C407,4,3)),Guide!$D$7:$D$18,0),0)),0)</f>
        <v>2</v>
      </c>
      <c r="F407" s="1">
        <f t="shared" si="49"/>
        <v>20</v>
      </c>
      <c r="G407" s="9">
        <f t="shared" si="50"/>
        <v>46073</v>
      </c>
      <c r="H407" s="1" t="str">
        <f>IF(Raw!D407="","",Raw!D407)</f>
        <v>P-H</v>
      </c>
      <c r="I407" s="1" t="str">
        <f>IFERROR(IF(EXACT(H407,INDEX(Guide!$A$7:$A$9,MATCH(SUBSTITUTE(SUBSTITUTE(SUBSTITUTE(H407,"~","~~"),"*","~*"),"?","~?"),Guide!$A$7:$A$9,0))),INDEX(Guide!$B$7:$B$9,MATCH(SUBSTITUTE(SUBSTITUTE(SUBSTITUTE(H407,"~","~~"),"*","~*"),"?","~?"),Guide!$A$7:$A$9,0)),""),"")</f>
        <v>Home</v>
      </c>
      <c r="J407" s="1" t="str">
        <f>IF(TRIM(Raw!E407)="",I407,IF(UPPER(TRIM(Raw!E407))=UPPER(I407),I407,""))</f>
        <v>Home</v>
      </c>
      <c r="K407" s="1" t="str">
        <f>IF(Raw!F407="","",Raw!F407)</f>
        <v>sale</v>
      </c>
      <c r="L407" s="1" t="str">
        <f>IF(LEFT(TRIM(Raw!G407),2)="-$","-"&amp;MID(TRIM(Raw!G407),3,99),IF(LEFT(TRIM(Raw!G407),1)="$",MID(TRIM(Raw!G407),2,99),TRIM(Raw!G407)))</f>
        <v>32.99</v>
      </c>
      <c r="M407" s="1">
        <f t="shared" si="51"/>
        <v>32.99</v>
      </c>
      <c r="N407" s="10">
        <f t="shared" si="52"/>
        <v>3299</v>
      </c>
      <c r="O407" s="1" t="b">
        <f>IFERROR(IF(ISNUMBER(Raw!G407),TRUE,OR(EXACT(L407,TEXT(M407,"0.00")),EXACT(L407,TEXT(M407,"#,##0.00")))),FALSE)</f>
        <v>1</v>
      </c>
      <c r="P407" s="1" t="str">
        <f>LEN(IF(Raw!A407="","",Raw!A407))&amp;":"&amp;IF(Raw!A407="","",Raw!A407)&amp;"|"&amp;LEN(IF(Raw!B407="","",Raw!B407))&amp;":"&amp;IF(Raw!B407="","",Raw!B407)&amp;"|"&amp;LEN(IF(Raw!C407="","",Raw!C407))&amp;":"&amp;IF(Raw!C407="","",Raw!C407)&amp;"|"&amp;LEN(IF(Raw!D407="","",Raw!D407))&amp;":"&amp;IF(Raw!D407="","",Raw!D407)&amp;"|"&amp;LEN(IF(Raw!E407="","",Raw!E407))&amp;":"&amp;IF(Raw!E407="","",Raw!E407)&amp;"|"&amp;LEN(IF(Raw!F407="","",Raw!F407))&amp;":"&amp;IF(Raw!F407="","",Raw!F407)&amp;"|"&amp;LEN(IF(Raw!G407="","",Raw!G407))&amp;":"&amp;IF(Raw!G407="","",Raw!G407)</f>
        <v>6:L00401|6:T00201|10:2026-02-20|3:P-H|4:Home|4:sale|5:32.99</v>
      </c>
      <c r="Q407" s="1">
        <f>1</f>
        <v>1</v>
      </c>
      <c r="R407" s="1" t="b">
        <f>FALSE</f>
        <v>0</v>
      </c>
      <c r="S407" s="1">
        <f>1</f>
        <v>1</v>
      </c>
      <c r="T407" s="1" t="str">
        <f>IF(AND(Raw!A407="",Raw!B407="",Raw!C407="",Raw!D407="",Raw!E407="",Raw!F407="",Raw!G407=""),"UNUSED",IF(A407="","missing line ID",IF(B407="","missing transaction ID",IF(G407="",IF(C407="","missing date","invalid date"),IF(I407="","unknown product",IF(J407="","conflicting category",IF(NOT(OR(EXACT(K407,"sale"),EXACT(K407,"refund"))),"unknown event",IF(OR(N407="",NOT(O407)),"invalid amount",IF(OR(AND(K407="sale",N407&lt;=0),AND(K407="refund",N407&gt;=0)),"invalid sign","")))))))))</f>
        <v/>
      </c>
      <c r="U407" s="1" t="str">
        <f t="shared" si="53"/>
        <v>INCLUDED</v>
      </c>
      <c r="V407" s="1" t="str">
        <f t="shared" si="54"/>
        <v>2026-02</v>
      </c>
      <c r="W407" s="1">
        <f>IF(AND(U407="INCLUDED",X407&gt;0,EXACT(A407,'AI output'!A407)),1,0)</f>
        <v>1</v>
      </c>
      <c r="X407" s="1">
        <f>407</f>
        <v>407</v>
      </c>
      <c r="Y407" s="1">
        <f>IF(AND(U407="INCLUDED",W407=1),--(NOT(EXACT(A407,'AI output'!A407)))+--(NOT(EXACT(B407,'AI output'!B407)))+--(NOT(EXACT(TEXT(G407,"yyyy-mm-dd"),'AI output'!C407)))+--(NOT(EXACT(H407,'AI output'!D407)))+--(NOT(EXACT(J407,'AI output'!E407)))+--(NOT(EXACT(K407,'AI output'!F407)))+--(N407&lt;&gt;'AI output'!L407)+--(NOT('AI output'!M407)),0)</f>
        <v>0</v>
      </c>
      <c r="Z407" s="1">
        <f t="shared" si="55"/>
        <v>0</v>
      </c>
      <c r="AA407" s="1">
        <f>--EXACT(A407,"L00401")</f>
        <v>1</v>
      </c>
    </row>
    <row r="408" spans="1:27" ht="18.95" customHeight="1">
      <c r="A408" s="1" t="str">
        <f>IF(Raw!A408="","",Raw!A408)</f>
        <v>L00402</v>
      </c>
      <c r="B408" s="1" t="str">
        <f>IF(Raw!B408="","",Raw!B408)</f>
        <v>T00201</v>
      </c>
      <c r="C408" s="1" t="str">
        <f>IF(Raw!C408="","",Raw!C408)</f>
        <v>2026-02-20</v>
      </c>
      <c r="D408" s="1">
        <f t="shared" si="48"/>
        <v>2026</v>
      </c>
      <c r="E408" s="1">
        <f>IFERROR(IF(AND(LEN(C408)=10,MID(C408,5,1)="-",MID(C408,8,1)="-"),VALUE(MID(C408,6,2)),IF(AND(LEN(C408)=11,MID(C408,3,1)="-",MID(C408,7,1)="-"),MATCH(UPPER(MID(C408,4,3)),Guide!$D$7:$D$18,0),0)),0)</f>
        <v>2</v>
      </c>
      <c r="F408" s="1">
        <f t="shared" si="49"/>
        <v>20</v>
      </c>
      <c r="G408" s="9">
        <f t="shared" si="50"/>
        <v>46073</v>
      </c>
      <c r="H408" s="1" t="str">
        <f>IF(Raw!D408="","",Raw!D408)</f>
        <v>P-O</v>
      </c>
      <c r="I408" s="1" t="str">
        <f>IFERROR(IF(EXACT(H408,INDEX(Guide!$A$7:$A$9,MATCH(SUBSTITUTE(SUBSTITUTE(SUBSTITUTE(H408,"~","~~"),"*","~*"),"?","~?"),Guide!$A$7:$A$9,0))),INDEX(Guide!$B$7:$B$9,MATCH(SUBSTITUTE(SUBSTITUTE(SUBSTITUTE(H408,"~","~~"),"*","~*"),"?","~?"),Guide!$A$7:$A$9,0)),""),"")</f>
        <v>Office</v>
      </c>
      <c r="J408" s="1" t="str">
        <f>IF(TRIM(Raw!E408)="",I408,IF(UPPER(TRIM(Raw!E408))=UPPER(I408),I408,""))</f>
        <v>Office</v>
      </c>
      <c r="K408" s="1" t="str">
        <f>IF(Raw!F408="","",Raw!F408)</f>
        <v>sale</v>
      </c>
      <c r="L408" s="1" t="str">
        <f>IF(LEFT(TRIM(Raw!G408),2)="-$","-"&amp;MID(TRIM(Raw!G408),3,99),IF(LEFT(TRIM(Raw!G408),1)="$",MID(TRIM(Raw!G408),2,99),TRIM(Raw!G408)))</f>
        <v>100.08</v>
      </c>
      <c r="M408" s="1">
        <f t="shared" si="51"/>
        <v>100.08</v>
      </c>
      <c r="N408" s="10">
        <f t="shared" si="52"/>
        <v>10008</v>
      </c>
      <c r="O408" s="1" t="b">
        <f>IFERROR(IF(ISNUMBER(Raw!G408),TRUE,OR(EXACT(L408,TEXT(M408,"0.00")),EXACT(L408,TEXT(M408,"#,##0.00")))),FALSE)</f>
        <v>1</v>
      </c>
      <c r="P408" s="1" t="str">
        <f>LEN(IF(Raw!A408="","",Raw!A408))&amp;":"&amp;IF(Raw!A408="","",Raw!A408)&amp;"|"&amp;LEN(IF(Raw!B408="","",Raw!B408))&amp;":"&amp;IF(Raw!B408="","",Raw!B408)&amp;"|"&amp;LEN(IF(Raw!C408="","",Raw!C408))&amp;":"&amp;IF(Raw!C408="","",Raw!C408)&amp;"|"&amp;LEN(IF(Raw!D408="","",Raw!D408))&amp;":"&amp;IF(Raw!D408="","",Raw!D408)&amp;"|"&amp;LEN(IF(Raw!E408="","",Raw!E408))&amp;":"&amp;IF(Raw!E408="","",Raw!E408)&amp;"|"&amp;LEN(IF(Raw!F408="","",Raw!F408))&amp;":"&amp;IF(Raw!F408="","",Raw!F408)&amp;"|"&amp;LEN(IF(Raw!G408="","",Raw!G408))&amp;":"&amp;IF(Raw!G408="","",Raw!G408)</f>
        <v>6:L00402|6:T00201|10:2026-02-20|3:P-O|6:Office|4:sale|6:100.08</v>
      </c>
      <c r="Q408" s="1">
        <f>1</f>
        <v>1</v>
      </c>
      <c r="R408" s="1" t="b">
        <f>FALSE</f>
        <v>0</v>
      </c>
      <c r="S408" s="1">
        <f>1</f>
        <v>1</v>
      </c>
      <c r="T408" s="1" t="str">
        <f>IF(AND(Raw!A408="",Raw!B408="",Raw!C408="",Raw!D408="",Raw!E408="",Raw!F408="",Raw!G408=""),"UNUSED",IF(A408="","missing line ID",IF(B408="","missing transaction ID",IF(G408="",IF(C408="","missing date","invalid date"),IF(I408="","unknown product",IF(J408="","conflicting category",IF(NOT(OR(EXACT(K408,"sale"),EXACT(K408,"refund"))),"unknown event",IF(OR(N408="",NOT(O408)),"invalid amount",IF(OR(AND(K408="sale",N408&lt;=0),AND(K408="refund",N408&gt;=0)),"invalid sign","")))))))))</f>
        <v/>
      </c>
      <c r="U408" s="1" t="str">
        <f t="shared" si="53"/>
        <v>INCLUDED</v>
      </c>
      <c r="V408" s="1" t="str">
        <f t="shared" si="54"/>
        <v>2026-02</v>
      </c>
      <c r="W408" s="1">
        <f>IF(AND(U408="INCLUDED",X408&gt;0,EXACT(A408,'AI output'!A408)),1,0)</f>
        <v>1</v>
      </c>
      <c r="X408" s="1">
        <f>408</f>
        <v>408</v>
      </c>
      <c r="Y408" s="1">
        <f>IF(AND(U408="INCLUDED",W408=1),--(NOT(EXACT(A408,'AI output'!A408)))+--(NOT(EXACT(B408,'AI output'!B408)))+--(NOT(EXACT(TEXT(G408,"yyyy-mm-dd"),'AI output'!C408)))+--(NOT(EXACT(H408,'AI output'!D408)))+--(NOT(EXACT(J408,'AI output'!E408)))+--(NOT(EXACT(K408,'AI output'!F408)))+--(N408&lt;&gt;'AI output'!L408)+--(NOT('AI output'!M408)),0)</f>
        <v>0</v>
      </c>
      <c r="Z408" s="1">
        <f t="shared" si="55"/>
        <v>0</v>
      </c>
      <c r="AA408" s="1">
        <f>--EXACT(A408,"L00402")</f>
        <v>1</v>
      </c>
    </row>
    <row r="409" spans="1:27" ht="18.95" customHeight="1">
      <c r="A409" s="1" t="str">
        <f>IF(Raw!A409="","",Raw!A409)</f>
        <v>L00403</v>
      </c>
      <c r="B409" s="1" t="str">
        <f>IF(Raw!B409="","",Raw!B409)</f>
        <v>T00202</v>
      </c>
      <c r="C409" s="1" t="str">
        <f>IF(Raw!C409="","",Raw!C409)</f>
        <v>2026-02-27</v>
      </c>
      <c r="D409" s="1">
        <f t="shared" si="48"/>
        <v>2026</v>
      </c>
      <c r="E409" s="1">
        <f>IFERROR(IF(AND(LEN(C409)=10,MID(C409,5,1)="-",MID(C409,8,1)="-"),VALUE(MID(C409,6,2)),IF(AND(LEN(C409)=11,MID(C409,3,1)="-",MID(C409,7,1)="-"),MATCH(UPPER(MID(C409,4,3)),Guide!$D$7:$D$18,0),0)),0)</f>
        <v>2</v>
      </c>
      <c r="F409" s="1">
        <f t="shared" si="49"/>
        <v>27</v>
      </c>
      <c r="G409" s="9">
        <f t="shared" si="50"/>
        <v>46080</v>
      </c>
      <c r="H409" s="1" t="str">
        <f>IF(Raw!D409="","",Raw!D409)</f>
        <v>P-A</v>
      </c>
      <c r="I409" s="1" t="str">
        <f>IFERROR(IF(EXACT(H409,INDEX(Guide!$A$7:$A$9,MATCH(SUBSTITUTE(SUBSTITUTE(SUBSTITUTE(H409,"~","~~"),"*","~*"),"?","~?"),Guide!$A$7:$A$9,0))),INDEX(Guide!$B$7:$B$9,MATCH(SUBSTITUTE(SUBSTITUTE(SUBSTITUTE(H409,"~","~~"),"*","~*"),"?","~?"),Guide!$A$7:$A$9,0)),""),"")</f>
        <v>Accessories</v>
      </c>
      <c r="J409" s="1" t="str">
        <f>IF(TRIM(Raw!E409)="",I409,IF(UPPER(TRIM(Raw!E409))=UPPER(I409),I409,""))</f>
        <v>Accessories</v>
      </c>
      <c r="K409" s="1" t="str">
        <f>IF(Raw!F409="","",Raw!F409)</f>
        <v>sale</v>
      </c>
      <c r="L409" s="1" t="str">
        <f>IF(LEFT(TRIM(Raw!G409),2)="-$","-"&amp;MID(TRIM(Raw!G409),3,99),IF(LEFT(TRIM(Raw!G409),1)="$",MID(TRIM(Raw!G409),2,99),TRIM(Raw!G409)))</f>
        <v>168.65</v>
      </c>
      <c r="M409" s="1">
        <f t="shared" si="51"/>
        <v>168.65</v>
      </c>
      <c r="N409" s="10">
        <f t="shared" si="52"/>
        <v>16865</v>
      </c>
      <c r="O409" s="1" t="b">
        <f>IFERROR(IF(ISNUMBER(Raw!G409),TRUE,OR(EXACT(L409,TEXT(M409,"0.00")),EXACT(L409,TEXT(M409,"#,##0.00")))),FALSE)</f>
        <v>1</v>
      </c>
      <c r="P409" s="1" t="str">
        <f>LEN(IF(Raw!A409="","",Raw!A409))&amp;":"&amp;IF(Raw!A409="","",Raw!A409)&amp;"|"&amp;LEN(IF(Raw!B409="","",Raw!B409))&amp;":"&amp;IF(Raw!B409="","",Raw!B409)&amp;"|"&amp;LEN(IF(Raw!C409="","",Raw!C409))&amp;":"&amp;IF(Raw!C409="","",Raw!C409)&amp;"|"&amp;LEN(IF(Raw!D409="","",Raw!D409))&amp;":"&amp;IF(Raw!D409="","",Raw!D409)&amp;"|"&amp;LEN(IF(Raw!E409="","",Raw!E409))&amp;":"&amp;IF(Raw!E409="","",Raw!E409)&amp;"|"&amp;LEN(IF(Raw!F409="","",Raw!F409))&amp;":"&amp;IF(Raw!F409="","",Raw!F409)&amp;"|"&amp;LEN(IF(Raw!G409="","",Raw!G409))&amp;":"&amp;IF(Raw!G409="","",Raw!G409)</f>
        <v>6:L00403|6:T00202|10:2026-02-27|3:P-A|11:Accessories|4:sale|6:168.65</v>
      </c>
      <c r="Q409" s="1">
        <f>1</f>
        <v>1</v>
      </c>
      <c r="R409" s="1" t="b">
        <f>FALSE</f>
        <v>0</v>
      </c>
      <c r="S409" s="1">
        <f>1</f>
        <v>1</v>
      </c>
      <c r="T409" s="1" t="str">
        <f>IF(AND(Raw!A409="",Raw!B409="",Raw!C409="",Raw!D409="",Raw!E409="",Raw!F409="",Raw!G409=""),"UNUSED",IF(A409="","missing line ID",IF(B409="","missing transaction ID",IF(G409="",IF(C409="","missing date","invalid date"),IF(I409="","unknown product",IF(J409="","conflicting category",IF(NOT(OR(EXACT(K409,"sale"),EXACT(K409,"refund"))),"unknown event",IF(OR(N409="",NOT(O409)),"invalid amount",IF(OR(AND(K409="sale",N409&lt;=0),AND(K409="refund",N409&gt;=0)),"invalid sign","")))))))))</f>
        <v/>
      </c>
      <c r="U409" s="1" t="str">
        <f t="shared" si="53"/>
        <v>INCLUDED</v>
      </c>
      <c r="V409" s="1" t="str">
        <f t="shared" si="54"/>
        <v>2026-02</v>
      </c>
      <c r="W409" s="1">
        <f>IF(AND(U409="INCLUDED",X409&gt;0,EXACT(A409,'AI output'!A409)),1,0)</f>
        <v>1</v>
      </c>
      <c r="X409" s="1">
        <f>409</f>
        <v>409</v>
      </c>
      <c r="Y409" s="1">
        <f>IF(AND(U409="INCLUDED",W409=1),--(NOT(EXACT(A409,'AI output'!A409)))+--(NOT(EXACT(B409,'AI output'!B409)))+--(NOT(EXACT(TEXT(G409,"yyyy-mm-dd"),'AI output'!C409)))+--(NOT(EXACT(H409,'AI output'!D409)))+--(NOT(EXACT(J409,'AI output'!E409)))+--(NOT(EXACT(K409,'AI output'!F409)))+--(N409&lt;&gt;'AI output'!L409)+--(NOT('AI output'!M409)),0)</f>
        <v>0</v>
      </c>
      <c r="Z409" s="1">
        <f t="shared" si="55"/>
        <v>0</v>
      </c>
      <c r="AA409" s="1">
        <f>--EXACT(A409,"L00403")</f>
        <v>1</v>
      </c>
    </row>
    <row r="410" spans="1:27" ht="18.95" customHeight="1">
      <c r="A410" s="1" t="str">
        <f>IF(Raw!A410="","",Raw!A410)</f>
        <v>L00404</v>
      </c>
      <c r="B410" s="1" t="str">
        <f>IF(Raw!B410="","",Raw!B410)</f>
        <v>T00202</v>
      </c>
      <c r="C410" s="1" t="str">
        <f>IF(Raw!C410="","",Raw!C410)</f>
        <v>2026-02-27</v>
      </c>
      <c r="D410" s="1">
        <f t="shared" si="48"/>
        <v>2026</v>
      </c>
      <c r="E410" s="1">
        <f>IFERROR(IF(AND(LEN(C410)=10,MID(C410,5,1)="-",MID(C410,8,1)="-"),VALUE(MID(C410,6,2)),IF(AND(LEN(C410)=11,MID(C410,3,1)="-",MID(C410,7,1)="-"),MATCH(UPPER(MID(C410,4,3)),Guide!$D$7:$D$18,0),0)),0)</f>
        <v>2</v>
      </c>
      <c r="F410" s="1">
        <f t="shared" si="49"/>
        <v>27</v>
      </c>
      <c r="G410" s="9">
        <f t="shared" si="50"/>
        <v>46080</v>
      </c>
      <c r="H410" s="1" t="str">
        <f>IF(Raw!D410="","",Raw!D410)</f>
        <v>P-H</v>
      </c>
      <c r="I410" s="1" t="str">
        <f>IFERROR(IF(EXACT(H410,INDEX(Guide!$A$7:$A$9,MATCH(SUBSTITUTE(SUBSTITUTE(SUBSTITUTE(H410,"~","~~"),"*","~*"),"?","~?"),Guide!$A$7:$A$9,0))),INDEX(Guide!$B$7:$B$9,MATCH(SUBSTITUTE(SUBSTITUTE(SUBSTITUTE(H410,"~","~~"),"*","~*"),"?","~?"),Guide!$A$7:$A$9,0)),""),"")</f>
        <v>Home</v>
      </c>
      <c r="J410" s="1" t="str">
        <f>IF(TRIM(Raw!E410)="",I410,IF(UPPER(TRIM(Raw!E410))=UPPER(I410),I410,""))</f>
        <v>Home</v>
      </c>
      <c r="K410" s="1" t="str">
        <f>IF(Raw!F410="","",Raw!F410)</f>
        <v>sale</v>
      </c>
      <c r="L410" s="1" t="str">
        <f>IF(LEFT(TRIM(Raw!G410),2)="-$","-"&amp;MID(TRIM(Raw!G410),3,99),IF(LEFT(TRIM(Raw!G410),1)="$",MID(TRIM(Raw!G410),2,99),TRIM(Raw!G410)))</f>
        <v>68.20</v>
      </c>
      <c r="M410" s="1">
        <f t="shared" si="51"/>
        <v>68.2</v>
      </c>
      <c r="N410" s="10">
        <f t="shared" si="52"/>
        <v>6820</v>
      </c>
      <c r="O410" s="1" t="b">
        <f>IFERROR(IF(ISNUMBER(Raw!G410),TRUE,OR(EXACT(L410,TEXT(M410,"0.00")),EXACT(L410,TEXT(M410,"#,##0.00")))),FALSE)</f>
        <v>1</v>
      </c>
      <c r="P410" s="1" t="str">
        <f>LEN(IF(Raw!A410="","",Raw!A410))&amp;":"&amp;IF(Raw!A410="","",Raw!A410)&amp;"|"&amp;LEN(IF(Raw!B410="","",Raw!B410))&amp;":"&amp;IF(Raw!B410="","",Raw!B410)&amp;"|"&amp;LEN(IF(Raw!C410="","",Raw!C410))&amp;":"&amp;IF(Raw!C410="","",Raw!C410)&amp;"|"&amp;LEN(IF(Raw!D410="","",Raw!D410))&amp;":"&amp;IF(Raw!D410="","",Raw!D410)&amp;"|"&amp;LEN(IF(Raw!E410="","",Raw!E410))&amp;":"&amp;IF(Raw!E410="","",Raw!E410)&amp;"|"&amp;LEN(IF(Raw!F410="","",Raw!F410))&amp;":"&amp;IF(Raw!F410="","",Raw!F410)&amp;"|"&amp;LEN(IF(Raw!G410="","",Raw!G410))&amp;":"&amp;IF(Raw!G410="","",Raw!G410)</f>
        <v>6:L00404|6:T00202|10:2026-02-27|3:P-H|4:Home|4:sale|5:68.20</v>
      </c>
      <c r="Q410" s="1">
        <f>1</f>
        <v>1</v>
      </c>
      <c r="R410" s="1" t="b">
        <f>FALSE</f>
        <v>0</v>
      </c>
      <c r="S410" s="1">
        <f>1</f>
        <v>1</v>
      </c>
      <c r="T410" s="1" t="str">
        <f>IF(AND(Raw!A410="",Raw!B410="",Raw!C410="",Raw!D410="",Raw!E410="",Raw!F410="",Raw!G410=""),"UNUSED",IF(A410="","missing line ID",IF(B410="","missing transaction ID",IF(G410="",IF(C410="","missing date","invalid date"),IF(I410="","unknown product",IF(J410="","conflicting category",IF(NOT(OR(EXACT(K410,"sale"),EXACT(K410,"refund"))),"unknown event",IF(OR(N410="",NOT(O410)),"invalid amount",IF(OR(AND(K410="sale",N410&lt;=0),AND(K410="refund",N410&gt;=0)),"invalid sign","")))))))))</f>
        <v/>
      </c>
      <c r="U410" s="1" t="str">
        <f t="shared" si="53"/>
        <v>INCLUDED</v>
      </c>
      <c r="V410" s="1" t="str">
        <f t="shared" si="54"/>
        <v>2026-02</v>
      </c>
      <c r="W410" s="1">
        <f>IF(AND(U410="INCLUDED",X410&gt;0,EXACT(A410,'AI output'!A410)),1,0)</f>
        <v>1</v>
      </c>
      <c r="X410" s="1">
        <f>410</f>
        <v>410</v>
      </c>
      <c r="Y410" s="1">
        <f>IF(AND(U410="INCLUDED",W410=1),--(NOT(EXACT(A410,'AI output'!A410)))+--(NOT(EXACT(B410,'AI output'!B410)))+--(NOT(EXACT(TEXT(G410,"yyyy-mm-dd"),'AI output'!C410)))+--(NOT(EXACT(H410,'AI output'!D410)))+--(NOT(EXACT(J410,'AI output'!E410)))+--(NOT(EXACT(K410,'AI output'!F410)))+--(N410&lt;&gt;'AI output'!L410)+--(NOT('AI output'!M410)),0)</f>
        <v>0</v>
      </c>
      <c r="Z410" s="1">
        <f t="shared" si="55"/>
        <v>0</v>
      </c>
      <c r="AA410" s="1">
        <f>--EXACT(A410,"L00404")</f>
        <v>1</v>
      </c>
    </row>
    <row r="411" spans="1:27" ht="18.95" customHeight="1">
      <c r="A411" s="1" t="str">
        <f>IF(Raw!A411="","",Raw!A411)</f>
        <v>L00405</v>
      </c>
      <c r="B411" s="1" t="str">
        <f>IF(Raw!B411="","",Raw!B411)</f>
        <v>T00203</v>
      </c>
      <c r="C411" s="1" t="str">
        <f>IF(Raw!C411="","",Raw!C411)</f>
        <v>2026-03-06</v>
      </c>
      <c r="D411" s="1">
        <f t="shared" si="48"/>
        <v>2026</v>
      </c>
      <c r="E411" s="1">
        <f>IFERROR(IF(AND(LEN(C411)=10,MID(C411,5,1)="-",MID(C411,8,1)="-"),VALUE(MID(C411,6,2)),IF(AND(LEN(C411)=11,MID(C411,3,1)="-",MID(C411,7,1)="-"),MATCH(UPPER(MID(C411,4,3)),Guide!$D$7:$D$18,0),0)),0)</f>
        <v>3</v>
      </c>
      <c r="F411" s="1">
        <f t="shared" si="49"/>
        <v>6</v>
      </c>
      <c r="G411" s="9">
        <f t="shared" si="50"/>
        <v>46087</v>
      </c>
      <c r="H411" s="1" t="str">
        <f>IF(Raw!D411="","",Raw!D411)</f>
        <v>P-O</v>
      </c>
      <c r="I411" s="1" t="str">
        <f>IFERROR(IF(EXACT(H411,INDEX(Guide!$A$7:$A$9,MATCH(SUBSTITUTE(SUBSTITUTE(SUBSTITUTE(H411,"~","~~"),"*","~*"),"?","~?"),Guide!$A$7:$A$9,0))),INDEX(Guide!$B$7:$B$9,MATCH(SUBSTITUTE(SUBSTITUTE(SUBSTITUTE(H411,"~","~~"),"*","~*"),"?","~?"),Guide!$A$7:$A$9,0)),""),"")</f>
        <v>Office</v>
      </c>
      <c r="J411" s="1" t="str">
        <f>IF(TRIM(Raw!E411)="",I411,IF(UPPER(TRIM(Raw!E411))=UPPER(I411),I411,""))</f>
        <v>Office</v>
      </c>
      <c r="K411" s="1" t="str">
        <f>IF(Raw!F411="","",Raw!F411)</f>
        <v>sale</v>
      </c>
      <c r="L411" s="1" t="str">
        <f>IF(LEFT(TRIM(Raw!G411),2)="-$","-"&amp;MID(TRIM(Raw!G411),3,99),IF(LEFT(TRIM(Raw!G411),1)="$",MID(TRIM(Raw!G411),2,99),TRIM(Raw!G411)))</f>
        <v>137.88</v>
      </c>
      <c r="M411" s="1">
        <f t="shared" si="51"/>
        <v>137.88</v>
      </c>
      <c r="N411" s="10">
        <f t="shared" si="52"/>
        <v>13788</v>
      </c>
      <c r="O411" s="1" t="b">
        <f>IFERROR(IF(ISNUMBER(Raw!G411),TRUE,OR(EXACT(L411,TEXT(M411,"0.00")),EXACT(L411,TEXT(M411,"#,##0.00")))),FALSE)</f>
        <v>1</v>
      </c>
      <c r="P411" s="1" t="str">
        <f>LEN(IF(Raw!A411="","",Raw!A411))&amp;":"&amp;IF(Raw!A411="","",Raw!A411)&amp;"|"&amp;LEN(IF(Raw!B411="","",Raw!B411))&amp;":"&amp;IF(Raw!B411="","",Raw!B411)&amp;"|"&amp;LEN(IF(Raw!C411="","",Raw!C411))&amp;":"&amp;IF(Raw!C411="","",Raw!C411)&amp;"|"&amp;LEN(IF(Raw!D411="","",Raw!D411))&amp;":"&amp;IF(Raw!D411="","",Raw!D411)&amp;"|"&amp;LEN(IF(Raw!E411="","",Raw!E411))&amp;":"&amp;IF(Raw!E411="","",Raw!E411)&amp;"|"&amp;LEN(IF(Raw!F411="","",Raw!F411))&amp;":"&amp;IF(Raw!F411="","",Raw!F411)&amp;"|"&amp;LEN(IF(Raw!G411="","",Raw!G411))&amp;":"&amp;IF(Raw!G411="","",Raw!G411)</f>
        <v>6:L00405|6:T00203|10:2026-03-06|3:P-O|6:Office|4:sale|6:137.88</v>
      </c>
      <c r="Q411" s="1">
        <f>1</f>
        <v>1</v>
      </c>
      <c r="R411" s="1" t="b">
        <f>FALSE</f>
        <v>0</v>
      </c>
      <c r="S411" s="1">
        <f>1</f>
        <v>1</v>
      </c>
      <c r="T411" s="1" t="str">
        <f>IF(AND(Raw!A411="",Raw!B411="",Raw!C411="",Raw!D411="",Raw!E411="",Raw!F411="",Raw!G411=""),"UNUSED",IF(A411="","missing line ID",IF(B411="","missing transaction ID",IF(G411="",IF(C411="","missing date","invalid date"),IF(I411="","unknown product",IF(J411="","conflicting category",IF(NOT(OR(EXACT(K411,"sale"),EXACT(K411,"refund"))),"unknown event",IF(OR(N411="",NOT(O411)),"invalid amount",IF(OR(AND(K411="sale",N411&lt;=0),AND(K411="refund",N411&gt;=0)),"invalid sign","")))))))))</f>
        <v/>
      </c>
      <c r="U411" s="1" t="str">
        <f t="shared" si="53"/>
        <v>INCLUDED</v>
      </c>
      <c r="V411" s="1" t="str">
        <f t="shared" si="54"/>
        <v>2026-03</v>
      </c>
      <c r="W411" s="1">
        <f>IF(AND(U411="INCLUDED",X411&gt;0,EXACT(A411,'AI output'!A411)),1,0)</f>
        <v>1</v>
      </c>
      <c r="X411" s="1">
        <f>411</f>
        <v>411</v>
      </c>
      <c r="Y411" s="1">
        <f>IF(AND(U411="INCLUDED",W411=1),--(NOT(EXACT(A411,'AI output'!A411)))+--(NOT(EXACT(B411,'AI output'!B411)))+--(NOT(EXACT(TEXT(G411,"yyyy-mm-dd"),'AI output'!C411)))+--(NOT(EXACT(H411,'AI output'!D411)))+--(NOT(EXACT(J411,'AI output'!E411)))+--(NOT(EXACT(K411,'AI output'!F411)))+--(N411&lt;&gt;'AI output'!L411)+--(NOT('AI output'!M411)),0)</f>
        <v>0</v>
      </c>
      <c r="Z411" s="1">
        <f t="shared" si="55"/>
        <v>0</v>
      </c>
      <c r="AA411" s="1">
        <f>--EXACT(A411,"L00405")</f>
        <v>1</v>
      </c>
    </row>
    <row r="412" spans="1:27" ht="18.95" customHeight="1">
      <c r="A412" s="1" t="str">
        <f>IF(Raw!A412="","",Raw!A412)</f>
        <v>L00406</v>
      </c>
      <c r="B412" s="1" t="str">
        <f>IF(Raw!B412="","",Raw!B412)</f>
        <v>T00203</v>
      </c>
      <c r="C412" s="1" t="str">
        <f>IF(Raw!C412="","",Raw!C412)</f>
        <v>2026-03-06</v>
      </c>
      <c r="D412" s="1">
        <f t="shared" si="48"/>
        <v>2026</v>
      </c>
      <c r="E412" s="1">
        <f>IFERROR(IF(AND(LEN(C412)=10,MID(C412,5,1)="-",MID(C412,8,1)="-"),VALUE(MID(C412,6,2)),IF(AND(LEN(C412)=11,MID(C412,3,1)="-",MID(C412,7,1)="-"),MATCH(UPPER(MID(C412,4,3)),Guide!$D$7:$D$18,0),0)),0)</f>
        <v>3</v>
      </c>
      <c r="F412" s="1">
        <f t="shared" si="49"/>
        <v>6</v>
      </c>
      <c r="G412" s="9">
        <f t="shared" si="50"/>
        <v>46087</v>
      </c>
      <c r="H412" s="1" t="str">
        <f>IF(Raw!D412="","",Raw!D412)</f>
        <v>P-A</v>
      </c>
      <c r="I412" s="1" t="str">
        <f>IFERROR(IF(EXACT(H412,INDEX(Guide!$A$7:$A$9,MATCH(SUBSTITUTE(SUBSTITUTE(SUBSTITUTE(H412,"~","~~"),"*","~*"),"?","~?"),Guide!$A$7:$A$9,0))),INDEX(Guide!$B$7:$B$9,MATCH(SUBSTITUTE(SUBSTITUTE(SUBSTITUTE(H412,"~","~~"),"*","~*"),"?","~?"),Guide!$A$7:$A$9,0)),""),"")</f>
        <v>Accessories</v>
      </c>
      <c r="J412" s="1" t="str">
        <f>IF(TRIM(Raw!E412)="",I412,IF(UPPER(TRIM(Raw!E412))=UPPER(I412),I412,""))</f>
        <v>Accessories</v>
      </c>
      <c r="K412" s="1" t="str">
        <f>IF(Raw!F412="","",Raw!F412)</f>
        <v>sale</v>
      </c>
      <c r="L412" s="1" t="str">
        <f>IF(LEFT(TRIM(Raw!G412),2)="-$","-"&amp;MID(TRIM(Raw!G412),3,99),IF(LEFT(TRIM(Raw!G412),1)="$",MID(TRIM(Raw!G412),2,99),TRIM(Raw!G412)))</f>
        <v>34.84</v>
      </c>
      <c r="M412" s="1">
        <f t="shared" si="51"/>
        <v>34.840000000000003</v>
      </c>
      <c r="N412" s="10">
        <f t="shared" si="52"/>
        <v>3484</v>
      </c>
      <c r="O412" s="1" t="b">
        <f>IFERROR(IF(ISNUMBER(Raw!G412),TRUE,OR(EXACT(L412,TEXT(M412,"0.00")),EXACT(L412,TEXT(M412,"#,##0.00")))),FALSE)</f>
        <v>1</v>
      </c>
      <c r="P412" s="1" t="str">
        <f>LEN(IF(Raw!A412="","",Raw!A412))&amp;":"&amp;IF(Raw!A412="","",Raw!A412)&amp;"|"&amp;LEN(IF(Raw!B412="","",Raw!B412))&amp;":"&amp;IF(Raw!B412="","",Raw!B412)&amp;"|"&amp;LEN(IF(Raw!C412="","",Raw!C412))&amp;":"&amp;IF(Raw!C412="","",Raw!C412)&amp;"|"&amp;LEN(IF(Raw!D412="","",Raw!D412))&amp;":"&amp;IF(Raw!D412="","",Raw!D412)&amp;"|"&amp;LEN(IF(Raw!E412="","",Raw!E412))&amp;":"&amp;IF(Raw!E412="","",Raw!E412)&amp;"|"&amp;LEN(IF(Raw!F412="","",Raw!F412))&amp;":"&amp;IF(Raw!F412="","",Raw!F412)&amp;"|"&amp;LEN(IF(Raw!G412="","",Raw!G412))&amp;":"&amp;IF(Raw!G412="","",Raw!G412)</f>
        <v>6:L00406|6:T00203|10:2026-03-06|3:P-A|11:Accessories|4:sale|5:34.84</v>
      </c>
      <c r="Q412" s="1">
        <f>1</f>
        <v>1</v>
      </c>
      <c r="R412" s="1" t="b">
        <f>FALSE</f>
        <v>0</v>
      </c>
      <c r="S412" s="1">
        <f>1</f>
        <v>1</v>
      </c>
      <c r="T412" s="1" t="str">
        <f>IF(AND(Raw!A412="",Raw!B412="",Raw!C412="",Raw!D412="",Raw!E412="",Raw!F412="",Raw!G412=""),"UNUSED",IF(A412="","missing line ID",IF(B412="","missing transaction ID",IF(G412="",IF(C412="","missing date","invalid date"),IF(I412="","unknown product",IF(J412="","conflicting category",IF(NOT(OR(EXACT(K412,"sale"),EXACT(K412,"refund"))),"unknown event",IF(OR(N412="",NOT(O412)),"invalid amount",IF(OR(AND(K412="sale",N412&lt;=0),AND(K412="refund",N412&gt;=0)),"invalid sign","")))))))))</f>
        <v/>
      </c>
      <c r="U412" s="1" t="str">
        <f t="shared" si="53"/>
        <v>INCLUDED</v>
      </c>
      <c r="V412" s="1" t="str">
        <f t="shared" si="54"/>
        <v>2026-03</v>
      </c>
      <c r="W412" s="1">
        <f>IF(AND(U412="INCLUDED",X412&gt;0,EXACT(A412,'AI output'!A412)),1,0)</f>
        <v>1</v>
      </c>
      <c r="X412" s="1">
        <f>412</f>
        <v>412</v>
      </c>
      <c r="Y412" s="1">
        <f>IF(AND(U412="INCLUDED",W412=1),--(NOT(EXACT(A412,'AI output'!A412)))+--(NOT(EXACT(B412,'AI output'!B412)))+--(NOT(EXACT(TEXT(G412,"yyyy-mm-dd"),'AI output'!C412)))+--(NOT(EXACT(H412,'AI output'!D412)))+--(NOT(EXACT(J412,'AI output'!E412)))+--(NOT(EXACT(K412,'AI output'!F412)))+--(N412&lt;&gt;'AI output'!L412)+--(NOT('AI output'!M412)),0)</f>
        <v>0</v>
      </c>
      <c r="Z412" s="1">
        <f t="shared" si="55"/>
        <v>0</v>
      </c>
      <c r="AA412" s="1">
        <f>--EXACT(A412,"L00406")</f>
        <v>1</v>
      </c>
    </row>
    <row r="413" spans="1:27" ht="18.95" customHeight="1">
      <c r="A413" s="1" t="str">
        <f>IF(Raw!A413="","",Raw!A413)</f>
        <v>L00407</v>
      </c>
      <c r="B413" s="1" t="str">
        <f>IF(Raw!B413="","",Raw!B413)</f>
        <v>T00204</v>
      </c>
      <c r="C413" s="1" t="str">
        <f>IF(Raw!C413="","",Raw!C413)</f>
        <v>2026-03-13</v>
      </c>
      <c r="D413" s="1">
        <f t="shared" si="48"/>
        <v>2026</v>
      </c>
      <c r="E413" s="1">
        <f>IFERROR(IF(AND(LEN(C413)=10,MID(C413,5,1)="-",MID(C413,8,1)="-"),VALUE(MID(C413,6,2)),IF(AND(LEN(C413)=11,MID(C413,3,1)="-",MID(C413,7,1)="-"),MATCH(UPPER(MID(C413,4,3)),Guide!$D$7:$D$18,0),0)),0)</f>
        <v>3</v>
      </c>
      <c r="F413" s="1">
        <f t="shared" si="49"/>
        <v>13</v>
      </c>
      <c r="G413" s="9">
        <f t="shared" si="50"/>
        <v>46094</v>
      </c>
      <c r="H413" s="1" t="str">
        <f>IF(Raw!D413="","",Raw!D413)</f>
        <v>P-H</v>
      </c>
      <c r="I413" s="1" t="str">
        <f>IFERROR(IF(EXACT(H413,INDEX(Guide!$A$7:$A$9,MATCH(SUBSTITUTE(SUBSTITUTE(SUBSTITUTE(H413,"~","~~"),"*","~*"),"?","~?"),Guide!$A$7:$A$9,0))),INDEX(Guide!$B$7:$B$9,MATCH(SUBSTITUTE(SUBSTITUTE(SUBSTITUTE(H413,"~","~~"),"*","~*"),"?","~?"),Guide!$A$7:$A$9,0)),""),"")</f>
        <v>Home</v>
      </c>
      <c r="J413" s="1" t="str">
        <f>IF(TRIM(Raw!E413)="",I413,IF(UPPER(TRIM(Raw!E413))=UPPER(I413),I413,""))</f>
        <v>Home</v>
      </c>
      <c r="K413" s="1" t="str">
        <f>IF(Raw!F413="","",Raw!F413)</f>
        <v>sale</v>
      </c>
      <c r="L413" s="1" t="str">
        <f>IF(LEFT(TRIM(Raw!G413),2)="-$","-"&amp;MID(TRIM(Raw!G413),3,99),IF(LEFT(TRIM(Raw!G413),1)="$",MID(TRIM(Raw!G413),2,99),TRIM(Raw!G413)))</f>
        <v>105.63</v>
      </c>
      <c r="M413" s="1">
        <f t="shared" si="51"/>
        <v>105.63</v>
      </c>
      <c r="N413" s="10">
        <f t="shared" si="52"/>
        <v>10563</v>
      </c>
      <c r="O413" s="1" t="b">
        <f>IFERROR(IF(ISNUMBER(Raw!G413),TRUE,OR(EXACT(L413,TEXT(M413,"0.00")),EXACT(L413,TEXT(M413,"#,##0.00")))),FALSE)</f>
        <v>1</v>
      </c>
      <c r="P413" s="1" t="str">
        <f>LEN(IF(Raw!A413="","",Raw!A413))&amp;":"&amp;IF(Raw!A413="","",Raw!A413)&amp;"|"&amp;LEN(IF(Raw!B413="","",Raw!B413))&amp;":"&amp;IF(Raw!B413="","",Raw!B413)&amp;"|"&amp;LEN(IF(Raw!C413="","",Raw!C413))&amp;":"&amp;IF(Raw!C413="","",Raw!C413)&amp;"|"&amp;LEN(IF(Raw!D413="","",Raw!D413))&amp;":"&amp;IF(Raw!D413="","",Raw!D413)&amp;"|"&amp;LEN(IF(Raw!E413="","",Raw!E413))&amp;":"&amp;IF(Raw!E413="","",Raw!E413)&amp;"|"&amp;LEN(IF(Raw!F413="","",Raw!F413))&amp;":"&amp;IF(Raw!F413="","",Raw!F413)&amp;"|"&amp;LEN(IF(Raw!G413="","",Raw!G413))&amp;":"&amp;IF(Raw!G413="","",Raw!G413)</f>
        <v>6:L00407|6:T00204|10:2026-03-13|3:P-H|4:Home|4:sale|6:105.63</v>
      </c>
      <c r="Q413" s="1">
        <f>1</f>
        <v>1</v>
      </c>
      <c r="R413" s="1" t="b">
        <f>FALSE</f>
        <v>0</v>
      </c>
      <c r="S413" s="1">
        <f>1</f>
        <v>1</v>
      </c>
      <c r="T413" s="1" t="str">
        <f>IF(AND(Raw!A413="",Raw!B413="",Raw!C413="",Raw!D413="",Raw!E413="",Raw!F413="",Raw!G413=""),"UNUSED",IF(A413="","missing line ID",IF(B413="","missing transaction ID",IF(G413="",IF(C413="","missing date","invalid date"),IF(I413="","unknown product",IF(J413="","conflicting category",IF(NOT(OR(EXACT(K413,"sale"),EXACT(K413,"refund"))),"unknown event",IF(OR(N413="",NOT(O413)),"invalid amount",IF(OR(AND(K413="sale",N413&lt;=0),AND(K413="refund",N413&gt;=0)),"invalid sign","")))))))))</f>
        <v/>
      </c>
      <c r="U413" s="1" t="str">
        <f t="shared" si="53"/>
        <v>INCLUDED</v>
      </c>
      <c r="V413" s="1" t="str">
        <f t="shared" si="54"/>
        <v>2026-03</v>
      </c>
      <c r="W413" s="1">
        <f>IF(AND(U413="INCLUDED",X413&gt;0,EXACT(A413,'AI output'!A413)),1,0)</f>
        <v>1</v>
      </c>
      <c r="X413" s="1">
        <f>413</f>
        <v>413</v>
      </c>
      <c r="Y413" s="1">
        <f>IF(AND(U413="INCLUDED",W413=1),--(NOT(EXACT(A413,'AI output'!A413)))+--(NOT(EXACT(B413,'AI output'!B413)))+--(NOT(EXACT(TEXT(G413,"yyyy-mm-dd"),'AI output'!C413)))+--(NOT(EXACT(H413,'AI output'!D413)))+--(NOT(EXACT(J413,'AI output'!E413)))+--(NOT(EXACT(K413,'AI output'!F413)))+--(N413&lt;&gt;'AI output'!L413)+--(NOT('AI output'!M413)),0)</f>
        <v>0</v>
      </c>
      <c r="Z413" s="1">
        <f t="shared" si="55"/>
        <v>0</v>
      </c>
      <c r="AA413" s="1">
        <f>--EXACT(A413,"L00407")</f>
        <v>1</v>
      </c>
    </row>
    <row r="414" spans="1:27" ht="18.95" customHeight="1">
      <c r="A414" s="1" t="str">
        <f>IF(Raw!A414="","",Raw!A414)</f>
        <v>L00408</v>
      </c>
      <c r="B414" s="1" t="str">
        <f>IF(Raw!B414="","",Raw!B414)</f>
        <v>T00204</v>
      </c>
      <c r="C414" s="1" t="str">
        <f>IF(Raw!C414="","",Raw!C414)</f>
        <v>2026-03-13</v>
      </c>
      <c r="D414" s="1">
        <f t="shared" si="48"/>
        <v>2026</v>
      </c>
      <c r="E414" s="1">
        <f>IFERROR(IF(AND(LEN(C414)=10,MID(C414,5,1)="-",MID(C414,8,1)="-"),VALUE(MID(C414,6,2)),IF(AND(LEN(C414)=11,MID(C414,3,1)="-",MID(C414,7,1)="-"),MATCH(UPPER(MID(C414,4,3)),Guide!$D$7:$D$18,0),0)),0)</f>
        <v>3</v>
      </c>
      <c r="F414" s="1">
        <f t="shared" si="49"/>
        <v>13</v>
      </c>
      <c r="G414" s="9">
        <f t="shared" si="50"/>
        <v>46094</v>
      </c>
      <c r="H414" s="1" t="str">
        <f>IF(Raw!D414="","",Raw!D414)</f>
        <v>P-O</v>
      </c>
      <c r="I414" s="1" t="str">
        <f>IFERROR(IF(EXACT(H414,INDEX(Guide!$A$7:$A$9,MATCH(SUBSTITUTE(SUBSTITUTE(SUBSTITUTE(H414,"~","~~"),"*","~*"),"?","~?"),Guide!$A$7:$A$9,0))),INDEX(Guide!$B$7:$B$9,MATCH(SUBSTITUTE(SUBSTITUTE(SUBSTITUTE(H414,"~","~~"),"*","~*"),"?","~?"),Guide!$A$7:$A$9,0)),""),"")</f>
        <v>Office</v>
      </c>
      <c r="J414" s="1" t="str">
        <f>IF(TRIM(Raw!E414)="",I414,IF(UPPER(TRIM(Raw!E414))=UPPER(I414),I414,""))</f>
        <v>Office</v>
      </c>
      <c r="K414" s="1" t="str">
        <f>IF(Raw!F414="","",Raw!F414)</f>
        <v>sale</v>
      </c>
      <c r="L414" s="1" t="str">
        <f>IF(LEFT(TRIM(Raw!G414),2)="-$","-"&amp;MID(TRIM(Raw!G414),3,99),IF(LEFT(TRIM(Raw!G414),1)="$",MID(TRIM(Raw!G414),2,99),TRIM(Raw!G414)))</f>
        <v>177.90</v>
      </c>
      <c r="M414" s="1">
        <f t="shared" si="51"/>
        <v>177.9</v>
      </c>
      <c r="N414" s="10">
        <f t="shared" si="52"/>
        <v>17790</v>
      </c>
      <c r="O414" s="1" t="b">
        <f>IFERROR(IF(ISNUMBER(Raw!G414),TRUE,OR(EXACT(L414,TEXT(M414,"0.00")),EXACT(L414,TEXT(M414,"#,##0.00")))),FALSE)</f>
        <v>1</v>
      </c>
      <c r="P414" s="1" t="str">
        <f>LEN(IF(Raw!A414="","",Raw!A414))&amp;":"&amp;IF(Raw!A414="","",Raw!A414)&amp;"|"&amp;LEN(IF(Raw!B414="","",Raw!B414))&amp;":"&amp;IF(Raw!B414="","",Raw!B414)&amp;"|"&amp;LEN(IF(Raw!C414="","",Raw!C414))&amp;":"&amp;IF(Raw!C414="","",Raw!C414)&amp;"|"&amp;LEN(IF(Raw!D414="","",Raw!D414))&amp;":"&amp;IF(Raw!D414="","",Raw!D414)&amp;"|"&amp;LEN(IF(Raw!E414="","",Raw!E414))&amp;":"&amp;IF(Raw!E414="","",Raw!E414)&amp;"|"&amp;LEN(IF(Raw!F414="","",Raw!F414))&amp;":"&amp;IF(Raw!F414="","",Raw!F414)&amp;"|"&amp;LEN(IF(Raw!G414="","",Raw!G414))&amp;":"&amp;IF(Raw!G414="","",Raw!G414)</f>
        <v>6:L00408|6:T00204|10:2026-03-13|3:P-O|6:Office|4:sale|6:177.90</v>
      </c>
      <c r="Q414" s="1">
        <f>1</f>
        <v>1</v>
      </c>
      <c r="R414" s="1" t="b">
        <f>FALSE</f>
        <v>0</v>
      </c>
      <c r="S414" s="1">
        <f>1</f>
        <v>1</v>
      </c>
      <c r="T414" s="1" t="str">
        <f>IF(AND(Raw!A414="",Raw!B414="",Raw!C414="",Raw!D414="",Raw!E414="",Raw!F414="",Raw!G414=""),"UNUSED",IF(A414="","missing line ID",IF(B414="","missing transaction ID",IF(G414="",IF(C414="","missing date","invalid date"),IF(I414="","unknown product",IF(J414="","conflicting category",IF(NOT(OR(EXACT(K414,"sale"),EXACT(K414,"refund"))),"unknown event",IF(OR(N414="",NOT(O414)),"invalid amount",IF(OR(AND(K414="sale",N414&lt;=0),AND(K414="refund",N414&gt;=0)),"invalid sign","")))))))))</f>
        <v/>
      </c>
      <c r="U414" s="1" t="str">
        <f t="shared" si="53"/>
        <v>INCLUDED</v>
      </c>
      <c r="V414" s="1" t="str">
        <f t="shared" si="54"/>
        <v>2026-03</v>
      </c>
      <c r="W414" s="1">
        <f>IF(AND(U414="INCLUDED",X414&gt;0,EXACT(A414,'AI output'!A414)),1,0)</f>
        <v>1</v>
      </c>
      <c r="X414" s="1">
        <f>414</f>
        <v>414</v>
      </c>
      <c r="Y414" s="1">
        <f>IF(AND(U414="INCLUDED",W414=1),--(NOT(EXACT(A414,'AI output'!A414)))+--(NOT(EXACT(B414,'AI output'!B414)))+--(NOT(EXACT(TEXT(G414,"yyyy-mm-dd"),'AI output'!C414)))+--(NOT(EXACT(H414,'AI output'!D414)))+--(NOT(EXACT(J414,'AI output'!E414)))+--(NOT(EXACT(K414,'AI output'!F414)))+--(N414&lt;&gt;'AI output'!L414)+--(NOT('AI output'!M414)),0)</f>
        <v>0</v>
      </c>
      <c r="Z414" s="1">
        <f t="shared" si="55"/>
        <v>0</v>
      </c>
      <c r="AA414" s="1">
        <f>--EXACT(A414,"L00408")</f>
        <v>1</v>
      </c>
    </row>
    <row r="415" spans="1:27" ht="18.95" customHeight="1">
      <c r="A415" s="1" t="str">
        <f>IF(Raw!A415="","",Raw!A415)</f>
        <v>L00409</v>
      </c>
      <c r="B415" s="1" t="str">
        <f>IF(Raw!B415="","",Raw!B415)</f>
        <v>T00205</v>
      </c>
      <c r="C415" s="1" t="str">
        <f>IF(Raw!C415="","",Raw!C415)</f>
        <v>2026-03-20</v>
      </c>
      <c r="D415" s="1">
        <f t="shared" si="48"/>
        <v>2026</v>
      </c>
      <c r="E415" s="1">
        <f>IFERROR(IF(AND(LEN(C415)=10,MID(C415,5,1)="-",MID(C415,8,1)="-"),VALUE(MID(C415,6,2)),IF(AND(LEN(C415)=11,MID(C415,3,1)="-",MID(C415,7,1)="-"),MATCH(UPPER(MID(C415,4,3)),Guide!$D$7:$D$18,0),0)),0)</f>
        <v>3</v>
      </c>
      <c r="F415" s="1">
        <f t="shared" si="49"/>
        <v>20</v>
      </c>
      <c r="G415" s="9">
        <f t="shared" si="50"/>
        <v>46101</v>
      </c>
      <c r="H415" s="1" t="str">
        <f>IF(Raw!D415="","",Raw!D415)</f>
        <v>P-A</v>
      </c>
      <c r="I415" s="1" t="str">
        <f>IFERROR(IF(EXACT(H415,INDEX(Guide!$A$7:$A$9,MATCH(SUBSTITUTE(SUBSTITUTE(SUBSTITUTE(H415,"~","~~"),"*","~*"),"?","~?"),Guide!$A$7:$A$9,0))),INDEX(Guide!$B$7:$B$9,MATCH(SUBSTITUTE(SUBSTITUTE(SUBSTITUTE(H415,"~","~~"),"*","~*"),"?","~?"),Guide!$A$7:$A$9,0)),""),"")</f>
        <v>Accessories</v>
      </c>
      <c r="J415" s="1" t="str">
        <f>IF(TRIM(Raw!E415)="",I415,IF(UPPER(TRIM(Raw!E415))=UPPER(I415),I415,""))</f>
        <v>Accessories</v>
      </c>
      <c r="K415" s="1" t="str">
        <f>IF(Raw!F415="","",Raw!F415)</f>
        <v>sale</v>
      </c>
      <c r="L415" s="1" t="str">
        <f>IF(LEFT(TRIM(Raw!G415),2)="-$","-"&amp;MID(TRIM(Raw!G415),3,99),IF(LEFT(TRIM(Raw!G415),1)="$",MID(TRIM(Raw!G415),2,99),TRIM(Raw!G415)))</f>
        <v>71.90</v>
      </c>
      <c r="M415" s="1">
        <f t="shared" si="51"/>
        <v>71.900000000000006</v>
      </c>
      <c r="N415" s="10">
        <f t="shared" si="52"/>
        <v>7190</v>
      </c>
      <c r="O415" s="1" t="b">
        <f>IFERROR(IF(ISNUMBER(Raw!G415),TRUE,OR(EXACT(L415,TEXT(M415,"0.00")),EXACT(L415,TEXT(M415,"#,##0.00")))),FALSE)</f>
        <v>1</v>
      </c>
      <c r="P415" s="1" t="str">
        <f>LEN(IF(Raw!A415="","",Raw!A415))&amp;":"&amp;IF(Raw!A415="","",Raw!A415)&amp;"|"&amp;LEN(IF(Raw!B415="","",Raw!B415))&amp;":"&amp;IF(Raw!B415="","",Raw!B415)&amp;"|"&amp;LEN(IF(Raw!C415="","",Raw!C415))&amp;":"&amp;IF(Raw!C415="","",Raw!C415)&amp;"|"&amp;LEN(IF(Raw!D415="","",Raw!D415))&amp;":"&amp;IF(Raw!D415="","",Raw!D415)&amp;"|"&amp;LEN(IF(Raw!E415="","",Raw!E415))&amp;":"&amp;IF(Raw!E415="","",Raw!E415)&amp;"|"&amp;LEN(IF(Raw!F415="","",Raw!F415))&amp;":"&amp;IF(Raw!F415="","",Raw!F415)&amp;"|"&amp;LEN(IF(Raw!G415="","",Raw!G415))&amp;":"&amp;IF(Raw!G415="","",Raw!G415)</f>
        <v>6:L00409|6:T00205|10:2026-03-20|3:P-A|11:Accessories|4:sale|5:71.90</v>
      </c>
      <c r="Q415" s="1">
        <f>1</f>
        <v>1</v>
      </c>
      <c r="R415" s="1" t="b">
        <f>FALSE</f>
        <v>0</v>
      </c>
      <c r="S415" s="1">
        <f>1</f>
        <v>1</v>
      </c>
      <c r="T415" s="1" t="str">
        <f>IF(AND(Raw!A415="",Raw!B415="",Raw!C415="",Raw!D415="",Raw!E415="",Raw!F415="",Raw!G415=""),"UNUSED",IF(A415="","missing line ID",IF(B415="","missing transaction ID",IF(G415="",IF(C415="","missing date","invalid date"),IF(I415="","unknown product",IF(J415="","conflicting category",IF(NOT(OR(EXACT(K415,"sale"),EXACT(K415,"refund"))),"unknown event",IF(OR(N415="",NOT(O415)),"invalid amount",IF(OR(AND(K415="sale",N415&lt;=0),AND(K415="refund",N415&gt;=0)),"invalid sign","")))))))))</f>
        <v/>
      </c>
      <c r="U415" s="1" t="str">
        <f t="shared" si="53"/>
        <v>INCLUDED</v>
      </c>
      <c r="V415" s="1" t="str">
        <f t="shared" si="54"/>
        <v>2026-03</v>
      </c>
      <c r="W415" s="1">
        <f>IF(AND(U415="INCLUDED",X415&gt;0,EXACT(A415,'AI output'!A415)),1,0)</f>
        <v>1</v>
      </c>
      <c r="X415" s="1">
        <f>415</f>
        <v>415</v>
      </c>
      <c r="Y415" s="1">
        <f>IF(AND(U415="INCLUDED",W415=1),--(NOT(EXACT(A415,'AI output'!A415)))+--(NOT(EXACT(B415,'AI output'!B415)))+--(NOT(EXACT(TEXT(G415,"yyyy-mm-dd"),'AI output'!C415)))+--(NOT(EXACT(H415,'AI output'!D415)))+--(NOT(EXACT(J415,'AI output'!E415)))+--(NOT(EXACT(K415,'AI output'!F415)))+--(N415&lt;&gt;'AI output'!L415)+--(NOT('AI output'!M415)),0)</f>
        <v>0</v>
      </c>
      <c r="Z415" s="1">
        <f t="shared" si="55"/>
        <v>0</v>
      </c>
      <c r="AA415" s="1">
        <f>--EXACT(A415,"L00409")</f>
        <v>1</v>
      </c>
    </row>
    <row r="416" spans="1:27" ht="18.95" customHeight="1">
      <c r="A416" s="1" t="str">
        <f>IF(Raw!A416="","",Raw!A416)</f>
        <v>L00410</v>
      </c>
      <c r="B416" s="1" t="str">
        <f>IF(Raw!B416="","",Raw!B416)</f>
        <v>T00205</v>
      </c>
      <c r="C416" s="1" t="str">
        <f>IF(Raw!C416="","",Raw!C416)</f>
        <v>2026-03-20</v>
      </c>
      <c r="D416" s="1">
        <f t="shared" si="48"/>
        <v>2026</v>
      </c>
      <c r="E416" s="1">
        <f>IFERROR(IF(AND(LEN(C416)=10,MID(C416,5,1)="-",MID(C416,8,1)="-"),VALUE(MID(C416,6,2)),IF(AND(LEN(C416)=11,MID(C416,3,1)="-",MID(C416,7,1)="-"),MATCH(UPPER(MID(C416,4,3)),Guide!$D$7:$D$18,0),0)),0)</f>
        <v>3</v>
      </c>
      <c r="F416" s="1">
        <f t="shared" si="49"/>
        <v>20</v>
      </c>
      <c r="G416" s="9">
        <f t="shared" si="50"/>
        <v>46101</v>
      </c>
      <c r="H416" s="1" t="str">
        <f>IF(Raw!D416="","",Raw!D416)</f>
        <v>P-H</v>
      </c>
      <c r="I416" s="1" t="str">
        <f>IFERROR(IF(EXACT(H416,INDEX(Guide!$A$7:$A$9,MATCH(SUBSTITUTE(SUBSTITUTE(SUBSTITUTE(H416,"~","~~"),"*","~*"),"?","~?"),Guide!$A$7:$A$9,0))),INDEX(Guide!$B$7:$B$9,MATCH(SUBSTITUTE(SUBSTITUTE(SUBSTITUTE(H416,"~","~~"),"*","~*"),"?","~?"),Guide!$A$7:$A$9,0)),""),"")</f>
        <v>Home</v>
      </c>
      <c r="J416" s="1" t="str">
        <f>IF(TRIM(Raw!E416)="",I416,IF(UPPER(TRIM(Raw!E416))=UPPER(I416),I416,""))</f>
        <v>Home</v>
      </c>
      <c r="K416" s="1" t="str">
        <f>IF(Raw!F416="","",Raw!F416)</f>
        <v>sale</v>
      </c>
      <c r="L416" s="1" t="str">
        <f>IF(LEFT(TRIM(Raw!G416),2)="-$","-"&amp;MID(TRIM(Raw!G416),3,99),IF(LEFT(TRIM(Raw!G416),1)="$",MID(TRIM(Raw!G416),2,99),TRIM(Raw!G416)))</f>
        <v>145.28</v>
      </c>
      <c r="M416" s="1">
        <f t="shared" si="51"/>
        <v>145.28</v>
      </c>
      <c r="N416" s="10">
        <f t="shared" si="52"/>
        <v>14528</v>
      </c>
      <c r="O416" s="1" t="b">
        <f>IFERROR(IF(ISNUMBER(Raw!G416),TRUE,OR(EXACT(L416,TEXT(M416,"0.00")),EXACT(L416,TEXT(M416,"#,##0.00")))),FALSE)</f>
        <v>1</v>
      </c>
      <c r="P416" s="1" t="str">
        <f>LEN(IF(Raw!A416="","",Raw!A416))&amp;":"&amp;IF(Raw!A416="","",Raw!A416)&amp;"|"&amp;LEN(IF(Raw!B416="","",Raw!B416))&amp;":"&amp;IF(Raw!B416="","",Raw!B416)&amp;"|"&amp;LEN(IF(Raw!C416="","",Raw!C416))&amp;":"&amp;IF(Raw!C416="","",Raw!C416)&amp;"|"&amp;LEN(IF(Raw!D416="","",Raw!D416))&amp;":"&amp;IF(Raw!D416="","",Raw!D416)&amp;"|"&amp;LEN(IF(Raw!E416="","",Raw!E416))&amp;":"&amp;IF(Raw!E416="","",Raw!E416)&amp;"|"&amp;LEN(IF(Raw!F416="","",Raw!F416))&amp;":"&amp;IF(Raw!F416="","",Raw!F416)&amp;"|"&amp;LEN(IF(Raw!G416="","",Raw!G416))&amp;":"&amp;IF(Raw!G416="","",Raw!G416)</f>
        <v>6:L00410|6:T00205|10:2026-03-20|3:P-H|4:Home|4:sale|6:145.28</v>
      </c>
      <c r="Q416" s="1">
        <f>1</f>
        <v>1</v>
      </c>
      <c r="R416" s="1" t="b">
        <f>FALSE</f>
        <v>0</v>
      </c>
      <c r="S416" s="1">
        <f>1</f>
        <v>1</v>
      </c>
      <c r="T416" s="1" t="str">
        <f>IF(AND(Raw!A416="",Raw!B416="",Raw!C416="",Raw!D416="",Raw!E416="",Raw!F416="",Raw!G416=""),"UNUSED",IF(A416="","missing line ID",IF(B416="","missing transaction ID",IF(G416="",IF(C416="","missing date","invalid date"),IF(I416="","unknown product",IF(J416="","conflicting category",IF(NOT(OR(EXACT(K416,"sale"),EXACT(K416,"refund"))),"unknown event",IF(OR(N416="",NOT(O416)),"invalid amount",IF(OR(AND(K416="sale",N416&lt;=0),AND(K416="refund",N416&gt;=0)),"invalid sign","")))))))))</f>
        <v/>
      </c>
      <c r="U416" s="1" t="str">
        <f t="shared" si="53"/>
        <v>INCLUDED</v>
      </c>
      <c r="V416" s="1" t="str">
        <f t="shared" si="54"/>
        <v>2026-03</v>
      </c>
      <c r="W416" s="1">
        <f>IF(AND(U416="INCLUDED",X416&gt;0,EXACT(A416,'AI output'!A416)),1,0)</f>
        <v>1</v>
      </c>
      <c r="X416" s="1">
        <f>416</f>
        <v>416</v>
      </c>
      <c r="Y416" s="1">
        <f>IF(AND(U416="INCLUDED",W416=1),--(NOT(EXACT(A416,'AI output'!A416)))+--(NOT(EXACT(B416,'AI output'!B416)))+--(NOT(EXACT(TEXT(G416,"yyyy-mm-dd"),'AI output'!C416)))+--(NOT(EXACT(H416,'AI output'!D416)))+--(NOT(EXACT(J416,'AI output'!E416)))+--(NOT(EXACT(K416,'AI output'!F416)))+--(N416&lt;&gt;'AI output'!L416)+--(NOT('AI output'!M416)),0)</f>
        <v>0</v>
      </c>
      <c r="Z416" s="1">
        <f t="shared" si="55"/>
        <v>0</v>
      </c>
      <c r="AA416" s="1">
        <f>--EXACT(A416,"L00410")</f>
        <v>1</v>
      </c>
    </row>
    <row r="417" spans="1:27" ht="18.95" customHeight="1">
      <c r="A417" s="1" t="str">
        <f>IF(Raw!A417="","",Raw!A417)</f>
        <v>L00411</v>
      </c>
      <c r="B417" s="1" t="str">
        <f>IF(Raw!B417="","",Raw!B417)</f>
        <v>T00206</v>
      </c>
      <c r="C417" s="1" t="str">
        <f>IF(Raw!C417="","",Raw!C417)</f>
        <v>2026-03-27</v>
      </c>
      <c r="D417" s="1">
        <f t="shared" si="48"/>
        <v>2026</v>
      </c>
      <c r="E417" s="1">
        <f>IFERROR(IF(AND(LEN(C417)=10,MID(C417,5,1)="-",MID(C417,8,1)="-"),VALUE(MID(C417,6,2)),IF(AND(LEN(C417)=11,MID(C417,3,1)="-",MID(C417,7,1)="-"),MATCH(UPPER(MID(C417,4,3)),Guide!$D$7:$D$18,0),0)),0)</f>
        <v>3</v>
      </c>
      <c r="F417" s="1">
        <f t="shared" si="49"/>
        <v>27</v>
      </c>
      <c r="G417" s="9">
        <f t="shared" si="50"/>
        <v>46108</v>
      </c>
      <c r="H417" s="1" t="str">
        <f>IF(Raw!D417="","",Raw!D417)</f>
        <v>P-O</v>
      </c>
      <c r="I417" s="1" t="str">
        <f>IFERROR(IF(EXACT(H417,INDEX(Guide!$A$7:$A$9,MATCH(SUBSTITUTE(SUBSTITUTE(SUBSTITUTE(H417,"~","~~"),"*","~*"),"?","~?"),Guide!$A$7:$A$9,0))),INDEX(Guide!$B$7:$B$9,MATCH(SUBSTITUTE(SUBSTITUTE(SUBSTITUTE(H417,"~","~~"),"*","~*"),"?","~?"),Guide!$A$7:$A$9,0)),""),"")</f>
        <v>Office</v>
      </c>
      <c r="J417" s="1" t="str">
        <f>IF(TRIM(Raw!E417)="",I417,IF(UPPER(TRIM(Raw!E417))=UPPER(I417),I417,""))</f>
        <v>Office</v>
      </c>
      <c r="K417" s="1" t="str">
        <f>IF(Raw!F417="","",Raw!F417)</f>
        <v>sale</v>
      </c>
      <c r="L417" s="1" t="str">
        <f>IF(LEFT(TRIM(Raw!G417),2)="-$","-"&amp;MID(TRIM(Raw!G417),3,99),IF(LEFT(TRIM(Raw!G417),1)="$",MID(TRIM(Raw!G417),2,99),TRIM(Raw!G417)))</f>
        <v>36.69</v>
      </c>
      <c r="M417" s="1">
        <f t="shared" si="51"/>
        <v>36.69</v>
      </c>
      <c r="N417" s="10">
        <f t="shared" si="52"/>
        <v>3669</v>
      </c>
      <c r="O417" s="1" t="b">
        <f>IFERROR(IF(ISNUMBER(Raw!G417),TRUE,OR(EXACT(L417,TEXT(M417,"0.00")),EXACT(L417,TEXT(M417,"#,##0.00")))),FALSE)</f>
        <v>1</v>
      </c>
      <c r="P417" s="1" t="str">
        <f>LEN(IF(Raw!A417="","",Raw!A417))&amp;":"&amp;IF(Raw!A417="","",Raw!A417)&amp;"|"&amp;LEN(IF(Raw!B417="","",Raw!B417))&amp;":"&amp;IF(Raw!B417="","",Raw!B417)&amp;"|"&amp;LEN(IF(Raw!C417="","",Raw!C417))&amp;":"&amp;IF(Raw!C417="","",Raw!C417)&amp;"|"&amp;LEN(IF(Raw!D417="","",Raw!D417))&amp;":"&amp;IF(Raw!D417="","",Raw!D417)&amp;"|"&amp;LEN(IF(Raw!E417="","",Raw!E417))&amp;":"&amp;IF(Raw!E417="","",Raw!E417)&amp;"|"&amp;LEN(IF(Raw!F417="","",Raw!F417))&amp;":"&amp;IF(Raw!F417="","",Raw!F417)&amp;"|"&amp;LEN(IF(Raw!G417="","",Raw!G417))&amp;":"&amp;IF(Raw!G417="","",Raw!G417)</f>
        <v>6:L00411|6:T00206|10:2026-03-27|3:P-O|6:Office|4:sale|5:36.69</v>
      </c>
      <c r="Q417" s="1">
        <f>1</f>
        <v>1</v>
      </c>
      <c r="R417" s="1" t="b">
        <f>FALSE</f>
        <v>0</v>
      </c>
      <c r="S417" s="1">
        <f>1</f>
        <v>1</v>
      </c>
      <c r="T417" s="1" t="str">
        <f>IF(AND(Raw!A417="",Raw!B417="",Raw!C417="",Raw!D417="",Raw!E417="",Raw!F417="",Raw!G417=""),"UNUSED",IF(A417="","missing line ID",IF(B417="","missing transaction ID",IF(G417="",IF(C417="","missing date","invalid date"),IF(I417="","unknown product",IF(J417="","conflicting category",IF(NOT(OR(EXACT(K417,"sale"),EXACT(K417,"refund"))),"unknown event",IF(OR(N417="",NOT(O417)),"invalid amount",IF(OR(AND(K417="sale",N417&lt;=0),AND(K417="refund",N417&gt;=0)),"invalid sign","")))))))))</f>
        <v/>
      </c>
      <c r="U417" s="1" t="str">
        <f t="shared" si="53"/>
        <v>INCLUDED</v>
      </c>
      <c r="V417" s="1" t="str">
        <f t="shared" si="54"/>
        <v>2026-03</v>
      </c>
      <c r="W417" s="1">
        <f>IF(AND(U417="INCLUDED",X417&gt;0,EXACT(A417,'AI output'!A417)),1,0)</f>
        <v>1</v>
      </c>
      <c r="X417" s="1">
        <f>417</f>
        <v>417</v>
      </c>
      <c r="Y417" s="1">
        <f>IF(AND(U417="INCLUDED",W417=1),--(NOT(EXACT(A417,'AI output'!A417)))+--(NOT(EXACT(B417,'AI output'!B417)))+--(NOT(EXACT(TEXT(G417,"yyyy-mm-dd"),'AI output'!C417)))+--(NOT(EXACT(H417,'AI output'!D417)))+--(NOT(EXACT(J417,'AI output'!E417)))+--(NOT(EXACT(K417,'AI output'!F417)))+--(N417&lt;&gt;'AI output'!L417)+--(NOT('AI output'!M417)),0)</f>
        <v>0</v>
      </c>
      <c r="Z417" s="1">
        <f t="shared" si="55"/>
        <v>0</v>
      </c>
      <c r="AA417" s="1">
        <f>--EXACT(A417,"L00411")</f>
        <v>1</v>
      </c>
    </row>
    <row r="418" spans="1:27" ht="18.95" customHeight="1">
      <c r="A418" s="1" t="str">
        <f>IF(Raw!A418="","",Raw!A418)</f>
        <v>L00412</v>
      </c>
      <c r="B418" s="1" t="str">
        <f>IF(Raw!B418="","",Raw!B418)</f>
        <v>T00206</v>
      </c>
      <c r="C418" s="1" t="str">
        <f>IF(Raw!C418="","",Raw!C418)</f>
        <v>2026-03-27</v>
      </c>
      <c r="D418" s="1">
        <f t="shared" si="48"/>
        <v>2026</v>
      </c>
      <c r="E418" s="1">
        <f>IFERROR(IF(AND(LEN(C418)=10,MID(C418,5,1)="-",MID(C418,8,1)="-"),VALUE(MID(C418,6,2)),IF(AND(LEN(C418)=11,MID(C418,3,1)="-",MID(C418,7,1)="-"),MATCH(UPPER(MID(C418,4,3)),Guide!$D$7:$D$18,0),0)),0)</f>
        <v>3</v>
      </c>
      <c r="F418" s="1">
        <f t="shared" si="49"/>
        <v>27</v>
      </c>
      <c r="G418" s="9">
        <f t="shared" si="50"/>
        <v>46108</v>
      </c>
      <c r="H418" s="1" t="str">
        <f>IF(Raw!D418="","",Raw!D418)</f>
        <v>P-A</v>
      </c>
      <c r="I418" s="1" t="str">
        <f>IFERROR(IF(EXACT(H418,INDEX(Guide!$A$7:$A$9,MATCH(SUBSTITUTE(SUBSTITUTE(SUBSTITUTE(H418,"~","~~"),"*","~*"),"?","~?"),Guide!$A$7:$A$9,0))),INDEX(Guide!$B$7:$B$9,MATCH(SUBSTITUTE(SUBSTITUTE(SUBSTITUTE(H418,"~","~~"),"*","~*"),"?","~?"),Guide!$A$7:$A$9,0)),""),"")</f>
        <v>Accessories</v>
      </c>
      <c r="J418" s="1" t="str">
        <f>IF(TRIM(Raw!E418)="",I418,IF(UPPER(TRIM(Raw!E418))=UPPER(I418),I418,""))</f>
        <v>Accessories</v>
      </c>
      <c r="K418" s="1" t="str">
        <f>IF(Raw!F418="","",Raw!F418)</f>
        <v>sale</v>
      </c>
      <c r="L418" s="1" t="str">
        <f>IF(LEFT(TRIM(Raw!G418),2)="-$","-"&amp;MID(TRIM(Raw!G418),3,99),IF(LEFT(TRIM(Raw!G418),1)="$",MID(TRIM(Raw!G418),2,99),TRIM(Raw!G418)))</f>
        <v>111.18</v>
      </c>
      <c r="M418" s="1">
        <f t="shared" si="51"/>
        <v>111.18</v>
      </c>
      <c r="N418" s="10">
        <f t="shared" si="52"/>
        <v>11118</v>
      </c>
      <c r="O418" s="1" t="b">
        <f>IFERROR(IF(ISNUMBER(Raw!G418),TRUE,OR(EXACT(L418,TEXT(M418,"0.00")),EXACT(L418,TEXT(M418,"#,##0.00")))),FALSE)</f>
        <v>1</v>
      </c>
      <c r="P418" s="1" t="str">
        <f>LEN(IF(Raw!A418="","",Raw!A418))&amp;":"&amp;IF(Raw!A418="","",Raw!A418)&amp;"|"&amp;LEN(IF(Raw!B418="","",Raw!B418))&amp;":"&amp;IF(Raw!B418="","",Raw!B418)&amp;"|"&amp;LEN(IF(Raw!C418="","",Raw!C418))&amp;":"&amp;IF(Raw!C418="","",Raw!C418)&amp;"|"&amp;LEN(IF(Raw!D418="","",Raw!D418))&amp;":"&amp;IF(Raw!D418="","",Raw!D418)&amp;"|"&amp;LEN(IF(Raw!E418="","",Raw!E418))&amp;":"&amp;IF(Raw!E418="","",Raw!E418)&amp;"|"&amp;LEN(IF(Raw!F418="","",Raw!F418))&amp;":"&amp;IF(Raw!F418="","",Raw!F418)&amp;"|"&amp;LEN(IF(Raw!G418="","",Raw!G418))&amp;":"&amp;IF(Raw!G418="","",Raw!G418)</f>
        <v>6:L00412|6:T00206|10:2026-03-27|3:P-A|11:Accessories|4:sale|6:111.18</v>
      </c>
      <c r="Q418" s="1">
        <f>1</f>
        <v>1</v>
      </c>
      <c r="R418" s="1" t="b">
        <f>FALSE</f>
        <v>0</v>
      </c>
      <c r="S418" s="1">
        <f>1</f>
        <v>1</v>
      </c>
      <c r="T418" s="1" t="str">
        <f>IF(AND(Raw!A418="",Raw!B418="",Raw!C418="",Raw!D418="",Raw!E418="",Raw!F418="",Raw!G418=""),"UNUSED",IF(A418="","missing line ID",IF(B418="","missing transaction ID",IF(G418="",IF(C418="","missing date","invalid date"),IF(I418="","unknown product",IF(J418="","conflicting category",IF(NOT(OR(EXACT(K418,"sale"),EXACT(K418,"refund"))),"unknown event",IF(OR(N418="",NOT(O418)),"invalid amount",IF(OR(AND(K418="sale",N418&lt;=0),AND(K418="refund",N418&gt;=0)),"invalid sign","")))))))))</f>
        <v/>
      </c>
      <c r="U418" s="1" t="str">
        <f t="shared" si="53"/>
        <v>INCLUDED</v>
      </c>
      <c r="V418" s="1" t="str">
        <f t="shared" si="54"/>
        <v>2026-03</v>
      </c>
      <c r="W418" s="1">
        <f>IF(AND(U418="INCLUDED",X418&gt;0,EXACT(A418,'AI output'!A418)),1,0)</f>
        <v>1</v>
      </c>
      <c r="X418" s="1">
        <f>418</f>
        <v>418</v>
      </c>
      <c r="Y418" s="1">
        <f>IF(AND(U418="INCLUDED",W418=1),--(NOT(EXACT(A418,'AI output'!A418)))+--(NOT(EXACT(B418,'AI output'!B418)))+--(NOT(EXACT(TEXT(G418,"yyyy-mm-dd"),'AI output'!C418)))+--(NOT(EXACT(H418,'AI output'!D418)))+--(NOT(EXACT(J418,'AI output'!E418)))+--(NOT(EXACT(K418,'AI output'!F418)))+--(N418&lt;&gt;'AI output'!L418)+--(NOT('AI output'!M418)),0)</f>
        <v>0</v>
      </c>
      <c r="Z418" s="1">
        <f t="shared" si="55"/>
        <v>0</v>
      </c>
      <c r="AA418" s="1">
        <f>--EXACT(A418,"L00412")</f>
        <v>1</v>
      </c>
    </row>
    <row r="419" spans="1:27" ht="18.95" customHeight="1">
      <c r="A419" s="1" t="str">
        <f>IF(Raw!A419="","",Raw!A419)</f>
        <v>L00413</v>
      </c>
      <c r="B419" s="1" t="str">
        <f>IF(Raw!B419="","",Raw!B419)</f>
        <v>T00207</v>
      </c>
      <c r="C419" s="1" t="str">
        <f>IF(Raw!C419="","",Raw!C419)</f>
        <v>2026-01-03</v>
      </c>
      <c r="D419" s="1">
        <f t="shared" si="48"/>
        <v>2026</v>
      </c>
      <c r="E419" s="1">
        <f>IFERROR(IF(AND(LEN(C419)=10,MID(C419,5,1)="-",MID(C419,8,1)="-"),VALUE(MID(C419,6,2)),IF(AND(LEN(C419)=11,MID(C419,3,1)="-",MID(C419,7,1)="-"),MATCH(UPPER(MID(C419,4,3)),Guide!$D$7:$D$18,0),0)),0)</f>
        <v>1</v>
      </c>
      <c r="F419" s="1">
        <f t="shared" si="49"/>
        <v>3</v>
      </c>
      <c r="G419" s="9">
        <f t="shared" si="50"/>
        <v>46025</v>
      </c>
      <c r="H419" s="1" t="str">
        <f>IF(Raw!D419="","",Raw!D419)</f>
        <v>P-H</v>
      </c>
      <c r="I419" s="1" t="str">
        <f>IFERROR(IF(EXACT(H419,INDEX(Guide!$A$7:$A$9,MATCH(SUBSTITUTE(SUBSTITUTE(SUBSTITUTE(H419,"~","~~"),"*","~*"),"?","~?"),Guide!$A$7:$A$9,0))),INDEX(Guide!$B$7:$B$9,MATCH(SUBSTITUTE(SUBSTITUTE(SUBSTITUTE(H419,"~","~~"),"*","~*"),"?","~?"),Guide!$A$7:$A$9,0)),""),"")</f>
        <v>Home</v>
      </c>
      <c r="J419" s="1" t="str">
        <f>IF(TRIM(Raw!E419)="",I419,IF(UPPER(TRIM(Raw!E419))=UPPER(I419),I419,""))</f>
        <v>Home</v>
      </c>
      <c r="K419" s="1" t="str">
        <f>IF(Raw!F419="","",Raw!F419)</f>
        <v>sale</v>
      </c>
      <c r="L419" s="1" t="str">
        <f>IF(LEFT(TRIM(Raw!G419),2)="-$","-"&amp;MID(TRIM(Raw!G419),3,99),IF(LEFT(TRIM(Raw!G419),1)="$",MID(TRIM(Raw!G419),2,99),TRIM(Raw!G419)))</f>
        <v>187.15</v>
      </c>
      <c r="M419" s="1">
        <f t="shared" si="51"/>
        <v>187.15</v>
      </c>
      <c r="N419" s="10">
        <f t="shared" si="52"/>
        <v>18715</v>
      </c>
      <c r="O419" s="1" t="b">
        <f>IFERROR(IF(ISNUMBER(Raw!G419),TRUE,OR(EXACT(L419,TEXT(M419,"0.00")),EXACT(L419,TEXT(M419,"#,##0.00")))),FALSE)</f>
        <v>1</v>
      </c>
      <c r="P419" s="1" t="str">
        <f>LEN(IF(Raw!A419="","",Raw!A419))&amp;":"&amp;IF(Raw!A419="","",Raw!A419)&amp;"|"&amp;LEN(IF(Raw!B419="","",Raw!B419))&amp;":"&amp;IF(Raw!B419="","",Raw!B419)&amp;"|"&amp;LEN(IF(Raw!C419="","",Raw!C419))&amp;":"&amp;IF(Raw!C419="","",Raw!C419)&amp;"|"&amp;LEN(IF(Raw!D419="","",Raw!D419))&amp;":"&amp;IF(Raw!D419="","",Raw!D419)&amp;"|"&amp;LEN(IF(Raw!E419="","",Raw!E419))&amp;":"&amp;IF(Raw!E419="","",Raw!E419)&amp;"|"&amp;LEN(IF(Raw!F419="","",Raw!F419))&amp;":"&amp;IF(Raw!F419="","",Raw!F419)&amp;"|"&amp;LEN(IF(Raw!G419="","",Raw!G419))&amp;":"&amp;IF(Raw!G419="","",Raw!G419)</f>
        <v>6:L00413|6:T00207|10:2026-01-03|3:P-H|4:Home|4:sale|6:187.15</v>
      </c>
      <c r="Q419" s="1">
        <f>1</f>
        <v>1</v>
      </c>
      <c r="R419" s="1" t="b">
        <f>FALSE</f>
        <v>0</v>
      </c>
      <c r="S419" s="1">
        <f>1</f>
        <v>1</v>
      </c>
      <c r="T419" s="1" t="str">
        <f>IF(AND(Raw!A419="",Raw!B419="",Raw!C419="",Raw!D419="",Raw!E419="",Raw!F419="",Raw!G419=""),"UNUSED",IF(A419="","missing line ID",IF(B419="","missing transaction ID",IF(G419="",IF(C419="","missing date","invalid date"),IF(I419="","unknown product",IF(J419="","conflicting category",IF(NOT(OR(EXACT(K419,"sale"),EXACT(K419,"refund"))),"unknown event",IF(OR(N419="",NOT(O419)),"invalid amount",IF(OR(AND(K419="sale",N419&lt;=0),AND(K419="refund",N419&gt;=0)),"invalid sign","")))))))))</f>
        <v/>
      </c>
      <c r="U419" s="1" t="str">
        <f t="shared" si="53"/>
        <v>INCLUDED</v>
      </c>
      <c r="V419" s="1" t="str">
        <f t="shared" si="54"/>
        <v>2026-01</v>
      </c>
      <c r="W419" s="1">
        <f>IF(AND(U419="INCLUDED",X419&gt;0,EXACT(A419,'AI output'!A419)),1,0)</f>
        <v>1</v>
      </c>
      <c r="X419" s="1">
        <f>419</f>
        <v>419</v>
      </c>
      <c r="Y419" s="1">
        <f>IF(AND(U419="INCLUDED",W419=1),--(NOT(EXACT(A419,'AI output'!A419)))+--(NOT(EXACT(B419,'AI output'!B419)))+--(NOT(EXACT(TEXT(G419,"yyyy-mm-dd"),'AI output'!C419)))+--(NOT(EXACT(H419,'AI output'!D419)))+--(NOT(EXACT(J419,'AI output'!E419)))+--(NOT(EXACT(K419,'AI output'!F419)))+--(N419&lt;&gt;'AI output'!L419)+--(NOT('AI output'!M419)),0)</f>
        <v>0</v>
      </c>
      <c r="Z419" s="1">
        <f t="shared" si="55"/>
        <v>0</v>
      </c>
      <c r="AA419" s="1">
        <f>--EXACT(A419,"L00413")</f>
        <v>1</v>
      </c>
    </row>
    <row r="420" spans="1:27" ht="18.95" customHeight="1">
      <c r="A420" s="1" t="str">
        <f>IF(Raw!A420="","",Raw!A420)</f>
        <v>L00414</v>
      </c>
      <c r="B420" s="1" t="str">
        <f>IF(Raw!B420="","",Raw!B420)</f>
        <v>T00207</v>
      </c>
      <c r="C420" s="1" t="str">
        <f>IF(Raw!C420="","",Raw!C420)</f>
        <v>2026-01-03</v>
      </c>
      <c r="D420" s="1">
        <f t="shared" si="48"/>
        <v>2026</v>
      </c>
      <c r="E420" s="1">
        <f>IFERROR(IF(AND(LEN(C420)=10,MID(C420,5,1)="-",MID(C420,8,1)="-"),VALUE(MID(C420,6,2)),IF(AND(LEN(C420)=11,MID(C420,3,1)="-",MID(C420,7,1)="-"),MATCH(UPPER(MID(C420,4,3)),Guide!$D$7:$D$18,0),0)),0)</f>
        <v>1</v>
      </c>
      <c r="F420" s="1">
        <f t="shared" si="49"/>
        <v>3</v>
      </c>
      <c r="G420" s="9">
        <f t="shared" si="50"/>
        <v>46025</v>
      </c>
      <c r="H420" s="1" t="str">
        <f>IF(Raw!D420="","",Raw!D420)</f>
        <v>P-O</v>
      </c>
      <c r="I420" s="1" t="str">
        <f>IFERROR(IF(EXACT(H420,INDEX(Guide!$A$7:$A$9,MATCH(SUBSTITUTE(SUBSTITUTE(SUBSTITUTE(H420,"~","~~"),"*","~*"),"?","~?"),Guide!$A$7:$A$9,0))),INDEX(Guide!$B$7:$B$9,MATCH(SUBSTITUTE(SUBSTITUTE(SUBSTITUTE(H420,"~","~~"),"*","~*"),"?","~?"),Guide!$A$7:$A$9,0)),""),"")</f>
        <v>Office</v>
      </c>
      <c r="J420" s="1" t="str">
        <f>IF(TRIM(Raw!E420)="",I420,IF(UPPER(TRIM(Raw!E420))=UPPER(I420),I420,""))</f>
        <v>Office</v>
      </c>
      <c r="K420" s="1" t="str">
        <f>IF(Raw!F420="","",Raw!F420)</f>
        <v>sale</v>
      </c>
      <c r="L420" s="1" t="str">
        <f>IF(LEFT(TRIM(Raw!G420),2)="-$","-"&amp;MID(TRIM(Raw!G420),3,99),IF(LEFT(TRIM(Raw!G420),1)="$",MID(TRIM(Raw!G420),2,99),TRIM(Raw!G420)))</f>
        <v>75.60</v>
      </c>
      <c r="M420" s="1">
        <f t="shared" si="51"/>
        <v>75.599999999999994</v>
      </c>
      <c r="N420" s="10">
        <f t="shared" si="52"/>
        <v>7560</v>
      </c>
      <c r="O420" s="1" t="b">
        <f>IFERROR(IF(ISNUMBER(Raw!G420),TRUE,OR(EXACT(L420,TEXT(M420,"0.00")),EXACT(L420,TEXT(M420,"#,##0.00")))),FALSE)</f>
        <v>1</v>
      </c>
      <c r="P420" s="1" t="str">
        <f>LEN(IF(Raw!A420="","",Raw!A420))&amp;":"&amp;IF(Raw!A420="","",Raw!A420)&amp;"|"&amp;LEN(IF(Raw!B420="","",Raw!B420))&amp;":"&amp;IF(Raw!B420="","",Raw!B420)&amp;"|"&amp;LEN(IF(Raw!C420="","",Raw!C420))&amp;":"&amp;IF(Raw!C420="","",Raw!C420)&amp;"|"&amp;LEN(IF(Raw!D420="","",Raw!D420))&amp;":"&amp;IF(Raw!D420="","",Raw!D420)&amp;"|"&amp;LEN(IF(Raw!E420="","",Raw!E420))&amp;":"&amp;IF(Raw!E420="","",Raw!E420)&amp;"|"&amp;LEN(IF(Raw!F420="","",Raw!F420))&amp;":"&amp;IF(Raw!F420="","",Raw!F420)&amp;"|"&amp;LEN(IF(Raw!G420="","",Raw!G420))&amp;":"&amp;IF(Raw!G420="","",Raw!G420)</f>
        <v>6:L00414|6:T00207|10:2026-01-03|3:P-O|6:Office|4:sale|5:75.60</v>
      </c>
      <c r="Q420" s="1">
        <f>1</f>
        <v>1</v>
      </c>
      <c r="R420" s="1" t="b">
        <f>FALSE</f>
        <v>0</v>
      </c>
      <c r="S420" s="1">
        <f>1</f>
        <v>1</v>
      </c>
      <c r="T420" s="1" t="str">
        <f>IF(AND(Raw!A420="",Raw!B420="",Raw!C420="",Raw!D420="",Raw!E420="",Raw!F420="",Raw!G420=""),"UNUSED",IF(A420="","missing line ID",IF(B420="","missing transaction ID",IF(G420="",IF(C420="","missing date","invalid date"),IF(I420="","unknown product",IF(J420="","conflicting category",IF(NOT(OR(EXACT(K420,"sale"),EXACT(K420,"refund"))),"unknown event",IF(OR(N420="",NOT(O420)),"invalid amount",IF(OR(AND(K420="sale",N420&lt;=0),AND(K420="refund",N420&gt;=0)),"invalid sign","")))))))))</f>
        <v/>
      </c>
      <c r="U420" s="1" t="str">
        <f t="shared" si="53"/>
        <v>INCLUDED</v>
      </c>
      <c r="V420" s="1" t="str">
        <f t="shared" si="54"/>
        <v>2026-01</v>
      </c>
      <c r="W420" s="1">
        <f>IF(AND(U420="INCLUDED",X420&gt;0,EXACT(A420,'AI output'!A420)),1,0)</f>
        <v>1</v>
      </c>
      <c r="X420" s="1">
        <f>420</f>
        <v>420</v>
      </c>
      <c r="Y420" s="1">
        <f>IF(AND(U420="INCLUDED",W420=1),--(NOT(EXACT(A420,'AI output'!A420)))+--(NOT(EXACT(B420,'AI output'!B420)))+--(NOT(EXACT(TEXT(G420,"yyyy-mm-dd"),'AI output'!C420)))+--(NOT(EXACT(H420,'AI output'!D420)))+--(NOT(EXACT(J420,'AI output'!E420)))+--(NOT(EXACT(K420,'AI output'!F420)))+--(N420&lt;&gt;'AI output'!L420)+--(NOT('AI output'!M420)),0)</f>
        <v>0</v>
      </c>
      <c r="Z420" s="1">
        <f t="shared" si="55"/>
        <v>0</v>
      </c>
      <c r="AA420" s="1">
        <f>--EXACT(A420,"L00414")</f>
        <v>1</v>
      </c>
    </row>
    <row r="421" spans="1:27" ht="18.95" customHeight="1">
      <c r="A421" s="1" t="str">
        <f>IF(Raw!A421="","",Raw!A421)</f>
        <v>L00415</v>
      </c>
      <c r="B421" s="1" t="str">
        <f>IF(Raw!B421="","",Raw!B421)</f>
        <v>T00208</v>
      </c>
      <c r="C421" s="1" t="str">
        <f>IF(Raw!C421="","",Raw!C421)</f>
        <v>2026-01-10</v>
      </c>
      <c r="D421" s="1">
        <f t="shared" si="48"/>
        <v>2026</v>
      </c>
      <c r="E421" s="1">
        <f>IFERROR(IF(AND(LEN(C421)=10,MID(C421,5,1)="-",MID(C421,8,1)="-"),VALUE(MID(C421,6,2)),IF(AND(LEN(C421)=11,MID(C421,3,1)="-",MID(C421,7,1)="-"),MATCH(UPPER(MID(C421,4,3)),Guide!$D$7:$D$18,0),0)),0)</f>
        <v>1</v>
      </c>
      <c r="F421" s="1">
        <f t="shared" si="49"/>
        <v>10</v>
      </c>
      <c r="G421" s="9">
        <f t="shared" si="50"/>
        <v>46032</v>
      </c>
      <c r="H421" s="1" t="str">
        <f>IF(Raw!D421="","",Raw!D421)</f>
        <v>P-A</v>
      </c>
      <c r="I421" s="1" t="str">
        <f>IFERROR(IF(EXACT(H421,INDEX(Guide!$A$7:$A$9,MATCH(SUBSTITUTE(SUBSTITUTE(SUBSTITUTE(H421,"~","~~"),"*","~*"),"?","~?"),Guide!$A$7:$A$9,0))),INDEX(Guide!$B$7:$B$9,MATCH(SUBSTITUTE(SUBSTITUTE(SUBSTITUTE(H421,"~","~~"),"*","~*"),"?","~?"),Guide!$A$7:$A$9,0)),""),"")</f>
        <v>Accessories</v>
      </c>
      <c r="J421" s="1" t="str">
        <f>IF(TRIM(Raw!E421)="",I421,IF(UPPER(TRIM(Raw!E421))=UPPER(I421),I421,""))</f>
        <v>Accessories</v>
      </c>
      <c r="K421" s="1" t="str">
        <f>IF(Raw!F421="","",Raw!F421)</f>
        <v>refund</v>
      </c>
      <c r="L421" s="1" t="str">
        <f>IF(LEFT(TRIM(Raw!G421),2)="-$","-"&amp;MID(TRIM(Raw!G421),3,99),IF(LEFT(TRIM(Raw!G421),1)="$",MID(TRIM(Raw!G421),2,99),TRIM(Raw!G421)))</f>
        <v>-152.68</v>
      </c>
      <c r="M421" s="1">
        <f t="shared" si="51"/>
        <v>-152.68</v>
      </c>
      <c r="N421" s="10">
        <f t="shared" si="52"/>
        <v>-15268</v>
      </c>
      <c r="O421" s="1" t="b">
        <f>IFERROR(IF(ISNUMBER(Raw!G421),TRUE,OR(EXACT(L421,TEXT(M421,"0.00")),EXACT(L421,TEXT(M421,"#,##0.00")))),FALSE)</f>
        <v>1</v>
      </c>
      <c r="P421" s="1" t="str">
        <f>LEN(IF(Raw!A421="","",Raw!A421))&amp;":"&amp;IF(Raw!A421="","",Raw!A421)&amp;"|"&amp;LEN(IF(Raw!B421="","",Raw!B421))&amp;":"&amp;IF(Raw!B421="","",Raw!B421)&amp;"|"&amp;LEN(IF(Raw!C421="","",Raw!C421))&amp;":"&amp;IF(Raw!C421="","",Raw!C421)&amp;"|"&amp;LEN(IF(Raw!D421="","",Raw!D421))&amp;":"&amp;IF(Raw!D421="","",Raw!D421)&amp;"|"&amp;LEN(IF(Raw!E421="","",Raw!E421))&amp;":"&amp;IF(Raw!E421="","",Raw!E421)&amp;"|"&amp;LEN(IF(Raw!F421="","",Raw!F421))&amp;":"&amp;IF(Raw!F421="","",Raw!F421)&amp;"|"&amp;LEN(IF(Raw!G421="","",Raw!G421))&amp;":"&amp;IF(Raw!G421="","",Raw!G421)</f>
        <v>6:L00415|6:T00208|10:2026-01-10|3:P-A|11:Accessories|6:refund|7:-152.68</v>
      </c>
      <c r="Q421" s="1">
        <f>1</f>
        <v>1</v>
      </c>
      <c r="R421" s="1" t="b">
        <f>FALSE</f>
        <v>0</v>
      </c>
      <c r="S421" s="1">
        <f>1</f>
        <v>1</v>
      </c>
      <c r="T421" s="1" t="str">
        <f>IF(AND(Raw!A421="",Raw!B421="",Raw!C421="",Raw!D421="",Raw!E421="",Raw!F421="",Raw!G421=""),"UNUSED",IF(A421="","missing line ID",IF(B421="","missing transaction ID",IF(G421="",IF(C421="","missing date","invalid date"),IF(I421="","unknown product",IF(J421="","conflicting category",IF(NOT(OR(EXACT(K421,"sale"),EXACT(K421,"refund"))),"unknown event",IF(OR(N421="",NOT(O421)),"invalid amount",IF(OR(AND(K421="sale",N421&lt;=0),AND(K421="refund",N421&gt;=0)),"invalid sign","")))))))))</f>
        <v/>
      </c>
      <c r="U421" s="1" t="str">
        <f t="shared" si="53"/>
        <v>INCLUDED</v>
      </c>
      <c r="V421" s="1" t="str">
        <f t="shared" si="54"/>
        <v>2026-01</v>
      </c>
      <c r="W421" s="1">
        <f>IF(AND(U421="INCLUDED",X421&gt;0,EXACT(A421,'AI output'!A421)),1,0)</f>
        <v>1</v>
      </c>
      <c r="X421" s="1">
        <f>421</f>
        <v>421</v>
      </c>
      <c r="Y421" s="1">
        <f>IF(AND(U421="INCLUDED",W421=1),--(NOT(EXACT(A421,'AI output'!A421)))+--(NOT(EXACT(B421,'AI output'!B421)))+--(NOT(EXACT(TEXT(G421,"yyyy-mm-dd"),'AI output'!C421)))+--(NOT(EXACT(H421,'AI output'!D421)))+--(NOT(EXACT(J421,'AI output'!E421)))+--(NOT(EXACT(K421,'AI output'!F421)))+--(N421&lt;&gt;'AI output'!L421)+--(NOT('AI output'!M421)),0)</f>
        <v>0</v>
      </c>
      <c r="Z421" s="1">
        <f t="shared" si="55"/>
        <v>0</v>
      </c>
      <c r="AA421" s="1">
        <f>--EXACT(A421,"L00415")</f>
        <v>1</v>
      </c>
    </row>
    <row r="422" spans="1:27" ht="18.95" customHeight="1">
      <c r="A422" s="1" t="str">
        <f>IF(Raw!A422="","",Raw!A422)</f>
        <v>L00416</v>
      </c>
      <c r="B422" s="1" t="str">
        <f>IF(Raw!B422="","",Raw!B422)</f>
        <v>T00208</v>
      </c>
      <c r="C422" s="1" t="str">
        <f>IF(Raw!C422="","",Raw!C422)</f>
        <v>2026-01-10</v>
      </c>
      <c r="D422" s="1">
        <f t="shared" si="48"/>
        <v>2026</v>
      </c>
      <c r="E422" s="1">
        <f>IFERROR(IF(AND(LEN(C422)=10,MID(C422,5,1)="-",MID(C422,8,1)="-"),VALUE(MID(C422,6,2)),IF(AND(LEN(C422)=11,MID(C422,3,1)="-",MID(C422,7,1)="-"),MATCH(UPPER(MID(C422,4,3)),Guide!$D$7:$D$18,0),0)),0)</f>
        <v>1</v>
      </c>
      <c r="F422" s="1">
        <f t="shared" si="49"/>
        <v>10</v>
      </c>
      <c r="G422" s="9">
        <f t="shared" si="50"/>
        <v>46032</v>
      </c>
      <c r="H422" s="1" t="str">
        <f>IF(Raw!D422="","",Raw!D422)</f>
        <v>P-H</v>
      </c>
      <c r="I422" s="1" t="str">
        <f>IFERROR(IF(EXACT(H422,INDEX(Guide!$A$7:$A$9,MATCH(SUBSTITUTE(SUBSTITUTE(SUBSTITUTE(H422,"~","~~"),"*","~*"),"?","~?"),Guide!$A$7:$A$9,0))),INDEX(Guide!$B$7:$B$9,MATCH(SUBSTITUTE(SUBSTITUTE(SUBSTITUTE(H422,"~","~~"),"*","~*"),"?","~?"),Guide!$A$7:$A$9,0)),""),"")</f>
        <v>Home</v>
      </c>
      <c r="J422" s="1" t="str">
        <f>IF(TRIM(Raw!E422)="",I422,IF(UPPER(TRIM(Raw!E422))=UPPER(I422),I422,""))</f>
        <v>Home</v>
      </c>
      <c r="K422" s="1" t="str">
        <f>IF(Raw!F422="","",Raw!F422)</f>
        <v>sale</v>
      </c>
      <c r="L422" s="1" t="str">
        <f>IF(LEFT(TRIM(Raw!G422),2)="-$","-"&amp;MID(TRIM(Raw!G422),3,99),IF(LEFT(TRIM(Raw!G422),1)="$",MID(TRIM(Raw!G422),2,99),TRIM(Raw!G422)))</f>
        <v>38.54</v>
      </c>
      <c r="M422" s="1">
        <f t="shared" si="51"/>
        <v>38.54</v>
      </c>
      <c r="N422" s="10">
        <f t="shared" si="52"/>
        <v>3854</v>
      </c>
      <c r="O422" s="1" t="b">
        <f>IFERROR(IF(ISNUMBER(Raw!G422),TRUE,OR(EXACT(L422,TEXT(M422,"0.00")),EXACT(L422,TEXT(M422,"#,##0.00")))),FALSE)</f>
        <v>1</v>
      </c>
      <c r="P422" s="1" t="str">
        <f>LEN(IF(Raw!A422="","",Raw!A422))&amp;":"&amp;IF(Raw!A422="","",Raw!A422)&amp;"|"&amp;LEN(IF(Raw!B422="","",Raw!B422))&amp;":"&amp;IF(Raw!B422="","",Raw!B422)&amp;"|"&amp;LEN(IF(Raw!C422="","",Raw!C422))&amp;":"&amp;IF(Raw!C422="","",Raw!C422)&amp;"|"&amp;LEN(IF(Raw!D422="","",Raw!D422))&amp;":"&amp;IF(Raw!D422="","",Raw!D422)&amp;"|"&amp;LEN(IF(Raw!E422="","",Raw!E422))&amp;":"&amp;IF(Raw!E422="","",Raw!E422)&amp;"|"&amp;LEN(IF(Raw!F422="","",Raw!F422))&amp;":"&amp;IF(Raw!F422="","",Raw!F422)&amp;"|"&amp;LEN(IF(Raw!G422="","",Raw!G422))&amp;":"&amp;IF(Raw!G422="","",Raw!G422)</f>
        <v>6:L00416|6:T00208|10:2026-01-10|3:P-H|4:Home|4:sale|5:38.54</v>
      </c>
      <c r="Q422" s="1">
        <f>1</f>
        <v>1</v>
      </c>
      <c r="R422" s="1" t="b">
        <f>FALSE</f>
        <v>0</v>
      </c>
      <c r="S422" s="1">
        <f>1</f>
        <v>1</v>
      </c>
      <c r="T422" s="1" t="str">
        <f>IF(AND(Raw!A422="",Raw!B422="",Raw!C422="",Raw!D422="",Raw!E422="",Raw!F422="",Raw!G422=""),"UNUSED",IF(A422="","missing line ID",IF(B422="","missing transaction ID",IF(G422="",IF(C422="","missing date","invalid date"),IF(I422="","unknown product",IF(J422="","conflicting category",IF(NOT(OR(EXACT(K422,"sale"),EXACT(K422,"refund"))),"unknown event",IF(OR(N422="",NOT(O422)),"invalid amount",IF(OR(AND(K422="sale",N422&lt;=0),AND(K422="refund",N422&gt;=0)),"invalid sign","")))))))))</f>
        <v/>
      </c>
      <c r="U422" s="1" t="str">
        <f t="shared" si="53"/>
        <v>INCLUDED</v>
      </c>
      <c r="V422" s="1" t="str">
        <f t="shared" si="54"/>
        <v>2026-01</v>
      </c>
      <c r="W422" s="1">
        <f>IF(AND(U422="INCLUDED",X422&gt;0,EXACT(A422,'AI output'!A422)),1,0)</f>
        <v>1</v>
      </c>
      <c r="X422" s="1">
        <f>422</f>
        <v>422</v>
      </c>
      <c r="Y422" s="1">
        <f>IF(AND(U422="INCLUDED",W422=1),--(NOT(EXACT(A422,'AI output'!A422)))+--(NOT(EXACT(B422,'AI output'!B422)))+--(NOT(EXACT(TEXT(G422,"yyyy-mm-dd"),'AI output'!C422)))+--(NOT(EXACT(H422,'AI output'!D422)))+--(NOT(EXACT(J422,'AI output'!E422)))+--(NOT(EXACT(K422,'AI output'!F422)))+--(N422&lt;&gt;'AI output'!L422)+--(NOT('AI output'!M422)),0)</f>
        <v>0</v>
      </c>
      <c r="Z422" s="1">
        <f t="shared" si="55"/>
        <v>0</v>
      </c>
      <c r="AA422" s="1">
        <f>--EXACT(A422,"L00416")</f>
        <v>1</v>
      </c>
    </row>
    <row r="423" spans="1:27" ht="18.95" customHeight="1">
      <c r="A423" s="1" t="str">
        <f>IF(Raw!A423="","",Raw!A423)</f>
        <v>L00417</v>
      </c>
      <c r="B423" s="1" t="str">
        <f>IF(Raw!B423="","",Raw!B423)</f>
        <v>T00209</v>
      </c>
      <c r="C423" s="1" t="str">
        <f>IF(Raw!C423="","",Raw!C423)</f>
        <v>2026-01-17</v>
      </c>
      <c r="D423" s="1">
        <f t="shared" si="48"/>
        <v>2026</v>
      </c>
      <c r="E423" s="1">
        <f>IFERROR(IF(AND(LEN(C423)=10,MID(C423,5,1)="-",MID(C423,8,1)="-"),VALUE(MID(C423,6,2)),IF(AND(LEN(C423)=11,MID(C423,3,1)="-",MID(C423,7,1)="-"),MATCH(UPPER(MID(C423,4,3)),Guide!$D$7:$D$18,0),0)),0)</f>
        <v>1</v>
      </c>
      <c r="F423" s="1">
        <f t="shared" si="49"/>
        <v>17</v>
      </c>
      <c r="G423" s="9">
        <f t="shared" si="50"/>
        <v>46039</v>
      </c>
      <c r="H423" s="1" t="str">
        <f>IF(Raw!D423="","",Raw!D423)</f>
        <v>P-O</v>
      </c>
      <c r="I423" s="1" t="str">
        <f>IFERROR(IF(EXACT(H423,INDEX(Guide!$A$7:$A$9,MATCH(SUBSTITUTE(SUBSTITUTE(SUBSTITUTE(H423,"~","~~"),"*","~*"),"?","~?"),Guide!$A$7:$A$9,0))),INDEX(Guide!$B$7:$B$9,MATCH(SUBSTITUTE(SUBSTITUTE(SUBSTITUTE(H423,"~","~~"),"*","~*"),"?","~?"),Guide!$A$7:$A$9,0)),""),"")</f>
        <v>Office</v>
      </c>
      <c r="J423" s="1" t="str">
        <f>IF(TRIM(Raw!E423)="",I423,IF(UPPER(TRIM(Raw!E423))=UPPER(I423),I423,""))</f>
        <v>Office</v>
      </c>
      <c r="K423" s="1" t="str">
        <f>IF(Raw!F423="","",Raw!F423)</f>
        <v>sale</v>
      </c>
      <c r="L423" s="1" t="str">
        <f>IF(LEFT(TRIM(Raw!G423),2)="-$","-"&amp;MID(TRIM(Raw!G423),3,99),IF(LEFT(TRIM(Raw!G423),1)="$",MID(TRIM(Raw!G423),2,99),TRIM(Raw!G423)))</f>
        <v>116.73</v>
      </c>
      <c r="M423" s="1">
        <f t="shared" si="51"/>
        <v>116.73</v>
      </c>
      <c r="N423" s="10">
        <f t="shared" si="52"/>
        <v>11673</v>
      </c>
      <c r="O423" s="1" t="b">
        <f>IFERROR(IF(ISNUMBER(Raw!G423),TRUE,OR(EXACT(L423,TEXT(M423,"0.00")),EXACT(L423,TEXT(M423,"#,##0.00")))),FALSE)</f>
        <v>1</v>
      </c>
      <c r="P423" s="1" t="str">
        <f>LEN(IF(Raw!A423="","",Raw!A423))&amp;":"&amp;IF(Raw!A423="","",Raw!A423)&amp;"|"&amp;LEN(IF(Raw!B423="","",Raw!B423))&amp;":"&amp;IF(Raw!B423="","",Raw!B423)&amp;"|"&amp;LEN(IF(Raw!C423="","",Raw!C423))&amp;":"&amp;IF(Raw!C423="","",Raw!C423)&amp;"|"&amp;LEN(IF(Raw!D423="","",Raw!D423))&amp;":"&amp;IF(Raw!D423="","",Raw!D423)&amp;"|"&amp;LEN(IF(Raw!E423="","",Raw!E423))&amp;":"&amp;IF(Raw!E423="","",Raw!E423)&amp;"|"&amp;LEN(IF(Raw!F423="","",Raw!F423))&amp;":"&amp;IF(Raw!F423="","",Raw!F423)&amp;"|"&amp;LEN(IF(Raw!G423="","",Raw!G423))&amp;":"&amp;IF(Raw!G423="","",Raw!G423)</f>
        <v>6:L00417|6:T00209|10:2026-01-17|3:P-O|6:Office|4:sale|6:116.73</v>
      </c>
      <c r="Q423" s="1">
        <f>1</f>
        <v>1</v>
      </c>
      <c r="R423" s="1" t="b">
        <f>FALSE</f>
        <v>0</v>
      </c>
      <c r="S423" s="1">
        <f>1</f>
        <v>1</v>
      </c>
      <c r="T423" s="1" t="str">
        <f>IF(AND(Raw!A423="",Raw!B423="",Raw!C423="",Raw!D423="",Raw!E423="",Raw!F423="",Raw!G423=""),"UNUSED",IF(A423="","missing line ID",IF(B423="","missing transaction ID",IF(G423="",IF(C423="","missing date","invalid date"),IF(I423="","unknown product",IF(J423="","conflicting category",IF(NOT(OR(EXACT(K423,"sale"),EXACT(K423,"refund"))),"unknown event",IF(OR(N423="",NOT(O423)),"invalid amount",IF(OR(AND(K423="sale",N423&lt;=0),AND(K423="refund",N423&gt;=0)),"invalid sign","")))))))))</f>
        <v/>
      </c>
      <c r="U423" s="1" t="str">
        <f t="shared" si="53"/>
        <v>INCLUDED</v>
      </c>
      <c r="V423" s="1" t="str">
        <f t="shared" si="54"/>
        <v>2026-01</v>
      </c>
      <c r="W423" s="1">
        <f>IF(AND(U423="INCLUDED",X423&gt;0,EXACT(A423,'AI output'!A423)),1,0)</f>
        <v>1</v>
      </c>
      <c r="X423" s="1">
        <f>423</f>
        <v>423</v>
      </c>
      <c r="Y423" s="1">
        <f>IF(AND(U423="INCLUDED",W423=1),--(NOT(EXACT(A423,'AI output'!A423)))+--(NOT(EXACT(B423,'AI output'!B423)))+--(NOT(EXACT(TEXT(G423,"yyyy-mm-dd"),'AI output'!C423)))+--(NOT(EXACT(H423,'AI output'!D423)))+--(NOT(EXACT(J423,'AI output'!E423)))+--(NOT(EXACT(K423,'AI output'!F423)))+--(N423&lt;&gt;'AI output'!L423)+--(NOT('AI output'!M423)),0)</f>
        <v>0</v>
      </c>
      <c r="Z423" s="1">
        <f t="shared" si="55"/>
        <v>0</v>
      </c>
      <c r="AA423" s="1">
        <f>--EXACT(A423,"L00417")</f>
        <v>1</v>
      </c>
    </row>
    <row r="424" spans="1:27" ht="18.95" customHeight="1">
      <c r="A424" s="1" t="str">
        <f>IF(Raw!A424="","",Raw!A424)</f>
        <v>L00418</v>
      </c>
      <c r="B424" s="1" t="str">
        <f>IF(Raw!B424="","",Raw!B424)</f>
        <v>T00209</v>
      </c>
      <c r="C424" s="1" t="str">
        <f>IF(Raw!C424="","",Raw!C424)</f>
        <v>2026-01-17</v>
      </c>
      <c r="D424" s="1">
        <f t="shared" si="48"/>
        <v>2026</v>
      </c>
      <c r="E424" s="1">
        <f>IFERROR(IF(AND(LEN(C424)=10,MID(C424,5,1)="-",MID(C424,8,1)="-"),VALUE(MID(C424,6,2)),IF(AND(LEN(C424)=11,MID(C424,3,1)="-",MID(C424,7,1)="-"),MATCH(UPPER(MID(C424,4,3)),Guide!$D$7:$D$18,0),0)),0)</f>
        <v>1</v>
      </c>
      <c r="F424" s="1">
        <f t="shared" si="49"/>
        <v>17</v>
      </c>
      <c r="G424" s="9">
        <f t="shared" si="50"/>
        <v>46039</v>
      </c>
      <c r="H424" s="1" t="str">
        <f>IF(Raw!D424="","",Raw!D424)</f>
        <v>P-A</v>
      </c>
      <c r="I424" s="1" t="str">
        <f>IFERROR(IF(EXACT(H424,INDEX(Guide!$A$7:$A$9,MATCH(SUBSTITUTE(SUBSTITUTE(SUBSTITUTE(H424,"~","~~"),"*","~*"),"?","~?"),Guide!$A$7:$A$9,0))),INDEX(Guide!$B$7:$B$9,MATCH(SUBSTITUTE(SUBSTITUTE(SUBSTITUTE(H424,"~","~~"),"*","~*"),"?","~?"),Guide!$A$7:$A$9,0)),""),"")</f>
        <v>Accessories</v>
      </c>
      <c r="J424" s="1" t="str">
        <f>IF(TRIM(Raw!E424)="",I424,IF(UPPER(TRIM(Raw!E424))=UPPER(I424),I424,""))</f>
        <v>Accessories</v>
      </c>
      <c r="K424" s="1" t="str">
        <f>IF(Raw!F424="","",Raw!F424)</f>
        <v>sale</v>
      </c>
      <c r="L424" s="1" t="str">
        <f>IF(LEFT(TRIM(Raw!G424),2)="-$","-"&amp;MID(TRIM(Raw!G424),3,99),IF(LEFT(TRIM(Raw!G424),1)="$",MID(TRIM(Raw!G424),2,99),TRIM(Raw!G424)))</f>
        <v>196.40</v>
      </c>
      <c r="M424" s="1">
        <f t="shared" si="51"/>
        <v>196.4</v>
      </c>
      <c r="N424" s="10">
        <f t="shared" si="52"/>
        <v>19640</v>
      </c>
      <c r="O424" s="1" t="b">
        <f>IFERROR(IF(ISNUMBER(Raw!G424),TRUE,OR(EXACT(L424,TEXT(M424,"0.00")),EXACT(L424,TEXT(M424,"#,##0.00")))),FALSE)</f>
        <v>1</v>
      </c>
      <c r="P424" s="1" t="str">
        <f>LEN(IF(Raw!A424="","",Raw!A424))&amp;":"&amp;IF(Raw!A424="","",Raw!A424)&amp;"|"&amp;LEN(IF(Raw!B424="","",Raw!B424))&amp;":"&amp;IF(Raw!B424="","",Raw!B424)&amp;"|"&amp;LEN(IF(Raw!C424="","",Raw!C424))&amp;":"&amp;IF(Raw!C424="","",Raw!C424)&amp;"|"&amp;LEN(IF(Raw!D424="","",Raw!D424))&amp;":"&amp;IF(Raw!D424="","",Raw!D424)&amp;"|"&amp;LEN(IF(Raw!E424="","",Raw!E424))&amp;":"&amp;IF(Raw!E424="","",Raw!E424)&amp;"|"&amp;LEN(IF(Raw!F424="","",Raw!F424))&amp;":"&amp;IF(Raw!F424="","",Raw!F424)&amp;"|"&amp;LEN(IF(Raw!G424="","",Raw!G424))&amp;":"&amp;IF(Raw!G424="","",Raw!G424)</f>
        <v>6:L00418|6:T00209|10:2026-01-17|3:P-A|11:Accessories|4:sale|6:196.40</v>
      </c>
      <c r="Q424" s="1">
        <f>1</f>
        <v>1</v>
      </c>
      <c r="R424" s="1" t="b">
        <f>FALSE</f>
        <v>0</v>
      </c>
      <c r="S424" s="1">
        <f>1</f>
        <v>1</v>
      </c>
      <c r="T424" s="1" t="str">
        <f>IF(AND(Raw!A424="",Raw!B424="",Raw!C424="",Raw!D424="",Raw!E424="",Raw!F424="",Raw!G424=""),"UNUSED",IF(A424="","missing line ID",IF(B424="","missing transaction ID",IF(G424="",IF(C424="","missing date","invalid date"),IF(I424="","unknown product",IF(J424="","conflicting category",IF(NOT(OR(EXACT(K424,"sale"),EXACT(K424,"refund"))),"unknown event",IF(OR(N424="",NOT(O424)),"invalid amount",IF(OR(AND(K424="sale",N424&lt;=0),AND(K424="refund",N424&gt;=0)),"invalid sign","")))))))))</f>
        <v/>
      </c>
      <c r="U424" s="1" t="str">
        <f t="shared" si="53"/>
        <v>INCLUDED</v>
      </c>
      <c r="V424" s="1" t="str">
        <f t="shared" si="54"/>
        <v>2026-01</v>
      </c>
      <c r="W424" s="1">
        <f>IF(AND(U424="INCLUDED",X424&gt;0,EXACT(A424,'AI output'!A424)),1,0)</f>
        <v>1</v>
      </c>
      <c r="X424" s="1">
        <f>424</f>
        <v>424</v>
      </c>
      <c r="Y424" s="1">
        <f>IF(AND(U424="INCLUDED",W424=1),--(NOT(EXACT(A424,'AI output'!A424)))+--(NOT(EXACT(B424,'AI output'!B424)))+--(NOT(EXACT(TEXT(G424,"yyyy-mm-dd"),'AI output'!C424)))+--(NOT(EXACT(H424,'AI output'!D424)))+--(NOT(EXACT(J424,'AI output'!E424)))+--(NOT(EXACT(K424,'AI output'!F424)))+--(N424&lt;&gt;'AI output'!L424)+--(NOT('AI output'!M424)),0)</f>
        <v>0</v>
      </c>
      <c r="Z424" s="1">
        <f t="shared" si="55"/>
        <v>0</v>
      </c>
      <c r="AA424" s="1">
        <f>--EXACT(A424,"L00418")</f>
        <v>1</v>
      </c>
    </row>
    <row r="425" spans="1:27" ht="18.95" customHeight="1">
      <c r="A425" s="1" t="str">
        <f>IF(Raw!A425="","",Raw!A425)</f>
        <v>L00419</v>
      </c>
      <c r="B425" s="1" t="str">
        <f>IF(Raw!B425="","",Raw!B425)</f>
        <v>T00210</v>
      </c>
      <c r="C425" s="1" t="str">
        <f>IF(Raw!C425="","",Raw!C425)</f>
        <v>2026-01-24</v>
      </c>
      <c r="D425" s="1">
        <f t="shared" si="48"/>
        <v>2026</v>
      </c>
      <c r="E425" s="1">
        <f>IFERROR(IF(AND(LEN(C425)=10,MID(C425,5,1)="-",MID(C425,8,1)="-"),VALUE(MID(C425,6,2)),IF(AND(LEN(C425)=11,MID(C425,3,1)="-",MID(C425,7,1)="-"),MATCH(UPPER(MID(C425,4,3)),Guide!$D$7:$D$18,0),0)),0)</f>
        <v>1</v>
      </c>
      <c r="F425" s="1">
        <f t="shared" si="49"/>
        <v>24</v>
      </c>
      <c r="G425" s="9">
        <f t="shared" si="50"/>
        <v>46046</v>
      </c>
      <c r="H425" s="1" t="str">
        <f>IF(Raw!D425="","",Raw!D425)</f>
        <v>P-H</v>
      </c>
      <c r="I425" s="1" t="str">
        <f>IFERROR(IF(EXACT(H425,INDEX(Guide!$A$7:$A$9,MATCH(SUBSTITUTE(SUBSTITUTE(SUBSTITUTE(H425,"~","~~"),"*","~*"),"?","~?"),Guide!$A$7:$A$9,0))),INDEX(Guide!$B$7:$B$9,MATCH(SUBSTITUTE(SUBSTITUTE(SUBSTITUTE(H425,"~","~~"),"*","~*"),"?","~?"),Guide!$A$7:$A$9,0)),""),"")</f>
        <v>Home</v>
      </c>
      <c r="J425" s="1" t="str">
        <f>IF(TRIM(Raw!E425)="",I425,IF(UPPER(TRIM(Raw!E425))=UPPER(I425),I425,""))</f>
        <v>Home</v>
      </c>
      <c r="K425" s="1" t="str">
        <f>IF(Raw!F425="","",Raw!F425)</f>
        <v>sale</v>
      </c>
      <c r="L425" s="1" t="str">
        <f>IF(LEFT(TRIM(Raw!G425),2)="-$","-"&amp;MID(TRIM(Raw!G425),3,99),IF(LEFT(TRIM(Raw!G425),1)="$",MID(TRIM(Raw!G425),2,99),TRIM(Raw!G425)))</f>
        <v>79.30</v>
      </c>
      <c r="M425" s="1">
        <f t="shared" si="51"/>
        <v>79.3</v>
      </c>
      <c r="N425" s="10">
        <f t="shared" si="52"/>
        <v>7930</v>
      </c>
      <c r="O425" s="1" t="b">
        <f>IFERROR(IF(ISNUMBER(Raw!G425),TRUE,OR(EXACT(L425,TEXT(M425,"0.00")),EXACT(L425,TEXT(M425,"#,##0.00")))),FALSE)</f>
        <v>1</v>
      </c>
      <c r="P425" s="1" t="str">
        <f>LEN(IF(Raw!A425="","",Raw!A425))&amp;":"&amp;IF(Raw!A425="","",Raw!A425)&amp;"|"&amp;LEN(IF(Raw!B425="","",Raw!B425))&amp;":"&amp;IF(Raw!B425="","",Raw!B425)&amp;"|"&amp;LEN(IF(Raw!C425="","",Raw!C425))&amp;":"&amp;IF(Raw!C425="","",Raw!C425)&amp;"|"&amp;LEN(IF(Raw!D425="","",Raw!D425))&amp;":"&amp;IF(Raw!D425="","",Raw!D425)&amp;"|"&amp;LEN(IF(Raw!E425="","",Raw!E425))&amp;":"&amp;IF(Raw!E425="","",Raw!E425)&amp;"|"&amp;LEN(IF(Raw!F425="","",Raw!F425))&amp;":"&amp;IF(Raw!F425="","",Raw!F425)&amp;"|"&amp;LEN(IF(Raw!G425="","",Raw!G425))&amp;":"&amp;IF(Raw!G425="","",Raw!G425)</f>
        <v>6:L00419|6:T00210|10:2026-01-24|3:P-H|4:Home|4:sale|5:79.30</v>
      </c>
      <c r="Q425" s="1">
        <f>1</f>
        <v>1</v>
      </c>
      <c r="R425" s="1" t="b">
        <f>FALSE</f>
        <v>0</v>
      </c>
      <c r="S425" s="1">
        <f>1</f>
        <v>1</v>
      </c>
      <c r="T425" s="1" t="str">
        <f>IF(AND(Raw!A425="",Raw!B425="",Raw!C425="",Raw!D425="",Raw!E425="",Raw!F425="",Raw!G425=""),"UNUSED",IF(A425="","missing line ID",IF(B425="","missing transaction ID",IF(G425="",IF(C425="","missing date","invalid date"),IF(I425="","unknown product",IF(J425="","conflicting category",IF(NOT(OR(EXACT(K425,"sale"),EXACT(K425,"refund"))),"unknown event",IF(OR(N425="",NOT(O425)),"invalid amount",IF(OR(AND(K425="sale",N425&lt;=0),AND(K425="refund",N425&gt;=0)),"invalid sign","")))))))))</f>
        <v/>
      </c>
      <c r="U425" s="1" t="str">
        <f t="shared" si="53"/>
        <v>INCLUDED</v>
      </c>
      <c r="V425" s="1" t="str">
        <f t="shared" si="54"/>
        <v>2026-01</v>
      </c>
      <c r="W425" s="1">
        <f>IF(AND(U425="INCLUDED",X425&gt;0,EXACT(A425,'AI output'!A425)),1,0)</f>
        <v>1</v>
      </c>
      <c r="X425" s="1">
        <f>425</f>
        <v>425</v>
      </c>
      <c r="Y425" s="1">
        <f>IF(AND(U425="INCLUDED",W425=1),--(NOT(EXACT(A425,'AI output'!A425)))+--(NOT(EXACT(B425,'AI output'!B425)))+--(NOT(EXACT(TEXT(G425,"yyyy-mm-dd"),'AI output'!C425)))+--(NOT(EXACT(H425,'AI output'!D425)))+--(NOT(EXACT(J425,'AI output'!E425)))+--(NOT(EXACT(K425,'AI output'!F425)))+--(N425&lt;&gt;'AI output'!L425)+--(NOT('AI output'!M425)),0)</f>
        <v>0</v>
      </c>
      <c r="Z425" s="1">
        <f t="shared" si="55"/>
        <v>0</v>
      </c>
      <c r="AA425" s="1">
        <f>--EXACT(A425,"L00419")</f>
        <v>1</v>
      </c>
    </row>
    <row r="426" spans="1:27" ht="18.95" customHeight="1">
      <c r="A426" s="1" t="str">
        <f>IF(Raw!A426="","",Raw!A426)</f>
        <v>L00420</v>
      </c>
      <c r="B426" s="1" t="str">
        <f>IF(Raw!B426="","",Raw!B426)</f>
        <v>T00210</v>
      </c>
      <c r="C426" s="1" t="str">
        <f>IF(Raw!C426="","",Raw!C426)</f>
        <v>2026-01-24</v>
      </c>
      <c r="D426" s="1">
        <f t="shared" si="48"/>
        <v>2026</v>
      </c>
      <c r="E426" s="1">
        <f>IFERROR(IF(AND(LEN(C426)=10,MID(C426,5,1)="-",MID(C426,8,1)="-"),VALUE(MID(C426,6,2)),IF(AND(LEN(C426)=11,MID(C426,3,1)="-",MID(C426,7,1)="-"),MATCH(UPPER(MID(C426,4,3)),Guide!$D$7:$D$18,0),0)),0)</f>
        <v>1</v>
      </c>
      <c r="F426" s="1">
        <f t="shared" si="49"/>
        <v>24</v>
      </c>
      <c r="G426" s="9">
        <f t="shared" si="50"/>
        <v>46046</v>
      </c>
      <c r="H426" s="1" t="str">
        <f>IF(Raw!D426="","",Raw!D426)</f>
        <v>P-O</v>
      </c>
      <c r="I426" s="1" t="str">
        <f>IFERROR(IF(EXACT(H426,INDEX(Guide!$A$7:$A$9,MATCH(SUBSTITUTE(SUBSTITUTE(SUBSTITUTE(H426,"~","~~"),"*","~*"),"?","~?"),Guide!$A$7:$A$9,0))),INDEX(Guide!$B$7:$B$9,MATCH(SUBSTITUTE(SUBSTITUTE(SUBSTITUTE(H426,"~","~~"),"*","~*"),"?","~?"),Guide!$A$7:$A$9,0)),""),"")</f>
        <v>Office</v>
      </c>
      <c r="J426" s="1" t="str">
        <f>IF(TRIM(Raw!E426)="",I426,IF(UPPER(TRIM(Raw!E426))=UPPER(I426),I426,""))</f>
        <v>Office</v>
      </c>
      <c r="K426" s="1" t="str">
        <f>IF(Raw!F426="","",Raw!F426)</f>
        <v>sale</v>
      </c>
      <c r="L426" s="1" t="str">
        <f>IF(LEFT(TRIM(Raw!G426),2)="-$","-"&amp;MID(TRIM(Raw!G426),3,99),IF(LEFT(TRIM(Raw!G426),1)="$",MID(TRIM(Raw!G426),2,99),TRIM(Raw!G426)))</f>
        <v>160.08</v>
      </c>
      <c r="M426" s="1">
        <f t="shared" si="51"/>
        <v>160.08000000000001</v>
      </c>
      <c r="N426" s="10">
        <f t="shared" si="52"/>
        <v>16008</v>
      </c>
      <c r="O426" s="1" t="b">
        <f>IFERROR(IF(ISNUMBER(Raw!G426),TRUE,OR(EXACT(L426,TEXT(M426,"0.00")),EXACT(L426,TEXT(M426,"#,##0.00")))),FALSE)</f>
        <v>1</v>
      </c>
      <c r="P426" s="1" t="str">
        <f>LEN(IF(Raw!A426="","",Raw!A426))&amp;":"&amp;IF(Raw!A426="","",Raw!A426)&amp;"|"&amp;LEN(IF(Raw!B426="","",Raw!B426))&amp;":"&amp;IF(Raw!B426="","",Raw!B426)&amp;"|"&amp;LEN(IF(Raw!C426="","",Raw!C426))&amp;":"&amp;IF(Raw!C426="","",Raw!C426)&amp;"|"&amp;LEN(IF(Raw!D426="","",Raw!D426))&amp;":"&amp;IF(Raw!D426="","",Raw!D426)&amp;"|"&amp;LEN(IF(Raw!E426="","",Raw!E426))&amp;":"&amp;IF(Raw!E426="","",Raw!E426)&amp;"|"&amp;LEN(IF(Raw!F426="","",Raw!F426))&amp;":"&amp;IF(Raw!F426="","",Raw!F426)&amp;"|"&amp;LEN(IF(Raw!G426="","",Raw!G426))&amp;":"&amp;IF(Raw!G426="","",Raw!G426)</f>
        <v>6:L00420|6:T00210|10:2026-01-24|3:P-O|6:Office|4:sale|6:160.08</v>
      </c>
      <c r="Q426" s="1">
        <f>1</f>
        <v>1</v>
      </c>
      <c r="R426" s="1" t="b">
        <f>FALSE</f>
        <v>0</v>
      </c>
      <c r="S426" s="1">
        <f>1</f>
        <v>1</v>
      </c>
      <c r="T426" s="1" t="str">
        <f>IF(AND(Raw!A426="",Raw!B426="",Raw!C426="",Raw!D426="",Raw!E426="",Raw!F426="",Raw!G426=""),"UNUSED",IF(A426="","missing line ID",IF(B426="","missing transaction ID",IF(G426="",IF(C426="","missing date","invalid date"),IF(I426="","unknown product",IF(J426="","conflicting category",IF(NOT(OR(EXACT(K426,"sale"),EXACT(K426,"refund"))),"unknown event",IF(OR(N426="",NOT(O426)),"invalid amount",IF(OR(AND(K426="sale",N426&lt;=0),AND(K426="refund",N426&gt;=0)),"invalid sign","")))))))))</f>
        <v/>
      </c>
      <c r="U426" s="1" t="str">
        <f t="shared" si="53"/>
        <v>INCLUDED</v>
      </c>
      <c r="V426" s="1" t="str">
        <f t="shared" si="54"/>
        <v>2026-01</v>
      </c>
      <c r="W426" s="1">
        <f>IF(AND(U426="INCLUDED",X426&gt;0,EXACT(A426,'AI output'!A426)),1,0)</f>
        <v>1</v>
      </c>
      <c r="X426" s="1">
        <f>426</f>
        <v>426</v>
      </c>
      <c r="Y426" s="1">
        <f>IF(AND(U426="INCLUDED",W426=1),--(NOT(EXACT(A426,'AI output'!A426)))+--(NOT(EXACT(B426,'AI output'!B426)))+--(NOT(EXACT(TEXT(G426,"yyyy-mm-dd"),'AI output'!C426)))+--(NOT(EXACT(H426,'AI output'!D426)))+--(NOT(EXACT(J426,'AI output'!E426)))+--(NOT(EXACT(K426,'AI output'!F426)))+--(N426&lt;&gt;'AI output'!L426)+--(NOT('AI output'!M426)),0)</f>
        <v>0</v>
      </c>
      <c r="Z426" s="1">
        <f t="shared" si="55"/>
        <v>0</v>
      </c>
      <c r="AA426" s="1">
        <f>--EXACT(A426,"L00420")</f>
        <v>1</v>
      </c>
    </row>
    <row r="427" spans="1:27" ht="18.95" customHeight="1">
      <c r="A427" s="1" t="str">
        <f>IF(Raw!A427="","",Raw!A427)</f>
        <v>L00421</v>
      </c>
      <c r="B427" s="1" t="str">
        <f>IF(Raw!B427="","",Raw!B427)</f>
        <v>T00211</v>
      </c>
      <c r="C427" s="1" t="str">
        <f>IF(Raw!C427="","",Raw!C427)</f>
        <v>2026-01-31</v>
      </c>
      <c r="D427" s="1">
        <f t="shared" si="48"/>
        <v>2026</v>
      </c>
      <c r="E427" s="1">
        <f>IFERROR(IF(AND(LEN(C427)=10,MID(C427,5,1)="-",MID(C427,8,1)="-"),VALUE(MID(C427,6,2)),IF(AND(LEN(C427)=11,MID(C427,3,1)="-",MID(C427,7,1)="-"),MATCH(UPPER(MID(C427,4,3)),Guide!$D$7:$D$18,0),0)),0)</f>
        <v>1</v>
      </c>
      <c r="F427" s="1">
        <f t="shared" si="49"/>
        <v>31</v>
      </c>
      <c r="G427" s="9">
        <f t="shared" si="50"/>
        <v>46053</v>
      </c>
      <c r="H427" s="1" t="str">
        <f>IF(Raw!D427="","",Raw!D427)</f>
        <v>P-A</v>
      </c>
      <c r="I427" s="1" t="str">
        <f>IFERROR(IF(EXACT(H427,INDEX(Guide!$A$7:$A$9,MATCH(SUBSTITUTE(SUBSTITUTE(SUBSTITUTE(H427,"~","~~"),"*","~*"),"?","~?"),Guide!$A$7:$A$9,0))),INDEX(Guide!$B$7:$B$9,MATCH(SUBSTITUTE(SUBSTITUTE(SUBSTITUTE(H427,"~","~~"),"*","~*"),"?","~?"),Guide!$A$7:$A$9,0)),""),"")</f>
        <v>Accessories</v>
      </c>
      <c r="J427" s="1" t="str">
        <f>IF(TRIM(Raw!E427)="",I427,IF(UPPER(TRIM(Raw!E427))=UPPER(I427),I427,""))</f>
        <v>Accessories</v>
      </c>
      <c r="K427" s="1" t="str">
        <f>IF(Raw!F427="","",Raw!F427)</f>
        <v>sale</v>
      </c>
      <c r="L427" s="1" t="str">
        <f>IF(LEFT(TRIM(Raw!G427),2)="-$","-"&amp;MID(TRIM(Raw!G427),3,99),IF(LEFT(TRIM(Raw!G427),1)="$",MID(TRIM(Raw!G427),2,99),TRIM(Raw!G427)))</f>
        <v>40.39</v>
      </c>
      <c r="M427" s="1">
        <f t="shared" si="51"/>
        <v>40.39</v>
      </c>
      <c r="N427" s="10">
        <f t="shared" si="52"/>
        <v>4039</v>
      </c>
      <c r="O427" s="1" t="b">
        <f>IFERROR(IF(ISNUMBER(Raw!G427),TRUE,OR(EXACT(L427,TEXT(M427,"0.00")),EXACT(L427,TEXT(M427,"#,##0.00")))),FALSE)</f>
        <v>1</v>
      </c>
      <c r="P427" s="1" t="str">
        <f>LEN(IF(Raw!A427="","",Raw!A427))&amp;":"&amp;IF(Raw!A427="","",Raw!A427)&amp;"|"&amp;LEN(IF(Raw!B427="","",Raw!B427))&amp;":"&amp;IF(Raw!B427="","",Raw!B427)&amp;"|"&amp;LEN(IF(Raw!C427="","",Raw!C427))&amp;":"&amp;IF(Raw!C427="","",Raw!C427)&amp;"|"&amp;LEN(IF(Raw!D427="","",Raw!D427))&amp;":"&amp;IF(Raw!D427="","",Raw!D427)&amp;"|"&amp;LEN(IF(Raw!E427="","",Raw!E427))&amp;":"&amp;IF(Raw!E427="","",Raw!E427)&amp;"|"&amp;LEN(IF(Raw!F427="","",Raw!F427))&amp;":"&amp;IF(Raw!F427="","",Raw!F427)&amp;"|"&amp;LEN(IF(Raw!G427="","",Raw!G427))&amp;":"&amp;IF(Raw!G427="","",Raw!G427)</f>
        <v>6:L00421|6:T00211|10:2026-01-31|3:P-A|11:Accessories|4:sale|5:40.39</v>
      </c>
      <c r="Q427" s="1">
        <f>1</f>
        <v>1</v>
      </c>
      <c r="R427" s="1" t="b">
        <f>FALSE</f>
        <v>0</v>
      </c>
      <c r="S427" s="1">
        <f>1</f>
        <v>1</v>
      </c>
      <c r="T427" s="1" t="str">
        <f>IF(AND(Raw!A427="",Raw!B427="",Raw!C427="",Raw!D427="",Raw!E427="",Raw!F427="",Raw!G427=""),"UNUSED",IF(A427="","missing line ID",IF(B427="","missing transaction ID",IF(G427="",IF(C427="","missing date","invalid date"),IF(I427="","unknown product",IF(J427="","conflicting category",IF(NOT(OR(EXACT(K427,"sale"),EXACT(K427,"refund"))),"unknown event",IF(OR(N427="",NOT(O427)),"invalid amount",IF(OR(AND(K427="sale",N427&lt;=0),AND(K427="refund",N427&gt;=0)),"invalid sign","")))))))))</f>
        <v/>
      </c>
      <c r="U427" s="1" t="str">
        <f t="shared" si="53"/>
        <v>INCLUDED</v>
      </c>
      <c r="V427" s="1" t="str">
        <f t="shared" si="54"/>
        <v>2026-01</v>
      </c>
      <c r="W427" s="1">
        <f>IF(AND(U427="INCLUDED",X427&gt;0,EXACT(A427,'AI output'!A427)),1,0)</f>
        <v>1</v>
      </c>
      <c r="X427" s="1">
        <f>427</f>
        <v>427</v>
      </c>
      <c r="Y427" s="1">
        <f>IF(AND(U427="INCLUDED",W427=1),--(NOT(EXACT(A427,'AI output'!A427)))+--(NOT(EXACT(B427,'AI output'!B427)))+--(NOT(EXACT(TEXT(G427,"yyyy-mm-dd"),'AI output'!C427)))+--(NOT(EXACT(H427,'AI output'!D427)))+--(NOT(EXACT(J427,'AI output'!E427)))+--(NOT(EXACT(K427,'AI output'!F427)))+--(N427&lt;&gt;'AI output'!L427)+--(NOT('AI output'!M427)),0)</f>
        <v>0</v>
      </c>
      <c r="Z427" s="1">
        <f t="shared" si="55"/>
        <v>0</v>
      </c>
      <c r="AA427" s="1">
        <f>--EXACT(A427,"L00421")</f>
        <v>1</v>
      </c>
    </row>
    <row r="428" spans="1:27" ht="18.95" customHeight="1">
      <c r="A428" s="1" t="str">
        <f>IF(Raw!A428="","",Raw!A428)</f>
        <v>L00422</v>
      </c>
      <c r="B428" s="1" t="str">
        <f>IF(Raw!B428="","",Raw!B428)</f>
        <v>T00211</v>
      </c>
      <c r="C428" s="1" t="str">
        <f>IF(Raw!C428="","",Raw!C428)</f>
        <v>2026-01-31</v>
      </c>
      <c r="D428" s="1">
        <f t="shared" si="48"/>
        <v>2026</v>
      </c>
      <c r="E428" s="1">
        <f>IFERROR(IF(AND(LEN(C428)=10,MID(C428,5,1)="-",MID(C428,8,1)="-"),VALUE(MID(C428,6,2)),IF(AND(LEN(C428)=11,MID(C428,3,1)="-",MID(C428,7,1)="-"),MATCH(UPPER(MID(C428,4,3)),Guide!$D$7:$D$18,0),0)),0)</f>
        <v>1</v>
      </c>
      <c r="F428" s="1">
        <f t="shared" si="49"/>
        <v>31</v>
      </c>
      <c r="G428" s="9">
        <f t="shared" si="50"/>
        <v>46053</v>
      </c>
      <c r="H428" s="1" t="str">
        <f>IF(Raw!D428="","",Raw!D428)</f>
        <v>P-H</v>
      </c>
      <c r="I428" s="1" t="str">
        <f>IFERROR(IF(EXACT(H428,INDEX(Guide!$A$7:$A$9,MATCH(SUBSTITUTE(SUBSTITUTE(SUBSTITUTE(H428,"~","~~"),"*","~*"),"?","~?"),Guide!$A$7:$A$9,0))),INDEX(Guide!$B$7:$B$9,MATCH(SUBSTITUTE(SUBSTITUTE(SUBSTITUTE(H428,"~","~~"),"*","~*"),"?","~?"),Guide!$A$7:$A$9,0)),""),"")</f>
        <v>Home</v>
      </c>
      <c r="J428" s="1" t="str">
        <f>IF(TRIM(Raw!E428)="",I428,IF(UPPER(TRIM(Raw!E428))=UPPER(I428),I428,""))</f>
        <v>Home</v>
      </c>
      <c r="K428" s="1" t="str">
        <f>IF(Raw!F428="","",Raw!F428)</f>
        <v>sale</v>
      </c>
      <c r="L428" s="1" t="str">
        <f>IF(LEFT(TRIM(Raw!G428),2)="-$","-"&amp;MID(TRIM(Raw!G428),3,99),IF(LEFT(TRIM(Raw!G428),1)="$",MID(TRIM(Raw!G428),2,99),TRIM(Raw!G428)))</f>
        <v>122.28</v>
      </c>
      <c r="M428" s="1">
        <f t="shared" si="51"/>
        <v>122.28</v>
      </c>
      <c r="N428" s="10">
        <f t="shared" si="52"/>
        <v>12228</v>
      </c>
      <c r="O428" s="1" t="b">
        <f>IFERROR(IF(ISNUMBER(Raw!G428),TRUE,OR(EXACT(L428,TEXT(M428,"0.00")),EXACT(L428,TEXT(M428,"#,##0.00")))),FALSE)</f>
        <v>1</v>
      </c>
      <c r="P428" s="1" t="str">
        <f>LEN(IF(Raw!A428="","",Raw!A428))&amp;":"&amp;IF(Raw!A428="","",Raw!A428)&amp;"|"&amp;LEN(IF(Raw!B428="","",Raw!B428))&amp;":"&amp;IF(Raw!B428="","",Raw!B428)&amp;"|"&amp;LEN(IF(Raw!C428="","",Raw!C428))&amp;":"&amp;IF(Raw!C428="","",Raw!C428)&amp;"|"&amp;LEN(IF(Raw!D428="","",Raw!D428))&amp;":"&amp;IF(Raw!D428="","",Raw!D428)&amp;"|"&amp;LEN(IF(Raw!E428="","",Raw!E428))&amp;":"&amp;IF(Raw!E428="","",Raw!E428)&amp;"|"&amp;LEN(IF(Raw!F428="","",Raw!F428))&amp;":"&amp;IF(Raw!F428="","",Raw!F428)&amp;"|"&amp;LEN(IF(Raw!G428="","",Raw!G428))&amp;":"&amp;IF(Raw!G428="","",Raw!G428)</f>
        <v>6:L00422|6:T00211|10:2026-01-31|3:P-H|4:Home|4:sale|6:122.28</v>
      </c>
      <c r="Q428" s="1">
        <f>1</f>
        <v>1</v>
      </c>
      <c r="R428" s="1" t="b">
        <f>FALSE</f>
        <v>0</v>
      </c>
      <c r="S428" s="1">
        <f>1</f>
        <v>1</v>
      </c>
      <c r="T428" s="1" t="str">
        <f>IF(AND(Raw!A428="",Raw!B428="",Raw!C428="",Raw!D428="",Raw!E428="",Raw!F428="",Raw!G428=""),"UNUSED",IF(A428="","missing line ID",IF(B428="","missing transaction ID",IF(G428="",IF(C428="","missing date","invalid date"),IF(I428="","unknown product",IF(J428="","conflicting category",IF(NOT(OR(EXACT(K428,"sale"),EXACT(K428,"refund"))),"unknown event",IF(OR(N428="",NOT(O428)),"invalid amount",IF(OR(AND(K428="sale",N428&lt;=0),AND(K428="refund",N428&gt;=0)),"invalid sign","")))))))))</f>
        <v/>
      </c>
      <c r="U428" s="1" t="str">
        <f t="shared" si="53"/>
        <v>INCLUDED</v>
      </c>
      <c r="V428" s="1" t="str">
        <f t="shared" si="54"/>
        <v>2026-01</v>
      </c>
      <c r="W428" s="1">
        <f>IF(AND(U428="INCLUDED",X428&gt;0,EXACT(A428,'AI output'!A428)),1,0)</f>
        <v>1</v>
      </c>
      <c r="X428" s="1">
        <f>428</f>
        <v>428</v>
      </c>
      <c r="Y428" s="1">
        <f>IF(AND(U428="INCLUDED",W428=1),--(NOT(EXACT(A428,'AI output'!A428)))+--(NOT(EXACT(B428,'AI output'!B428)))+--(NOT(EXACT(TEXT(G428,"yyyy-mm-dd"),'AI output'!C428)))+--(NOT(EXACT(H428,'AI output'!D428)))+--(NOT(EXACT(J428,'AI output'!E428)))+--(NOT(EXACT(K428,'AI output'!F428)))+--(N428&lt;&gt;'AI output'!L428)+--(NOT('AI output'!M428)),0)</f>
        <v>0</v>
      </c>
      <c r="Z428" s="1">
        <f t="shared" si="55"/>
        <v>0</v>
      </c>
      <c r="AA428" s="1">
        <f>--EXACT(A428,"L00422")</f>
        <v>1</v>
      </c>
    </row>
    <row r="429" spans="1:27" ht="18.95" customHeight="1">
      <c r="A429" s="1" t="str">
        <f>IF(Raw!A429="","",Raw!A429)</f>
        <v>L00423</v>
      </c>
      <c r="B429" s="1" t="str">
        <f>IF(Raw!B429="","",Raw!B429)</f>
        <v>T00212</v>
      </c>
      <c r="C429" s="1" t="str">
        <f>IF(Raw!C429="","",Raw!C429)</f>
        <v>2026-02-07</v>
      </c>
      <c r="D429" s="1">
        <f t="shared" si="48"/>
        <v>2026</v>
      </c>
      <c r="E429" s="1">
        <f>IFERROR(IF(AND(LEN(C429)=10,MID(C429,5,1)="-",MID(C429,8,1)="-"),VALUE(MID(C429,6,2)),IF(AND(LEN(C429)=11,MID(C429,3,1)="-",MID(C429,7,1)="-"),MATCH(UPPER(MID(C429,4,3)),Guide!$D$7:$D$18,0),0)),0)</f>
        <v>2</v>
      </c>
      <c r="F429" s="1">
        <f t="shared" si="49"/>
        <v>7</v>
      </c>
      <c r="G429" s="9">
        <f t="shared" si="50"/>
        <v>46060</v>
      </c>
      <c r="H429" s="1" t="str">
        <f>IF(Raw!D429="","",Raw!D429)</f>
        <v>P-O</v>
      </c>
      <c r="I429" s="1" t="str">
        <f>IFERROR(IF(EXACT(H429,INDEX(Guide!$A$7:$A$9,MATCH(SUBSTITUTE(SUBSTITUTE(SUBSTITUTE(H429,"~","~~"),"*","~*"),"?","~?"),Guide!$A$7:$A$9,0))),INDEX(Guide!$B$7:$B$9,MATCH(SUBSTITUTE(SUBSTITUTE(SUBSTITUTE(H429,"~","~~"),"*","~*"),"?","~?"),Guide!$A$7:$A$9,0)),""),"")</f>
        <v>Office</v>
      </c>
      <c r="J429" s="1" t="str">
        <f>IF(TRIM(Raw!E429)="",I429,IF(UPPER(TRIM(Raw!E429))=UPPER(I429),I429,""))</f>
        <v>Office</v>
      </c>
      <c r="K429" s="1" t="str">
        <f>IF(Raw!F429="","",Raw!F429)</f>
        <v>sale</v>
      </c>
      <c r="L429" s="1" t="str">
        <f>IF(LEFT(TRIM(Raw!G429),2)="-$","-"&amp;MID(TRIM(Raw!G429),3,99),IF(LEFT(TRIM(Raw!G429),1)="$",MID(TRIM(Raw!G429),2,99),TRIM(Raw!G429)))</f>
        <v>205.65</v>
      </c>
      <c r="M429" s="1">
        <f t="shared" si="51"/>
        <v>205.65</v>
      </c>
      <c r="N429" s="10">
        <f t="shared" si="52"/>
        <v>20565</v>
      </c>
      <c r="O429" s="1" t="b">
        <f>IFERROR(IF(ISNUMBER(Raw!G429),TRUE,OR(EXACT(L429,TEXT(M429,"0.00")),EXACT(L429,TEXT(M429,"#,##0.00")))),FALSE)</f>
        <v>1</v>
      </c>
      <c r="P429" s="1" t="str">
        <f>LEN(IF(Raw!A429="","",Raw!A429))&amp;":"&amp;IF(Raw!A429="","",Raw!A429)&amp;"|"&amp;LEN(IF(Raw!B429="","",Raw!B429))&amp;":"&amp;IF(Raw!B429="","",Raw!B429)&amp;"|"&amp;LEN(IF(Raw!C429="","",Raw!C429))&amp;":"&amp;IF(Raw!C429="","",Raw!C429)&amp;"|"&amp;LEN(IF(Raw!D429="","",Raw!D429))&amp;":"&amp;IF(Raw!D429="","",Raw!D429)&amp;"|"&amp;LEN(IF(Raw!E429="","",Raw!E429))&amp;":"&amp;IF(Raw!E429="","",Raw!E429)&amp;"|"&amp;LEN(IF(Raw!F429="","",Raw!F429))&amp;":"&amp;IF(Raw!F429="","",Raw!F429)&amp;"|"&amp;LEN(IF(Raw!G429="","",Raw!G429))&amp;":"&amp;IF(Raw!G429="","",Raw!G429)</f>
        <v>6:L00423|6:T00212|10:2026-02-07|3:P-O|10:  office  |4:sale|6:205.65</v>
      </c>
      <c r="Q429" s="1">
        <f>1</f>
        <v>1</v>
      </c>
      <c r="R429" s="1" t="b">
        <f>FALSE</f>
        <v>0</v>
      </c>
      <c r="S429" s="1">
        <f>1</f>
        <v>1</v>
      </c>
      <c r="T429" s="1" t="str">
        <f>IF(AND(Raw!A429="",Raw!B429="",Raw!C429="",Raw!D429="",Raw!E429="",Raw!F429="",Raw!G429=""),"UNUSED",IF(A429="","missing line ID",IF(B429="","missing transaction ID",IF(G429="",IF(C429="","missing date","invalid date"),IF(I429="","unknown product",IF(J429="","conflicting category",IF(NOT(OR(EXACT(K429,"sale"),EXACT(K429,"refund"))),"unknown event",IF(OR(N429="",NOT(O429)),"invalid amount",IF(OR(AND(K429="sale",N429&lt;=0),AND(K429="refund",N429&gt;=0)),"invalid sign","")))))))))</f>
        <v/>
      </c>
      <c r="U429" s="1" t="str">
        <f t="shared" si="53"/>
        <v>INCLUDED</v>
      </c>
      <c r="V429" s="1" t="str">
        <f t="shared" si="54"/>
        <v>2026-02</v>
      </c>
      <c r="W429" s="1">
        <f>IF(AND(U429="INCLUDED",X429&gt;0,EXACT(A429,'AI output'!A429)),1,0)</f>
        <v>1</v>
      </c>
      <c r="X429" s="1">
        <f>429</f>
        <v>429</v>
      </c>
      <c r="Y429" s="1">
        <f>IF(AND(U429="INCLUDED",W429=1),--(NOT(EXACT(A429,'AI output'!A429)))+--(NOT(EXACT(B429,'AI output'!B429)))+--(NOT(EXACT(TEXT(G429,"yyyy-mm-dd"),'AI output'!C429)))+--(NOT(EXACT(H429,'AI output'!D429)))+--(NOT(EXACT(J429,'AI output'!E429)))+--(NOT(EXACT(K429,'AI output'!F429)))+--(N429&lt;&gt;'AI output'!L429)+--(NOT('AI output'!M429)),0)</f>
        <v>0</v>
      </c>
      <c r="Z429" s="1">
        <f t="shared" si="55"/>
        <v>0</v>
      </c>
      <c r="AA429" s="1">
        <f>--EXACT(A429,"L00423")</f>
        <v>1</v>
      </c>
    </row>
    <row r="430" spans="1:27" ht="18.95" customHeight="1">
      <c r="A430" s="1" t="str">
        <f>IF(Raw!A430="","",Raw!A430)</f>
        <v>L00424</v>
      </c>
      <c r="B430" s="1" t="str">
        <f>IF(Raw!B430="","",Raw!B430)</f>
        <v>T00212</v>
      </c>
      <c r="C430" s="1" t="str">
        <f>IF(Raw!C430="","",Raw!C430)</f>
        <v>2026-02-07</v>
      </c>
      <c r="D430" s="1">
        <f t="shared" si="48"/>
        <v>2026</v>
      </c>
      <c r="E430" s="1">
        <f>IFERROR(IF(AND(LEN(C430)=10,MID(C430,5,1)="-",MID(C430,8,1)="-"),VALUE(MID(C430,6,2)),IF(AND(LEN(C430)=11,MID(C430,3,1)="-",MID(C430,7,1)="-"),MATCH(UPPER(MID(C430,4,3)),Guide!$D$7:$D$18,0),0)),0)</f>
        <v>2</v>
      </c>
      <c r="F430" s="1">
        <f t="shared" si="49"/>
        <v>7</v>
      </c>
      <c r="G430" s="9">
        <f t="shared" si="50"/>
        <v>46060</v>
      </c>
      <c r="H430" s="1" t="str">
        <f>IF(Raw!D430="","",Raw!D430)</f>
        <v>P-A</v>
      </c>
      <c r="I430" s="1" t="str">
        <f>IFERROR(IF(EXACT(H430,INDEX(Guide!$A$7:$A$9,MATCH(SUBSTITUTE(SUBSTITUTE(SUBSTITUTE(H430,"~","~~"),"*","~*"),"?","~?"),Guide!$A$7:$A$9,0))),INDEX(Guide!$B$7:$B$9,MATCH(SUBSTITUTE(SUBSTITUTE(SUBSTITUTE(H430,"~","~~"),"*","~*"),"?","~?"),Guide!$A$7:$A$9,0)),""),"")</f>
        <v>Accessories</v>
      </c>
      <c r="J430" s="1" t="str">
        <f>IF(TRIM(Raw!E430)="",I430,IF(UPPER(TRIM(Raw!E430))=UPPER(I430),I430,""))</f>
        <v>Accessories</v>
      </c>
      <c r="K430" s="1" t="str">
        <f>IF(Raw!F430="","",Raw!F430)</f>
        <v>sale</v>
      </c>
      <c r="L430" s="1" t="str">
        <f>IF(LEFT(TRIM(Raw!G430),2)="-$","-"&amp;MID(TRIM(Raw!G430),3,99),IF(LEFT(TRIM(Raw!G430),1)="$",MID(TRIM(Raw!G430),2,99),TRIM(Raw!G430)))</f>
        <v>83.00</v>
      </c>
      <c r="M430" s="1">
        <f t="shared" si="51"/>
        <v>83</v>
      </c>
      <c r="N430" s="10">
        <f t="shared" si="52"/>
        <v>8300</v>
      </c>
      <c r="O430" s="1" t="b">
        <f>IFERROR(IF(ISNUMBER(Raw!G430),TRUE,OR(EXACT(L430,TEXT(M430,"0.00")),EXACT(L430,TEXT(M430,"#,##0.00")))),FALSE)</f>
        <v>1</v>
      </c>
      <c r="P430" s="1" t="str">
        <f>LEN(IF(Raw!A430="","",Raw!A430))&amp;":"&amp;IF(Raw!A430="","",Raw!A430)&amp;"|"&amp;LEN(IF(Raw!B430="","",Raw!B430))&amp;":"&amp;IF(Raw!B430="","",Raw!B430)&amp;"|"&amp;LEN(IF(Raw!C430="","",Raw!C430))&amp;":"&amp;IF(Raw!C430="","",Raw!C430)&amp;"|"&amp;LEN(IF(Raw!D430="","",Raw!D430))&amp;":"&amp;IF(Raw!D430="","",Raw!D430)&amp;"|"&amp;LEN(IF(Raw!E430="","",Raw!E430))&amp;":"&amp;IF(Raw!E430="","",Raw!E430)&amp;"|"&amp;LEN(IF(Raw!F430="","",Raw!F430))&amp;":"&amp;IF(Raw!F430="","",Raw!F430)&amp;"|"&amp;LEN(IF(Raw!G430="","",Raw!G430))&amp;":"&amp;IF(Raw!G430="","",Raw!G430)</f>
        <v>6:L00424|6:T00212|10:2026-02-07|3:P-A|11:Accessories|4:sale|5:83.00</v>
      </c>
      <c r="Q430" s="1">
        <f>1</f>
        <v>1</v>
      </c>
      <c r="R430" s="1" t="b">
        <f>FALSE</f>
        <v>0</v>
      </c>
      <c r="S430" s="1">
        <f>1</f>
        <v>1</v>
      </c>
      <c r="T430" s="1" t="str">
        <f>IF(AND(Raw!A430="",Raw!B430="",Raw!C430="",Raw!D430="",Raw!E430="",Raw!F430="",Raw!G430=""),"UNUSED",IF(A430="","missing line ID",IF(B430="","missing transaction ID",IF(G430="",IF(C430="","missing date","invalid date"),IF(I430="","unknown product",IF(J430="","conflicting category",IF(NOT(OR(EXACT(K430,"sale"),EXACT(K430,"refund"))),"unknown event",IF(OR(N430="",NOT(O430)),"invalid amount",IF(OR(AND(K430="sale",N430&lt;=0),AND(K430="refund",N430&gt;=0)),"invalid sign","")))))))))</f>
        <v/>
      </c>
      <c r="U430" s="1" t="str">
        <f t="shared" si="53"/>
        <v>INCLUDED</v>
      </c>
      <c r="V430" s="1" t="str">
        <f t="shared" si="54"/>
        <v>2026-02</v>
      </c>
      <c r="W430" s="1">
        <f>IF(AND(U430="INCLUDED",X430&gt;0,EXACT(A430,'AI output'!A430)),1,0)</f>
        <v>1</v>
      </c>
      <c r="X430" s="1">
        <f>430</f>
        <v>430</v>
      </c>
      <c r="Y430" s="1">
        <f>IF(AND(U430="INCLUDED",W430=1),--(NOT(EXACT(A430,'AI output'!A430)))+--(NOT(EXACT(B430,'AI output'!B430)))+--(NOT(EXACT(TEXT(G430,"yyyy-mm-dd"),'AI output'!C430)))+--(NOT(EXACT(H430,'AI output'!D430)))+--(NOT(EXACT(J430,'AI output'!E430)))+--(NOT(EXACT(K430,'AI output'!F430)))+--(N430&lt;&gt;'AI output'!L430)+--(NOT('AI output'!M430)),0)</f>
        <v>0</v>
      </c>
      <c r="Z430" s="1">
        <f t="shared" si="55"/>
        <v>0</v>
      </c>
      <c r="AA430" s="1">
        <f>--EXACT(A430,"L00424")</f>
        <v>1</v>
      </c>
    </row>
    <row r="431" spans="1:27" ht="18.95" customHeight="1">
      <c r="A431" s="1" t="str">
        <f>IF(Raw!A431="","",Raw!A431)</f>
        <v>L00425</v>
      </c>
      <c r="B431" s="1" t="str">
        <f>IF(Raw!B431="","",Raw!B431)</f>
        <v>T00213</v>
      </c>
      <c r="C431" s="1" t="str">
        <f>IF(Raw!C431="","",Raw!C431)</f>
        <v>2026-02-14</v>
      </c>
      <c r="D431" s="1">
        <f t="shared" si="48"/>
        <v>2026</v>
      </c>
      <c r="E431" s="1">
        <f>IFERROR(IF(AND(LEN(C431)=10,MID(C431,5,1)="-",MID(C431,8,1)="-"),VALUE(MID(C431,6,2)),IF(AND(LEN(C431)=11,MID(C431,3,1)="-",MID(C431,7,1)="-"),MATCH(UPPER(MID(C431,4,3)),Guide!$D$7:$D$18,0),0)),0)</f>
        <v>2</v>
      </c>
      <c r="F431" s="1">
        <f t="shared" si="49"/>
        <v>14</v>
      </c>
      <c r="G431" s="9">
        <f t="shared" si="50"/>
        <v>46067</v>
      </c>
      <c r="H431" s="1" t="str">
        <f>IF(Raw!D431="","",Raw!D431)</f>
        <v>P-H</v>
      </c>
      <c r="I431" s="1" t="str">
        <f>IFERROR(IF(EXACT(H431,INDEX(Guide!$A$7:$A$9,MATCH(SUBSTITUTE(SUBSTITUTE(SUBSTITUTE(H431,"~","~~"),"*","~*"),"?","~?"),Guide!$A$7:$A$9,0))),INDEX(Guide!$B$7:$B$9,MATCH(SUBSTITUTE(SUBSTITUTE(SUBSTITUTE(H431,"~","~~"),"*","~*"),"?","~?"),Guide!$A$7:$A$9,0)),""),"")</f>
        <v>Home</v>
      </c>
      <c r="J431" s="1" t="str">
        <f>IF(TRIM(Raw!E431)="",I431,IF(UPPER(TRIM(Raw!E431))=UPPER(I431),I431,""))</f>
        <v>Home</v>
      </c>
      <c r="K431" s="1" t="str">
        <f>IF(Raw!F431="","",Raw!F431)</f>
        <v>sale</v>
      </c>
      <c r="L431" s="1" t="str">
        <f>IF(LEFT(TRIM(Raw!G431),2)="-$","-"&amp;MID(TRIM(Raw!G431),3,99),IF(LEFT(TRIM(Raw!G431),1)="$",MID(TRIM(Raw!G431),2,99),TRIM(Raw!G431)))</f>
        <v>167.48</v>
      </c>
      <c r="M431" s="1">
        <f t="shared" si="51"/>
        <v>167.48</v>
      </c>
      <c r="N431" s="10">
        <f t="shared" si="52"/>
        <v>16748</v>
      </c>
      <c r="O431" s="1" t="b">
        <f>IFERROR(IF(ISNUMBER(Raw!G431),TRUE,OR(EXACT(L431,TEXT(M431,"0.00")),EXACT(L431,TEXT(M431,"#,##0.00")))),FALSE)</f>
        <v>1</v>
      </c>
      <c r="P431" s="1" t="str">
        <f>LEN(IF(Raw!A431="","",Raw!A431))&amp;":"&amp;IF(Raw!A431="","",Raw!A431)&amp;"|"&amp;LEN(IF(Raw!B431="","",Raw!B431))&amp;":"&amp;IF(Raw!B431="","",Raw!B431)&amp;"|"&amp;LEN(IF(Raw!C431="","",Raw!C431))&amp;":"&amp;IF(Raw!C431="","",Raw!C431)&amp;"|"&amp;LEN(IF(Raw!D431="","",Raw!D431))&amp;":"&amp;IF(Raw!D431="","",Raw!D431)&amp;"|"&amp;LEN(IF(Raw!E431="","",Raw!E431))&amp;":"&amp;IF(Raw!E431="","",Raw!E431)&amp;"|"&amp;LEN(IF(Raw!F431="","",Raw!F431))&amp;":"&amp;IF(Raw!F431="","",Raw!F431)&amp;"|"&amp;LEN(IF(Raw!G431="","",Raw!G431))&amp;":"&amp;IF(Raw!G431="","",Raw!G431)</f>
        <v>6:L00425|6:T00213|10:2026-02-14|3:P-H|4:Home|4:sale|6:167.48</v>
      </c>
      <c r="Q431" s="1">
        <f>1</f>
        <v>1</v>
      </c>
      <c r="R431" s="1" t="b">
        <f>FALSE</f>
        <v>0</v>
      </c>
      <c r="S431" s="1">
        <f>1</f>
        <v>1</v>
      </c>
      <c r="T431" s="1" t="str">
        <f>IF(AND(Raw!A431="",Raw!B431="",Raw!C431="",Raw!D431="",Raw!E431="",Raw!F431="",Raw!G431=""),"UNUSED",IF(A431="","missing line ID",IF(B431="","missing transaction ID",IF(G431="",IF(C431="","missing date","invalid date"),IF(I431="","unknown product",IF(J431="","conflicting category",IF(NOT(OR(EXACT(K431,"sale"),EXACT(K431,"refund"))),"unknown event",IF(OR(N431="",NOT(O431)),"invalid amount",IF(OR(AND(K431="sale",N431&lt;=0),AND(K431="refund",N431&gt;=0)),"invalid sign","")))))))))</f>
        <v/>
      </c>
      <c r="U431" s="1" t="str">
        <f t="shared" si="53"/>
        <v>INCLUDED</v>
      </c>
      <c r="V431" s="1" t="str">
        <f t="shared" si="54"/>
        <v>2026-02</v>
      </c>
      <c r="W431" s="1">
        <f>IF(AND(U431="INCLUDED",X431&gt;0,EXACT(A431,'AI output'!A431)),1,0)</f>
        <v>1</v>
      </c>
      <c r="X431" s="1">
        <f>431</f>
        <v>431</v>
      </c>
      <c r="Y431" s="1">
        <f>IF(AND(U431="INCLUDED",W431=1),--(NOT(EXACT(A431,'AI output'!A431)))+--(NOT(EXACT(B431,'AI output'!B431)))+--(NOT(EXACT(TEXT(G431,"yyyy-mm-dd"),'AI output'!C431)))+--(NOT(EXACT(H431,'AI output'!D431)))+--(NOT(EXACT(J431,'AI output'!E431)))+--(NOT(EXACT(K431,'AI output'!F431)))+--(N431&lt;&gt;'AI output'!L431)+--(NOT('AI output'!M431)),0)</f>
        <v>0</v>
      </c>
      <c r="Z431" s="1">
        <f t="shared" si="55"/>
        <v>0</v>
      </c>
      <c r="AA431" s="1">
        <f>--EXACT(A431,"L00425")</f>
        <v>1</v>
      </c>
    </row>
    <row r="432" spans="1:27" ht="18.95" customHeight="1">
      <c r="A432" s="1" t="str">
        <f>IF(Raw!A432="","",Raw!A432)</f>
        <v>L00426</v>
      </c>
      <c r="B432" s="1" t="str">
        <f>IF(Raw!B432="","",Raw!B432)</f>
        <v>T00213</v>
      </c>
      <c r="C432" s="1" t="str">
        <f>IF(Raw!C432="","",Raw!C432)</f>
        <v>2026-02-14</v>
      </c>
      <c r="D432" s="1">
        <f t="shared" si="48"/>
        <v>2026</v>
      </c>
      <c r="E432" s="1">
        <f>IFERROR(IF(AND(LEN(C432)=10,MID(C432,5,1)="-",MID(C432,8,1)="-"),VALUE(MID(C432,6,2)),IF(AND(LEN(C432)=11,MID(C432,3,1)="-",MID(C432,7,1)="-"),MATCH(UPPER(MID(C432,4,3)),Guide!$D$7:$D$18,0),0)),0)</f>
        <v>2</v>
      </c>
      <c r="F432" s="1">
        <f t="shared" si="49"/>
        <v>14</v>
      </c>
      <c r="G432" s="9">
        <f t="shared" si="50"/>
        <v>46067</v>
      </c>
      <c r="H432" s="1" t="str">
        <f>IF(Raw!D432="","",Raw!D432)</f>
        <v>P-O</v>
      </c>
      <c r="I432" s="1" t="str">
        <f>IFERROR(IF(EXACT(H432,INDEX(Guide!$A$7:$A$9,MATCH(SUBSTITUTE(SUBSTITUTE(SUBSTITUTE(H432,"~","~~"),"*","~*"),"?","~?"),Guide!$A$7:$A$9,0))),INDEX(Guide!$B$7:$B$9,MATCH(SUBSTITUTE(SUBSTITUTE(SUBSTITUTE(H432,"~","~~"),"*","~*"),"?","~?"),Guide!$A$7:$A$9,0)),""),"")</f>
        <v>Office</v>
      </c>
      <c r="J432" s="1" t="str">
        <f>IF(TRIM(Raw!E432)="",I432,IF(UPPER(TRIM(Raw!E432))=UPPER(I432),I432,""))</f>
        <v>Office</v>
      </c>
      <c r="K432" s="1" t="str">
        <f>IF(Raw!F432="","",Raw!F432)</f>
        <v>sale</v>
      </c>
      <c r="L432" s="1" t="str">
        <f>IF(LEFT(TRIM(Raw!G432),2)="-$","-"&amp;MID(TRIM(Raw!G432),3,99),IF(LEFT(TRIM(Raw!G432),1)="$",MID(TRIM(Raw!G432),2,99),TRIM(Raw!G432)))</f>
        <v>42.24</v>
      </c>
      <c r="M432" s="1">
        <f t="shared" si="51"/>
        <v>42.24</v>
      </c>
      <c r="N432" s="10">
        <f t="shared" si="52"/>
        <v>4224</v>
      </c>
      <c r="O432" s="1" t="b">
        <f>IFERROR(IF(ISNUMBER(Raw!G432),TRUE,OR(EXACT(L432,TEXT(M432,"0.00")),EXACT(L432,TEXT(M432,"#,##0.00")))),FALSE)</f>
        <v>1</v>
      </c>
      <c r="P432" s="1" t="str">
        <f>LEN(IF(Raw!A432="","",Raw!A432))&amp;":"&amp;IF(Raw!A432="","",Raw!A432)&amp;"|"&amp;LEN(IF(Raw!B432="","",Raw!B432))&amp;":"&amp;IF(Raw!B432="","",Raw!B432)&amp;"|"&amp;LEN(IF(Raw!C432="","",Raw!C432))&amp;":"&amp;IF(Raw!C432="","",Raw!C432)&amp;"|"&amp;LEN(IF(Raw!D432="","",Raw!D432))&amp;":"&amp;IF(Raw!D432="","",Raw!D432)&amp;"|"&amp;LEN(IF(Raw!E432="","",Raw!E432))&amp;":"&amp;IF(Raw!E432="","",Raw!E432)&amp;"|"&amp;LEN(IF(Raw!F432="","",Raw!F432))&amp;":"&amp;IF(Raw!F432="","",Raw!F432)&amp;"|"&amp;LEN(IF(Raw!G432="","",Raw!G432))&amp;":"&amp;IF(Raw!G432="","",Raw!G432)</f>
        <v>6:L00426|6:T00213|10:2026-02-14|3:P-O|6:Office|4:sale|5:42.24</v>
      </c>
      <c r="Q432" s="1">
        <f>1</f>
        <v>1</v>
      </c>
      <c r="R432" s="1" t="b">
        <f>FALSE</f>
        <v>0</v>
      </c>
      <c r="S432" s="1">
        <f>1</f>
        <v>1</v>
      </c>
      <c r="T432" s="1" t="str">
        <f>IF(AND(Raw!A432="",Raw!B432="",Raw!C432="",Raw!D432="",Raw!E432="",Raw!F432="",Raw!G432=""),"UNUSED",IF(A432="","missing line ID",IF(B432="","missing transaction ID",IF(G432="",IF(C432="","missing date","invalid date"),IF(I432="","unknown product",IF(J432="","conflicting category",IF(NOT(OR(EXACT(K432,"sale"),EXACT(K432,"refund"))),"unknown event",IF(OR(N432="",NOT(O432)),"invalid amount",IF(OR(AND(K432="sale",N432&lt;=0),AND(K432="refund",N432&gt;=0)),"invalid sign","")))))))))</f>
        <v/>
      </c>
      <c r="U432" s="1" t="str">
        <f t="shared" si="53"/>
        <v>INCLUDED</v>
      </c>
      <c r="V432" s="1" t="str">
        <f t="shared" si="54"/>
        <v>2026-02</v>
      </c>
      <c r="W432" s="1">
        <f>IF(AND(U432="INCLUDED",X432&gt;0,EXACT(A432,'AI output'!A432)),1,0)</f>
        <v>1</v>
      </c>
      <c r="X432" s="1">
        <f>432</f>
        <v>432</v>
      </c>
      <c r="Y432" s="1">
        <f>IF(AND(U432="INCLUDED",W432=1),--(NOT(EXACT(A432,'AI output'!A432)))+--(NOT(EXACT(B432,'AI output'!B432)))+--(NOT(EXACT(TEXT(G432,"yyyy-mm-dd"),'AI output'!C432)))+--(NOT(EXACT(H432,'AI output'!D432)))+--(NOT(EXACT(J432,'AI output'!E432)))+--(NOT(EXACT(K432,'AI output'!F432)))+--(N432&lt;&gt;'AI output'!L432)+--(NOT('AI output'!M432)),0)</f>
        <v>0</v>
      </c>
      <c r="Z432" s="1">
        <f t="shared" si="55"/>
        <v>0</v>
      </c>
      <c r="AA432" s="1">
        <f>--EXACT(A432,"L00426")</f>
        <v>1</v>
      </c>
    </row>
    <row r="433" spans="1:27" ht="18.95" customHeight="1">
      <c r="A433" s="1" t="str">
        <f>IF(Raw!A433="","",Raw!A433)</f>
        <v>L00427</v>
      </c>
      <c r="B433" s="1" t="str">
        <f>IF(Raw!B433="","",Raw!B433)</f>
        <v>T00214</v>
      </c>
      <c r="C433" s="1" t="str">
        <f>IF(Raw!C433="","",Raw!C433)</f>
        <v>2026-02-21</v>
      </c>
      <c r="D433" s="1">
        <f t="shared" si="48"/>
        <v>2026</v>
      </c>
      <c r="E433" s="1">
        <f>IFERROR(IF(AND(LEN(C433)=10,MID(C433,5,1)="-",MID(C433,8,1)="-"),VALUE(MID(C433,6,2)),IF(AND(LEN(C433)=11,MID(C433,3,1)="-",MID(C433,7,1)="-"),MATCH(UPPER(MID(C433,4,3)),Guide!$D$7:$D$18,0),0)),0)</f>
        <v>2</v>
      </c>
      <c r="F433" s="1">
        <f t="shared" si="49"/>
        <v>21</v>
      </c>
      <c r="G433" s="9">
        <f t="shared" si="50"/>
        <v>46074</v>
      </c>
      <c r="H433" s="1" t="str">
        <f>IF(Raw!D433="","",Raw!D433)</f>
        <v>P-A</v>
      </c>
      <c r="I433" s="1" t="str">
        <f>IFERROR(IF(EXACT(H433,INDEX(Guide!$A$7:$A$9,MATCH(SUBSTITUTE(SUBSTITUTE(SUBSTITUTE(H433,"~","~~"),"*","~*"),"?","~?"),Guide!$A$7:$A$9,0))),INDEX(Guide!$B$7:$B$9,MATCH(SUBSTITUTE(SUBSTITUTE(SUBSTITUTE(H433,"~","~~"),"*","~*"),"?","~?"),Guide!$A$7:$A$9,0)),""),"")</f>
        <v>Accessories</v>
      </c>
      <c r="J433" s="1" t="str">
        <f>IF(TRIM(Raw!E433)="",I433,IF(UPPER(TRIM(Raw!E433))=UPPER(I433),I433,""))</f>
        <v>Accessories</v>
      </c>
      <c r="K433" s="1" t="str">
        <f>IF(Raw!F433="","",Raw!F433)</f>
        <v>sale</v>
      </c>
      <c r="L433" s="1" t="str">
        <f>IF(LEFT(TRIM(Raw!G433),2)="-$","-"&amp;MID(TRIM(Raw!G433),3,99),IF(LEFT(TRIM(Raw!G433),1)="$",MID(TRIM(Raw!G433),2,99),TRIM(Raw!G433)))</f>
        <v>127.83</v>
      </c>
      <c r="M433" s="1">
        <f t="shared" si="51"/>
        <v>127.83</v>
      </c>
      <c r="N433" s="10">
        <f t="shared" si="52"/>
        <v>12783</v>
      </c>
      <c r="O433" s="1" t="b">
        <f>IFERROR(IF(ISNUMBER(Raw!G433),TRUE,OR(EXACT(L433,TEXT(M433,"0.00")),EXACT(L433,TEXT(M433,"#,##0.00")))),FALSE)</f>
        <v>1</v>
      </c>
      <c r="P433" s="1" t="str">
        <f>LEN(IF(Raw!A433="","",Raw!A433))&amp;":"&amp;IF(Raw!A433="","",Raw!A433)&amp;"|"&amp;LEN(IF(Raw!B433="","",Raw!B433))&amp;":"&amp;IF(Raw!B433="","",Raw!B433)&amp;"|"&amp;LEN(IF(Raw!C433="","",Raw!C433))&amp;":"&amp;IF(Raw!C433="","",Raw!C433)&amp;"|"&amp;LEN(IF(Raw!D433="","",Raw!D433))&amp;":"&amp;IF(Raw!D433="","",Raw!D433)&amp;"|"&amp;LEN(IF(Raw!E433="","",Raw!E433))&amp;":"&amp;IF(Raw!E433="","",Raw!E433)&amp;"|"&amp;LEN(IF(Raw!F433="","",Raw!F433))&amp;":"&amp;IF(Raw!F433="","",Raw!F433)&amp;"|"&amp;LEN(IF(Raw!G433="","",Raw!G433))&amp;":"&amp;IF(Raw!G433="","",Raw!G433)</f>
        <v>6:L00427|6:T00214|10:2026-02-21|3:P-A|11:Accessories|4:sale|6:127.83</v>
      </c>
      <c r="Q433" s="1">
        <f>1</f>
        <v>1</v>
      </c>
      <c r="R433" s="1" t="b">
        <f>FALSE</f>
        <v>0</v>
      </c>
      <c r="S433" s="1">
        <f>1</f>
        <v>1</v>
      </c>
      <c r="T433" s="1" t="str">
        <f>IF(AND(Raw!A433="",Raw!B433="",Raw!C433="",Raw!D433="",Raw!E433="",Raw!F433="",Raw!G433=""),"UNUSED",IF(A433="","missing line ID",IF(B433="","missing transaction ID",IF(G433="",IF(C433="","missing date","invalid date"),IF(I433="","unknown product",IF(J433="","conflicting category",IF(NOT(OR(EXACT(K433,"sale"),EXACT(K433,"refund"))),"unknown event",IF(OR(N433="",NOT(O433)),"invalid amount",IF(OR(AND(K433="sale",N433&lt;=0),AND(K433="refund",N433&gt;=0)),"invalid sign","")))))))))</f>
        <v/>
      </c>
      <c r="U433" s="1" t="str">
        <f t="shared" si="53"/>
        <v>INCLUDED</v>
      </c>
      <c r="V433" s="1" t="str">
        <f t="shared" si="54"/>
        <v>2026-02</v>
      </c>
      <c r="W433" s="1">
        <f>IF(AND(U433="INCLUDED",X433&gt;0,EXACT(A433,'AI output'!A433)),1,0)</f>
        <v>1</v>
      </c>
      <c r="X433" s="1">
        <f>433</f>
        <v>433</v>
      </c>
      <c r="Y433" s="1">
        <f>IF(AND(U433="INCLUDED",W433=1),--(NOT(EXACT(A433,'AI output'!A433)))+--(NOT(EXACT(B433,'AI output'!B433)))+--(NOT(EXACT(TEXT(G433,"yyyy-mm-dd"),'AI output'!C433)))+--(NOT(EXACT(H433,'AI output'!D433)))+--(NOT(EXACT(J433,'AI output'!E433)))+--(NOT(EXACT(K433,'AI output'!F433)))+--(N433&lt;&gt;'AI output'!L433)+--(NOT('AI output'!M433)),0)</f>
        <v>0</v>
      </c>
      <c r="Z433" s="1">
        <f t="shared" si="55"/>
        <v>0</v>
      </c>
      <c r="AA433" s="1">
        <f>--EXACT(A433,"L00427")</f>
        <v>1</v>
      </c>
    </row>
    <row r="434" spans="1:27" ht="18.95" customHeight="1">
      <c r="A434" s="1" t="str">
        <f>IF(Raw!A434="","",Raw!A434)</f>
        <v>L00428</v>
      </c>
      <c r="B434" s="1" t="str">
        <f>IF(Raw!B434="","",Raw!B434)</f>
        <v>T00214</v>
      </c>
      <c r="C434" s="1" t="str">
        <f>IF(Raw!C434="","",Raw!C434)</f>
        <v>2026-02-21</v>
      </c>
      <c r="D434" s="1">
        <f t="shared" si="48"/>
        <v>2026</v>
      </c>
      <c r="E434" s="1">
        <f>IFERROR(IF(AND(LEN(C434)=10,MID(C434,5,1)="-",MID(C434,8,1)="-"),VALUE(MID(C434,6,2)),IF(AND(LEN(C434)=11,MID(C434,3,1)="-",MID(C434,7,1)="-"),MATCH(UPPER(MID(C434,4,3)),Guide!$D$7:$D$18,0),0)),0)</f>
        <v>2</v>
      </c>
      <c r="F434" s="1">
        <f t="shared" si="49"/>
        <v>21</v>
      </c>
      <c r="G434" s="9">
        <f t="shared" si="50"/>
        <v>46074</v>
      </c>
      <c r="H434" s="1" t="str">
        <f>IF(Raw!D434="","",Raw!D434)</f>
        <v>P-H</v>
      </c>
      <c r="I434" s="1" t="str">
        <f>IFERROR(IF(EXACT(H434,INDEX(Guide!$A$7:$A$9,MATCH(SUBSTITUTE(SUBSTITUTE(SUBSTITUTE(H434,"~","~~"),"*","~*"),"?","~?"),Guide!$A$7:$A$9,0))),INDEX(Guide!$B$7:$B$9,MATCH(SUBSTITUTE(SUBSTITUTE(SUBSTITUTE(H434,"~","~~"),"*","~*"),"?","~?"),Guide!$A$7:$A$9,0)),""),"")</f>
        <v>Home</v>
      </c>
      <c r="J434" s="1" t="str">
        <f>IF(TRIM(Raw!E434)="",I434,IF(UPPER(TRIM(Raw!E434))=UPPER(I434),I434,""))</f>
        <v>Home</v>
      </c>
      <c r="K434" s="1" t="str">
        <f>IF(Raw!F434="","",Raw!F434)</f>
        <v>sale</v>
      </c>
      <c r="L434" s="1" t="str">
        <f>IF(LEFT(TRIM(Raw!G434),2)="-$","-"&amp;MID(TRIM(Raw!G434),3,99),IF(LEFT(TRIM(Raw!G434),1)="$",MID(TRIM(Raw!G434),2,99),TRIM(Raw!G434)))</f>
        <v>214.90</v>
      </c>
      <c r="M434" s="1">
        <f t="shared" si="51"/>
        <v>214.9</v>
      </c>
      <c r="N434" s="10">
        <f t="shared" si="52"/>
        <v>21490</v>
      </c>
      <c r="O434" s="1" t="b">
        <f>IFERROR(IF(ISNUMBER(Raw!G434),TRUE,OR(EXACT(L434,TEXT(M434,"0.00")),EXACT(L434,TEXT(M434,"#,##0.00")))),FALSE)</f>
        <v>1</v>
      </c>
      <c r="P434" s="1" t="str">
        <f>LEN(IF(Raw!A434="","",Raw!A434))&amp;":"&amp;IF(Raw!A434="","",Raw!A434)&amp;"|"&amp;LEN(IF(Raw!B434="","",Raw!B434))&amp;":"&amp;IF(Raw!B434="","",Raw!B434)&amp;"|"&amp;LEN(IF(Raw!C434="","",Raw!C434))&amp;":"&amp;IF(Raw!C434="","",Raw!C434)&amp;"|"&amp;LEN(IF(Raw!D434="","",Raw!D434))&amp;":"&amp;IF(Raw!D434="","",Raw!D434)&amp;"|"&amp;LEN(IF(Raw!E434="","",Raw!E434))&amp;":"&amp;IF(Raw!E434="","",Raw!E434)&amp;"|"&amp;LEN(IF(Raw!F434="","",Raw!F434))&amp;":"&amp;IF(Raw!F434="","",Raw!F434)&amp;"|"&amp;LEN(IF(Raw!G434="","",Raw!G434))&amp;":"&amp;IF(Raw!G434="","",Raw!G434)</f>
        <v>6:L00428|6:T00214|10:2026-02-21|3:P-H|4:Home|4:sale|6:214.90</v>
      </c>
      <c r="Q434" s="1">
        <f>1</f>
        <v>1</v>
      </c>
      <c r="R434" s="1" t="b">
        <f>FALSE</f>
        <v>0</v>
      </c>
      <c r="S434" s="1">
        <f>1</f>
        <v>1</v>
      </c>
      <c r="T434" s="1" t="str">
        <f>IF(AND(Raw!A434="",Raw!B434="",Raw!C434="",Raw!D434="",Raw!E434="",Raw!F434="",Raw!G434=""),"UNUSED",IF(A434="","missing line ID",IF(B434="","missing transaction ID",IF(G434="",IF(C434="","missing date","invalid date"),IF(I434="","unknown product",IF(J434="","conflicting category",IF(NOT(OR(EXACT(K434,"sale"),EXACT(K434,"refund"))),"unknown event",IF(OR(N434="",NOT(O434)),"invalid amount",IF(OR(AND(K434="sale",N434&lt;=0),AND(K434="refund",N434&gt;=0)),"invalid sign","")))))))))</f>
        <v/>
      </c>
      <c r="U434" s="1" t="str">
        <f t="shared" si="53"/>
        <v>INCLUDED</v>
      </c>
      <c r="V434" s="1" t="str">
        <f t="shared" si="54"/>
        <v>2026-02</v>
      </c>
      <c r="W434" s="1">
        <f>IF(AND(U434="INCLUDED",X434&gt;0,EXACT(A434,'AI output'!A434)),1,0)</f>
        <v>1</v>
      </c>
      <c r="X434" s="1">
        <f>434</f>
        <v>434</v>
      </c>
      <c r="Y434" s="1">
        <f>IF(AND(U434="INCLUDED",W434=1),--(NOT(EXACT(A434,'AI output'!A434)))+--(NOT(EXACT(B434,'AI output'!B434)))+--(NOT(EXACT(TEXT(G434,"yyyy-mm-dd"),'AI output'!C434)))+--(NOT(EXACT(H434,'AI output'!D434)))+--(NOT(EXACT(J434,'AI output'!E434)))+--(NOT(EXACT(K434,'AI output'!F434)))+--(N434&lt;&gt;'AI output'!L434)+--(NOT('AI output'!M434)),0)</f>
        <v>0</v>
      </c>
      <c r="Z434" s="1">
        <f t="shared" si="55"/>
        <v>0</v>
      </c>
      <c r="AA434" s="1">
        <f>--EXACT(A434,"L00428")</f>
        <v>1</v>
      </c>
    </row>
    <row r="435" spans="1:27" ht="18.95" customHeight="1">
      <c r="A435" s="1" t="str">
        <f>IF(Raw!A435="","",Raw!A435)</f>
        <v>L00429</v>
      </c>
      <c r="B435" s="1" t="str">
        <f>IF(Raw!B435="","",Raw!B435)</f>
        <v>T00215</v>
      </c>
      <c r="C435" s="1" t="str">
        <f>IF(Raw!C435="","",Raw!C435)</f>
        <v>2026-02-28</v>
      </c>
      <c r="D435" s="1">
        <f t="shared" si="48"/>
        <v>2026</v>
      </c>
      <c r="E435" s="1">
        <f>IFERROR(IF(AND(LEN(C435)=10,MID(C435,5,1)="-",MID(C435,8,1)="-"),VALUE(MID(C435,6,2)),IF(AND(LEN(C435)=11,MID(C435,3,1)="-",MID(C435,7,1)="-"),MATCH(UPPER(MID(C435,4,3)),Guide!$D$7:$D$18,0),0)),0)</f>
        <v>2</v>
      </c>
      <c r="F435" s="1">
        <f t="shared" si="49"/>
        <v>28</v>
      </c>
      <c r="G435" s="9">
        <f t="shared" si="50"/>
        <v>46081</v>
      </c>
      <c r="H435" s="1" t="str">
        <f>IF(Raw!D435="","",Raw!D435)</f>
        <v>P-O</v>
      </c>
      <c r="I435" s="1" t="str">
        <f>IFERROR(IF(EXACT(H435,INDEX(Guide!$A$7:$A$9,MATCH(SUBSTITUTE(SUBSTITUTE(SUBSTITUTE(H435,"~","~~"),"*","~*"),"?","~?"),Guide!$A$7:$A$9,0))),INDEX(Guide!$B$7:$B$9,MATCH(SUBSTITUTE(SUBSTITUTE(SUBSTITUTE(H435,"~","~~"),"*","~*"),"?","~?"),Guide!$A$7:$A$9,0)),""),"")</f>
        <v>Office</v>
      </c>
      <c r="J435" s="1" t="str">
        <f>IF(TRIM(Raw!E435)="",I435,IF(UPPER(TRIM(Raw!E435))=UPPER(I435),I435,""))</f>
        <v>Office</v>
      </c>
      <c r="K435" s="1" t="str">
        <f>IF(Raw!F435="","",Raw!F435)</f>
        <v>sale</v>
      </c>
      <c r="L435" s="1" t="str">
        <f>IF(LEFT(TRIM(Raw!G435),2)="-$","-"&amp;MID(TRIM(Raw!G435),3,99),IF(LEFT(TRIM(Raw!G435),1)="$",MID(TRIM(Raw!G435),2,99),TRIM(Raw!G435)))</f>
        <v>86.70</v>
      </c>
      <c r="M435" s="1">
        <f t="shared" si="51"/>
        <v>86.7</v>
      </c>
      <c r="N435" s="10">
        <f t="shared" si="52"/>
        <v>8670</v>
      </c>
      <c r="O435" s="1" t="b">
        <f>IFERROR(IF(ISNUMBER(Raw!G435),TRUE,OR(EXACT(L435,TEXT(M435,"0.00")),EXACT(L435,TEXT(M435,"#,##0.00")))),FALSE)</f>
        <v>1</v>
      </c>
      <c r="P435" s="1" t="str">
        <f>LEN(IF(Raw!A435="","",Raw!A435))&amp;":"&amp;IF(Raw!A435="","",Raw!A435)&amp;"|"&amp;LEN(IF(Raw!B435="","",Raw!B435))&amp;":"&amp;IF(Raw!B435="","",Raw!B435)&amp;"|"&amp;LEN(IF(Raw!C435="","",Raw!C435))&amp;":"&amp;IF(Raw!C435="","",Raw!C435)&amp;"|"&amp;LEN(IF(Raw!D435="","",Raw!D435))&amp;":"&amp;IF(Raw!D435="","",Raw!D435)&amp;"|"&amp;LEN(IF(Raw!E435="","",Raw!E435))&amp;":"&amp;IF(Raw!E435="","",Raw!E435)&amp;"|"&amp;LEN(IF(Raw!F435="","",Raw!F435))&amp;":"&amp;IF(Raw!F435="","",Raw!F435)&amp;"|"&amp;LEN(IF(Raw!G435="","",Raw!G435))&amp;":"&amp;IF(Raw!G435="","",Raw!G435)</f>
        <v>6:L00429|6:T00215|10:2026-02-28|3:P-O|6:Office|4:sale|5:86.70</v>
      </c>
      <c r="Q435" s="1">
        <f>1</f>
        <v>1</v>
      </c>
      <c r="R435" s="1" t="b">
        <f>FALSE</f>
        <v>0</v>
      </c>
      <c r="S435" s="1">
        <f>1</f>
        <v>1</v>
      </c>
      <c r="T435" s="1" t="str">
        <f>IF(AND(Raw!A435="",Raw!B435="",Raw!C435="",Raw!D435="",Raw!E435="",Raw!F435="",Raw!G435=""),"UNUSED",IF(A435="","missing line ID",IF(B435="","missing transaction ID",IF(G435="",IF(C435="","missing date","invalid date"),IF(I435="","unknown product",IF(J435="","conflicting category",IF(NOT(OR(EXACT(K435,"sale"),EXACT(K435,"refund"))),"unknown event",IF(OR(N435="",NOT(O435)),"invalid amount",IF(OR(AND(K435="sale",N435&lt;=0),AND(K435="refund",N435&gt;=0)),"invalid sign","")))))))))</f>
        <v/>
      </c>
      <c r="U435" s="1" t="str">
        <f t="shared" si="53"/>
        <v>INCLUDED</v>
      </c>
      <c r="V435" s="1" t="str">
        <f t="shared" si="54"/>
        <v>2026-02</v>
      </c>
      <c r="W435" s="1">
        <f>IF(AND(U435="INCLUDED",X435&gt;0,EXACT(A435,'AI output'!A435)),1,0)</f>
        <v>1</v>
      </c>
      <c r="X435" s="1">
        <f>435</f>
        <v>435</v>
      </c>
      <c r="Y435" s="1">
        <f>IF(AND(U435="INCLUDED",W435=1),--(NOT(EXACT(A435,'AI output'!A435)))+--(NOT(EXACT(B435,'AI output'!B435)))+--(NOT(EXACT(TEXT(G435,"yyyy-mm-dd"),'AI output'!C435)))+--(NOT(EXACT(H435,'AI output'!D435)))+--(NOT(EXACT(J435,'AI output'!E435)))+--(NOT(EXACT(K435,'AI output'!F435)))+--(N435&lt;&gt;'AI output'!L435)+--(NOT('AI output'!M435)),0)</f>
        <v>0</v>
      </c>
      <c r="Z435" s="1">
        <f t="shared" si="55"/>
        <v>0</v>
      </c>
      <c r="AA435" s="1">
        <f>--EXACT(A435,"L00429")</f>
        <v>1</v>
      </c>
    </row>
    <row r="436" spans="1:27" ht="18.95" customHeight="1">
      <c r="A436" s="1" t="str">
        <f>IF(Raw!A436="","",Raw!A436)</f>
        <v>L00430</v>
      </c>
      <c r="B436" s="1" t="str">
        <f>IF(Raw!B436="","",Raw!B436)</f>
        <v>T00215</v>
      </c>
      <c r="C436" s="1" t="str">
        <f>IF(Raw!C436="","",Raw!C436)</f>
        <v>2026-02-28</v>
      </c>
      <c r="D436" s="1">
        <f t="shared" si="48"/>
        <v>2026</v>
      </c>
      <c r="E436" s="1">
        <f>IFERROR(IF(AND(LEN(C436)=10,MID(C436,5,1)="-",MID(C436,8,1)="-"),VALUE(MID(C436,6,2)),IF(AND(LEN(C436)=11,MID(C436,3,1)="-",MID(C436,7,1)="-"),MATCH(UPPER(MID(C436,4,3)),Guide!$D$7:$D$18,0),0)),0)</f>
        <v>2</v>
      </c>
      <c r="F436" s="1">
        <f t="shared" si="49"/>
        <v>28</v>
      </c>
      <c r="G436" s="9">
        <f t="shared" si="50"/>
        <v>46081</v>
      </c>
      <c r="H436" s="1" t="str">
        <f>IF(Raw!D436="","",Raw!D436)</f>
        <v>P-A</v>
      </c>
      <c r="I436" s="1" t="str">
        <f>IFERROR(IF(EXACT(H436,INDEX(Guide!$A$7:$A$9,MATCH(SUBSTITUTE(SUBSTITUTE(SUBSTITUTE(H436,"~","~~"),"*","~*"),"?","~?"),Guide!$A$7:$A$9,0))),INDEX(Guide!$B$7:$B$9,MATCH(SUBSTITUTE(SUBSTITUTE(SUBSTITUTE(H436,"~","~~"),"*","~*"),"?","~?"),Guide!$A$7:$A$9,0)),""),"")</f>
        <v>Accessories</v>
      </c>
      <c r="J436" s="1" t="str">
        <f>IF(TRIM(Raw!E436)="",I436,IF(UPPER(TRIM(Raw!E436))=UPPER(I436),I436,""))</f>
        <v>Accessories</v>
      </c>
      <c r="K436" s="1" t="str">
        <f>IF(Raw!F436="","",Raw!F436)</f>
        <v>sale</v>
      </c>
      <c r="L436" s="1" t="str">
        <f>IF(LEFT(TRIM(Raw!G436),2)="-$","-"&amp;MID(TRIM(Raw!G436),3,99),IF(LEFT(TRIM(Raw!G436),1)="$",MID(TRIM(Raw!G436),2,99),TRIM(Raw!G436)))</f>
        <v>174.88</v>
      </c>
      <c r="M436" s="1">
        <f t="shared" si="51"/>
        <v>174.88</v>
      </c>
      <c r="N436" s="10">
        <f t="shared" si="52"/>
        <v>17488</v>
      </c>
      <c r="O436" s="1" t="b">
        <f>IFERROR(IF(ISNUMBER(Raw!G436),TRUE,OR(EXACT(L436,TEXT(M436,"0.00")),EXACT(L436,TEXT(M436,"#,##0.00")))),FALSE)</f>
        <v>1</v>
      </c>
      <c r="P436" s="1" t="str">
        <f>LEN(IF(Raw!A436="","",Raw!A436))&amp;":"&amp;IF(Raw!A436="","",Raw!A436)&amp;"|"&amp;LEN(IF(Raw!B436="","",Raw!B436))&amp;":"&amp;IF(Raw!B436="","",Raw!B436)&amp;"|"&amp;LEN(IF(Raw!C436="","",Raw!C436))&amp;":"&amp;IF(Raw!C436="","",Raw!C436)&amp;"|"&amp;LEN(IF(Raw!D436="","",Raw!D436))&amp;":"&amp;IF(Raw!D436="","",Raw!D436)&amp;"|"&amp;LEN(IF(Raw!E436="","",Raw!E436))&amp;":"&amp;IF(Raw!E436="","",Raw!E436)&amp;"|"&amp;LEN(IF(Raw!F436="","",Raw!F436))&amp;":"&amp;IF(Raw!F436="","",Raw!F436)&amp;"|"&amp;LEN(IF(Raw!G436="","",Raw!G436))&amp;":"&amp;IF(Raw!G436="","",Raw!G436)</f>
        <v>6:L00430|6:T00215|10:2026-02-28|3:P-A|11:Accessories|4:sale|6:174.88</v>
      </c>
      <c r="Q436" s="1">
        <f>1</f>
        <v>1</v>
      </c>
      <c r="R436" s="1" t="b">
        <f>FALSE</f>
        <v>0</v>
      </c>
      <c r="S436" s="1">
        <f>1</f>
        <v>1</v>
      </c>
      <c r="T436" s="1" t="str">
        <f>IF(AND(Raw!A436="",Raw!B436="",Raw!C436="",Raw!D436="",Raw!E436="",Raw!F436="",Raw!G436=""),"UNUSED",IF(A436="","missing line ID",IF(B436="","missing transaction ID",IF(G436="",IF(C436="","missing date","invalid date"),IF(I436="","unknown product",IF(J436="","conflicting category",IF(NOT(OR(EXACT(K436,"sale"),EXACT(K436,"refund"))),"unknown event",IF(OR(N436="",NOT(O436)),"invalid amount",IF(OR(AND(K436="sale",N436&lt;=0),AND(K436="refund",N436&gt;=0)),"invalid sign","")))))))))</f>
        <v/>
      </c>
      <c r="U436" s="1" t="str">
        <f t="shared" si="53"/>
        <v>INCLUDED</v>
      </c>
      <c r="V436" s="1" t="str">
        <f t="shared" si="54"/>
        <v>2026-02</v>
      </c>
      <c r="W436" s="1">
        <f>IF(AND(U436="INCLUDED",X436&gt;0,EXACT(A436,'AI output'!A436)),1,0)</f>
        <v>1</v>
      </c>
      <c r="X436" s="1">
        <f>436</f>
        <v>436</v>
      </c>
      <c r="Y436" s="1">
        <f>IF(AND(U436="INCLUDED",W436=1),--(NOT(EXACT(A436,'AI output'!A436)))+--(NOT(EXACT(B436,'AI output'!B436)))+--(NOT(EXACT(TEXT(G436,"yyyy-mm-dd"),'AI output'!C436)))+--(NOT(EXACT(H436,'AI output'!D436)))+--(NOT(EXACT(J436,'AI output'!E436)))+--(NOT(EXACT(K436,'AI output'!F436)))+--(N436&lt;&gt;'AI output'!L436)+--(NOT('AI output'!M436)),0)</f>
        <v>0</v>
      </c>
      <c r="Z436" s="1">
        <f t="shared" si="55"/>
        <v>0</v>
      </c>
      <c r="AA436" s="1">
        <f>--EXACT(A436,"L00430")</f>
        <v>1</v>
      </c>
    </row>
    <row r="437" spans="1:27" ht="18.95" customHeight="1">
      <c r="A437" s="1" t="str">
        <f>IF(Raw!A437="","",Raw!A437)</f>
        <v>L00431</v>
      </c>
      <c r="B437" s="1" t="str">
        <f>IF(Raw!B437="","",Raw!B437)</f>
        <v>T00216</v>
      </c>
      <c r="C437" s="1" t="str">
        <f>IF(Raw!C437="","",Raw!C437)</f>
        <v>2026-03-07</v>
      </c>
      <c r="D437" s="1">
        <f t="shared" si="48"/>
        <v>2026</v>
      </c>
      <c r="E437" s="1">
        <f>IFERROR(IF(AND(LEN(C437)=10,MID(C437,5,1)="-",MID(C437,8,1)="-"),VALUE(MID(C437,6,2)),IF(AND(LEN(C437)=11,MID(C437,3,1)="-",MID(C437,7,1)="-"),MATCH(UPPER(MID(C437,4,3)),Guide!$D$7:$D$18,0),0)),0)</f>
        <v>3</v>
      </c>
      <c r="F437" s="1">
        <f t="shared" si="49"/>
        <v>7</v>
      </c>
      <c r="G437" s="9">
        <f t="shared" si="50"/>
        <v>46088</v>
      </c>
      <c r="H437" s="1" t="str">
        <f>IF(Raw!D437="","",Raw!D437)</f>
        <v>P-H</v>
      </c>
      <c r="I437" s="1" t="str">
        <f>IFERROR(IF(EXACT(H437,INDEX(Guide!$A$7:$A$9,MATCH(SUBSTITUTE(SUBSTITUTE(SUBSTITUTE(H437,"~","~~"),"*","~*"),"?","~?"),Guide!$A$7:$A$9,0))),INDEX(Guide!$B$7:$B$9,MATCH(SUBSTITUTE(SUBSTITUTE(SUBSTITUTE(H437,"~","~~"),"*","~*"),"?","~?"),Guide!$A$7:$A$9,0)),""),"")</f>
        <v>Home</v>
      </c>
      <c r="J437" s="1" t="str">
        <f>IF(TRIM(Raw!E437)="",I437,IF(UPPER(TRIM(Raw!E437))=UPPER(I437),I437,""))</f>
        <v>Home</v>
      </c>
      <c r="K437" s="1" t="str">
        <f>IF(Raw!F437="","",Raw!F437)</f>
        <v>sale</v>
      </c>
      <c r="L437" s="1" t="str">
        <f>IF(LEFT(TRIM(Raw!G437),2)="-$","-"&amp;MID(TRIM(Raw!G437),3,99),IF(LEFT(TRIM(Raw!G437),1)="$",MID(TRIM(Raw!G437),2,99),TRIM(Raw!G437)))</f>
        <v>44.09</v>
      </c>
      <c r="M437" s="1">
        <f t="shared" si="51"/>
        <v>44.09</v>
      </c>
      <c r="N437" s="10">
        <f t="shared" si="52"/>
        <v>4409</v>
      </c>
      <c r="O437" s="1" t="b">
        <f>IFERROR(IF(ISNUMBER(Raw!G437),TRUE,OR(EXACT(L437,TEXT(M437,"0.00")),EXACT(L437,TEXT(M437,"#,##0.00")))),FALSE)</f>
        <v>1</v>
      </c>
      <c r="P437" s="1" t="str">
        <f>LEN(IF(Raw!A437="","",Raw!A437))&amp;":"&amp;IF(Raw!A437="","",Raw!A437)&amp;"|"&amp;LEN(IF(Raw!B437="","",Raw!B437))&amp;":"&amp;IF(Raw!B437="","",Raw!B437)&amp;"|"&amp;LEN(IF(Raw!C437="","",Raw!C437))&amp;":"&amp;IF(Raw!C437="","",Raw!C437)&amp;"|"&amp;LEN(IF(Raw!D437="","",Raw!D437))&amp;":"&amp;IF(Raw!D437="","",Raw!D437)&amp;"|"&amp;LEN(IF(Raw!E437="","",Raw!E437))&amp;":"&amp;IF(Raw!E437="","",Raw!E437)&amp;"|"&amp;LEN(IF(Raw!F437="","",Raw!F437))&amp;":"&amp;IF(Raw!F437="","",Raw!F437)&amp;"|"&amp;LEN(IF(Raw!G437="","",Raw!G437))&amp;":"&amp;IF(Raw!G437="","",Raw!G437)</f>
        <v>6:L00431|6:T00216|10:2026-03-07|3:P-H|4:Home|4:sale|5:44.09</v>
      </c>
      <c r="Q437" s="1">
        <f>1</f>
        <v>1</v>
      </c>
      <c r="R437" s="1" t="b">
        <f>FALSE</f>
        <v>0</v>
      </c>
      <c r="S437" s="1">
        <f>1</f>
        <v>1</v>
      </c>
      <c r="T437" s="1" t="str">
        <f>IF(AND(Raw!A437="",Raw!B437="",Raw!C437="",Raw!D437="",Raw!E437="",Raw!F437="",Raw!G437=""),"UNUSED",IF(A437="","missing line ID",IF(B437="","missing transaction ID",IF(G437="",IF(C437="","missing date","invalid date"),IF(I437="","unknown product",IF(J437="","conflicting category",IF(NOT(OR(EXACT(K437,"sale"),EXACT(K437,"refund"))),"unknown event",IF(OR(N437="",NOT(O437)),"invalid amount",IF(OR(AND(K437="sale",N437&lt;=0),AND(K437="refund",N437&gt;=0)),"invalid sign","")))))))))</f>
        <v/>
      </c>
      <c r="U437" s="1" t="str">
        <f t="shared" si="53"/>
        <v>INCLUDED</v>
      </c>
      <c r="V437" s="1" t="str">
        <f t="shared" si="54"/>
        <v>2026-03</v>
      </c>
      <c r="W437" s="1">
        <f>IF(AND(U437="INCLUDED",X437&gt;0,EXACT(A437,'AI output'!A437)),1,0)</f>
        <v>1</v>
      </c>
      <c r="X437" s="1">
        <f>437</f>
        <v>437</v>
      </c>
      <c r="Y437" s="1">
        <f>IF(AND(U437="INCLUDED",W437=1),--(NOT(EXACT(A437,'AI output'!A437)))+--(NOT(EXACT(B437,'AI output'!B437)))+--(NOT(EXACT(TEXT(G437,"yyyy-mm-dd"),'AI output'!C437)))+--(NOT(EXACT(H437,'AI output'!D437)))+--(NOT(EXACT(J437,'AI output'!E437)))+--(NOT(EXACT(K437,'AI output'!F437)))+--(N437&lt;&gt;'AI output'!L437)+--(NOT('AI output'!M437)),0)</f>
        <v>0</v>
      </c>
      <c r="Z437" s="1">
        <f t="shared" si="55"/>
        <v>0</v>
      </c>
      <c r="AA437" s="1">
        <f>--EXACT(A437,"L00431")</f>
        <v>1</v>
      </c>
    </row>
    <row r="438" spans="1:27" ht="18.95" customHeight="1">
      <c r="A438" s="1" t="str">
        <f>IF(Raw!A438="","",Raw!A438)</f>
        <v>L00432</v>
      </c>
      <c r="B438" s="1" t="str">
        <f>IF(Raw!B438="","",Raw!B438)</f>
        <v>T00216</v>
      </c>
      <c r="C438" s="1" t="str">
        <f>IF(Raw!C438="","",Raw!C438)</f>
        <v>2026-03-07</v>
      </c>
      <c r="D438" s="1">
        <f t="shared" si="48"/>
        <v>2026</v>
      </c>
      <c r="E438" s="1">
        <f>IFERROR(IF(AND(LEN(C438)=10,MID(C438,5,1)="-",MID(C438,8,1)="-"),VALUE(MID(C438,6,2)),IF(AND(LEN(C438)=11,MID(C438,3,1)="-",MID(C438,7,1)="-"),MATCH(UPPER(MID(C438,4,3)),Guide!$D$7:$D$18,0),0)),0)</f>
        <v>3</v>
      </c>
      <c r="F438" s="1">
        <f t="shared" si="49"/>
        <v>7</v>
      </c>
      <c r="G438" s="9">
        <f t="shared" si="50"/>
        <v>46088</v>
      </c>
      <c r="H438" s="1" t="str">
        <f>IF(Raw!D438="","",Raw!D438)</f>
        <v>P-O</v>
      </c>
      <c r="I438" s="1" t="str">
        <f>IFERROR(IF(EXACT(H438,INDEX(Guide!$A$7:$A$9,MATCH(SUBSTITUTE(SUBSTITUTE(SUBSTITUTE(H438,"~","~~"),"*","~*"),"?","~?"),Guide!$A$7:$A$9,0))),INDEX(Guide!$B$7:$B$9,MATCH(SUBSTITUTE(SUBSTITUTE(SUBSTITUTE(H438,"~","~~"),"*","~*"),"?","~?"),Guide!$A$7:$A$9,0)),""),"")</f>
        <v>Office</v>
      </c>
      <c r="J438" s="1" t="str">
        <f>IF(TRIM(Raw!E438)="",I438,IF(UPPER(TRIM(Raw!E438))=UPPER(I438),I438,""))</f>
        <v>Office</v>
      </c>
      <c r="K438" s="1" t="str">
        <f>IF(Raw!F438="","",Raw!F438)</f>
        <v>sale</v>
      </c>
      <c r="L438" s="1" t="str">
        <f>IF(LEFT(TRIM(Raw!G438),2)="-$","-"&amp;MID(TRIM(Raw!G438),3,99),IF(LEFT(TRIM(Raw!G438),1)="$",MID(TRIM(Raw!G438),2,99),TRIM(Raw!G438)))</f>
        <v>133.38</v>
      </c>
      <c r="M438" s="1">
        <f t="shared" si="51"/>
        <v>133.38</v>
      </c>
      <c r="N438" s="10">
        <f t="shared" si="52"/>
        <v>13338</v>
      </c>
      <c r="O438" s="1" t="b">
        <f>IFERROR(IF(ISNUMBER(Raw!G438),TRUE,OR(EXACT(L438,TEXT(M438,"0.00")),EXACT(L438,TEXT(M438,"#,##0.00")))),FALSE)</f>
        <v>1</v>
      </c>
      <c r="P438" s="1" t="str">
        <f>LEN(IF(Raw!A438="","",Raw!A438))&amp;":"&amp;IF(Raw!A438="","",Raw!A438)&amp;"|"&amp;LEN(IF(Raw!B438="","",Raw!B438))&amp;":"&amp;IF(Raw!B438="","",Raw!B438)&amp;"|"&amp;LEN(IF(Raw!C438="","",Raw!C438))&amp;":"&amp;IF(Raw!C438="","",Raw!C438)&amp;"|"&amp;LEN(IF(Raw!D438="","",Raw!D438))&amp;":"&amp;IF(Raw!D438="","",Raw!D438)&amp;"|"&amp;LEN(IF(Raw!E438="","",Raw!E438))&amp;":"&amp;IF(Raw!E438="","",Raw!E438)&amp;"|"&amp;LEN(IF(Raw!F438="","",Raw!F438))&amp;":"&amp;IF(Raw!F438="","",Raw!F438)&amp;"|"&amp;LEN(IF(Raw!G438="","",Raw!G438))&amp;":"&amp;IF(Raw!G438="","",Raw!G438)</f>
        <v>6:L00432|6:T00216|10:2026-03-07|3:P-O|6:Office|4:sale|6:133.38</v>
      </c>
      <c r="Q438" s="1">
        <f>1</f>
        <v>1</v>
      </c>
      <c r="R438" s="1" t="b">
        <f>FALSE</f>
        <v>0</v>
      </c>
      <c r="S438" s="1">
        <f>1</f>
        <v>1</v>
      </c>
      <c r="T438" s="1" t="str">
        <f>IF(AND(Raw!A438="",Raw!B438="",Raw!C438="",Raw!D438="",Raw!E438="",Raw!F438="",Raw!G438=""),"UNUSED",IF(A438="","missing line ID",IF(B438="","missing transaction ID",IF(G438="",IF(C438="","missing date","invalid date"),IF(I438="","unknown product",IF(J438="","conflicting category",IF(NOT(OR(EXACT(K438,"sale"),EXACT(K438,"refund"))),"unknown event",IF(OR(N438="",NOT(O438)),"invalid amount",IF(OR(AND(K438="sale",N438&lt;=0),AND(K438="refund",N438&gt;=0)),"invalid sign","")))))))))</f>
        <v/>
      </c>
      <c r="U438" s="1" t="str">
        <f t="shared" si="53"/>
        <v>INCLUDED</v>
      </c>
      <c r="V438" s="1" t="str">
        <f t="shared" si="54"/>
        <v>2026-03</v>
      </c>
      <c r="W438" s="1">
        <f>IF(AND(U438="INCLUDED",X438&gt;0,EXACT(A438,'AI output'!A438)),1,0)</f>
        <v>1</v>
      </c>
      <c r="X438" s="1">
        <f>438</f>
        <v>438</v>
      </c>
      <c r="Y438" s="1">
        <f>IF(AND(U438="INCLUDED",W438=1),--(NOT(EXACT(A438,'AI output'!A438)))+--(NOT(EXACT(B438,'AI output'!B438)))+--(NOT(EXACT(TEXT(G438,"yyyy-mm-dd"),'AI output'!C438)))+--(NOT(EXACT(H438,'AI output'!D438)))+--(NOT(EXACT(J438,'AI output'!E438)))+--(NOT(EXACT(K438,'AI output'!F438)))+--(N438&lt;&gt;'AI output'!L438)+--(NOT('AI output'!M438)),0)</f>
        <v>0</v>
      </c>
      <c r="Z438" s="1">
        <f t="shared" si="55"/>
        <v>0</v>
      </c>
      <c r="AA438" s="1">
        <f>--EXACT(A438,"L00432")</f>
        <v>1</v>
      </c>
    </row>
    <row r="439" spans="1:27" ht="18.95" customHeight="1">
      <c r="A439" s="1" t="str">
        <f>IF(Raw!A439="","",Raw!A439)</f>
        <v>L00433</v>
      </c>
      <c r="B439" s="1" t="str">
        <f>IF(Raw!B439="","",Raw!B439)</f>
        <v>T00217</v>
      </c>
      <c r="C439" s="1" t="str">
        <f>IF(Raw!C439="","",Raw!C439)</f>
        <v>2026-03-14</v>
      </c>
      <c r="D439" s="1">
        <f t="shared" si="48"/>
        <v>2026</v>
      </c>
      <c r="E439" s="1">
        <f>IFERROR(IF(AND(LEN(C439)=10,MID(C439,5,1)="-",MID(C439,8,1)="-"),VALUE(MID(C439,6,2)),IF(AND(LEN(C439)=11,MID(C439,3,1)="-",MID(C439,7,1)="-"),MATCH(UPPER(MID(C439,4,3)),Guide!$D$7:$D$18,0),0)),0)</f>
        <v>3</v>
      </c>
      <c r="F439" s="1">
        <f t="shared" si="49"/>
        <v>14</v>
      </c>
      <c r="G439" s="9">
        <f t="shared" si="50"/>
        <v>46095</v>
      </c>
      <c r="H439" s="1" t="str">
        <f>IF(Raw!D439="","",Raw!D439)</f>
        <v>P-A</v>
      </c>
      <c r="I439" s="1" t="str">
        <f>IFERROR(IF(EXACT(H439,INDEX(Guide!$A$7:$A$9,MATCH(SUBSTITUTE(SUBSTITUTE(SUBSTITUTE(H439,"~","~~"),"*","~*"),"?","~?"),Guide!$A$7:$A$9,0))),INDEX(Guide!$B$7:$B$9,MATCH(SUBSTITUTE(SUBSTITUTE(SUBSTITUTE(H439,"~","~~"),"*","~*"),"?","~?"),Guide!$A$7:$A$9,0)),""),"")</f>
        <v>Accessories</v>
      </c>
      <c r="J439" s="1" t="str">
        <f>IF(TRIM(Raw!E439)="",I439,IF(UPPER(TRIM(Raw!E439))=UPPER(I439),I439,""))</f>
        <v>Accessories</v>
      </c>
      <c r="K439" s="1" t="str">
        <f>IF(Raw!F439="","",Raw!F439)</f>
        <v>sale</v>
      </c>
      <c r="L439" s="1" t="str">
        <f>IF(LEFT(TRIM(Raw!G439),2)="-$","-"&amp;MID(TRIM(Raw!G439),3,99),IF(LEFT(TRIM(Raw!G439),1)="$",MID(TRIM(Raw!G439),2,99),TRIM(Raw!G439)))</f>
        <v>224.15</v>
      </c>
      <c r="M439" s="1">
        <f t="shared" si="51"/>
        <v>224.15</v>
      </c>
      <c r="N439" s="10">
        <f t="shared" si="52"/>
        <v>22415</v>
      </c>
      <c r="O439" s="1" t="b">
        <f>IFERROR(IF(ISNUMBER(Raw!G439),TRUE,OR(EXACT(L439,TEXT(M439,"0.00")),EXACT(L439,TEXT(M439,"#,##0.00")))),FALSE)</f>
        <v>1</v>
      </c>
      <c r="P439" s="1" t="str">
        <f>LEN(IF(Raw!A439="","",Raw!A439))&amp;":"&amp;IF(Raw!A439="","",Raw!A439)&amp;"|"&amp;LEN(IF(Raw!B439="","",Raw!B439))&amp;":"&amp;IF(Raw!B439="","",Raw!B439)&amp;"|"&amp;LEN(IF(Raw!C439="","",Raw!C439))&amp;":"&amp;IF(Raw!C439="","",Raw!C439)&amp;"|"&amp;LEN(IF(Raw!D439="","",Raw!D439))&amp;":"&amp;IF(Raw!D439="","",Raw!D439)&amp;"|"&amp;LEN(IF(Raw!E439="","",Raw!E439))&amp;":"&amp;IF(Raw!E439="","",Raw!E439)&amp;"|"&amp;LEN(IF(Raw!F439="","",Raw!F439))&amp;":"&amp;IF(Raw!F439="","",Raw!F439)&amp;"|"&amp;LEN(IF(Raw!G439="","",Raw!G439))&amp;":"&amp;IF(Raw!G439="","",Raw!G439)</f>
        <v>6:L00433|6:T00217|10:2026-03-14|3:P-A|11:Accessories|4:sale|6:224.15</v>
      </c>
      <c r="Q439" s="1">
        <f>1</f>
        <v>1</v>
      </c>
      <c r="R439" s="1" t="b">
        <f>FALSE</f>
        <v>0</v>
      </c>
      <c r="S439" s="1">
        <f>1</f>
        <v>1</v>
      </c>
      <c r="T439" s="1" t="str">
        <f>IF(AND(Raw!A439="",Raw!B439="",Raw!C439="",Raw!D439="",Raw!E439="",Raw!F439="",Raw!G439=""),"UNUSED",IF(A439="","missing line ID",IF(B439="","missing transaction ID",IF(G439="",IF(C439="","missing date","invalid date"),IF(I439="","unknown product",IF(J439="","conflicting category",IF(NOT(OR(EXACT(K439,"sale"),EXACT(K439,"refund"))),"unknown event",IF(OR(N439="",NOT(O439)),"invalid amount",IF(OR(AND(K439="sale",N439&lt;=0),AND(K439="refund",N439&gt;=0)),"invalid sign","")))))))))</f>
        <v/>
      </c>
      <c r="U439" s="1" t="str">
        <f t="shared" si="53"/>
        <v>INCLUDED</v>
      </c>
      <c r="V439" s="1" t="str">
        <f t="shared" si="54"/>
        <v>2026-03</v>
      </c>
      <c r="W439" s="1">
        <f>IF(AND(U439="INCLUDED",X439&gt;0,EXACT(A439,'AI output'!A439)),1,0)</f>
        <v>1</v>
      </c>
      <c r="X439" s="1">
        <f>439</f>
        <v>439</v>
      </c>
      <c r="Y439" s="1">
        <f>IF(AND(U439="INCLUDED",W439=1),--(NOT(EXACT(A439,'AI output'!A439)))+--(NOT(EXACT(B439,'AI output'!B439)))+--(NOT(EXACT(TEXT(G439,"yyyy-mm-dd"),'AI output'!C439)))+--(NOT(EXACT(H439,'AI output'!D439)))+--(NOT(EXACT(J439,'AI output'!E439)))+--(NOT(EXACT(K439,'AI output'!F439)))+--(N439&lt;&gt;'AI output'!L439)+--(NOT('AI output'!M439)),0)</f>
        <v>0</v>
      </c>
      <c r="Z439" s="1">
        <f t="shared" si="55"/>
        <v>0</v>
      </c>
      <c r="AA439" s="1">
        <f>--EXACT(A439,"L00433")</f>
        <v>1</v>
      </c>
    </row>
    <row r="440" spans="1:27" ht="18.95" customHeight="1">
      <c r="A440" s="1" t="str">
        <f>IF(Raw!A440="","",Raw!A440)</f>
        <v>L00434</v>
      </c>
      <c r="B440" s="1" t="str">
        <f>IF(Raw!B440="","",Raw!B440)</f>
        <v>T00217</v>
      </c>
      <c r="C440" s="1" t="str">
        <f>IF(Raw!C440="","",Raw!C440)</f>
        <v>2026-03-14</v>
      </c>
      <c r="D440" s="1">
        <f t="shared" si="48"/>
        <v>2026</v>
      </c>
      <c r="E440" s="1">
        <f>IFERROR(IF(AND(LEN(C440)=10,MID(C440,5,1)="-",MID(C440,8,1)="-"),VALUE(MID(C440,6,2)),IF(AND(LEN(C440)=11,MID(C440,3,1)="-",MID(C440,7,1)="-"),MATCH(UPPER(MID(C440,4,3)),Guide!$D$7:$D$18,0),0)),0)</f>
        <v>3</v>
      </c>
      <c r="F440" s="1">
        <f t="shared" si="49"/>
        <v>14</v>
      </c>
      <c r="G440" s="9">
        <f t="shared" si="50"/>
        <v>46095</v>
      </c>
      <c r="H440" s="1" t="str">
        <f>IF(Raw!D440="","",Raw!D440)</f>
        <v>P-H</v>
      </c>
      <c r="I440" s="1" t="str">
        <f>IFERROR(IF(EXACT(H440,INDEX(Guide!$A$7:$A$9,MATCH(SUBSTITUTE(SUBSTITUTE(SUBSTITUTE(H440,"~","~~"),"*","~*"),"?","~?"),Guide!$A$7:$A$9,0))),INDEX(Guide!$B$7:$B$9,MATCH(SUBSTITUTE(SUBSTITUTE(SUBSTITUTE(H440,"~","~~"),"*","~*"),"?","~?"),Guide!$A$7:$A$9,0)),""),"")</f>
        <v>Home</v>
      </c>
      <c r="J440" s="1" t="str">
        <f>IF(TRIM(Raw!E440)="",I440,IF(UPPER(TRIM(Raw!E440))=UPPER(I440),I440,""))</f>
        <v>Home</v>
      </c>
      <c r="K440" s="1" t="str">
        <f>IF(Raw!F440="","",Raw!F440)</f>
        <v>sale</v>
      </c>
      <c r="L440" s="1" t="str">
        <f>IF(LEFT(TRIM(Raw!G440),2)="-$","-"&amp;MID(TRIM(Raw!G440),3,99),IF(LEFT(TRIM(Raw!G440),1)="$",MID(TRIM(Raw!G440),2,99),TRIM(Raw!G440)))</f>
        <v>90.40</v>
      </c>
      <c r="M440" s="1">
        <f t="shared" si="51"/>
        <v>90.4</v>
      </c>
      <c r="N440" s="10">
        <f t="shared" si="52"/>
        <v>9040</v>
      </c>
      <c r="O440" s="1" t="b">
        <f>IFERROR(IF(ISNUMBER(Raw!G440),TRUE,OR(EXACT(L440,TEXT(M440,"0.00")),EXACT(L440,TEXT(M440,"#,##0.00")))),FALSE)</f>
        <v>1</v>
      </c>
      <c r="P440" s="1" t="str">
        <f>LEN(IF(Raw!A440="","",Raw!A440))&amp;":"&amp;IF(Raw!A440="","",Raw!A440)&amp;"|"&amp;LEN(IF(Raw!B440="","",Raw!B440))&amp;":"&amp;IF(Raw!B440="","",Raw!B440)&amp;"|"&amp;LEN(IF(Raw!C440="","",Raw!C440))&amp;":"&amp;IF(Raw!C440="","",Raw!C440)&amp;"|"&amp;LEN(IF(Raw!D440="","",Raw!D440))&amp;":"&amp;IF(Raw!D440="","",Raw!D440)&amp;"|"&amp;LEN(IF(Raw!E440="","",Raw!E440))&amp;":"&amp;IF(Raw!E440="","",Raw!E440)&amp;"|"&amp;LEN(IF(Raw!F440="","",Raw!F440))&amp;":"&amp;IF(Raw!F440="","",Raw!F440)&amp;"|"&amp;LEN(IF(Raw!G440="","",Raw!G440))&amp;":"&amp;IF(Raw!G440="","",Raw!G440)</f>
        <v>6:L00434|6:T00217|10:2026-03-14|3:P-H|4:Home|4:sale|5:90.40</v>
      </c>
      <c r="Q440" s="1">
        <f>1</f>
        <v>1</v>
      </c>
      <c r="R440" s="1" t="b">
        <f>FALSE</f>
        <v>0</v>
      </c>
      <c r="S440" s="1">
        <f>1</f>
        <v>1</v>
      </c>
      <c r="T440" s="1" t="str">
        <f>IF(AND(Raw!A440="",Raw!B440="",Raw!C440="",Raw!D440="",Raw!E440="",Raw!F440="",Raw!G440=""),"UNUSED",IF(A440="","missing line ID",IF(B440="","missing transaction ID",IF(G440="",IF(C440="","missing date","invalid date"),IF(I440="","unknown product",IF(J440="","conflicting category",IF(NOT(OR(EXACT(K440,"sale"),EXACT(K440,"refund"))),"unknown event",IF(OR(N440="",NOT(O440)),"invalid amount",IF(OR(AND(K440="sale",N440&lt;=0),AND(K440="refund",N440&gt;=0)),"invalid sign","")))))))))</f>
        <v/>
      </c>
      <c r="U440" s="1" t="str">
        <f t="shared" si="53"/>
        <v>INCLUDED</v>
      </c>
      <c r="V440" s="1" t="str">
        <f t="shared" si="54"/>
        <v>2026-03</v>
      </c>
      <c r="W440" s="1">
        <f>IF(AND(U440="INCLUDED",X440&gt;0,EXACT(A440,'AI output'!A440)),1,0)</f>
        <v>1</v>
      </c>
      <c r="X440" s="1">
        <f>440</f>
        <v>440</v>
      </c>
      <c r="Y440" s="1">
        <f>IF(AND(U440="INCLUDED",W440=1),--(NOT(EXACT(A440,'AI output'!A440)))+--(NOT(EXACT(B440,'AI output'!B440)))+--(NOT(EXACT(TEXT(G440,"yyyy-mm-dd"),'AI output'!C440)))+--(NOT(EXACT(H440,'AI output'!D440)))+--(NOT(EXACT(J440,'AI output'!E440)))+--(NOT(EXACT(K440,'AI output'!F440)))+--(N440&lt;&gt;'AI output'!L440)+--(NOT('AI output'!M440)),0)</f>
        <v>0</v>
      </c>
      <c r="Z440" s="1">
        <f t="shared" si="55"/>
        <v>0</v>
      </c>
      <c r="AA440" s="1">
        <f>--EXACT(A440,"L00434")</f>
        <v>1</v>
      </c>
    </row>
    <row r="441" spans="1:27" ht="18.95" customHeight="1">
      <c r="A441" s="1" t="str">
        <f>IF(Raw!A441="","",Raw!A441)</f>
        <v>L00435</v>
      </c>
      <c r="B441" s="1" t="str">
        <f>IF(Raw!B441="","",Raw!B441)</f>
        <v>T00218</v>
      </c>
      <c r="C441" s="1" t="str">
        <f>IF(Raw!C441="","",Raw!C441)</f>
        <v>2026-03-21</v>
      </c>
      <c r="D441" s="1">
        <f t="shared" si="48"/>
        <v>2026</v>
      </c>
      <c r="E441" s="1">
        <f>IFERROR(IF(AND(LEN(C441)=10,MID(C441,5,1)="-",MID(C441,8,1)="-"),VALUE(MID(C441,6,2)),IF(AND(LEN(C441)=11,MID(C441,3,1)="-",MID(C441,7,1)="-"),MATCH(UPPER(MID(C441,4,3)),Guide!$D$7:$D$18,0),0)),0)</f>
        <v>3</v>
      </c>
      <c r="F441" s="1">
        <f t="shared" si="49"/>
        <v>21</v>
      </c>
      <c r="G441" s="9">
        <f t="shared" si="50"/>
        <v>46102</v>
      </c>
      <c r="H441" s="1" t="str">
        <f>IF(Raw!D441="","",Raw!D441)</f>
        <v>P-O</v>
      </c>
      <c r="I441" s="1" t="str">
        <f>IFERROR(IF(EXACT(H441,INDEX(Guide!$A$7:$A$9,MATCH(SUBSTITUTE(SUBSTITUTE(SUBSTITUTE(H441,"~","~~"),"*","~*"),"?","~?"),Guide!$A$7:$A$9,0))),INDEX(Guide!$B$7:$B$9,MATCH(SUBSTITUTE(SUBSTITUTE(SUBSTITUTE(H441,"~","~~"),"*","~*"),"?","~?"),Guide!$A$7:$A$9,0)),""),"")</f>
        <v>Office</v>
      </c>
      <c r="J441" s="1" t="str">
        <f>IF(TRIM(Raw!E441)="",I441,IF(UPPER(TRIM(Raw!E441))=UPPER(I441),I441,""))</f>
        <v>Office</v>
      </c>
      <c r="K441" s="1" t="str">
        <f>IF(Raw!F441="","",Raw!F441)</f>
        <v>sale</v>
      </c>
      <c r="L441" s="1" t="str">
        <f>IF(LEFT(TRIM(Raw!G441),2)="-$","-"&amp;MID(TRIM(Raw!G441),3,99),IF(LEFT(TRIM(Raw!G441),1)="$",MID(TRIM(Raw!G441),2,99),TRIM(Raw!G441)))</f>
        <v>182.28</v>
      </c>
      <c r="M441" s="1">
        <f t="shared" si="51"/>
        <v>182.28</v>
      </c>
      <c r="N441" s="10">
        <f t="shared" si="52"/>
        <v>18228</v>
      </c>
      <c r="O441" s="1" t="b">
        <f>IFERROR(IF(ISNUMBER(Raw!G441),TRUE,OR(EXACT(L441,TEXT(M441,"0.00")),EXACT(L441,TEXT(M441,"#,##0.00")))),FALSE)</f>
        <v>1</v>
      </c>
      <c r="P441" s="1" t="str">
        <f>LEN(IF(Raw!A441="","",Raw!A441))&amp;":"&amp;IF(Raw!A441="","",Raw!A441)&amp;"|"&amp;LEN(IF(Raw!B441="","",Raw!B441))&amp;":"&amp;IF(Raw!B441="","",Raw!B441)&amp;"|"&amp;LEN(IF(Raw!C441="","",Raw!C441))&amp;":"&amp;IF(Raw!C441="","",Raw!C441)&amp;"|"&amp;LEN(IF(Raw!D441="","",Raw!D441))&amp;":"&amp;IF(Raw!D441="","",Raw!D441)&amp;"|"&amp;LEN(IF(Raw!E441="","",Raw!E441))&amp;":"&amp;IF(Raw!E441="","",Raw!E441)&amp;"|"&amp;LEN(IF(Raw!F441="","",Raw!F441))&amp;":"&amp;IF(Raw!F441="","",Raw!F441)&amp;"|"&amp;LEN(IF(Raw!G441="","",Raw!G441))&amp;":"&amp;IF(Raw!G441="","",Raw!G441)</f>
        <v>6:L00435|6:T00218|10:2026-03-21|3:P-O|6:Office|4:sale|7:$182.28</v>
      </c>
      <c r="Q441" s="1">
        <f>1</f>
        <v>1</v>
      </c>
      <c r="R441" s="1" t="b">
        <f>FALSE</f>
        <v>0</v>
      </c>
      <c r="S441" s="1">
        <f>1</f>
        <v>1</v>
      </c>
      <c r="T441" s="1" t="str">
        <f>IF(AND(Raw!A441="",Raw!B441="",Raw!C441="",Raw!D441="",Raw!E441="",Raw!F441="",Raw!G441=""),"UNUSED",IF(A441="","missing line ID",IF(B441="","missing transaction ID",IF(G441="",IF(C441="","missing date","invalid date"),IF(I441="","unknown product",IF(J441="","conflicting category",IF(NOT(OR(EXACT(K441,"sale"),EXACT(K441,"refund"))),"unknown event",IF(OR(N441="",NOT(O441)),"invalid amount",IF(OR(AND(K441="sale",N441&lt;=0),AND(K441="refund",N441&gt;=0)),"invalid sign","")))))))))</f>
        <v/>
      </c>
      <c r="U441" s="1" t="str">
        <f t="shared" si="53"/>
        <v>INCLUDED</v>
      </c>
      <c r="V441" s="1" t="str">
        <f t="shared" si="54"/>
        <v>2026-03</v>
      </c>
      <c r="W441" s="1">
        <f>IF(AND(U441="INCLUDED",X441&gt;0,EXACT(A441,'AI output'!A441)),1,0)</f>
        <v>1</v>
      </c>
      <c r="X441" s="1">
        <f>441</f>
        <v>441</v>
      </c>
      <c r="Y441" s="1">
        <f>IF(AND(U441="INCLUDED",W441=1),--(NOT(EXACT(A441,'AI output'!A441)))+--(NOT(EXACT(B441,'AI output'!B441)))+--(NOT(EXACT(TEXT(G441,"yyyy-mm-dd"),'AI output'!C441)))+--(NOT(EXACT(H441,'AI output'!D441)))+--(NOT(EXACT(J441,'AI output'!E441)))+--(NOT(EXACT(K441,'AI output'!F441)))+--(N441&lt;&gt;'AI output'!L441)+--(NOT('AI output'!M441)),0)</f>
        <v>0</v>
      </c>
      <c r="Z441" s="1">
        <f t="shared" si="55"/>
        <v>0</v>
      </c>
      <c r="AA441" s="1">
        <f>--EXACT(A441,"L00435")</f>
        <v>1</v>
      </c>
    </row>
    <row r="442" spans="1:27" ht="18.95" customHeight="1">
      <c r="A442" s="1" t="str">
        <f>IF(Raw!A442="","",Raw!A442)</f>
        <v>L00436</v>
      </c>
      <c r="B442" s="1" t="str">
        <f>IF(Raw!B442="","",Raw!B442)</f>
        <v>T00218</v>
      </c>
      <c r="C442" s="1" t="str">
        <f>IF(Raw!C442="","",Raw!C442)</f>
        <v>2026-03-21</v>
      </c>
      <c r="D442" s="1">
        <f t="shared" si="48"/>
        <v>2026</v>
      </c>
      <c r="E442" s="1">
        <f>IFERROR(IF(AND(LEN(C442)=10,MID(C442,5,1)="-",MID(C442,8,1)="-"),VALUE(MID(C442,6,2)),IF(AND(LEN(C442)=11,MID(C442,3,1)="-",MID(C442,7,1)="-"),MATCH(UPPER(MID(C442,4,3)),Guide!$D$7:$D$18,0),0)),0)</f>
        <v>3</v>
      </c>
      <c r="F442" s="1">
        <f t="shared" si="49"/>
        <v>21</v>
      </c>
      <c r="G442" s="9">
        <f t="shared" si="50"/>
        <v>46102</v>
      </c>
      <c r="H442" s="1" t="str">
        <f>IF(Raw!D442="","",Raw!D442)</f>
        <v>P-A</v>
      </c>
      <c r="I442" s="1" t="str">
        <f>IFERROR(IF(EXACT(H442,INDEX(Guide!$A$7:$A$9,MATCH(SUBSTITUTE(SUBSTITUTE(SUBSTITUTE(H442,"~","~~"),"*","~*"),"?","~?"),Guide!$A$7:$A$9,0))),INDEX(Guide!$B$7:$B$9,MATCH(SUBSTITUTE(SUBSTITUTE(SUBSTITUTE(H442,"~","~~"),"*","~*"),"?","~?"),Guide!$A$7:$A$9,0)),""),"")</f>
        <v>Accessories</v>
      </c>
      <c r="J442" s="1" t="str">
        <f>IF(TRIM(Raw!E442)="",I442,IF(UPPER(TRIM(Raw!E442))=UPPER(I442),I442,""))</f>
        <v>Accessories</v>
      </c>
      <c r="K442" s="1" t="str">
        <f>IF(Raw!F442="","",Raw!F442)</f>
        <v>sale</v>
      </c>
      <c r="L442" s="1" t="str">
        <f>IF(LEFT(TRIM(Raw!G442),2)="-$","-"&amp;MID(TRIM(Raw!G442),3,99),IF(LEFT(TRIM(Raw!G442),1)="$",MID(TRIM(Raw!G442),2,99),TRIM(Raw!G442)))</f>
        <v>45.94</v>
      </c>
      <c r="M442" s="1">
        <f t="shared" si="51"/>
        <v>45.94</v>
      </c>
      <c r="N442" s="10">
        <f t="shared" si="52"/>
        <v>4594</v>
      </c>
      <c r="O442" s="1" t="b">
        <f>IFERROR(IF(ISNUMBER(Raw!G442),TRUE,OR(EXACT(L442,TEXT(M442,"0.00")),EXACT(L442,TEXT(M442,"#,##0.00")))),FALSE)</f>
        <v>1</v>
      </c>
      <c r="P442" s="1" t="str">
        <f>LEN(IF(Raw!A442="","",Raw!A442))&amp;":"&amp;IF(Raw!A442="","",Raw!A442)&amp;"|"&amp;LEN(IF(Raw!B442="","",Raw!B442))&amp;":"&amp;IF(Raw!B442="","",Raw!B442)&amp;"|"&amp;LEN(IF(Raw!C442="","",Raw!C442))&amp;":"&amp;IF(Raw!C442="","",Raw!C442)&amp;"|"&amp;LEN(IF(Raw!D442="","",Raw!D442))&amp;":"&amp;IF(Raw!D442="","",Raw!D442)&amp;"|"&amp;LEN(IF(Raw!E442="","",Raw!E442))&amp;":"&amp;IF(Raw!E442="","",Raw!E442)&amp;"|"&amp;LEN(IF(Raw!F442="","",Raw!F442))&amp;":"&amp;IF(Raw!F442="","",Raw!F442)&amp;"|"&amp;LEN(IF(Raw!G442="","",Raw!G442))&amp;":"&amp;IF(Raw!G442="","",Raw!G442)</f>
        <v>6:L00436|6:T00218|10:2026-03-21|3:P-A|11:Accessories|4:sale|5:45.94</v>
      </c>
      <c r="Q442" s="1">
        <f>1</f>
        <v>1</v>
      </c>
      <c r="R442" s="1" t="b">
        <f>FALSE</f>
        <v>0</v>
      </c>
      <c r="S442" s="1">
        <f>1</f>
        <v>1</v>
      </c>
      <c r="T442" s="1" t="str">
        <f>IF(AND(Raw!A442="",Raw!B442="",Raw!C442="",Raw!D442="",Raw!E442="",Raw!F442="",Raw!G442=""),"UNUSED",IF(A442="","missing line ID",IF(B442="","missing transaction ID",IF(G442="",IF(C442="","missing date","invalid date"),IF(I442="","unknown product",IF(J442="","conflicting category",IF(NOT(OR(EXACT(K442,"sale"),EXACT(K442,"refund"))),"unknown event",IF(OR(N442="",NOT(O442)),"invalid amount",IF(OR(AND(K442="sale",N442&lt;=0),AND(K442="refund",N442&gt;=0)),"invalid sign","")))))))))</f>
        <v/>
      </c>
      <c r="U442" s="1" t="str">
        <f t="shared" si="53"/>
        <v>INCLUDED</v>
      </c>
      <c r="V442" s="1" t="str">
        <f t="shared" si="54"/>
        <v>2026-03</v>
      </c>
      <c r="W442" s="1">
        <f>IF(AND(U442="INCLUDED",X442&gt;0,EXACT(A442,'AI output'!A442)),1,0)</f>
        <v>1</v>
      </c>
      <c r="X442" s="1">
        <f>442</f>
        <v>442</v>
      </c>
      <c r="Y442" s="1">
        <f>IF(AND(U442="INCLUDED",W442=1),--(NOT(EXACT(A442,'AI output'!A442)))+--(NOT(EXACT(B442,'AI output'!B442)))+--(NOT(EXACT(TEXT(G442,"yyyy-mm-dd"),'AI output'!C442)))+--(NOT(EXACT(H442,'AI output'!D442)))+--(NOT(EXACT(J442,'AI output'!E442)))+--(NOT(EXACT(K442,'AI output'!F442)))+--(N442&lt;&gt;'AI output'!L442)+--(NOT('AI output'!M442)),0)</f>
        <v>0</v>
      </c>
      <c r="Z442" s="1">
        <f t="shared" si="55"/>
        <v>0</v>
      </c>
      <c r="AA442" s="1">
        <f>--EXACT(A442,"L00436")</f>
        <v>1</v>
      </c>
    </row>
    <row r="443" spans="1:27" ht="18.95" customHeight="1">
      <c r="A443" s="1" t="str">
        <f>IF(Raw!A443="","",Raw!A443)</f>
        <v>L00437</v>
      </c>
      <c r="B443" s="1" t="str">
        <f>IF(Raw!B443="","",Raw!B443)</f>
        <v>T00219</v>
      </c>
      <c r="C443" s="1" t="str">
        <f>IF(Raw!C443="","",Raw!C443)</f>
        <v>2026-03-28</v>
      </c>
      <c r="D443" s="1">
        <f t="shared" si="48"/>
        <v>2026</v>
      </c>
      <c r="E443" s="1">
        <f>IFERROR(IF(AND(LEN(C443)=10,MID(C443,5,1)="-",MID(C443,8,1)="-"),VALUE(MID(C443,6,2)),IF(AND(LEN(C443)=11,MID(C443,3,1)="-",MID(C443,7,1)="-"),MATCH(UPPER(MID(C443,4,3)),Guide!$D$7:$D$18,0),0)),0)</f>
        <v>3</v>
      </c>
      <c r="F443" s="1">
        <f t="shared" si="49"/>
        <v>28</v>
      </c>
      <c r="G443" s="9">
        <f t="shared" si="50"/>
        <v>46109</v>
      </c>
      <c r="H443" s="1" t="str">
        <f>IF(Raw!D443="","",Raw!D443)</f>
        <v>P-H</v>
      </c>
      <c r="I443" s="1" t="str">
        <f>IFERROR(IF(EXACT(H443,INDEX(Guide!$A$7:$A$9,MATCH(SUBSTITUTE(SUBSTITUTE(SUBSTITUTE(H443,"~","~~"),"*","~*"),"?","~?"),Guide!$A$7:$A$9,0))),INDEX(Guide!$B$7:$B$9,MATCH(SUBSTITUTE(SUBSTITUTE(SUBSTITUTE(H443,"~","~~"),"*","~*"),"?","~?"),Guide!$A$7:$A$9,0)),""),"")</f>
        <v>Home</v>
      </c>
      <c r="J443" s="1" t="str">
        <f>IF(TRIM(Raw!E443)="",I443,IF(UPPER(TRIM(Raw!E443))=UPPER(I443),I443,""))</f>
        <v>Home</v>
      </c>
      <c r="K443" s="1" t="str">
        <f>IF(Raw!F443="","",Raw!F443)</f>
        <v>sale</v>
      </c>
      <c r="L443" s="1" t="str">
        <f>IF(LEFT(TRIM(Raw!G443),2)="-$","-"&amp;MID(TRIM(Raw!G443),3,99),IF(LEFT(TRIM(Raw!G443),1)="$",MID(TRIM(Raw!G443),2,99),TRIM(Raw!G443)))</f>
        <v>138.93</v>
      </c>
      <c r="M443" s="1">
        <f t="shared" si="51"/>
        <v>138.93</v>
      </c>
      <c r="N443" s="10">
        <f t="shared" si="52"/>
        <v>13893</v>
      </c>
      <c r="O443" s="1" t="b">
        <f>IFERROR(IF(ISNUMBER(Raw!G443),TRUE,OR(EXACT(L443,TEXT(M443,"0.00")),EXACT(L443,TEXT(M443,"#,##0.00")))),FALSE)</f>
        <v>1</v>
      </c>
      <c r="P443" s="1" t="str">
        <f>LEN(IF(Raw!A443="","",Raw!A443))&amp;":"&amp;IF(Raw!A443="","",Raw!A443)&amp;"|"&amp;LEN(IF(Raw!B443="","",Raw!B443))&amp;":"&amp;IF(Raw!B443="","",Raw!B443)&amp;"|"&amp;LEN(IF(Raw!C443="","",Raw!C443))&amp;":"&amp;IF(Raw!C443="","",Raw!C443)&amp;"|"&amp;LEN(IF(Raw!D443="","",Raw!D443))&amp;":"&amp;IF(Raw!D443="","",Raw!D443)&amp;"|"&amp;LEN(IF(Raw!E443="","",Raw!E443))&amp;":"&amp;IF(Raw!E443="","",Raw!E443)&amp;"|"&amp;LEN(IF(Raw!F443="","",Raw!F443))&amp;":"&amp;IF(Raw!F443="","",Raw!F443)&amp;"|"&amp;LEN(IF(Raw!G443="","",Raw!G443))&amp;":"&amp;IF(Raw!G443="","",Raw!G443)</f>
        <v>6:L00437|6:T00219|10:2026-03-28|3:P-H|4:Home|4:sale|6:138.93</v>
      </c>
      <c r="Q443" s="1">
        <f>1</f>
        <v>1</v>
      </c>
      <c r="R443" s="1" t="b">
        <f>FALSE</f>
        <v>0</v>
      </c>
      <c r="S443" s="1">
        <f>1</f>
        <v>1</v>
      </c>
      <c r="T443" s="1" t="str">
        <f>IF(AND(Raw!A443="",Raw!B443="",Raw!C443="",Raw!D443="",Raw!E443="",Raw!F443="",Raw!G443=""),"UNUSED",IF(A443="","missing line ID",IF(B443="","missing transaction ID",IF(G443="",IF(C443="","missing date","invalid date"),IF(I443="","unknown product",IF(J443="","conflicting category",IF(NOT(OR(EXACT(K443,"sale"),EXACT(K443,"refund"))),"unknown event",IF(OR(N443="",NOT(O443)),"invalid amount",IF(OR(AND(K443="sale",N443&lt;=0),AND(K443="refund",N443&gt;=0)),"invalid sign","")))))))))</f>
        <v/>
      </c>
      <c r="U443" s="1" t="str">
        <f t="shared" si="53"/>
        <v>INCLUDED</v>
      </c>
      <c r="V443" s="1" t="str">
        <f t="shared" si="54"/>
        <v>2026-03</v>
      </c>
      <c r="W443" s="1">
        <f>IF(AND(U443="INCLUDED",X443&gt;0,EXACT(A443,'AI output'!A443)),1,0)</f>
        <v>1</v>
      </c>
      <c r="X443" s="1">
        <f>443</f>
        <v>443</v>
      </c>
      <c r="Y443" s="1">
        <f>IF(AND(U443="INCLUDED",W443=1),--(NOT(EXACT(A443,'AI output'!A443)))+--(NOT(EXACT(B443,'AI output'!B443)))+--(NOT(EXACT(TEXT(G443,"yyyy-mm-dd"),'AI output'!C443)))+--(NOT(EXACT(H443,'AI output'!D443)))+--(NOT(EXACT(J443,'AI output'!E443)))+--(NOT(EXACT(K443,'AI output'!F443)))+--(N443&lt;&gt;'AI output'!L443)+--(NOT('AI output'!M443)),0)</f>
        <v>0</v>
      </c>
      <c r="Z443" s="1">
        <f t="shared" si="55"/>
        <v>0</v>
      </c>
      <c r="AA443" s="1">
        <f>--EXACT(A443,"L00437")</f>
        <v>1</v>
      </c>
    </row>
    <row r="444" spans="1:27" ht="18.95" customHeight="1">
      <c r="A444" s="1" t="str">
        <f>IF(Raw!A444="","",Raw!A444)</f>
        <v>L00438</v>
      </c>
      <c r="B444" s="1" t="str">
        <f>IF(Raw!B444="","",Raw!B444)</f>
        <v>T00219</v>
      </c>
      <c r="C444" s="1" t="str">
        <f>IF(Raw!C444="","",Raw!C444)</f>
        <v>2026-03-28</v>
      </c>
      <c r="D444" s="1">
        <f t="shared" si="48"/>
        <v>2026</v>
      </c>
      <c r="E444" s="1">
        <f>IFERROR(IF(AND(LEN(C444)=10,MID(C444,5,1)="-",MID(C444,8,1)="-"),VALUE(MID(C444,6,2)),IF(AND(LEN(C444)=11,MID(C444,3,1)="-",MID(C444,7,1)="-"),MATCH(UPPER(MID(C444,4,3)),Guide!$D$7:$D$18,0),0)),0)</f>
        <v>3</v>
      </c>
      <c r="F444" s="1">
        <f t="shared" si="49"/>
        <v>28</v>
      </c>
      <c r="G444" s="9">
        <f t="shared" si="50"/>
        <v>46109</v>
      </c>
      <c r="H444" s="1" t="str">
        <f>IF(Raw!D444="","",Raw!D444)</f>
        <v>P-O</v>
      </c>
      <c r="I444" s="1" t="str">
        <f>IFERROR(IF(EXACT(H444,INDEX(Guide!$A$7:$A$9,MATCH(SUBSTITUTE(SUBSTITUTE(SUBSTITUTE(H444,"~","~~"),"*","~*"),"?","~?"),Guide!$A$7:$A$9,0))),INDEX(Guide!$B$7:$B$9,MATCH(SUBSTITUTE(SUBSTITUTE(SUBSTITUTE(H444,"~","~~"),"*","~*"),"?","~?"),Guide!$A$7:$A$9,0)),""),"")</f>
        <v>Office</v>
      </c>
      <c r="J444" s="1" t="str">
        <f>IF(TRIM(Raw!E444)="",I444,IF(UPPER(TRIM(Raw!E444))=UPPER(I444),I444,""))</f>
        <v>Office</v>
      </c>
      <c r="K444" s="1" t="str">
        <f>IF(Raw!F444="","",Raw!F444)</f>
        <v>refund</v>
      </c>
      <c r="L444" s="1" t="str">
        <f>IF(LEFT(TRIM(Raw!G444),2)="-$","-"&amp;MID(TRIM(Raw!G444),3,99),IF(LEFT(TRIM(Raw!G444),1)="$",MID(TRIM(Raw!G444),2,99),TRIM(Raw!G444)))</f>
        <v>-233.40</v>
      </c>
      <c r="M444" s="1">
        <f t="shared" si="51"/>
        <v>-233.4</v>
      </c>
      <c r="N444" s="10">
        <f t="shared" si="52"/>
        <v>-23340</v>
      </c>
      <c r="O444" s="1" t="b">
        <f>IFERROR(IF(ISNUMBER(Raw!G444),TRUE,OR(EXACT(L444,TEXT(M444,"0.00")),EXACT(L444,TEXT(M444,"#,##0.00")))),FALSE)</f>
        <v>1</v>
      </c>
      <c r="P444" s="1" t="str">
        <f>LEN(IF(Raw!A444="","",Raw!A444))&amp;":"&amp;IF(Raw!A444="","",Raw!A444)&amp;"|"&amp;LEN(IF(Raw!B444="","",Raw!B444))&amp;":"&amp;IF(Raw!B444="","",Raw!B444)&amp;"|"&amp;LEN(IF(Raw!C444="","",Raw!C444))&amp;":"&amp;IF(Raw!C444="","",Raw!C444)&amp;"|"&amp;LEN(IF(Raw!D444="","",Raw!D444))&amp;":"&amp;IF(Raw!D444="","",Raw!D444)&amp;"|"&amp;LEN(IF(Raw!E444="","",Raw!E444))&amp;":"&amp;IF(Raw!E444="","",Raw!E444)&amp;"|"&amp;LEN(IF(Raw!F444="","",Raw!F444))&amp;":"&amp;IF(Raw!F444="","",Raw!F444)&amp;"|"&amp;LEN(IF(Raw!G444="","",Raw!G444))&amp;":"&amp;IF(Raw!G444="","",Raw!G444)</f>
        <v>6:L00438|6:T00219|10:2026-03-28|3:P-O|6:Office|6:refund|7:-233.40</v>
      </c>
      <c r="Q444" s="1">
        <f>1</f>
        <v>1</v>
      </c>
      <c r="R444" s="1" t="b">
        <f>FALSE</f>
        <v>0</v>
      </c>
      <c r="S444" s="1">
        <f>1</f>
        <v>1</v>
      </c>
      <c r="T444" s="1" t="str">
        <f>IF(AND(Raw!A444="",Raw!B444="",Raw!C444="",Raw!D444="",Raw!E444="",Raw!F444="",Raw!G444=""),"UNUSED",IF(A444="","missing line ID",IF(B444="","missing transaction ID",IF(G444="",IF(C444="","missing date","invalid date"),IF(I444="","unknown product",IF(J444="","conflicting category",IF(NOT(OR(EXACT(K444,"sale"),EXACT(K444,"refund"))),"unknown event",IF(OR(N444="",NOT(O444)),"invalid amount",IF(OR(AND(K444="sale",N444&lt;=0),AND(K444="refund",N444&gt;=0)),"invalid sign","")))))))))</f>
        <v/>
      </c>
      <c r="U444" s="1" t="str">
        <f t="shared" si="53"/>
        <v>INCLUDED</v>
      </c>
      <c r="V444" s="1" t="str">
        <f t="shared" si="54"/>
        <v>2026-03</v>
      </c>
      <c r="W444" s="1">
        <f>IF(AND(U444="INCLUDED",X444&gt;0,EXACT(A444,'AI output'!A444)),1,0)</f>
        <v>1</v>
      </c>
      <c r="X444" s="1">
        <f>444</f>
        <v>444</v>
      </c>
      <c r="Y444" s="1">
        <f>IF(AND(U444="INCLUDED",W444=1),--(NOT(EXACT(A444,'AI output'!A444)))+--(NOT(EXACT(B444,'AI output'!B444)))+--(NOT(EXACT(TEXT(G444,"yyyy-mm-dd"),'AI output'!C444)))+--(NOT(EXACT(H444,'AI output'!D444)))+--(NOT(EXACT(J444,'AI output'!E444)))+--(NOT(EXACT(K444,'AI output'!F444)))+--(N444&lt;&gt;'AI output'!L444)+--(NOT('AI output'!M444)),0)</f>
        <v>0</v>
      </c>
      <c r="Z444" s="1">
        <f t="shared" si="55"/>
        <v>0</v>
      </c>
      <c r="AA444" s="1">
        <f>--EXACT(A444,"L00438")</f>
        <v>1</v>
      </c>
    </row>
    <row r="445" spans="1:27" ht="18.95" customHeight="1">
      <c r="A445" s="1" t="str">
        <f>IF(Raw!A445="","",Raw!A445)</f>
        <v>L00439</v>
      </c>
      <c r="B445" s="1" t="str">
        <f>IF(Raw!B445="","",Raw!B445)</f>
        <v>T00220</v>
      </c>
      <c r="C445" s="1" t="str">
        <f>IF(Raw!C445="","",Raw!C445)</f>
        <v>2026-01-04</v>
      </c>
      <c r="D445" s="1">
        <f t="shared" si="48"/>
        <v>2026</v>
      </c>
      <c r="E445" s="1">
        <f>IFERROR(IF(AND(LEN(C445)=10,MID(C445,5,1)="-",MID(C445,8,1)="-"),VALUE(MID(C445,6,2)),IF(AND(LEN(C445)=11,MID(C445,3,1)="-",MID(C445,7,1)="-"),MATCH(UPPER(MID(C445,4,3)),Guide!$D$7:$D$18,0),0)),0)</f>
        <v>1</v>
      </c>
      <c r="F445" s="1">
        <f t="shared" si="49"/>
        <v>4</v>
      </c>
      <c r="G445" s="9">
        <f t="shared" si="50"/>
        <v>46026</v>
      </c>
      <c r="H445" s="1" t="str">
        <f>IF(Raw!D445="","",Raw!D445)</f>
        <v>P-A</v>
      </c>
      <c r="I445" s="1" t="str">
        <f>IFERROR(IF(EXACT(H445,INDEX(Guide!$A$7:$A$9,MATCH(SUBSTITUTE(SUBSTITUTE(SUBSTITUTE(H445,"~","~~"),"*","~*"),"?","~?"),Guide!$A$7:$A$9,0))),INDEX(Guide!$B$7:$B$9,MATCH(SUBSTITUTE(SUBSTITUTE(SUBSTITUTE(H445,"~","~~"),"*","~*"),"?","~?"),Guide!$A$7:$A$9,0)),""),"")</f>
        <v>Accessories</v>
      </c>
      <c r="J445" s="1" t="str">
        <f>IF(TRIM(Raw!E445)="",I445,IF(UPPER(TRIM(Raw!E445))=UPPER(I445),I445,""))</f>
        <v>Accessories</v>
      </c>
      <c r="K445" s="1" t="str">
        <f>IF(Raw!F445="","",Raw!F445)</f>
        <v>sale</v>
      </c>
      <c r="L445" s="1" t="str">
        <f>IF(LEFT(TRIM(Raw!G445),2)="-$","-"&amp;MID(TRIM(Raw!G445),3,99),IF(LEFT(TRIM(Raw!G445),1)="$",MID(TRIM(Raw!G445),2,99),TRIM(Raw!G445)))</f>
        <v>94.10</v>
      </c>
      <c r="M445" s="1">
        <f t="shared" si="51"/>
        <v>94.1</v>
      </c>
      <c r="N445" s="10">
        <f t="shared" si="52"/>
        <v>9410</v>
      </c>
      <c r="O445" s="1" t="b">
        <f>IFERROR(IF(ISNUMBER(Raw!G445),TRUE,OR(EXACT(L445,TEXT(M445,"0.00")),EXACT(L445,TEXT(M445,"#,##0.00")))),FALSE)</f>
        <v>1</v>
      </c>
      <c r="P445" s="1" t="str">
        <f>LEN(IF(Raw!A445="","",Raw!A445))&amp;":"&amp;IF(Raw!A445="","",Raw!A445)&amp;"|"&amp;LEN(IF(Raw!B445="","",Raw!B445))&amp;":"&amp;IF(Raw!B445="","",Raw!B445)&amp;"|"&amp;LEN(IF(Raw!C445="","",Raw!C445))&amp;":"&amp;IF(Raw!C445="","",Raw!C445)&amp;"|"&amp;LEN(IF(Raw!D445="","",Raw!D445))&amp;":"&amp;IF(Raw!D445="","",Raw!D445)&amp;"|"&amp;LEN(IF(Raw!E445="","",Raw!E445))&amp;":"&amp;IF(Raw!E445="","",Raw!E445)&amp;"|"&amp;LEN(IF(Raw!F445="","",Raw!F445))&amp;":"&amp;IF(Raw!F445="","",Raw!F445)&amp;"|"&amp;LEN(IF(Raw!G445="","",Raw!G445))&amp;":"&amp;IF(Raw!G445="","",Raw!G445)</f>
        <v>6:L00439|6:T00220|10:2026-01-04|3:P-A|11:Accessories|4:sale|5:94.10</v>
      </c>
      <c r="Q445" s="1">
        <f>1</f>
        <v>1</v>
      </c>
      <c r="R445" s="1" t="b">
        <f>FALSE</f>
        <v>0</v>
      </c>
      <c r="S445" s="1">
        <f>1</f>
        <v>1</v>
      </c>
      <c r="T445" s="1" t="str">
        <f>IF(AND(Raw!A445="",Raw!B445="",Raw!C445="",Raw!D445="",Raw!E445="",Raw!F445="",Raw!G445=""),"UNUSED",IF(A445="","missing line ID",IF(B445="","missing transaction ID",IF(G445="",IF(C445="","missing date","invalid date"),IF(I445="","unknown product",IF(J445="","conflicting category",IF(NOT(OR(EXACT(K445,"sale"),EXACT(K445,"refund"))),"unknown event",IF(OR(N445="",NOT(O445)),"invalid amount",IF(OR(AND(K445="sale",N445&lt;=0),AND(K445="refund",N445&gt;=0)),"invalid sign","")))))))))</f>
        <v/>
      </c>
      <c r="U445" s="1" t="str">
        <f t="shared" si="53"/>
        <v>INCLUDED</v>
      </c>
      <c r="V445" s="1" t="str">
        <f t="shared" si="54"/>
        <v>2026-01</v>
      </c>
      <c r="W445" s="1">
        <f>IF(AND(U445="INCLUDED",X445&gt;0,EXACT(A445,'AI output'!A445)),1,0)</f>
        <v>1</v>
      </c>
      <c r="X445" s="1">
        <f>445</f>
        <v>445</v>
      </c>
      <c r="Y445" s="1">
        <f>IF(AND(U445="INCLUDED",W445=1),--(NOT(EXACT(A445,'AI output'!A445)))+--(NOT(EXACT(B445,'AI output'!B445)))+--(NOT(EXACT(TEXT(G445,"yyyy-mm-dd"),'AI output'!C445)))+--(NOT(EXACT(H445,'AI output'!D445)))+--(NOT(EXACT(J445,'AI output'!E445)))+--(NOT(EXACT(K445,'AI output'!F445)))+--(N445&lt;&gt;'AI output'!L445)+--(NOT('AI output'!M445)),0)</f>
        <v>0</v>
      </c>
      <c r="Z445" s="1">
        <f t="shared" si="55"/>
        <v>0</v>
      </c>
      <c r="AA445" s="1">
        <f>--EXACT(A445,"L00439")</f>
        <v>1</v>
      </c>
    </row>
    <row r="446" spans="1:27" ht="18.95" customHeight="1">
      <c r="A446" s="1" t="str">
        <f>IF(Raw!A446="","",Raw!A446)</f>
        <v>L00440</v>
      </c>
      <c r="B446" s="1" t="str">
        <f>IF(Raw!B446="","",Raw!B446)</f>
        <v>T00220</v>
      </c>
      <c r="C446" s="1" t="str">
        <f>IF(Raw!C446="","",Raw!C446)</f>
        <v>2026-01-04</v>
      </c>
      <c r="D446" s="1">
        <f t="shared" si="48"/>
        <v>2026</v>
      </c>
      <c r="E446" s="1">
        <f>IFERROR(IF(AND(LEN(C446)=10,MID(C446,5,1)="-",MID(C446,8,1)="-"),VALUE(MID(C446,6,2)),IF(AND(LEN(C446)=11,MID(C446,3,1)="-",MID(C446,7,1)="-"),MATCH(UPPER(MID(C446,4,3)),Guide!$D$7:$D$18,0),0)),0)</f>
        <v>1</v>
      </c>
      <c r="F446" s="1">
        <f t="shared" si="49"/>
        <v>4</v>
      </c>
      <c r="G446" s="9">
        <f t="shared" si="50"/>
        <v>46026</v>
      </c>
      <c r="H446" s="1" t="str">
        <f>IF(Raw!D446="","",Raw!D446)</f>
        <v>P-H</v>
      </c>
      <c r="I446" s="1" t="str">
        <f>IFERROR(IF(EXACT(H446,INDEX(Guide!$A$7:$A$9,MATCH(SUBSTITUTE(SUBSTITUTE(SUBSTITUTE(H446,"~","~~"),"*","~*"),"?","~?"),Guide!$A$7:$A$9,0))),INDEX(Guide!$B$7:$B$9,MATCH(SUBSTITUTE(SUBSTITUTE(SUBSTITUTE(H446,"~","~~"),"*","~*"),"?","~?"),Guide!$A$7:$A$9,0)),""),"")</f>
        <v>Home</v>
      </c>
      <c r="J446" s="1" t="str">
        <f>IF(TRIM(Raw!E446)="",I446,IF(UPPER(TRIM(Raw!E446))=UPPER(I446),I446,""))</f>
        <v>Home</v>
      </c>
      <c r="K446" s="1" t="str">
        <f>IF(Raw!F446="","",Raw!F446)</f>
        <v>sale</v>
      </c>
      <c r="L446" s="1" t="str">
        <f>IF(LEFT(TRIM(Raw!G446),2)="-$","-"&amp;MID(TRIM(Raw!G446),3,99),IF(LEFT(TRIM(Raw!G446),1)="$",MID(TRIM(Raw!G446),2,99),TRIM(Raw!G446)))</f>
        <v>189.68</v>
      </c>
      <c r="M446" s="1">
        <f t="shared" si="51"/>
        <v>189.68</v>
      </c>
      <c r="N446" s="10">
        <f t="shared" si="52"/>
        <v>18968</v>
      </c>
      <c r="O446" s="1" t="b">
        <f>IFERROR(IF(ISNUMBER(Raw!G446),TRUE,OR(EXACT(L446,TEXT(M446,"0.00")),EXACT(L446,TEXT(M446,"#,##0.00")))),FALSE)</f>
        <v>1</v>
      </c>
      <c r="P446" s="1" t="str">
        <f>LEN(IF(Raw!A446="","",Raw!A446))&amp;":"&amp;IF(Raw!A446="","",Raw!A446)&amp;"|"&amp;LEN(IF(Raw!B446="","",Raw!B446))&amp;":"&amp;IF(Raw!B446="","",Raw!B446)&amp;"|"&amp;LEN(IF(Raw!C446="","",Raw!C446))&amp;":"&amp;IF(Raw!C446="","",Raw!C446)&amp;"|"&amp;LEN(IF(Raw!D446="","",Raw!D446))&amp;":"&amp;IF(Raw!D446="","",Raw!D446)&amp;"|"&amp;LEN(IF(Raw!E446="","",Raw!E446))&amp;":"&amp;IF(Raw!E446="","",Raw!E446)&amp;"|"&amp;LEN(IF(Raw!F446="","",Raw!F446))&amp;":"&amp;IF(Raw!F446="","",Raw!F446)&amp;"|"&amp;LEN(IF(Raw!G446="","",Raw!G446))&amp;":"&amp;IF(Raw!G446="","",Raw!G446)</f>
        <v>6:L00440|6:T00220|10:2026-01-04|3:P-H|4:Home|4:sale|6:189.68</v>
      </c>
      <c r="Q446" s="1">
        <f>1</f>
        <v>1</v>
      </c>
      <c r="R446" s="1" t="b">
        <f>FALSE</f>
        <v>0</v>
      </c>
      <c r="S446" s="1">
        <f>1</f>
        <v>1</v>
      </c>
      <c r="T446" s="1" t="str">
        <f>IF(AND(Raw!A446="",Raw!B446="",Raw!C446="",Raw!D446="",Raw!E446="",Raw!F446="",Raw!G446=""),"UNUSED",IF(A446="","missing line ID",IF(B446="","missing transaction ID",IF(G446="",IF(C446="","missing date","invalid date"),IF(I446="","unknown product",IF(J446="","conflicting category",IF(NOT(OR(EXACT(K446,"sale"),EXACT(K446,"refund"))),"unknown event",IF(OR(N446="",NOT(O446)),"invalid amount",IF(OR(AND(K446="sale",N446&lt;=0),AND(K446="refund",N446&gt;=0)),"invalid sign","")))))))))</f>
        <v/>
      </c>
      <c r="U446" s="1" t="str">
        <f t="shared" si="53"/>
        <v>INCLUDED</v>
      </c>
      <c r="V446" s="1" t="str">
        <f t="shared" si="54"/>
        <v>2026-01</v>
      </c>
      <c r="W446" s="1">
        <f>IF(AND(U446="INCLUDED",X446&gt;0,EXACT(A446,'AI output'!A446)),1,0)</f>
        <v>1</v>
      </c>
      <c r="X446" s="1">
        <f>446</f>
        <v>446</v>
      </c>
      <c r="Y446" s="1">
        <f>IF(AND(U446="INCLUDED",W446=1),--(NOT(EXACT(A446,'AI output'!A446)))+--(NOT(EXACT(B446,'AI output'!B446)))+--(NOT(EXACT(TEXT(G446,"yyyy-mm-dd"),'AI output'!C446)))+--(NOT(EXACT(H446,'AI output'!D446)))+--(NOT(EXACT(J446,'AI output'!E446)))+--(NOT(EXACT(K446,'AI output'!F446)))+--(N446&lt;&gt;'AI output'!L446)+--(NOT('AI output'!M446)),0)</f>
        <v>0</v>
      </c>
      <c r="Z446" s="1">
        <f t="shared" si="55"/>
        <v>0</v>
      </c>
      <c r="AA446" s="1">
        <f>--EXACT(A446,"L00440")</f>
        <v>1</v>
      </c>
    </row>
    <row r="447" spans="1:27" ht="18.95" customHeight="1">
      <c r="A447" s="1" t="str">
        <f>IF(Raw!A447="","",Raw!A447)</f>
        <v>L00441</v>
      </c>
      <c r="B447" s="1" t="str">
        <f>IF(Raw!B447="","",Raw!B447)</f>
        <v>T00221</v>
      </c>
      <c r="C447" s="1" t="str">
        <f>IF(Raw!C447="","",Raw!C447)</f>
        <v>2026-01-11</v>
      </c>
      <c r="D447" s="1">
        <f t="shared" si="48"/>
        <v>2026</v>
      </c>
      <c r="E447" s="1">
        <f>IFERROR(IF(AND(LEN(C447)=10,MID(C447,5,1)="-",MID(C447,8,1)="-"),VALUE(MID(C447,6,2)),IF(AND(LEN(C447)=11,MID(C447,3,1)="-",MID(C447,7,1)="-"),MATCH(UPPER(MID(C447,4,3)),Guide!$D$7:$D$18,0),0)),0)</f>
        <v>1</v>
      </c>
      <c r="F447" s="1">
        <f t="shared" si="49"/>
        <v>11</v>
      </c>
      <c r="G447" s="9">
        <f t="shared" si="50"/>
        <v>46033</v>
      </c>
      <c r="H447" s="1" t="str">
        <f>IF(Raw!D447="","",Raw!D447)</f>
        <v>P-O</v>
      </c>
      <c r="I447" s="1" t="str">
        <f>IFERROR(IF(EXACT(H447,INDEX(Guide!$A$7:$A$9,MATCH(SUBSTITUTE(SUBSTITUTE(SUBSTITUTE(H447,"~","~~"),"*","~*"),"?","~?"),Guide!$A$7:$A$9,0))),INDEX(Guide!$B$7:$B$9,MATCH(SUBSTITUTE(SUBSTITUTE(SUBSTITUTE(H447,"~","~~"),"*","~*"),"?","~?"),Guide!$A$7:$A$9,0)),""),"")</f>
        <v>Office</v>
      </c>
      <c r="J447" s="1" t="str">
        <f>IF(TRIM(Raw!E447)="",I447,IF(UPPER(TRIM(Raw!E447))=UPPER(I447),I447,""))</f>
        <v>Office</v>
      </c>
      <c r="K447" s="1" t="str">
        <f>IF(Raw!F447="","",Raw!F447)</f>
        <v>sale</v>
      </c>
      <c r="L447" s="1" t="str">
        <f>IF(LEFT(TRIM(Raw!G447),2)="-$","-"&amp;MID(TRIM(Raw!G447),3,99),IF(LEFT(TRIM(Raw!G447),1)="$",MID(TRIM(Raw!G447),2,99),TRIM(Raw!G447)))</f>
        <v>47.79</v>
      </c>
      <c r="M447" s="1">
        <f t="shared" si="51"/>
        <v>47.79</v>
      </c>
      <c r="N447" s="10">
        <f t="shared" si="52"/>
        <v>4779</v>
      </c>
      <c r="O447" s="1" t="b">
        <f>IFERROR(IF(ISNUMBER(Raw!G447),TRUE,OR(EXACT(L447,TEXT(M447,"0.00")),EXACT(L447,TEXT(M447,"#,##0.00")))),FALSE)</f>
        <v>1</v>
      </c>
      <c r="P447" s="1" t="str">
        <f>LEN(IF(Raw!A447="","",Raw!A447))&amp;":"&amp;IF(Raw!A447="","",Raw!A447)&amp;"|"&amp;LEN(IF(Raw!B447="","",Raw!B447))&amp;":"&amp;IF(Raw!B447="","",Raw!B447)&amp;"|"&amp;LEN(IF(Raw!C447="","",Raw!C447))&amp;":"&amp;IF(Raw!C447="","",Raw!C447)&amp;"|"&amp;LEN(IF(Raw!D447="","",Raw!D447))&amp;":"&amp;IF(Raw!D447="","",Raw!D447)&amp;"|"&amp;LEN(IF(Raw!E447="","",Raw!E447))&amp;":"&amp;IF(Raw!E447="","",Raw!E447)&amp;"|"&amp;LEN(IF(Raw!F447="","",Raw!F447))&amp;":"&amp;IF(Raw!F447="","",Raw!F447)&amp;"|"&amp;LEN(IF(Raw!G447="","",Raw!G447))&amp;":"&amp;IF(Raw!G447="","",Raw!G447)</f>
        <v>6:L00441|6:T00221|10:2026-01-11|3:P-O|6:Office|4:sale|5:47.79</v>
      </c>
      <c r="Q447" s="1">
        <f>1</f>
        <v>1</v>
      </c>
      <c r="R447" s="1" t="b">
        <f>FALSE</f>
        <v>0</v>
      </c>
      <c r="S447" s="1">
        <f>1</f>
        <v>1</v>
      </c>
      <c r="T447" s="1" t="str">
        <f>IF(AND(Raw!A447="",Raw!B447="",Raw!C447="",Raw!D447="",Raw!E447="",Raw!F447="",Raw!G447=""),"UNUSED",IF(A447="","missing line ID",IF(B447="","missing transaction ID",IF(G447="",IF(C447="","missing date","invalid date"),IF(I447="","unknown product",IF(J447="","conflicting category",IF(NOT(OR(EXACT(K447,"sale"),EXACT(K447,"refund"))),"unknown event",IF(OR(N447="",NOT(O447)),"invalid amount",IF(OR(AND(K447="sale",N447&lt;=0),AND(K447="refund",N447&gt;=0)),"invalid sign","")))))))))</f>
        <v/>
      </c>
      <c r="U447" s="1" t="str">
        <f t="shared" si="53"/>
        <v>INCLUDED</v>
      </c>
      <c r="V447" s="1" t="str">
        <f t="shared" si="54"/>
        <v>2026-01</v>
      </c>
      <c r="W447" s="1">
        <f>IF(AND(U447="INCLUDED",X447&gt;0,EXACT(A447,'AI output'!A447)),1,0)</f>
        <v>1</v>
      </c>
      <c r="X447" s="1">
        <f>447</f>
        <v>447</v>
      </c>
      <c r="Y447" s="1">
        <f>IF(AND(U447="INCLUDED",W447=1),--(NOT(EXACT(A447,'AI output'!A447)))+--(NOT(EXACT(B447,'AI output'!B447)))+--(NOT(EXACT(TEXT(G447,"yyyy-mm-dd"),'AI output'!C447)))+--(NOT(EXACT(H447,'AI output'!D447)))+--(NOT(EXACT(J447,'AI output'!E447)))+--(NOT(EXACT(K447,'AI output'!F447)))+--(N447&lt;&gt;'AI output'!L447)+--(NOT('AI output'!M447)),0)</f>
        <v>0</v>
      </c>
      <c r="Z447" s="1">
        <f t="shared" si="55"/>
        <v>0</v>
      </c>
      <c r="AA447" s="1">
        <f>--EXACT(A447,"L00441")</f>
        <v>1</v>
      </c>
    </row>
    <row r="448" spans="1:27" ht="18.95" customHeight="1">
      <c r="A448" s="1" t="str">
        <f>IF(Raw!A448="","",Raw!A448)</f>
        <v>L00442</v>
      </c>
      <c r="B448" s="1" t="str">
        <f>IF(Raw!B448="","",Raw!B448)</f>
        <v>T00221</v>
      </c>
      <c r="C448" s="1" t="str">
        <f>IF(Raw!C448="","",Raw!C448)</f>
        <v>2026-01-11</v>
      </c>
      <c r="D448" s="1">
        <f t="shared" si="48"/>
        <v>2026</v>
      </c>
      <c r="E448" s="1">
        <f>IFERROR(IF(AND(LEN(C448)=10,MID(C448,5,1)="-",MID(C448,8,1)="-"),VALUE(MID(C448,6,2)),IF(AND(LEN(C448)=11,MID(C448,3,1)="-",MID(C448,7,1)="-"),MATCH(UPPER(MID(C448,4,3)),Guide!$D$7:$D$18,0),0)),0)</f>
        <v>1</v>
      </c>
      <c r="F448" s="1">
        <f t="shared" si="49"/>
        <v>11</v>
      </c>
      <c r="G448" s="9">
        <f t="shared" si="50"/>
        <v>46033</v>
      </c>
      <c r="H448" s="1" t="str">
        <f>IF(Raw!D448="","",Raw!D448)</f>
        <v>P-A</v>
      </c>
      <c r="I448" s="1" t="str">
        <f>IFERROR(IF(EXACT(H448,INDEX(Guide!$A$7:$A$9,MATCH(SUBSTITUTE(SUBSTITUTE(SUBSTITUTE(H448,"~","~~"),"*","~*"),"?","~?"),Guide!$A$7:$A$9,0))),INDEX(Guide!$B$7:$B$9,MATCH(SUBSTITUTE(SUBSTITUTE(SUBSTITUTE(H448,"~","~~"),"*","~*"),"?","~?"),Guide!$A$7:$A$9,0)),""),"")</f>
        <v>Accessories</v>
      </c>
      <c r="J448" s="1" t="str">
        <f>IF(TRIM(Raw!E448)="",I448,IF(UPPER(TRIM(Raw!E448))=UPPER(I448),I448,""))</f>
        <v>Accessories</v>
      </c>
      <c r="K448" s="1" t="str">
        <f>IF(Raw!F448="","",Raw!F448)</f>
        <v>sale</v>
      </c>
      <c r="L448" s="1" t="str">
        <f>IF(LEFT(TRIM(Raw!G448),2)="-$","-"&amp;MID(TRIM(Raw!G448),3,99),IF(LEFT(TRIM(Raw!G448),1)="$",MID(TRIM(Raw!G448),2,99),TRIM(Raw!G448)))</f>
        <v>144.48</v>
      </c>
      <c r="M448" s="1">
        <f t="shared" si="51"/>
        <v>144.47999999999999</v>
      </c>
      <c r="N448" s="10">
        <f t="shared" si="52"/>
        <v>14448</v>
      </c>
      <c r="O448" s="1" t="b">
        <f>IFERROR(IF(ISNUMBER(Raw!G448),TRUE,OR(EXACT(L448,TEXT(M448,"0.00")),EXACT(L448,TEXT(M448,"#,##0.00")))),FALSE)</f>
        <v>1</v>
      </c>
      <c r="P448" s="1" t="str">
        <f>LEN(IF(Raw!A448="","",Raw!A448))&amp;":"&amp;IF(Raw!A448="","",Raw!A448)&amp;"|"&amp;LEN(IF(Raw!B448="","",Raw!B448))&amp;":"&amp;IF(Raw!B448="","",Raw!B448)&amp;"|"&amp;LEN(IF(Raw!C448="","",Raw!C448))&amp;":"&amp;IF(Raw!C448="","",Raw!C448)&amp;"|"&amp;LEN(IF(Raw!D448="","",Raw!D448))&amp;":"&amp;IF(Raw!D448="","",Raw!D448)&amp;"|"&amp;LEN(IF(Raw!E448="","",Raw!E448))&amp;":"&amp;IF(Raw!E448="","",Raw!E448)&amp;"|"&amp;LEN(IF(Raw!F448="","",Raw!F448))&amp;":"&amp;IF(Raw!F448="","",Raw!F448)&amp;"|"&amp;LEN(IF(Raw!G448="","",Raw!G448))&amp;":"&amp;IF(Raw!G448="","",Raw!G448)</f>
        <v>6:L00442|6:T00221|10:2026-01-11|3:P-A|11:Accessories|4:sale|6:144.48</v>
      </c>
      <c r="Q448" s="1">
        <f>1</f>
        <v>1</v>
      </c>
      <c r="R448" s="1" t="b">
        <f>FALSE</f>
        <v>0</v>
      </c>
      <c r="S448" s="1">
        <f>1</f>
        <v>1</v>
      </c>
      <c r="T448" s="1" t="str">
        <f>IF(AND(Raw!A448="",Raw!B448="",Raw!C448="",Raw!D448="",Raw!E448="",Raw!F448="",Raw!G448=""),"UNUSED",IF(A448="","missing line ID",IF(B448="","missing transaction ID",IF(G448="",IF(C448="","missing date","invalid date"),IF(I448="","unknown product",IF(J448="","conflicting category",IF(NOT(OR(EXACT(K448,"sale"),EXACT(K448,"refund"))),"unknown event",IF(OR(N448="",NOT(O448)),"invalid amount",IF(OR(AND(K448="sale",N448&lt;=0),AND(K448="refund",N448&gt;=0)),"invalid sign","")))))))))</f>
        <v/>
      </c>
      <c r="U448" s="1" t="str">
        <f t="shared" si="53"/>
        <v>INCLUDED</v>
      </c>
      <c r="V448" s="1" t="str">
        <f t="shared" si="54"/>
        <v>2026-01</v>
      </c>
      <c r="W448" s="1">
        <f>IF(AND(U448="INCLUDED",X448&gt;0,EXACT(A448,'AI output'!A448)),1,0)</f>
        <v>1</v>
      </c>
      <c r="X448" s="1">
        <f>448</f>
        <v>448</v>
      </c>
      <c r="Y448" s="1">
        <f>IF(AND(U448="INCLUDED",W448=1),--(NOT(EXACT(A448,'AI output'!A448)))+--(NOT(EXACT(B448,'AI output'!B448)))+--(NOT(EXACT(TEXT(G448,"yyyy-mm-dd"),'AI output'!C448)))+--(NOT(EXACT(H448,'AI output'!D448)))+--(NOT(EXACT(J448,'AI output'!E448)))+--(NOT(EXACT(K448,'AI output'!F448)))+--(N448&lt;&gt;'AI output'!L448)+--(NOT('AI output'!M448)),0)</f>
        <v>0</v>
      </c>
      <c r="Z448" s="1">
        <f t="shared" si="55"/>
        <v>0</v>
      </c>
      <c r="AA448" s="1">
        <f>--EXACT(A448,"L00442")</f>
        <v>1</v>
      </c>
    </row>
    <row r="449" spans="1:27" ht="18.95" customHeight="1">
      <c r="A449" s="1" t="str">
        <f>IF(Raw!A449="","",Raw!A449)</f>
        <v>L00443</v>
      </c>
      <c r="B449" s="1" t="str">
        <f>IF(Raw!B449="","",Raw!B449)</f>
        <v>T00222</v>
      </c>
      <c r="C449" s="1" t="str">
        <f>IF(Raw!C449="","",Raw!C449)</f>
        <v>2026-01-18</v>
      </c>
      <c r="D449" s="1">
        <f t="shared" si="48"/>
        <v>2026</v>
      </c>
      <c r="E449" s="1">
        <f>IFERROR(IF(AND(LEN(C449)=10,MID(C449,5,1)="-",MID(C449,8,1)="-"),VALUE(MID(C449,6,2)),IF(AND(LEN(C449)=11,MID(C449,3,1)="-",MID(C449,7,1)="-"),MATCH(UPPER(MID(C449,4,3)),Guide!$D$7:$D$18,0),0)),0)</f>
        <v>1</v>
      </c>
      <c r="F449" s="1">
        <f t="shared" si="49"/>
        <v>18</v>
      </c>
      <c r="G449" s="9">
        <f t="shared" si="50"/>
        <v>46040</v>
      </c>
      <c r="H449" s="1" t="str">
        <f>IF(Raw!D449="","",Raw!D449)</f>
        <v>P-H</v>
      </c>
      <c r="I449" s="1" t="str">
        <f>IFERROR(IF(EXACT(H449,INDEX(Guide!$A$7:$A$9,MATCH(SUBSTITUTE(SUBSTITUTE(SUBSTITUTE(H449,"~","~~"),"*","~*"),"?","~?"),Guide!$A$7:$A$9,0))),INDEX(Guide!$B$7:$B$9,MATCH(SUBSTITUTE(SUBSTITUTE(SUBSTITUTE(H449,"~","~~"),"*","~*"),"?","~?"),Guide!$A$7:$A$9,0)),""),"")</f>
        <v>Home</v>
      </c>
      <c r="J449" s="1" t="str">
        <f>IF(TRIM(Raw!E449)="",I449,IF(UPPER(TRIM(Raw!E449))=UPPER(I449),I449,""))</f>
        <v>Home</v>
      </c>
      <c r="K449" s="1" t="str">
        <f>IF(Raw!F449="","",Raw!F449)</f>
        <v>sale</v>
      </c>
      <c r="L449" s="1" t="str">
        <f>IF(LEFT(TRIM(Raw!G449),2)="-$","-"&amp;MID(TRIM(Raw!G449),3,99),IF(LEFT(TRIM(Raw!G449),1)="$",MID(TRIM(Raw!G449),2,99),TRIM(Raw!G449)))</f>
        <v>242.65</v>
      </c>
      <c r="M449" s="1">
        <f t="shared" si="51"/>
        <v>242.65</v>
      </c>
      <c r="N449" s="10">
        <f t="shared" si="52"/>
        <v>24265</v>
      </c>
      <c r="O449" s="1" t="b">
        <f>IFERROR(IF(ISNUMBER(Raw!G449),TRUE,OR(EXACT(L449,TEXT(M449,"0.00")),EXACT(L449,TEXT(M449,"#,##0.00")))),FALSE)</f>
        <v>1</v>
      </c>
      <c r="P449" s="1" t="str">
        <f>LEN(IF(Raw!A449="","",Raw!A449))&amp;":"&amp;IF(Raw!A449="","",Raw!A449)&amp;"|"&amp;LEN(IF(Raw!B449="","",Raw!B449))&amp;":"&amp;IF(Raw!B449="","",Raw!B449)&amp;"|"&amp;LEN(IF(Raw!C449="","",Raw!C449))&amp;":"&amp;IF(Raw!C449="","",Raw!C449)&amp;"|"&amp;LEN(IF(Raw!D449="","",Raw!D449))&amp;":"&amp;IF(Raw!D449="","",Raw!D449)&amp;"|"&amp;LEN(IF(Raw!E449="","",Raw!E449))&amp;":"&amp;IF(Raw!E449="","",Raw!E449)&amp;"|"&amp;LEN(IF(Raw!F449="","",Raw!F449))&amp;":"&amp;IF(Raw!F449="","",Raw!F449)&amp;"|"&amp;LEN(IF(Raw!G449="","",Raw!G449))&amp;":"&amp;IF(Raw!G449="","",Raw!G449)</f>
        <v>6:L00443|6:T00222|10:2026-01-18|3:P-H|4:Home|4:sale|6:242.65</v>
      </c>
      <c r="Q449" s="1">
        <f>1</f>
        <v>1</v>
      </c>
      <c r="R449" s="1" t="b">
        <f>FALSE</f>
        <v>0</v>
      </c>
      <c r="S449" s="1">
        <f>1</f>
        <v>1</v>
      </c>
      <c r="T449" s="1" t="str">
        <f>IF(AND(Raw!A449="",Raw!B449="",Raw!C449="",Raw!D449="",Raw!E449="",Raw!F449="",Raw!G449=""),"UNUSED",IF(A449="","missing line ID",IF(B449="","missing transaction ID",IF(G449="",IF(C449="","missing date","invalid date"),IF(I449="","unknown product",IF(J449="","conflicting category",IF(NOT(OR(EXACT(K449,"sale"),EXACT(K449,"refund"))),"unknown event",IF(OR(N449="",NOT(O449)),"invalid amount",IF(OR(AND(K449="sale",N449&lt;=0),AND(K449="refund",N449&gt;=0)),"invalid sign","")))))))))</f>
        <v/>
      </c>
      <c r="U449" s="1" t="str">
        <f t="shared" si="53"/>
        <v>INCLUDED</v>
      </c>
      <c r="V449" s="1" t="str">
        <f t="shared" si="54"/>
        <v>2026-01</v>
      </c>
      <c r="W449" s="1">
        <f>IF(AND(U449="INCLUDED",X449&gt;0,EXACT(A449,'AI output'!A449)),1,0)</f>
        <v>1</v>
      </c>
      <c r="X449" s="1">
        <f>449</f>
        <v>449</v>
      </c>
      <c r="Y449" s="1">
        <f>IF(AND(U449="INCLUDED",W449=1),--(NOT(EXACT(A449,'AI output'!A449)))+--(NOT(EXACT(B449,'AI output'!B449)))+--(NOT(EXACT(TEXT(G449,"yyyy-mm-dd"),'AI output'!C449)))+--(NOT(EXACT(H449,'AI output'!D449)))+--(NOT(EXACT(J449,'AI output'!E449)))+--(NOT(EXACT(K449,'AI output'!F449)))+--(N449&lt;&gt;'AI output'!L449)+--(NOT('AI output'!M449)),0)</f>
        <v>0</v>
      </c>
      <c r="Z449" s="1">
        <f t="shared" si="55"/>
        <v>0</v>
      </c>
      <c r="AA449" s="1">
        <f>--EXACT(A449,"L00443")</f>
        <v>1</v>
      </c>
    </row>
    <row r="450" spans="1:27" ht="18.95" customHeight="1">
      <c r="A450" s="1" t="str">
        <f>IF(Raw!A450="","",Raw!A450)</f>
        <v>L00444</v>
      </c>
      <c r="B450" s="1" t="str">
        <f>IF(Raw!B450="","",Raw!B450)</f>
        <v>T00222</v>
      </c>
      <c r="C450" s="1" t="str">
        <f>IF(Raw!C450="","",Raw!C450)</f>
        <v>2026-01-18</v>
      </c>
      <c r="D450" s="1">
        <f t="shared" si="48"/>
        <v>2026</v>
      </c>
      <c r="E450" s="1">
        <f>IFERROR(IF(AND(LEN(C450)=10,MID(C450,5,1)="-",MID(C450,8,1)="-"),VALUE(MID(C450,6,2)),IF(AND(LEN(C450)=11,MID(C450,3,1)="-",MID(C450,7,1)="-"),MATCH(UPPER(MID(C450,4,3)),Guide!$D$7:$D$18,0),0)),0)</f>
        <v>1</v>
      </c>
      <c r="F450" s="1">
        <f t="shared" si="49"/>
        <v>18</v>
      </c>
      <c r="G450" s="9">
        <f t="shared" si="50"/>
        <v>46040</v>
      </c>
      <c r="H450" s="1" t="str">
        <f>IF(Raw!D450="","",Raw!D450)</f>
        <v>P-O</v>
      </c>
      <c r="I450" s="1" t="str">
        <f>IFERROR(IF(EXACT(H450,INDEX(Guide!$A$7:$A$9,MATCH(SUBSTITUTE(SUBSTITUTE(SUBSTITUTE(H450,"~","~~"),"*","~*"),"?","~?"),Guide!$A$7:$A$9,0))),INDEX(Guide!$B$7:$B$9,MATCH(SUBSTITUTE(SUBSTITUTE(SUBSTITUTE(H450,"~","~~"),"*","~*"),"?","~?"),Guide!$A$7:$A$9,0)),""),"")</f>
        <v>Office</v>
      </c>
      <c r="J450" s="1" t="str">
        <f>IF(TRIM(Raw!E450)="",I450,IF(UPPER(TRIM(Raw!E450))=UPPER(I450),I450,""))</f>
        <v>Office</v>
      </c>
      <c r="K450" s="1" t="str">
        <f>IF(Raw!F450="","",Raw!F450)</f>
        <v>sale</v>
      </c>
      <c r="L450" s="1" t="str">
        <f>IF(LEFT(TRIM(Raw!G450),2)="-$","-"&amp;MID(TRIM(Raw!G450),3,99),IF(LEFT(TRIM(Raw!G450),1)="$",MID(TRIM(Raw!G450),2,99),TRIM(Raw!G450)))</f>
        <v>97.80</v>
      </c>
      <c r="M450" s="1">
        <f t="shared" si="51"/>
        <v>97.8</v>
      </c>
      <c r="N450" s="10">
        <f t="shared" si="52"/>
        <v>9780</v>
      </c>
      <c r="O450" s="1" t="b">
        <f>IFERROR(IF(ISNUMBER(Raw!G450),TRUE,OR(EXACT(L450,TEXT(M450,"0.00")),EXACT(L450,TEXT(M450,"#,##0.00")))),FALSE)</f>
        <v>1</v>
      </c>
      <c r="P450" s="1" t="str">
        <f>LEN(IF(Raw!A450="","",Raw!A450))&amp;":"&amp;IF(Raw!A450="","",Raw!A450)&amp;"|"&amp;LEN(IF(Raw!B450="","",Raw!B450))&amp;":"&amp;IF(Raw!B450="","",Raw!B450)&amp;"|"&amp;LEN(IF(Raw!C450="","",Raw!C450))&amp;":"&amp;IF(Raw!C450="","",Raw!C450)&amp;"|"&amp;LEN(IF(Raw!D450="","",Raw!D450))&amp;":"&amp;IF(Raw!D450="","",Raw!D450)&amp;"|"&amp;LEN(IF(Raw!E450="","",Raw!E450))&amp;":"&amp;IF(Raw!E450="","",Raw!E450)&amp;"|"&amp;LEN(IF(Raw!F450="","",Raw!F450))&amp;":"&amp;IF(Raw!F450="","",Raw!F450)&amp;"|"&amp;LEN(IF(Raw!G450="","",Raw!G450))&amp;":"&amp;IF(Raw!G450="","",Raw!G450)</f>
        <v>6:L00444|6:T00222|10:2026-01-18|3:P-O|6:Office|4:sale|5:97.80</v>
      </c>
      <c r="Q450" s="1">
        <f>1</f>
        <v>1</v>
      </c>
      <c r="R450" s="1" t="b">
        <f>FALSE</f>
        <v>0</v>
      </c>
      <c r="S450" s="1">
        <f>1</f>
        <v>1</v>
      </c>
      <c r="T450" s="1" t="str">
        <f>IF(AND(Raw!A450="",Raw!B450="",Raw!C450="",Raw!D450="",Raw!E450="",Raw!F450="",Raw!G450=""),"UNUSED",IF(A450="","missing line ID",IF(B450="","missing transaction ID",IF(G450="",IF(C450="","missing date","invalid date"),IF(I450="","unknown product",IF(J450="","conflicting category",IF(NOT(OR(EXACT(K450,"sale"),EXACT(K450,"refund"))),"unknown event",IF(OR(N450="",NOT(O450)),"invalid amount",IF(OR(AND(K450="sale",N450&lt;=0),AND(K450="refund",N450&gt;=0)),"invalid sign","")))))))))</f>
        <v/>
      </c>
      <c r="U450" s="1" t="str">
        <f t="shared" si="53"/>
        <v>INCLUDED</v>
      </c>
      <c r="V450" s="1" t="str">
        <f t="shared" si="54"/>
        <v>2026-01</v>
      </c>
      <c r="W450" s="1">
        <f>IF(AND(U450="INCLUDED",X450&gt;0,EXACT(A450,'AI output'!A450)),1,0)</f>
        <v>1</v>
      </c>
      <c r="X450" s="1">
        <f>450</f>
        <v>450</v>
      </c>
      <c r="Y450" s="1">
        <f>IF(AND(U450="INCLUDED",W450=1),--(NOT(EXACT(A450,'AI output'!A450)))+--(NOT(EXACT(B450,'AI output'!B450)))+--(NOT(EXACT(TEXT(G450,"yyyy-mm-dd"),'AI output'!C450)))+--(NOT(EXACT(H450,'AI output'!D450)))+--(NOT(EXACT(J450,'AI output'!E450)))+--(NOT(EXACT(K450,'AI output'!F450)))+--(N450&lt;&gt;'AI output'!L450)+--(NOT('AI output'!M450)),0)</f>
        <v>0</v>
      </c>
      <c r="Z450" s="1">
        <f t="shared" si="55"/>
        <v>0</v>
      </c>
      <c r="AA450" s="1">
        <f>--EXACT(A450,"L00444")</f>
        <v>1</v>
      </c>
    </row>
    <row r="451" spans="1:27" ht="18.95" customHeight="1">
      <c r="A451" s="1" t="str">
        <f>IF(Raw!A451="","",Raw!A451)</f>
        <v>L00445</v>
      </c>
      <c r="B451" s="1" t="str">
        <f>IF(Raw!B451="","",Raw!B451)</f>
        <v>T00223</v>
      </c>
      <c r="C451" s="1" t="str">
        <f>IF(Raw!C451="","",Raw!C451)</f>
        <v>25-Jan-2026</v>
      </c>
      <c r="D451" s="1">
        <f t="shared" si="48"/>
        <v>2026</v>
      </c>
      <c r="E451" s="1">
        <f>IFERROR(IF(AND(LEN(C451)=10,MID(C451,5,1)="-",MID(C451,8,1)="-"),VALUE(MID(C451,6,2)),IF(AND(LEN(C451)=11,MID(C451,3,1)="-",MID(C451,7,1)="-"),MATCH(UPPER(MID(C451,4,3)),Guide!$D$7:$D$18,0),0)),0)</f>
        <v>1</v>
      </c>
      <c r="F451" s="1">
        <f t="shared" si="49"/>
        <v>25</v>
      </c>
      <c r="G451" s="9">
        <f t="shared" si="50"/>
        <v>46047</v>
      </c>
      <c r="H451" s="1" t="str">
        <f>IF(Raw!D451="","",Raw!D451)</f>
        <v>P-A</v>
      </c>
      <c r="I451" s="1" t="str">
        <f>IFERROR(IF(EXACT(H451,INDEX(Guide!$A$7:$A$9,MATCH(SUBSTITUTE(SUBSTITUTE(SUBSTITUTE(H451,"~","~~"),"*","~*"),"?","~?"),Guide!$A$7:$A$9,0))),INDEX(Guide!$B$7:$B$9,MATCH(SUBSTITUTE(SUBSTITUTE(SUBSTITUTE(H451,"~","~~"),"*","~*"),"?","~?"),Guide!$A$7:$A$9,0)),""),"")</f>
        <v>Accessories</v>
      </c>
      <c r="J451" s="1" t="str">
        <f>IF(TRIM(Raw!E451)="",I451,IF(UPPER(TRIM(Raw!E451))=UPPER(I451),I451,""))</f>
        <v>Accessories</v>
      </c>
      <c r="K451" s="1" t="str">
        <f>IF(Raw!F451="","",Raw!F451)</f>
        <v>sale</v>
      </c>
      <c r="L451" s="1" t="str">
        <f>IF(LEFT(TRIM(Raw!G451),2)="-$","-"&amp;MID(TRIM(Raw!G451),3,99),IF(LEFT(TRIM(Raw!G451),1)="$",MID(TRIM(Raw!G451),2,99),TRIM(Raw!G451)))</f>
        <v>197.08</v>
      </c>
      <c r="M451" s="1">
        <f t="shared" si="51"/>
        <v>197.08</v>
      </c>
      <c r="N451" s="10">
        <f t="shared" si="52"/>
        <v>19708</v>
      </c>
      <c r="O451" s="1" t="b">
        <f>IFERROR(IF(ISNUMBER(Raw!G451),TRUE,OR(EXACT(L451,TEXT(M451,"0.00")),EXACT(L451,TEXT(M451,"#,##0.00")))),FALSE)</f>
        <v>1</v>
      </c>
      <c r="P451" s="1" t="str">
        <f>LEN(IF(Raw!A451="","",Raw!A451))&amp;":"&amp;IF(Raw!A451="","",Raw!A451)&amp;"|"&amp;LEN(IF(Raw!B451="","",Raw!B451))&amp;":"&amp;IF(Raw!B451="","",Raw!B451)&amp;"|"&amp;LEN(IF(Raw!C451="","",Raw!C451))&amp;":"&amp;IF(Raw!C451="","",Raw!C451)&amp;"|"&amp;LEN(IF(Raw!D451="","",Raw!D451))&amp;":"&amp;IF(Raw!D451="","",Raw!D451)&amp;"|"&amp;LEN(IF(Raw!E451="","",Raw!E451))&amp;":"&amp;IF(Raw!E451="","",Raw!E451)&amp;"|"&amp;LEN(IF(Raw!F451="","",Raw!F451))&amp;":"&amp;IF(Raw!F451="","",Raw!F451)&amp;"|"&amp;LEN(IF(Raw!G451="","",Raw!G451))&amp;":"&amp;IF(Raw!G451="","",Raw!G451)</f>
        <v>6:L00445|6:T00223|11:25-Jan-2026|3:P-A|11:Accessories|4:sale|6:197.08</v>
      </c>
      <c r="Q451" s="1">
        <f>1</f>
        <v>1</v>
      </c>
      <c r="R451" s="1" t="b">
        <f>FALSE</f>
        <v>0</v>
      </c>
      <c r="S451" s="1">
        <f>1</f>
        <v>1</v>
      </c>
      <c r="T451" s="1" t="str">
        <f>IF(AND(Raw!A451="",Raw!B451="",Raw!C451="",Raw!D451="",Raw!E451="",Raw!F451="",Raw!G451=""),"UNUSED",IF(A451="","missing line ID",IF(B451="","missing transaction ID",IF(G451="",IF(C451="","missing date","invalid date"),IF(I451="","unknown product",IF(J451="","conflicting category",IF(NOT(OR(EXACT(K451,"sale"),EXACT(K451,"refund"))),"unknown event",IF(OR(N451="",NOT(O451)),"invalid amount",IF(OR(AND(K451="sale",N451&lt;=0),AND(K451="refund",N451&gt;=0)),"invalid sign","")))))))))</f>
        <v/>
      </c>
      <c r="U451" s="1" t="str">
        <f t="shared" si="53"/>
        <v>INCLUDED</v>
      </c>
      <c r="V451" s="1" t="str">
        <f t="shared" si="54"/>
        <v>2026-01</v>
      </c>
      <c r="W451" s="1">
        <f>IF(AND(U451="INCLUDED",X451&gt;0,EXACT(A451,'AI output'!A451)),1,0)</f>
        <v>1</v>
      </c>
      <c r="X451" s="1">
        <f>451</f>
        <v>451</v>
      </c>
      <c r="Y451" s="1">
        <f>IF(AND(U451="INCLUDED",W451=1),--(NOT(EXACT(A451,'AI output'!A451)))+--(NOT(EXACT(B451,'AI output'!B451)))+--(NOT(EXACT(TEXT(G451,"yyyy-mm-dd"),'AI output'!C451)))+--(NOT(EXACT(H451,'AI output'!D451)))+--(NOT(EXACT(J451,'AI output'!E451)))+--(NOT(EXACT(K451,'AI output'!F451)))+--(N451&lt;&gt;'AI output'!L451)+--(NOT('AI output'!M451)),0)</f>
        <v>0</v>
      </c>
      <c r="Z451" s="1">
        <f t="shared" si="55"/>
        <v>0</v>
      </c>
      <c r="AA451" s="1">
        <f>--EXACT(A451,"L00445")</f>
        <v>1</v>
      </c>
    </row>
    <row r="452" spans="1:27" ht="18.95" customHeight="1">
      <c r="A452" s="1" t="str">
        <f>IF(Raw!A452="","",Raw!A452)</f>
        <v>L00446</v>
      </c>
      <c r="B452" s="1" t="str">
        <f>IF(Raw!B452="","",Raw!B452)</f>
        <v>T00223</v>
      </c>
      <c r="C452" s="1" t="str">
        <f>IF(Raw!C452="","",Raw!C452)</f>
        <v>2026-01-25</v>
      </c>
      <c r="D452" s="1">
        <f t="shared" si="48"/>
        <v>2026</v>
      </c>
      <c r="E452" s="1">
        <f>IFERROR(IF(AND(LEN(C452)=10,MID(C452,5,1)="-",MID(C452,8,1)="-"),VALUE(MID(C452,6,2)),IF(AND(LEN(C452)=11,MID(C452,3,1)="-",MID(C452,7,1)="-"),MATCH(UPPER(MID(C452,4,3)),Guide!$D$7:$D$18,0),0)),0)</f>
        <v>1</v>
      </c>
      <c r="F452" s="1">
        <f t="shared" si="49"/>
        <v>25</v>
      </c>
      <c r="G452" s="9">
        <f t="shared" si="50"/>
        <v>46047</v>
      </c>
      <c r="H452" s="1" t="str">
        <f>IF(Raw!D452="","",Raw!D452)</f>
        <v>P-H</v>
      </c>
      <c r="I452" s="1" t="str">
        <f>IFERROR(IF(EXACT(H452,INDEX(Guide!$A$7:$A$9,MATCH(SUBSTITUTE(SUBSTITUTE(SUBSTITUTE(H452,"~","~~"),"*","~*"),"?","~?"),Guide!$A$7:$A$9,0))),INDEX(Guide!$B$7:$B$9,MATCH(SUBSTITUTE(SUBSTITUTE(SUBSTITUTE(H452,"~","~~"),"*","~*"),"?","~?"),Guide!$A$7:$A$9,0)),""),"")</f>
        <v>Home</v>
      </c>
      <c r="J452" s="1" t="str">
        <f>IF(TRIM(Raw!E452)="",I452,IF(UPPER(TRIM(Raw!E452))=UPPER(I452),I452,""))</f>
        <v>Home</v>
      </c>
      <c r="K452" s="1" t="str">
        <f>IF(Raw!F452="","",Raw!F452)</f>
        <v>sale</v>
      </c>
      <c r="L452" s="1" t="str">
        <f>IF(LEFT(TRIM(Raw!G452),2)="-$","-"&amp;MID(TRIM(Raw!G452),3,99),IF(LEFT(TRIM(Raw!G452),1)="$",MID(TRIM(Raw!G452),2,99),TRIM(Raw!G452)))</f>
        <v>49.64</v>
      </c>
      <c r="M452" s="1">
        <f t="shared" si="51"/>
        <v>49.64</v>
      </c>
      <c r="N452" s="10">
        <f t="shared" si="52"/>
        <v>4964</v>
      </c>
      <c r="O452" s="1" t="b">
        <f>IFERROR(IF(ISNUMBER(Raw!G452),TRUE,OR(EXACT(L452,TEXT(M452,"0.00")),EXACT(L452,TEXT(M452,"#,##0.00")))),FALSE)</f>
        <v>1</v>
      </c>
      <c r="P452" s="1" t="str">
        <f>LEN(IF(Raw!A452="","",Raw!A452))&amp;":"&amp;IF(Raw!A452="","",Raw!A452)&amp;"|"&amp;LEN(IF(Raw!B452="","",Raw!B452))&amp;":"&amp;IF(Raw!B452="","",Raw!B452)&amp;"|"&amp;LEN(IF(Raw!C452="","",Raw!C452))&amp;":"&amp;IF(Raw!C452="","",Raw!C452)&amp;"|"&amp;LEN(IF(Raw!D452="","",Raw!D452))&amp;":"&amp;IF(Raw!D452="","",Raw!D452)&amp;"|"&amp;LEN(IF(Raw!E452="","",Raw!E452))&amp;":"&amp;IF(Raw!E452="","",Raw!E452)&amp;"|"&amp;LEN(IF(Raw!F452="","",Raw!F452))&amp;":"&amp;IF(Raw!F452="","",Raw!F452)&amp;"|"&amp;LEN(IF(Raw!G452="","",Raw!G452))&amp;":"&amp;IF(Raw!G452="","",Raw!G452)</f>
        <v>6:L00446|6:T00223|10:2026-01-25|3:P-H|4:Home|4:sale|5:49.64</v>
      </c>
      <c r="Q452" s="1">
        <f>1</f>
        <v>1</v>
      </c>
      <c r="R452" s="1" t="b">
        <f>FALSE</f>
        <v>0</v>
      </c>
      <c r="S452" s="1">
        <f>1</f>
        <v>1</v>
      </c>
      <c r="T452" s="1" t="str">
        <f>IF(AND(Raw!A452="",Raw!B452="",Raw!C452="",Raw!D452="",Raw!E452="",Raw!F452="",Raw!G452=""),"UNUSED",IF(A452="","missing line ID",IF(B452="","missing transaction ID",IF(G452="",IF(C452="","missing date","invalid date"),IF(I452="","unknown product",IF(J452="","conflicting category",IF(NOT(OR(EXACT(K452,"sale"),EXACT(K452,"refund"))),"unknown event",IF(OR(N452="",NOT(O452)),"invalid amount",IF(OR(AND(K452="sale",N452&lt;=0),AND(K452="refund",N452&gt;=0)),"invalid sign","")))))))))</f>
        <v/>
      </c>
      <c r="U452" s="1" t="str">
        <f t="shared" si="53"/>
        <v>INCLUDED</v>
      </c>
      <c r="V452" s="1" t="str">
        <f t="shared" si="54"/>
        <v>2026-01</v>
      </c>
      <c r="W452" s="1">
        <f>IF(AND(U452="INCLUDED",X452&gt;0,EXACT(A452,'AI output'!A452)),1,0)</f>
        <v>1</v>
      </c>
      <c r="X452" s="1">
        <f>452</f>
        <v>452</v>
      </c>
      <c r="Y452" s="1">
        <f>IF(AND(U452="INCLUDED",W452=1),--(NOT(EXACT(A452,'AI output'!A452)))+--(NOT(EXACT(B452,'AI output'!B452)))+--(NOT(EXACT(TEXT(G452,"yyyy-mm-dd"),'AI output'!C452)))+--(NOT(EXACT(H452,'AI output'!D452)))+--(NOT(EXACT(J452,'AI output'!E452)))+--(NOT(EXACT(K452,'AI output'!F452)))+--(N452&lt;&gt;'AI output'!L452)+--(NOT('AI output'!M452)),0)</f>
        <v>0</v>
      </c>
      <c r="Z452" s="1">
        <f t="shared" si="55"/>
        <v>0</v>
      </c>
      <c r="AA452" s="1">
        <f>--EXACT(A452,"L00446")</f>
        <v>1</v>
      </c>
    </row>
    <row r="453" spans="1:27" ht="18.95" customHeight="1">
      <c r="A453" s="1" t="str">
        <f>IF(Raw!A453="","",Raw!A453)</f>
        <v>L00447</v>
      </c>
      <c r="B453" s="1" t="str">
        <f>IF(Raw!B453="","",Raw!B453)</f>
        <v>T00224</v>
      </c>
      <c r="C453" s="1" t="str">
        <f>IF(Raw!C453="","",Raw!C453)</f>
        <v>2026-02-01</v>
      </c>
      <c r="D453" s="1">
        <f t="shared" si="48"/>
        <v>2026</v>
      </c>
      <c r="E453" s="1">
        <f>IFERROR(IF(AND(LEN(C453)=10,MID(C453,5,1)="-",MID(C453,8,1)="-"),VALUE(MID(C453,6,2)),IF(AND(LEN(C453)=11,MID(C453,3,1)="-",MID(C453,7,1)="-"),MATCH(UPPER(MID(C453,4,3)),Guide!$D$7:$D$18,0),0)),0)</f>
        <v>2</v>
      </c>
      <c r="F453" s="1">
        <f t="shared" si="49"/>
        <v>1</v>
      </c>
      <c r="G453" s="9">
        <f t="shared" si="50"/>
        <v>46054</v>
      </c>
      <c r="H453" s="1" t="str">
        <f>IF(Raw!D453="","",Raw!D453)</f>
        <v>P-O</v>
      </c>
      <c r="I453" s="1" t="str">
        <f>IFERROR(IF(EXACT(H453,INDEX(Guide!$A$7:$A$9,MATCH(SUBSTITUTE(SUBSTITUTE(SUBSTITUTE(H453,"~","~~"),"*","~*"),"?","~?"),Guide!$A$7:$A$9,0))),INDEX(Guide!$B$7:$B$9,MATCH(SUBSTITUTE(SUBSTITUTE(SUBSTITUTE(H453,"~","~~"),"*","~*"),"?","~?"),Guide!$A$7:$A$9,0)),""),"")</f>
        <v>Office</v>
      </c>
      <c r="J453" s="1" t="str">
        <f>IF(TRIM(Raw!E453)="",I453,IF(UPPER(TRIM(Raw!E453))=UPPER(I453),I453,""))</f>
        <v>Office</v>
      </c>
      <c r="K453" s="1" t="str">
        <f>IF(Raw!F453="","",Raw!F453)</f>
        <v>sale</v>
      </c>
      <c r="L453" s="1" t="str">
        <f>IF(LEFT(TRIM(Raw!G453),2)="-$","-"&amp;MID(TRIM(Raw!G453),3,99),IF(LEFT(TRIM(Raw!G453),1)="$",MID(TRIM(Raw!G453),2,99),TRIM(Raw!G453)))</f>
        <v>150.03</v>
      </c>
      <c r="M453" s="1">
        <f t="shared" si="51"/>
        <v>150.03</v>
      </c>
      <c r="N453" s="10">
        <f t="shared" si="52"/>
        <v>15003</v>
      </c>
      <c r="O453" s="1" t="b">
        <f>IFERROR(IF(ISNUMBER(Raw!G453),TRUE,OR(EXACT(L453,TEXT(M453,"0.00")),EXACT(L453,TEXT(M453,"#,##0.00")))),FALSE)</f>
        <v>1</v>
      </c>
      <c r="P453" s="1" t="str">
        <f>LEN(IF(Raw!A453="","",Raw!A453))&amp;":"&amp;IF(Raw!A453="","",Raw!A453)&amp;"|"&amp;LEN(IF(Raw!B453="","",Raw!B453))&amp;":"&amp;IF(Raw!B453="","",Raw!B453)&amp;"|"&amp;LEN(IF(Raw!C453="","",Raw!C453))&amp;":"&amp;IF(Raw!C453="","",Raw!C453)&amp;"|"&amp;LEN(IF(Raw!D453="","",Raw!D453))&amp;":"&amp;IF(Raw!D453="","",Raw!D453)&amp;"|"&amp;LEN(IF(Raw!E453="","",Raw!E453))&amp;":"&amp;IF(Raw!E453="","",Raw!E453)&amp;"|"&amp;LEN(IF(Raw!F453="","",Raw!F453))&amp;":"&amp;IF(Raw!F453="","",Raw!F453)&amp;"|"&amp;LEN(IF(Raw!G453="","",Raw!G453))&amp;":"&amp;IF(Raw!G453="","",Raw!G453)</f>
        <v>6:L00447|6:T00224|10:2026-02-01|3:P-O|6:Office|4:sale|6:150.03</v>
      </c>
      <c r="Q453" s="1">
        <f>2</f>
        <v>2</v>
      </c>
      <c r="R453" s="1" t="b">
        <f>OR(NOT(EXACT(P453,P1992)))</f>
        <v>0</v>
      </c>
      <c r="S453" s="1">
        <f>1</f>
        <v>1</v>
      </c>
      <c r="T453" s="1" t="str">
        <f>IF(AND(Raw!A453="",Raw!B453="",Raw!C453="",Raw!D453="",Raw!E453="",Raw!F453="",Raw!G453=""),"UNUSED",IF(A453="","missing line ID",IF(B453="","missing transaction ID",IF(G453="",IF(C453="","missing date","invalid date"),IF(I453="","unknown product",IF(J453="","conflicting category",IF(NOT(OR(EXACT(K453,"sale"),EXACT(K453,"refund"))),"unknown event",IF(OR(N453="",NOT(O453)),"invalid amount",IF(OR(AND(K453="sale",N453&lt;=0),AND(K453="refund",N453&gt;=0)),"invalid sign","")))))))))</f>
        <v/>
      </c>
      <c r="U453" s="1" t="str">
        <f t="shared" si="53"/>
        <v>INCLUDED</v>
      </c>
      <c r="V453" s="1" t="str">
        <f t="shared" si="54"/>
        <v>2026-02</v>
      </c>
      <c r="W453" s="1">
        <f>IF(AND(U453="INCLUDED",X453&gt;0,EXACT(A453,'AI output'!A453)),1,0)</f>
        <v>1</v>
      </c>
      <c r="X453" s="1">
        <f>453</f>
        <v>453</v>
      </c>
      <c r="Y453" s="1">
        <f>IF(AND(U453="INCLUDED",W453=1),--(NOT(EXACT(A453,'AI output'!A453)))+--(NOT(EXACT(B453,'AI output'!B453)))+--(NOT(EXACT(TEXT(G453,"yyyy-mm-dd"),'AI output'!C453)))+--(NOT(EXACT(H453,'AI output'!D453)))+--(NOT(EXACT(J453,'AI output'!E453)))+--(NOT(EXACT(K453,'AI output'!F453)))+--(N453&lt;&gt;'AI output'!L453)+--(NOT('AI output'!M453)),0)</f>
        <v>0</v>
      </c>
      <c r="Z453" s="1">
        <f t="shared" si="55"/>
        <v>0</v>
      </c>
      <c r="AA453" s="1">
        <f>--EXACT(A453,"L00447")</f>
        <v>1</v>
      </c>
    </row>
    <row r="454" spans="1:27" ht="18.95" customHeight="1">
      <c r="A454" s="1" t="str">
        <f>IF(Raw!A454="","",Raw!A454)</f>
        <v>L00448</v>
      </c>
      <c r="B454" s="1" t="str">
        <f>IF(Raw!B454="","",Raw!B454)</f>
        <v>T00224</v>
      </c>
      <c r="C454" s="1" t="str">
        <f>IF(Raw!C454="","",Raw!C454)</f>
        <v>2026-02-01</v>
      </c>
      <c r="D454" s="1">
        <f t="shared" si="48"/>
        <v>2026</v>
      </c>
      <c r="E454" s="1">
        <f>IFERROR(IF(AND(LEN(C454)=10,MID(C454,5,1)="-",MID(C454,8,1)="-"),VALUE(MID(C454,6,2)),IF(AND(LEN(C454)=11,MID(C454,3,1)="-",MID(C454,7,1)="-"),MATCH(UPPER(MID(C454,4,3)),Guide!$D$7:$D$18,0),0)),0)</f>
        <v>2</v>
      </c>
      <c r="F454" s="1">
        <f t="shared" si="49"/>
        <v>1</v>
      </c>
      <c r="G454" s="9">
        <f t="shared" si="50"/>
        <v>46054</v>
      </c>
      <c r="H454" s="1" t="str">
        <f>IF(Raw!D454="","",Raw!D454)</f>
        <v>P-A</v>
      </c>
      <c r="I454" s="1" t="str">
        <f>IFERROR(IF(EXACT(H454,INDEX(Guide!$A$7:$A$9,MATCH(SUBSTITUTE(SUBSTITUTE(SUBSTITUTE(H454,"~","~~"),"*","~*"),"?","~?"),Guide!$A$7:$A$9,0))),INDEX(Guide!$B$7:$B$9,MATCH(SUBSTITUTE(SUBSTITUTE(SUBSTITUTE(H454,"~","~~"),"*","~*"),"?","~?"),Guide!$A$7:$A$9,0)),""),"")</f>
        <v>Accessories</v>
      </c>
      <c r="J454" s="1" t="str">
        <f>IF(TRIM(Raw!E454)="",I454,IF(UPPER(TRIM(Raw!E454))=UPPER(I454),I454,""))</f>
        <v>Accessories</v>
      </c>
      <c r="K454" s="1" t="str">
        <f>IF(Raw!F454="","",Raw!F454)</f>
        <v>sale</v>
      </c>
      <c r="L454" s="1" t="str">
        <f>IF(LEFT(TRIM(Raw!G454),2)="-$","-"&amp;MID(TRIM(Raw!G454),3,99),IF(LEFT(TRIM(Raw!G454),1)="$",MID(TRIM(Raw!G454),2,99),TRIM(Raw!G454)))</f>
        <v>251.90</v>
      </c>
      <c r="M454" s="1">
        <f t="shared" si="51"/>
        <v>251.9</v>
      </c>
      <c r="N454" s="10">
        <f t="shared" si="52"/>
        <v>25190</v>
      </c>
      <c r="O454" s="1" t="b">
        <f>IFERROR(IF(ISNUMBER(Raw!G454),TRUE,OR(EXACT(L454,TEXT(M454,"0.00")),EXACT(L454,TEXT(M454,"#,##0.00")))),FALSE)</f>
        <v>1</v>
      </c>
      <c r="P454" s="1" t="str">
        <f>LEN(IF(Raw!A454="","",Raw!A454))&amp;":"&amp;IF(Raw!A454="","",Raw!A454)&amp;"|"&amp;LEN(IF(Raw!B454="","",Raw!B454))&amp;":"&amp;IF(Raw!B454="","",Raw!B454)&amp;"|"&amp;LEN(IF(Raw!C454="","",Raw!C454))&amp;":"&amp;IF(Raw!C454="","",Raw!C454)&amp;"|"&amp;LEN(IF(Raw!D454="","",Raw!D454))&amp;":"&amp;IF(Raw!D454="","",Raw!D454)&amp;"|"&amp;LEN(IF(Raw!E454="","",Raw!E454))&amp;":"&amp;IF(Raw!E454="","",Raw!E454)&amp;"|"&amp;LEN(IF(Raw!F454="","",Raw!F454))&amp;":"&amp;IF(Raw!F454="","",Raw!F454)&amp;"|"&amp;LEN(IF(Raw!G454="","",Raw!G454))&amp;":"&amp;IF(Raw!G454="","",Raw!G454)</f>
        <v>6:L00448|6:T00224|10:2026-02-01|3:P-A|11:Accessories|4:sale|6:251.90</v>
      </c>
      <c r="Q454" s="1">
        <f>1</f>
        <v>1</v>
      </c>
      <c r="R454" s="1" t="b">
        <f>FALSE</f>
        <v>0</v>
      </c>
      <c r="S454" s="1">
        <f>1</f>
        <v>1</v>
      </c>
      <c r="T454" s="1" t="str">
        <f>IF(AND(Raw!A454="",Raw!B454="",Raw!C454="",Raw!D454="",Raw!E454="",Raw!F454="",Raw!G454=""),"UNUSED",IF(A454="","missing line ID",IF(B454="","missing transaction ID",IF(G454="",IF(C454="","missing date","invalid date"),IF(I454="","unknown product",IF(J454="","conflicting category",IF(NOT(OR(EXACT(K454,"sale"),EXACT(K454,"refund"))),"unknown event",IF(OR(N454="",NOT(O454)),"invalid amount",IF(OR(AND(K454="sale",N454&lt;=0),AND(K454="refund",N454&gt;=0)),"invalid sign","")))))))))</f>
        <v/>
      </c>
      <c r="U454" s="1" t="str">
        <f t="shared" si="53"/>
        <v>INCLUDED</v>
      </c>
      <c r="V454" s="1" t="str">
        <f t="shared" si="54"/>
        <v>2026-02</v>
      </c>
      <c r="W454" s="1">
        <f>IF(AND(U454="INCLUDED",X454&gt;0,EXACT(A454,'AI output'!A454)),1,0)</f>
        <v>1</v>
      </c>
      <c r="X454" s="1">
        <f>454</f>
        <v>454</v>
      </c>
      <c r="Y454" s="1">
        <f>IF(AND(U454="INCLUDED",W454=1),--(NOT(EXACT(A454,'AI output'!A454)))+--(NOT(EXACT(B454,'AI output'!B454)))+--(NOT(EXACT(TEXT(G454,"yyyy-mm-dd"),'AI output'!C454)))+--(NOT(EXACT(H454,'AI output'!D454)))+--(NOT(EXACT(J454,'AI output'!E454)))+--(NOT(EXACT(K454,'AI output'!F454)))+--(N454&lt;&gt;'AI output'!L454)+--(NOT('AI output'!M454)),0)</f>
        <v>0</v>
      </c>
      <c r="Z454" s="1">
        <f t="shared" si="55"/>
        <v>0</v>
      </c>
      <c r="AA454" s="1">
        <f>--EXACT(A454,"L00448")</f>
        <v>1</v>
      </c>
    </row>
    <row r="455" spans="1:27" ht="18.95" customHeight="1">
      <c r="A455" s="1" t="str">
        <f>IF(Raw!A455="","",Raw!A455)</f>
        <v>L00449</v>
      </c>
      <c r="B455" s="1" t="str">
        <f>IF(Raw!B455="","",Raw!B455)</f>
        <v>T00225</v>
      </c>
      <c r="C455" s="1" t="str">
        <f>IF(Raw!C455="","",Raw!C455)</f>
        <v>2026-02-08</v>
      </c>
      <c r="D455" s="1">
        <f t="shared" ref="D455:D518" si="56">IFERROR(IF(AND(LEN(C455)=10,MID(C455,5,1)="-",MID(C455,8,1)="-"),VALUE(LEFT(C455,4)),IF(AND(LEN(C455)=11,MID(C455,3,1)="-",MID(C455,7,1)="-"),VALUE(RIGHT(C455,4)),0)),0)</f>
        <v>2026</v>
      </c>
      <c r="E455" s="1">
        <f>IFERROR(IF(AND(LEN(C455)=10,MID(C455,5,1)="-",MID(C455,8,1)="-"),VALUE(MID(C455,6,2)),IF(AND(LEN(C455)=11,MID(C455,3,1)="-",MID(C455,7,1)="-"),MATCH(UPPER(MID(C455,4,3)),Guide!$D$7:$D$18,0),0)),0)</f>
        <v>2</v>
      </c>
      <c r="F455" s="1">
        <f t="shared" ref="F455:F518" si="57">IFERROR(IF(AND(LEN(C455)=10,MID(C455,5,1)="-",MID(C455,8,1)="-"),VALUE(RIGHT(C455,2)),IF(AND(LEN(C455)=11,MID(C455,3,1)="-",MID(C455,7,1)="-"),VALUE(LEFT(C455,2)),0)),0)</f>
        <v>8</v>
      </c>
      <c r="G455" s="9">
        <f t="shared" ref="G455:G518" si="58">IFERROR(IF(AND(D455&gt;=1900,D455&lt;=9999,YEAR(DATE(D455,E455,F455))=D455,MONTH(DATE(D455,E455,F455))=E455,DAY(DATE(D455,E455,F455))=F455),DATE(D455,E455,F455),""),"")</f>
        <v>46061</v>
      </c>
      <c r="H455" s="1" t="str">
        <f>IF(Raw!D455="","",Raw!D455)</f>
        <v>P-H</v>
      </c>
      <c r="I455" s="1" t="str">
        <f>IFERROR(IF(EXACT(H455,INDEX(Guide!$A$7:$A$9,MATCH(SUBSTITUTE(SUBSTITUTE(SUBSTITUTE(H455,"~","~~"),"*","~*"),"?","~?"),Guide!$A$7:$A$9,0))),INDEX(Guide!$B$7:$B$9,MATCH(SUBSTITUTE(SUBSTITUTE(SUBSTITUTE(H455,"~","~~"),"*","~*"),"?","~?"),Guide!$A$7:$A$9,0)),""),"")</f>
        <v>Home</v>
      </c>
      <c r="J455" s="1" t="str">
        <f>IF(TRIM(Raw!E455)="",I455,IF(UPPER(TRIM(Raw!E455))=UPPER(I455),I455,""))</f>
        <v>Home</v>
      </c>
      <c r="K455" s="1" t="str">
        <f>IF(Raw!F455="","",Raw!F455)</f>
        <v>sale</v>
      </c>
      <c r="L455" s="1" t="str">
        <f>IF(LEFT(TRIM(Raw!G455),2)="-$","-"&amp;MID(TRIM(Raw!G455),3,99),IF(LEFT(TRIM(Raw!G455),1)="$",MID(TRIM(Raw!G455),2,99),TRIM(Raw!G455)))</f>
        <v>101.50</v>
      </c>
      <c r="M455" s="1">
        <f t="shared" ref="M455:M518" si="59">IFERROR(VALUE(L455),"")</f>
        <v>101.5</v>
      </c>
      <c r="N455" s="10">
        <f t="shared" ref="N455:N518" si="60">IF(AND(ISNUMBER(M455),ABS(M455*100-ROUND(M455*100,0))&lt;0.0000001),ROUND(M455*100,0),"")</f>
        <v>10150</v>
      </c>
      <c r="O455" s="1" t="b">
        <f>IFERROR(IF(ISNUMBER(Raw!G455),TRUE,OR(EXACT(L455,TEXT(M455,"0.00")),EXACT(L455,TEXT(M455,"#,##0.00")))),FALSE)</f>
        <v>1</v>
      </c>
      <c r="P455" s="1" t="str">
        <f>LEN(IF(Raw!A455="","",Raw!A455))&amp;":"&amp;IF(Raw!A455="","",Raw!A455)&amp;"|"&amp;LEN(IF(Raw!B455="","",Raw!B455))&amp;":"&amp;IF(Raw!B455="","",Raw!B455)&amp;"|"&amp;LEN(IF(Raw!C455="","",Raw!C455))&amp;":"&amp;IF(Raw!C455="","",Raw!C455)&amp;"|"&amp;LEN(IF(Raw!D455="","",Raw!D455))&amp;":"&amp;IF(Raw!D455="","",Raw!D455)&amp;"|"&amp;LEN(IF(Raw!E455="","",Raw!E455))&amp;":"&amp;IF(Raw!E455="","",Raw!E455)&amp;"|"&amp;LEN(IF(Raw!F455="","",Raw!F455))&amp;":"&amp;IF(Raw!F455="","",Raw!F455)&amp;"|"&amp;LEN(IF(Raw!G455="","",Raw!G455))&amp;":"&amp;IF(Raw!G455="","",Raw!G455)</f>
        <v>6:L00449|6:T00225|10:2026-02-08|3:P-H|4:Home|4:sale|6:101.50</v>
      </c>
      <c r="Q455" s="1">
        <f>1</f>
        <v>1</v>
      </c>
      <c r="R455" s="1" t="b">
        <f>FALSE</f>
        <v>0</v>
      </c>
      <c r="S455" s="1">
        <f>1</f>
        <v>1</v>
      </c>
      <c r="T455" s="1" t="str">
        <f>IF(AND(Raw!A455="",Raw!B455="",Raw!C455="",Raw!D455="",Raw!E455="",Raw!F455="",Raw!G455=""),"UNUSED",IF(A455="","missing line ID",IF(B455="","missing transaction ID",IF(G455="",IF(C455="","missing date","invalid date"),IF(I455="","unknown product",IF(J455="","conflicting category",IF(NOT(OR(EXACT(K455,"sale"),EXACT(K455,"refund"))),"unknown event",IF(OR(N455="",NOT(O455)),"invalid amount",IF(OR(AND(K455="sale",N455&lt;=0),AND(K455="refund",N455&gt;=0)),"invalid sign","")))))))))</f>
        <v/>
      </c>
      <c r="U455" s="1" t="str">
        <f t="shared" ref="U455:U518" si="61">IF(T455="UNUSED","UNUSED",IF(R455,"QUARANTINE",IF(S455&gt;1,"DUPLICATE",IF(T455&lt;&gt;"","QUARANTINE","INCLUDED"))))</f>
        <v>INCLUDED</v>
      </c>
      <c r="V455" s="1" t="str">
        <f t="shared" ref="V455:V518" si="62">IF(G455="","",TEXT(G455,"yyyy-mm"))</f>
        <v>2026-02</v>
      </c>
      <c r="W455" s="1">
        <f>IF(AND(U455="INCLUDED",X455&gt;0,EXACT(A455,'AI output'!A455)),1,0)</f>
        <v>1</v>
      </c>
      <c r="X455" s="1">
        <f>455</f>
        <v>455</v>
      </c>
      <c r="Y455" s="1">
        <f>IF(AND(U455="INCLUDED",W455=1),--(NOT(EXACT(A455,'AI output'!A455)))+--(NOT(EXACT(B455,'AI output'!B455)))+--(NOT(EXACT(TEXT(G455,"yyyy-mm-dd"),'AI output'!C455)))+--(NOT(EXACT(H455,'AI output'!D455)))+--(NOT(EXACT(J455,'AI output'!E455)))+--(NOT(EXACT(K455,'AI output'!F455)))+--(N455&lt;&gt;'AI output'!L455)+--(NOT('AI output'!M455)),0)</f>
        <v>0</v>
      </c>
      <c r="Z455" s="1">
        <f t="shared" ref="Z455:Z518" si="63">IF(U455="INCLUDED",IF(OR(W455&lt;&gt;1,Y455&lt;&gt;0),1,0),0)</f>
        <v>0</v>
      </c>
      <c r="AA455" s="1">
        <f>--EXACT(A455,"L00449")</f>
        <v>1</v>
      </c>
    </row>
    <row r="456" spans="1:27" ht="18.95" customHeight="1">
      <c r="A456" s="1" t="str">
        <f>IF(Raw!A456="","",Raw!A456)</f>
        <v>L00450</v>
      </c>
      <c r="B456" s="1" t="str">
        <f>IF(Raw!B456="","",Raw!B456)</f>
        <v>T00225</v>
      </c>
      <c r="C456" s="1" t="str">
        <f>IF(Raw!C456="","",Raw!C456)</f>
        <v>2026-02-08</v>
      </c>
      <c r="D456" s="1">
        <f t="shared" si="56"/>
        <v>2026</v>
      </c>
      <c r="E456" s="1">
        <f>IFERROR(IF(AND(LEN(C456)=10,MID(C456,5,1)="-",MID(C456,8,1)="-"),VALUE(MID(C456,6,2)),IF(AND(LEN(C456)=11,MID(C456,3,1)="-",MID(C456,7,1)="-"),MATCH(UPPER(MID(C456,4,3)),Guide!$D$7:$D$18,0),0)),0)</f>
        <v>2</v>
      </c>
      <c r="F456" s="1">
        <f t="shared" si="57"/>
        <v>8</v>
      </c>
      <c r="G456" s="9">
        <f t="shared" si="58"/>
        <v>46061</v>
      </c>
      <c r="H456" s="1" t="str">
        <f>IF(Raw!D456="","",Raw!D456)</f>
        <v>P-O</v>
      </c>
      <c r="I456" s="1" t="str">
        <f>IFERROR(IF(EXACT(H456,INDEX(Guide!$A$7:$A$9,MATCH(SUBSTITUTE(SUBSTITUTE(SUBSTITUTE(H456,"~","~~"),"*","~*"),"?","~?"),Guide!$A$7:$A$9,0))),INDEX(Guide!$B$7:$B$9,MATCH(SUBSTITUTE(SUBSTITUTE(SUBSTITUTE(H456,"~","~~"),"*","~*"),"?","~?"),Guide!$A$7:$A$9,0)),""),"")</f>
        <v>Office</v>
      </c>
      <c r="J456" s="1" t="str">
        <f>IF(TRIM(Raw!E456)="",I456,IF(UPPER(TRIM(Raw!E456))=UPPER(I456),I456,""))</f>
        <v>Office</v>
      </c>
      <c r="K456" s="1" t="str">
        <f>IF(Raw!F456="","",Raw!F456)</f>
        <v>sale</v>
      </c>
      <c r="L456" s="1" t="str">
        <f>IF(LEFT(TRIM(Raw!G456),2)="-$","-"&amp;MID(TRIM(Raw!G456),3,99),IF(LEFT(TRIM(Raw!G456),1)="$",MID(TRIM(Raw!G456),2,99),TRIM(Raw!G456)))</f>
        <v>204.48</v>
      </c>
      <c r="M456" s="1">
        <f t="shared" si="59"/>
        <v>204.48</v>
      </c>
      <c r="N456" s="10">
        <f t="shared" si="60"/>
        <v>20448</v>
      </c>
      <c r="O456" s="1" t="b">
        <f>IFERROR(IF(ISNUMBER(Raw!G456),TRUE,OR(EXACT(L456,TEXT(M456,"0.00")),EXACT(L456,TEXT(M456,"#,##0.00")))),FALSE)</f>
        <v>1</v>
      </c>
      <c r="P456" s="1" t="str">
        <f>LEN(IF(Raw!A456="","",Raw!A456))&amp;":"&amp;IF(Raw!A456="","",Raw!A456)&amp;"|"&amp;LEN(IF(Raw!B456="","",Raw!B456))&amp;":"&amp;IF(Raw!B456="","",Raw!B456)&amp;"|"&amp;LEN(IF(Raw!C456="","",Raw!C456))&amp;":"&amp;IF(Raw!C456="","",Raw!C456)&amp;"|"&amp;LEN(IF(Raw!D456="","",Raw!D456))&amp;":"&amp;IF(Raw!D456="","",Raw!D456)&amp;"|"&amp;LEN(IF(Raw!E456="","",Raw!E456))&amp;":"&amp;IF(Raw!E456="","",Raw!E456)&amp;"|"&amp;LEN(IF(Raw!F456="","",Raw!F456))&amp;":"&amp;IF(Raw!F456="","",Raw!F456)&amp;"|"&amp;LEN(IF(Raw!G456="","",Raw!G456))&amp;":"&amp;IF(Raw!G456="","",Raw!G456)</f>
        <v>6:L00450|6:T00225|10:2026-02-08|3:P-O|6:Office|4:sale|6:204.48</v>
      </c>
      <c r="Q456" s="1">
        <f>1</f>
        <v>1</v>
      </c>
      <c r="R456" s="1" t="b">
        <f>FALSE</f>
        <v>0</v>
      </c>
      <c r="S456" s="1">
        <f>1</f>
        <v>1</v>
      </c>
      <c r="T456" s="1" t="str">
        <f>IF(AND(Raw!A456="",Raw!B456="",Raw!C456="",Raw!D456="",Raw!E456="",Raw!F456="",Raw!G456=""),"UNUSED",IF(A456="","missing line ID",IF(B456="","missing transaction ID",IF(G456="",IF(C456="","missing date","invalid date"),IF(I456="","unknown product",IF(J456="","conflicting category",IF(NOT(OR(EXACT(K456,"sale"),EXACT(K456,"refund"))),"unknown event",IF(OR(N456="",NOT(O456)),"invalid amount",IF(OR(AND(K456="sale",N456&lt;=0),AND(K456="refund",N456&gt;=0)),"invalid sign","")))))))))</f>
        <v/>
      </c>
      <c r="U456" s="1" t="str">
        <f t="shared" si="61"/>
        <v>INCLUDED</v>
      </c>
      <c r="V456" s="1" t="str">
        <f t="shared" si="62"/>
        <v>2026-02</v>
      </c>
      <c r="W456" s="1">
        <f>IF(AND(U456="INCLUDED",X456&gt;0,EXACT(A456,'AI output'!A456)),1,0)</f>
        <v>1</v>
      </c>
      <c r="X456" s="1">
        <f>456</f>
        <v>456</v>
      </c>
      <c r="Y456" s="1">
        <f>IF(AND(U456="INCLUDED",W456=1),--(NOT(EXACT(A456,'AI output'!A456)))+--(NOT(EXACT(B456,'AI output'!B456)))+--(NOT(EXACT(TEXT(G456,"yyyy-mm-dd"),'AI output'!C456)))+--(NOT(EXACT(H456,'AI output'!D456)))+--(NOT(EXACT(J456,'AI output'!E456)))+--(NOT(EXACT(K456,'AI output'!F456)))+--(N456&lt;&gt;'AI output'!L456)+--(NOT('AI output'!M456)),0)</f>
        <v>0</v>
      </c>
      <c r="Z456" s="1">
        <f t="shared" si="63"/>
        <v>0</v>
      </c>
      <c r="AA456" s="1">
        <f>--EXACT(A456,"L00450")</f>
        <v>1</v>
      </c>
    </row>
    <row r="457" spans="1:27" ht="18.95" customHeight="1">
      <c r="A457" s="1" t="str">
        <f>IF(Raw!A457="","",Raw!A457)</f>
        <v>L00451</v>
      </c>
      <c r="B457" s="1" t="str">
        <f>IF(Raw!B457="","",Raw!B457)</f>
        <v>T00226</v>
      </c>
      <c r="C457" s="1" t="str">
        <f>IF(Raw!C457="","",Raw!C457)</f>
        <v>2026-02-15</v>
      </c>
      <c r="D457" s="1">
        <f t="shared" si="56"/>
        <v>2026</v>
      </c>
      <c r="E457" s="1">
        <f>IFERROR(IF(AND(LEN(C457)=10,MID(C457,5,1)="-",MID(C457,8,1)="-"),VALUE(MID(C457,6,2)),IF(AND(LEN(C457)=11,MID(C457,3,1)="-",MID(C457,7,1)="-"),MATCH(UPPER(MID(C457,4,3)),Guide!$D$7:$D$18,0),0)),0)</f>
        <v>2</v>
      </c>
      <c r="F457" s="1">
        <f t="shared" si="57"/>
        <v>15</v>
      </c>
      <c r="G457" s="9">
        <f t="shared" si="58"/>
        <v>46068</v>
      </c>
      <c r="H457" s="1" t="str">
        <f>IF(Raw!D457="","",Raw!D457)</f>
        <v>P-A</v>
      </c>
      <c r="I457" s="1" t="str">
        <f>IFERROR(IF(EXACT(H457,INDEX(Guide!$A$7:$A$9,MATCH(SUBSTITUTE(SUBSTITUTE(SUBSTITUTE(H457,"~","~~"),"*","~*"),"?","~?"),Guide!$A$7:$A$9,0))),INDEX(Guide!$B$7:$B$9,MATCH(SUBSTITUTE(SUBSTITUTE(SUBSTITUTE(H457,"~","~~"),"*","~*"),"?","~?"),Guide!$A$7:$A$9,0)),""),"")</f>
        <v>Accessories</v>
      </c>
      <c r="J457" s="1" t="str">
        <f>IF(TRIM(Raw!E457)="",I457,IF(UPPER(TRIM(Raw!E457))=UPPER(I457),I457,""))</f>
        <v>Accessories</v>
      </c>
      <c r="K457" s="1" t="str">
        <f>IF(Raw!F457="","",Raw!F457)</f>
        <v>sale</v>
      </c>
      <c r="L457" s="1" t="str">
        <f>IF(LEFT(TRIM(Raw!G457),2)="-$","-"&amp;MID(TRIM(Raw!G457),3,99),IF(LEFT(TRIM(Raw!G457),1)="$",MID(TRIM(Raw!G457),2,99),TRIM(Raw!G457)))</f>
        <v>51.49</v>
      </c>
      <c r="M457" s="1">
        <f t="shared" si="59"/>
        <v>51.49</v>
      </c>
      <c r="N457" s="10">
        <f t="shared" si="60"/>
        <v>5149</v>
      </c>
      <c r="O457" s="1" t="b">
        <f>IFERROR(IF(ISNUMBER(Raw!G457),TRUE,OR(EXACT(L457,TEXT(M457,"0.00")),EXACT(L457,TEXT(M457,"#,##0.00")))),FALSE)</f>
        <v>1</v>
      </c>
      <c r="P457" s="1" t="str">
        <f>LEN(IF(Raw!A457="","",Raw!A457))&amp;":"&amp;IF(Raw!A457="","",Raw!A457)&amp;"|"&amp;LEN(IF(Raw!B457="","",Raw!B457))&amp;":"&amp;IF(Raw!B457="","",Raw!B457)&amp;"|"&amp;LEN(IF(Raw!C457="","",Raw!C457))&amp;":"&amp;IF(Raw!C457="","",Raw!C457)&amp;"|"&amp;LEN(IF(Raw!D457="","",Raw!D457))&amp;":"&amp;IF(Raw!D457="","",Raw!D457)&amp;"|"&amp;LEN(IF(Raw!E457="","",Raw!E457))&amp;":"&amp;IF(Raw!E457="","",Raw!E457)&amp;"|"&amp;LEN(IF(Raw!F457="","",Raw!F457))&amp;":"&amp;IF(Raw!F457="","",Raw!F457)&amp;"|"&amp;LEN(IF(Raw!G457="","",Raw!G457))&amp;":"&amp;IF(Raw!G457="","",Raw!G457)</f>
        <v>6:L00451|6:T00226|10:2026-02-15|3:P-A|11:Accessories|4:sale|5:51.49</v>
      </c>
      <c r="Q457" s="1">
        <f>1</f>
        <v>1</v>
      </c>
      <c r="R457" s="1" t="b">
        <f>FALSE</f>
        <v>0</v>
      </c>
      <c r="S457" s="1">
        <f>1</f>
        <v>1</v>
      </c>
      <c r="T457" s="1" t="str">
        <f>IF(AND(Raw!A457="",Raw!B457="",Raw!C457="",Raw!D457="",Raw!E457="",Raw!F457="",Raw!G457=""),"UNUSED",IF(A457="","missing line ID",IF(B457="","missing transaction ID",IF(G457="",IF(C457="","missing date","invalid date"),IF(I457="","unknown product",IF(J457="","conflicting category",IF(NOT(OR(EXACT(K457,"sale"),EXACT(K457,"refund"))),"unknown event",IF(OR(N457="",NOT(O457)),"invalid amount",IF(OR(AND(K457="sale",N457&lt;=0),AND(K457="refund",N457&gt;=0)),"invalid sign","")))))))))</f>
        <v/>
      </c>
      <c r="U457" s="1" t="str">
        <f t="shared" si="61"/>
        <v>INCLUDED</v>
      </c>
      <c r="V457" s="1" t="str">
        <f t="shared" si="62"/>
        <v>2026-02</v>
      </c>
      <c r="W457" s="1">
        <f>IF(AND(U457="INCLUDED",X457&gt;0,EXACT(A457,'AI output'!A457)),1,0)</f>
        <v>1</v>
      </c>
      <c r="X457" s="1">
        <f>457</f>
        <v>457</v>
      </c>
      <c r="Y457" s="1">
        <f>IF(AND(U457="INCLUDED",W457=1),--(NOT(EXACT(A457,'AI output'!A457)))+--(NOT(EXACT(B457,'AI output'!B457)))+--(NOT(EXACT(TEXT(G457,"yyyy-mm-dd"),'AI output'!C457)))+--(NOT(EXACT(H457,'AI output'!D457)))+--(NOT(EXACT(J457,'AI output'!E457)))+--(NOT(EXACT(K457,'AI output'!F457)))+--(N457&lt;&gt;'AI output'!L457)+--(NOT('AI output'!M457)),0)</f>
        <v>0</v>
      </c>
      <c r="Z457" s="1">
        <f t="shared" si="63"/>
        <v>0</v>
      </c>
      <c r="AA457" s="1">
        <f>--EXACT(A457,"L00451")</f>
        <v>1</v>
      </c>
    </row>
    <row r="458" spans="1:27" ht="18.95" customHeight="1">
      <c r="A458" s="1" t="str">
        <f>IF(Raw!A458="","",Raw!A458)</f>
        <v>L00452</v>
      </c>
      <c r="B458" s="1" t="str">
        <f>IF(Raw!B458="","",Raw!B458)</f>
        <v>T00226</v>
      </c>
      <c r="C458" s="1" t="str">
        <f>IF(Raw!C458="","",Raw!C458)</f>
        <v>2026-02-15</v>
      </c>
      <c r="D458" s="1">
        <f t="shared" si="56"/>
        <v>2026</v>
      </c>
      <c r="E458" s="1">
        <f>IFERROR(IF(AND(LEN(C458)=10,MID(C458,5,1)="-",MID(C458,8,1)="-"),VALUE(MID(C458,6,2)),IF(AND(LEN(C458)=11,MID(C458,3,1)="-",MID(C458,7,1)="-"),MATCH(UPPER(MID(C458,4,3)),Guide!$D$7:$D$18,0),0)),0)</f>
        <v>2</v>
      </c>
      <c r="F458" s="1">
        <f t="shared" si="57"/>
        <v>15</v>
      </c>
      <c r="G458" s="9">
        <f t="shared" si="58"/>
        <v>46068</v>
      </c>
      <c r="H458" s="1" t="str">
        <f>IF(Raw!D458="","",Raw!D458)</f>
        <v>P-H</v>
      </c>
      <c r="I458" s="1" t="str">
        <f>IFERROR(IF(EXACT(H458,INDEX(Guide!$A$7:$A$9,MATCH(SUBSTITUTE(SUBSTITUTE(SUBSTITUTE(H458,"~","~~"),"*","~*"),"?","~?"),Guide!$A$7:$A$9,0))),INDEX(Guide!$B$7:$B$9,MATCH(SUBSTITUTE(SUBSTITUTE(SUBSTITUTE(H458,"~","~~"),"*","~*"),"?","~?"),Guide!$A$7:$A$9,0)),""),"")</f>
        <v>Home</v>
      </c>
      <c r="J458" s="1" t="str">
        <f>IF(TRIM(Raw!E458)="",I458,IF(UPPER(TRIM(Raw!E458))=UPPER(I458),I458,""))</f>
        <v>Home</v>
      </c>
      <c r="K458" s="1" t="str">
        <f>IF(Raw!F458="","",Raw!F458)</f>
        <v>sale</v>
      </c>
      <c r="L458" s="1" t="str">
        <f>IF(LEFT(TRIM(Raw!G458),2)="-$","-"&amp;MID(TRIM(Raw!G458),3,99),IF(LEFT(TRIM(Raw!G458),1)="$",MID(TRIM(Raw!G458),2,99),TRIM(Raw!G458)))</f>
        <v>155.58</v>
      </c>
      <c r="M458" s="1">
        <f t="shared" si="59"/>
        <v>155.58000000000001</v>
      </c>
      <c r="N458" s="10">
        <f t="shared" si="60"/>
        <v>15558</v>
      </c>
      <c r="O458" s="1" t="b">
        <f>IFERROR(IF(ISNUMBER(Raw!G458),TRUE,OR(EXACT(L458,TEXT(M458,"0.00")),EXACT(L458,TEXT(M458,"#,##0.00")))),FALSE)</f>
        <v>1</v>
      </c>
      <c r="P458" s="1" t="str">
        <f>LEN(IF(Raw!A458="","",Raw!A458))&amp;":"&amp;IF(Raw!A458="","",Raw!A458)&amp;"|"&amp;LEN(IF(Raw!B458="","",Raw!B458))&amp;":"&amp;IF(Raw!B458="","",Raw!B458)&amp;"|"&amp;LEN(IF(Raw!C458="","",Raw!C458))&amp;":"&amp;IF(Raw!C458="","",Raw!C458)&amp;"|"&amp;LEN(IF(Raw!D458="","",Raw!D458))&amp;":"&amp;IF(Raw!D458="","",Raw!D458)&amp;"|"&amp;LEN(IF(Raw!E458="","",Raw!E458))&amp;":"&amp;IF(Raw!E458="","",Raw!E458)&amp;"|"&amp;LEN(IF(Raw!F458="","",Raw!F458))&amp;":"&amp;IF(Raw!F458="","",Raw!F458)&amp;"|"&amp;LEN(IF(Raw!G458="","",Raw!G458))&amp;":"&amp;IF(Raw!G458="","",Raw!G458)</f>
        <v>6:L00452|6:T00226|10:2026-02-15|3:P-H|4:Home|4:sale|6:155.58</v>
      </c>
      <c r="Q458" s="1">
        <f>1</f>
        <v>1</v>
      </c>
      <c r="R458" s="1" t="b">
        <f>FALSE</f>
        <v>0</v>
      </c>
      <c r="S458" s="1">
        <f>1</f>
        <v>1</v>
      </c>
      <c r="T458" s="1" t="str">
        <f>IF(AND(Raw!A458="",Raw!B458="",Raw!C458="",Raw!D458="",Raw!E458="",Raw!F458="",Raw!G458=""),"UNUSED",IF(A458="","missing line ID",IF(B458="","missing transaction ID",IF(G458="",IF(C458="","missing date","invalid date"),IF(I458="","unknown product",IF(J458="","conflicting category",IF(NOT(OR(EXACT(K458,"sale"),EXACT(K458,"refund"))),"unknown event",IF(OR(N458="",NOT(O458)),"invalid amount",IF(OR(AND(K458="sale",N458&lt;=0),AND(K458="refund",N458&gt;=0)),"invalid sign","")))))))))</f>
        <v/>
      </c>
      <c r="U458" s="1" t="str">
        <f t="shared" si="61"/>
        <v>INCLUDED</v>
      </c>
      <c r="V458" s="1" t="str">
        <f t="shared" si="62"/>
        <v>2026-02</v>
      </c>
      <c r="W458" s="1">
        <f>IF(AND(U458="INCLUDED",X458&gt;0,EXACT(A458,'AI output'!A458)),1,0)</f>
        <v>1</v>
      </c>
      <c r="X458" s="1">
        <f>458</f>
        <v>458</v>
      </c>
      <c r="Y458" s="1">
        <f>IF(AND(U458="INCLUDED",W458=1),--(NOT(EXACT(A458,'AI output'!A458)))+--(NOT(EXACT(B458,'AI output'!B458)))+--(NOT(EXACT(TEXT(G458,"yyyy-mm-dd"),'AI output'!C458)))+--(NOT(EXACT(H458,'AI output'!D458)))+--(NOT(EXACT(J458,'AI output'!E458)))+--(NOT(EXACT(K458,'AI output'!F458)))+--(N458&lt;&gt;'AI output'!L458)+--(NOT('AI output'!M458)),0)</f>
        <v>0</v>
      </c>
      <c r="Z458" s="1">
        <f t="shared" si="63"/>
        <v>0</v>
      </c>
      <c r="AA458" s="1">
        <f>--EXACT(A458,"L00452")</f>
        <v>1</v>
      </c>
    </row>
    <row r="459" spans="1:27" ht="18.95" customHeight="1">
      <c r="A459" s="1" t="str">
        <f>IF(Raw!A459="","",Raw!A459)</f>
        <v>L00453</v>
      </c>
      <c r="B459" s="1" t="str">
        <f>IF(Raw!B459="","",Raw!B459)</f>
        <v>T00227</v>
      </c>
      <c r="C459" s="1" t="str">
        <f>IF(Raw!C459="","",Raw!C459)</f>
        <v>2026-02-22</v>
      </c>
      <c r="D459" s="1">
        <f t="shared" si="56"/>
        <v>2026</v>
      </c>
      <c r="E459" s="1">
        <f>IFERROR(IF(AND(LEN(C459)=10,MID(C459,5,1)="-",MID(C459,8,1)="-"),VALUE(MID(C459,6,2)),IF(AND(LEN(C459)=11,MID(C459,3,1)="-",MID(C459,7,1)="-"),MATCH(UPPER(MID(C459,4,3)),Guide!$D$7:$D$18,0),0)),0)</f>
        <v>2</v>
      </c>
      <c r="F459" s="1">
        <f t="shared" si="57"/>
        <v>22</v>
      </c>
      <c r="G459" s="9">
        <f t="shared" si="58"/>
        <v>46075</v>
      </c>
      <c r="H459" s="1" t="str">
        <f>IF(Raw!D459="","",Raw!D459)</f>
        <v>P-O</v>
      </c>
      <c r="I459" s="1" t="str">
        <f>IFERROR(IF(EXACT(H459,INDEX(Guide!$A$7:$A$9,MATCH(SUBSTITUTE(SUBSTITUTE(SUBSTITUTE(H459,"~","~~"),"*","~*"),"?","~?"),Guide!$A$7:$A$9,0))),INDEX(Guide!$B$7:$B$9,MATCH(SUBSTITUTE(SUBSTITUTE(SUBSTITUTE(H459,"~","~~"),"*","~*"),"?","~?"),Guide!$A$7:$A$9,0)),""),"")</f>
        <v>Office</v>
      </c>
      <c r="J459" s="1" t="str">
        <f>IF(TRIM(Raw!E459)="",I459,IF(UPPER(TRIM(Raw!E459))=UPPER(I459),I459,""))</f>
        <v>Office</v>
      </c>
      <c r="K459" s="1" t="str">
        <f>IF(Raw!F459="","",Raw!F459)</f>
        <v>sale</v>
      </c>
      <c r="L459" s="1" t="str">
        <f>IF(LEFT(TRIM(Raw!G459),2)="-$","-"&amp;MID(TRIM(Raw!G459),3,99),IF(LEFT(TRIM(Raw!G459),1)="$",MID(TRIM(Raw!G459),2,99),TRIM(Raw!G459)))</f>
        <v>261.15</v>
      </c>
      <c r="M459" s="1">
        <f t="shared" si="59"/>
        <v>261.14999999999998</v>
      </c>
      <c r="N459" s="10">
        <f t="shared" si="60"/>
        <v>26115</v>
      </c>
      <c r="O459" s="1" t="b">
        <f>IFERROR(IF(ISNUMBER(Raw!G459),TRUE,OR(EXACT(L459,TEXT(M459,"0.00")),EXACT(L459,TEXT(M459,"#,##0.00")))),FALSE)</f>
        <v>1</v>
      </c>
      <c r="P459" s="1" t="str">
        <f>LEN(IF(Raw!A459="","",Raw!A459))&amp;":"&amp;IF(Raw!A459="","",Raw!A459)&amp;"|"&amp;LEN(IF(Raw!B459="","",Raw!B459))&amp;":"&amp;IF(Raw!B459="","",Raw!B459)&amp;"|"&amp;LEN(IF(Raw!C459="","",Raw!C459))&amp;":"&amp;IF(Raw!C459="","",Raw!C459)&amp;"|"&amp;LEN(IF(Raw!D459="","",Raw!D459))&amp;":"&amp;IF(Raw!D459="","",Raw!D459)&amp;"|"&amp;LEN(IF(Raw!E459="","",Raw!E459))&amp;":"&amp;IF(Raw!E459="","",Raw!E459)&amp;"|"&amp;LEN(IF(Raw!F459="","",Raw!F459))&amp;":"&amp;IF(Raw!F459="","",Raw!F459)&amp;"|"&amp;LEN(IF(Raw!G459="","",Raw!G459))&amp;":"&amp;IF(Raw!G459="","",Raw!G459)</f>
        <v>6:L00453|6:T00227|10:2026-02-22|3:P-O|6:Office|4:sale|6:261.15</v>
      </c>
      <c r="Q459" s="1">
        <f>1</f>
        <v>1</v>
      </c>
      <c r="R459" s="1" t="b">
        <f>FALSE</f>
        <v>0</v>
      </c>
      <c r="S459" s="1">
        <f>1</f>
        <v>1</v>
      </c>
      <c r="T459" s="1" t="str">
        <f>IF(AND(Raw!A459="",Raw!B459="",Raw!C459="",Raw!D459="",Raw!E459="",Raw!F459="",Raw!G459=""),"UNUSED",IF(A459="","missing line ID",IF(B459="","missing transaction ID",IF(G459="",IF(C459="","missing date","invalid date"),IF(I459="","unknown product",IF(J459="","conflicting category",IF(NOT(OR(EXACT(K459,"sale"),EXACT(K459,"refund"))),"unknown event",IF(OR(N459="",NOT(O459)),"invalid amount",IF(OR(AND(K459="sale",N459&lt;=0),AND(K459="refund",N459&gt;=0)),"invalid sign","")))))))))</f>
        <v/>
      </c>
      <c r="U459" s="1" t="str">
        <f t="shared" si="61"/>
        <v>INCLUDED</v>
      </c>
      <c r="V459" s="1" t="str">
        <f t="shared" si="62"/>
        <v>2026-02</v>
      </c>
      <c r="W459" s="1">
        <f>IF(AND(U459="INCLUDED",X459&gt;0,EXACT(A459,'AI output'!A459)),1,0)</f>
        <v>1</v>
      </c>
      <c r="X459" s="1">
        <f>459</f>
        <v>459</v>
      </c>
      <c r="Y459" s="1">
        <f>IF(AND(U459="INCLUDED",W459=1),--(NOT(EXACT(A459,'AI output'!A459)))+--(NOT(EXACT(B459,'AI output'!B459)))+--(NOT(EXACT(TEXT(G459,"yyyy-mm-dd"),'AI output'!C459)))+--(NOT(EXACT(H459,'AI output'!D459)))+--(NOT(EXACT(J459,'AI output'!E459)))+--(NOT(EXACT(K459,'AI output'!F459)))+--(N459&lt;&gt;'AI output'!L459)+--(NOT('AI output'!M459)),0)</f>
        <v>0</v>
      </c>
      <c r="Z459" s="1">
        <f t="shared" si="63"/>
        <v>0</v>
      </c>
      <c r="AA459" s="1">
        <f>--EXACT(A459,"L00453")</f>
        <v>1</v>
      </c>
    </row>
    <row r="460" spans="1:27" ht="18.95" customHeight="1">
      <c r="A460" s="1" t="str">
        <f>IF(Raw!A460="","",Raw!A460)</f>
        <v>L00454</v>
      </c>
      <c r="B460" s="1" t="str">
        <f>IF(Raw!B460="","",Raw!B460)</f>
        <v>T00227</v>
      </c>
      <c r="C460" s="1" t="str">
        <f>IF(Raw!C460="","",Raw!C460)</f>
        <v>2026-02-22</v>
      </c>
      <c r="D460" s="1">
        <f t="shared" si="56"/>
        <v>2026</v>
      </c>
      <c r="E460" s="1">
        <f>IFERROR(IF(AND(LEN(C460)=10,MID(C460,5,1)="-",MID(C460,8,1)="-"),VALUE(MID(C460,6,2)),IF(AND(LEN(C460)=11,MID(C460,3,1)="-",MID(C460,7,1)="-"),MATCH(UPPER(MID(C460,4,3)),Guide!$D$7:$D$18,0),0)),0)</f>
        <v>2</v>
      </c>
      <c r="F460" s="1">
        <f t="shared" si="57"/>
        <v>22</v>
      </c>
      <c r="G460" s="9">
        <f t="shared" si="58"/>
        <v>46075</v>
      </c>
      <c r="H460" s="1" t="str">
        <f>IF(Raw!D460="","",Raw!D460)</f>
        <v>P-A</v>
      </c>
      <c r="I460" s="1" t="str">
        <f>IFERROR(IF(EXACT(H460,INDEX(Guide!$A$7:$A$9,MATCH(SUBSTITUTE(SUBSTITUTE(SUBSTITUTE(H460,"~","~~"),"*","~*"),"?","~?"),Guide!$A$7:$A$9,0))),INDEX(Guide!$B$7:$B$9,MATCH(SUBSTITUTE(SUBSTITUTE(SUBSTITUTE(H460,"~","~~"),"*","~*"),"?","~?"),Guide!$A$7:$A$9,0)),""),"")</f>
        <v>Accessories</v>
      </c>
      <c r="J460" s="1" t="str">
        <f>IF(TRIM(Raw!E460)="",I460,IF(UPPER(TRIM(Raw!E460))=UPPER(I460),I460,""))</f>
        <v>Accessories</v>
      </c>
      <c r="K460" s="1" t="str">
        <f>IF(Raw!F460="","",Raw!F460)</f>
        <v>sale</v>
      </c>
      <c r="L460" s="1" t="str">
        <f>IF(LEFT(TRIM(Raw!G460),2)="-$","-"&amp;MID(TRIM(Raw!G460),3,99),IF(LEFT(TRIM(Raw!G460),1)="$",MID(TRIM(Raw!G460),2,99),TRIM(Raw!G460)))</f>
        <v>105.20</v>
      </c>
      <c r="M460" s="1">
        <f t="shared" si="59"/>
        <v>105.2</v>
      </c>
      <c r="N460" s="10">
        <f t="shared" si="60"/>
        <v>10520</v>
      </c>
      <c r="O460" s="1" t="b">
        <f>IFERROR(IF(ISNUMBER(Raw!G460),TRUE,OR(EXACT(L460,TEXT(M460,"0.00")),EXACT(L460,TEXT(M460,"#,##0.00")))),FALSE)</f>
        <v>1</v>
      </c>
      <c r="P460" s="1" t="str">
        <f>LEN(IF(Raw!A460="","",Raw!A460))&amp;":"&amp;IF(Raw!A460="","",Raw!A460)&amp;"|"&amp;LEN(IF(Raw!B460="","",Raw!B460))&amp;":"&amp;IF(Raw!B460="","",Raw!B460)&amp;"|"&amp;LEN(IF(Raw!C460="","",Raw!C460))&amp;":"&amp;IF(Raw!C460="","",Raw!C460)&amp;"|"&amp;LEN(IF(Raw!D460="","",Raw!D460))&amp;":"&amp;IF(Raw!D460="","",Raw!D460)&amp;"|"&amp;LEN(IF(Raw!E460="","",Raw!E460))&amp;":"&amp;IF(Raw!E460="","",Raw!E460)&amp;"|"&amp;LEN(IF(Raw!F460="","",Raw!F460))&amp;":"&amp;IF(Raw!F460="","",Raw!F460)&amp;"|"&amp;LEN(IF(Raw!G460="","",Raw!G460))&amp;":"&amp;IF(Raw!G460="","",Raw!G460)</f>
        <v>6:L00454|6:T00227|10:2026-02-22|3:P-A|11:Accessories|4:sale|6:105.20</v>
      </c>
      <c r="Q460" s="1">
        <f>1</f>
        <v>1</v>
      </c>
      <c r="R460" s="1" t="b">
        <f>FALSE</f>
        <v>0</v>
      </c>
      <c r="S460" s="1">
        <f>1</f>
        <v>1</v>
      </c>
      <c r="T460" s="1" t="str">
        <f>IF(AND(Raw!A460="",Raw!B460="",Raw!C460="",Raw!D460="",Raw!E460="",Raw!F460="",Raw!G460=""),"UNUSED",IF(A460="","missing line ID",IF(B460="","missing transaction ID",IF(G460="",IF(C460="","missing date","invalid date"),IF(I460="","unknown product",IF(J460="","conflicting category",IF(NOT(OR(EXACT(K460,"sale"),EXACT(K460,"refund"))),"unknown event",IF(OR(N460="",NOT(O460)),"invalid amount",IF(OR(AND(K460="sale",N460&lt;=0),AND(K460="refund",N460&gt;=0)),"invalid sign","")))))))))</f>
        <v/>
      </c>
      <c r="U460" s="1" t="str">
        <f t="shared" si="61"/>
        <v>INCLUDED</v>
      </c>
      <c r="V460" s="1" t="str">
        <f t="shared" si="62"/>
        <v>2026-02</v>
      </c>
      <c r="W460" s="1">
        <f>IF(AND(U460="INCLUDED",X460&gt;0,EXACT(A460,'AI output'!A460)),1,0)</f>
        <v>1</v>
      </c>
      <c r="X460" s="1">
        <f>460</f>
        <v>460</v>
      </c>
      <c r="Y460" s="1">
        <f>IF(AND(U460="INCLUDED",W460=1),--(NOT(EXACT(A460,'AI output'!A460)))+--(NOT(EXACT(B460,'AI output'!B460)))+--(NOT(EXACT(TEXT(G460,"yyyy-mm-dd"),'AI output'!C460)))+--(NOT(EXACT(H460,'AI output'!D460)))+--(NOT(EXACT(J460,'AI output'!E460)))+--(NOT(EXACT(K460,'AI output'!F460)))+--(N460&lt;&gt;'AI output'!L460)+--(NOT('AI output'!M460)),0)</f>
        <v>0</v>
      </c>
      <c r="Z460" s="1">
        <f t="shared" si="63"/>
        <v>0</v>
      </c>
      <c r="AA460" s="1">
        <f>--EXACT(A460,"L00454")</f>
        <v>1</v>
      </c>
    </row>
    <row r="461" spans="1:27" ht="18.95" customHeight="1">
      <c r="A461" s="1" t="str">
        <f>IF(Raw!A461="","",Raw!A461)</f>
        <v>L00455</v>
      </c>
      <c r="B461" s="1" t="str">
        <f>IF(Raw!B461="","",Raw!B461)</f>
        <v>T00228</v>
      </c>
      <c r="C461" s="1" t="str">
        <f>IF(Raw!C461="","",Raw!C461)</f>
        <v>2026-03-01</v>
      </c>
      <c r="D461" s="1">
        <f t="shared" si="56"/>
        <v>2026</v>
      </c>
      <c r="E461" s="1">
        <f>IFERROR(IF(AND(LEN(C461)=10,MID(C461,5,1)="-",MID(C461,8,1)="-"),VALUE(MID(C461,6,2)),IF(AND(LEN(C461)=11,MID(C461,3,1)="-",MID(C461,7,1)="-"),MATCH(UPPER(MID(C461,4,3)),Guide!$D$7:$D$18,0),0)),0)</f>
        <v>3</v>
      </c>
      <c r="F461" s="1">
        <f t="shared" si="57"/>
        <v>1</v>
      </c>
      <c r="G461" s="9">
        <f t="shared" si="58"/>
        <v>46082</v>
      </c>
      <c r="H461" s="1" t="str">
        <f>IF(Raw!D461="","",Raw!D461)</f>
        <v>P-H</v>
      </c>
      <c r="I461" s="1" t="str">
        <f>IFERROR(IF(EXACT(H461,INDEX(Guide!$A$7:$A$9,MATCH(SUBSTITUTE(SUBSTITUTE(SUBSTITUTE(H461,"~","~~"),"*","~*"),"?","~?"),Guide!$A$7:$A$9,0))),INDEX(Guide!$B$7:$B$9,MATCH(SUBSTITUTE(SUBSTITUTE(SUBSTITUTE(H461,"~","~~"),"*","~*"),"?","~?"),Guide!$A$7:$A$9,0)),""),"")</f>
        <v>Home</v>
      </c>
      <c r="J461" s="1" t="str">
        <f>IF(TRIM(Raw!E461)="",I461,IF(UPPER(TRIM(Raw!E461))=UPPER(I461),I461,""))</f>
        <v>Home</v>
      </c>
      <c r="K461" s="1" t="str">
        <f>IF(Raw!F461="","",Raw!F461)</f>
        <v>sale</v>
      </c>
      <c r="L461" s="1" t="str">
        <f>IF(LEFT(TRIM(Raw!G461),2)="-$","-"&amp;MID(TRIM(Raw!G461),3,99),IF(LEFT(TRIM(Raw!G461),1)="$",MID(TRIM(Raw!G461),2,99),TRIM(Raw!G461)))</f>
        <v>211.88</v>
      </c>
      <c r="M461" s="1">
        <f t="shared" si="59"/>
        <v>211.88</v>
      </c>
      <c r="N461" s="10">
        <f t="shared" si="60"/>
        <v>21188</v>
      </c>
      <c r="O461" s="1" t="b">
        <f>IFERROR(IF(ISNUMBER(Raw!G461),TRUE,OR(EXACT(L461,TEXT(M461,"0.00")),EXACT(L461,TEXT(M461,"#,##0.00")))),FALSE)</f>
        <v>1</v>
      </c>
      <c r="P461" s="1" t="str">
        <f>LEN(IF(Raw!A461="","",Raw!A461))&amp;":"&amp;IF(Raw!A461="","",Raw!A461)&amp;"|"&amp;LEN(IF(Raw!B461="","",Raw!B461))&amp;":"&amp;IF(Raw!B461="","",Raw!B461)&amp;"|"&amp;LEN(IF(Raw!C461="","",Raw!C461))&amp;":"&amp;IF(Raw!C461="","",Raw!C461)&amp;"|"&amp;LEN(IF(Raw!D461="","",Raw!D461))&amp;":"&amp;IF(Raw!D461="","",Raw!D461)&amp;"|"&amp;LEN(IF(Raw!E461="","",Raw!E461))&amp;":"&amp;IF(Raw!E461="","",Raw!E461)&amp;"|"&amp;LEN(IF(Raw!F461="","",Raw!F461))&amp;":"&amp;IF(Raw!F461="","",Raw!F461)&amp;"|"&amp;LEN(IF(Raw!G461="","",Raw!G461))&amp;":"&amp;IF(Raw!G461="","",Raw!G461)</f>
        <v>6:L00455|6:T00228|10:2026-03-01|3:P-H|4:Home|4:sale|6:211.88</v>
      </c>
      <c r="Q461" s="1">
        <f>1</f>
        <v>1</v>
      </c>
      <c r="R461" s="1" t="b">
        <f>FALSE</f>
        <v>0</v>
      </c>
      <c r="S461" s="1">
        <f>1</f>
        <v>1</v>
      </c>
      <c r="T461" s="1" t="str">
        <f>IF(AND(Raw!A461="",Raw!B461="",Raw!C461="",Raw!D461="",Raw!E461="",Raw!F461="",Raw!G461=""),"UNUSED",IF(A461="","missing line ID",IF(B461="","missing transaction ID",IF(G461="",IF(C461="","missing date","invalid date"),IF(I461="","unknown product",IF(J461="","conflicting category",IF(NOT(OR(EXACT(K461,"sale"),EXACT(K461,"refund"))),"unknown event",IF(OR(N461="",NOT(O461)),"invalid amount",IF(OR(AND(K461="sale",N461&lt;=0),AND(K461="refund",N461&gt;=0)),"invalid sign","")))))))))</f>
        <v/>
      </c>
      <c r="U461" s="1" t="str">
        <f t="shared" si="61"/>
        <v>INCLUDED</v>
      </c>
      <c r="V461" s="1" t="str">
        <f t="shared" si="62"/>
        <v>2026-03</v>
      </c>
      <c r="W461" s="1">
        <f>IF(AND(U461="INCLUDED",X461&gt;0,EXACT(A461,'AI output'!A461)),1,0)</f>
        <v>1</v>
      </c>
      <c r="X461" s="1">
        <f>461</f>
        <v>461</v>
      </c>
      <c r="Y461" s="1">
        <f>IF(AND(U461="INCLUDED",W461=1),--(NOT(EXACT(A461,'AI output'!A461)))+--(NOT(EXACT(B461,'AI output'!B461)))+--(NOT(EXACT(TEXT(G461,"yyyy-mm-dd"),'AI output'!C461)))+--(NOT(EXACT(H461,'AI output'!D461)))+--(NOT(EXACT(J461,'AI output'!E461)))+--(NOT(EXACT(K461,'AI output'!F461)))+--(N461&lt;&gt;'AI output'!L461)+--(NOT('AI output'!M461)),0)</f>
        <v>0</v>
      </c>
      <c r="Z461" s="1">
        <f t="shared" si="63"/>
        <v>0</v>
      </c>
      <c r="AA461" s="1">
        <f>--EXACT(A461,"L00455")</f>
        <v>1</v>
      </c>
    </row>
    <row r="462" spans="1:27" ht="18.95" customHeight="1">
      <c r="A462" s="1" t="str">
        <f>IF(Raw!A462="","",Raw!A462)</f>
        <v>L00456</v>
      </c>
      <c r="B462" s="1" t="str">
        <f>IF(Raw!B462="","",Raw!B462)</f>
        <v>T00228</v>
      </c>
      <c r="C462" s="1" t="str">
        <f>IF(Raw!C462="","",Raw!C462)</f>
        <v>2026-03-01</v>
      </c>
      <c r="D462" s="1">
        <f t="shared" si="56"/>
        <v>2026</v>
      </c>
      <c r="E462" s="1">
        <f>IFERROR(IF(AND(LEN(C462)=10,MID(C462,5,1)="-",MID(C462,8,1)="-"),VALUE(MID(C462,6,2)),IF(AND(LEN(C462)=11,MID(C462,3,1)="-",MID(C462,7,1)="-"),MATCH(UPPER(MID(C462,4,3)),Guide!$D$7:$D$18,0),0)),0)</f>
        <v>3</v>
      </c>
      <c r="F462" s="1">
        <f t="shared" si="57"/>
        <v>1</v>
      </c>
      <c r="G462" s="9">
        <f t="shared" si="58"/>
        <v>46082</v>
      </c>
      <c r="H462" s="1" t="str">
        <f>IF(Raw!D462="","",Raw!D462)</f>
        <v>P-O</v>
      </c>
      <c r="I462" s="1" t="str">
        <f>IFERROR(IF(EXACT(H462,INDEX(Guide!$A$7:$A$9,MATCH(SUBSTITUTE(SUBSTITUTE(SUBSTITUTE(H462,"~","~~"),"*","~*"),"?","~?"),Guide!$A$7:$A$9,0))),INDEX(Guide!$B$7:$B$9,MATCH(SUBSTITUTE(SUBSTITUTE(SUBSTITUTE(H462,"~","~~"),"*","~*"),"?","~?"),Guide!$A$7:$A$9,0)),""),"")</f>
        <v>Office</v>
      </c>
      <c r="J462" s="1" t="str">
        <f>IF(TRIM(Raw!E462)="",I462,IF(UPPER(TRIM(Raw!E462))=UPPER(I462),I462,""))</f>
        <v>Office</v>
      </c>
      <c r="K462" s="1" t="str">
        <f>IF(Raw!F462="","",Raw!F462)</f>
        <v>sale</v>
      </c>
      <c r="L462" s="1" t="str">
        <f>IF(LEFT(TRIM(Raw!G462),2)="-$","-"&amp;MID(TRIM(Raw!G462),3,99),IF(LEFT(TRIM(Raw!G462),1)="$",MID(TRIM(Raw!G462),2,99),TRIM(Raw!G462)))</f>
        <v>53.34</v>
      </c>
      <c r="M462" s="1">
        <f t="shared" si="59"/>
        <v>53.34</v>
      </c>
      <c r="N462" s="10">
        <f t="shared" si="60"/>
        <v>5334</v>
      </c>
      <c r="O462" s="1" t="b">
        <f>IFERROR(IF(ISNUMBER(Raw!G462),TRUE,OR(EXACT(L462,TEXT(M462,"0.00")),EXACT(L462,TEXT(M462,"#,##0.00")))),FALSE)</f>
        <v>1</v>
      </c>
      <c r="P462" s="1" t="str">
        <f>LEN(IF(Raw!A462="","",Raw!A462))&amp;":"&amp;IF(Raw!A462="","",Raw!A462)&amp;"|"&amp;LEN(IF(Raw!B462="","",Raw!B462))&amp;":"&amp;IF(Raw!B462="","",Raw!B462)&amp;"|"&amp;LEN(IF(Raw!C462="","",Raw!C462))&amp;":"&amp;IF(Raw!C462="","",Raw!C462)&amp;"|"&amp;LEN(IF(Raw!D462="","",Raw!D462))&amp;":"&amp;IF(Raw!D462="","",Raw!D462)&amp;"|"&amp;LEN(IF(Raw!E462="","",Raw!E462))&amp;":"&amp;IF(Raw!E462="","",Raw!E462)&amp;"|"&amp;LEN(IF(Raw!F462="","",Raw!F462))&amp;":"&amp;IF(Raw!F462="","",Raw!F462)&amp;"|"&amp;LEN(IF(Raw!G462="","",Raw!G462))&amp;":"&amp;IF(Raw!G462="","",Raw!G462)</f>
        <v>6:L00456|6:T00228|10:2026-03-01|3:P-O|6:Office|4:sale|5:53.34</v>
      </c>
      <c r="Q462" s="1">
        <f>1</f>
        <v>1</v>
      </c>
      <c r="R462" s="1" t="b">
        <f>FALSE</f>
        <v>0</v>
      </c>
      <c r="S462" s="1">
        <f>1</f>
        <v>1</v>
      </c>
      <c r="T462" s="1" t="str">
        <f>IF(AND(Raw!A462="",Raw!B462="",Raw!C462="",Raw!D462="",Raw!E462="",Raw!F462="",Raw!G462=""),"UNUSED",IF(A462="","missing line ID",IF(B462="","missing transaction ID",IF(G462="",IF(C462="","missing date","invalid date"),IF(I462="","unknown product",IF(J462="","conflicting category",IF(NOT(OR(EXACT(K462,"sale"),EXACT(K462,"refund"))),"unknown event",IF(OR(N462="",NOT(O462)),"invalid amount",IF(OR(AND(K462="sale",N462&lt;=0),AND(K462="refund",N462&gt;=0)),"invalid sign","")))))))))</f>
        <v/>
      </c>
      <c r="U462" s="1" t="str">
        <f t="shared" si="61"/>
        <v>INCLUDED</v>
      </c>
      <c r="V462" s="1" t="str">
        <f t="shared" si="62"/>
        <v>2026-03</v>
      </c>
      <c r="W462" s="1">
        <f>IF(AND(U462="INCLUDED",X462&gt;0,EXACT(A462,'AI output'!A462)),1,0)</f>
        <v>1</v>
      </c>
      <c r="X462" s="1">
        <f>462</f>
        <v>462</v>
      </c>
      <c r="Y462" s="1">
        <f>IF(AND(U462="INCLUDED",W462=1),--(NOT(EXACT(A462,'AI output'!A462)))+--(NOT(EXACT(B462,'AI output'!B462)))+--(NOT(EXACT(TEXT(G462,"yyyy-mm-dd"),'AI output'!C462)))+--(NOT(EXACT(H462,'AI output'!D462)))+--(NOT(EXACT(J462,'AI output'!E462)))+--(NOT(EXACT(K462,'AI output'!F462)))+--(N462&lt;&gt;'AI output'!L462)+--(NOT('AI output'!M462)),0)</f>
        <v>0</v>
      </c>
      <c r="Z462" s="1">
        <f t="shared" si="63"/>
        <v>0</v>
      </c>
      <c r="AA462" s="1">
        <f>--EXACT(A462,"L00456")</f>
        <v>1</v>
      </c>
    </row>
    <row r="463" spans="1:27" ht="18.95" customHeight="1">
      <c r="A463" s="1" t="str">
        <f>IF(Raw!A463="","",Raw!A463)</f>
        <v>L00457</v>
      </c>
      <c r="B463" s="1" t="str">
        <f>IF(Raw!B463="","",Raw!B463)</f>
        <v>T00229</v>
      </c>
      <c r="C463" s="1" t="str">
        <f>IF(Raw!C463="","",Raw!C463)</f>
        <v>2026-03-08</v>
      </c>
      <c r="D463" s="1">
        <f t="shared" si="56"/>
        <v>2026</v>
      </c>
      <c r="E463" s="1">
        <f>IFERROR(IF(AND(LEN(C463)=10,MID(C463,5,1)="-",MID(C463,8,1)="-"),VALUE(MID(C463,6,2)),IF(AND(LEN(C463)=11,MID(C463,3,1)="-",MID(C463,7,1)="-"),MATCH(UPPER(MID(C463,4,3)),Guide!$D$7:$D$18,0),0)),0)</f>
        <v>3</v>
      </c>
      <c r="F463" s="1">
        <f t="shared" si="57"/>
        <v>8</v>
      </c>
      <c r="G463" s="9">
        <f t="shared" si="58"/>
        <v>46089</v>
      </c>
      <c r="H463" s="1" t="str">
        <f>IF(Raw!D463="","",Raw!D463)</f>
        <v>P-A</v>
      </c>
      <c r="I463" s="1" t="str">
        <f>IFERROR(IF(EXACT(H463,INDEX(Guide!$A$7:$A$9,MATCH(SUBSTITUTE(SUBSTITUTE(SUBSTITUTE(H463,"~","~~"),"*","~*"),"?","~?"),Guide!$A$7:$A$9,0))),INDEX(Guide!$B$7:$B$9,MATCH(SUBSTITUTE(SUBSTITUTE(SUBSTITUTE(H463,"~","~~"),"*","~*"),"?","~?"),Guide!$A$7:$A$9,0)),""),"")</f>
        <v>Accessories</v>
      </c>
      <c r="J463" s="1" t="str">
        <f>IF(TRIM(Raw!E463)="",I463,IF(UPPER(TRIM(Raw!E463))=UPPER(I463),I463,""))</f>
        <v>Accessories</v>
      </c>
      <c r="K463" s="1" t="str">
        <f>IF(Raw!F463="","",Raw!F463)</f>
        <v>sale</v>
      </c>
      <c r="L463" s="1" t="str">
        <f>IF(LEFT(TRIM(Raw!G463),2)="-$","-"&amp;MID(TRIM(Raw!G463),3,99),IF(LEFT(TRIM(Raw!G463),1)="$",MID(TRIM(Raw!G463),2,99),TRIM(Raw!G463)))</f>
        <v>161.13</v>
      </c>
      <c r="M463" s="1">
        <f t="shared" si="59"/>
        <v>161.13</v>
      </c>
      <c r="N463" s="10">
        <f t="shared" si="60"/>
        <v>16113</v>
      </c>
      <c r="O463" s="1" t="b">
        <f>IFERROR(IF(ISNUMBER(Raw!G463),TRUE,OR(EXACT(L463,TEXT(M463,"0.00")),EXACT(L463,TEXT(M463,"#,##0.00")))),FALSE)</f>
        <v>1</v>
      </c>
      <c r="P463" s="1" t="str">
        <f>LEN(IF(Raw!A463="","",Raw!A463))&amp;":"&amp;IF(Raw!A463="","",Raw!A463)&amp;"|"&amp;LEN(IF(Raw!B463="","",Raw!B463))&amp;":"&amp;IF(Raw!B463="","",Raw!B463)&amp;"|"&amp;LEN(IF(Raw!C463="","",Raw!C463))&amp;":"&amp;IF(Raw!C463="","",Raw!C463)&amp;"|"&amp;LEN(IF(Raw!D463="","",Raw!D463))&amp;":"&amp;IF(Raw!D463="","",Raw!D463)&amp;"|"&amp;LEN(IF(Raw!E463="","",Raw!E463))&amp;":"&amp;IF(Raw!E463="","",Raw!E463)&amp;"|"&amp;LEN(IF(Raw!F463="","",Raw!F463))&amp;":"&amp;IF(Raw!F463="","",Raw!F463)&amp;"|"&amp;LEN(IF(Raw!G463="","",Raw!G463))&amp;":"&amp;IF(Raw!G463="","",Raw!G463)</f>
        <v>6:L00457|6:T00229|10:2026-03-08|3:P-A|11:Accessories|4:sale|6:161.13</v>
      </c>
      <c r="Q463" s="1">
        <f>1</f>
        <v>1</v>
      </c>
      <c r="R463" s="1" t="b">
        <f>FALSE</f>
        <v>0</v>
      </c>
      <c r="S463" s="1">
        <f>1</f>
        <v>1</v>
      </c>
      <c r="T463" s="1" t="str">
        <f>IF(AND(Raw!A463="",Raw!B463="",Raw!C463="",Raw!D463="",Raw!E463="",Raw!F463="",Raw!G463=""),"UNUSED",IF(A463="","missing line ID",IF(B463="","missing transaction ID",IF(G463="",IF(C463="","missing date","invalid date"),IF(I463="","unknown product",IF(J463="","conflicting category",IF(NOT(OR(EXACT(K463,"sale"),EXACT(K463,"refund"))),"unknown event",IF(OR(N463="",NOT(O463)),"invalid amount",IF(OR(AND(K463="sale",N463&lt;=0),AND(K463="refund",N463&gt;=0)),"invalid sign","")))))))))</f>
        <v/>
      </c>
      <c r="U463" s="1" t="str">
        <f t="shared" si="61"/>
        <v>INCLUDED</v>
      </c>
      <c r="V463" s="1" t="str">
        <f t="shared" si="62"/>
        <v>2026-03</v>
      </c>
      <c r="W463" s="1">
        <f>IF(AND(U463="INCLUDED",X463&gt;0,EXACT(A463,'AI output'!A463)),1,0)</f>
        <v>1</v>
      </c>
      <c r="X463" s="1">
        <f>463</f>
        <v>463</v>
      </c>
      <c r="Y463" s="1">
        <f>IF(AND(U463="INCLUDED",W463=1),--(NOT(EXACT(A463,'AI output'!A463)))+--(NOT(EXACT(B463,'AI output'!B463)))+--(NOT(EXACT(TEXT(G463,"yyyy-mm-dd"),'AI output'!C463)))+--(NOT(EXACT(H463,'AI output'!D463)))+--(NOT(EXACT(J463,'AI output'!E463)))+--(NOT(EXACT(K463,'AI output'!F463)))+--(N463&lt;&gt;'AI output'!L463)+--(NOT('AI output'!M463)),0)</f>
        <v>0</v>
      </c>
      <c r="Z463" s="1">
        <f t="shared" si="63"/>
        <v>0</v>
      </c>
      <c r="AA463" s="1">
        <f>--EXACT(A463,"L00457")</f>
        <v>1</v>
      </c>
    </row>
    <row r="464" spans="1:27" ht="18.95" customHeight="1">
      <c r="A464" s="1" t="str">
        <f>IF(Raw!A464="","",Raw!A464)</f>
        <v>L00458</v>
      </c>
      <c r="B464" s="1" t="str">
        <f>IF(Raw!B464="","",Raw!B464)</f>
        <v>T00229</v>
      </c>
      <c r="C464" s="1" t="str">
        <f>IF(Raw!C464="","",Raw!C464)</f>
        <v>2026-03-08</v>
      </c>
      <c r="D464" s="1">
        <f t="shared" si="56"/>
        <v>2026</v>
      </c>
      <c r="E464" s="1">
        <f>IFERROR(IF(AND(LEN(C464)=10,MID(C464,5,1)="-",MID(C464,8,1)="-"),VALUE(MID(C464,6,2)),IF(AND(LEN(C464)=11,MID(C464,3,1)="-",MID(C464,7,1)="-"),MATCH(UPPER(MID(C464,4,3)),Guide!$D$7:$D$18,0),0)),0)</f>
        <v>3</v>
      </c>
      <c r="F464" s="1">
        <f t="shared" si="57"/>
        <v>8</v>
      </c>
      <c r="G464" s="9">
        <f t="shared" si="58"/>
        <v>46089</v>
      </c>
      <c r="H464" s="1" t="str">
        <f>IF(Raw!D464="","",Raw!D464)</f>
        <v>P-H</v>
      </c>
      <c r="I464" s="1" t="str">
        <f>IFERROR(IF(EXACT(H464,INDEX(Guide!$A$7:$A$9,MATCH(SUBSTITUTE(SUBSTITUTE(SUBSTITUTE(H464,"~","~~"),"*","~*"),"?","~?"),Guide!$A$7:$A$9,0))),INDEX(Guide!$B$7:$B$9,MATCH(SUBSTITUTE(SUBSTITUTE(SUBSTITUTE(H464,"~","~~"),"*","~*"),"?","~?"),Guide!$A$7:$A$9,0)),""),"")</f>
        <v>Home</v>
      </c>
      <c r="J464" s="1" t="str">
        <f>IF(TRIM(Raw!E464)="",I464,IF(UPPER(TRIM(Raw!E464))=UPPER(I464),I464,""))</f>
        <v>Home</v>
      </c>
      <c r="K464" s="1" t="str">
        <f>IF(Raw!F464="","",Raw!F464)</f>
        <v>sale</v>
      </c>
      <c r="L464" s="1" t="str">
        <f>IF(LEFT(TRIM(Raw!G464),2)="-$","-"&amp;MID(TRIM(Raw!G464),3,99),IF(LEFT(TRIM(Raw!G464),1)="$",MID(TRIM(Raw!G464),2,99),TRIM(Raw!G464)))</f>
        <v>270.40</v>
      </c>
      <c r="M464" s="1">
        <f t="shared" si="59"/>
        <v>270.39999999999998</v>
      </c>
      <c r="N464" s="10">
        <f t="shared" si="60"/>
        <v>27040</v>
      </c>
      <c r="O464" s="1" t="b">
        <f>IFERROR(IF(ISNUMBER(Raw!G464),TRUE,OR(EXACT(L464,TEXT(M464,"0.00")),EXACT(L464,TEXT(M464,"#,##0.00")))),FALSE)</f>
        <v>1</v>
      </c>
      <c r="P464" s="1" t="str">
        <f>LEN(IF(Raw!A464="","",Raw!A464))&amp;":"&amp;IF(Raw!A464="","",Raw!A464)&amp;"|"&amp;LEN(IF(Raw!B464="","",Raw!B464))&amp;":"&amp;IF(Raw!B464="","",Raw!B464)&amp;"|"&amp;LEN(IF(Raw!C464="","",Raw!C464))&amp;":"&amp;IF(Raw!C464="","",Raw!C464)&amp;"|"&amp;LEN(IF(Raw!D464="","",Raw!D464))&amp;":"&amp;IF(Raw!D464="","",Raw!D464)&amp;"|"&amp;LEN(IF(Raw!E464="","",Raw!E464))&amp;":"&amp;IF(Raw!E464="","",Raw!E464)&amp;"|"&amp;LEN(IF(Raw!F464="","",Raw!F464))&amp;":"&amp;IF(Raw!F464="","",Raw!F464)&amp;"|"&amp;LEN(IF(Raw!G464="","",Raw!G464))&amp;":"&amp;IF(Raw!G464="","",Raw!G464)</f>
        <v>6:L00458|6:T00229|10:2026-03-08|3:P-H|4:Home|4:sale|6:270.40</v>
      </c>
      <c r="Q464" s="1">
        <f>1</f>
        <v>1</v>
      </c>
      <c r="R464" s="1" t="b">
        <f>FALSE</f>
        <v>0</v>
      </c>
      <c r="S464" s="1">
        <f>1</f>
        <v>1</v>
      </c>
      <c r="T464" s="1" t="str">
        <f>IF(AND(Raw!A464="",Raw!B464="",Raw!C464="",Raw!D464="",Raw!E464="",Raw!F464="",Raw!G464=""),"UNUSED",IF(A464="","missing line ID",IF(B464="","missing transaction ID",IF(G464="",IF(C464="","missing date","invalid date"),IF(I464="","unknown product",IF(J464="","conflicting category",IF(NOT(OR(EXACT(K464,"sale"),EXACT(K464,"refund"))),"unknown event",IF(OR(N464="",NOT(O464)),"invalid amount",IF(OR(AND(K464="sale",N464&lt;=0),AND(K464="refund",N464&gt;=0)),"invalid sign","")))))))))</f>
        <v/>
      </c>
      <c r="U464" s="1" t="str">
        <f t="shared" si="61"/>
        <v>INCLUDED</v>
      </c>
      <c r="V464" s="1" t="str">
        <f t="shared" si="62"/>
        <v>2026-03</v>
      </c>
      <c r="W464" s="1">
        <f>IF(AND(U464="INCLUDED",X464&gt;0,EXACT(A464,'AI output'!A464)),1,0)</f>
        <v>1</v>
      </c>
      <c r="X464" s="1">
        <f>464</f>
        <v>464</v>
      </c>
      <c r="Y464" s="1">
        <f>IF(AND(U464="INCLUDED",W464=1),--(NOT(EXACT(A464,'AI output'!A464)))+--(NOT(EXACT(B464,'AI output'!B464)))+--(NOT(EXACT(TEXT(G464,"yyyy-mm-dd"),'AI output'!C464)))+--(NOT(EXACT(H464,'AI output'!D464)))+--(NOT(EXACT(J464,'AI output'!E464)))+--(NOT(EXACT(K464,'AI output'!F464)))+--(N464&lt;&gt;'AI output'!L464)+--(NOT('AI output'!M464)),0)</f>
        <v>0</v>
      </c>
      <c r="Z464" s="1">
        <f t="shared" si="63"/>
        <v>0</v>
      </c>
      <c r="AA464" s="1">
        <f>--EXACT(A464,"L00458")</f>
        <v>1</v>
      </c>
    </row>
    <row r="465" spans="1:27" ht="18.95" customHeight="1">
      <c r="A465" s="1" t="str">
        <f>IF(Raw!A465="","",Raw!A465)</f>
        <v>L00459</v>
      </c>
      <c r="B465" s="1" t="str">
        <f>IF(Raw!B465="","",Raw!B465)</f>
        <v>T00230</v>
      </c>
      <c r="C465" s="1" t="str">
        <f>IF(Raw!C465="","",Raw!C465)</f>
        <v>2026-03-15</v>
      </c>
      <c r="D465" s="1">
        <f t="shared" si="56"/>
        <v>2026</v>
      </c>
      <c r="E465" s="1">
        <f>IFERROR(IF(AND(LEN(C465)=10,MID(C465,5,1)="-",MID(C465,8,1)="-"),VALUE(MID(C465,6,2)),IF(AND(LEN(C465)=11,MID(C465,3,1)="-",MID(C465,7,1)="-"),MATCH(UPPER(MID(C465,4,3)),Guide!$D$7:$D$18,0),0)),0)</f>
        <v>3</v>
      </c>
      <c r="F465" s="1">
        <f t="shared" si="57"/>
        <v>15</v>
      </c>
      <c r="G465" s="9">
        <f t="shared" si="58"/>
        <v>46096</v>
      </c>
      <c r="H465" s="1" t="str">
        <f>IF(Raw!D465="","",Raw!D465)</f>
        <v>P-O</v>
      </c>
      <c r="I465" s="1" t="str">
        <f>IFERROR(IF(EXACT(H465,INDEX(Guide!$A$7:$A$9,MATCH(SUBSTITUTE(SUBSTITUTE(SUBSTITUTE(H465,"~","~~"),"*","~*"),"?","~?"),Guide!$A$7:$A$9,0))),INDEX(Guide!$B$7:$B$9,MATCH(SUBSTITUTE(SUBSTITUTE(SUBSTITUTE(H465,"~","~~"),"*","~*"),"?","~?"),Guide!$A$7:$A$9,0)),""),"")</f>
        <v>Office</v>
      </c>
      <c r="J465" s="1" t="str">
        <f>IF(TRIM(Raw!E465)="",I465,IF(UPPER(TRIM(Raw!E465))=UPPER(I465),I465,""))</f>
        <v>Office</v>
      </c>
      <c r="K465" s="1" t="str">
        <f>IF(Raw!F465="","",Raw!F465)</f>
        <v>sale</v>
      </c>
      <c r="L465" s="1" t="str">
        <f>IF(LEFT(TRIM(Raw!G465),2)="-$","-"&amp;MID(TRIM(Raw!G465),3,99),IF(LEFT(TRIM(Raw!G465),1)="$",MID(TRIM(Raw!G465),2,99),TRIM(Raw!G465)))</f>
        <v>108.90</v>
      </c>
      <c r="M465" s="1">
        <f t="shared" si="59"/>
        <v>108.9</v>
      </c>
      <c r="N465" s="10">
        <f t="shared" si="60"/>
        <v>10890</v>
      </c>
      <c r="O465" s="1" t="b">
        <f>IFERROR(IF(ISNUMBER(Raw!G465),TRUE,OR(EXACT(L465,TEXT(M465,"0.00")),EXACT(L465,TEXT(M465,"#,##0.00")))),FALSE)</f>
        <v>1</v>
      </c>
      <c r="P465" s="1" t="str">
        <f>LEN(IF(Raw!A465="","",Raw!A465))&amp;":"&amp;IF(Raw!A465="","",Raw!A465)&amp;"|"&amp;LEN(IF(Raw!B465="","",Raw!B465))&amp;":"&amp;IF(Raw!B465="","",Raw!B465)&amp;"|"&amp;LEN(IF(Raw!C465="","",Raw!C465))&amp;":"&amp;IF(Raw!C465="","",Raw!C465)&amp;"|"&amp;LEN(IF(Raw!D465="","",Raw!D465))&amp;":"&amp;IF(Raw!D465="","",Raw!D465)&amp;"|"&amp;LEN(IF(Raw!E465="","",Raw!E465))&amp;":"&amp;IF(Raw!E465="","",Raw!E465)&amp;"|"&amp;LEN(IF(Raw!F465="","",Raw!F465))&amp;":"&amp;IF(Raw!F465="","",Raw!F465)&amp;"|"&amp;LEN(IF(Raw!G465="","",Raw!G465))&amp;":"&amp;IF(Raw!G465="","",Raw!G465)</f>
        <v>6:L00459|6:T00230|10:2026-03-15|3:P-O|6:Office|4:sale|6:108.90</v>
      </c>
      <c r="Q465" s="1">
        <f>1</f>
        <v>1</v>
      </c>
      <c r="R465" s="1" t="b">
        <f>FALSE</f>
        <v>0</v>
      </c>
      <c r="S465" s="1">
        <f>1</f>
        <v>1</v>
      </c>
      <c r="T465" s="1" t="str">
        <f>IF(AND(Raw!A465="",Raw!B465="",Raw!C465="",Raw!D465="",Raw!E465="",Raw!F465="",Raw!G465=""),"UNUSED",IF(A465="","missing line ID",IF(B465="","missing transaction ID",IF(G465="",IF(C465="","missing date","invalid date"),IF(I465="","unknown product",IF(J465="","conflicting category",IF(NOT(OR(EXACT(K465,"sale"),EXACT(K465,"refund"))),"unknown event",IF(OR(N465="",NOT(O465)),"invalid amount",IF(OR(AND(K465="sale",N465&lt;=0),AND(K465="refund",N465&gt;=0)),"invalid sign","")))))))))</f>
        <v/>
      </c>
      <c r="U465" s="1" t="str">
        <f t="shared" si="61"/>
        <v>INCLUDED</v>
      </c>
      <c r="V465" s="1" t="str">
        <f t="shared" si="62"/>
        <v>2026-03</v>
      </c>
      <c r="W465" s="1">
        <f>IF(AND(U465="INCLUDED",X465&gt;0,EXACT(A465,'AI output'!A465)),1,0)</f>
        <v>1</v>
      </c>
      <c r="X465" s="1">
        <f>465</f>
        <v>465</v>
      </c>
      <c r="Y465" s="1">
        <f>IF(AND(U465="INCLUDED",W465=1),--(NOT(EXACT(A465,'AI output'!A465)))+--(NOT(EXACT(B465,'AI output'!B465)))+--(NOT(EXACT(TEXT(G465,"yyyy-mm-dd"),'AI output'!C465)))+--(NOT(EXACT(H465,'AI output'!D465)))+--(NOT(EXACT(J465,'AI output'!E465)))+--(NOT(EXACT(K465,'AI output'!F465)))+--(N465&lt;&gt;'AI output'!L465)+--(NOT('AI output'!M465)),0)</f>
        <v>0</v>
      </c>
      <c r="Z465" s="1">
        <f t="shared" si="63"/>
        <v>0</v>
      </c>
      <c r="AA465" s="1">
        <f>--EXACT(A465,"L00459")</f>
        <v>1</v>
      </c>
    </row>
    <row r="466" spans="1:27" ht="18.95" customHeight="1">
      <c r="A466" s="1" t="str">
        <f>IF(Raw!A466="","",Raw!A466)</f>
        <v>L00460</v>
      </c>
      <c r="B466" s="1" t="str">
        <f>IF(Raw!B466="","",Raw!B466)</f>
        <v>T00230</v>
      </c>
      <c r="C466" s="1" t="str">
        <f>IF(Raw!C466="","",Raw!C466)</f>
        <v>2026-03-15</v>
      </c>
      <c r="D466" s="1">
        <f t="shared" si="56"/>
        <v>2026</v>
      </c>
      <c r="E466" s="1">
        <f>IFERROR(IF(AND(LEN(C466)=10,MID(C466,5,1)="-",MID(C466,8,1)="-"),VALUE(MID(C466,6,2)),IF(AND(LEN(C466)=11,MID(C466,3,1)="-",MID(C466,7,1)="-"),MATCH(UPPER(MID(C466,4,3)),Guide!$D$7:$D$18,0),0)),0)</f>
        <v>3</v>
      </c>
      <c r="F466" s="1">
        <f t="shared" si="57"/>
        <v>15</v>
      </c>
      <c r="G466" s="9">
        <f t="shared" si="58"/>
        <v>46096</v>
      </c>
      <c r="H466" s="1" t="str">
        <f>IF(Raw!D466="","",Raw!D466)</f>
        <v>P-A</v>
      </c>
      <c r="I466" s="1" t="str">
        <f>IFERROR(IF(EXACT(H466,INDEX(Guide!$A$7:$A$9,MATCH(SUBSTITUTE(SUBSTITUTE(SUBSTITUTE(H466,"~","~~"),"*","~*"),"?","~?"),Guide!$A$7:$A$9,0))),INDEX(Guide!$B$7:$B$9,MATCH(SUBSTITUTE(SUBSTITUTE(SUBSTITUTE(H466,"~","~~"),"*","~*"),"?","~?"),Guide!$A$7:$A$9,0)),""),"")</f>
        <v>Accessories</v>
      </c>
      <c r="J466" s="1" t="str">
        <f>IF(TRIM(Raw!E466)="",I466,IF(UPPER(TRIM(Raw!E466))=UPPER(I466),I466,""))</f>
        <v>Accessories</v>
      </c>
      <c r="K466" s="1" t="str">
        <f>IF(Raw!F466="","",Raw!F466)</f>
        <v>sale</v>
      </c>
      <c r="L466" s="1" t="str">
        <f>IF(LEFT(TRIM(Raw!G466),2)="-$","-"&amp;MID(TRIM(Raw!G466),3,99),IF(LEFT(TRIM(Raw!G466),1)="$",MID(TRIM(Raw!G466),2,99),TRIM(Raw!G466)))</f>
        <v>219.28</v>
      </c>
      <c r="M466" s="1">
        <f t="shared" si="59"/>
        <v>219.28</v>
      </c>
      <c r="N466" s="10">
        <f t="shared" si="60"/>
        <v>21928</v>
      </c>
      <c r="O466" s="1" t="b">
        <f>IFERROR(IF(ISNUMBER(Raw!G466),TRUE,OR(EXACT(L466,TEXT(M466,"0.00")),EXACT(L466,TEXT(M466,"#,##0.00")))),FALSE)</f>
        <v>1</v>
      </c>
      <c r="P466" s="1" t="str">
        <f>LEN(IF(Raw!A466="","",Raw!A466))&amp;":"&amp;IF(Raw!A466="","",Raw!A466)&amp;"|"&amp;LEN(IF(Raw!B466="","",Raw!B466))&amp;":"&amp;IF(Raw!B466="","",Raw!B466)&amp;"|"&amp;LEN(IF(Raw!C466="","",Raw!C466))&amp;":"&amp;IF(Raw!C466="","",Raw!C466)&amp;"|"&amp;LEN(IF(Raw!D466="","",Raw!D466))&amp;":"&amp;IF(Raw!D466="","",Raw!D466)&amp;"|"&amp;LEN(IF(Raw!E466="","",Raw!E466))&amp;":"&amp;IF(Raw!E466="","",Raw!E466)&amp;"|"&amp;LEN(IF(Raw!F466="","",Raw!F466))&amp;":"&amp;IF(Raw!F466="","",Raw!F466)&amp;"|"&amp;LEN(IF(Raw!G466="","",Raw!G466))&amp;":"&amp;IF(Raw!G466="","",Raw!G466)</f>
        <v>6:L00460|6:T00230|10:2026-03-15|3:P-A|11:Accessories|4:sale|6:219.28</v>
      </c>
      <c r="Q466" s="1">
        <f>1</f>
        <v>1</v>
      </c>
      <c r="R466" s="1" t="b">
        <f>FALSE</f>
        <v>0</v>
      </c>
      <c r="S466" s="1">
        <f>1</f>
        <v>1</v>
      </c>
      <c r="T466" s="1" t="str">
        <f>IF(AND(Raw!A466="",Raw!B466="",Raw!C466="",Raw!D466="",Raw!E466="",Raw!F466="",Raw!G466=""),"UNUSED",IF(A466="","missing line ID",IF(B466="","missing transaction ID",IF(G466="",IF(C466="","missing date","invalid date"),IF(I466="","unknown product",IF(J466="","conflicting category",IF(NOT(OR(EXACT(K466,"sale"),EXACT(K466,"refund"))),"unknown event",IF(OR(N466="",NOT(O466)),"invalid amount",IF(OR(AND(K466="sale",N466&lt;=0),AND(K466="refund",N466&gt;=0)),"invalid sign","")))))))))</f>
        <v/>
      </c>
      <c r="U466" s="1" t="str">
        <f t="shared" si="61"/>
        <v>INCLUDED</v>
      </c>
      <c r="V466" s="1" t="str">
        <f t="shared" si="62"/>
        <v>2026-03</v>
      </c>
      <c r="W466" s="1">
        <f>IF(AND(U466="INCLUDED",X466&gt;0,EXACT(A466,'AI output'!A466)),1,0)</f>
        <v>1</v>
      </c>
      <c r="X466" s="1">
        <f>466</f>
        <v>466</v>
      </c>
      <c r="Y466" s="1">
        <f>IF(AND(U466="INCLUDED",W466=1),--(NOT(EXACT(A466,'AI output'!A466)))+--(NOT(EXACT(B466,'AI output'!B466)))+--(NOT(EXACT(TEXT(G466,"yyyy-mm-dd"),'AI output'!C466)))+--(NOT(EXACT(H466,'AI output'!D466)))+--(NOT(EXACT(J466,'AI output'!E466)))+--(NOT(EXACT(K466,'AI output'!F466)))+--(N466&lt;&gt;'AI output'!L466)+--(NOT('AI output'!M466)),0)</f>
        <v>0</v>
      </c>
      <c r="Z466" s="1">
        <f t="shared" si="63"/>
        <v>0</v>
      </c>
      <c r="AA466" s="1">
        <f>--EXACT(A466,"L00460")</f>
        <v>1</v>
      </c>
    </row>
    <row r="467" spans="1:27" ht="18.95" customHeight="1">
      <c r="A467" s="1" t="str">
        <f>IF(Raw!A467="","",Raw!A467)</f>
        <v>L00461</v>
      </c>
      <c r="B467" s="1" t="str">
        <f>IF(Raw!B467="","",Raw!B467)</f>
        <v>T00231</v>
      </c>
      <c r="C467" s="1" t="str">
        <f>IF(Raw!C467="","",Raw!C467)</f>
        <v>2026-03-22</v>
      </c>
      <c r="D467" s="1">
        <f t="shared" si="56"/>
        <v>2026</v>
      </c>
      <c r="E467" s="1">
        <f>IFERROR(IF(AND(LEN(C467)=10,MID(C467,5,1)="-",MID(C467,8,1)="-"),VALUE(MID(C467,6,2)),IF(AND(LEN(C467)=11,MID(C467,3,1)="-",MID(C467,7,1)="-"),MATCH(UPPER(MID(C467,4,3)),Guide!$D$7:$D$18,0),0)),0)</f>
        <v>3</v>
      </c>
      <c r="F467" s="1">
        <f t="shared" si="57"/>
        <v>22</v>
      </c>
      <c r="G467" s="9">
        <f t="shared" si="58"/>
        <v>46103</v>
      </c>
      <c r="H467" s="1" t="str">
        <f>IF(Raw!D467="","",Raw!D467)</f>
        <v>P-H</v>
      </c>
      <c r="I467" s="1" t="str">
        <f>IFERROR(IF(EXACT(H467,INDEX(Guide!$A$7:$A$9,MATCH(SUBSTITUTE(SUBSTITUTE(SUBSTITUTE(H467,"~","~~"),"*","~*"),"?","~?"),Guide!$A$7:$A$9,0))),INDEX(Guide!$B$7:$B$9,MATCH(SUBSTITUTE(SUBSTITUTE(SUBSTITUTE(H467,"~","~~"),"*","~*"),"?","~?"),Guide!$A$7:$A$9,0)),""),"")</f>
        <v>Home</v>
      </c>
      <c r="J467" s="1" t="str">
        <f>IF(TRIM(Raw!E467)="",I467,IF(UPPER(TRIM(Raw!E467))=UPPER(I467),I467,""))</f>
        <v>Home</v>
      </c>
      <c r="K467" s="1" t="str">
        <f>IF(Raw!F467="","",Raw!F467)</f>
        <v>refund</v>
      </c>
      <c r="L467" s="1" t="str">
        <f>IF(LEFT(TRIM(Raw!G467),2)="-$","-"&amp;MID(TRIM(Raw!G467),3,99),IF(LEFT(TRIM(Raw!G467),1)="$",MID(TRIM(Raw!G467),2,99),TRIM(Raw!G467)))</f>
        <v>-55.19</v>
      </c>
      <c r="M467" s="1">
        <f t="shared" si="59"/>
        <v>-55.19</v>
      </c>
      <c r="N467" s="10">
        <f t="shared" si="60"/>
        <v>-5519</v>
      </c>
      <c r="O467" s="1" t="b">
        <f>IFERROR(IF(ISNUMBER(Raw!G467),TRUE,OR(EXACT(L467,TEXT(M467,"0.00")),EXACT(L467,TEXT(M467,"#,##0.00")))),FALSE)</f>
        <v>1</v>
      </c>
      <c r="P467" s="1" t="str">
        <f>LEN(IF(Raw!A467="","",Raw!A467))&amp;":"&amp;IF(Raw!A467="","",Raw!A467)&amp;"|"&amp;LEN(IF(Raw!B467="","",Raw!B467))&amp;":"&amp;IF(Raw!B467="","",Raw!B467)&amp;"|"&amp;LEN(IF(Raw!C467="","",Raw!C467))&amp;":"&amp;IF(Raw!C467="","",Raw!C467)&amp;"|"&amp;LEN(IF(Raw!D467="","",Raw!D467))&amp;":"&amp;IF(Raw!D467="","",Raw!D467)&amp;"|"&amp;LEN(IF(Raw!E467="","",Raw!E467))&amp;":"&amp;IF(Raw!E467="","",Raw!E467)&amp;"|"&amp;LEN(IF(Raw!F467="","",Raw!F467))&amp;":"&amp;IF(Raw!F467="","",Raw!F467)&amp;"|"&amp;LEN(IF(Raw!G467="","",Raw!G467))&amp;":"&amp;IF(Raw!G467="","",Raw!G467)</f>
        <v>6:L00461|6:T00231|10:2026-03-22|3:P-H|4:Home|6:refund|6:-55.19</v>
      </c>
      <c r="Q467" s="1">
        <f>1</f>
        <v>1</v>
      </c>
      <c r="R467" s="1" t="b">
        <f>FALSE</f>
        <v>0</v>
      </c>
      <c r="S467" s="1">
        <f>1</f>
        <v>1</v>
      </c>
      <c r="T467" s="1" t="str">
        <f>IF(AND(Raw!A467="",Raw!B467="",Raw!C467="",Raw!D467="",Raw!E467="",Raw!F467="",Raw!G467=""),"UNUSED",IF(A467="","missing line ID",IF(B467="","missing transaction ID",IF(G467="",IF(C467="","missing date","invalid date"),IF(I467="","unknown product",IF(J467="","conflicting category",IF(NOT(OR(EXACT(K467,"sale"),EXACT(K467,"refund"))),"unknown event",IF(OR(N467="",NOT(O467)),"invalid amount",IF(OR(AND(K467="sale",N467&lt;=0),AND(K467="refund",N467&gt;=0)),"invalid sign","")))))))))</f>
        <v/>
      </c>
      <c r="U467" s="1" t="str">
        <f t="shared" si="61"/>
        <v>INCLUDED</v>
      </c>
      <c r="V467" s="1" t="str">
        <f t="shared" si="62"/>
        <v>2026-03</v>
      </c>
      <c r="W467" s="1">
        <f>IF(AND(U467="INCLUDED",X467&gt;0,EXACT(A467,'AI output'!A467)),1,0)</f>
        <v>1</v>
      </c>
      <c r="X467" s="1">
        <f>467</f>
        <v>467</v>
      </c>
      <c r="Y467" s="1">
        <f>IF(AND(U467="INCLUDED",W467=1),--(NOT(EXACT(A467,'AI output'!A467)))+--(NOT(EXACT(B467,'AI output'!B467)))+--(NOT(EXACT(TEXT(G467,"yyyy-mm-dd"),'AI output'!C467)))+--(NOT(EXACT(H467,'AI output'!D467)))+--(NOT(EXACT(J467,'AI output'!E467)))+--(NOT(EXACT(K467,'AI output'!F467)))+--(N467&lt;&gt;'AI output'!L467)+--(NOT('AI output'!M467)),0)</f>
        <v>0</v>
      </c>
      <c r="Z467" s="1">
        <f t="shared" si="63"/>
        <v>0</v>
      </c>
      <c r="AA467" s="1">
        <f>--EXACT(A467,"L00461")</f>
        <v>1</v>
      </c>
    </row>
    <row r="468" spans="1:27" ht="18.95" customHeight="1">
      <c r="A468" s="1" t="str">
        <f>IF(Raw!A468="","",Raw!A468)</f>
        <v>L00462</v>
      </c>
      <c r="B468" s="1" t="str">
        <f>IF(Raw!B468="","",Raw!B468)</f>
        <v>T00231</v>
      </c>
      <c r="C468" s="1" t="str">
        <f>IF(Raw!C468="","",Raw!C468)</f>
        <v>2026-03-22</v>
      </c>
      <c r="D468" s="1">
        <f t="shared" si="56"/>
        <v>2026</v>
      </c>
      <c r="E468" s="1">
        <f>IFERROR(IF(AND(LEN(C468)=10,MID(C468,5,1)="-",MID(C468,8,1)="-"),VALUE(MID(C468,6,2)),IF(AND(LEN(C468)=11,MID(C468,3,1)="-",MID(C468,7,1)="-"),MATCH(UPPER(MID(C468,4,3)),Guide!$D$7:$D$18,0),0)),0)</f>
        <v>3</v>
      </c>
      <c r="F468" s="1">
        <f t="shared" si="57"/>
        <v>22</v>
      </c>
      <c r="G468" s="9">
        <f t="shared" si="58"/>
        <v>46103</v>
      </c>
      <c r="H468" s="1" t="str">
        <f>IF(Raw!D468="","",Raw!D468)</f>
        <v>P-O</v>
      </c>
      <c r="I468" s="1" t="str">
        <f>IFERROR(IF(EXACT(H468,INDEX(Guide!$A$7:$A$9,MATCH(SUBSTITUTE(SUBSTITUTE(SUBSTITUTE(H468,"~","~~"),"*","~*"),"?","~?"),Guide!$A$7:$A$9,0))),INDEX(Guide!$B$7:$B$9,MATCH(SUBSTITUTE(SUBSTITUTE(SUBSTITUTE(H468,"~","~~"),"*","~*"),"?","~?"),Guide!$A$7:$A$9,0)),""),"")</f>
        <v>Office</v>
      </c>
      <c r="J468" s="1" t="str">
        <f>IF(TRIM(Raw!E468)="",I468,IF(UPPER(TRIM(Raw!E468))=UPPER(I468),I468,""))</f>
        <v>Office</v>
      </c>
      <c r="K468" s="1" t="str">
        <f>IF(Raw!F468="","",Raw!F468)</f>
        <v>sale</v>
      </c>
      <c r="L468" s="1" t="str">
        <f>IF(LEFT(TRIM(Raw!G468),2)="-$","-"&amp;MID(TRIM(Raw!G468),3,99),IF(LEFT(TRIM(Raw!G468),1)="$",MID(TRIM(Raw!G468),2,99),TRIM(Raw!G468)))</f>
        <v>166.68</v>
      </c>
      <c r="M468" s="1">
        <f t="shared" si="59"/>
        <v>166.68</v>
      </c>
      <c r="N468" s="10">
        <f t="shared" si="60"/>
        <v>16668</v>
      </c>
      <c r="O468" s="1" t="b">
        <f>IFERROR(IF(ISNUMBER(Raw!G468),TRUE,OR(EXACT(L468,TEXT(M468,"0.00")),EXACT(L468,TEXT(M468,"#,##0.00")))),FALSE)</f>
        <v>1</v>
      </c>
      <c r="P468" s="1" t="str">
        <f>LEN(IF(Raw!A468="","",Raw!A468))&amp;":"&amp;IF(Raw!A468="","",Raw!A468)&amp;"|"&amp;LEN(IF(Raw!B468="","",Raw!B468))&amp;":"&amp;IF(Raw!B468="","",Raw!B468)&amp;"|"&amp;LEN(IF(Raw!C468="","",Raw!C468))&amp;":"&amp;IF(Raw!C468="","",Raw!C468)&amp;"|"&amp;LEN(IF(Raw!D468="","",Raw!D468))&amp;":"&amp;IF(Raw!D468="","",Raw!D468)&amp;"|"&amp;LEN(IF(Raw!E468="","",Raw!E468))&amp;":"&amp;IF(Raw!E468="","",Raw!E468)&amp;"|"&amp;LEN(IF(Raw!F468="","",Raw!F468))&amp;":"&amp;IF(Raw!F468="","",Raw!F468)&amp;"|"&amp;LEN(IF(Raw!G468="","",Raw!G468))&amp;":"&amp;IF(Raw!G468="","",Raw!G468)</f>
        <v>6:L00462|6:T00231|10:2026-03-22|3:P-O|6:Office|4:sale|6:166.68</v>
      </c>
      <c r="Q468" s="1">
        <f>1</f>
        <v>1</v>
      </c>
      <c r="R468" s="1" t="b">
        <f>FALSE</f>
        <v>0</v>
      </c>
      <c r="S468" s="1">
        <f>1</f>
        <v>1</v>
      </c>
      <c r="T468" s="1" t="str">
        <f>IF(AND(Raw!A468="",Raw!B468="",Raw!C468="",Raw!D468="",Raw!E468="",Raw!F468="",Raw!G468=""),"UNUSED",IF(A468="","missing line ID",IF(B468="","missing transaction ID",IF(G468="",IF(C468="","missing date","invalid date"),IF(I468="","unknown product",IF(J468="","conflicting category",IF(NOT(OR(EXACT(K468,"sale"),EXACT(K468,"refund"))),"unknown event",IF(OR(N468="",NOT(O468)),"invalid amount",IF(OR(AND(K468="sale",N468&lt;=0),AND(K468="refund",N468&gt;=0)),"invalid sign","")))))))))</f>
        <v/>
      </c>
      <c r="U468" s="1" t="str">
        <f t="shared" si="61"/>
        <v>INCLUDED</v>
      </c>
      <c r="V468" s="1" t="str">
        <f t="shared" si="62"/>
        <v>2026-03</v>
      </c>
      <c r="W468" s="1">
        <f>IF(AND(U468="INCLUDED",X468&gt;0,EXACT(A468,'AI output'!A468)),1,0)</f>
        <v>1</v>
      </c>
      <c r="X468" s="1">
        <f>468</f>
        <v>468</v>
      </c>
      <c r="Y468" s="1">
        <f>IF(AND(U468="INCLUDED",W468=1),--(NOT(EXACT(A468,'AI output'!A468)))+--(NOT(EXACT(B468,'AI output'!B468)))+--(NOT(EXACT(TEXT(G468,"yyyy-mm-dd"),'AI output'!C468)))+--(NOT(EXACT(H468,'AI output'!D468)))+--(NOT(EXACT(J468,'AI output'!E468)))+--(NOT(EXACT(K468,'AI output'!F468)))+--(N468&lt;&gt;'AI output'!L468)+--(NOT('AI output'!M468)),0)</f>
        <v>0</v>
      </c>
      <c r="Z468" s="1">
        <f t="shared" si="63"/>
        <v>0</v>
      </c>
      <c r="AA468" s="1">
        <f>--EXACT(A468,"L00462")</f>
        <v>1</v>
      </c>
    </row>
    <row r="469" spans="1:27" ht="18.95" customHeight="1">
      <c r="A469" s="1" t="str">
        <f>IF(Raw!A469="","",Raw!A469)</f>
        <v>L00463</v>
      </c>
      <c r="B469" s="1" t="str">
        <f>IF(Raw!B469="","",Raw!B469)</f>
        <v>T00232</v>
      </c>
      <c r="C469" s="1" t="str">
        <f>IF(Raw!C469="","",Raw!C469)</f>
        <v>2026-03-29</v>
      </c>
      <c r="D469" s="1">
        <f t="shared" si="56"/>
        <v>2026</v>
      </c>
      <c r="E469" s="1">
        <f>IFERROR(IF(AND(LEN(C469)=10,MID(C469,5,1)="-",MID(C469,8,1)="-"),VALUE(MID(C469,6,2)),IF(AND(LEN(C469)=11,MID(C469,3,1)="-",MID(C469,7,1)="-"),MATCH(UPPER(MID(C469,4,3)),Guide!$D$7:$D$18,0),0)),0)</f>
        <v>3</v>
      </c>
      <c r="F469" s="1">
        <f t="shared" si="57"/>
        <v>29</v>
      </c>
      <c r="G469" s="9">
        <f t="shared" si="58"/>
        <v>46110</v>
      </c>
      <c r="H469" s="1" t="str">
        <f>IF(Raw!D469="","",Raw!D469)</f>
        <v>P-A</v>
      </c>
      <c r="I469" s="1" t="str">
        <f>IFERROR(IF(EXACT(H469,INDEX(Guide!$A$7:$A$9,MATCH(SUBSTITUTE(SUBSTITUTE(SUBSTITUTE(H469,"~","~~"),"*","~*"),"?","~?"),Guide!$A$7:$A$9,0))),INDEX(Guide!$B$7:$B$9,MATCH(SUBSTITUTE(SUBSTITUTE(SUBSTITUTE(H469,"~","~~"),"*","~*"),"?","~?"),Guide!$A$7:$A$9,0)),""),"")</f>
        <v>Accessories</v>
      </c>
      <c r="J469" s="1" t="str">
        <f>IF(TRIM(Raw!E469)="",I469,IF(UPPER(TRIM(Raw!E469))=UPPER(I469),I469,""))</f>
        <v>Accessories</v>
      </c>
      <c r="K469" s="1" t="str">
        <f>IF(Raw!F469="","",Raw!F469)</f>
        <v>sale</v>
      </c>
      <c r="L469" s="1" t="str">
        <f>IF(LEFT(TRIM(Raw!G469),2)="-$","-"&amp;MID(TRIM(Raw!G469),3,99),IF(LEFT(TRIM(Raw!G469),1)="$",MID(TRIM(Raw!G469),2,99),TRIM(Raw!G469)))</f>
        <v>279.65</v>
      </c>
      <c r="M469" s="1">
        <f t="shared" si="59"/>
        <v>279.64999999999998</v>
      </c>
      <c r="N469" s="10">
        <f t="shared" si="60"/>
        <v>27965</v>
      </c>
      <c r="O469" s="1" t="b">
        <f>IFERROR(IF(ISNUMBER(Raw!G469),TRUE,OR(EXACT(L469,TEXT(M469,"0.00")),EXACT(L469,TEXT(M469,"#,##0.00")))),FALSE)</f>
        <v>1</v>
      </c>
      <c r="P469" s="1" t="str">
        <f>LEN(IF(Raw!A469="","",Raw!A469))&amp;":"&amp;IF(Raw!A469="","",Raw!A469)&amp;"|"&amp;LEN(IF(Raw!B469="","",Raw!B469))&amp;":"&amp;IF(Raw!B469="","",Raw!B469)&amp;"|"&amp;LEN(IF(Raw!C469="","",Raw!C469))&amp;":"&amp;IF(Raw!C469="","",Raw!C469)&amp;"|"&amp;LEN(IF(Raw!D469="","",Raw!D469))&amp;":"&amp;IF(Raw!D469="","",Raw!D469)&amp;"|"&amp;LEN(IF(Raw!E469="","",Raw!E469))&amp;":"&amp;IF(Raw!E469="","",Raw!E469)&amp;"|"&amp;LEN(IF(Raw!F469="","",Raw!F469))&amp;":"&amp;IF(Raw!F469="","",Raw!F469)&amp;"|"&amp;LEN(IF(Raw!G469="","",Raw!G469))&amp;":"&amp;IF(Raw!G469="","",Raw!G469)</f>
        <v>6:L00463|6:T00232|10:2026-03-29|3:P-A|11:Accessories|4:sale|6:279.65</v>
      </c>
      <c r="Q469" s="1">
        <f>1</f>
        <v>1</v>
      </c>
      <c r="R469" s="1" t="b">
        <f>FALSE</f>
        <v>0</v>
      </c>
      <c r="S469" s="1">
        <f>1</f>
        <v>1</v>
      </c>
      <c r="T469" s="1" t="str">
        <f>IF(AND(Raw!A469="",Raw!B469="",Raw!C469="",Raw!D469="",Raw!E469="",Raw!F469="",Raw!G469=""),"UNUSED",IF(A469="","missing line ID",IF(B469="","missing transaction ID",IF(G469="",IF(C469="","missing date","invalid date"),IF(I469="","unknown product",IF(J469="","conflicting category",IF(NOT(OR(EXACT(K469,"sale"),EXACT(K469,"refund"))),"unknown event",IF(OR(N469="",NOT(O469)),"invalid amount",IF(OR(AND(K469="sale",N469&lt;=0),AND(K469="refund",N469&gt;=0)),"invalid sign","")))))))))</f>
        <v/>
      </c>
      <c r="U469" s="1" t="str">
        <f t="shared" si="61"/>
        <v>INCLUDED</v>
      </c>
      <c r="V469" s="1" t="str">
        <f t="shared" si="62"/>
        <v>2026-03</v>
      </c>
      <c r="W469" s="1">
        <f>IF(AND(U469="INCLUDED",X469&gt;0,EXACT(A469,'AI output'!A469)),1,0)</f>
        <v>1</v>
      </c>
      <c r="X469" s="1">
        <f>469</f>
        <v>469</v>
      </c>
      <c r="Y469" s="1">
        <f>IF(AND(U469="INCLUDED",W469=1),--(NOT(EXACT(A469,'AI output'!A469)))+--(NOT(EXACT(B469,'AI output'!B469)))+--(NOT(EXACT(TEXT(G469,"yyyy-mm-dd"),'AI output'!C469)))+--(NOT(EXACT(H469,'AI output'!D469)))+--(NOT(EXACT(J469,'AI output'!E469)))+--(NOT(EXACT(K469,'AI output'!F469)))+--(N469&lt;&gt;'AI output'!L469)+--(NOT('AI output'!M469)),0)</f>
        <v>0</v>
      </c>
      <c r="Z469" s="1">
        <f t="shared" si="63"/>
        <v>0</v>
      </c>
      <c r="AA469" s="1">
        <f>--EXACT(A469,"L00463")</f>
        <v>1</v>
      </c>
    </row>
    <row r="470" spans="1:27" ht="18.95" customHeight="1">
      <c r="A470" s="1" t="str">
        <f>IF(Raw!A470="","",Raw!A470)</f>
        <v>L00464</v>
      </c>
      <c r="B470" s="1" t="str">
        <f>IF(Raw!B470="","",Raw!B470)</f>
        <v>T00232</v>
      </c>
      <c r="C470" s="1" t="str">
        <f>IF(Raw!C470="","",Raw!C470)</f>
        <v>2026-03-29</v>
      </c>
      <c r="D470" s="1">
        <f t="shared" si="56"/>
        <v>2026</v>
      </c>
      <c r="E470" s="1">
        <f>IFERROR(IF(AND(LEN(C470)=10,MID(C470,5,1)="-",MID(C470,8,1)="-"),VALUE(MID(C470,6,2)),IF(AND(LEN(C470)=11,MID(C470,3,1)="-",MID(C470,7,1)="-"),MATCH(UPPER(MID(C470,4,3)),Guide!$D$7:$D$18,0),0)),0)</f>
        <v>3</v>
      </c>
      <c r="F470" s="1">
        <f t="shared" si="57"/>
        <v>29</v>
      </c>
      <c r="G470" s="9">
        <f t="shared" si="58"/>
        <v>46110</v>
      </c>
      <c r="H470" s="1" t="str">
        <f>IF(Raw!D470="","",Raw!D470)</f>
        <v>P-H</v>
      </c>
      <c r="I470" s="1" t="str">
        <f>IFERROR(IF(EXACT(H470,INDEX(Guide!$A$7:$A$9,MATCH(SUBSTITUTE(SUBSTITUTE(SUBSTITUTE(H470,"~","~~"),"*","~*"),"?","~?"),Guide!$A$7:$A$9,0))),INDEX(Guide!$B$7:$B$9,MATCH(SUBSTITUTE(SUBSTITUTE(SUBSTITUTE(H470,"~","~~"),"*","~*"),"?","~?"),Guide!$A$7:$A$9,0)),""),"")</f>
        <v>Home</v>
      </c>
      <c r="J470" s="1" t="str">
        <f>IF(TRIM(Raw!E470)="",I470,IF(UPPER(TRIM(Raw!E470))=UPPER(I470),I470,""))</f>
        <v>Home</v>
      </c>
      <c r="K470" s="1" t="str">
        <f>IF(Raw!F470="","",Raw!F470)</f>
        <v>sale</v>
      </c>
      <c r="L470" s="1" t="str">
        <f>IF(LEFT(TRIM(Raw!G470),2)="-$","-"&amp;MID(TRIM(Raw!G470),3,99),IF(LEFT(TRIM(Raw!G470),1)="$",MID(TRIM(Raw!G470),2,99),TRIM(Raw!G470)))</f>
        <v>112.60</v>
      </c>
      <c r="M470" s="1">
        <f t="shared" si="59"/>
        <v>112.6</v>
      </c>
      <c r="N470" s="10">
        <f t="shared" si="60"/>
        <v>11260</v>
      </c>
      <c r="O470" s="1" t="b">
        <f>IFERROR(IF(ISNUMBER(Raw!G470),TRUE,OR(EXACT(L470,TEXT(M470,"0.00")),EXACT(L470,TEXT(M470,"#,##0.00")))),FALSE)</f>
        <v>1</v>
      </c>
      <c r="P470" s="1" t="str">
        <f>LEN(IF(Raw!A470="","",Raw!A470))&amp;":"&amp;IF(Raw!A470="","",Raw!A470)&amp;"|"&amp;LEN(IF(Raw!B470="","",Raw!B470))&amp;":"&amp;IF(Raw!B470="","",Raw!B470)&amp;"|"&amp;LEN(IF(Raw!C470="","",Raw!C470))&amp;":"&amp;IF(Raw!C470="","",Raw!C470)&amp;"|"&amp;LEN(IF(Raw!D470="","",Raw!D470))&amp;":"&amp;IF(Raw!D470="","",Raw!D470)&amp;"|"&amp;LEN(IF(Raw!E470="","",Raw!E470))&amp;":"&amp;IF(Raw!E470="","",Raw!E470)&amp;"|"&amp;LEN(IF(Raw!F470="","",Raw!F470))&amp;":"&amp;IF(Raw!F470="","",Raw!F470)&amp;"|"&amp;LEN(IF(Raw!G470="","",Raw!G470))&amp;":"&amp;IF(Raw!G470="","",Raw!G470)</f>
        <v>6:L00464|6:T00232|10:2026-03-29|3:P-H|4:Home|4:sale|6:112.60</v>
      </c>
      <c r="Q470" s="1">
        <f>1</f>
        <v>1</v>
      </c>
      <c r="R470" s="1" t="b">
        <f>FALSE</f>
        <v>0</v>
      </c>
      <c r="S470" s="1">
        <f>1</f>
        <v>1</v>
      </c>
      <c r="T470" s="1" t="str">
        <f>IF(AND(Raw!A470="",Raw!B470="",Raw!C470="",Raw!D470="",Raw!E470="",Raw!F470="",Raw!G470=""),"UNUSED",IF(A470="","missing line ID",IF(B470="","missing transaction ID",IF(G470="",IF(C470="","missing date","invalid date"),IF(I470="","unknown product",IF(J470="","conflicting category",IF(NOT(OR(EXACT(K470,"sale"),EXACT(K470,"refund"))),"unknown event",IF(OR(N470="",NOT(O470)),"invalid amount",IF(OR(AND(K470="sale",N470&lt;=0),AND(K470="refund",N470&gt;=0)),"invalid sign","")))))))))</f>
        <v/>
      </c>
      <c r="U470" s="1" t="str">
        <f t="shared" si="61"/>
        <v>INCLUDED</v>
      </c>
      <c r="V470" s="1" t="str">
        <f t="shared" si="62"/>
        <v>2026-03</v>
      </c>
      <c r="W470" s="1">
        <f>IF(AND(U470="INCLUDED",X470&gt;0,EXACT(A470,'AI output'!A470)),1,0)</f>
        <v>1</v>
      </c>
      <c r="X470" s="1">
        <f>470</f>
        <v>470</v>
      </c>
      <c r="Y470" s="1">
        <f>IF(AND(U470="INCLUDED",W470=1),--(NOT(EXACT(A470,'AI output'!A470)))+--(NOT(EXACT(B470,'AI output'!B470)))+--(NOT(EXACT(TEXT(G470,"yyyy-mm-dd"),'AI output'!C470)))+--(NOT(EXACT(H470,'AI output'!D470)))+--(NOT(EXACT(J470,'AI output'!E470)))+--(NOT(EXACT(K470,'AI output'!F470)))+--(N470&lt;&gt;'AI output'!L470)+--(NOT('AI output'!M470)),0)</f>
        <v>0</v>
      </c>
      <c r="Z470" s="1">
        <f t="shared" si="63"/>
        <v>0</v>
      </c>
      <c r="AA470" s="1">
        <f>--EXACT(A470,"L00464")</f>
        <v>1</v>
      </c>
    </row>
    <row r="471" spans="1:27" ht="18.95" customHeight="1">
      <c r="A471" s="1" t="str">
        <f>IF(Raw!A471="","",Raw!A471)</f>
        <v>L00465</v>
      </c>
      <c r="B471" s="1" t="str">
        <f>IF(Raw!B471="","",Raw!B471)</f>
        <v>T00233</v>
      </c>
      <c r="C471" s="1" t="str">
        <f>IF(Raw!C471="","",Raw!C471)</f>
        <v>2026-01-05</v>
      </c>
      <c r="D471" s="1">
        <f t="shared" si="56"/>
        <v>2026</v>
      </c>
      <c r="E471" s="1">
        <f>IFERROR(IF(AND(LEN(C471)=10,MID(C471,5,1)="-",MID(C471,8,1)="-"),VALUE(MID(C471,6,2)),IF(AND(LEN(C471)=11,MID(C471,3,1)="-",MID(C471,7,1)="-"),MATCH(UPPER(MID(C471,4,3)),Guide!$D$7:$D$18,0),0)),0)</f>
        <v>1</v>
      </c>
      <c r="F471" s="1">
        <f t="shared" si="57"/>
        <v>5</v>
      </c>
      <c r="G471" s="9">
        <f t="shared" si="58"/>
        <v>46027</v>
      </c>
      <c r="H471" s="1" t="str">
        <f>IF(Raw!D471="","",Raw!D471)</f>
        <v>P-O</v>
      </c>
      <c r="I471" s="1" t="str">
        <f>IFERROR(IF(EXACT(H471,INDEX(Guide!$A$7:$A$9,MATCH(SUBSTITUTE(SUBSTITUTE(SUBSTITUTE(H471,"~","~~"),"*","~*"),"?","~?"),Guide!$A$7:$A$9,0))),INDEX(Guide!$B$7:$B$9,MATCH(SUBSTITUTE(SUBSTITUTE(SUBSTITUTE(H471,"~","~~"),"*","~*"),"?","~?"),Guide!$A$7:$A$9,0)),""),"")</f>
        <v>Office</v>
      </c>
      <c r="J471" s="1" t="str">
        <f>IF(TRIM(Raw!E471)="",I471,IF(UPPER(TRIM(Raw!E471))=UPPER(I471),I471,""))</f>
        <v>Office</v>
      </c>
      <c r="K471" s="1" t="str">
        <f>IF(Raw!F471="","",Raw!F471)</f>
        <v>sale</v>
      </c>
      <c r="L471" s="1" t="str">
        <f>IF(LEFT(TRIM(Raw!G471),2)="-$","-"&amp;MID(TRIM(Raw!G471),3,99),IF(LEFT(TRIM(Raw!G471),1)="$",MID(TRIM(Raw!G471),2,99),TRIM(Raw!G471)))</f>
        <v>226.68</v>
      </c>
      <c r="M471" s="1">
        <f t="shared" si="59"/>
        <v>226.68</v>
      </c>
      <c r="N471" s="10">
        <f t="shared" si="60"/>
        <v>22668</v>
      </c>
      <c r="O471" s="1" t="b">
        <f>IFERROR(IF(ISNUMBER(Raw!G471),TRUE,OR(EXACT(L471,TEXT(M471,"0.00")),EXACT(L471,TEXT(M471,"#,##0.00")))),FALSE)</f>
        <v>1</v>
      </c>
      <c r="P471" s="1" t="str">
        <f>LEN(IF(Raw!A471="","",Raw!A471))&amp;":"&amp;IF(Raw!A471="","",Raw!A471)&amp;"|"&amp;LEN(IF(Raw!B471="","",Raw!B471))&amp;":"&amp;IF(Raw!B471="","",Raw!B471)&amp;"|"&amp;LEN(IF(Raw!C471="","",Raw!C471))&amp;":"&amp;IF(Raw!C471="","",Raw!C471)&amp;"|"&amp;LEN(IF(Raw!D471="","",Raw!D471))&amp;":"&amp;IF(Raw!D471="","",Raw!D471)&amp;"|"&amp;LEN(IF(Raw!E471="","",Raw!E471))&amp;":"&amp;IF(Raw!E471="","",Raw!E471)&amp;"|"&amp;LEN(IF(Raw!F471="","",Raw!F471))&amp;":"&amp;IF(Raw!F471="","",Raw!F471)&amp;"|"&amp;LEN(IF(Raw!G471="","",Raw!G471))&amp;":"&amp;IF(Raw!G471="","",Raw!G471)</f>
        <v>6:L00465|6:T00233|10:2026-01-05|3:P-O|6:Office|4:sale|6:226.68</v>
      </c>
      <c r="Q471" s="1">
        <f>1</f>
        <v>1</v>
      </c>
      <c r="R471" s="1" t="b">
        <f>FALSE</f>
        <v>0</v>
      </c>
      <c r="S471" s="1">
        <f>1</f>
        <v>1</v>
      </c>
      <c r="T471" s="1" t="str">
        <f>IF(AND(Raw!A471="",Raw!B471="",Raw!C471="",Raw!D471="",Raw!E471="",Raw!F471="",Raw!G471=""),"UNUSED",IF(A471="","missing line ID",IF(B471="","missing transaction ID",IF(G471="",IF(C471="","missing date","invalid date"),IF(I471="","unknown product",IF(J471="","conflicting category",IF(NOT(OR(EXACT(K471,"sale"),EXACT(K471,"refund"))),"unknown event",IF(OR(N471="",NOT(O471)),"invalid amount",IF(OR(AND(K471="sale",N471&lt;=0),AND(K471="refund",N471&gt;=0)),"invalid sign","")))))))))</f>
        <v/>
      </c>
      <c r="U471" s="1" t="str">
        <f t="shared" si="61"/>
        <v>INCLUDED</v>
      </c>
      <c r="V471" s="1" t="str">
        <f t="shared" si="62"/>
        <v>2026-01</v>
      </c>
      <c r="W471" s="1">
        <f>IF(AND(U471="INCLUDED",X471&gt;0,EXACT(A471,'AI output'!A471)),1,0)</f>
        <v>1</v>
      </c>
      <c r="X471" s="1">
        <f>471</f>
        <v>471</v>
      </c>
      <c r="Y471" s="1">
        <f>IF(AND(U471="INCLUDED",W471=1),--(NOT(EXACT(A471,'AI output'!A471)))+--(NOT(EXACT(B471,'AI output'!B471)))+--(NOT(EXACT(TEXT(G471,"yyyy-mm-dd"),'AI output'!C471)))+--(NOT(EXACT(H471,'AI output'!D471)))+--(NOT(EXACT(J471,'AI output'!E471)))+--(NOT(EXACT(K471,'AI output'!F471)))+--(N471&lt;&gt;'AI output'!L471)+--(NOT('AI output'!M471)),0)</f>
        <v>0</v>
      </c>
      <c r="Z471" s="1">
        <f t="shared" si="63"/>
        <v>0</v>
      </c>
      <c r="AA471" s="1">
        <f>--EXACT(A471,"L00465")</f>
        <v>1</v>
      </c>
    </row>
    <row r="472" spans="1:27" ht="18.95" customHeight="1">
      <c r="A472" s="1" t="str">
        <f>IF(Raw!A472="","",Raw!A472)</f>
        <v>L00466</v>
      </c>
      <c r="B472" s="1" t="str">
        <f>IF(Raw!B472="","",Raw!B472)</f>
        <v>T00233</v>
      </c>
      <c r="C472" s="1" t="str">
        <f>IF(Raw!C472="","",Raw!C472)</f>
        <v>2026-01-05</v>
      </c>
      <c r="D472" s="1">
        <f t="shared" si="56"/>
        <v>2026</v>
      </c>
      <c r="E472" s="1">
        <f>IFERROR(IF(AND(LEN(C472)=10,MID(C472,5,1)="-",MID(C472,8,1)="-"),VALUE(MID(C472,6,2)),IF(AND(LEN(C472)=11,MID(C472,3,1)="-",MID(C472,7,1)="-"),MATCH(UPPER(MID(C472,4,3)),Guide!$D$7:$D$18,0),0)),0)</f>
        <v>1</v>
      </c>
      <c r="F472" s="1">
        <f t="shared" si="57"/>
        <v>5</v>
      </c>
      <c r="G472" s="9">
        <f t="shared" si="58"/>
        <v>46027</v>
      </c>
      <c r="H472" s="1" t="str">
        <f>IF(Raw!D472="","",Raw!D472)</f>
        <v>P-A</v>
      </c>
      <c r="I472" s="1" t="str">
        <f>IFERROR(IF(EXACT(H472,INDEX(Guide!$A$7:$A$9,MATCH(SUBSTITUTE(SUBSTITUTE(SUBSTITUTE(H472,"~","~~"),"*","~*"),"?","~?"),Guide!$A$7:$A$9,0))),INDEX(Guide!$B$7:$B$9,MATCH(SUBSTITUTE(SUBSTITUTE(SUBSTITUTE(H472,"~","~~"),"*","~*"),"?","~?"),Guide!$A$7:$A$9,0)),""),"")</f>
        <v>Accessories</v>
      </c>
      <c r="J472" s="1" t="str">
        <f>IF(TRIM(Raw!E472)="",I472,IF(UPPER(TRIM(Raw!E472))=UPPER(I472),I472,""))</f>
        <v>Accessories</v>
      </c>
      <c r="K472" s="1" t="str">
        <f>IF(Raw!F472="","",Raw!F472)</f>
        <v>sale</v>
      </c>
      <c r="L472" s="1" t="str">
        <f>IF(LEFT(TRIM(Raw!G472),2)="-$","-"&amp;MID(TRIM(Raw!G472),3,99),IF(LEFT(TRIM(Raw!G472),1)="$",MID(TRIM(Raw!G472),2,99),TRIM(Raw!G472)))</f>
        <v>57.04</v>
      </c>
      <c r="M472" s="1">
        <f t="shared" si="59"/>
        <v>57.04</v>
      </c>
      <c r="N472" s="10">
        <f t="shared" si="60"/>
        <v>5704</v>
      </c>
      <c r="O472" s="1" t="b">
        <f>IFERROR(IF(ISNUMBER(Raw!G472),TRUE,OR(EXACT(L472,TEXT(M472,"0.00")),EXACT(L472,TEXT(M472,"#,##0.00")))),FALSE)</f>
        <v>1</v>
      </c>
      <c r="P472" s="1" t="str">
        <f>LEN(IF(Raw!A472="","",Raw!A472))&amp;":"&amp;IF(Raw!A472="","",Raw!A472)&amp;"|"&amp;LEN(IF(Raw!B472="","",Raw!B472))&amp;":"&amp;IF(Raw!B472="","",Raw!B472)&amp;"|"&amp;LEN(IF(Raw!C472="","",Raw!C472))&amp;":"&amp;IF(Raw!C472="","",Raw!C472)&amp;"|"&amp;LEN(IF(Raw!D472="","",Raw!D472))&amp;":"&amp;IF(Raw!D472="","",Raw!D472)&amp;"|"&amp;LEN(IF(Raw!E472="","",Raw!E472))&amp;":"&amp;IF(Raw!E472="","",Raw!E472)&amp;"|"&amp;LEN(IF(Raw!F472="","",Raw!F472))&amp;":"&amp;IF(Raw!F472="","",Raw!F472)&amp;"|"&amp;LEN(IF(Raw!G472="","",Raw!G472))&amp;":"&amp;IF(Raw!G472="","",Raw!G472)</f>
        <v>6:L00466|6:T00233|10:2026-01-05|3:P-A|11:Accessories|4:sale|5:57.04</v>
      </c>
      <c r="Q472" s="1">
        <f>1</f>
        <v>1</v>
      </c>
      <c r="R472" s="1" t="b">
        <f>FALSE</f>
        <v>0</v>
      </c>
      <c r="S472" s="1">
        <f>1</f>
        <v>1</v>
      </c>
      <c r="T472" s="1" t="str">
        <f>IF(AND(Raw!A472="",Raw!B472="",Raw!C472="",Raw!D472="",Raw!E472="",Raw!F472="",Raw!G472=""),"UNUSED",IF(A472="","missing line ID",IF(B472="","missing transaction ID",IF(G472="",IF(C472="","missing date","invalid date"),IF(I472="","unknown product",IF(J472="","conflicting category",IF(NOT(OR(EXACT(K472,"sale"),EXACT(K472,"refund"))),"unknown event",IF(OR(N472="",NOT(O472)),"invalid amount",IF(OR(AND(K472="sale",N472&lt;=0),AND(K472="refund",N472&gt;=0)),"invalid sign","")))))))))</f>
        <v/>
      </c>
      <c r="U472" s="1" t="str">
        <f t="shared" si="61"/>
        <v>INCLUDED</v>
      </c>
      <c r="V472" s="1" t="str">
        <f t="shared" si="62"/>
        <v>2026-01</v>
      </c>
      <c r="W472" s="1">
        <f>IF(AND(U472="INCLUDED",X472&gt;0,EXACT(A472,'AI output'!A472)),1,0)</f>
        <v>1</v>
      </c>
      <c r="X472" s="1">
        <f>472</f>
        <v>472</v>
      </c>
      <c r="Y472" s="1">
        <f>IF(AND(U472="INCLUDED",W472=1),--(NOT(EXACT(A472,'AI output'!A472)))+--(NOT(EXACT(B472,'AI output'!B472)))+--(NOT(EXACT(TEXT(G472,"yyyy-mm-dd"),'AI output'!C472)))+--(NOT(EXACT(H472,'AI output'!D472)))+--(NOT(EXACT(J472,'AI output'!E472)))+--(NOT(EXACT(K472,'AI output'!F472)))+--(N472&lt;&gt;'AI output'!L472)+--(NOT('AI output'!M472)),0)</f>
        <v>0</v>
      </c>
      <c r="Z472" s="1">
        <f t="shared" si="63"/>
        <v>0</v>
      </c>
      <c r="AA472" s="1">
        <f>--EXACT(A472,"L00466")</f>
        <v>1</v>
      </c>
    </row>
    <row r="473" spans="1:27" ht="18.95" customHeight="1">
      <c r="A473" s="1" t="str">
        <f>IF(Raw!A473="","",Raw!A473)</f>
        <v>L00467</v>
      </c>
      <c r="B473" s="1" t="str">
        <f>IF(Raw!B473="","",Raw!B473)</f>
        <v>T00234</v>
      </c>
      <c r="C473" s="1" t="str">
        <f>IF(Raw!C473="","",Raw!C473)</f>
        <v>2026-01-12</v>
      </c>
      <c r="D473" s="1">
        <f t="shared" si="56"/>
        <v>2026</v>
      </c>
      <c r="E473" s="1">
        <f>IFERROR(IF(AND(LEN(C473)=10,MID(C473,5,1)="-",MID(C473,8,1)="-"),VALUE(MID(C473,6,2)),IF(AND(LEN(C473)=11,MID(C473,3,1)="-",MID(C473,7,1)="-"),MATCH(UPPER(MID(C473,4,3)),Guide!$D$7:$D$18,0),0)),0)</f>
        <v>1</v>
      </c>
      <c r="F473" s="1">
        <f t="shared" si="57"/>
        <v>12</v>
      </c>
      <c r="G473" s="9">
        <f t="shared" si="58"/>
        <v>46034</v>
      </c>
      <c r="H473" s="1" t="str">
        <f>IF(Raw!D473="","",Raw!D473)</f>
        <v>P-H</v>
      </c>
      <c r="I473" s="1" t="str">
        <f>IFERROR(IF(EXACT(H473,INDEX(Guide!$A$7:$A$9,MATCH(SUBSTITUTE(SUBSTITUTE(SUBSTITUTE(H473,"~","~~"),"*","~*"),"?","~?"),Guide!$A$7:$A$9,0))),INDEX(Guide!$B$7:$B$9,MATCH(SUBSTITUTE(SUBSTITUTE(SUBSTITUTE(H473,"~","~~"),"*","~*"),"?","~?"),Guide!$A$7:$A$9,0)),""),"")</f>
        <v>Home</v>
      </c>
      <c r="J473" s="1" t="str">
        <f>IF(TRIM(Raw!E473)="",I473,IF(UPPER(TRIM(Raw!E473))=UPPER(I473),I473,""))</f>
        <v>Home</v>
      </c>
      <c r="K473" s="1" t="str">
        <f>IF(Raw!F473="","",Raw!F473)</f>
        <v>sale</v>
      </c>
      <c r="L473" s="1" t="str">
        <f>IF(LEFT(TRIM(Raw!G473),2)="-$","-"&amp;MID(TRIM(Raw!G473),3,99),IF(LEFT(TRIM(Raw!G473),1)="$",MID(TRIM(Raw!G473),2,99),TRIM(Raw!G473)))</f>
        <v>172.23</v>
      </c>
      <c r="M473" s="1">
        <f t="shared" si="59"/>
        <v>172.23</v>
      </c>
      <c r="N473" s="10">
        <f t="shared" si="60"/>
        <v>17223</v>
      </c>
      <c r="O473" s="1" t="b">
        <f>IFERROR(IF(ISNUMBER(Raw!G473),TRUE,OR(EXACT(L473,TEXT(M473,"0.00")),EXACT(L473,TEXT(M473,"#,##0.00")))),FALSE)</f>
        <v>1</v>
      </c>
      <c r="P473" s="1" t="str">
        <f>LEN(IF(Raw!A473="","",Raw!A473))&amp;":"&amp;IF(Raw!A473="","",Raw!A473)&amp;"|"&amp;LEN(IF(Raw!B473="","",Raw!B473))&amp;":"&amp;IF(Raw!B473="","",Raw!B473)&amp;"|"&amp;LEN(IF(Raw!C473="","",Raw!C473))&amp;":"&amp;IF(Raw!C473="","",Raw!C473)&amp;"|"&amp;LEN(IF(Raw!D473="","",Raw!D473))&amp;":"&amp;IF(Raw!D473="","",Raw!D473)&amp;"|"&amp;LEN(IF(Raw!E473="","",Raw!E473))&amp;":"&amp;IF(Raw!E473="","",Raw!E473)&amp;"|"&amp;LEN(IF(Raw!F473="","",Raw!F473))&amp;":"&amp;IF(Raw!F473="","",Raw!F473)&amp;"|"&amp;LEN(IF(Raw!G473="","",Raw!G473))&amp;":"&amp;IF(Raw!G473="","",Raw!G473)</f>
        <v>6:L00467|6:T00234|10:2026-01-12|3:P-H|4:Home|4:sale|6:172.23</v>
      </c>
      <c r="Q473" s="1">
        <f>1</f>
        <v>1</v>
      </c>
      <c r="R473" s="1" t="b">
        <f>FALSE</f>
        <v>0</v>
      </c>
      <c r="S473" s="1">
        <f>1</f>
        <v>1</v>
      </c>
      <c r="T473" s="1" t="str">
        <f>IF(AND(Raw!A473="",Raw!B473="",Raw!C473="",Raw!D473="",Raw!E473="",Raw!F473="",Raw!G473=""),"UNUSED",IF(A473="","missing line ID",IF(B473="","missing transaction ID",IF(G473="",IF(C473="","missing date","invalid date"),IF(I473="","unknown product",IF(J473="","conflicting category",IF(NOT(OR(EXACT(K473,"sale"),EXACT(K473,"refund"))),"unknown event",IF(OR(N473="",NOT(O473)),"invalid amount",IF(OR(AND(K473="sale",N473&lt;=0),AND(K473="refund",N473&gt;=0)),"invalid sign","")))))))))</f>
        <v/>
      </c>
      <c r="U473" s="1" t="str">
        <f t="shared" si="61"/>
        <v>INCLUDED</v>
      </c>
      <c r="V473" s="1" t="str">
        <f t="shared" si="62"/>
        <v>2026-01</v>
      </c>
      <c r="W473" s="1">
        <f>IF(AND(U473="INCLUDED",X473&gt;0,EXACT(A473,'AI output'!A473)),1,0)</f>
        <v>1</v>
      </c>
      <c r="X473" s="1">
        <f>473</f>
        <v>473</v>
      </c>
      <c r="Y473" s="1">
        <f>IF(AND(U473="INCLUDED",W473=1),--(NOT(EXACT(A473,'AI output'!A473)))+--(NOT(EXACT(B473,'AI output'!B473)))+--(NOT(EXACT(TEXT(G473,"yyyy-mm-dd"),'AI output'!C473)))+--(NOT(EXACT(H473,'AI output'!D473)))+--(NOT(EXACT(J473,'AI output'!E473)))+--(NOT(EXACT(K473,'AI output'!F473)))+--(N473&lt;&gt;'AI output'!L473)+--(NOT('AI output'!M473)),0)</f>
        <v>0</v>
      </c>
      <c r="Z473" s="1">
        <f t="shared" si="63"/>
        <v>0</v>
      </c>
      <c r="AA473" s="1">
        <f>--EXACT(A473,"L00467")</f>
        <v>1</v>
      </c>
    </row>
    <row r="474" spans="1:27" ht="18.95" customHeight="1">
      <c r="A474" s="1" t="str">
        <f>IF(Raw!A474="","",Raw!A474)</f>
        <v>L00468</v>
      </c>
      <c r="B474" s="1" t="str">
        <f>IF(Raw!B474="","",Raw!B474)</f>
        <v>T00234</v>
      </c>
      <c r="C474" s="1" t="str">
        <f>IF(Raw!C474="","",Raw!C474)</f>
        <v>2026-01-12</v>
      </c>
      <c r="D474" s="1">
        <f t="shared" si="56"/>
        <v>2026</v>
      </c>
      <c r="E474" s="1">
        <f>IFERROR(IF(AND(LEN(C474)=10,MID(C474,5,1)="-",MID(C474,8,1)="-"),VALUE(MID(C474,6,2)),IF(AND(LEN(C474)=11,MID(C474,3,1)="-",MID(C474,7,1)="-"),MATCH(UPPER(MID(C474,4,3)),Guide!$D$7:$D$18,0),0)),0)</f>
        <v>1</v>
      </c>
      <c r="F474" s="1">
        <f t="shared" si="57"/>
        <v>12</v>
      </c>
      <c r="G474" s="9">
        <f t="shared" si="58"/>
        <v>46034</v>
      </c>
      <c r="H474" s="1" t="str">
        <f>IF(Raw!D474="","",Raw!D474)</f>
        <v>P-O</v>
      </c>
      <c r="I474" s="1" t="str">
        <f>IFERROR(IF(EXACT(H474,INDEX(Guide!$A$7:$A$9,MATCH(SUBSTITUTE(SUBSTITUTE(SUBSTITUTE(H474,"~","~~"),"*","~*"),"?","~?"),Guide!$A$7:$A$9,0))),INDEX(Guide!$B$7:$B$9,MATCH(SUBSTITUTE(SUBSTITUTE(SUBSTITUTE(H474,"~","~~"),"*","~*"),"?","~?"),Guide!$A$7:$A$9,0)),""),"")</f>
        <v>Office</v>
      </c>
      <c r="J474" s="1" t="str">
        <f>IF(TRIM(Raw!E474)="",I474,IF(UPPER(TRIM(Raw!E474))=UPPER(I474),I474,""))</f>
        <v>Office</v>
      </c>
      <c r="K474" s="1" t="str">
        <f>IF(Raw!F474="","",Raw!F474)</f>
        <v>sale</v>
      </c>
      <c r="L474" s="1" t="str">
        <f>IF(LEFT(TRIM(Raw!G474),2)="-$","-"&amp;MID(TRIM(Raw!G474),3,99),IF(LEFT(TRIM(Raw!G474),1)="$",MID(TRIM(Raw!G474),2,99),TRIM(Raw!G474)))</f>
        <v>288.90</v>
      </c>
      <c r="M474" s="1">
        <f t="shared" si="59"/>
        <v>288.89999999999998</v>
      </c>
      <c r="N474" s="10">
        <f t="shared" si="60"/>
        <v>28890</v>
      </c>
      <c r="O474" s="1" t="b">
        <f>IFERROR(IF(ISNUMBER(Raw!G474),TRUE,OR(EXACT(L474,TEXT(M474,"0.00")),EXACT(L474,TEXT(M474,"#,##0.00")))),FALSE)</f>
        <v>1</v>
      </c>
      <c r="P474" s="1" t="str">
        <f>LEN(IF(Raw!A474="","",Raw!A474))&amp;":"&amp;IF(Raw!A474="","",Raw!A474)&amp;"|"&amp;LEN(IF(Raw!B474="","",Raw!B474))&amp;":"&amp;IF(Raw!B474="","",Raw!B474)&amp;"|"&amp;LEN(IF(Raw!C474="","",Raw!C474))&amp;":"&amp;IF(Raw!C474="","",Raw!C474)&amp;"|"&amp;LEN(IF(Raw!D474="","",Raw!D474))&amp;":"&amp;IF(Raw!D474="","",Raw!D474)&amp;"|"&amp;LEN(IF(Raw!E474="","",Raw!E474))&amp;":"&amp;IF(Raw!E474="","",Raw!E474)&amp;"|"&amp;LEN(IF(Raw!F474="","",Raw!F474))&amp;":"&amp;IF(Raw!F474="","",Raw!F474)&amp;"|"&amp;LEN(IF(Raw!G474="","",Raw!G474))&amp;":"&amp;IF(Raw!G474="","",Raw!G474)</f>
        <v>6:L00468|6:T00234|10:2026-01-12|3:P-O|6:Office|4:sale|6:288.90</v>
      </c>
      <c r="Q474" s="1">
        <f>1</f>
        <v>1</v>
      </c>
      <c r="R474" s="1" t="b">
        <f>FALSE</f>
        <v>0</v>
      </c>
      <c r="S474" s="1">
        <f>1</f>
        <v>1</v>
      </c>
      <c r="T474" s="1" t="str">
        <f>IF(AND(Raw!A474="",Raw!B474="",Raw!C474="",Raw!D474="",Raw!E474="",Raw!F474="",Raw!G474=""),"UNUSED",IF(A474="","missing line ID",IF(B474="","missing transaction ID",IF(G474="",IF(C474="","missing date","invalid date"),IF(I474="","unknown product",IF(J474="","conflicting category",IF(NOT(OR(EXACT(K474,"sale"),EXACT(K474,"refund"))),"unknown event",IF(OR(N474="",NOT(O474)),"invalid amount",IF(OR(AND(K474="sale",N474&lt;=0),AND(K474="refund",N474&gt;=0)),"invalid sign","")))))))))</f>
        <v/>
      </c>
      <c r="U474" s="1" t="str">
        <f t="shared" si="61"/>
        <v>INCLUDED</v>
      </c>
      <c r="V474" s="1" t="str">
        <f t="shared" si="62"/>
        <v>2026-01</v>
      </c>
      <c r="W474" s="1">
        <f>IF(AND(U474="INCLUDED",X474&gt;0,EXACT(A474,'AI output'!A474)),1,0)</f>
        <v>1</v>
      </c>
      <c r="X474" s="1">
        <f>474</f>
        <v>474</v>
      </c>
      <c r="Y474" s="1">
        <f>IF(AND(U474="INCLUDED",W474=1),--(NOT(EXACT(A474,'AI output'!A474)))+--(NOT(EXACT(B474,'AI output'!B474)))+--(NOT(EXACT(TEXT(G474,"yyyy-mm-dd"),'AI output'!C474)))+--(NOT(EXACT(H474,'AI output'!D474)))+--(NOT(EXACT(J474,'AI output'!E474)))+--(NOT(EXACT(K474,'AI output'!F474)))+--(N474&lt;&gt;'AI output'!L474)+--(NOT('AI output'!M474)),0)</f>
        <v>0</v>
      </c>
      <c r="Z474" s="1">
        <f t="shared" si="63"/>
        <v>0</v>
      </c>
      <c r="AA474" s="1">
        <f>--EXACT(A474,"L00468")</f>
        <v>1</v>
      </c>
    </row>
    <row r="475" spans="1:27" ht="18.95" customHeight="1">
      <c r="A475" s="1" t="str">
        <f>IF(Raw!A475="","",Raw!A475)</f>
        <v>L00469</v>
      </c>
      <c r="B475" s="1" t="str">
        <f>IF(Raw!B475="","",Raw!B475)</f>
        <v>T00235</v>
      </c>
      <c r="C475" s="1" t="str">
        <f>IF(Raw!C475="","",Raw!C475)</f>
        <v>2026-01-19</v>
      </c>
      <c r="D475" s="1">
        <f t="shared" si="56"/>
        <v>2026</v>
      </c>
      <c r="E475" s="1">
        <f>IFERROR(IF(AND(LEN(C475)=10,MID(C475,5,1)="-",MID(C475,8,1)="-"),VALUE(MID(C475,6,2)),IF(AND(LEN(C475)=11,MID(C475,3,1)="-",MID(C475,7,1)="-"),MATCH(UPPER(MID(C475,4,3)),Guide!$D$7:$D$18,0),0)),0)</f>
        <v>1</v>
      </c>
      <c r="F475" s="1">
        <f t="shared" si="57"/>
        <v>19</v>
      </c>
      <c r="G475" s="9">
        <f t="shared" si="58"/>
        <v>46041</v>
      </c>
      <c r="H475" s="1" t="str">
        <f>IF(Raw!D475="","",Raw!D475)</f>
        <v>P-A</v>
      </c>
      <c r="I475" s="1" t="str">
        <f>IFERROR(IF(EXACT(H475,INDEX(Guide!$A$7:$A$9,MATCH(SUBSTITUTE(SUBSTITUTE(SUBSTITUTE(H475,"~","~~"),"*","~*"),"?","~?"),Guide!$A$7:$A$9,0))),INDEX(Guide!$B$7:$B$9,MATCH(SUBSTITUTE(SUBSTITUTE(SUBSTITUTE(H475,"~","~~"),"*","~*"),"?","~?"),Guide!$A$7:$A$9,0)),""),"")</f>
        <v>Accessories</v>
      </c>
      <c r="J475" s="1" t="str">
        <f>IF(TRIM(Raw!E475)="",I475,IF(UPPER(TRIM(Raw!E475))=UPPER(I475),I475,""))</f>
        <v>Accessories</v>
      </c>
      <c r="K475" s="1" t="str">
        <f>IF(Raw!F475="","",Raw!F475)</f>
        <v>sale</v>
      </c>
      <c r="L475" s="1" t="str">
        <f>IF(LEFT(TRIM(Raw!G475),2)="-$","-"&amp;MID(TRIM(Raw!G475),3,99),IF(LEFT(TRIM(Raw!G475),1)="$",MID(TRIM(Raw!G475),2,99),TRIM(Raw!G475)))</f>
        <v>116.30</v>
      </c>
      <c r="M475" s="1">
        <f t="shared" si="59"/>
        <v>116.3</v>
      </c>
      <c r="N475" s="10">
        <f t="shared" si="60"/>
        <v>11630</v>
      </c>
      <c r="O475" s="1" t="b">
        <f>IFERROR(IF(ISNUMBER(Raw!G475),TRUE,OR(EXACT(L475,TEXT(M475,"0.00")),EXACT(L475,TEXT(M475,"#,##0.00")))),FALSE)</f>
        <v>1</v>
      </c>
      <c r="P475" s="1" t="str">
        <f>LEN(IF(Raw!A475="","",Raw!A475))&amp;":"&amp;IF(Raw!A475="","",Raw!A475)&amp;"|"&amp;LEN(IF(Raw!B475="","",Raw!B475))&amp;":"&amp;IF(Raw!B475="","",Raw!B475)&amp;"|"&amp;LEN(IF(Raw!C475="","",Raw!C475))&amp;":"&amp;IF(Raw!C475="","",Raw!C475)&amp;"|"&amp;LEN(IF(Raw!D475="","",Raw!D475))&amp;":"&amp;IF(Raw!D475="","",Raw!D475)&amp;"|"&amp;LEN(IF(Raw!E475="","",Raw!E475))&amp;":"&amp;IF(Raw!E475="","",Raw!E475)&amp;"|"&amp;LEN(IF(Raw!F475="","",Raw!F475))&amp;":"&amp;IF(Raw!F475="","",Raw!F475)&amp;"|"&amp;LEN(IF(Raw!G475="","",Raw!G475))&amp;":"&amp;IF(Raw!G475="","",Raw!G475)</f>
        <v>6:L00469|6:T00235|10:2026-01-19|3:P-A|11:Accessories|4:sale|6:116.30</v>
      </c>
      <c r="Q475" s="1">
        <f>1</f>
        <v>1</v>
      </c>
      <c r="R475" s="1" t="b">
        <f>FALSE</f>
        <v>0</v>
      </c>
      <c r="S475" s="1">
        <f>1</f>
        <v>1</v>
      </c>
      <c r="T475" s="1" t="str">
        <f>IF(AND(Raw!A475="",Raw!B475="",Raw!C475="",Raw!D475="",Raw!E475="",Raw!F475="",Raw!G475=""),"UNUSED",IF(A475="","missing line ID",IF(B475="","missing transaction ID",IF(G475="",IF(C475="","missing date","invalid date"),IF(I475="","unknown product",IF(J475="","conflicting category",IF(NOT(OR(EXACT(K475,"sale"),EXACT(K475,"refund"))),"unknown event",IF(OR(N475="",NOT(O475)),"invalid amount",IF(OR(AND(K475="sale",N475&lt;=0),AND(K475="refund",N475&gt;=0)),"invalid sign","")))))))))</f>
        <v/>
      </c>
      <c r="U475" s="1" t="str">
        <f t="shared" si="61"/>
        <v>INCLUDED</v>
      </c>
      <c r="V475" s="1" t="str">
        <f t="shared" si="62"/>
        <v>2026-01</v>
      </c>
      <c r="W475" s="1">
        <f>IF(AND(U475="INCLUDED",X475&gt;0,EXACT(A475,'AI output'!A475)),1,0)</f>
        <v>1</v>
      </c>
      <c r="X475" s="1">
        <f>475</f>
        <v>475</v>
      </c>
      <c r="Y475" s="1">
        <f>IF(AND(U475="INCLUDED",W475=1),--(NOT(EXACT(A475,'AI output'!A475)))+--(NOT(EXACT(B475,'AI output'!B475)))+--(NOT(EXACT(TEXT(G475,"yyyy-mm-dd"),'AI output'!C475)))+--(NOT(EXACT(H475,'AI output'!D475)))+--(NOT(EXACT(J475,'AI output'!E475)))+--(NOT(EXACT(K475,'AI output'!F475)))+--(N475&lt;&gt;'AI output'!L475)+--(NOT('AI output'!M475)),0)</f>
        <v>0</v>
      </c>
      <c r="Z475" s="1">
        <f t="shared" si="63"/>
        <v>0</v>
      </c>
      <c r="AA475" s="1">
        <f>--EXACT(A475,"L00469")</f>
        <v>1</v>
      </c>
    </row>
    <row r="476" spans="1:27" ht="18.95" customHeight="1">
      <c r="A476" s="1" t="str">
        <f>IF(Raw!A476="","",Raw!A476)</f>
        <v>L00470</v>
      </c>
      <c r="B476" s="1" t="str">
        <f>IF(Raw!B476="","",Raw!B476)</f>
        <v>T00235</v>
      </c>
      <c r="C476" s="1" t="str">
        <f>IF(Raw!C476="","",Raw!C476)</f>
        <v>2026-01-19</v>
      </c>
      <c r="D476" s="1">
        <f t="shared" si="56"/>
        <v>2026</v>
      </c>
      <c r="E476" s="1">
        <f>IFERROR(IF(AND(LEN(C476)=10,MID(C476,5,1)="-",MID(C476,8,1)="-"),VALUE(MID(C476,6,2)),IF(AND(LEN(C476)=11,MID(C476,3,1)="-",MID(C476,7,1)="-"),MATCH(UPPER(MID(C476,4,3)),Guide!$D$7:$D$18,0),0)),0)</f>
        <v>1</v>
      </c>
      <c r="F476" s="1">
        <f t="shared" si="57"/>
        <v>19</v>
      </c>
      <c r="G476" s="9">
        <f t="shared" si="58"/>
        <v>46041</v>
      </c>
      <c r="H476" s="1" t="str">
        <f>IF(Raw!D476="","",Raw!D476)</f>
        <v>P-H</v>
      </c>
      <c r="I476" s="1" t="str">
        <f>IFERROR(IF(EXACT(H476,INDEX(Guide!$A$7:$A$9,MATCH(SUBSTITUTE(SUBSTITUTE(SUBSTITUTE(H476,"~","~~"),"*","~*"),"?","~?"),Guide!$A$7:$A$9,0))),INDEX(Guide!$B$7:$B$9,MATCH(SUBSTITUTE(SUBSTITUTE(SUBSTITUTE(H476,"~","~~"),"*","~*"),"?","~?"),Guide!$A$7:$A$9,0)),""),"")</f>
        <v>Home</v>
      </c>
      <c r="J476" s="1" t="str">
        <f>IF(TRIM(Raw!E476)="",I476,IF(UPPER(TRIM(Raw!E476))=UPPER(I476),I476,""))</f>
        <v>Home</v>
      </c>
      <c r="K476" s="1" t="str">
        <f>IF(Raw!F476="","",Raw!F476)</f>
        <v>sale</v>
      </c>
      <c r="L476" s="1" t="str">
        <f>IF(LEFT(TRIM(Raw!G476),2)="-$","-"&amp;MID(TRIM(Raw!G476),3,99),IF(LEFT(TRIM(Raw!G476),1)="$",MID(TRIM(Raw!G476),2,99),TRIM(Raw!G476)))</f>
        <v>234.08</v>
      </c>
      <c r="M476" s="1">
        <f t="shared" si="59"/>
        <v>234.08</v>
      </c>
      <c r="N476" s="10">
        <f t="shared" si="60"/>
        <v>23408</v>
      </c>
      <c r="O476" s="1" t="b">
        <f>IFERROR(IF(ISNUMBER(Raw!G476),TRUE,OR(EXACT(L476,TEXT(M476,"0.00")),EXACT(L476,TEXT(M476,"#,##0.00")))),FALSE)</f>
        <v>1</v>
      </c>
      <c r="P476" s="1" t="str">
        <f>LEN(IF(Raw!A476="","",Raw!A476))&amp;":"&amp;IF(Raw!A476="","",Raw!A476)&amp;"|"&amp;LEN(IF(Raw!B476="","",Raw!B476))&amp;":"&amp;IF(Raw!B476="","",Raw!B476)&amp;"|"&amp;LEN(IF(Raw!C476="","",Raw!C476))&amp;":"&amp;IF(Raw!C476="","",Raw!C476)&amp;"|"&amp;LEN(IF(Raw!D476="","",Raw!D476))&amp;":"&amp;IF(Raw!D476="","",Raw!D476)&amp;"|"&amp;LEN(IF(Raw!E476="","",Raw!E476))&amp;":"&amp;IF(Raw!E476="","",Raw!E476)&amp;"|"&amp;LEN(IF(Raw!F476="","",Raw!F476))&amp;":"&amp;IF(Raw!F476="","",Raw!F476)&amp;"|"&amp;LEN(IF(Raw!G476="","",Raw!G476))&amp;":"&amp;IF(Raw!G476="","",Raw!G476)</f>
        <v>6:L00470|6:T00235|10:2026-01-19|3:P-H|4:Home|4:sale|6:234.08</v>
      </c>
      <c r="Q476" s="1">
        <f>1</f>
        <v>1</v>
      </c>
      <c r="R476" s="1" t="b">
        <f>FALSE</f>
        <v>0</v>
      </c>
      <c r="S476" s="1">
        <f>1</f>
        <v>1</v>
      </c>
      <c r="T476" s="1" t="str">
        <f>IF(AND(Raw!A476="",Raw!B476="",Raw!C476="",Raw!D476="",Raw!E476="",Raw!F476="",Raw!G476=""),"UNUSED",IF(A476="","missing line ID",IF(B476="","missing transaction ID",IF(G476="",IF(C476="","missing date","invalid date"),IF(I476="","unknown product",IF(J476="","conflicting category",IF(NOT(OR(EXACT(K476,"sale"),EXACT(K476,"refund"))),"unknown event",IF(OR(N476="",NOT(O476)),"invalid amount",IF(OR(AND(K476="sale",N476&lt;=0),AND(K476="refund",N476&gt;=0)),"invalid sign","")))))))))</f>
        <v/>
      </c>
      <c r="U476" s="1" t="str">
        <f t="shared" si="61"/>
        <v>INCLUDED</v>
      </c>
      <c r="V476" s="1" t="str">
        <f t="shared" si="62"/>
        <v>2026-01</v>
      </c>
      <c r="W476" s="1">
        <f>IF(AND(U476="INCLUDED",X476&gt;0,EXACT(A476,'AI output'!A476)),1,0)</f>
        <v>1</v>
      </c>
      <c r="X476" s="1">
        <f>476</f>
        <v>476</v>
      </c>
      <c r="Y476" s="1">
        <f>IF(AND(U476="INCLUDED",W476=1),--(NOT(EXACT(A476,'AI output'!A476)))+--(NOT(EXACT(B476,'AI output'!B476)))+--(NOT(EXACT(TEXT(G476,"yyyy-mm-dd"),'AI output'!C476)))+--(NOT(EXACT(H476,'AI output'!D476)))+--(NOT(EXACT(J476,'AI output'!E476)))+--(NOT(EXACT(K476,'AI output'!F476)))+--(N476&lt;&gt;'AI output'!L476)+--(NOT('AI output'!M476)),0)</f>
        <v>0</v>
      </c>
      <c r="Z476" s="1">
        <f t="shared" si="63"/>
        <v>0</v>
      </c>
      <c r="AA476" s="1">
        <f>--EXACT(A476,"L00470")</f>
        <v>1</v>
      </c>
    </row>
    <row r="477" spans="1:27" ht="18.95" customHeight="1">
      <c r="A477" s="1" t="str">
        <f>IF(Raw!A477="","",Raw!A477)</f>
        <v>L00471</v>
      </c>
      <c r="B477" s="1" t="str">
        <f>IF(Raw!B477="","",Raw!B477)</f>
        <v>T00236</v>
      </c>
      <c r="C477" s="1" t="str">
        <f>IF(Raw!C477="","",Raw!C477)</f>
        <v>2026-01-26</v>
      </c>
      <c r="D477" s="1">
        <f t="shared" si="56"/>
        <v>2026</v>
      </c>
      <c r="E477" s="1">
        <f>IFERROR(IF(AND(LEN(C477)=10,MID(C477,5,1)="-",MID(C477,8,1)="-"),VALUE(MID(C477,6,2)),IF(AND(LEN(C477)=11,MID(C477,3,1)="-",MID(C477,7,1)="-"),MATCH(UPPER(MID(C477,4,3)),Guide!$D$7:$D$18,0),0)),0)</f>
        <v>1</v>
      </c>
      <c r="F477" s="1">
        <f t="shared" si="57"/>
        <v>26</v>
      </c>
      <c r="G477" s="9">
        <f t="shared" si="58"/>
        <v>46048</v>
      </c>
      <c r="H477" s="1" t="str">
        <f>IF(Raw!D477="","",Raw!D477)</f>
        <v>P-O</v>
      </c>
      <c r="I477" s="1" t="str">
        <f>IFERROR(IF(EXACT(H477,INDEX(Guide!$A$7:$A$9,MATCH(SUBSTITUTE(SUBSTITUTE(SUBSTITUTE(H477,"~","~~"),"*","~*"),"?","~?"),Guide!$A$7:$A$9,0))),INDEX(Guide!$B$7:$B$9,MATCH(SUBSTITUTE(SUBSTITUTE(SUBSTITUTE(H477,"~","~~"),"*","~*"),"?","~?"),Guide!$A$7:$A$9,0)),""),"")</f>
        <v>Office</v>
      </c>
      <c r="J477" s="1" t="str">
        <f>IF(TRIM(Raw!E477)="",I477,IF(UPPER(TRIM(Raw!E477))=UPPER(I477),I477,""))</f>
        <v>Office</v>
      </c>
      <c r="K477" s="1" t="str">
        <f>IF(Raw!F477="","",Raw!F477)</f>
        <v>sale</v>
      </c>
      <c r="L477" s="1" t="str">
        <f>IF(LEFT(TRIM(Raw!G477),2)="-$","-"&amp;MID(TRIM(Raw!G477),3,99),IF(LEFT(TRIM(Raw!G477),1)="$",MID(TRIM(Raw!G477),2,99),TRIM(Raw!G477)))</f>
        <v>58.89</v>
      </c>
      <c r="M477" s="1">
        <f t="shared" si="59"/>
        <v>58.89</v>
      </c>
      <c r="N477" s="10">
        <f t="shared" si="60"/>
        <v>5889</v>
      </c>
      <c r="O477" s="1" t="b">
        <f>IFERROR(IF(ISNUMBER(Raw!G477),TRUE,OR(EXACT(L477,TEXT(M477,"0.00")),EXACT(L477,TEXT(M477,"#,##0.00")))),FALSE)</f>
        <v>1</v>
      </c>
      <c r="P477" s="1" t="str">
        <f>LEN(IF(Raw!A477="","",Raw!A477))&amp;":"&amp;IF(Raw!A477="","",Raw!A477)&amp;"|"&amp;LEN(IF(Raw!B477="","",Raw!B477))&amp;":"&amp;IF(Raw!B477="","",Raw!B477)&amp;"|"&amp;LEN(IF(Raw!C477="","",Raw!C477))&amp;":"&amp;IF(Raw!C477="","",Raw!C477)&amp;"|"&amp;LEN(IF(Raw!D477="","",Raw!D477))&amp;":"&amp;IF(Raw!D477="","",Raw!D477)&amp;"|"&amp;LEN(IF(Raw!E477="","",Raw!E477))&amp;":"&amp;IF(Raw!E477="","",Raw!E477)&amp;"|"&amp;LEN(IF(Raw!F477="","",Raw!F477))&amp;":"&amp;IF(Raw!F477="","",Raw!F477)&amp;"|"&amp;LEN(IF(Raw!G477="","",Raw!G477))&amp;":"&amp;IF(Raw!G477="","",Raw!G477)</f>
        <v>6:L00471|6:T00236|10:2026-01-26|3:P-O|6:Office|4:sale|5:58.89</v>
      </c>
      <c r="Q477" s="1">
        <f>1</f>
        <v>1</v>
      </c>
      <c r="R477" s="1" t="b">
        <f>FALSE</f>
        <v>0</v>
      </c>
      <c r="S477" s="1">
        <f>1</f>
        <v>1</v>
      </c>
      <c r="T477" s="1" t="str">
        <f>IF(AND(Raw!A477="",Raw!B477="",Raw!C477="",Raw!D477="",Raw!E477="",Raw!F477="",Raw!G477=""),"UNUSED",IF(A477="","missing line ID",IF(B477="","missing transaction ID",IF(G477="",IF(C477="","missing date","invalid date"),IF(I477="","unknown product",IF(J477="","conflicting category",IF(NOT(OR(EXACT(K477,"sale"),EXACT(K477,"refund"))),"unknown event",IF(OR(N477="",NOT(O477)),"invalid amount",IF(OR(AND(K477="sale",N477&lt;=0),AND(K477="refund",N477&gt;=0)),"invalid sign","")))))))))</f>
        <v/>
      </c>
      <c r="U477" s="1" t="str">
        <f t="shared" si="61"/>
        <v>INCLUDED</v>
      </c>
      <c r="V477" s="1" t="str">
        <f t="shared" si="62"/>
        <v>2026-01</v>
      </c>
      <c r="W477" s="1">
        <f>IF(AND(U477="INCLUDED",X477&gt;0,EXACT(A477,'AI output'!A477)),1,0)</f>
        <v>1</v>
      </c>
      <c r="X477" s="1">
        <f>477</f>
        <v>477</v>
      </c>
      <c r="Y477" s="1">
        <f>IF(AND(U477="INCLUDED",W477=1),--(NOT(EXACT(A477,'AI output'!A477)))+--(NOT(EXACT(B477,'AI output'!B477)))+--(NOT(EXACT(TEXT(G477,"yyyy-mm-dd"),'AI output'!C477)))+--(NOT(EXACT(H477,'AI output'!D477)))+--(NOT(EXACT(J477,'AI output'!E477)))+--(NOT(EXACT(K477,'AI output'!F477)))+--(N477&lt;&gt;'AI output'!L477)+--(NOT('AI output'!M477)),0)</f>
        <v>0</v>
      </c>
      <c r="Z477" s="1">
        <f t="shared" si="63"/>
        <v>0</v>
      </c>
      <c r="AA477" s="1">
        <f>--EXACT(A477,"L00471")</f>
        <v>1</v>
      </c>
    </row>
    <row r="478" spans="1:27" ht="18.95" customHeight="1">
      <c r="A478" s="1" t="str">
        <f>IF(Raw!A478="","",Raw!A478)</f>
        <v>L00472</v>
      </c>
      <c r="B478" s="1" t="str">
        <f>IF(Raw!B478="","",Raw!B478)</f>
        <v>T00236</v>
      </c>
      <c r="C478" s="1" t="str">
        <f>IF(Raw!C478="","",Raw!C478)</f>
        <v>2026-01-26</v>
      </c>
      <c r="D478" s="1">
        <f t="shared" si="56"/>
        <v>2026</v>
      </c>
      <c r="E478" s="1">
        <f>IFERROR(IF(AND(LEN(C478)=10,MID(C478,5,1)="-",MID(C478,8,1)="-"),VALUE(MID(C478,6,2)),IF(AND(LEN(C478)=11,MID(C478,3,1)="-",MID(C478,7,1)="-"),MATCH(UPPER(MID(C478,4,3)),Guide!$D$7:$D$18,0),0)),0)</f>
        <v>1</v>
      </c>
      <c r="F478" s="1">
        <f t="shared" si="57"/>
        <v>26</v>
      </c>
      <c r="G478" s="9">
        <f t="shared" si="58"/>
        <v>46048</v>
      </c>
      <c r="H478" s="1" t="str">
        <f>IF(Raw!D478="","",Raw!D478)</f>
        <v>P-A</v>
      </c>
      <c r="I478" s="1" t="str">
        <f>IFERROR(IF(EXACT(H478,INDEX(Guide!$A$7:$A$9,MATCH(SUBSTITUTE(SUBSTITUTE(SUBSTITUTE(H478,"~","~~"),"*","~*"),"?","~?"),Guide!$A$7:$A$9,0))),INDEX(Guide!$B$7:$B$9,MATCH(SUBSTITUTE(SUBSTITUTE(SUBSTITUTE(H478,"~","~~"),"*","~*"),"?","~?"),Guide!$A$7:$A$9,0)),""),"")</f>
        <v>Accessories</v>
      </c>
      <c r="J478" s="1" t="str">
        <f>IF(TRIM(Raw!E478)="",I478,IF(UPPER(TRIM(Raw!E478))=UPPER(I478),I478,""))</f>
        <v>Accessories</v>
      </c>
      <c r="K478" s="1" t="str">
        <f>IF(Raw!F478="","",Raw!F478)</f>
        <v>sale</v>
      </c>
      <c r="L478" s="1" t="str">
        <f>IF(LEFT(TRIM(Raw!G478),2)="-$","-"&amp;MID(TRIM(Raw!G478),3,99),IF(LEFT(TRIM(Raw!G478),1)="$",MID(TRIM(Raw!G478),2,99),TRIM(Raw!G478)))</f>
        <v>177.78</v>
      </c>
      <c r="M478" s="1">
        <f t="shared" si="59"/>
        <v>177.78</v>
      </c>
      <c r="N478" s="10">
        <f t="shared" si="60"/>
        <v>17778</v>
      </c>
      <c r="O478" s="1" t="b">
        <f>IFERROR(IF(ISNUMBER(Raw!G478),TRUE,OR(EXACT(L478,TEXT(M478,"0.00")),EXACT(L478,TEXT(M478,"#,##0.00")))),FALSE)</f>
        <v>1</v>
      </c>
      <c r="P478" s="1" t="str">
        <f>LEN(IF(Raw!A478="","",Raw!A478))&amp;":"&amp;IF(Raw!A478="","",Raw!A478)&amp;"|"&amp;LEN(IF(Raw!B478="","",Raw!B478))&amp;":"&amp;IF(Raw!B478="","",Raw!B478)&amp;"|"&amp;LEN(IF(Raw!C478="","",Raw!C478))&amp;":"&amp;IF(Raw!C478="","",Raw!C478)&amp;"|"&amp;LEN(IF(Raw!D478="","",Raw!D478))&amp;":"&amp;IF(Raw!D478="","",Raw!D478)&amp;"|"&amp;LEN(IF(Raw!E478="","",Raw!E478))&amp;":"&amp;IF(Raw!E478="","",Raw!E478)&amp;"|"&amp;LEN(IF(Raw!F478="","",Raw!F478))&amp;":"&amp;IF(Raw!F478="","",Raw!F478)&amp;"|"&amp;LEN(IF(Raw!G478="","",Raw!G478))&amp;":"&amp;IF(Raw!G478="","",Raw!G478)</f>
        <v>6:L00472|6:T00236|10:2026-01-26|3:P-A|11:Accessories|4:sale|6:177.78</v>
      </c>
      <c r="Q478" s="1">
        <f>1</f>
        <v>1</v>
      </c>
      <c r="R478" s="1" t="b">
        <f>FALSE</f>
        <v>0</v>
      </c>
      <c r="S478" s="1">
        <f>1</f>
        <v>1</v>
      </c>
      <c r="T478" s="1" t="str">
        <f>IF(AND(Raw!A478="",Raw!B478="",Raw!C478="",Raw!D478="",Raw!E478="",Raw!F478="",Raw!G478=""),"UNUSED",IF(A478="","missing line ID",IF(B478="","missing transaction ID",IF(G478="",IF(C478="","missing date","invalid date"),IF(I478="","unknown product",IF(J478="","conflicting category",IF(NOT(OR(EXACT(K478,"sale"),EXACT(K478,"refund"))),"unknown event",IF(OR(N478="",NOT(O478)),"invalid amount",IF(OR(AND(K478="sale",N478&lt;=0),AND(K478="refund",N478&gt;=0)),"invalid sign","")))))))))</f>
        <v/>
      </c>
      <c r="U478" s="1" t="str">
        <f t="shared" si="61"/>
        <v>INCLUDED</v>
      </c>
      <c r="V478" s="1" t="str">
        <f t="shared" si="62"/>
        <v>2026-01</v>
      </c>
      <c r="W478" s="1">
        <f>IF(AND(U478="INCLUDED",X478&gt;0,EXACT(A478,'AI output'!A478)),1,0)</f>
        <v>1</v>
      </c>
      <c r="X478" s="1">
        <f>478</f>
        <v>478</v>
      </c>
      <c r="Y478" s="1">
        <f>IF(AND(U478="INCLUDED",W478=1),--(NOT(EXACT(A478,'AI output'!A478)))+--(NOT(EXACT(B478,'AI output'!B478)))+--(NOT(EXACT(TEXT(G478,"yyyy-mm-dd"),'AI output'!C478)))+--(NOT(EXACT(H478,'AI output'!D478)))+--(NOT(EXACT(J478,'AI output'!E478)))+--(NOT(EXACT(K478,'AI output'!F478)))+--(N478&lt;&gt;'AI output'!L478)+--(NOT('AI output'!M478)),0)</f>
        <v>0</v>
      </c>
      <c r="Z478" s="1">
        <f t="shared" si="63"/>
        <v>0</v>
      </c>
      <c r="AA478" s="1">
        <f>--EXACT(A478,"L00472")</f>
        <v>1</v>
      </c>
    </row>
    <row r="479" spans="1:27" ht="18.95" customHeight="1">
      <c r="A479" s="1" t="str">
        <f>IF(Raw!A479="","",Raw!A479)</f>
        <v>L00473</v>
      </c>
      <c r="B479" s="1" t="str">
        <f>IF(Raw!B479="","",Raw!B479)</f>
        <v>T00237</v>
      </c>
      <c r="C479" s="1" t="str">
        <f>IF(Raw!C479="","",Raw!C479)</f>
        <v>2026-02-02</v>
      </c>
      <c r="D479" s="1">
        <f t="shared" si="56"/>
        <v>2026</v>
      </c>
      <c r="E479" s="1">
        <f>IFERROR(IF(AND(LEN(C479)=10,MID(C479,5,1)="-",MID(C479,8,1)="-"),VALUE(MID(C479,6,2)),IF(AND(LEN(C479)=11,MID(C479,3,1)="-",MID(C479,7,1)="-"),MATCH(UPPER(MID(C479,4,3)),Guide!$D$7:$D$18,0),0)),0)</f>
        <v>2</v>
      </c>
      <c r="F479" s="1">
        <f t="shared" si="57"/>
        <v>2</v>
      </c>
      <c r="G479" s="9">
        <f t="shared" si="58"/>
        <v>46055</v>
      </c>
      <c r="H479" s="1" t="str">
        <f>IF(Raw!D479="","",Raw!D479)</f>
        <v>P-H</v>
      </c>
      <c r="I479" s="1" t="str">
        <f>IFERROR(IF(EXACT(H479,INDEX(Guide!$A$7:$A$9,MATCH(SUBSTITUTE(SUBSTITUTE(SUBSTITUTE(H479,"~","~~"),"*","~*"),"?","~?"),Guide!$A$7:$A$9,0))),INDEX(Guide!$B$7:$B$9,MATCH(SUBSTITUTE(SUBSTITUTE(SUBSTITUTE(H479,"~","~~"),"*","~*"),"?","~?"),Guide!$A$7:$A$9,0)),""),"")</f>
        <v>Home</v>
      </c>
      <c r="J479" s="1" t="str">
        <f>IF(TRIM(Raw!E479)="",I479,IF(UPPER(TRIM(Raw!E479))=UPPER(I479),I479,""))</f>
        <v>Home</v>
      </c>
      <c r="K479" s="1" t="str">
        <f>IF(Raw!F479="","",Raw!F479)</f>
        <v>sale</v>
      </c>
      <c r="L479" s="1" t="str">
        <f>IF(LEFT(TRIM(Raw!G479),2)="-$","-"&amp;MID(TRIM(Raw!G479),3,99),IF(LEFT(TRIM(Raw!G479),1)="$",MID(TRIM(Raw!G479),2,99),TRIM(Raw!G479)))</f>
        <v>298.15</v>
      </c>
      <c r="M479" s="1">
        <f t="shared" si="59"/>
        <v>298.14999999999998</v>
      </c>
      <c r="N479" s="10">
        <f t="shared" si="60"/>
        <v>29815</v>
      </c>
      <c r="O479" s="1" t="b">
        <f>IFERROR(IF(ISNUMBER(Raw!G479),TRUE,OR(EXACT(L479,TEXT(M479,"0.00")),EXACT(L479,TEXT(M479,"#,##0.00")))),FALSE)</f>
        <v>1</v>
      </c>
      <c r="P479" s="1" t="str">
        <f>LEN(IF(Raw!A479="","",Raw!A479))&amp;":"&amp;IF(Raw!A479="","",Raw!A479)&amp;"|"&amp;LEN(IF(Raw!B479="","",Raw!B479))&amp;":"&amp;IF(Raw!B479="","",Raw!B479)&amp;"|"&amp;LEN(IF(Raw!C479="","",Raw!C479))&amp;":"&amp;IF(Raw!C479="","",Raw!C479)&amp;"|"&amp;LEN(IF(Raw!D479="","",Raw!D479))&amp;":"&amp;IF(Raw!D479="","",Raw!D479)&amp;"|"&amp;LEN(IF(Raw!E479="","",Raw!E479))&amp;":"&amp;IF(Raw!E479="","",Raw!E479)&amp;"|"&amp;LEN(IF(Raw!F479="","",Raw!F479))&amp;":"&amp;IF(Raw!F479="","",Raw!F479)&amp;"|"&amp;LEN(IF(Raw!G479="","",Raw!G479))&amp;":"&amp;IF(Raw!G479="","",Raw!G479)</f>
        <v>6:L00473|6:T00237|10:2026-02-02|3:P-H|4:Home|4:sale|6:298.15</v>
      </c>
      <c r="Q479" s="1">
        <f>1</f>
        <v>1</v>
      </c>
      <c r="R479" s="1" t="b">
        <f>FALSE</f>
        <v>0</v>
      </c>
      <c r="S479" s="1">
        <f>1</f>
        <v>1</v>
      </c>
      <c r="T479" s="1" t="str">
        <f>IF(AND(Raw!A479="",Raw!B479="",Raw!C479="",Raw!D479="",Raw!E479="",Raw!F479="",Raw!G479=""),"UNUSED",IF(A479="","missing line ID",IF(B479="","missing transaction ID",IF(G479="",IF(C479="","missing date","invalid date"),IF(I479="","unknown product",IF(J479="","conflicting category",IF(NOT(OR(EXACT(K479,"sale"),EXACT(K479,"refund"))),"unknown event",IF(OR(N479="",NOT(O479)),"invalid amount",IF(OR(AND(K479="sale",N479&lt;=0),AND(K479="refund",N479&gt;=0)),"invalid sign","")))))))))</f>
        <v/>
      </c>
      <c r="U479" s="1" t="str">
        <f t="shared" si="61"/>
        <v>INCLUDED</v>
      </c>
      <c r="V479" s="1" t="str">
        <f t="shared" si="62"/>
        <v>2026-02</v>
      </c>
      <c r="W479" s="1">
        <f>IF(AND(U479="INCLUDED",X479&gt;0,EXACT(A479,'AI output'!A479)),1,0)</f>
        <v>1</v>
      </c>
      <c r="X479" s="1">
        <f>479</f>
        <v>479</v>
      </c>
      <c r="Y479" s="1">
        <f>IF(AND(U479="INCLUDED",W479=1),--(NOT(EXACT(A479,'AI output'!A479)))+--(NOT(EXACT(B479,'AI output'!B479)))+--(NOT(EXACT(TEXT(G479,"yyyy-mm-dd"),'AI output'!C479)))+--(NOT(EXACT(H479,'AI output'!D479)))+--(NOT(EXACT(J479,'AI output'!E479)))+--(NOT(EXACT(K479,'AI output'!F479)))+--(N479&lt;&gt;'AI output'!L479)+--(NOT('AI output'!M479)),0)</f>
        <v>0</v>
      </c>
      <c r="Z479" s="1">
        <f t="shared" si="63"/>
        <v>0</v>
      </c>
      <c r="AA479" s="1">
        <f>--EXACT(A479,"L00473")</f>
        <v>1</v>
      </c>
    </row>
    <row r="480" spans="1:27" ht="18.95" customHeight="1">
      <c r="A480" s="1" t="str">
        <f>IF(Raw!A480="","",Raw!A480)</f>
        <v>L00474</v>
      </c>
      <c r="B480" s="1" t="str">
        <f>IF(Raw!B480="","",Raw!B480)</f>
        <v>T00237</v>
      </c>
      <c r="C480" s="1" t="str">
        <f>IF(Raw!C480="","",Raw!C480)</f>
        <v>2026-02-02</v>
      </c>
      <c r="D480" s="1">
        <f t="shared" si="56"/>
        <v>2026</v>
      </c>
      <c r="E480" s="1">
        <f>IFERROR(IF(AND(LEN(C480)=10,MID(C480,5,1)="-",MID(C480,8,1)="-"),VALUE(MID(C480,6,2)),IF(AND(LEN(C480)=11,MID(C480,3,1)="-",MID(C480,7,1)="-"),MATCH(UPPER(MID(C480,4,3)),Guide!$D$7:$D$18,0),0)),0)</f>
        <v>2</v>
      </c>
      <c r="F480" s="1">
        <f t="shared" si="57"/>
        <v>2</v>
      </c>
      <c r="G480" s="9">
        <f t="shared" si="58"/>
        <v>46055</v>
      </c>
      <c r="H480" s="1" t="str">
        <f>IF(Raw!D480="","",Raw!D480)</f>
        <v>P-O</v>
      </c>
      <c r="I480" s="1" t="str">
        <f>IFERROR(IF(EXACT(H480,INDEX(Guide!$A$7:$A$9,MATCH(SUBSTITUTE(SUBSTITUTE(SUBSTITUTE(H480,"~","~~"),"*","~*"),"?","~?"),Guide!$A$7:$A$9,0))),INDEX(Guide!$B$7:$B$9,MATCH(SUBSTITUTE(SUBSTITUTE(SUBSTITUTE(H480,"~","~~"),"*","~*"),"?","~?"),Guide!$A$7:$A$9,0)),""),"")</f>
        <v>Office</v>
      </c>
      <c r="J480" s="1" t="str">
        <f>IF(TRIM(Raw!E480)="",I480,IF(UPPER(TRIM(Raw!E480))=UPPER(I480),I480,""))</f>
        <v>Office</v>
      </c>
      <c r="K480" s="1" t="str">
        <f>IF(Raw!F480="","",Raw!F480)</f>
        <v>sale</v>
      </c>
      <c r="L480" s="1" t="str">
        <f>IF(LEFT(TRIM(Raw!G480),2)="-$","-"&amp;MID(TRIM(Raw!G480),3,99),IF(LEFT(TRIM(Raw!G480),1)="$",MID(TRIM(Raw!G480),2,99),TRIM(Raw!G480)))</f>
        <v>120.00</v>
      </c>
      <c r="M480" s="1">
        <f t="shared" si="59"/>
        <v>120</v>
      </c>
      <c r="N480" s="10">
        <f t="shared" si="60"/>
        <v>12000</v>
      </c>
      <c r="O480" s="1" t="b">
        <f>IFERROR(IF(ISNUMBER(Raw!G480),TRUE,OR(EXACT(L480,TEXT(M480,"0.00")),EXACT(L480,TEXT(M480,"#,##0.00")))),FALSE)</f>
        <v>1</v>
      </c>
      <c r="P480" s="1" t="str">
        <f>LEN(IF(Raw!A480="","",Raw!A480))&amp;":"&amp;IF(Raw!A480="","",Raw!A480)&amp;"|"&amp;LEN(IF(Raw!B480="","",Raw!B480))&amp;":"&amp;IF(Raw!B480="","",Raw!B480)&amp;"|"&amp;LEN(IF(Raw!C480="","",Raw!C480))&amp;":"&amp;IF(Raw!C480="","",Raw!C480)&amp;"|"&amp;LEN(IF(Raw!D480="","",Raw!D480))&amp;":"&amp;IF(Raw!D480="","",Raw!D480)&amp;"|"&amp;LEN(IF(Raw!E480="","",Raw!E480))&amp;":"&amp;IF(Raw!E480="","",Raw!E480)&amp;"|"&amp;LEN(IF(Raw!F480="","",Raw!F480))&amp;":"&amp;IF(Raw!F480="","",Raw!F480)&amp;"|"&amp;LEN(IF(Raw!G480="","",Raw!G480))&amp;":"&amp;IF(Raw!G480="","",Raw!G480)</f>
        <v>6:L00474|6:T00237|10:2026-02-02|3:P-O|6:Office|4:sale|6:120.00</v>
      </c>
      <c r="Q480" s="1">
        <f>1</f>
        <v>1</v>
      </c>
      <c r="R480" s="1" t="b">
        <f>FALSE</f>
        <v>0</v>
      </c>
      <c r="S480" s="1">
        <f>1</f>
        <v>1</v>
      </c>
      <c r="T480" s="1" t="str">
        <f>IF(AND(Raw!A480="",Raw!B480="",Raw!C480="",Raw!D480="",Raw!E480="",Raw!F480="",Raw!G480=""),"UNUSED",IF(A480="","missing line ID",IF(B480="","missing transaction ID",IF(G480="",IF(C480="","missing date","invalid date"),IF(I480="","unknown product",IF(J480="","conflicting category",IF(NOT(OR(EXACT(K480,"sale"),EXACT(K480,"refund"))),"unknown event",IF(OR(N480="",NOT(O480)),"invalid amount",IF(OR(AND(K480="sale",N480&lt;=0),AND(K480="refund",N480&gt;=0)),"invalid sign","")))))))))</f>
        <v/>
      </c>
      <c r="U480" s="1" t="str">
        <f t="shared" si="61"/>
        <v>INCLUDED</v>
      </c>
      <c r="V480" s="1" t="str">
        <f t="shared" si="62"/>
        <v>2026-02</v>
      </c>
      <c r="W480" s="1">
        <f>IF(AND(U480="INCLUDED",X480&gt;0,EXACT(A480,'AI output'!A480)),1,0)</f>
        <v>1</v>
      </c>
      <c r="X480" s="1">
        <f>480</f>
        <v>480</v>
      </c>
      <c r="Y480" s="1">
        <f>IF(AND(U480="INCLUDED",W480=1),--(NOT(EXACT(A480,'AI output'!A480)))+--(NOT(EXACT(B480,'AI output'!B480)))+--(NOT(EXACT(TEXT(G480,"yyyy-mm-dd"),'AI output'!C480)))+--(NOT(EXACT(H480,'AI output'!D480)))+--(NOT(EXACT(J480,'AI output'!E480)))+--(NOT(EXACT(K480,'AI output'!F480)))+--(N480&lt;&gt;'AI output'!L480)+--(NOT('AI output'!M480)),0)</f>
        <v>0</v>
      </c>
      <c r="Z480" s="1">
        <f t="shared" si="63"/>
        <v>0</v>
      </c>
      <c r="AA480" s="1">
        <f>--EXACT(A480,"L00474")</f>
        <v>1</v>
      </c>
    </row>
    <row r="481" spans="1:27" ht="18.95" customHeight="1">
      <c r="A481" s="1" t="str">
        <f>IF(Raw!A481="","",Raw!A481)</f>
        <v>L00475</v>
      </c>
      <c r="B481" s="1" t="str">
        <f>IF(Raw!B481="","",Raw!B481)</f>
        <v>T00238</v>
      </c>
      <c r="C481" s="1" t="str">
        <f>IF(Raw!C481="","",Raw!C481)</f>
        <v>2026-02-09</v>
      </c>
      <c r="D481" s="1">
        <f t="shared" si="56"/>
        <v>2026</v>
      </c>
      <c r="E481" s="1">
        <f>IFERROR(IF(AND(LEN(C481)=10,MID(C481,5,1)="-",MID(C481,8,1)="-"),VALUE(MID(C481,6,2)),IF(AND(LEN(C481)=11,MID(C481,3,1)="-",MID(C481,7,1)="-"),MATCH(UPPER(MID(C481,4,3)),Guide!$D$7:$D$18,0),0)),0)</f>
        <v>2</v>
      </c>
      <c r="F481" s="1">
        <f t="shared" si="57"/>
        <v>9</v>
      </c>
      <c r="G481" s="9">
        <f t="shared" si="58"/>
        <v>46062</v>
      </c>
      <c r="H481" s="1" t="str">
        <f>IF(Raw!D481="","",Raw!D481)</f>
        <v>P-A</v>
      </c>
      <c r="I481" s="1" t="str">
        <f>IFERROR(IF(EXACT(H481,INDEX(Guide!$A$7:$A$9,MATCH(SUBSTITUTE(SUBSTITUTE(SUBSTITUTE(H481,"~","~~"),"*","~*"),"?","~?"),Guide!$A$7:$A$9,0))),INDEX(Guide!$B$7:$B$9,MATCH(SUBSTITUTE(SUBSTITUTE(SUBSTITUTE(H481,"~","~~"),"*","~*"),"?","~?"),Guide!$A$7:$A$9,0)),""),"")</f>
        <v>Accessories</v>
      </c>
      <c r="J481" s="1" t="str">
        <f>IF(TRIM(Raw!E481)="",I481,IF(UPPER(TRIM(Raw!E481))=UPPER(I481),I481,""))</f>
        <v>Accessories</v>
      </c>
      <c r="K481" s="1" t="str">
        <f>IF(Raw!F481="","",Raw!F481)</f>
        <v>sale</v>
      </c>
      <c r="L481" s="1" t="str">
        <f>IF(LEFT(TRIM(Raw!G481),2)="-$","-"&amp;MID(TRIM(Raw!G481),3,99),IF(LEFT(TRIM(Raw!G481),1)="$",MID(TRIM(Raw!G481),2,99),TRIM(Raw!G481)))</f>
        <v>241.48</v>
      </c>
      <c r="M481" s="1">
        <f t="shared" si="59"/>
        <v>241.48</v>
      </c>
      <c r="N481" s="10">
        <f t="shared" si="60"/>
        <v>24148</v>
      </c>
      <c r="O481" s="1" t="b">
        <f>IFERROR(IF(ISNUMBER(Raw!G481),TRUE,OR(EXACT(L481,TEXT(M481,"0.00")),EXACT(L481,TEXT(M481,"#,##0.00")))),FALSE)</f>
        <v>1</v>
      </c>
      <c r="P481" s="1" t="str">
        <f>LEN(IF(Raw!A481="","",Raw!A481))&amp;":"&amp;IF(Raw!A481="","",Raw!A481)&amp;"|"&amp;LEN(IF(Raw!B481="","",Raw!B481))&amp;":"&amp;IF(Raw!B481="","",Raw!B481)&amp;"|"&amp;LEN(IF(Raw!C481="","",Raw!C481))&amp;":"&amp;IF(Raw!C481="","",Raw!C481)&amp;"|"&amp;LEN(IF(Raw!D481="","",Raw!D481))&amp;":"&amp;IF(Raw!D481="","",Raw!D481)&amp;"|"&amp;LEN(IF(Raw!E481="","",Raw!E481))&amp;":"&amp;IF(Raw!E481="","",Raw!E481)&amp;"|"&amp;LEN(IF(Raw!F481="","",Raw!F481))&amp;":"&amp;IF(Raw!F481="","",Raw!F481)&amp;"|"&amp;LEN(IF(Raw!G481="","",Raw!G481))&amp;":"&amp;IF(Raw!G481="","",Raw!G481)</f>
        <v>6:L00475|6:T00238|10:2026-02-09|3:P-A|11:Accessories|4:sale|6:241.48</v>
      </c>
      <c r="Q481" s="1">
        <f>1</f>
        <v>1</v>
      </c>
      <c r="R481" s="1" t="b">
        <f>FALSE</f>
        <v>0</v>
      </c>
      <c r="S481" s="1">
        <f>1</f>
        <v>1</v>
      </c>
      <c r="T481" s="1" t="str">
        <f>IF(AND(Raw!A481="",Raw!B481="",Raw!C481="",Raw!D481="",Raw!E481="",Raw!F481="",Raw!G481=""),"UNUSED",IF(A481="","missing line ID",IF(B481="","missing transaction ID",IF(G481="",IF(C481="","missing date","invalid date"),IF(I481="","unknown product",IF(J481="","conflicting category",IF(NOT(OR(EXACT(K481,"sale"),EXACT(K481,"refund"))),"unknown event",IF(OR(N481="",NOT(O481)),"invalid amount",IF(OR(AND(K481="sale",N481&lt;=0),AND(K481="refund",N481&gt;=0)),"invalid sign","")))))))))</f>
        <v/>
      </c>
      <c r="U481" s="1" t="str">
        <f t="shared" si="61"/>
        <v>INCLUDED</v>
      </c>
      <c r="V481" s="1" t="str">
        <f t="shared" si="62"/>
        <v>2026-02</v>
      </c>
      <c r="W481" s="1">
        <f>IF(AND(U481="INCLUDED",X481&gt;0,EXACT(A481,'AI output'!A481)),1,0)</f>
        <v>1</v>
      </c>
      <c r="X481" s="1">
        <f>481</f>
        <v>481</v>
      </c>
      <c r="Y481" s="1">
        <f>IF(AND(U481="INCLUDED",W481=1),--(NOT(EXACT(A481,'AI output'!A481)))+--(NOT(EXACT(B481,'AI output'!B481)))+--(NOT(EXACT(TEXT(G481,"yyyy-mm-dd"),'AI output'!C481)))+--(NOT(EXACT(H481,'AI output'!D481)))+--(NOT(EXACT(J481,'AI output'!E481)))+--(NOT(EXACT(K481,'AI output'!F481)))+--(N481&lt;&gt;'AI output'!L481)+--(NOT('AI output'!M481)),0)</f>
        <v>0</v>
      </c>
      <c r="Z481" s="1">
        <f t="shared" si="63"/>
        <v>0</v>
      </c>
      <c r="AA481" s="1">
        <f>--EXACT(A481,"L00475")</f>
        <v>1</v>
      </c>
    </row>
    <row r="482" spans="1:27" ht="18.95" customHeight="1">
      <c r="A482" s="1" t="str">
        <f>IF(Raw!A482="","",Raw!A482)</f>
        <v>L00476</v>
      </c>
      <c r="B482" s="1" t="str">
        <f>IF(Raw!B482="","",Raw!B482)</f>
        <v>T00238</v>
      </c>
      <c r="C482" s="1" t="str">
        <f>IF(Raw!C482="","",Raw!C482)</f>
        <v>2026-02-09</v>
      </c>
      <c r="D482" s="1">
        <f t="shared" si="56"/>
        <v>2026</v>
      </c>
      <c r="E482" s="1">
        <f>IFERROR(IF(AND(LEN(C482)=10,MID(C482,5,1)="-",MID(C482,8,1)="-"),VALUE(MID(C482,6,2)),IF(AND(LEN(C482)=11,MID(C482,3,1)="-",MID(C482,7,1)="-"),MATCH(UPPER(MID(C482,4,3)),Guide!$D$7:$D$18,0),0)),0)</f>
        <v>2</v>
      </c>
      <c r="F482" s="1">
        <f t="shared" si="57"/>
        <v>9</v>
      </c>
      <c r="G482" s="9">
        <f t="shared" si="58"/>
        <v>46062</v>
      </c>
      <c r="H482" s="1" t="str">
        <f>IF(Raw!D482="","",Raw!D482)</f>
        <v>P-H</v>
      </c>
      <c r="I482" s="1" t="str">
        <f>IFERROR(IF(EXACT(H482,INDEX(Guide!$A$7:$A$9,MATCH(SUBSTITUTE(SUBSTITUTE(SUBSTITUTE(H482,"~","~~"),"*","~*"),"?","~?"),Guide!$A$7:$A$9,0))),INDEX(Guide!$B$7:$B$9,MATCH(SUBSTITUTE(SUBSTITUTE(SUBSTITUTE(H482,"~","~~"),"*","~*"),"?","~?"),Guide!$A$7:$A$9,0)),""),"")</f>
        <v>Home</v>
      </c>
      <c r="J482" s="1" t="str">
        <f>IF(TRIM(Raw!E482)="",I482,IF(UPPER(TRIM(Raw!E482))=UPPER(I482),I482,""))</f>
        <v>Home</v>
      </c>
      <c r="K482" s="1" t="str">
        <f>IF(Raw!F482="","",Raw!F482)</f>
        <v>sale</v>
      </c>
      <c r="L482" s="1" t="str">
        <f>IF(LEFT(TRIM(Raw!G482),2)="-$","-"&amp;MID(TRIM(Raw!G482),3,99),IF(LEFT(TRIM(Raw!G482),1)="$",MID(TRIM(Raw!G482),2,99),TRIM(Raw!G482)))</f>
        <v>60.74</v>
      </c>
      <c r="M482" s="1">
        <f t="shared" si="59"/>
        <v>60.74</v>
      </c>
      <c r="N482" s="10">
        <f t="shared" si="60"/>
        <v>6074</v>
      </c>
      <c r="O482" s="1" t="b">
        <f>IFERROR(IF(ISNUMBER(Raw!G482),TRUE,OR(EXACT(L482,TEXT(M482,"0.00")),EXACT(L482,TEXT(M482,"#,##0.00")))),FALSE)</f>
        <v>1</v>
      </c>
      <c r="P482" s="1" t="str">
        <f>LEN(IF(Raw!A482="","",Raw!A482))&amp;":"&amp;IF(Raw!A482="","",Raw!A482)&amp;"|"&amp;LEN(IF(Raw!B482="","",Raw!B482))&amp;":"&amp;IF(Raw!B482="","",Raw!B482)&amp;"|"&amp;LEN(IF(Raw!C482="","",Raw!C482))&amp;":"&amp;IF(Raw!C482="","",Raw!C482)&amp;"|"&amp;LEN(IF(Raw!D482="","",Raw!D482))&amp;":"&amp;IF(Raw!D482="","",Raw!D482)&amp;"|"&amp;LEN(IF(Raw!E482="","",Raw!E482))&amp;":"&amp;IF(Raw!E482="","",Raw!E482)&amp;"|"&amp;LEN(IF(Raw!F482="","",Raw!F482))&amp;":"&amp;IF(Raw!F482="","",Raw!F482)&amp;"|"&amp;LEN(IF(Raw!G482="","",Raw!G482))&amp;":"&amp;IF(Raw!G482="","",Raw!G482)</f>
        <v>6:L00476|6:T00238|10:2026-02-09|3:P-H|4:Home|4:sale|5:60.74</v>
      </c>
      <c r="Q482" s="1">
        <f>1</f>
        <v>1</v>
      </c>
      <c r="R482" s="1" t="b">
        <f>FALSE</f>
        <v>0</v>
      </c>
      <c r="S482" s="1">
        <f>1</f>
        <v>1</v>
      </c>
      <c r="T482" s="1" t="str">
        <f>IF(AND(Raw!A482="",Raw!B482="",Raw!C482="",Raw!D482="",Raw!E482="",Raw!F482="",Raw!G482=""),"UNUSED",IF(A482="","missing line ID",IF(B482="","missing transaction ID",IF(G482="",IF(C482="","missing date","invalid date"),IF(I482="","unknown product",IF(J482="","conflicting category",IF(NOT(OR(EXACT(K482,"sale"),EXACT(K482,"refund"))),"unknown event",IF(OR(N482="",NOT(O482)),"invalid amount",IF(OR(AND(K482="sale",N482&lt;=0),AND(K482="refund",N482&gt;=0)),"invalid sign","")))))))))</f>
        <v/>
      </c>
      <c r="U482" s="1" t="str">
        <f t="shared" si="61"/>
        <v>INCLUDED</v>
      </c>
      <c r="V482" s="1" t="str">
        <f t="shared" si="62"/>
        <v>2026-02</v>
      </c>
      <c r="W482" s="1">
        <f>IF(AND(U482="INCLUDED",X482&gt;0,EXACT(A482,'AI output'!A482)),1,0)</f>
        <v>1</v>
      </c>
      <c r="X482" s="1">
        <f>482</f>
        <v>482</v>
      </c>
      <c r="Y482" s="1">
        <f>IF(AND(U482="INCLUDED",W482=1),--(NOT(EXACT(A482,'AI output'!A482)))+--(NOT(EXACT(B482,'AI output'!B482)))+--(NOT(EXACT(TEXT(G482,"yyyy-mm-dd"),'AI output'!C482)))+--(NOT(EXACT(H482,'AI output'!D482)))+--(NOT(EXACT(J482,'AI output'!E482)))+--(NOT(EXACT(K482,'AI output'!F482)))+--(N482&lt;&gt;'AI output'!L482)+--(NOT('AI output'!M482)),0)</f>
        <v>0</v>
      </c>
      <c r="Z482" s="1">
        <f t="shared" si="63"/>
        <v>0</v>
      </c>
      <c r="AA482" s="1">
        <f>--EXACT(A482,"L00476")</f>
        <v>1</v>
      </c>
    </row>
    <row r="483" spans="1:27" ht="18.95" customHeight="1">
      <c r="A483" s="1" t="str">
        <f>IF(Raw!A483="","",Raw!A483)</f>
        <v>L00477</v>
      </c>
      <c r="B483" s="1" t="str">
        <f>IF(Raw!B483="","",Raw!B483)</f>
        <v>T00239</v>
      </c>
      <c r="C483" s="1" t="str">
        <f>IF(Raw!C483="","",Raw!C483)</f>
        <v>2026-02-16</v>
      </c>
      <c r="D483" s="1">
        <f t="shared" si="56"/>
        <v>2026</v>
      </c>
      <c r="E483" s="1">
        <f>IFERROR(IF(AND(LEN(C483)=10,MID(C483,5,1)="-",MID(C483,8,1)="-"),VALUE(MID(C483,6,2)),IF(AND(LEN(C483)=11,MID(C483,3,1)="-",MID(C483,7,1)="-"),MATCH(UPPER(MID(C483,4,3)),Guide!$D$7:$D$18,0),0)),0)</f>
        <v>2</v>
      </c>
      <c r="F483" s="1">
        <f t="shared" si="57"/>
        <v>16</v>
      </c>
      <c r="G483" s="9">
        <f t="shared" si="58"/>
        <v>46069</v>
      </c>
      <c r="H483" s="1" t="str">
        <f>IF(Raw!D483="","",Raw!D483)</f>
        <v>P-O</v>
      </c>
      <c r="I483" s="1" t="str">
        <f>IFERROR(IF(EXACT(H483,INDEX(Guide!$A$7:$A$9,MATCH(SUBSTITUTE(SUBSTITUTE(SUBSTITUTE(H483,"~","~~"),"*","~*"),"?","~?"),Guide!$A$7:$A$9,0))),INDEX(Guide!$B$7:$B$9,MATCH(SUBSTITUTE(SUBSTITUTE(SUBSTITUTE(H483,"~","~~"),"*","~*"),"?","~?"),Guide!$A$7:$A$9,0)),""),"")</f>
        <v>Office</v>
      </c>
      <c r="J483" s="1" t="str">
        <f>IF(TRIM(Raw!E483)="",I483,IF(UPPER(TRIM(Raw!E483))=UPPER(I483),I483,""))</f>
        <v>Office</v>
      </c>
      <c r="K483" s="1" t="str">
        <f>IF(Raw!F483="","",Raw!F483)</f>
        <v>sale</v>
      </c>
      <c r="L483" s="1" t="str">
        <f>IF(LEFT(TRIM(Raw!G483),2)="-$","-"&amp;MID(TRIM(Raw!G483),3,99),IF(LEFT(TRIM(Raw!G483),1)="$",MID(TRIM(Raw!G483),2,99),TRIM(Raw!G483)))</f>
        <v>183.33</v>
      </c>
      <c r="M483" s="1">
        <f t="shared" si="59"/>
        <v>183.33</v>
      </c>
      <c r="N483" s="10">
        <f t="shared" si="60"/>
        <v>18333</v>
      </c>
      <c r="O483" s="1" t="b">
        <f>IFERROR(IF(ISNUMBER(Raw!G483),TRUE,OR(EXACT(L483,TEXT(M483,"0.00")),EXACT(L483,TEXT(M483,"#,##0.00")))),FALSE)</f>
        <v>1</v>
      </c>
      <c r="P483" s="1" t="str">
        <f>LEN(IF(Raw!A483="","",Raw!A483))&amp;":"&amp;IF(Raw!A483="","",Raw!A483)&amp;"|"&amp;LEN(IF(Raw!B483="","",Raw!B483))&amp;":"&amp;IF(Raw!B483="","",Raw!B483)&amp;"|"&amp;LEN(IF(Raw!C483="","",Raw!C483))&amp;":"&amp;IF(Raw!C483="","",Raw!C483)&amp;"|"&amp;LEN(IF(Raw!D483="","",Raw!D483))&amp;":"&amp;IF(Raw!D483="","",Raw!D483)&amp;"|"&amp;LEN(IF(Raw!E483="","",Raw!E483))&amp;":"&amp;IF(Raw!E483="","",Raw!E483)&amp;"|"&amp;LEN(IF(Raw!F483="","",Raw!F483))&amp;":"&amp;IF(Raw!F483="","",Raw!F483)&amp;"|"&amp;LEN(IF(Raw!G483="","",Raw!G483))&amp;":"&amp;IF(Raw!G483="","",Raw!G483)</f>
        <v>6:L00477|6:T00239|10:2026-02-16|3:P-O|6:Office|4:sale|6:183.33</v>
      </c>
      <c r="Q483" s="1">
        <f>1</f>
        <v>1</v>
      </c>
      <c r="R483" s="1" t="b">
        <f>FALSE</f>
        <v>0</v>
      </c>
      <c r="S483" s="1">
        <f>1</f>
        <v>1</v>
      </c>
      <c r="T483" s="1" t="str">
        <f>IF(AND(Raw!A483="",Raw!B483="",Raw!C483="",Raw!D483="",Raw!E483="",Raw!F483="",Raw!G483=""),"UNUSED",IF(A483="","missing line ID",IF(B483="","missing transaction ID",IF(G483="",IF(C483="","missing date","invalid date"),IF(I483="","unknown product",IF(J483="","conflicting category",IF(NOT(OR(EXACT(K483,"sale"),EXACT(K483,"refund"))),"unknown event",IF(OR(N483="",NOT(O483)),"invalid amount",IF(OR(AND(K483="sale",N483&lt;=0),AND(K483="refund",N483&gt;=0)),"invalid sign","")))))))))</f>
        <v/>
      </c>
      <c r="U483" s="1" t="str">
        <f t="shared" si="61"/>
        <v>INCLUDED</v>
      </c>
      <c r="V483" s="1" t="str">
        <f t="shared" si="62"/>
        <v>2026-02</v>
      </c>
      <c r="W483" s="1">
        <f>IF(AND(U483="INCLUDED",X483&gt;0,EXACT(A483,'AI output'!A483)),1,0)</f>
        <v>1</v>
      </c>
      <c r="X483" s="1">
        <f>483</f>
        <v>483</v>
      </c>
      <c r="Y483" s="1">
        <f>IF(AND(U483="INCLUDED",W483=1),--(NOT(EXACT(A483,'AI output'!A483)))+--(NOT(EXACT(B483,'AI output'!B483)))+--(NOT(EXACT(TEXT(G483,"yyyy-mm-dd"),'AI output'!C483)))+--(NOT(EXACT(H483,'AI output'!D483)))+--(NOT(EXACT(J483,'AI output'!E483)))+--(NOT(EXACT(K483,'AI output'!F483)))+--(N483&lt;&gt;'AI output'!L483)+--(NOT('AI output'!M483)),0)</f>
        <v>0</v>
      </c>
      <c r="Z483" s="1">
        <f t="shared" si="63"/>
        <v>0</v>
      </c>
      <c r="AA483" s="1">
        <f>--EXACT(A483,"L00477")</f>
        <v>1</v>
      </c>
    </row>
    <row r="484" spans="1:27" ht="18.95" customHeight="1">
      <c r="A484" s="1" t="str">
        <f>IF(Raw!A484="","",Raw!A484)</f>
        <v>L00478</v>
      </c>
      <c r="B484" s="1" t="str">
        <f>IF(Raw!B484="","",Raw!B484)</f>
        <v>T00239</v>
      </c>
      <c r="C484" s="1" t="str">
        <f>IF(Raw!C484="","",Raw!C484)</f>
        <v>2026-02-16</v>
      </c>
      <c r="D484" s="1">
        <f t="shared" si="56"/>
        <v>2026</v>
      </c>
      <c r="E484" s="1">
        <f>IFERROR(IF(AND(LEN(C484)=10,MID(C484,5,1)="-",MID(C484,8,1)="-"),VALUE(MID(C484,6,2)),IF(AND(LEN(C484)=11,MID(C484,3,1)="-",MID(C484,7,1)="-"),MATCH(UPPER(MID(C484,4,3)),Guide!$D$7:$D$18,0),0)),0)</f>
        <v>2</v>
      </c>
      <c r="F484" s="1">
        <f t="shared" si="57"/>
        <v>16</v>
      </c>
      <c r="G484" s="9">
        <f t="shared" si="58"/>
        <v>46069</v>
      </c>
      <c r="H484" s="1" t="str">
        <f>IF(Raw!D484="","",Raw!D484)</f>
        <v>P-A</v>
      </c>
      <c r="I484" s="1" t="str">
        <f>IFERROR(IF(EXACT(H484,INDEX(Guide!$A$7:$A$9,MATCH(SUBSTITUTE(SUBSTITUTE(SUBSTITUTE(H484,"~","~~"),"*","~*"),"?","~?"),Guide!$A$7:$A$9,0))),INDEX(Guide!$B$7:$B$9,MATCH(SUBSTITUTE(SUBSTITUTE(SUBSTITUTE(H484,"~","~~"),"*","~*"),"?","~?"),Guide!$A$7:$A$9,0)),""),"")</f>
        <v>Accessories</v>
      </c>
      <c r="J484" s="1" t="str">
        <f>IF(TRIM(Raw!E484)="",I484,IF(UPPER(TRIM(Raw!E484))=UPPER(I484),I484,""))</f>
        <v>Accessories</v>
      </c>
      <c r="K484" s="1" t="str">
        <f>IF(Raw!F484="","",Raw!F484)</f>
        <v>sale</v>
      </c>
      <c r="L484" s="1" t="str">
        <f>IF(LEFT(TRIM(Raw!G484),2)="-$","-"&amp;MID(TRIM(Raw!G484),3,99),IF(LEFT(TRIM(Raw!G484),1)="$",MID(TRIM(Raw!G484),2,99),TRIM(Raw!G484)))</f>
        <v>307.40</v>
      </c>
      <c r="M484" s="1">
        <f t="shared" si="59"/>
        <v>307.39999999999998</v>
      </c>
      <c r="N484" s="10">
        <f t="shared" si="60"/>
        <v>30740</v>
      </c>
      <c r="O484" s="1" t="b">
        <f>IFERROR(IF(ISNUMBER(Raw!G484),TRUE,OR(EXACT(L484,TEXT(M484,"0.00")),EXACT(L484,TEXT(M484,"#,##0.00")))),FALSE)</f>
        <v>1</v>
      </c>
      <c r="P484" s="1" t="str">
        <f>LEN(IF(Raw!A484="","",Raw!A484))&amp;":"&amp;IF(Raw!A484="","",Raw!A484)&amp;"|"&amp;LEN(IF(Raw!B484="","",Raw!B484))&amp;":"&amp;IF(Raw!B484="","",Raw!B484)&amp;"|"&amp;LEN(IF(Raw!C484="","",Raw!C484))&amp;":"&amp;IF(Raw!C484="","",Raw!C484)&amp;"|"&amp;LEN(IF(Raw!D484="","",Raw!D484))&amp;":"&amp;IF(Raw!D484="","",Raw!D484)&amp;"|"&amp;LEN(IF(Raw!E484="","",Raw!E484))&amp;":"&amp;IF(Raw!E484="","",Raw!E484)&amp;"|"&amp;LEN(IF(Raw!F484="","",Raw!F484))&amp;":"&amp;IF(Raw!F484="","",Raw!F484)&amp;"|"&amp;LEN(IF(Raw!G484="","",Raw!G484))&amp;":"&amp;IF(Raw!G484="","",Raw!G484)</f>
        <v>6:L00478|6:T00239|10:2026-02-16|3:P-A|11:Accessories|4:sale|6:307.40</v>
      </c>
      <c r="Q484" s="1">
        <f>1</f>
        <v>1</v>
      </c>
      <c r="R484" s="1" t="b">
        <f>FALSE</f>
        <v>0</v>
      </c>
      <c r="S484" s="1">
        <f>1</f>
        <v>1</v>
      </c>
      <c r="T484" s="1" t="str">
        <f>IF(AND(Raw!A484="",Raw!B484="",Raw!C484="",Raw!D484="",Raw!E484="",Raw!F484="",Raw!G484=""),"UNUSED",IF(A484="","missing line ID",IF(B484="","missing transaction ID",IF(G484="",IF(C484="","missing date","invalid date"),IF(I484="","unknown product",IF(J484="","conflicting category",IF(NOT(OR(EXACT(K484,"sale"),EXACT(K484,"refund"))),"unknown event",IF(OR(N484="",NOT(O484)),"invalid amount",IF(OR(AND(K484="sale",N484&lt;=0),AND(K484="refund",N484&gt;=0)),"invalid sign","")))))))))</f>
        <v/>
      </c>
      <c r="U484" s="1" t="str">
        <f t="shared" si="61"/>
        <v>INCLUDED</v>
      </c>
      <c r="V484" s="1" t="str">
        <f t="shared" si="62"/>
        <v>2026-02</v>
      </c>
      <c r="W484" s="1">
        <f>IF(AND(U484="INCLUDED",X484&gt;0,EXACT(A484,'AI output'!A484)),1,0)</f>
        <v>1</v>
      </c>
      <c r="X484" s="1">
        <f>484</f>
        <v>484</v>
      </c>
      <c r="Y484" s="1">
        <f>IF(AND(U484="INCLUDED",W484=1),--(NOT(EXACT(A484,'AI output'!A484)))+--(NOT(EXACT(B484,'AI output'!B484)))+--(NOT(EXACT(TEXT(G484,"yyyy-mm-dd"),'AI output'!C484)))+--(NOT(EXACT(H484,'AI output'!D484)))+--(NOT(EXACT(J484,'AI output'!E484)))+--(NOT(EXACT(K484,'AI output'!F484)))+--(N484&lt;&gt;'AI output'!L484)+--(NOT('AI output'!M484)),0)</f>
        <v>0</v>
      </c>
      <c r="Z484" s="1">
        <f t="shared" si="63"/>
        <v>0</v>
      </c>
      <c r="AA484" s="1">
        <f>--EXACT(A484,"L00478")</f>
        <v>1</v>
      </c>
    </row>
    <row r="485" spans="1:27" ht="18.95" customHeight="1">
      <c r="A485" s="1" t="str">
        <f>IF(Raw!A485="","",Raw!A485)</f>
        <v>L00479</v>
      </c>
      <c r="B485" s="1" t="str">
        <f>IF(Raw!B485="","",Raw!B485)</f>
        <v>T00240</v>
      </c>
      <c r="C485" s="1" t="str">
        <f>IF(Raw!C485="","",Raw!C485)</f>
        <v>2026-02-23</v>
      </c>
      <c r="D485" s="1">
        <f t="shared" si="56"/>
        <v>2026</v>
      </c>
      <c r="E485" s="1">
        <f>IFERROR(IF(AND(LEN(C485)=10,MID(C485,5,1)="-",MID(C485,8,1)="-"),VALUE(MID(C485,6,2)),IF(AND(LEN(C485)=11,MID(C485,3,1)="-",MID(C485,7,1)="-"),MATCH(UPPER(MID(C485,4,3)),Guide!$D$7:$D$18,0),0)),0)</f>
        <v>2</v>
      </c>
      <c r="F485" s="1">
        <f t="shared" si="57"/>
        <v>23</v>
      </c>
      <c r="G485" s="9">
        <f t="shared" si="58"/>
        <v>46076</v>
      </c>
      <c r="H485" s="1" t="str">
        <f>IF(Raw!D485="","",Raw!D485)</f>
        <v>P-H</v>
      </c>
      <c r="I485" s="1" t="str">
        <f>IFERROR(IF(EXACT(H485,INDEX(Guide!$A$7:$A$9,MATCH(SUBSTITUTE(SUBSTITUTE(SUBSTITUTE(H485,"~","~~"),"*","~*"),"?","~?"),Guide!$A$7:$A$9,0))),INDEX(Guide!$B$7:$B$9,MATCH(SUBSTITUTE(SUBSTITUTE(SUBSTITUTE(H485,"~","~~"),"*","~*"),"?","~?"),Guide!$A$7:$A$9,0)),""),"")</f>
        <v>Home</v>
      </c>
      <c r="J485" s="1" t="str">
        <f>IF(TRIM(Raw!E485)="",I485,IF(UPPER(TRIM(Raw!E485))=UPPER(I485),I485,""))</f>
        <v>Home</v>
      </c>
      <c r="K485" s="1" t="str">
        <f>IF(Raw!F485="","",Raw!F485)</f>
        <v>sale</v>
      </c>
      <c r="L485" s="1" t="str">
        <f>IF(LEFT(TRIM(Raw!G485),2)="-$","-"&amp;MID(TRIM(Raw!G485),3,99),IF(LEFT(TRIM(Raw!G485),1)="$",MID(TRIM(Raw!G485),2,99),TRIM(Raw!G485)))</f>
        <v>123.70</v>
      </c>
      <c r="M485" s="1">
        <f t="shared" si="59"/>
        <v>123.7</v>
      </c>
      <c r="N485" s="10">
        <f t="shared" si="60"/>
        <v>12370</v>
      </c>
      <c r="O485" s="1" t="b">
        <f>IFERROR(IF(ISNUMBER(Raw!G485),TRUE,OR(EXACT(L485,TEXT(M485,"0.00")),EXACT(L485,TEXT(M485,"#,##0.00")))),FALSE)</f>
        <v>1</v>
      </c>
      <c r="P485" s="1" t="str">
        <f>LEN(IF(Raw!A485="","",Raw!A485))&amp;":"&amp;IF(Raw!A485="","",Raw!A485)&amp;"|"&amp;LEN(IF(Raw!B485="","",Raw!B485))&amp;":"&amp;IF(Raw!B485="","",Raw!B485)&amp;"|"&amp;LEN(IF(Raw!C485="","",Raw!C485))&amp;":"&amp;IF(Raw!C485="","",Raw!C485)&amp;"|"&amp;LEN(IF(Raw!D485="","",Raw!D485))&amp;":"&amp;IF(Raw!D485="","",Raw!D485)&amp;"|"&amp;LEN(IF(Raw!E485="","",Raw!E485))&amp;":"&amp;IF(Raw!E485="","",Raw!E485)&amp;"|"&amp;LEN(IF(Raw!F485="","",Raw!F485))&amp;":"&amp;IF(Raw!F485="","",Raw!F485)&amp;"|"&amp;LEN(IF(Raw!G485="","",Raw!G485))&amp;":"&amp;IF(Raw!G485="","",Raw!G485)</f>
        <v>6:L00479|6:T00240|10:2026-02-23|3:P-H|4:Home|4:sale|6:123.70</v>
      </c>
      <c r="Q485" s="1">
        <f>1</f>
        <v>1</v>
      </c>
      <c r="R485" s="1" t="b">
        <f>FALSE</f>
        <v>0</v>
      </c>
      <c r="S485" s="1">
        <f>1</f>
        <v>1</v>
      </c>
      <c r="T485" s="1" t="str">
        <f>IF(AND(Raw!A485="",Raw!B485="",Raw!C485="",Raw!D485="",Raw!E485="",Raw!F485="",Raw!G485=""),"UNUSED",IF(A485="","missing line ID",IF(B485="","missing transaction ID",IF(G485="",IF(C485="","missing date","invalid date"),IF(I485="","unknown product",IF(J485="","conflicting category",IF(NOT(OR(EXACT(K485,"sale"),EXACT(K485,"refund"))),"unknown event",IF(OR(N485="",NOT(O485)),"invalid amount",IF(OR(AND(K485="sale",N485&lt;=0),AND(K485="refund",N485&gt;=0)),"invalid sign","")))))))))</f>
        <v/>
      </c>
      <c r="U485" s="1" t="str">
        <f t="shared" si="61"/>
        <v>INCLUDED</v>
      </c>
      <c r="V485" s="1" t="str">
        <f t="shared" si="62"/>
        <v>2026-02</v>
      </c>
      <c r="W485" s="1">
        <f>IF(AND(U485="INCLUDED",X485&gt;0,EXACT(A485,'AI output'!A485)),1,0)</f>
        <v>1</v>
      </c>
      <c r="X485" s="1">
        <f>485</f>
        <v>485</v>
      </c>
      <c r="Y485" s="1">
        <f>IF(AND(U485="INCLUDED",W485=1),--(NOT(EXACT(A485,'AI output'!A485)))+--(NOT(EXACT(B485,'AI output'!B485)))+--(NOT(EXACT(TEXT(G485,"yyyy-mm-dd"),'AI output'!C485)))+--(NOT(EXACT(H485,'AI output'!D485)))+--(NOT(EXACT(J485,'AI output'!E485)))+--(NOT(EXACT(K485,'AI output'!F485)))+--(N485&lt;&gt;'AI output'!L485)+--(NOT('AI output'!M485)),0)</f>
        <v>0</v>
      </c>
      <c r="Z485" s="1">
        <f t="shared" si="63"/>
        <v>0</v>
      </c>
      <c r="AA485" s="1">
        <f>--EXACT(A485,"L00479")</f>
        <v>1</v>
      </c>
    </row>
    <row r="486" spans="1:27" ht="18.95" customHeight="1">
      <c r="A486" s="1" t="str">
        <f>IF(Raw!A486="","",Raw!A486)</f>
        <v>L00480</v>
      </c>
      <c r="B486" s="1" t="str">
        <f>IF(Raw!B486="","",Raw!B486)</f>
        <v>T00240</v>
      </c>
      <c r="C486" s="1" t="str">
        <f>IF(Raw!C486="","",Raw!C486)</f>
        <v>2026-02-23</v>
      </c>
      <c r="D486" s="1">
        <f t="shared" si="56"/>
        <v>2026</v>
      </c>
      <c r="E486" s="1">
        <f>IFERROR(IF(AND(LEN(C486)=10,MID(C486,5,1)="-",MID(C486,8,1)="-"),VALUE(MID(C486,6,2)),IF(AND(LEN(C486)=11,MID(C486,3,1)="-",MID(C486,7,1)="-"),MATCH(UPPER(MID(C486,4,3)),Guide!$D$7:$D$18,0),0)),0)</f>
        <v>2</v>
      </c>
      <c r="F486" s="1">
        <f t="shared" si="57"/>
        <v>23</v>
      </c>
      <c r="G486" s="9">
        <f t="shared" si="58"/>
        <v>46076</v>
      </c>
      <c r="H486" s="1" t="str">
        <f>IF(Raw!D486="","",Raw!D486)</f>
        <v>P-O</v>
      </c>
      <c r="I486" s="1" t="str">
        <f>IFERROR(IF(EXACT(H486,INDEX(Guide!$A$7:$A$9,MATCH(SUBSTITUTE(SUBSTITUTE(SUBSTITUTE(H486,"~","~~"),"*","~*"),"?","~?"),Guide!$A$7:$A$9,0))),INDEX(Guide!$B$7:$B$9,MATCH(SUBSTITUTE(SUBSTITUTE(SUBSTITUTE(H486,"~","~~"),"*","~*"),"?","~?"),Guide!$A$7:$A$9,0)),""),"")</f>
        <v>Office</v>
      </c>
      <c r="J486" s="1" t="str">
        <f>IF(TRIM(Raw!E486)="",I486,IF(UPPER(TRIM(Raw!E486))=UPPER(I486),I486,""))</f>
        <v>Office</v>
      </c>
      <c r="K486" s="1" t="str">
        <f>IF(Raw!F486="","",Raw!F486)</f>
        <v>sale</v>
      </c>
      <c r="L486" s="1" t="str">
        <f>IF(LEFT(TRIM(Raw!G486),2)="-$","-"&amp;MID(TRIM(Raw!G486),3,99),IF(LEFT(TRIM(Raw!G486),1)="$",MID(TRIM(Raw!G486),2,99),TRIM(Raw!G486)))</f>
        <v>248.88</v>
      </c>
      <c r="M486" s="1">
        <f t="shared" si="59"/>
        <v>248.88</v>
      </c>
      <c r="N486" s="10">
        <f t="shared" si="60"/>
        <v>24888</v>
      </c>
      <c r="O486" s="1" t="b">
        <f>IFERROR(IF(ISNUMBER(Raw!G486),TRUE,OR(EXACT(L486,TEXT(M486,"0.00")),EXACT(L486,TEXT(M486,"#,##0.00")))),FALSE)</f>
        <v>1</v>
      </c>
      <c r="P486" s="1" t="str">
        <f>LEN(IF(Raw!A486="","",Raw!A486))&amp;":"&amp;IF(Raw!A486="","",Raw!A486)&amp;"|"&amp;LEN(IF(Raw!B486="","",Raw!B486))&amp;":"&amp;IF(Raw!B486="","",Raw!B486)&amp;"|"&amp;LEN(IF(Raw!C486="","",Raw!C486))&amp;":"&amp;IF(Raw!C486="","",Raw!C486)&amp;"|"&amp;LEN(IF(Raw!D486="","",Raw!D486))&amp;":"&amp;IF(Raw!D486="","",Raw!D486)&amp;"|"&amp;LEN(IF(Raw!E486="","",Raw!E486))&amp;":"&amp;IF(Raw!E486="","",Raw!E486)&amp;"|"&amp;LEN(IF(Raw!F486="","",Raw!F486))&amp;":"&amp;IF(Raw!F486="","",Raw!F486)&amp;"|"&amp;LEN(IF(Raw!G486="","",Raw!G486))&amp;":"&amp;IF(Raw!G486="","",Raw!G486)</f>
        <v>6:L00480|6:T00240|10:2026-02-23|3:P-O|6:Office|4:sale|6:248.88</v>
      </c>
      <c r="Q486" s="1">
        <f>1</f>
        <v>1</v>
      </c>
      <c r="R486" s="1" t="b">
        <f>FALSE</f>
        <v>0</v>
      </c>
      <c r="S486" s="1">
        <f>1</f>
        <v>1</v>
      </c>
      <c r="T486" s="1" t="str">
        <f>IF(AND(Raw!A486="",Raw!B486="",Raw!C486="",Raw!D486="",Raw!E486="",Raw!F486="",Raw!G486=""),"UNUSED",IF(A486="","missing line ID",IF(B486="","missing transaction ID",IF(G486="",IF(C486="","missing date","invalid date"),IF(I486="","unknown product",IF(J486="","conflicting category",IF(NOT(OR(EXACT(K486,"sale"),EXACT(K486,"refund"))),"unknown event",IF(OR(N486="",NOT(O486)),"invalid amount",IF(OR(AND(K486="sale",N486&lt;=0),AND(K486="refund",N486&gt;=0)),"invalid sign","")))))))))</f>
        <v/>
      </c>
      <c r="U486" s="1" t="str">
        <f t="shared" si="61"/>
        <v>INCLUDED</v>
      </c>
      <c r="V486" s="1" t="str">
        <f t="shared" si="62"/>
        <v>2026-02</v>
      </c>
      <c r="W486" s="1">
        <f>IF(AND(U486="INCLUDED",X486&gt;0,EXACT(A486,'AI output'!A486)),1,0)</f>
        <v>1</v>
      </c>
      <c r="X486" s="1">
        <f>486</f>
        <v>486</v>
      </c>
      <c r="Y486" s="1">
        <f>IF(AND(U486="INCLUDED",W486=1),--(NOT(EXACT(A486,'AI output'!A486)))+--(NOT(EXACT(B486,'AI output'!B486)))+--(NOT(EXACT(TEXT(G486,"yyyy-mm-dd"),'AI output'!C486)))+--(NOT(EXACT(H486,'AI output'!D486)))+--(NOT(EXACT(J486,'AI output'!E486)))+--(NOT(EXACT(K486,'AI output'!F486)))+--(N486&lt;&gt;'AI output'!L486)+--(NOT('AI output'!M486)),0)</f>
        <v>0</v>
      </c>
      <c r="Z486" s="1">
        <f t="shared" si="63"/>
        <v>0</v>
      </c>
      <c r="AA486" s="1">
        <f>--EXACT(A486,"L00480")</f>
        <v>1</v>
      </c>
    </row>
    <row r="487" spans="1:27" ht="18.95" customHeight="1">
      <c r="A487" s="1" t="str">
        <f>IF(Raw!A487="","",Raw!A487)</f>
        <v>L00481</v>
      </c>
      <c r="B487" s="1" t="str">
        <f>IF(Raw!B487="","",Raw!B487)</f>
        <v>T00241</v>
      </c>
      <c r="C487" s="1" t="str">
        <f>IF(Raw!C487="","",Raw!C487)</f>
        <v>2026-03-02</v>
      </c>
      <c r="D487" s="1">
        <f t="shared" si="56"/>
        <v>2026</v>
      </c>
      <c r="E487" s="1">
        <f>IFERROR(IF(AND(LEN(C487)=10,MID(C487,5,1)="-",MID(C487,8,1)="-"),VALUE(MID(C487,6,2)),IF(AND(LEN(C487)=11,MID(C487,3,1)="-",MID(C487,7,1)="-"),MATCH(UPPER(MID(C487,4,3)),Guide!$D$7:$D$18,0),0)),0)</f>
        <v>3</v>
      </c>
      <c r="F487" s="1">
        <f t="shared" si="57"/>
        <v>2</v>
      </c>
      <c r="G487" s="9">
        <f t="shared" si="58"/>
        <v>46083</v>
      </c>
      <c r="H487" s="1" t="str">
        <f>IF(Raw!D487="","",Raw!D487)</f>
        <v>P-A</v>
      </c>
      <c r="I487" s="1" t="str">
        <f>IFERROR(IF(EXACT(H487,INDEX(Guide!$A$7:$A$9,MATCH(SUBSTITUTE(SUBSTITUTE(SUBSTITUTE(H487,"~","~~"),"*","~*"),"?","~?"),Guide!$A$7:$A$9,0))),INDEX(Guide!$B$7:$B$9,MATCH(SUBSTITUTE(SUBSTITUTE(SUBSTITUTE(H487,"~","~~"),"*","~*"),"?","~?"),Guide!$A$7:$A$9,0)),""),"")</f>
        <v>Accessories</v>
      </c>
      <c r="J487" s="1" t="str">
        <f>IF(TRIM(Raw!E487)="",I487,IF(UPPER(TRIM(Raw!E487))=UPPER(I487),I487,""))</f>
        <v>Accessories</v>
      </c>
      <c r="K487" s="1" t="str">
        <f>IF(Raw!F487="","",Raw!F487)</f>
        <v>sale</v>
      </c>
      <c r="L487" s="1" t="str">
        <f>IF(LEFT(TRIM(Raw!G487),2)="-$","-"&amp;MID(TRIM(Raw!G487),3,99),IF(LEFT(TRIM(Raw!G487),1)="$",MID(TRIM(Raw!G487),2,99),TRIM(Raw!G487)))</f>
        <v>62.59</v>
      </c>
      <c r="M487" s="1">
        <f t="shared" si="59"/>
        <v>62.59</v>
      </c>
      <c r="N487" s="10">
        <f t="shared" si="60"/>
        <v>6259</v>
      </c>
      <c r="O487" s="1" t="b">
        <f>IFERROR(IF(ISNUMBER(Raw!G487),TRUE,OR(EXACT(L487,TEXT(M487,"0.00")),EXACT(L487,TEXT(M487,"#,##0.00")))),FALSE)</f>
        <v>1</v>
      </c>
      <c r="P487" s="1" t="str">
        <f>LEN(IF(Raw!A487="","",Raw!A487))&amp;":"&amp;IF(Raw!A487="","",Raw!A487)&amp;"|"&amp;LEN(IF(Raw!B487="","",Raw!B487))&amp;":"&amp;IF(Raw!B487="","",Raw!B487)&amp;"|"&amp;LEN(IF(Raw!C487="","",Raw!C487))&amp;":"&amp;IF(Raw!C487="","",Raw!C487)&amp;"|"&amp;LEN(IF(Raw!D487="","",Raw!D487))&amp;":"&amp;IF(Raw!D487="","",Raw!D487)&amp;"|"&amp;LEN(IF(Raw!E487="","",Raw!E487))&amp;":"&amp;IF(Raw!E487="","",Raw!E487)&amp;"|"&amp;LEN(IF(Raw!F487="","",Raw!F487))&amp;":"&amp;IF(Raw!F487="","",Raw!F487)&amp;"|"&amp;LEN(IF(Raw!G487="","",Raw!G487))&amp;":"&amp;IF(Raw!G487="","",Raw!G487)</f>
        <v>6:L00481|6:T00241|10:2026-03-02|3:P-A|11:Accessories|4:sale|5:62.59</v>
      </c>
      <c r="Q487" s="1">
        <f>1</f>
        <v>1</v>
      </c>
      <c r="R487" s="1" t="b">
        <f>FALSE</f>
        <v>0</v>
      </c>
      <c r="S487" s="1">
        <f>1</f>
        <v>1</v>
      </c>
      <c r="T487" s="1" t="str">
        <f>IF(AND(Raw!A487="",Raw!B487="",Raw!C487="",Raw!D487="",Raw!E487="",Raw!F487="",Raw!G487=""),"UNUSED",IF(A487="","missing line ID",IF(B487="","missing transaction ID",IF(G487="",IF(C487="","missing date","invalid date"),IF(I487="","unknown product",IF(J487="","conflicting category",IF(NOT(OR(EXACT(K487,"sale"),EXACT(K487,"refund"))),"unknown event",IF(OR(N487="",NOT(O487)),"invalid amount",IF(OR(AND(K487="sale",N487&lt;=0),AND(K487="refund",N487&gt;=0)),"invalid sign","")))))))))</f>
        <v/>
      </c>
      <c r="U487" s="1" t="str">
        <f t="shared" si="61"/>
        <v>INCLUDED</v>
      </c>
      <c r="V487" s="1" t="str">
        <f t="shared" si="62"/>
        <v>2026-03</v>
      </c>
      <c r="W487" s="1">
        <f>IF(AND(U487="INCLUDED",X487&gt;0,EXACT(A487,'AI output'!A487)),1,0)</f>
        <v>1</v>
      </c>
      <c r="X487" s="1">
        <f>487</f>
        <v>487</v>
      </c>
      <c r="Y487" s="1">
        <f>IF(AND(U487="INCLUDED",W487=1),--(NOT(EXACT(A487,'AI output'!A487)))+--(NOT(EXACT(B487,'AI output'!B487)))+--(NOT(EXACT(TEXT(G487,"yyyy-mm-dd"),'AI output'!C487)))+--(NOT(EXACT(H487,'AI output'!D487)))+--(NOT(EXACT(J487,'AI output'!E487)))+--(NOT(EXACT(K487,'AI output'!F487)))+--(N487&lt;&gt;'AI output'!L487)+--(NOT('AI output'!M487)),0)</f>
        <v>0</v>
      </c>
      <c r="Z487" s="1">
        <f t="shared" si="63"/>
        <v>0</v>
      </c>
      <c r="AA487" s="1">
        <f>--EXACT(A487,"L00481")</f>
        <v>1</v>
      </c>
    </row>
    <row r="488" spans="1:27" ht="18.95" customHeight="1">
      <c r="A488" s="1" t="str">
        <f>IF(Raw!A488="","",Raw!A488)</f>
        <v>L00482</v>
      </c>
      <c r="B488" s="1" t="str">
        <f>IF(Raw!B488="","",Raw!B488)</f>
        <v>T00241</v>
      </c>
      <c r="C488" s="1" t="str">
        <f>IF(Raw!C488="","",Raw!C488)</f>
        <v>2026-03-02</v>
      </c>
      <c r="D488" s="1">
        <f t="shared" si="56"/>
        <v>2026</v>
      </c>
      <c r="E488" s="1">
        <f>IFERROR(IF(AND(LEN(C488)=10,MID(C488,5,1)="-",MID(C488,8,1)="-"),VALUE(MID(C488,6,2)),IF(AND(LEN(C488)=11,MID(C488,3,1)="-",MID(C488,7,1)="-"),MATCH(UPPER(MID(C488,4,3)),Guide!$D$7:$D$18,0),0)),0)</f>
        <v>3</v>
      </c>
      <c r="F488" s="1">
        <f t="shared" si="57"/>
        <v>2</v>
      </c>
      <c r="G488" s="9">
        <f t="shared" si="58"/>
        <v>46083</v>
      </c>
      <c r="H488" s="1" t="str">
        <f>IF(Raw!D488="","",Raw!D488)</f>
        <v>P-H</v>
      </c>
      <c r="I488" s="1" t="str">
        <f>IFERROR(IF(EXACT(H488,INDEX(Guide!$A$7:$A$9,MATCH(SUBSTITUTE(SUBSTITUTE(SUBSTITUTE(H488,"~","~~"),"*","~*"),"?","~?"),Guide!$A$7:$A$9,0))),INDEX(Guide!$B$7:$B$9,MATCH(SUBSTITUTE(SUBSTITUTE(SUBSTITUTE(H488,"~","~~"),"*","~*"),"?","~?"),Guide!$A$7:$A$9,0)),""),"")</f>
        <v>Home</v>
      </c>
      <c r="J488" s="1" t="str">
        <f>IF(TRIM(Raw!E488)="",I488,IF(UPPER(TRIM(Raw!E488))=UPPER(I488),I488,""))</f>
        <v>Home</v>
      </c>
      <c r="K488" s="1" t="str">
        <f>IF(Raw!F488="","",Raw!F488)</f>
        <v>sale</v>
      </c>
      <c r="L488" s="1" t="str">
        <f>IF(LEFT(TRIM(Raw!G488),2)="-$","-"&amp;MID(TRIM(Raw!G488),3,99),IF(LEFT(TRIM(Raw!G488),1)="$",MID(TRIM(Raw!G488),2,99),TRIM(Raw!G488)))</f>
        <v>188.88</v>
      </c>
      <c r="M488" s="1">
        <f t="shared" si="59"/>
        <v>188.88</v>
      </c>
      <c r="N488" s="10">
        <f t="shared" si="60"/>
        <v>18888</v>
      </c>
      <c r="O488" s="1" t="b">
        <f>IFERROR(IF(ISNUMBER(Raw!G488),TRUE,OR(EXACT(L488,TEXT(M488,"0.00")),EXACT(L488,TEXT(M488,"#,##0.00")))),FALSE)</f>
        <v>1</v>
      </c>
      <c r="P488" s="1" t="str">
        <f>LEN(IF(Raw!A488="","",Raw!A488))&amp;":"&amp;IF(Raw!A488="","",Raw!A488)&amp;"|"&amp;LEN(IF(Raw!B488="","",Raw!B488))&amp;":"&amp;IF(Raw!B488="","",Raw!B488)&amp;"|"&amp;LEN(IF(Raw!C488="","",Raw!C488))&amp;":"&amp;IF(Raw!C488="","",Raw!C488)&amp;"|"&amp;LEN(IF(Raw!D488="","",Raw!D488))&amp;":"&amp;IF(Raw!D488="","",Raw!D488)&amp;"|"&amp;LEN(IF(Raw!E488="","",Raw!E488))&amp;":"&amp;IF(Raw!E488="","",Raw!E488)&amp;"|"&amp;LEN(IF(Raw!F488="","",Raw!F488))&amp;":"&amp;IF(Raw!F488="","",Raw!F488)&amp;"|"&amp;LEN(IF(Raw!G488="","",Raw!G488))&amp;":"&amp;IF(Raw!G488="","",Raw!G488)</f>
        <v>6:L00482|6:T00241|10:2026-03-02|3:P-H|4:Home|4:sale|6:188.88</v>
      </c>
      <c r="Q488" s="1">
        <f>1</f>
        <v>1</v>
      </c>
      <c r="R488" s="1" t="b">
        <f>FALSE</f>
        <v>0</v>
      </c>
      <c r="S488" s="1">
        <f>1</f>
        <v>1</v>
      </c>
      <c r="T488" s="1" t="str">
        <f>IF(AND(Raw!A488="",Raw!B488="",Raw!C488="",Raw!D488="",Raw!E488="",Raw!F488="",Raw!G488=""),"UNUSED",IF(A488="","missing line ID",IF(B488="","missing transaction ID",IF(G488="",IF(C488="","missing date","invalid date"),IF(I488="","unknown product",IF(J488="","conflicting category",IF(NOT(OR(EXACT(K488,"sale"),EXACT(K488,"refund"))),"unknown event",IF(OR(N488="",NOT(O488)),"invalid amount",IF(OR(AND(K488="sale",N488&lt;=0),AND(K488="refund",N488&gt;=0)),"invalid sign","")))))))))</f>
        <v/>
      </c>
      <c r="U488" s="1" t="str">
        <f t="shared" si="61"/>
        <v>INCLUDED</v>
      </c>
      <c r="V488" s="1" t="str">
        <f t="shared" si="62"/>
        <v>2026-03</v>
      </c>
      <c r="W488" s="1">
        <f>IF(AND(U488="INCLUDED",X488&gt;0,EXACT(A488,'AI output'!A488)),1,0)</f>
        <v>1</v>
      </c>
      <c r="X488" s="1">
        <f>488</f>
        <v>488</v>
      </c>
      <c r="Y488" s="1">
        <f>IF(AND(U488="INCLUDED",W488=1),--(NOT(EXACT(A488,'AI output'!A488)))+--(NOT(EXACT(B488,'AI output'!B488)))+--(NOT(EXACT(TEXT(G488,"yyyy-mm-dd"),'AI output'!C488)))+--(NOT(EXACT(H488,'AI output'!D488)))+--(NOT(EXACT(J488,'AI output'!E488)))+--(NOT(EXACT(K488,'AI output'!F488)))+--(N488&lt;&gt;'AI output'!L488)+--(NOT('AI output'!M488)),0)</f>
        <v>0</v>
      </c>
      <c r="Z488" s="1">
        <f t="shared" si="63"/>
        <v>0</v>
      </c>
      <c r="AA488" s="1">
        <f>--EXACT(A488,"L00482")</f>
        <v>1</v>
      </c>
    </row>
    <row r="489" spans="1:27" ht="18.95" customHeight="1">
      <c r="A489" s="1" t="str">
        <f>IF(Raw!A489="","",Raw!A489)</f>
        <v>L00483</v>
      </c>
      <c r="B489" s="1" t="str">
        <f>IF(Raw!B489="","",Raw!B489)</f>
        <v>T00242</v>
      </c>
      <c r="C489" s="1" t="str">
        <f>IF(Raw!C489="","",Raw!C489)</f>
        <v>2026-03-09</v>
      </c>
      <c r="D489" s="1">
        <f t="shared" si="56"/>
        <v>2026</v>
      </c>
      <c r="E489" s="1">
        <f>IFERROR(IF(AND(LEN(C489)=10,MID(C489,5,1)="-",MID(C489,8,1)="-"),VALUE(MID(C489,6,2)),IF(AND(LEN(C489)=11,MID(C489,3,1)="-",MID(C489,7,1)="-"),MATCH(UPPER(MID(C489,4,3)),Guide!$D$7:$D$18,0),0)),0)</f>
        <v>3</v>
      </c>
      <c r="F489" s="1">
        <f t="shared" si="57"/>
        <v>9</v>
      </c>
      <c r="G489" s="9">
        <f t="shared" si="58"/>
        <v>46090</v>
      </c>
      <c r="H489" s="1" t="str">
        <f>IF(Raw!D489="","",Raw!D489)</f>
        <v>P-O</v>
      </c>
      <c r="I489" s="1" t="str">
        <f>IFERROR(IF(EXACT(H489,INDEX(Guide!$A$7:$A$9,MATCH(SUBSTITUTE(SUBSTITUTE(SUBSTITUTE(H489,"~","~~"),"*","~*"),"?","~?"),Guide!$A$7:$A$9,0))),INDEX(Guide!$B$7:$B$9,MATCH(SUBSTITUTE(SUBSTITUTE(SUBSTITUTE(H489,"~","~~"),"*","~*"),"?","~?"),Guide!$A$7:$A$9,0)),""),"")</f>
        <v>Office</v>
      </c>
      <c r="J489" s="1" t="str">
        <f>IF(TRIM(Raw!E489)="",I489,IF(UPPER(TRIM(Raw!E489))=UPPER(I489),I489,""))</f>
        <v>Office</v>
      </c>
      <c r="K489" s="1" t="str">
        <f>IF(Raw!F489="","",Raw!F489)</f>
        <v>sale</v>
      </c>
      <c r="L489" s="1" t="str">
        <f>IF(LEFT(TRIM(Raw!G489),2)="-$","-"&amp;MID(TRIM(Raw!G489),3,99),IF(LEFT(TRIM(Raw!G489),1)="$",MID(TRIM(Raw!G489),2,99),TRIM(Raw!G489)))</f>
        <v>316.65</v>
      </c>
      <c r="M489" s="1">
        <f t="shared" si="59"/>
        <v>316.64999999999998</v>
      </c>
      <c r="N489" s="10">
        <f t="shared" si="60"/>
        <v>31665</v>
      </c>
      <c r="O489" s="1" t="b">
        <f>IFERROR(IF(ISNUMBER(Raw!G489),TRUE,OR(EXACT(L489,TEXT(M489,"0.00")),EXACT(L489,TEXT(M489,"#,##0.00")))),FALSE)</f>
        <v>1</v>
      </c>
      <c r="P489" s="1" t="str">
        <f>LEN(IF(Raw!A489="","",Raw!A489))&amp;":"&amp;IF(Raw!A489="","",Raw!A489)&amp;"|"&amp;LEN(IF(Raw!B489="","",Raw!B489))&amp;":"&amp;IF(Raw!B489="","",Raw!B489)&amp;"|"&amp;LEN(IF(Raw!C489="","",Raw!C489))&amp;":"&amp;IF(Raw!C489="","",Raw!C489)&amp;"|"&amp;LEN(IF(Raw!D489="","",Raw!D489))&amp;":"&amp;IF(Raw!D489="","",Raw!D489)&amp;"|"&amp;LEN(IF(Raw!E489="","",Raw!E489))&amp;":"&amp;IF(Raw!E489="","",Raw!E489)&amp;"|"&amp;LEN(IF(Raw!F489="","",Raw!F489))&amp;":"&amp;IF(Raw!F489="","",Raw!F489)&amp;"|"&amp;LEN(IF(Raw!G489="","",Raw!G489))&amp;":"&amp;IF(Raw!G489="","",Raw!G489)</f>
        <v>6:L00483|6:T00242|10:2026-03-09|3:P-O|6:Office|4:sale|6:316.65</v>
      </c>
      <c r="Q489" s="1">
        <f>1</f>
        <v>1</v>
      </c>
      <c r="R489" s="1" t="b">
        <f>FALSE</f>
        <v>0</v>
      </c>
      <c r="S489" s="1">
        <f>1</f>
        <v>1</v>
      </c>
      <c r="T489" s="1" t="str">
        <f>IF(AND(Raw!A489="",Raw!B489="",Raw!C489="",Raw!D489="",Raw!E489="",Raw!F489="",Raw!G489=""),"UNUSED",IF(A489="","missing line ID",IF(B489="","missing transaction ID",IF(G489="",IF(C489="","missing date","invalid date"),IF(I489="","unknown product",IF(J489="","conflicting category",IF(NOT(OR(EXACT(K489,"sale"),EXACT(K489,"refund"))),"unknown event",IF(OR(N489="",NOT(O489)),"invalid amount",IF(OR(AND(K489="sale",N489&lt;=0),AND(K489="refund",N489&gt;=0)),"invalid sign","")))))))))</f>
        <v/>
      </c>
      <c r="U489" s="1" t="str">
        <f t="shared" si="61"/>
        <v>INCLUDED</v>
      </c>
      <c r="V489" s="1" t="str">
        <f t="shared" si="62"/>
        <v>2026-03</v>
      </c>
      <c r="W489" s="1">
        <f>IF(AND(U489="INCLUDED",X489&gt;0,EXACT(A489,'AI output'!A489)),1,0)</f>
        <v>1</v>
      </c>
      <c r="X489" s="1">
        <f>489</f>
        <v>489</v>
      </c>
      <c r="Y489" s="1">
        <f>IF(AND(U489="INCLUDED",W489=1),--(NOT(EXACT(A489,'AI output'!A489)))+--(NOT(EXACT(B489,'AI output'!B489)))+--(NOT(EXACT(TEXT(G489,"yyyy-mm-dd"),'AI output'!C489)))+--(NOT(EXACT(H489,'AI output'!D489)))+--(NOT(EXACT(J489,'AI output'!E489)))+--(NOT(EXACT(K489,'AI output'!F489)))+--(N489&lt;&gt;'AI output'!L489)+--(NOT('AI output'!M489)),0)</f>
        <v>0</v>
      </c>
      <c r="Z489" s="1">
        <f t="shared" si="63"/>
        <v>0</v>
      </c>
      <c r="AA489" s="1">
        <f>--EXACT(A489,"L00483")</f>
        <v>1</v>
      </c>
    </row>
    <row r="490" spans="1:27" ht="18.95" customHeight="1">
      <c r="A490" s="1" t="str">
        <f>IF(Raw!A490="","",Raw!A490)</f>
        <v>L00484</v>
      </c>
      <c r="B490" s="1" t="str">
        <f>IF(Raw!B490="","",Raw!B490)</f>
        <v>T00242</v>
      </c>
      <c r="C490" s="1" t="str">
        <f>IF(Raw!C490="","",Raw!C490)</f>
        <v>2026-03-09</v>
      </c>
      <c r="D490" s="1">
        <f t="shared" si="56"/>
        <v>2026</v>
      </c>
      <c r="E490" s="1">
        <f>IFERROR(IF(AND(LEN(C490)=10,MID(C490,5,1)="-",MID(C490,8,1)="-"),VALUE(MID(C490,6,2)),IF(AND(LEN(C490)=11,MID(C490,3,1)="-",MID(C490,7,1)="-"),MATCH(UPPER(MID(C490,4,3)),Guide!$D$7:$D$18,0),0)),0)</f>
        <v>3</v>
      </c>
      <c r="F490" s="1">
        <f t="shared" si="57"/>
        <v>9</v>
      </c>
      <c r="G490" s="9">
        <f t="shared" si="58"/>
        <v>46090</v>
      </c>
      <c r="H490" s="1" t="str">
        <f>IF(Raw!D490="","",Raw!D490)</f>
        <v>P-A</v>
      </c>
      <c r="I490" s="1" t="str">
        <f>IFERROR(IF(EXACT(H490,INDEX(Guide!$A$7:$A$9,MATCH(SUBSTITUTE(SUBSTITUTE(SUBSTITUTE(H490,"~","~~"),"*","~*"),"?","~?"),Guide!$A$7:$A$9,0))),INDEX(Guide!$B$7:$B$9,MATCH(SUBSTITUTE(SUBSTITUTE(SUBSTITUTE(H490,"~","~~"),"*","~*"),"?","~?"),Guide!$A$7:$A$9,0)),""),"")</f>
        <v>Accessories</v>
      </c>
      <c r="J490" s="1" t="str">
        <f>IF(TRIM(Raw!E490)="",I490,IF(UPPER(TRIM(Raw!E490))=UPPER(I490),I490,""))</f>
        <v>Accessories</v>
      </c>
      <c r="K490" s="1" t="str">
        <f>IF(Raw!F490="","",Raw!F490)</f>
        <v>refund</v>
      </c>
      <c r="L490" s="1" t="str">
        <f>IF(LEFT(TRIM(Raw!G490),2)="-$","-"&amp;MID(TRIM(Raw!G490),3,99),IF(LEFT(TRIM(Raw!G490),1)="$",MID(TRIM(Raw!G490),2,99),TRIM(Raw!G490)))</f>
        <v>-127.40</v>
      </c>
      <c r="M490" s="1">
        <f t="shared" si="59"/>
        <v>-127.4</v>
      </c>
      <c r="N490" s="10">
        <f t="shared" si="60"/>
        <v>-12740</v>
      </c>
      <c r="O490" s="1" t="b">
        <f>IFERROR(IF(ISNUMBER(Raw!G490),TRUE,OR(EXACT(L490,TEXT(M490,"0.00")),EXACT(L490,TEXT(M490,"#,##0.00")))),FALSE)</f>
        <v>1</v>
      </c>
      <c r="P490" s="1" t="str">
        <f>LEN(IF(Raw!A490="","",Raw!A490))&amp;":"&amp;IF(Raw!A490="","",Raw!A490)&amp;"|"&amp;LEN(IF(Raw!B490="","",Raw!B490))&amp;":"&amp;IF(Raw!B490="","",Raw!B490)&amp;"|"&amp;LEN(IF(Raw!C490="","",Raw!C490))&amp;":"&amp;IF(Raw!C490="","",Raw!C490)&amp;"|"&amp;LEN(IF(Raw!D490="","",Raw!D490))&amp;":"&amp;IF(Raw!D490="","",Raw!D490)&amp;"|"&amp;LEN(IF(Raw!E490="","",Raw!E490))&amp;":"&amp;IF(Raw!E490="","",Raw!E490)&amp;"|"&amp;LEN(IF(Raw!F490="","",Raw!F490))&amp;":"&amp;IF(Raw!F490="","",Raw!F490)&amp;"|"&amp;LEN(IF(Raw!G490="","",Raw!G490))&amp;":"&amp;IF(Raw!G490="","",Raw!G490)</f>
        <v>6:L00484|6:T00242|10:2026-03-09|3:P-A|11:Accessories|6:refund|7:-127.40</v>
      </c>
      <c r="Q490" s="1">
        <f>1</f>
        <v>1</v>
      </c>
      <c r="R490" s="1" t="b">
        <f>FALSE</f>
        <v>0</v>
      </c>
      <c r="S490" s="1">
        <f>1</f>
        <v>1</v>
      </c>
      <c r="T490" s="1" t="str">
        <f>IF(AND(Raw!A490="",Raw!B490="",Raw!C490="",Raw!D490="",Raw!E490="",Raw!F490="",Raw!G490=""),"UNUSED",IF(A490="","missing line ID",IF(B490="","missing transaction ID",IF(G490="",IF(C490="","missing date","invalid date"),IF(I490="","unknown product",IF(J490="","conflicting category",IF(NOT(OR(EXACT(K490,"sale"),EXACT(K490,"refund"))),"unknown event",IF(OR(N490="",NOT(O490)),"invalid amount",IF(OR(AND(K490="sale",N490&lt;=0),AND(K490="refund",N490&gt;=0)),"invalid sign","")))))))))</f>
        <v/>
      </c>
      <c r="U490" s="1" t="str">
        <f t="shared" si="61"/>
        <v>INCLUDED</v>
      </c>
      <c r="V490" s="1" t="str">
        <f t="shared" si="62"/>
        <v>2026-03</v>
      </c>
      <c r="W490" s="1">
        <f>IF(AND(U490="INCLUDED",X490&gt;0,EXACT(A490,'AI output'!A490)),1,0)</f>
        <v>1</v>
      </c>
      <c r="X490" s="1">
        <f>490</f>
        <v>490</v>
      </c>
      <c r="Y490" s="1">
        <f>IF(AND(U490="INCLUDED",W490=1),--(NOT(EXACT(A490,'AI output'!A490)))+--(NOT(EXACT(B490,'AI output'!B490)))+--(NOT(EXACT(TEXT(G490,"yyyy-mm-dd"),'AI output'!C490)))+--(NOT(EXACT(H490,'AI output'!D490)))+--(NOT(EXACT(J490,'AI output'!E490)))+--(NOT(EXACT(K490,'AI output'!F490)))+--(N490&lt;&gt;'AI output'!L490)+--(NOT('AI output'!M490)),0)</f>
        <v>0</v>
      </c>
      <c r="Z490" s="1">
        <f t="shared" si="63"/>
        <v>0</v>
      </c>
      <c r="AA490" s="1">
        <f>--EXACT(A490,"L00484")</f>
        <v>1</v>
      </c>
    </row>
    <row r="491" spans="1:27" ht="18.95" customHeight="1">
      <c r="A491" s="1" t="str">
        <f>IF(Raw!A491="","",Raw!A491)</f>
        <v>L00485</v>
      </c>
      <c r="B491" s="1" t="str">
        <f>IF(Raw!B491="","",Raw!B491)</f>
        <v>T00243</v>
      </c>
      <c r="C491" s="1" t="str">
        <f>IF(Raw!C491="","",Raw!C491)</f>
        <v>2026-03-16</v>
      </c>
      <c r="D491" s="1">
        <f t="shared" si="56"/>
        <v>2026</v>
      </c>
      <c r="E491" s="1">
        <f>IFERROR(IF(AND(LEN(C491)=10,MID(C491,5,1)="-",MID(C491,8,1)="-"),VALUE(MID(C491,6,2)),IF(AND(LEN(C491)=11,MID(C491,3,1)="-",MID(C491,7,1)="-"),MATCH(UPPER(MID(C491,4,3)),Guide!$D$7:$D$18,0),0)),0)</f>
        <v>3</v>
      </c>
      <c r="F491" s="1">
        <f t="shared" si="57"/>
        <v>16</v>
      </c>
      <c r="G491" s="9">
        <f t="shared" si="58"/>
        <v>46097</v>
      </c>
      <c r="H491" s="1" t="str">
        <f>IF(Raw!D491="","",Raw!D491)</f>
        <v>P-H</v>
      </c>
      <c r="I491" s="1" t="str">
        <f>IFERROR(IF(EXACT(H491,INDEX(Guide!$A$7:$A$9,MATCH(SUBSTITUTE(SUBSTITUTE(SUBSTITUTE(H491,"~","~~"),"*","~*"),"?","~?"),Guide!$A$7:$A$9,0))),INDEX(Guide!$B$7:$B$9,MATCH(SUBSTITUTE(SUBSTITUTE(SUBSTITUTE(H491,"~","~~"),"*","~*"),"?","~?"),Guide!$A$7:$A$9,0)),""),"")</f>
        <v>Home</v>
      </c>
      <c r="J491" s="1" t="str">
        <f>IF(TRIM(Raw!E491)="",I491,IF(UPPER(TRIM(Raw!E491))=UPPER(I491),I491,""))</f>
        <v>Home</v>
      </c>
      <c r="K491" s="1" t="str">
        <f>IF(Raw!F491="","",Raw!F491)</f>
        <v>sale</v>
      </c>
      <c r="L491" s="1" t="str">
        <f>IF(LEFT(TRIM(Raw!G491),2)="-$","-"&amp;MID(TRIM(Raw!G491),3,99),IF(LEFT(TRIM(Raw!G491),1)="$",MID(TRIM(Raw!G491),2,99),TRIM(Raw!G491)))</f>
        <v>256.28</v>
      </c>
      <c r="M491" s="1">
        <f t="shared" si="59"/>
        <v>256.27999999999997</v>
      </c>
      <c r="N491" s="10">
        <f t="shared" si="60"/>
        <v>25628</v>
      </c>
      <c r="O491" s="1" t="b">
        <f>IFERROR(IF(ISNUMBER(Raw!G491),TRUE,OR(EXACT(L491,TEXT(M491,"0.00")),EXACT(L491,TEXT(M491,"#,##0.00")))),FALSE)</f>
        <v>1</v>
      </c>
      <c r="P491" s="1" t="str">
        <f>LEN(IF(Raw!A491="","",Raw!A491))&amp;":"&amp;IF(Raw!A491="","",Raw!A491)&amp;"|"&amp;LEN(IF(Raw!B491="","",Raw!B491))&amp;":"&amp;IF(Raw!B491="","",Raw!B491)&amp;"|"&amp;LEN(IF(Raw!C491="","",Raw!C491))&amp;":"&amp;IF(Raw!C491="","",Raw!C491)&amp;"|"&amp;LEN(IF(Raw!D491="","",Raw!D491))&amp;":"&amp;IF(Raw!D491="","",Raw!D491)&amp;"|"&amp;LEN(IF(Raw!E491="","",Raw!E491))&amp;":"&amp;IF(Raw!E491="","",Raw!E491)&amp;"|"&amp;LEN(IF(Raw!F491="","",Raw!F491))&amp;":"&amp;IF(Raw!F491="","",Raw!F491)&amp;"|"&amp;LEN(IF(Raw!G491="","",Raw!G491))&amp;":"&amp;IF(Raw!G491="","",Raw!G491)</f>
        <v>6:L00485|6:T00243|10:2026-03-16|3:P-H|4:Home|4:sale|6:256.28</v>
      </c>
      <c r="Q491" s="1">
        <f>1</f>
        <v>1</v>
      </c>
      <c r="R491" s="1" t="b">
        <f>FALSE</f>
        <v>0</v>
      </c>
      <c r="S491" s="1">
        <f>1</f>
        <v>1</v>
      </c>
      <c r="T491" s="1" t="str">
        <f>IF(AND(Raw!A491="",Raw!B491="",Raw!C491="",Raw!D491="",Raw!E491="",Raw!F491="",Raw!G491=""),"UNUSED",IF(A491="","missing line ID",IF(B491="","missing transaction ID",IF(G491="",IF(C491="","missing date","invalid date"),IF(I491="","unknown product",IF(J491="","conflicting category",IF(NOT(OR(EXACT(K491,"sale"),EXACT(K491,"refund"))),"unknown event",IF(OR(N491="",NOT(O491)),"invalid amount",IF(OR(AND(K491="sale",N491&lt;=0),AND(K491="refund",N491&gt;=0)),"invalid sign","")))))))))</f>
        <v/>
      </c>
      <c r="U491" s="1" t="str">
        <f t="shared" si="61"/>
        <v>INCLUDED</v>
      </c>
      <c r="V491" s="1" t="str">
        <f t="shared" si="62"/>
        <v>2026-03</v>
      </c>
      <c r="W491" s="1">
        <f>IF(AND(U491="INCLUDED",X491&gt;0,EXACT(A491,'AI output'!A491)),1,0)</f>
        <v>1</v>
      </c>
      <c r="X491" s="1">
        <f>491</f>
        <v>491</v>
      </c>
      <c r="Y491" s="1">
        <f>IF(AND(U491="INCLUDED",W491=1),--(NOT(EXACT(A491,'AI output'!A491)))+--(NOT(EXACT(B491,'AI output'!B491)))+--(NOT(EXACT(TEXT(G491,"yyyy-mm-dd"),'AI output'!C491)))+--(NOT(EXACT(H491,'AI output'!D491)))+--(NOT(EXACT(J491,'AI output'!E491)))+--(NOT(EXACT(K491,'AI output'!F491)))+--(N491&lt;&gt;'AI output'!L491)+--(NOT('AI output'!M491)),0)</f>
        <v>0</v>
      </c>
      <c r="Z491" s="1">
        <f t="shared" si="63"/>
        <v>0</v>
      </c>
      <c r="AA491" s="1">
        <f>--EXACT(A491,"L00485")</f>
        <v>1</v>
      </c>
    </row>
    <row r="492" spans="1:27" ht="18.95" customHeight="1">
      <c r="A492" s="1" t="str">
        <f>IF(Raw!A492="","",Raw!A492)</f>
        <v>L00486</v>
      </c>
      <c r="B492" s="1" t="str">
        <f>IF(Raw!B492="","",Raw!B492)</f>
        <v>T00243</v>
      </c>
      <c r="C492" s="1" t="str">
        <f>IF(Raw!C492="","",Raw!C492)</f>
        <v>2026-03-16</v>
      </c>
      <c r="D492" s="1">
        <f t="shared" si="56"/>
        <v>2026</v>
      </c>
      <c r="E492" s="1">
        <f>IFERROR(IF(AND(LEN(C492)=10,MID(C492,5,1)="-",MID(C492,8,1)="-"),VALUE(MID(C492,6,2)),IF(AND(LEN(C492)=11,MID(C492,3,1)="-",MID(C492,7,1)="-"),MATCH(UPPER(MID(C492,4,3)),Guide!$D$7:$D$18,0),0)),0)</f>
        <v>3</v>
      </c>
      <c r="F492" s="1">
        <f t="shared" si="57"/>
        <v>16</v>
      </c>
      <c r="G492" s="9">
        <f t="shared" si="58"/>
        <v>46097</v>
      </c>
      <c r="H492" s="1" t="str">
        <f>IF(Raw!D492="","",Raw!D492)</f>
        <v>P-O</v>
      </c>
      <c r="I492" s="1" t="str">
        <f>IFERROR(IF(EXACT(H492,INDEX(Guide!$A$7:$A$9,MATCH(SUBSTITUTE(SUBSTITUTE(SUBSTITUTE(H492,"~","~~"),"*","~*"),"?","~?"),Guide!$A$7:$A$9,0))),INDEX(Guide!$B$7:$B$9,MATCH(SUBSTITUTE(SUBSTITUTE(SUBSTITUTE(H492,"~","~~"),"*","~*"),"?","~?"),Guide!$A$7:$A$9,0)),""),"")</f>
        <v>Office</v>
      </c>
      <c r="J492" s="1" t="str">
        <f>IF(TRIM(Raw!E492)="",I492,IF(UPPER(TRIM(Raw!E492))=UPPER(I492),I492,""))</f>
        <v>Office</v>
      </c>
      <c r="K492" s="1" t="str">
        <f>IF(Raw!F492="","",Raw!F492)</f>
        <v>sale</v>
      </c>
      <c r="L492" s="1" t="str">
        <f>IF(LEFT(TRIM(Raw!G492),2)="-$","-"&amp;MID(TRIM(Raw!G492),3,99),IF(LEFT(TRIM(Raw!G492),1)="$",MID(TRIM(Raw!G492),2,99),TRIM(Raw!G492)))</f>
        <v>64.44</v>
      </c>
      <c r="M492" s="1">
        <f t="shared" si="59"/>
        <v>64.44</v>
      </c>
      <c r="N492" s="10">
        <f t="shared" si="60"/>
        <v>6444</v>
      </c>
      <c r="O492" s="1" t="b">
        <f>IFERROR(IF(ISNUMBER(Raw!G492),TRUE,OR(EXACT(L492,TEXT(M492,"0.00")),EXACT(L492,TEXT(M492,"#,##0.00")))),FALSE)</f>
        <v>1</v>
      </c>
      <c r="P492" s="1" t="str">
        <f>LEN(IF(Raw!A492="","",Raw!A492))&amp;":"&amp;IF(Raw!A492="","",Raw!A492)&amp;"|"&amp;LEN(IF(Raw!B492="","",Raw!B492))&amp;":"&amp;IF(Raw!B492="","",Raw!B492)&amp;"|"&amp;LEN(IF(Raw!C492="","",Raw!C492))&amp;":"&amp;IF(Raw!C492="","",Raw!C492)&amp;"|"&amp;LEN(IF(Raw!D492="","",Raw!D492))&amp;":"&amp;IF(Raw!D492="","",Raw!D492)&amp;"|"&amp;LEN(IF(Raw!E492="","",Raw!E492))&amp;":"&amp;IF(Raw!E492="","",Raw!E492)&amp;"|"&amp;LEN(IF(Raw!F492="","",Raw!F492))&amp;":"&amp;IF(Raw!F492="","",Raw!F492)&amp;"|"&amp;LEN(IF(Raw!G492="","",Raw!G492))&amp;":"&amp;IF(Raw!G492="","",Raw!G492)</f>
        <v>6:L00486|6:T00243|10:2026-03-16|3:P-O|10:  office  |4:sale|5:64.44</v>
      </c>
      <c r="Q492" s="1">
        <f>1</f>
        <v>1</v>
      </c>
      <c r="R492" s="1" t="b">
        <f>FALSE</f>
        <v>0</v>
      </c>
      <c r="S492" s="1">
        <f>1</f>
        <v>1</v>
      </c>
      <c r="T492" s="1" t="str">
        <f>IF(AND(Raw!A492="",Raw!B492="",Raw!C492="",Raw!D492="",Raw!E492="",Raw!F492="",Raw!G492=""),"UNUSED",IF(A492="","missing line ID",IF(B492="","missing transaction ID",IF(G492="",IF(C492="","missing date","invalid date"),IF(I492="","unknown product",IF(J492="","conflicting category",IF(NOT(OR(EXACT(K492,"sale"),EXACT(K492,"refund"))),"unknown event",IF(OR(N492="",NOT(O492)),"invalid amount",IF(OR(AND(K492="sale",N492&lt;=0),AND(K492="refund",N492&gt;=0)),"invalid sign","")))))))))</f>
        <v/>
      </c>
      <c r="U492" s="1" t="str">
        <f t="shared" si="61"/>
        <v>INCLUDED</v>
      </c>
      <c r="V492" s="1" t="str">
        <f t="shared" si="62"/>
        <v>2026-03</v>
      </c>
      <c r="W492" s="1">
        <f>IF(AND(U492="INCLUDED",X492&gt;0,EXACT(A492,'AI output'!A492)),1,0)</f>
        <v>1</v>
      </c>
      <c r="X492" s="1">
        <f>492</f>
        <v>492</v>
      </c>
      <c r="Y492" s="1">
        <f>IF(AND(U492="INCLUDED",W492=1),--(NOT(EXACT(A492,'AI output'!A492)))+--(NOT(EXACT(B492,'AI output'!B492)))+--(NOT(EXACT(TEXT(G492,"yyyy-mm-dd"),'AI output'!C492)))+--(NOT(EXACT(H492,'AI output'!D492)))+--(NOT(EXACT(J492,'AI output'!E492)))+--(NOT(EXACT(K492,'AI output'!F492)))+--(N492&lt;&gt;'AI output'!L492)+--(NOT('AI output'!M492)),0)</f>
        <v>0</v>
      </c>
      <c r="Z492" s="1">
        <f t="shared" si="63"/>
        <v>0</v>
      </c>
      <c r="AA492" s="1">
        <f>--EXACT(A492,"L00486")</f>
        <v>1</v>
      </c>
    </row>
    <row r="493" spans="1:27" ht="18.95" customHeight="1">
      <c r="A493" s="1" t="str">
        <f>IF(Raw!A493="","",Raw!A493)</f>
        <v>L00487</v>
      </c>
      <c r="B493" s="1" t="str">
        <f>IF(Raw!B493="","",Raw!B493)</f>
        <v>T00244</v>
      </c>
      <c r="C493" s="1" t="str">
        <f>IF(Raw!C493="","",Raw!C493)</f>
        <v>2026-03-23</v>
      </c>
      <c r="D493" s="1">
        <f t="shared" si="56"/>
        <v>2026</v>
      </c>
      <c r="E493" s="1">
        <f>IFERROR(IF(AND(LEN(C493)=10,MID(C493,5,1)="-",MID(C493,8,1)="-"),VALUE(MID(C493,6,2)),IF(AND(LEN(C493)=11,MID(C493,3,1)="-",MID(C493,7,1)="-"),MATCH(UPPER(MID(C493,4,3)),Guide!$D$7:$D$18,0),0)),0)</f>
        <v>3</v>
      </c>
      <c r="F493" s="1">
        <f t="shared" si="57"/>
        <v>23</v>
      </c>
      <c r="G493" s="9">
        <f t="shared" si="58"/>
        <v>46104</v>
      </c>
      <c r="H493" s="1" t="str">
        <f>IF(Raw!D493="","",Raw!D493)</f>
        <v>P-A</v>
      </c>
      <c r="I493" s="1" t="str">
        <f>IFERROR(IF(EXACT(H493,INDEX(Guide!$A$7:$A$9,MATCH(SUBSTITUTE(SUBSTITUTE(SUBSTITUTE(H493,"~","~~"),"*","~*"),"?","~?"),Guide!$A$7:$A$9,0))),INDEX(Guide!$B$7:$B$9,MATCH(SUBSTITUTE(SUBSTITUTE(SUBSTITUTE(H493,"~","~~"),"*","~*"),"?","~?"),Guide!$A$7:$A$9,0)),""),"")</f>
        <v>Accessories</v>
      </c>
      <c r="J493" s="1" t="str">
        <f>IF(TRIM(Raw!E493)="",I493,IF(UPPER(TRIM(Raw!E493))=UPPER(I493),I493,""))</f>
        <v>Accessories</v>
      </c>
      <c r="K493" s="1" t="str">
        <f>IF(Raw!F493="","",Raw!F493)</f>
        <v>sale</v>
      </c>
      <c r="L493" s="1" t="str">
        <f>IF(LEFT(TRIM(Raw!G493),2)="-$","-"&amp;MID(TRIM(Raw!G493),3,99),IF(LEFT(TRIM(Raw!G493),1)="$",MID(TRIM(Raw!G493),2,99),TRIM(Raw!G493)))</f>
        <v>194.43</v>
      </c>
      <c r="M493" s="1">
        <f t="shared" si="59"/>
        <v>194.43</v>
      </c>
      <c r="N493" s="10">
        <f t="shared" si="60"/>
        <v>19443</v>
      </c>
      <c r="O493" s="1" t="b">
        <f>IFERROR(IF(ISNUMBER(Raw!G493),TRUE,OR(EXACT(L493,TEXT(M493,"0.00")),EXACT(L493,TEXT(M493,"#,##0.00")))),FALSE)</f>
        <v>1</v>
      </c>
      <c r="P493" s="1" t="str">
        <f>LEN(IF(Raw!A493="","",Raw!A493))&amp;":"&amp;IF(Raw!A493="","",Raw!A493)&amp;"|"&amp;LEN(IF(Raw!B493="","",Raw!B493))&amp;":"&amp;IF(Raw!B493="","",Raw!B493)&amp;"|"&amp;LEN(IF(Raw!C493="","",Raw!C493))&amp;":"&amp;IF(Raw!C493="","",Raw!C493)&amp;"|"&amp;LEN(IF(Raw!D493="","",Raw!D493))&amp;":"&amp;IF(Raw!D493="","",Raw!D493)&amp;"|"&amp;LEN(IF(Raw!E493="","",Raw!E493))&amp;":"&amp;IF(Raw!E493="","",Raw!E493)&amp;"|"&amp;LEN(IF(Raw!F493="","",Raw!F493))&amp;":"&amp;IF(Raw!F493="","",Raw!F493)&amp;"|"&amp;LEN(IF(Raw!G493="","",Raw!G493))&amp;":"&amp;IF(Raw!G493="","",Raw!G493)</f>
        <v>6:L00487|6:T00244|10:2026-03-23|3:P-A|11:Accessories|4:sale|6:194.43</v>
      </c>
      <c r="Q493" s="1">
        <f>1</f>
        <v>1</v>
      </c>
      <c r="R493" s="1" t="b">
        <f>FALSE</f>
        <v>0</v>
      </c>
      <c r="S493" s="1">
        <f>1</f>
        <v>1</v>
      </c>
      <c r="T493" s="1" t="str">
        <f>IF(AND(Raw!A493="",Raw!B493="",Raw!C493="",Raw!D493="",Raw!E493="",Raw!F493="",Raw!G493=""),"UNUSED",IF(A493="","missing line ID",IF(B493="","missing transaction ID",IF(G493="",IF(C493="","missing date","invalid date"),IF(I493="","unknown product",IF(J493="","conflicting category",IF(NOT(OR(EXACT(K493,"sale"),EXACT(K493,"refund"))),"unknown event",IF(OR(N493="",NOT(O493)),"invalid amount",IF(OR(AND(K493="sale",N493&lt;=0),AND(K493="refund",N493&gt;=0)),"invalid sign","")))))))))</f>
        <v/>
      </c>
      <c r="U493" s="1" t="str">
        <f t="shared" si="61"/>
        <v>INCLUDED</v>
      </c>
      <c r="V493" s="1" t="str">
        <f t="shared" si="62"/>
        <v>2026-03</v>
      </c>
      <c r="W493" s="1">
        <f>IF(AND(U493="INCLUDED",X493&gt;0,EXACT(A493,'AI output'!A493)),1,0)</f>
        <v>1</v>
      </c>
      <c r="X493" s="1">
        <f>493</f>
        <v>493</v>
      </c>
      <c r="Y493" s="1">
        <f>IF(AND(U493="INCLUDED",W493=1),--(NOT(EXACT(A493,'AI output'!A493)))+--(NOT(EXACT(B493,'AI output'!B493)))+--(NOT(EXACT(TEXT(G493,"yyyy-mm-dd"),'AI output'!C493)))+--(NOT(EXACT(H493,'AI output'!D493)))+--(NOT(EXACT(J493,'AI output'!E493)))+--(NOT(EXACT(K493,'AI output'!F493)))+--(N493&lt;&gt;'AI output'!L493)+--(NOT('AI output'!M493)),0)</f>
        <v>0</v>
      </c>
      <c r="Z493" s="1">
        <f t="shared" si="63"/>
        <v>0</v>
      </c>
      <c r="AA493" s="1">
        <f>--EXACT(A493,"L00487")</f>
        <v>1</v>
      </c>
    </row>
    <row r="494" spans="1:27" ht="18.95" customHeight="1">
      <c r="A494" s="1" t="str">
        <f>IF(Raw!A494="","",Raw!A494)</f>
        <v>L00488</v>
      </c>
      <c r="B494" s="1" t="str">
        <f>IF(Raw!B494="","",Raw!B494)</f>
        <v>T00244</v>
      </c>
      <c r="C494" s="1" t="str">
        <f>IF(Raw!C494="","",Raw!C494)</f>
        <v>2026-03-23</v>
      </c>
      <c r="D494" s="1">
        <f t="shared" si="56"/>
        <v>2026</v>
      </c>
      <c r="E494" s="1">
        <f>IFERROR(IF(AND(LEN(C494)=10,MID(C494,5,1)="-",MID(C494,8,1)="-"),VALUE(MID(C494,6,2)),IF(AND(LEN(C494)=11,MID(C494,3,1)="-",MID(C494,7,1)="-"),MATCH(UPPER(MID(C494,4,3)),Guide!$D$7:$D$18,0),0)),0)</f>
        <v>3</v>
      </c>
      <c r="F494" s="1">
        <f t="shared" si="57"/>
        <v>23</v>
      </c>
      <c r="G494" s="9">
        <f t="shared" si="58"/>
        <v>46104</v>
      </c>
      <c r="H494" s="1" t="str">
        <f>IF(Raw!D494="","",Raw!D494)</f>
        <v>P-H</v>
      </c>
      <c r="I494" s="1" t="str">
        <f>IFERROR(IF(EXACT(H494,INDEX(Guide!$A$7:$A$9,MATCH(SUBSTITUTE(SUBSTITUTE(SUBSTITUTE(H494,"~","~~"),"*","~*"),"?","~?"),Guide!$A$7:$A$9,0))),INDEX(Guide!$B$7:$B$9,MATCH(SUBSTITUTE(SUBSTITUTE(SUBSTITUTE(H494,"~","~~"),"*","~*"),"?","~?"),Guide!$A$7:$A$9,0)),""),"")</f>
        <v>Home</v>
      </c>
      <c r="J494" s="1" t="str">
        <f>IF(TRIM(Raw!E494)="",I494,IF(UPPER(TRIM(Raw!E494))=UPPER(I494),I494,""))</f>
        <v>Home</v>
      </c>
      <c r="K494" s="1" t="str">
        <f>IF(Raw!F494="","",Raw!F494)</f>
        <v>sale</v>
      </c>
      <c r="L494" s="1" t="str">
        <f>IF(LEFT(TRIM(Raw!G494),2)="-$","-"&amp;MID(TRIM(Raw!G494),3,99),IF(LEFT(TRIM(Raw!G494),1)="$",MID(TRIM(Raw!G494),2,99),TRIM(Raw!G494)))</f>
        <v>325.90</v>
      </c>
      <c r="M494" s="1">
        <f t="shared" si="59"/>
        <v>325.89999999999998</v>
      </c>
      <c r="N494" s="10">
        <f t="shared" si="60"/>
        <v>32590</v>
      </c>
      <c r="O494" s="1" t="b">
        <f>IFERROR(IF(ISNUMBER(Raw!G494),TRUE,OR(EXACT(L494,TEXT(M494,"0.00")),EXACT(L494,TEXT(M494,"#,##0.00")))),FALSE)</f>
        <v>1</v>
      </c>
      <c r="P494" s="1" t="str">
        <f>LEN(IF(Raw!A494="","",Raw!A494))&amp;":"&amp;IF(Raw!A494="","",Raw!A494)&amp;"|"&amp;LEN(IF(Raw!B494="","",Raw!B494))&amp;":"&amp;IF(Raw!B494="","",Raw!B494)&amp;"|"&amp;LEN(IF(Raw!C494="","",Raw!C494))&amp;":"&amp;IF(Raw!C494="","",Raw!C494)&amp;"|"&amp;LEN(IF(Raw!D494="","",Raw!D494))&amp;":"&amp;IF(Raw!D494="","",Raw!D494)&amp;"|"&amp;LEN(IF(Raw!E494="","",Raw!E494))&amp;":"&amp;IF(Raw!E494="","",Raw!E494)&amp;"|"&amp;LEN(IF(Raw!F494="","",Raw!F494))&amp;":"&amp;IF(Raw!F494="","",Raw!F494)&amp;"|"&amp;LEN(IF(Raw!G494="","",Raw!G494))&amp;":"&amp;IF(Raw!G494="","",Raw!G494)</f>
        <v>6:L00488|6:T00244|10:2026-03-23|3:P-H|4:Home|4:sale|6:325.90</v>
      </c>
      <c r="Q494" s="1">
        <f>1</f>
        <v>1</v>
      </c>
      <c r="R494" s="1" t="b">
        <f>FALSE</f>
        <v>0</v>
      </c>
      <c r="S494" s="1">
        <f>1</f>
        <v>1</v>
      </c>
      <c r="T494" s="1" t="str">
        <f>IF(AND(Raw!A494="",Raw!B494="",Raw!C494="",Raw!D494="",Raw!E494="",Raw!F494="",Raw!G494=""),"UNUSED",IF(A494="","missing line ID",IF(B494="","missing transaction ID",IF(G494="",IF(C494="","missing date","invalid date"),IF(I494="","unknown product",IF(J494="","conflicting category",IF(NOT(OR(EXACT(K494,"sale"),EXACT(K494,"refund"))),"unknown event",IF(OR(N494="",NOT(O494)),"invalid amount",IF(OR(AND(K494="sale",N494&lt;=0),AND(K494="refund",N494&gt;=0)),"invalid sign","")))))))))</f>
        <v/>
      </c>
      <c r="U494" s="1" t="str">
        <f t="shared" si="61"/>
        <v>INCLUDED</v>
      </c>
      <c r="V494" s="1" t="str">
        <f t="shared" si="62"/>
        <v>2026-03</v>
      </c>
      <c r="W494" s="1">
        <f>IF(AND(U494="INCLUDED",X494&gt;0,EXACT(A494,'AI output'!A494)),1,0)</f>
        <v>1</v>
      </c>
      <c r="X494" s="1">
        <f>494</f>
        <v>494</v>
      </c>
      <c r="Y494" s="1">
        <f>IF(AND(U494="INCLUDED",W494=1),--(NOT(EXACT(A494,'AI output'!A494)))+--(NOT(EXACT(B494,'AI output'!B494)))+--(NOT(EXACT(TEXT(G494,"yyyy-mm-dd"),'AI output'!C494)))+--(NOT(EXACT(H494,'AI output'!D494)))+--(NOT(EXACT(J494,'AI output'!E494)))+--(NOT(EXACT(K494,'AI output'!F494)))+--(N494&lt;&gt;'AI output'!L494)+--(NOT('AI output'!M494)),0)</f>
        <v>0</v>
      </c>
      <c r="Z494" s="1">
        <f t="shared" si="63"/>
        <v>0</v>
      </c>
      <c r="AA494" s="1">
        <f>--EXACT(A494,"L00488")</f>
        <v>1</v>
      </c>
    </row>
    <row r="495" spans="1:27" ht="18.95" customHeight="1">
      <c r="A495" s="1" t="str">
        <f>IF(Raw!A495="","",Raw!A495)</f>
        <v>L00489</v>
      </c>
      <c r="B495" s="1" t="str">
        <f>IF(Raw!B495="","",Raw!B495)</f>
        <v>T00245</v>
      </c>
      <c r="C495" s="1" t="str">
        <f>IF(Raw!C495="","",Raw!C495)</f>
        <v>2026-03-30</v>
      </c>
      <c r="D495" s="1">
        <f t="shared" si="56"/>
        <v>2026</v>
      </c>
      <c r="E495" s="1">
        <f>IFERROR(IF(AND(LEN(C495)=10,MID(C495,5,1)="-",MID(C495,8,1)="-"),VALUE(MID(C495,6,2)),IF(AND(LEN(C495)=11,MID(C495,3,1)="-",MID(C495,7,1)="-"),MATCH(UPPER(MID(C495,4,3)),Guide!$D$7:$D$18,0),0)),0)</f>
        <v>3</v>
      </c>
      <c r="F495" s="1">
        <f t="shared" si="57"/>
        <v>30</v>
      </c>
      <c r="G495" s="9">
        <f t="shared" si="58"/>
        <v>46111</v>
      </c>
      <c r="H495" s="1" t="str">
        <f>IF(Raw!D495="","",Raw!D495)</f>
        <v>P-O</v>
      </c>
      <c r="I495" s="1" t="str">
        <f>IFERROR(IF(EXACT(H495,INDEX(Guide!$A$7:$A$9,MATCH(SUBSTITUTE(SUBSTITUTE(SUBSTITUTE(H495,"~","~~"),"*","~*"),"?","~?"),Guide!$A$7:$A$9,0))),INDEX(Guide!$B$7:$B$9,MATCH(SUBSTITUTE(SUBSTITUTE(SUBSTITUTE(H495,"~","~~"),"*","~*"),"?","~?"),Guide!$A$7:$A$9,0)),""),"")</f>
        <v>Office</v>
      </c>
      <c r="J495" s="1" t="str">
        <f>IF(TRIM(Raw!E495)="",I495,IF(UPPER(TRIM(Raw!E495))=UPPER(I495),I495,""))</f>
        <v>Office</v>
      </c>
      <c r="K495" s="1" t="str">
        <f>IF(Raw!F495="","",Raw!F495)</f>
        <v>sale</v>
      </c>
      <c r="L495" s="1" t="str">
        <f>IF(LEFT(TRIM(Raw!G495),2)="-$","-"&amp;MID(TRIM(Raw!G495),3,99),IF(LEFT(TRIM(Raw!G495),1)="$",MID(TRIM(Raw!G495),2,99),TRIM(Raw!G495)))</f>
        <v>131.10</v>
      </c>
      <c r="M495" s="1">
        <f t="shared" si="59"/>
        <v>131.1</v>
      </c>
      <c r="N495" s="10">
        <f t="shared" si="60"/>
        <v>13110</v>
      </c>
      <c r="O495" s="1" t="b">
        <f>IFERROR(IF(ISNUMBER(Raw!G495),TRUE,OR(EXACT(L495,TEXT(M495,"0.00")),EXACT(L495,TEXT(M495,"#,##0.00")))),FALSE)</f>
        <v>1</v>
      </c>
      <c r="P495" s="1" t="str">
        <f>LEN(IF(Raw!A495="","",Raw!A495))&amp;":"&amp;IF(Raw!A495="","",Raw!A495)&amp;"|"&amp;LEN(IF(Raw!B495="","",Raw!B495))&amp;":"&amp;IF(Raw!B495="","",Raw!B495)&amp;"|"&amp;LEN(IF(Raw!C495="","",Raw!C495))&amp;":"&amp;IF(Raw!C495="","",Raw!C495)&amp;"|"&amp;LEN(IF(Raw!D495="","",Raw!D495))&amp;":"&amp;IF(Raw!D495="","",Raw!D495)&amp;"|"&amp;LEN(IF(Raw!E495="","",Raw!E495))&amp;":"&amp;IF(Raw!E495="","",Raw!E495)&amp;"|"&amp;LEN(IF(Raw!F495="","",Raw!F495))&amp;":"&amp;IF(Raw!F495="","",Raw!F495)&amp;"|"&amp;LEN(IF(Raw!G495="","",Raw!G495))&amp;":"&amp;IF(Raw!G495="","",Raw!G495)</f>
        <v>6:L00489|6:T00245|10:2026-03-30|3:P-O|6:Office|4:sale|6:131.10</v>
      </c>
      <c r="Q495" s="1">
        <f>1</f>
        <v>1</v>
      </c>
      <c r="R495" s="1" t="b">
        <f>FALSE</f>
        <v>0</v>
      </c>
      <c r="S495" s="1">
        <f>1</f>
        <v>1</v>
      </c>
      <c r="T495" s="1" t="str">
        <f>IF(AND(Raw!A495="",Raw!B495="",Raw!C495="",Raw!D495="",Raw!E495="",Raw!F495="",Raw!G495=""),"UNUSED",IF(A495="","missing line ID",IF(B495="","missing transaction ID",IF(G495="",IF(C495="","missing date","invalid date"),IF(I495="","unknown product",IF(J495="","conflicting category",IF(NOT(OR(EXACT(K495,"sale"),EXACT(K495,"refund"))),"unknown event",IF(OR(N495="",NOT(O495)),"invalid amount",IF(OR(AND(K495="sale",N495&lt;=0),AND(K495="refund",N495&gt;=0)),"invalid sign","")))))))))</f>
        <v/>
      </c>
      <c r="U495" s="1" t="str">
        <f t="shared" si="61"/>
        <v>INCLUDED</v>
      </c>
      <c r="V495" s="1" t="str">
        <f t="shared" si="62"/>
        <v>2026-03</v>
      </c>
      <c r="W495" s="1">
        <f>IF(AND(U495="INCLUDED",X495&gt;0,EXACT(A495,'AI output'!A495)),1,0)</f>
        <v>1</v>
      </c>
      <c r="X495" s="1">
        <f>495</f>
        <v>495</v>
      </c>
      <c r="Y495" s="1">
        <f>IF(AND(U495="INCLUDED",W495=1),--(NOT(EXACT(A495,'AI output'!A495)))+--(NOT(EXACT(B495,'AI output'!B495)))+--(NOT(EXACT(TEXT(G495,"yyyy-mm-dd"),'AI output'!C495)))+--(NOT(EXACT(H495,'AI output'!D495)))+--(NOT(EXACT(J495,'AI output'!E495)))+--(NOT(EXACT(K495,'AI output'!F495)))+--(N495&lt;&gt;'AI output'!L495)+--(NOT('AI output'!M495)),0)</f>
        <v>0</v>
      </c>
      <c r="Z495" s="1">
        <f t="shared" si="63"/>
        <v>0</v>
      </c>
      <c r="AA495" s="1">
        <f>--EXACT(A495,"L00489")</f>
        <v>1</v>
      </c>
    </row>
    <row r="496" spans="1:27" ht="18.95" customHeight="1">
      <c r="A496" s="1" t="str">
        <f>IF(Raw!A496="","",Raw!A496)</f>
        <v>L00490</v>
      </c>
      <c r="B496" s="1" t="str">
        <f>IF(Raw!B496="","",Raw!B496)</f>
        <v>T00245</v>
      </c>
      <c r="C496" s="1" t="str">
        <f>IF(Raw!C496="","",Raw!C496)</f>
        <v>2026-03-30</v>
      </c>
      <c r="D496" s="1">
        <f t="shared" si="56"/>
        <v>2026</v>
      </c>
      <c r="E496" s="1">
        <f>IFERROR(IF(AND(LEN(C496)=10,MID(C496,5,1)="-",MID(C496,8,1)="-"),VALUE(MID(C496,6,2)),IF(AND(LEN(C496)=11,MID(C496,3,1)="-",MID(C496,7,1)="-"),MATCH(UPPER(MID(C496,4,3)),Guide!$D$7:$D$18,0),0)),0)</f>
        <v>3</v>
      </c>
      <c r="F496" s="1">
        <f t="shared" si="57"/>
        <v>30</v>
      </c>
      <c r="G496" s="9">
        <f t="shared" si="58"/>
        <v>46111</v>
      </c>
      <c r="H496" s="1" t="str">
        <f>IF(Raw!D496="","",Raw!D496)</f>
        <v>P-A</v>
      </c>
      <c r="I496" s="1" t="str">
        <f>IFERROR(IF(EXACT(H496,INDEX(Guide!$A$7:$A$9,MATCH(SUBSTITUTE(SUBSTITUTE(SUBSTITUTE(H496,"~","~~"),"*","~*"),"?","~?"),Guide!$A$7:$A$9,0))),INDEX(Guide!$B$7:$B$9,MATCH(SUBSTITUTE(SUBSTITUTE(SUBSTITUTE(H496,"~","~~"),"*","~*"),"?","~?"),Guide!$A$7:$A$9,0)),""),"")</f>
        <v>Accessories</v>
      </c>
      <c r="J496" s="1" t="str">
        <f>IF(TRIM(Raw!E496)="",I496,IF(UPPER(TRIM(Raw!E496))=UPPER(I496),I496,""))</f>
        <v>Accessories</v>
      </c>
      <c r="K496" s="1" t="str">
        <f>IF(Raw!F496="","",Raw!F496)</f>
        <v>sale</v>
      </c>
      <c r="L496" s="1" t="str">
        <f>IF(LEFT(TRIM(Raw!G496),2)="-$","-"&amp;MID(TRIM(Raw!G496),3,99),IF(LEFT(TRIM(Raw!G496),1)="$",MID(TRIM(Raw!G496),2,99),TRIM(Raw!G496)))</f>
        <v>263.68</v>
      </c>
      <c r="M496" s="1">
        <f t="shared" si="59"/>
        <v>263.68</v>
      </c>
      <c r="N496" s="10">
        <f t="shared" si="60"/>
        <v>26368</v>
      </c>
      <c r="O496" s="1" t="b">
        <f>IFERROR(IF(ISNUMBER(Raw!G496),TRUE,OR(EXACT(L496,TEXT(M496,"0.00")),EXACT(L496,TEXT(M496,"#,##0.00")))),FALSE)</f>
        <v>1</v>
      </c>
      <c r="P496" s="1" t="str">
        <f>LEN(IF(Raw!A496="","",Raw!A496))&amp;":"&amp;IF(Raw!A496="","",Raw!A496)&amp;"|"&amp;LEN(IF(Raw!B496="","",Raw!B496))&amp;":"&amp;IF(Raw!B496="","",Raw!B496)&amp;"|"&amp;LEN(IF(Raw!C496="","",Raw!C496))&amp;":"&amp;IF(Raw!C496="","",Raw!C496)&amp;"|"&amp;LEN(IF(Raw!D496="","",Raw!D496))&amp;":"&amp;IF(Raw!D496="","",Raw!D496)&amp;"|"&amp;LEN(IF(Raw!E496="","",Raw!E496))&amp;":"&amp;IF(Raw!E496="","",Raw!E496)&amp;"|"&amp;LEN(IF(Raw!F496="","",Raw!F496))&amp;":"&amp;IF(Raw!F496="","",Raw!F496)&amp;"|"&amp;LEN(IF(Raw!G496="","",Raw!G496))&amp;":"&amp;IF(Raw!G496="","",Raw!G496)</f>
        <v>6:L00490|6:T00245|10:2026-03-30|3:P-A|11:Accessories|4:sale|6:263.68</v>
      </c>
      <c r="Q496" s="1">
        <f>1</f>
        <v>1</v>
      </c>
      <c r="R496" s="1" t="b">
        <f>FALSE</f>
        <v>0</v>
      </c>
      <c r="S496" s="1">
        <f>1</f>
        <v>1</v>
      </c>
      <c r="T496" s="1" t="str">
        <f>IF(AND(Raw!A496="",Raw!B496="",Raw!C496="",Raw!D496="",Raw!E496="",Raw!F496="",Raw!G496=""),"UNUSED",IF(A496="","missing line ID",IF(B496="","missing transaction ID",IF(G496="",IF(C496="","missing date","invalid date"),IF(I496="","unknown product",IF(J496="","conflicting category",IF(NOT(OR(EXACT(K496,"sale"),EXACT(K496,"refund"))),"unknown event",IF(OR(N496="",NOT(O496)),"invalid amount",IF(OR(AND(K496="sale",N496&lt;=0),AND(K496="refund",N496&gt;=0)),"invalid sign","")))))))))</f>
        <v/>
      </c>
      <c r="U496" s="1" t="str">
        <f t="shared" si="61"/>
        <v>INCLUDED</v>
      </c>
      <c r="V496" s="1" t="str">
        <f t="shared" si="62"/>
        <v>2026-03</v>
      </c>
      <c r="W496" s="1">
        <f>IF(AND(U496="INCLUDED",X496&gt;0,EXACT(A496,'AI output'!A496)),1,0)</f>
        <v>1</v>
      </c>
      <c r="X496" s="1">
        <f>496</f>
        <v>496</v>
      </c>
      <c r="Y496" s="1">
        <f>IF(AND(U496="INCLUDED",W496=1),--(NOT(EXACT(A496,'AI output'!A496)))+--(NOT(EXACT(B496,'AI output'!B496)))+--(NOT(EXACT(TEXT(G496,"yyyy-mm-dd"),'AI output'!C496)))+--(NOT(EXACT(H496,'AI output'!D496)))+--(NOT(EXACT(J496,'AI output'!E496)))+--(NOT(EXACT(K496,'AI output'!F496)))+--(N496&lt;&gt;'AI output'!L496)+--(NOT('AI output'!M496)),0)</f>
        <v>0</v>
      </c>
      <c r="Z496" s="1">
        <f t="shared" si="63"/>
        <v>0</v>
      </c>
      <c r="AA496" s="1">
        <f>--EXACT(A496,"L00490")</f>
        <v>1</v>
      </c>
    </row>
    <row r="497" spans="1:27" ht="18.95" customHeight="1">
      <c r="A497" s="1" t="str">
        <f>IF(Raw!A497="","",Raw!A497)</f>
        <v>L00491</v>
      </c>
      <c r="B497" s="1" t="str">
        <f>IF(Raw!B497="","",Raw!B497)</f>
        <v>T00246</v>
      </c>
      <c r="C497" s="1" t="str">
        <f>IF(Raw!C497="","",Raw!C497)</f>
        <v>2026-01-06</v>
      </c>
      <c r="D497" s="1">
        <f t="shared" si="56"/>
        <v>2026</v>
      </c>
      <c r="E497" s="1">
        <f>IFERROR(IF(AND(LEN(C497)=10,MID(C497,5,1)="-",MID(C497,8,1)="-"),VALUE(MID(C497,6,2)),IF(AND(LEN(C497)=11,MID(C497,3,1)="-",MID(C497,7,1)="-"),MATCH(UPPER(MID(C497,4,3)),Guide!$D$7:$D$18,0),0)),0)</f>
        <v>1</v>
      </c>
      <c r="F497" s="1">
        <f t="shared" si="57"/>
        <v>6</v>
      </c>
      <c r="G497" s="9">
        <f t="shared" si="58"/>
        <v>46028</v>
      </c>
      <c r="H497" s="1" t="str">
        <f>IF(Raw!D497="","",Raw!D497)</f>
        <v>P-H</v>
      </c>
      <c r="I497" s="1" t="str">
        <f>IFERROR(IF(EXACT(H497,INDEX(Guide!$A$7:$A$9,MATCH(SUBSTITUTE(SUBSTITUTE(SUBSTITUTE(H497,"~","~~"),"*","~*"),"?","~?"),Guide!$A$7:$A$9,0))),INDEX(Guide!$B$7:$B$9,MATCH(SUBSTITUTE(SUBSTITUTE(SUBSTITUTE(H497,"~","~~"),"*","~*"),"?","~?"),Guide!$A$7:$A$9,0)),""),"")</f>
        <v>Home</v>
      </c>
      <c r="J497" s="1" t="str">
        <f>IF(TRIM(Raw!E497)="",I497,IF(UPPER(TRIM(Raw!E497))=UPPER(I497),I497,""))</f>
        <v>Home</v>
      </c>
      <c r="K497" s="1" t="str">
        <f>IF(Raw!F497="","",Raw!F497)</f>
        <v>sale</v>
      </c>
      <c r="L497" s="1" t="str">
        <f>IF(LEFT(TRIM(Raw!G497),2)="-$","-"&amp;MID(TRIM(Raw!G497),3,99),IF(LEFT(TRIM(Raw!G497),1)="$",MID(TRIM(Raw!G497),2,99),TRIM(Raw!G497)))</f>
        <v>66.29</v>
      </c>
      <c r="M497" s="1">
        <f t="shared" si="59"/>
        <v>66.290000000000006</v>
      </c>
      <c r="N497" s="10">
        <f t="shared" si="60"/>
        <v>6629</v>
      </c>
      <c r="O497" s="1" t="b">
        <f>IFERROR(IF(ISNUMBER(Raw!G497),TRUE,OR(EXACT(L497,TEXT(M497,"0.00")),EXACT(L497,TEXT(M497,"#,##0.00")))),FALSE)</f>
        <v>1</v>
      </c>
      <c r="P497" s="1" t="str">
        <f>LEN(IF(Raw!A497="","",Raw!A497))&amp;":"&amp;IF(Raw!A497="","",Raw!A497)&amp;"|"&amp;LEN(IF(Raw!B497="","",Raw!B497))&amp;":"&amp;IF(Raw!B497="","",Raw!B497)&amp;"|"&amp;LEN(IF(Raw!C497="","",Raw!C497))&amp;":"&amp;IF(Raw!C497="","",Raw!C497)&amp;"|"&amp;LEN(IF(Raw!D497="","",Raw!D497))&amp;":"&amp;IF(Raw!D497="","",Raw!D497)&amp;"|"&amp;LEN(IF(Raw!E497="","",Raw!E497))&amp;":"&amp;IF(Raw!E497="","",Raw!E497)&amp;"|"&amp;LEN(IF(Raw!F497="","",Raw!F497))&amp;":"&amp;IF(Raw!F497="","",Raw!F497)&amp;"|"&amp;LEN(IF(Raw!G497="","",Raw!G497))&amp;":"&amp;IF(Raw!G497="","",Raw!G497)</f>
        <v>6:L00491|6:T00246|10:2026-01-06|3:P-H|4:Home|4:sale|5:66.29</v>
      </c>
      <c r="Q497" s="1">
        <f>1</f>
        <v>1</v>
      </c>
      <c r="R497" s="1" t="b">
        <f>FALSE</f>
        <v>0</v>
      </c>
      <c r="S497" s="1">
        <f>1</f>
        <v>1</v>
      </c>
      <c r="T497" s="1" t="str">
        <f>IF(AND(Raw!A497="",Raw!B497="",Raw!C497="",Raw!D497="",Raw!E497="",Raw!F497="",Raw!G497=""),"UNUSED",IF(A497="","missing line ID",IF(B497="","missing transaction ID",IF(G497="",IF(C497="","missing date","invalid date"),IF(I497="","unknown product",IF(J497="","conflicting category",IF(NOT(OR(EXACT(K497,"sale"),EXACT(K497,"refund"))),"unknown event",IF(OR(N497="",NOT(O497)),"invalid amount",IF(OR(AND(K497="sale",N497&lt;=0),AND(K497="refund",N497&gt;=0)),"invalid sign","")))))))))</f>
        <v/>
      </c>
      <c r="U497" s="1" t="str">
        <f t="shared" si="61"/>
        <v>INCLUDED</v>
      </c>
      <c r="V497" s="1" t="str">
        <f t="shared" si="62"/>
        <v>2026-01</v>
      </c>
      <c r="W497" s="1">
        <f>IF(AND(U497="INCLUDED",X497&gt;0,EXACT(A497,'AI output'!A497)),1,0)</f>
        <v>1</v>
      </c>
      <c r="X497" s="1">
        <f>497</f>
        <v>497</v>
      </c>
      <c r="Y497" s="1">
        <f>IF(AND(U497="INCLUDED",W497=1),--(NOT(EXACT(A497,'AI output'!A497)))+--(NOT(EXACT(B497,'AI output'!B497)))+--(NOT(EXACT(TEXT(G497,"yyyy-mm-dd"),'AI output'!C497)))+--(NOT(EXACT(H497,'AI output'!D497)))+--(NOT(EXACT(J497,'AI output'!E497)))+--(NOT(EXACT(K497,'AI output'!F497)))+--(N497&lt;&gt;'AI output'!L497)+--(NOT('AI output'!M497)),0)</f>
        <v>0</v>
      </c>
      <c r="Z497" s="1">
        <f t="shared" si="63"/>
        <v>0</v>
      </c>
      <c r="AA497" s="1">
        <f>--EXACT(A497,"L00491")</f>
        <v>1</v>
      </c>
    </row>
    <row r="498" spans="1:27" ht="18.95" customHeight="1">
      <c r="A498" s="1" t="str">
        <f>IF(Raw!A498="","",Raw!A498)</f>
        <v>L00492</v>
      </c>
      <c r="B498" s="1" t="str">
        <f>IF(Raw!B498="","",Raw!B498)</f>
        <v>T00246</v>
      </c>
      <c r="C498" s="1" t="str">
        <f>IF(Raw!C498="","",Raw!C498)</f>
        <v>2026-01-06</v>
      </c>
      <c r="D498" s="1">
        <f t="shared" si="56"/>
        <v>2026</v>
      </c>
      <c r="E498" s="1">
        <f>IFERROR(IF(AND(LEN(C498)=10,MID(C498,5,1)="-",MID(C498,8,1)="-"),VALUE(MID(C498,6,2)),IF(AND(LEN(C498)=11,MID(C498,3,1)="-",MID(C498,7,1)="-"),MATCH(UPPER(MID(C498,4,3)),Guide!$D$7:$D$18,0),0)),0)</f>
        <v>1</v>
      </c>
      <c r="F498" s="1">
        <f t="shared" si="57"/>
        <v>6</v>
      </c>
      <c r="G498" s="9">
        <f t="shared" si="58"/>
        <v>46028</v>
      </c>
      <c r="H498" s="1" t="str">
        <f>IF(Raw!D498="","",Raw!D498)</f>
        <v>P-O</v>
      </c>
      <c r="I498" s="1" t="str">
        <f>IFERROR(IF(EXACT(H498,INDEX(Guide!$A$7:$A$9,MATCH(SUBSTITUTE(SUBSTITUTE(SUBSTITUTE(H498,"~","~~"),"*","~*"),"?","~?"),Guide!$A$7:$A$9,0))),INDEX(Guide!$B$7:$B$9,MATCH(SUBSTITUTE(SUBSTITUTE(SUBSTITUTE(H498,"~","~~"),"*","~*"),"?","~?"),Guide!$A$7:$A$9,0)),""),"")</f>
        <v>Office</v>
      </c>
      <c r="J498" s="1" t="str">
        <f>IF(TRIM(Raw!E498)="",I498,IF(UPPER(TRIM(Raw!E498))=UPPER(I498),I498,""))</f>
        <v>Office</v>
      </c>
      <c r="K498" s="1" t="str">
        <f>IF(Raw!F498="","",Raw!F498)</f>
        <v>sale</v>
      </c>
      <c r="L498" s="1" t="str">
        <f>IF(LEFT(TRIM(Raw!G498),2)="-$","-"&amp;MID(TRIM(Raw!G498),3,99),IF(LEFT(TRIM(Raw!G498),1)="$",MID(TRIM(Raw!G498),2,99),TRIM(Raw!G498)))</f>
        <v>199.98</v>
      </c>
      <c r="M498" s="1">
        <f t="shared" si="59"/>
        <v>199.98</v>
      </c>
      <c r="N498" s="10">
        <f t="shared" si="60"/>
        <v>19998</v>
      </c>
      <c r="O498" s="1" t="b">
        <f>IFERROR(IF(ISNUMBER(Raw!G498),TRUE,OR(EXACT(L498,TEXT(M498,"0.00")),EXACT(L498,TEXT(M498,"#,##0.00")))),FALSE)</f>
        <v>1</v>
      </c>
      <c r="P498" s="1" t="str">
        <f>LEN(IF(Raw!A498="","",Raw!A498))&amp;":"&amp;IF(Raw!A498="","",Raw!A498)&amp;"|"&amp;LEN(IF(Raw!B498="","",Raw!B498))&amp;":"&amp;IF(Raw!B498="","",Raw!B498)&amp;"|"&amp;LEN(IF(Raw!C498="","",Raw!C498))&amp;":"&amp;IF(Raw!C498="","",Raw!C498)&amp;"|"&amp;LEN(IF(Raw!D498="","",Raw!D498))&amp;":"&amp;IF(Raw!D498="","",Raw!D498)&amp;"|"&amp;LEN(IF(Raw!E498="","",Raw!E498))&amp;":"&amp;IF(Raw!E498="","",Raw!E498)&amp;"|"&amp;LEN(IF(Raw!F498="","",Raw!F498))&amp;":"&amp;IF(Raw!F498="","",Raw!F498)&amp;"|"&amp;LEN(IF(Raw!G498="","",Raw!G498))&amp;":"&amp;IF(Raw!G498="","",Raw!G498)</f>
        <v>6:L00492|6:T00246|10:2026-01-06|3:P-O|6:Office|4:sale|6:199.98</v>
      </c>
      <c r="Q498" s="1">
        <f>1</f>
        <v>1</v>
      </c>
      <c r="R498" s="1" t="b">
        <f>FALSE</f>
        <v>0</v>
      </c>
      <c r="S498" s="1">
        <f>1</f>
        <v>1</v>
      </c>
      <c r="T498" s="1" t="str">
        <f>IF(AND(Raw!A498="",Raw!B498="",Raw!C498="",Raw!D498="",Raw!E498="",Raw!F498="",Raw!G498=""),"UNUSED",IF(A498="","missing line ID",IF(B498="","missing transaction ID",IF(G498="",IF(C498="","missing date","invalid date"),IF(I498="","unknown product",IF(J498="","conflicting category",IF(NOT(OR(EXACT(K498,"sale"),EXACT(K498,"refund"))),"unknown event",IF(OR(N498="",NOT(O498)),"invalid amount",IF(OR(AND(K498="sale",N498&lt;=0),AND(K498="refund",N498&gt;=0)),"invalid sign","")))))))))</f>
        <v/>
      </c>
      <c r="U498" s="1" t="str">
        <f t="shared" si="61"/>
        <v>INCLUDED</v>
      </c>
      <c r="V498" s="1" t="str">
        <f t="shared" si="62"/>
        <v>2026-01</v>
      </c>
      <c r="W498" s="1">
        <f>IF(AND(U498="INCLUDED",X498&gt;0,EXACT(A498,'AI output'!A498)),1,0)</f>
        <v>1</v>
      </c>
      <c r="X498" s="1">
        <f>498</f>
        <v>498</v>
      </c>
      <c r="Y498" s="1">
        <f>IF(AND(U498="INCLUDED",W498=1),--(NOT(EXACT(A498,'AI output'!A498)))+--(NOT(EXACT(B498,'AI output'!B498)))+--(NOT(EXACT(TEXT(G498,"yyyy-mm-dd"),'AI output'!C498)))+--(NOT(EXACT(H498,'AI output'!D498)))+--(NOT(EXACT(J498,'AI output'!E498)))+--(NOT(EXACT(K498,'AI output'!F498)))+--(N498&lt;&gt;'AI output'!L498)+--(NOT('AI output'!M498)),0)</f>
        <v>0</v>
      </c>
      <c r="Z498" s="1">
        <f t="shared" si="63"/>
        <v>0</v>
      </c>
      <c r="AA498" s="1">
        <f>--EXACT(A498,"L00492")</f>
        <v>1</v>
      </c>
    </row>
    <row r="499" spans="1:27" ht="18.95" customHeight="1">
      <c r="A499" s="1" t="str">
        <f>IF(Raw!A499="","",Raw!A499)</f>
        <v>L00493</v>
      </c>
      <c r="B499" s="1" t="str">
        <f>IF(Raw!B499="","",Raw!B499)</f>
        <v>T00247</v>
      </c>
      <c r="C499" s="1" t="str">
        <f>IF(Raw!C499="","",Raw!C499)</f>
        <v>2026-01-13</v>
      </c>
      <c r="D499" s="1">
        <f t="shared" si="56"/>
        <v>2026</v>
      </c>
      <c r="E499" s="1">
        <f>IFERROR(IF(AND(LEN(C499)=10,MID(C499,5,1)="-",MID(C499,8,1)="-"),VALUE(MID(C499,6,2)),IF(AND(LEN(C499)=11,MID(C499,3,1)="-",MID(C499,7,1)="-"),MATCH(UPPER(MID(C499,4,3)),Guide!$D$7:$D$18,0),0)),0)</f>
        <v>1</v>
      </c>
      <c r="F499" s="1">
        <f t="shared" si="57"/>
        <v>13</v>
      </c>
      <c r="G499" s="9">
        <f t="shared" si="58"/>
        <v>46035</v>
      </c>
      <c r="H499" s="1" t="str">
        <f>IF(Raw!D499="","",Raw!D499)</f>
        <v>P-A</v>
      </c>
      <c r="I499" s="1" t="str">
        <f>IFERROR(IF(EXACT(H499,INDEX(Guide!$A$7:$A$9,MATCH(SUBSTITUTE(SUBSTITUTE(SUBSTITUTE(H499,"~","~~"),"*","~*"),"?","~?"),Guide!$A$7:$A$9,0))),INDEX(Guide!$B$7:$B$9,MATCH(SUBSTITUTE(SUBSTITUTE(SUBSTITUTE(H499,"~","~~"),"*","~*"),"?","~?"),Guide!$A$7:$A$9,0)),""),"")</f>
        <v>Accessories</v>
      </c>
      <c r="J499" s="1" t="str">
        <f>IF(TRIM(Raw!E499)="",I499,IF(UPPER(TRIM(Raw!E499))=UPPER(I499),I499,""))</f>
        <v>Accessories</v>
      </c>
      <c r="K499" s="1" t="str">
        <f>IF(Raw!F499="","",Raw!F499)</f>
        <v>sale</v>
      </c>
      <c r="L499" s="1" t="str">
        <f>IF(LEFT(TRIM(Raw!G499),2)="-$","-"&amp;MID(TRIM(Raw!G499),3,99),IF(LEFT(TRIM(Raw!G499),1)="$",MID(TRIM(Raw!G499),2,99),TRIM(Raw!G499)))</f>
        <v>335.15</v>
      </c>
      <c r="M499" s="1">
        <f t="shared" si="59"/>
        <v>335.15</v>
      </c>
      <c r="N499" s="10">
        <f t="shared" si="60"/>
        <v>33515</v>
      </c>
      <c r="O499" s="1" t="b">
        <f>IFERROR(IF(ISNUMBER(Raw!G499),TRUE,OR(EXACT(L499,TEXT(M499,"0.00")),EXACT(L499,TEXT(M499,"#,##0.00")))),FALSE)</f>
        <v>1</v>
      </c>
      <c r="P499" s="1" t="str">
        <f>LEN(IF(Raw!A499="","",Raw!A499))&amp;":"&amp;IF(Raw!A499="","",Raw!A499)&amp;"|"&amp;LEN(IF(Raw!B499="","",Raw!B499))&amp;":"&amp;IF(Raw!B499="","",Raw!B499)&amp;"|"&amp;LEN(IF(Raw!C499="","",Raw!C499))&amp;":"&amp;IF(Raw!C499="","",Raw!C499)&amp;"|"&amp;LEN(IF(Raw!D499="","",Raw!D499))&amp;":"&amp;IF(Raw!D499="","",Raw!D499)&amp;"|"&amp;LEN(IF(Raw!E499="","",Raw!E499))&amp;":"&amp;IF(Raw!E499="","",Raw!E499)&amp;"|"&amp;LEN(IF(Raw!F499="","",Raw!F499))&amp;":"&amp;IF(Raw!F499="","",Raw!F499)&amp;"|"&amp;LEN(IF(Raw!G499="","",Raw!G499))&amp;":"&amp;IF(Raw!G499="","",Raw!G499)</f>
        <v>6:L00493|6:T00247|10:2026-01-13|3:P-A|11:Accessories|4:sale|6:335.15</v>
      </c>
      <c r="Q499" s="1">
        <f>1</f>
        <v>1</v>
      </c>
      <c r="R499" s="1" t="b">
        <f>FALSE</f>
        <v>0</v>
      </c>
      <c r="S499" s="1">
        <f>1</f>
        <v>1</v>
      </c>
      <c r="T499" s="1" t="str">
        <f>IF(AND(Raw!A499="",Raw!B499="",Raw!C499="",Raw!D499="",Raw!E499="",Raw!F499="",Raw!G499=""),"UNUSED",IF(A499="","missing line ID",IF(B499="","missing transaction ID",IF(G499="",IF(C499="","missing date","invalid date"),IF(I499="","unknown product",IF(J499="","conflicting category",IF(NOT(OR(EXACT(K499,"sale"),EXACT(K499,"refund"))),"unknown event",IF(OR(N499="",NOT(O499)),"invalid amount",IF(OR(AND(K499="sale",N499&lt;=0),AND(K499="refund",N499&gt;=0)),"invalid sign","")))))))))</f>
        <v/>
      </c>
      <c r="U499" s="1" t="str">
        <f t="shared" si="61"/>
        <v>INCLUDED</v>
      </c>
      <c r="V499" s="1" t="str">
        <f t="shared" si="62"/>
        <v>2026-01</v>
      </c>
      <c r="W499" s="1">
        <f>IF(AND(U499="INCLUDED",X499&gt;0,EXACT(A499,'AI output'!A499)),1,0)</f>
        <v>1</v>
      </c>
      <c r="X499" s="1">
        <f>499</f>
        <v>499</v>
      </c>
      <c r="Y499" s="1">
        <f>IF(AND(U499="INCLUDED",W499=1),--(NOT(EXACT(A499,'AI output'!A499)))+--(NOT(EXACT(B499,'AI output'!B499)))+--(NOT(EXACT(TEXT(G499,"yyyy-mm-dd"),'AI output'!C499)))+--(NOT(EXACT(H499,'AI output'!D499)))+--(NOT(EXACT(J499,'AI output'!E499)))+--(NOT(EXACT(K499,'AI output'!F499)))+--(N499&lt;&gt;'AI output'!L499)+--(NOT('AI output'!M499)),0)</f>
        <v>0</v>
      </c>
      <c r="Z499" s="1">
        <f t="shared" si="63"/>
        <v>0</v>
      </c>
      <c r="AA499" s="1">
        <f>--EXACT(A499,"L00493")</f>
        <v>1</v>
      </c>
    </row>
    <row r="500" spans="1:27" ht="18.95" customHeight="1">
      <c r="A500" s="1" t="str">
        <f>IF(Raw!A500="","",Raw!A500)</f>
        <v>L00494</v>
      </c>
      <c r="B500" s="1" t="str">
        <f>IF(Raw!B500="","",Raw!B500)</f>
        <v>T00247</v>
      </c>
      <c r="C500" s="1" t="str">
        <f>IF(Raw!C500="","",Raw!C500)</f>
        <v>2026-01-13</v>
      </c>
      <c r="D500" s="1">
        <f t="shared" si="56"/>
        <v>2026</v>
      </c>
      <c r="E500" s="1">
        <f>IFERROR(IF(AND(LEN(C500)=10,MID(C500,5,1)="-",MID(C500,8,1)="-"),VALUE(MID(C500,6,2)),IF(AND(LEN(C500)=11,MID(C500,3,1)="-",MID(C500,7,1)="-"),MATCH(UPPER(MID(C500,4,3)),Guide!$D$7:$D$18,0),0)),0)</f>
        <v>1</v>
      </c>
      <c r="F500" s="1">
        <f t="shared" si="57"/>
        <v>13</v>
      </c>
      <c r="G500" s="9">
        <f t="shared" si="58"/>
        <v>46035</v>
      </c>
      <c r="H500" s="1" t="str">
        <f>IF(Raw!D500="","",Raw!D500)</f>
        <v>P-H</v>
      </c>
      <c r="I500" s="1" t="str">
        <f>IFERROR(IF(EXACT(H500,INDEX(Guide!$A$7:$A$9,MATCH(SUBSTITUTE(SUBSTITUTE(SUBSTITUTE(H500,"~","~~"),"*","~*"),"?","~?"),Guide!$A$7:$A$9,0))),INDEX(Guide!$B$7:$B$9,MATCH(SUBSTITUTE(SUBSTITUTE(SUBSTITUTE(H500,"~","~~"),"*","~*"),"?","~?"),Guide!$A$7:$A$9,0)),""),"")</f>
        <v>Home</v>
      </c>
      <c r="J500" s="1" t="str">
        <f>IF(TRIM(Raw!E500)="",I500,IF(UPPER(TRIM(Raw!E500))=UPPER(I500),I500,""))</f>
        <v>Home</v>
      </c>
      <c r="K500" s="1" t="str">
        <f>IF(Raw!F500="","",Raw!F500)</f>
        <v>sale</v>
      </c>
      <c r="L500" s="1" t="str">
        <f>IF(LEFT(TRIM(Raw!G500),2)="-$","-"&amp;MID(TRIM(Raw!G500),3,99),IF(LEFT(TRIM(Raw!G500),1)="$",MID(TRIM(Raw!G500),2,99),TRIM(Raw!G500)))</f>
        <v>134.80</v>
      </c>
      <c r="M500" s="1">
        <f t="shared" si="59"/>
        <v>134.80000000000001</v>
      </c>
      <c r="N500" s="10">
        <f t="shared" si="60"/>
        <v>13480</v>
      </c>
      <c r="O500" s="1" t="b">
        <f>IFERROR(IF(ISNUMBER(Raw!G500),TRUE,OR(EXACT(L500,TEXT(M500,"0.00")),EXACT(L500,TEXT(M500,"#,##0.00")))),FALSE)</f>
        <v>1</v>
      </c>
      <c r="P500" s="1" t="str">
        <f>LEN(IF(Raw!A500="","",Raw!A500))&amp;":"&amp;IF(Raw!A500="","",Raw!A500)&amp;"|"&amp;LEN(IF(Raw!B500="","",Raw!B500))&amp;":"&amp;IF(Raw!B500="","",Raw!B500)&amp;"|"&amp;LEN(IF(Raw!C500="","",Raw!C500))&amp;":"&amp;IF(Raw!C500="","",Raw!C500)&amp;"|"&amp;LEN(IF(Raw!D500="","",Raw!D500))&amp;":"&amp;IF(Raw!D500="","",Raw!D500)&amp;"|"&amp;LEN(IF(Raw!E500="","",Raw!E500))&amp;":"&amp;IF(Raw!E500="","",Raw!E500)&amp;"|"&amp;LEN(IF(Raw!F500="","",Raw!F500))&amp;":"&amp;IF(Raw!F500="","",Raw!F500)&amp;"|"&amp;LEN(IF(Raw!G500="","",Raw!G500))&amp;":"&amp;IF(Raw!G500="","",Raw!G500)</f>
        <v>6:L00494|6:T00247|10:2026-01-13|3:P-H|4:Home|4:sale|6:134.80</v>
      </c>
      <c r="Q500" s="1">
        <f>1</f>
        <v>1</v>
      </c>
      <c r="R500" s="1" t="b">
        <f>FALSE</f>
        <v>0</v>
      </c>
      <c r="S500" s="1">
        <f>1</f>
        <v>1</v>
      </c>
      <c r="T500" s="1" t="str">
        <f>IF(AND(Raw!A500="",Raw!B500="",Raw!C500="",Raw!D500="",Raw!E500="",Raw!F500="",Raw!G500=""),"UNUSED",IF(A500="","missing line ID",IF(B500="","missing transaction ID",IF(G500="",IF(C500="","missing date","invalid date"),IF(I500="","unknown product",IF(J500="","conflicting category",IF(NOT(OR(EXACT(K500,"sale"),EXACT(K500,"refund"))),"unknown event",IF(OR(N500="",NOT(O500)),"invalid amount",IF(OR(AND(K500="sale",N500&lt;=0),AND(K500="refund",N500&gt;=0)),"invalid sign","")))))))))</f>
        <v/>
      </c>
      <c r="U500" s="1" t="str">
        <f t="shared" si="61"/>
        <v>INCLUDED</v>
      </c>
      <c r="V500" s="1" t="str">
        <f t="shared" si="62"/>
        <v>2026-01</v>
      </c>
      <c r="W500" s="1">
        <f>IF(AND(U500="INCLUDED",X500&gt;0,EXACT(A500,'AI output'!A500)),1,0)</f>
        <v>1</v>
      </c>
      <c r="X500" s="1">
        <f>500</f>
        <v>500</v>
      </c>
      <c r="Y500" s="1">
        <f>IF(AND(U500="INCLUDED",W500=1),--(NOT(EXACT(A500,'AI output'!A500)))+--(NOT(EXACT(B500,'AI output'!B500)))+--(NOT(EXACT(TEXT(G500,"yyyy-mm-dd"),'AI output'!C500)))+--(NOT(EXACT(H500,'AI output'!D500)))+--(NOT(EXACT(J500,'AI output'!E500)))+--(NOT(EXACT(K500,'AI output'!F500)))+--(N500&lt;&gt;'AI output'!L500)+--(NOT('AI output'!M500)),0)</f>
        <v>0</v>
      </c>
      <c r="Z500" s="1">
        <f t="shared" si="63"/>
        <v>0</v>
      </c>
      <c r="AA500" s="1">
        <f>--EXACT(A500,"L00494")</f>
        <v>1</v>
      </c>
    </row>
    <row r="501" spans="1:27" ht="18.95" customHeight="1">
      <c r="A501" s="1" t="str">
        <f>IF(Raw!A501="","",Raw!A501)</f>
        <v>L00495</v>
      </c>
      <c r="B501" s="1" t="str">
        <f>IF(Raw!B501="","",Raw!B501)</f>
        <v>T00248</v>
      </c>
      <c r="C501" s="1" t="str">
        <f>IF(Raw!C501="","",Raw!C501)</f>
        <v>2026-01-20</v>
      </c>
      <c r="D501" s="1">
        <f t="shared" si="56"/>
        <v>2026</v>
      </c>
      <c r="E501" s="1">
        <f>IFERROR(IF(AND(LEN(C501)=10,MID(C501,5,1)="-",MID(C501,8,1)="-"),VALUE(MID(C501,6,2)),IF(AND(LEN(C501)=11,MID(C501,3,1)="-",MID(C501,7,1)="-"),MATCH(UPPER(MID(C501,4,3)),Guide!$D$7:$D$18,0),0)),0)</f>
        <v>1</v>
      </c>
      <c r="F501" s="1">
        <f t="shared" si="57"/>
        <v>20</v>
      </c>
      <c r="G501" s="9">
        <f t="shared" si="58"/>
        <v>46042</v>
      </c>
      <c r="H501" s="1" t="str">
        <f>IF(Raw!D501="","",Raw!D501)</f>
        <v>P-O</v>
      </c>
      <c r="I501" s="1" t="str">
        <f>IFERROR(IF(EXACT(H501,INDEX(Guide!$A$7:$A$9,MATCH(SUBSTITUTE(SUBSTITUTE(SUBSTITUTE(H501,"~","~~"),"*","~*"),"?","~?"),Guide!$A$7:$A$9,0))),INDEX(Guide!$B$7:$B$9,MATCH(SUBSTITUTE(SUBSTITUTE(SUBSTITUTE(H501,"~","~~"),"*","~*"),"?","~?"),Guide!$A$7:$A$9,0)),""),"")</f>
        <v>Office</v>
      </c>
      <c r="J501" s="1" t="str">
        <f>IF(TRIM(Raw!E501)="",I501,IF(UPPER(TRIM(Raw!E501))=UPPER(I501),I501,""))</f>
        <v>Office</v>
      </c>
      <c r="K501" s="1" t="str">
        <f>IF(Raw!F501="","",Raw!F501)</f>
        <v>sale</v>
      </c>
      <c r="L501" s="1" t="str">
        <f>IF(LEFT(TRIM(Raw!G501),2)="-$","-"&amp;MID(TRIM(Raw!G501),3,99),IF(LEFT(TRIM(Raw!G501),1)="$",MID(TRIM(Raw!G501),2,99),TRIM(Raw!G501)))</f>
        <v>271.08</v>
      </c>
      <c r="M501" s="1">
        <f t="shared" si="59"/>
        <v>271.08</v>
      </c>
      <c r="N501" s="10">
        <f t="shared" si="60"/>
        <v>27108</v>
      </c>
      <c r="O501" s="1" t="b">
        <f>IFERROR(IF(ISNUMBER(Raw!G501),TRUE,OR(EXACT(L501,TEXT(M501,"0.00")),EXACT(L501,TEXT(M501,"#,##0.00")))),FALSE)</f>
        <v>1</v>
      </c>
      <c r="P501" s="1" t="str">
        <f>LEN(IF(Raw!A501="","",Raw!A501))&amp;":"&amp;IF(Raw!A501="","",Raw!A501)&amp;"|"&amp;LEN(IF(Raw!B501="","",Raw!B501))&amp;":"&amp;IF(Raw!B501="","",Raw!B501)&amp;"|"&amp;LEN(IF(Raw!C501="","",Raw!C501))&amp;":"&amp;IF(Raw!C501="","",Raw!C501)&amp;"|"&amp;LEN(IF(Raw!D501="","",Raw!D501))&amp;":"&amp;IF(Raw!D501="","",Raw!D501)&amp;"|"&amp;LEN(IF(Raw!E501="","",Raw!E501))&amp;":"&amp;IF(Raw!E501="","",Raw!E501)&amp;"|"&amp;LEN(IF(Raw!F501="","",Raw!F501))&amp;":"&amp;IF(Raw!F501="","",Raw!F501)&amp;"|"&amp;LEN(IF(Raw!G501="","",Raw!G501))&amp;":"&amp;IF(Raw!G501="","",Raw!G501)</f>
        <v>6:L00495|6:T00248|10:2026-01-20|3:P-O|6:Office|4:sale|6:271.08</v>
      </c>
      <c r="Q501" s="1">
        <f>1</f>
        <v>1</v>
      </c>
      <c r="R501" s="1" t="b">
        <f>FALSE</f>
        <v>0</v>
      </c>
      <c r="S501" s="1">
        <f>1</f>
        <v>1</v>
      </c>
      <c r="T501" s="1" t="str">
        <f>IF(AND(Raw!A501="",Raw!B501="",Raw!C501="",Raw!D501="",Raw!E501="",Raw!F501="",Raw!G501=""),"UNUSED",IF(A501="","missing line ID",IF(B501="","missing transaction ID",IF(G501="",IF(C501="","missing date","invalid date"),IF(I501="","unknown product",IF(J501="","conflicting category",IF(NOT(OR(EXACT(K501,"sale"),EXACT(K501,"refund"))),"unknown event",IF(OR(N501="",NOT(O501)),"invalid amount",IF(OR(AND(K501="sale",N501&lt;=0),AND(K501="refund",N501&gt;=0)),"invalid sign","")))))))))</f>
        <v/>
      </c>
      <c r="U501" s="1" t="str">
        <f t="shared" si="61"/>
        <v>INCLUDED</v>
      </c>
      <c r="V501" s="1" t="str">
        <f t="shared" si="62"/>
        <v>2026-01</v>
      </c>
      <c r="W501" s="1">
        <f>IF(AND(U501="INCLUDED",X501&gt;0,EXACT(A501,'AI output'!A501)),1,0)</f>
        <v>1</v>
      </c>
      <c r="X501" s="1">
        <f>501</f>
        <v>501</v>
      </c>
      <c r="Y501" s="1">
        <f>IF(AND(U501="INCLUDED",W501=1),--(NOT(EXACT(A501,'AI output'!A501)))+--(NOT(EXACT(B501,'AI output'!B501)))+--(NOT(EXACT(TEXT(G501,"yyyy-mm-dd"),'AI output'!C501)))+--(NOT(EXACT(H501,'AI output'!D501)))+--(NOT(EXACT(J501,'AI output'!E501)))+--(NOT(EXACT(K501,'AI output'!F501)))+--(N501&lt;&gt;'AI output'!L501)+--(NOT('AI output'!M501)),0)</f>
        <v>0</v>
      </c>
      <c r="Z501" s="1">
        <f t="shared" si="63"/>
        <v>0</v>
      </c>
      <c r="AA501" s="1">
        <f>--EXACT(A501,"L00495")</f>
        <v>1</v>
      </c>
    </row>
    <row r="502" spans="1:27" ht="18.95" customHeight="1">
      <c r="A502" s="1" t="str">
        <f>IF(Raw!A502="","",Raw!A502)</f>
        <v>L00496</v>
      </c>
      <c r="B502" s="1" t="str">
        <f>IF(Raw!B502="","",Raw!B502)</f>
        <v>T00248</v>
      </c>
      <c r="C502" s="1" t="str">
        <f>IF(Raw!C502="","",Raw!C502)</f>
        <v>2026-01-20</v>
      </c>
      <c r="D502" s="1">
        <f t="shared" si="56"/>
        <v>2026</v>
      </c>
      <c r="E502" s="1">
        <f>IFERROR(IF(AND(LEN(C502)=10,MID(C502,5,1)="-",MID(C502,8,1)="-"),VALUE(MID(C502,6,2)),IF(AND(LEN(C502)=11,MID(C502,3,1)="-",MID(C502,7,1)="-"),MATCH(UPPER(MID(C502,4,3)),Guide!$D$7:$D$18,0),0)),0)</f>
        <v>1</v>
      </c>
      <c r="F502" s="1">
        <f t="shared" si="57"/>
        <v>20</v>
      </c>
      <c r="G502" s="9">
        <f t="shared" si="58"/>
        <v>46042</v>
      </c>
      <c r="H502" s="1" t="str">
        <f>IF(Raw!D502="","",Raw!D502)</f>
        <v>P-A</v>
      </c>
      <c r="I502" s="1" t="str">
        <f>IFERROR(IF(EXACT(H502,INDEX(Guide!$A$7:$A$9,MATCH(SUBSTITUTE(SUBSTITUTE(SUBSTITUTE(H502,"~","~~"),"*","~*"),"?","~?"),Guide!$A$7:$A$9,0))),INDEX(Guide!$B$7:$B$9,MATCH(SUBSTITUTE(SUBSTITUTE(SUBSTITUTE(H502,"~","~~"),"*","~*"),"?","~?"),Guide!$A$7:$A$9,0)),""),"")</f>
        <v>Accessories</v>
      </c>
      <c r="J502" s="1" t="str">
        <f>IF(TRIM(Raw!E502)="",I502,IF(UPPER(TRIM(Raw!E502))=UPPER(I502),I502,""))</f>
        <v>Accessories</v>
      </c>
      <c r="K502" s="1" t="str">
        <f>IF(Raw!F502="","",Raw!F502)</f>
        <v>sale</v>
      </c>
      <c r="L502" s="1" t="str">
        <f>IF(LEFT(TRIM(Raw!G502),2)="-$","-"&amp;MID(TRIM(Raw!G502),3,99),IF(LEFT(TRIM(Raw!G502),1)="$",MID(TRIM(Raw!G502),2,99),TRIM(Raw!G502)))</f>
        <v>68.14</v>
      </c>
      <c r="M502" s="1">
        <f t="shared" si="59"/>
        <v>68.14</v>
      </c>
      <c r="N502" s="10">
        <f t="shared" si="60"/>
        <v>6814</v>
      </c>
      <c r="O502" s="1" t="b">
        <f>IFERROR(IF(ISNUMBER(Raw!G502),TRUE,OR(EXACT(L502,TEXT(M502,"0.00")),EXACT(L502,TEXT(M502,"#,##0.00")))),FALSE)</f>
        <v>1</v>
      </c>
      <c r="P502" s="1" t="str">
        <f>LEN(IF(Raw!A502="","",Raw!A502))&amp;":"&amp;IF(Raw!A502="","",Raw!A502)&amp;"|"&amp;LEN(IF(Raw!B502="","",Raw!B502))&amp;":"&amp;IF(Raw!B502="","",Raw!B502)&amp;"|"&amp;LEN(IF(Raw!C502="","",Raw!C502))&amp;":"&amp;IF(Raw!C502="","",Raw!C502)&amp;"|"&amp;LEN(IF(Raw!D502="","",Raw!D502))&amp;":"&amp;IF(Raw!D502="","",Raw!D502)&amp;"|"&amp;LEN(IF(Raw!E502="","",Raw!E502))&amp;":"&amp;IF(Raw!E502="","",Raw!E502)&amp;"|"&amp;LEN(IF(Raw!F502="","",Raw!F502))&amp;":"&amp;IF(Raw!F502="","",Raw!F502)&amp;"|"&amp;LEN(IF(Raw!G502="","",Raw!G502))&amp;":"&amp;IF(Raw!G502="","",Raw!G502)</f>
        <v>6:L00496|6:T00248|10:2026-01-20|3:P-A|11:Accessories|4:sale|5:68.14</v>
      </c>
      <c r="Q502" s="1">
        <f>1</f>
        <v>1</v>
      </c>
      <c r="R502" s="1" t="b">
        <f>FALSE</f>
        <v>0</v>
      </c>
      <c r="S502" s="1">
        <f>1</f>
        <v>1</v>
      </c>
      <c r="T502" s="1" t="str">
        <f>IF(AND(Raw!A502="",Raw!B502="",Raw!C502="",Raw!D502="",Raw!E502="",Raw!F502="",Raw!G502=""),"UNUSED",IF(A502="","missing line ID",IF(B502="","missing transaction ID",IF(G502="",IF(C502="","missing date","invalid date"),IF(I502="","unknown product",IF(J502="","conflicting category",IF(NOT(OR(EXACT(K502,"sale"),EXACT(K502,"refund"))),"unknown event",IF(OR(N502="",NOT(O502)),"invalid amount",IF(OR(AND(K502="sale",N502&lt;=0),AND(K502="refund",N502&gt;=0)),"invalid sign","")))))))))</f>
        <v/>
      </c>
      <c r="U502" s="1" t="str">
        <f t="shared" si="61"/>
        <v>INCLUDED</v>
      </c>
      <c r="V502" s="1" t="str">
        <f t="shared" si="62"/>
        <v>2026-01</v>
      </c>
      <c r="W502" s="1">
        <f>IF(AND(U502="INCLUDED",X502&gt;0,EXACT(A502,'AI output'!A502)),1,0)</f>
        <v>1</v>
      </c>
      <c r="X502" s="1">
        <f>502</f>
        <v>502</v>
      </c>
      <c r="Y502" s="1">
        <f>IF(AND(U502="INCLUDED",W502=1),--(NOT(EXACT(A502,'AI output'!A502)))+--(NOT(EXACT(B502,'AI output'!B502)))+--(NOT(EXACT(TEXT(G502,"yyyy-mm-dd"),'AI output'!C502)))+--(NOT(EXACT(H502,'AI output'!D502)))+--(NOT(EXACT(J502,'AI output'!E502)))+--(NOT(EXACT(K502,'AI output'!F502)))+--(N502&lt;&gt;'AI output'!L502)+--(NOT('AI output'!M502)),0)</f>
        <v>0</v>
      </c>
      <c r="Z502" s="1">
        <f t="shared" si="63"/>
        <v>0</v>
      </c>
      <c r="AA502" s="1">
        <f>--EXACT(A502,"L00496")</f>
        <v>1</v>
      </c>
    </row>
    <row r="503" spans="1:27" ht="18.95" customHeight="1">
      <c r="A503" s="1" t="str">
        <f>IF(Raw!A503="","",Raw!A503)</f>
        <v>L00497</v>
      </c>
      <c r="B503" s="1" t="str">
        <f>IF(Raw!B503="","",Raw!B503)</f>
        <v>T00249</v>
      </c>
      <c r="C503" s="1" t="str">
        <f>IF(Raw!C503="","",Raw!C503)</f>
        <v>2026-01-27</v>
      </c>
      <c r="D503" s="1">
        <f t="shared" si="56"/>
        <v>2026</v>
      </c>
      <c r="E503" s="1">
        <f>IFERROR(IF(AND(LEN(C503)=10,MID(C503,5,1)="-",MID(C503,8,1)="-"),VALUE(MID(C503,6,2)),IF(AND(LEN(C503)=11,MID(C503,3,1)="-",MID(C503,7,1)="-"),MATCH(UPPER(MID(C503,4,3)),Guide!$D$7:$D$18,0),0)),0)</f>
        <v>1</v>
      </c>
      <c r="F503" s="1">
        <f t="shared" si="57"/>
        <v>27</v>
      </c>
      <c r="G503" s="9">
        <f t="shared" si="58"/>
        <v>46049</v>
      </c>
      <c r="H503" s="1" t="str">
        <f>IF(Raw!D503="","",Raw!D503)</f>
        <v>P-H</v>
      </c>
      <c r="I503" s="1" t="str">
        <f>IFERROR(IF(EXACT(H503,INDEX(Guide!$A$7:$A$9,MATCH(SUBSTITUTE(SUBSTITUTE(SUBSTITUTE(H503,"~","~~"),"*","~*"),"?","~?"),Guide!$A$7:$A$9,0))),INDEX(Guide!$B$7:$B$9,MATCH(SUBSTITUTE(SUBSTITUTE(SUBSTITUTE(H503,"~","~~"),"*","~*"),"?","~?"),Guide!$A$7:$A$9,0)),""),"")</f>
        <v>Home</v>
      </c>
      <c r="J503" s="1" t="str">
        <f>IF(TRIM(Raw!E503)="",I503,IF(UPPER(TRIM(Raw!E503))=UPPER(I503),I503,""))</f>
        <v>Home</v>
      </c>
      <c r="K503" s="1" t="str">
        <f>IF(Raw!F503="","",Raw!F503)</f>
        <v>sale</v>
      </c>
      <c r="L503" s="1" t="str">
        <f>IF(LEFT(TRIM(Raw!G503),2)="-$","-"&amp;MID(TRIM(Raw!G503),3,99),IF(LEFT(TRIM(Raw!G503),1)="$",MID(TRIM(Raw!G503),2,99),TRIM(Raw!G503)))</f>
        <v>205.53</v>
      </c>
      <c r="M503" s="1">
        <f t="shared" si="59"/>
        <v>205.53</v>
      </c>
      <c r="N503" s="10">
        <f t="shared" si="60"/>
        <v>20553</v>
      </c>
      <c r="O503" s="1" t="b">
        <f>IFERROR(IF(ISNUMBER(Raw!G503),TRUE,OR(EXACT(L503,TEXT(M503,"0.00")),EXACT(L503,TEXT(M503,"#,##0.00")))),FALSE)</f>
        <v>1</v>
      </c>
      <c r="P503" s="1" t="str">
        <f>LEN(IF(Raw!A503="","",Raw!A503))&amp;":"&amp;IF(Raw!A503="","",Raw!A503)&amp;"|"&amp;LEN(IF(Raw!B503="","",Raw!B503))&amp;":"&amp;IF(Raw!B503="","",Raw!B503)&amp;"|"&amp;LEN(IF(Raw!C503="","",Raw!C503))&amp;":"&amp;IF(Raw!C503="","",Raw!C503)&amp;"|"&amp;LEN(IF(Raw!D503="","",Raw!D503))&amp;":"&amp;IF(Raw!D503="","",Raw!D503)&amp;"|"&amp;LEN(IF(Raw!E503="","",Raw!E503))&amp;":"&amp;IF(Raw!E503="","",Raw!E503)&amp;"|"&amp;LEN(IF(Raw!F503="","",Raw!F503))&amp;":"&amp;IF(Raw!F503="","",Raw!F503)&amp;"|"&amp;LEN(IF(Raw!G503="","",Raw!G503))&amp;":"&amp;IF(Raw!G503="","",Raw!G503)</f>
        <v>6:L00497|6:T00249|10:2026-01-27|3:P-H|4:Home|4:sale|6:205.53</v>
      </c>
      <c r="Q503" s="1">
        <f>1</f>
        <v>1</v>
      </c>
      <c r="R503" s="1" t="b">
        <f>FALSE</f>
        <v>0</v>
      </c>
      <c r="S503" s="1">
        <f>1</f>
        <v>1</v>
      </c>
      <c r="T503" s="1" t="str">
        <f>IF(AND(Raw!A503="",Raw!B503="",Raw!C503="",Raw!D503="",Raw!E503="",Raw!F503="",Raw!G503=""),"UNUSED",IF(A503="","missing line ID",IF(B503="","missing transaction ID",IF(G503="",IF(C503="","missing date","invalid date"),IF(I503="","unknown product",IF(J503="","conflicting category",IF(NOT(OR(EXACT(K503,"sale"),EXACT(K503,"refund"))),"unknown event",IF(OR(N503="",NOT(O503)),"invalid amount",IF(OR(AND(K503="sale",N503&lt;=0),AND(K503="refund",N503&gt;=0)),"invalid sign","")))))))))</f>
        <v/>
      </c>
      <c r="U503" s="1" t="str">
        <f t="shared" si="61"/>
        <v>INCLUDED</v>
      </c>
      <c r="V503" s="1" t="str">
        <f t="shared" si="62"/>
        <v>2026-01</v>
      </c>
      <c r="W503" s="1">
        <f>IF(AND(U503="INCLUDED",X503&gt;0,EXACT(A503,'AI output'!A503)),1,0)</f>
        <v>1</v>
      </c>
      <c r="X503" s="1">
        <f>503</f>
        <v>503</v>
      </c>
      <c r="Y503" s="1">
        <f>IF(AND(U503="INCLUDED",W503=1),--(NOT(EXACT(A503,'AI output'!A503)))+--(NOT(EXACT(B503,'AI output'!B503)))+--(NOT(EXACT(TEXT(G503,"yyyy-mm-dd"),'AI output'!C503)))+--(NOT(EXACT(H503,'AI output'!D503)))+--(NOT(EXACT(J503,'AI output'!E503)))+--(NOT(EXACT(K503,'AI output'!F503)))+--(N503&lt;&gt;'AI output'!L503)+--(NOT('AI output'!M503)),0)</f>
        <v>0</v>
      </c>
      <c r="Z503" s="1">
        <f t="shared" si="63"/>
        <v>0</v>
      </c>
      <c r="AA503" s="1">
        <f>--EXACT(A503,"L00497")</f>
        <v>1</v>
      </c>
    </row>
    <row r="504" spans="1:27" ht="18.95" customHeight="1">
      <c r="A504" s="1" t="str">
        <f>IF(Raw!A504="","",Raw!A504)</f>
        <v>L00498</v>
      </c>
      <c r="B504" s="1" t="str">
        <f>IF(Raw!B504="","",Raw!B504)</f>
        <v>T00249</v>
      </c>
      <c r="C504" s="1" t="str">
        <f>IF(Raw!C504="","",Raw!C504)</f>
        <v>2026-01-27</v>
      </c>
      <c r="D504" s="1">
        <f t="shared" si="56"/>
        <v>2026</v>
      </c>
      <c r="E504" s="1">
        <f>IFERROR(IF(AND(LEN(C504)=10,MID(C504,5,1)="-",MID(C504,8,1)="-"),VALUE(MID(C504,6,2)),IF(AND(LEN(C504)=11,MID(C504,3,1)="-",MID(C504,7,1)="-"),MATCH(UPPER(MID(C504,4,3)),Guide!$D$7:$D$18,0),0)),0)</f>
        <v>1</v>
      </c>
      <c r="F504" s="1">
        <f t="shared" si="57"/>
        <v>27</v>
      </c>
      <c r="G504" s="9">
        <f t="shared" si="58"/>
        <v>46049</v>
      </c>
      <c r="H504" s="1" t="str">
        <f>IF(Raw!D504="","",Raw!D504)</f>
        <v>P-O</v>
      </c>
      <c r="I504" s="1" t="str">
        <f>IFERROR(IF(EXACT(H504,INDEX(Guide!$A$7:$A$9,MATCH(SUBSTITUTE(SUBSTITUTE(SUBSTITUTE(H504,"~","~~"),"*","~*"),"?","~?"),Guide!$A$7:$A$9,0))),INDEX(Guide!$B$7:$B$9,MATCH(SUBSTITUTE(SUBSTITUTE(SUBSTITUTE(H504,"~","~~"),"*","~*"),"?","~?"),Guide!$A$7:$A$9,0)),""),"")</f>
        <v>Office</v>
      </c>
      <c r="J504" s="1" t="str">
        <f>IF(TRIM(Raw!E504)="",I504,IF(UPPER(TRIM(Raw!E504))=UPPER(I504),I504,""))</f>
        <v>Office</v>
      </c>
      <c r="K504" s="1" t="str">
        <f>IF(Raw!F504="","",Raw!F504)</f>
        <v>sale</v>
      </c>
      <c r="L504" s="1" t="str">
        <f>IF(LEFT(TRIM(Raw!G504),2)="-$","-"&amp;MID(TRIM(Raw!G504),3,99),IF(LEFT(TRIM(Raw!G504),1)="$",MID(TRIM(Raw!G504),2,99),TRIM(Raw!G504)))</f>
        <v>344.40</v>
      </c>
      <c r="M504" s="1">
        <f t="shared" si="59"/>
        <v>344.4</v>
      </c>
      <c r="N504" s="10">
        <f t="shared" si="60"/>
        <v>34440</v>
      </c>
      <c r="O504" s="1" t="b">
        <f>IFERROR(IF(ISNUMBER(Raw!G504),TRUE,OR(EXACT(L504,TEXT(M504,"0.00")),EXACT(L504,TEXT(M504,"#,##0.00")))),FALSE)</f>
        <v>1</v>
      </c>
      <c r="P504" s="1" t="str">
        <f>LEN(IF(Raw!A504="","",Raw!A504))&amp;":"&amp;IF(Raw!A504="","",Raw!A504)&amp;"|"&amp;LEN(IF(Raw!B504="","",Raw!B504))&amp;":"&amp;IF(Raw!B504="","",Raw!B504)&amp;"|"&amp;LEN(IF(Raw!C504="","",Raw!C504))&amp;":"&amp;IF(Raw!C504="","",Raw!C504)&amp;"|"&amp;LEN(IF(Raw!D504="","",Raw!D504))&amp;":"&amp;IF(Raw!D504="","",Raw!D504)&amp;"|"&amp;LEN(IF(Raw!E504="","",Raw!E504))&amp;":"&amp;IF(Raw!E504="","",Raw!E504)&amp;"|"&amp;LEN(IF(Raw!F504="","",Raw!F504))&amp;":"&amp;IF(Raw!F504="","",Raw!F504)&amp;"|"&amp;LEN(IF(Raw!G504="","",Raw!G504))&amp;":"&amp;IF(Raw!G504="","",Raw!G504)</f>
        <v>6:L00498|6:T00249|10:2026-01-27|3:P-O|6:Office|4:sale|6:344.40</v>
      </c>
      <c r="Q504" s="1">
        <f>1</f>
        <v>1</v>
      </c>
      <c r="R504" s="1" t="b">
        <f>FALSE</f>
        <v>0</v>
      </c>
      <c r="S504" s="1">
        <f>1</f>
        <v>1</v>
      </c>
      <c r="T504" s="1" t="str">
        <f>IF(AND(Raw!A504="",Raw!B504="",Raw!C504="",Raw!D504="",Raw!E504="",Raw!F504="",Raw!G504=""),"UNUSED",IF(A504="","missing line ID",IF(B504="","missing transaction ID",IF(G504="",IF(C504="","missing date","invalid date"),IF(I504="","unknown product",IF(J504="","conflicting category",IF(NOT(OR(EXACT(K504,"sale"),EXACT(K504,"refund"))),"unknown event",IF(OR(N504="",NOT(O504)),"invalid amount",IF(OR(AND(K504="sale",N504&lt;=0),AND(K504="refund",N504&gt;=0)),"invalid sign","")))))))))</f>
        <v/>
      </c>
      <c r="U504" s="1" t="str">
        <f t="shared" si="61"/>
        <v>INCLUDED</v>
      </c>
      <c r="V504" s="1" t="str">
        <f t="shared" si="62"/>
        <v>2026-01</v>
      </c>
      <c r="W504" s="1">
        <f>IF(AND(U504="INCLUDED",X504&gt;0,EXACT(A504,'AI output'!A504)),1,0)</f>
        <v>1</v>
      </c>
      <c r="X504" s="1">
        <f>504</f>
        <v>504</v>
      </c>
      <c r="Y504" s="1">
        <f>IF(AND(U504="INCLUDED",W504=1),--(NOT(EXACT(A504,'AI output'!A504)))+--(NOT(EXACT(B504,'AI output'!B504)))+--(NOT(EXACT(TEXT(G504,"yyyy-mm-dd"),'AI output'!C504)))+--(NOT(EXACT(H504,'AI output'!D504)))+--(NOT(EXACT(J504,'AI output'!E504)))+--(NOT(EXACT(K504,'AI output'!F504)))+--(N504&lt;&gt;'AI output'!L504)+--(NOT('AI output'!M504)),0)</f>
        <v>0</v>
      </c>
      <c r="Z504" s="1">
        <f t="shared" si="63"/>
        <v>0</v>
      </c>
      <c r="AA504" s="1">
        <f>--EXACT(A504,"L00498")</f>
        <v>1</v>
      </c>
    </row>
    <row r="505" spans="1:27" ht="18.95" customHeight="1">
      <c r="A505" s="1" t="str">
        <f>IF(Raw!A505="","",Raw!A505)</f>
        <v>L00499</v>
      </c>
      <c r="B505" s="1" t="str">
        <f>IF(Raw!B505="","",Raw!B505)</f>
        <v>T00250</v>
      </c>
      <c r="C505" s="1" t="str">
        <f>IF(Raw!C505="","",Raw!C505)</f>
        <v>2026-02-03</v>
      </c>
      <c r="D505" s="1">
        <f t="shared" si="56"/>
        <v>2026</v>
      </c>
      <c r="E505" s="1">
        <f>IFERROR(IF(AND(LEN(C505)=10,MID(C505,5,1)="-",MID(C505,8,1)="-"),VALUE(MID(C505,6,2)),IF(AND(LEN(C505)=11,MID(C505,3,1)="-",MID(C505,7,1)="-"),MATCH(UPPER(MID(C505,4,3)),Guide!$D$7:$D$18,0),0)),0)</f>
        <v>2</v>
      </c>
      <c r="F505" s="1">
        <f t="shared" si="57"/>
        <v>3</v>
      </c>
      <c r="G505" s="9">
        <f t="shared" si="58"/>
        <v>46056</v>
      </c>
      <c r="H505" s="1" t="str">
        <f>IF(Raw!D505="","",Raw!D505)</f>
        <v>P-A</v>
      </c>
      <c r="I505" s="1" t="str">
        <f>IFERROR(IF(EXACT(H505,INDEX(Guide!$A$7:$A$9,MATCH(SUBSTITUTE(SUBSTITUTE(SUBSTITUTE(H505,"~","~~"),"*","~*"),"?","~?"),Guide!$A$7:$A$9,0))),INDEX(Guide!$B$7:$B$9,MATCH(SUBSTITUTE(SUBSTITUTE(SUBSTITUTE(H505,"~","~~"),"*","~*"),"?","~?"),Guide!$A$7:$A$9,0)),""),"")</f>
        <v>Accessories</v>
      </c>
      <c r="J505" s="1" t="str">
        <f>IF(TRIM(Raw!E505)="",I505,IF(UPPER(TRIM(Raw!E505))=UPPER(I505),I505,""))</f>
        <v>Accessories</v>
      </c>
      <c r="K505" s="1" t="str">
        <f>IF(Raw!F505="","",Raw!F505)</f>
        <v>sale</v>
      </c>
      <c r="L505" s="1" t="str">
        <f>IF(LEFT(TRIM(Raw!G505),2)="-$","-"&amp;MID(TRIM(Raw!G505),3,99),IF(LEFT(TRIM(Raw!G505),1)="$",MID(TRIM(Raw!G505),2,99),TRIM(Raw!G505)))</f>
        <v>138.50</v>
      </c>
      <c r="M505" s="1">
        <f t="shared" si="59"/>
        <v>138.5</v>
      </c>
      <c r="N505" s="10">
        <f t="shared" si="60"/>
        <v>13850</v>
      </c>
      <c r="O505" s="1" t="b">
        <f>IFERROR(IF(ISNUMBER(Raw!G505),TRUE,OR(EXACT(L505,TEXT(M505,"0.00")),EXACT(L505,TEXT(M505,"#,##0.00")))),FALSE)</f>
        <v>1</v>
      </c>
      <c r="P505" s="1" t="str">
        <f>LEN(IF(Raw!A505="","",Raw!A505))&amp;":"&amp;IF(Raw!A505="","",Raw!A505)&amp;"|"&amp;LEN(IF(Raw!B505="","",Raw!B505))&amp;":"&amp;IF(Raw!B505="","",Raw!B505)&amp;"|"&amp;LEN(IF(Raw!C505="","",Raw!C505))&amp;":"&amp;IF(Raw!C505="","",Raw!C505)&amp;"|"&amp;LEN(IF(Raw!D505="","",Raw!D505))&amp;":"&amp;IF(Raw!D505="","",Raw!D505)&amp;"|"&amp;LEN(IF(Raw!E505="","",Raw!E505))&amp;":"&amp;IF(Raw!E505="","",Raw!E505)&amp;"|"&amp;LEN(IF(Raw!F505="","",Raw!F505))&amp;":"&amp;IF(Raw!F505="","",Raw!F505)&amp;"|"&amp;LEN(IF(Raw!G505="","",Raw!G505))&amp;":"&amp;IF(Raw!G505="","",Raw!G505)</f>
        <v>6:L00499|6:T00250|10:2026-02-03|3:P-A|11:Accessories|4:sale|6:138.50</v>
      </c>
      <c r="Q505" s="1">
        <f>1</f>
        <v>1</v>
      </c>
      <c r="R505" s="1" t="b">
        <f>FALSE</f>
        <v>0</v>
      </c>
      <c r="S505" s="1">
        <f>1</f>
        <v>1</v>
      </c>
      <c r="T505" s="1" t="str">
        <f>IF(AND(Raw!A505="",Raw!B505="",Raw!C505="",Raw!D505="",Raw!E505="",Raw!F505="",Raw!G505=""),"UNUSED",IF(A505="","missing line ID",IF(B505="","missing transaction ID",IF(G505="",IF(C505="","missing date","invalid date"),IF(I505="","unknown product",IF(J505="","conflicting category",IF(NOT(OR(EXACT(K505,"sale"),EXACT(K505,"refund"))),"unknown event",IF(OR(N505="",NOT(O505)),"invalid amount",IF(OR(AND(K505="sale",N505&lt;=0),AND(K505="refund",N505&gt;=0)),"invalid sign","")))))))))</f>
        <v/>
      </c>
      <c r="U505" s="1" t="str">
        <f t="shared" si="61"/>
        <v>INCLUDED</v>
      </c>
      <c r="V505" s="1" t="str">
        <f t="shared" si="62"/>
        <v>2026-02</v>
      </c>
      <c r="W505" s="1">
        <f>IF(AND(U505="INCLUDED",X505&gt;0,EXACT(A505,'AI output'!A505)),1,0)</f>
        <v>1</v>
      </c>
      <c r="X505" s="1">
        <f>505</f>
        <v>505</v>
      </c>
      <c r="Y505" s="1">
        <f>IF(AND(U505="INCLUDED",W505=1),--(NOT(EXACT(A505,'AI output'!A505)))+--(NOT(EXACT(B505,'AI output'!B505)))+--(NOT(EXACT(TEXT(G505,"yyyy-mm-dd"),'AI output'!C505)))+--(NOT(EXACT(H505,'AI output'!D505)))+--(NOT(EXACT(J505,'AI output'!E505)))+--(NOT(EXACT(K505,'AI output'!F505)))+--(N505&lt;&gt;'AI output'!L505)+--(NOT('AI output'!M505)),0)</f>
        <v>0</v>
      </c>
      <c r="Z505" s="1">
        <f t="shared" si="63"/>
        <v>0</v>
      </c>
      <c r="AA505" s="1">
        <f>--EXACT(A505,"L00499")</f>
        <v>1</v>
      </c>
    </row>
    <row r="506" spans="1:27" ht="18.95" customHeight="1">
      <c r="A506" s="1" t="str">
        <f>IF(Raw!A506="","",Raw!A506)</f>
        <v>L00500</v>
      </c>
      <c r="B506" s="1" t="str">
        <f>IF(Raw!B506="","",Raw!B506)</f>
        <v>T00250</v>
      </c>
      <c r="C506" s="1" t="str">
        <f>IF(Raw!C506="","",Raw!C506)</f>
        <v>2026-02-03</v>
      </c>
      <c r="D506" s="1">
        <f t="shared" si="56"/>
        <v>2026</v>
      </c>
      <c r="E506" s="1">
        <f>IFERROR(IF(AND(LEN(C506)=10,MID(C506,5,1)="-",MID(C506,8,1)="-"),VALUE(MID(C506,6,2)),IF(AND(LEN(C506)=11,MID(C506,3,1)="-",MID(C506,7,1)="-"),MATCH(UPPER(MID(C506,4,3)),Guide!$D$7:$D$18,0),0)),0)</f>
        <v>2</v>
      </c>
      <c r="F506" s="1">
        <f t="shared" si="57"/>
        <v>3</v>
      </c>
      <c r="G506" s="9">
        <f t="shared" si="58"/>
        <v>46056</v>
      </c>
      <c r="H506" s="1" t="str">
        <f>IF(Raw!D506="","",Raw!D506)</f>
        <v>P-H</v>
      </c>
      <c r="I506" s="1" t="str">
        <f>IFERROR(IF(EXACT(H506,INDEX(Guide!$A$7:$A$9,MATCH(SUBSTITUTE(SUBSTITUTE(SUBSTITUTE(H506,"~","~~"),"*","~*"),"?","~?"),Guide!$A$7:$A$9,0))),INDEX(Guide!$B$7:$B$9,MATCH(SUBSTITUTE(SUBSTITUTE(SUBSTITUTE(H506,"~","~~"),"*","~*"),"?","~?"),Guide!$A$7:$A$9,0)),""),"")</f>
        <v>Home</v>
      </c>
      <c r="J506" s="1" t="str">
        <f>IF(TRIM(Raw!E506)="",I506,IF(UPPER(TRIM(Raw!E506))=UPPER(I506),I506,""))</f>
        <v>Home</v>
      </c>
      <c r="K506" s="1" t="str">
        <f>IF(Raw!F506="","",Raw!F506)</f>
        <v>sale</v>
      </c>
      <c r="L506" s="1" t="str">
        <f>IF(LEFT(TRIM(Raw!G506),2)="-$","-"&amp;MID(TRIM(Raw!G506),3,99),IF(LEFT(TRIM(Raw!G506),1)="$",MID(TRIM(Raw!G506),2,99),TRIM(Raw!G506)))</f>
        <v>278.48</v>
      </c>
      <c r="M506" s="1">
        <f t="shared" si="59"/>
        <v>278.48</v>
      </c>
      <c r="N506" s="10">
        <f t="shared" si="60"/>
        <v>27848</v>
      </c>
      <c r="O506" s="1" t="b">
        <f>IFERROR(IF(ISNUMBER(Raw!G506),TRUE,OR(EXACT(L506,TEXT(M506,"0.00")),EXACT(L506,TEXT(M506,"#,##0.00")))),FALSE)</f>
        <v>1</v>
      </c>
      <c r="P506" s="1" t="str">
        <f>LEN(IF(Raw!A506="","",Raw!A506))&amp;":"&amp;IF(Raw!A506="","",Raw!A506)&amp;"|"&amp;LEN(IF(Raw!B506="","",Raw!B506))&amp;":"&amp;IF(Raw!B506="","",Raw!B506)&amp;"|"&amp;LEN(IF(Raw!C506="","",Raw!C506))&amp;":"&amp;IF(Raw!C506="","",Raw!C506)&amp;"|"&amp;LEN(IF(Raw!D506="","",Raw!D506))&amp;":"&amp;IF(Raw!D506="","",Raw!D506)&amp;"|"&amp;LEN(IF(Raw!E506="","",Raw!E506))&amp;":"&amp;IF(Raw!E506="","",Raw!E506)&amp;"|"&amp;LEN(IF(Raw!F506="","",Raw!F506))&amp;":"&amp;IF(Raw!F506="","",Raw!F506)&amp;"|"&amp;LEN(IF(Raw!G506="","",Raw!G506))&amp;":"&amp;IF(Raw!G506="","",Raw!G506)</f>
        <v>6:L00500|6:T00250|10:2026-02-03|3:P-H|4:Home|4:sale|6:278.48</v>
      </c>
      <c r="Q506" s="1">
        <f>1</f>
        <v>1</v>
      </c>
      <c r="R506" s="1" t="b">
        <f>FALSE</f>
        <v>0</v>
      </c>
      <c r="S506" s="1">
        <f>1</f>
        <v>1</v>
      </c>
      <c r="T506" s="1" t="str">
        <f>IF(AND(Raw!A506="",Raw!B506="",Raw!C506="",Raw!D506="",Raw!E506="",Raw!F506="",Raw!G506=""),"UNUSED",IF(A506="","missing line ID",IF(B506="","missing transaction ID",IF(G506="",IF(C506="","missing date","invalid date"),IF(I506="","unknown product",IF(J506="","conflicting category",IF(NOT(OR(EXACT(K506,"sale"),EXACT(K506,"refund"))),"unknown event",IF(OR(N506="",NOT(O506)),"invalid amount",IF(OR(AND(K506="sale",N506&lt;=0),AND(K506="refund",N506&gt;=0)),"invalid sign","")))))))))</f>
        <v/>
      </c>
      <c r="U506" s="1" t="str">
        <f t="shared" si="61"/>
        <v>INCLUDED</v>
      </c>
      <c r="V506" s="1" t="str">
        <f t="shared" si="62"/>
        <v>2026-02</v>
      </c>
      <c r="W506" s="1">
        <f>IF(AND(U506="INCLUDED",X506&gt;0,EXACT(A506,'AI output'!A506)),1,0)</f>
        <v>1</v>
      </c>
      <c r="X506" s="1">
        <f>506</f>
        <v>506</v>
      </c>
      <c r="Y506" s="1">
        <f>IF(AND(U506="INCLUDED",W506=1),--(NOT(EXACT(A506,'AI output'!A506)))+--(NOT(EXACT(B506,'AI output'!B506)))+--(NOT(EXACT(TEXT(G506,"yyyy-mm-dd"),'AI output'!C506)))+--(NOT(EXACT(H506,'AI output'!D506)))+--(NOT(EXACT(J506,'AI output'!E506)))+--(NOT(EXACT(K506,'AI output'!F506)))+--(N506&lt;&gt;'AI output'!L506)+--(NOT('AI output'!M506)),0)</f>
        <v>0</v>
      </c>
      <c r="Z506" s="1">
        <f t="shared" si="63"/>
        <v>0</v>
      </c>
      <c r="AA506" s="1">
        <f>--EXACT(A506,"L00500")</f>
        <v>1</v>
      </c>
    </row>
    <row r="507" spans="1:27" ht="18.95" customHeight="1">
      <c r="A507" s="1" t="str">
        <f>IF(Raw!A507="","",Raw!A507)</f>
        <v>L00501</v>
      </c>
      <c r="B507" s="1" t="str">
        <f>IF(Raw!B507="","",Raw!B507)</f>
        <v>T00251</v>
      </c>
      <c r="C507" s="1" t="str">
        <f>IF(Raw!C507="","",Raw!C507)</f>
        <v>2026-02-10</v>
      </c>
      <c r="D507" s="1">
        <f t="shared" si="56"/>
        <v>2026</v>
      </c>
      <c r="E507" s="1">
        <f>IFERROR(IF(AND(LEN(C507)=10,MID(C507,5,1)="-",MID(C507,8,1)="-"),VALUE(MID(C507,6,2)),IF(AND(LEN(C507)=11,MID(C507,3,1)="-",MID(C507,7,1)="-"),MATCH(UPPER(MID(C507,4,3)),Guide!$D$7:$D$18,0),0)),0)</f>
        <v>2</v>
      </c>
      <c r="F507" s="1">
        <f t="shared" si="57"/>
        <v>10</v>
      </c>
      <c r="G507" s="9">
        <f t="shared" si="58"/>
        <v>46063</v>
      </c>
      <c r="H507" s="1" t="str">
        <f>IF(Raw!D507="","",Raw!D507)</f>
        <v>P-O</v>
      </c>
      <c r="I507" s="1" t="str">
        <f>IFERROR(IF(EXACT(H507,INDEX(Guide!$A$7:$A$9,MATCH(SUBSTITUTE(SUBSTITUTE(SUBSTITUTE(H507,"~","~~"),"*","~*"),"?","~?"),Guide!$A$7:$A$9,0))),INDEX(Guide!$B$7:$B$9,MATCH(SUBSTITUTE(SUBSTITUTE(SUBSTITUTE(H507,"~","~~"),"*","~*"),"?","~?"),Guide!$A$7:$A$9,0)),""),"")</f>
        <v>Office</v>
      </c>
      <c r="J507" s="1" t="str">
        <f>IF(TRIM(Raw!E507)="",I507,IF(UPPER(TRIM(Raw!E507))=UPPER(I507),I507,""))</f>
        <v>Office</v>
      </c>
      <c r="K507" s="1" t="str">
        <f>IF(Raw!F507="","",Raw!F507)</f>
        <v>sale</v>
      </c>
      <c r="L507" s="1" t="str">
        <f>IF(LEFT(TRIM(Raw!G507),2)="-$","-"&amp;MID(TRIM(Raw!G507),3,99),IF(LEFT(TRIM(Raw!G507),1)="$",MID(TRIM(Raw!G507),2,99),TRIM(Raw!G507)))</f>
        <v>69.99</v>
      </c>
      <c r="M507" s="1">
        <f t="shared" si="59"/>
        <v>69.989999999999995</v>
      </c>
      <c r="N507" s="10">
        <f t="shared" si="60"/>
        <v>6999</v>
      </c>
      <c r="O507" s="1" t="b">
        <f>IFERROR(IF(ISNUMBER(Raw!G507),TRUE,OR(EXACT(L507,TEXT(M507,"0.00")),EXACT(L507,TEXT(M507,"#,##0.00")))),FALSE)</f>
        <v>1</v>
      </c>
      <c r="P507" s="1" t="str">
        <f>LEN(IF(Raw!A507="","",Raw!A507))&amp;":"&amp;IF(Raw!A507="","",Raw!A507)&amp;"|"&amp;LEN(IF(Raw!B507="","",Raw!B507))&amp;":"&amp;IF(Raw!B507="","",Raw!B507)&amp;"|"&amp;LEN(IF(Raw!C507="","",Raw!C507))&amp;":"&amp;IF(Raw!C507="","",Raw!C507)&amp;"|"&amp;LEN(IF(Raw!D507="","",Raw!D507))&amp;":"&amp;IF(Raw!D507="","",Raw!D507)&amp;"|"&amp;LEN(IF(Raw!E507="","",Raw!E507))&amp;":"&amp;IF(Raw!E507="","",Raw!E507)&amp;"|"&amp;LEN(IF(Raw!F507="","",Raw!F507))&amp;":"&amp;IF(Raw!F507="","",Raw!F507)&amp;"|"&amp;LEN(IF(Raw!G507="","",Raw!G507))&amp;":"&amp;IF(Raw!G507="","",Raw!G507)</f>
        <v>6:L00501|6:T00251|10:2026-02-10|3:P-O|6:Office|4:sale|5:69.99</v>
      </c>
      <c r="Q507" s="1">
        <f>1</f>
        <v>1</v>
      </c>
      <c r="R507" s="1" t="b">
        <f>FALSE</f>
        <v>0</v>
      </c>
      <c r="S507" s="1">
        <f>1</f>
        <v>1</v>
      </c>
      <c r="T507" s="1" t="str">
        <f>IF(AND(Raw!A507="",Raw!B507="",Raw!C507="",Raw!D507="",Raw!E507="",Raw!F507="",Raw!G507=""),"UNUSED",IF(A507="","missing line ID",IF(B507="","missing transaction ID",IF(G507="",IF(C507="","missing date","invalid date"),IF(I507="","unknown product",IF(J507="","conflicting category",IF(NOT(OR(EXACT(K507,"sale"),EXACT(K507,"refund"))),"unknown event",IF(OR(N507="",NOT(O507)),"invalid amount",IF(OR(AND(K507="sale",N507&lt;=0),AND(K507="refund",N507&gt;=0)),"invalid sign","")))))))))</f>
        <v/>
      </c>
      <c r="U507" s="1" t="str">
        <f t="shared" si="61"/>
        <v>INCLUDED</v>
      </c>
      <c r="V507" s="1" t="str">
        <f t="shared" si="62"/>
        <v>2026-02</v>
      </c>
      <c r="W507" s="1">
        <f>IF(AND(U507="INCLUDED",X507&gt;0,EXACT(A507,'AI output'!A507)),1,0)</f>
        <v>1</v>
      </c>
      <c r="X507" s="1">
        <f>507</f>
        <v>507</v>
      </c>
      <c r="Y507" s="1">
        <f>IF(AND(U507="INCLUDED",W507=1),--(NOT(EXACT(A507,'AI output'!A507)))+--(NOT(EXACT(B507,'AI output'!B507)))+--(NOT(EXACT(TEXT(G507,"yyyy-mm-dd"),'AI output'!C507)))+--(NOT(EXACT(H507,'AI output'!D507)))+--(NOT(EXACT(J507,'AI output'!E507)))+--(NOT(EXACT(K507,'AI output'!F507)))+--(N507&lt;&gt;'AI output'!L507)+--(NOT('AI output'!M507)),0)</f>
        <v>0</v>
      </c>
      <c r="Z507" s="1">
        <f t="shared" si="63"/>
        <v>0</v>
      </c>
      <c r="AA507" s="1">
        <f>--EXACT(A507,"L00501")</f>
        <v>1</v>
      </c>
    </row>
    <row r="508" spans="1:27" ht="18.95" customHeight="1">
      <c r="A508" s="1" t="str">
        <f>IF(Raw!A508="","",Raw!A508)</f>
        <v>L00502</v>
      </c>
      <c r="B508" s="1" t="str">
        <f>IF(Raw!B508="","",Raw!B508)</f>
        <v>T00251</v>
      </c>
      <c r="C508" s="1" t="str">
        <f>IF(Raw!C508="","",Raw!C508)</f>
        <v>2026-02-10</v>
      </c>
      <c r="D508" s="1">
        <f t="shared" si="56"/>
        <v>2026</v>
      </c>
      <c r="E508" s="1">
        <f>IFERROR(IF(AND(LEN(C508)=10,MID(C508,5,1)="-",MID(C508,8,1)="-"),VALUE(MID(C508,6,2)),IF(AND(LEN(C508)=11,MID(C508,3,1)="-",MID(C508,7,1)="-"),MATCH(UPPER(MID(C508,4,3)),Guide!$D$7:$D$18,0),0)),0)</f>
        <v>2</v>
      </c>
      <c r="F508" s="1">
        <f t="shared" si="57"/>
        <v>10</v>
      </c>
      <c r="G508" s="9">
        <f t="shared" si="58"/>
        <v>46063</v>
      </c>
      <c r="H508" s="1" t="str">
        <f>IF(Raw!D508="","",Raw!D508)</f>
        <v>P-A</v>
      </c>
      <c r="I508" s="1" t="str">
        <f>IFERROR(IF(EXACT(H508,INDEX(Guide!$A$7:$A$9,MATCH(SUBSTITUTE(SUBSTITUTE(SUBSTITUTE(H508,"~","~~"),"*","~*"),"?","~?"),Guide!$A$7:$A$9,0))),INDEX(Guide!$B$7:$B$9,MATCH(SUBSTITUTE(SUBSTITUTE(SUBSTITUTE(H508,"~","~~"),"*","~*"),"?","~?"),Guide!$A$7:$A$9,0)),""),"")</f>
        <v>Accessories</v>
      </c>
      <c r="J508" s="1" t="str">
        <f>IF(TRIM(Raw!E508)="",I508,IF(UPPER(TRIM(Raw!E508))=UPPER(I508),I508,""))</f>
        <v>Accessories</v>
      </c>
      <c r="K508" s="1" t="str">
        <f>IF(Raw!F508="","",Raw!F508)</f>
        <v>sale</v>
      </c>
      <c r="L508" s="1" t="str">
        <f>IF(LEFT(TRIM(Raw!G508),2)="-$","-"&amp;MID(TRIM(Raw!G508),3,99),IF(LEFT(TRIM(Raw!G508),1)="$",MID(TRIM(Raw!G508),2,99),TRIM(Raw!G508)))</f>
        <v>211.08</v>
      </c>
      <c r="M508" s="1">
        <f t="shared" si="59"/>
        <v>211.08</v>
      </c>
      <c r="N508" s="10">
        <f t="shared" si="60"/>
        <v>21108</v>
      </c>
      <c r="O508" s="1" t="b">
        <f>IFERROR(IF(ISNUMBER(Raw!G508),TRUE,OR(EXACT(L508,TEXT(M508,"0.00")),EXACT(L508,TEXT(M508,"#,##0.00")))),FALSE)</f>
        <v>1</v>
      </c>
      <c r="P508" s="1" t="str">
        <f>LEN(IF(Raw!A508="","",Raw!A508))&amp;":"&amp;IF(Raw!A508="","",Raw!A508)&amp;"|"&amp;LEN(IF(Raw!B508="","",Raw!B508))&amp;":"&amp;IF(Raw!B508="","",Raw!B508)&amp;"|"&amp;LEN(IF(Raw!C508="","",Raw!C508))&amp;":"&amp;IF(Raw!C508="","",Raw!C508)&amp;"|"&amp;LEN(IF(Raw!D508="","",Raw!D508))&amp;":"&amp;IF(Raw!D508="","",Raw!D508)&amp;"|"&amp;LEN(IF(Raw!E508="","",Raw!E508))&amp;":"&amp;IF(Raw!E508="","",Raw!E508)&amp;"|"&amp;LEN(IF(Raw!F508="","",Raw!F508))&amp;":"&amp;IF(Raw!F508="","",Raw!F508)&amp;"|"&amp;LEN(IF(Raw!G508="","",Raw!G508))&amp;":"&amp;IF(Raw!G508="","",Raw!G508)</f>
        <v>6:L00502|6:T00251|10:2026-02-10|3:P-A|11:Accessories|4:sale|6:211.08</v>
      </c>
      <c r="Q508" s="1">
        <f>1</f>
        <v>1</v>
      </c>
      <c r="R508" s="1" t="b">
        <f>FALSE</f>
        <v>0</v>
      </c>
      <c r="S508" s="1">
        <f>1</f>
        <v>1</v>
      </c>
      <c r="T508" s="1" t="str">
        <f>IF(AND(Raw!A508="",Raw!B508="",Raw!C508="",Raw!D508="",Raw!E508="",Raw!F508="",Raw!G508=""),"UNUSED",IF(A508="","missing line ID",IF(B508="","missing transaction ID",IF(G508="",IF(C508="","missing date","invalid date"),IF(I508="","unknown product",IF(J508="","conflicting category",IF(NOT(OR(EXACT(K508,"sale"),EXACT(K508,"refund"))),"unknown event",IF(OR(N508="",NOT(O508)),"invalid amount",IF(OR(AND(K508="sale",N508&lt;=0),AND(K508="refund",N508&gt;=0)),"invalid sign","")))))))))</f>
        <v/>
      </c>
      <c r="U508" s="1" t="str">
        <f t="shared" si="61"/>
        <v>INCLUDED</v>
      </c>
      <c r="V508" s="1" t="str">
        <f t="shared" si="62"/>
        <v>2026-02</v>
      </c>
      <c r="W508" s="1">
        <f>IF(AND(U508="INCLUDED",X508&gt;0,EXACT(A508,'AI output'!A508)),1,0)</f>
        <v>1</v>
      </c>
      <c r="X508" s="1">
        <f>508</f>
        <v>508</v>
      </c>
      <c r="Y508" s="1">
        <f>IF(AND(U508="INCLUDED",W508=1),--(NOT(EXACT(A508,'AI output'!A508)))+--(NOT(EXACT(B508,'AI output'!B508)))+--(NOT(EXACT(TEXT(G508,"yyyy-mm-dd"),'AI output'!C508)))+--(NOT(EXACT(H508,'AI output'!D508)))+--(NOT(EXACT(J508,'AI output'!E508)))+--(NOT(EXACT(K508,'AI output'!F508)))+--(N508&lt;&gt;'AI output'!L508)+--(NOT('AI output'!M508)),0)</f>
        <v>0</v>
      </c>
      <c r="Z508" s="1">
        <f t="shared" si="63"/>
        <v>0</v>
      </c>
      <c r="AA508" s="1">
        <f>--EXACT(A508,"L00502")</f>
        <v>1</v>
      </c>
    </row>
    <row r="509" spans="1:27" ht="18.95" customHeight="1">
      <c r="A509" s="1" t="str">
        <f>IF(Raw!A509="","",Raw!A509)</f>
        <v>L00503</v>
      </c>
      <c r="B509" s="1" t="str">
        <f>IF(Raw!B509="","",Raw!B509)</f>
        <v>T00252</v>
      </c>
      <c r="C509" s="1" t="str">
        <f>IF(Raw!C509="","",Raw!C509)</f>
        <v>2026-02-17</v>
      </c>
      <c r="D509" s="1">
        <f t="shared" si="56"/>
        <v>2026</v>
      </c>
      <c r="E509" s="1">
        <f>IFERROR(IF(AND(LEN(C509)=10,MID(C509,5,1)="-",MID(C509,8,1)="-"),VALUE(MID(C509,6,2)),IF(AND(LEN(C509)=11,MID(C509,3,1)="-",MID(C509,7,1)="-"),MATCH(UPPER(MID(C509,4,3)),Guide!$D$7:$D$18,0),0)),0)</f>
        <v>2</v>
      </c>
      <c r="F509" s="1">
        <f t="shared" si="57"/>
        <v>17</v>
      </c>
      <c r="G509" s="9">
        <f t="shared" si="58"/>
        <v>46070</v>
      </c>
      <c r="H509" s="1" t="str">
        <f>IF(Raw!D509="","",Raw!D509)</f>
        <v>P-H</v>
      </c>
      <c r="I509" s="1" t="str">
        <f>IFERROR(IF(EXACT(H509,INDEX(Guide!$A$7:$A$9,MATCH(SUBSTITUTE(SUBSTITUTE(SUBSTITUTE(H509,"~","~~"),"*","~*"),"?","~?"),Guide!$A$7:$A$9,0))),INDEX(Guide!$B$7:$B$9,MATCH(SUBSTITUTE(SUBSTITUTE(SUBSTITUTE(H509,"~","~~"),"*","~*"),"?","~?"),Guide!$A$7:$A$9,0)),""),"")</f>
        <v>Home</v>
      </c>
      <c r="J509" s="1" t="str">
        <f>IF(TRIM(Raw!E509)="",I509,IF(UPPER(TRIM(Raw!E509))=UPPER(I509),I509,""))</f>
        <v>Home</v>
      </c>
      <c r="K509" s="1" t="str">
        <f>IF(Raw!F509="","",Raw!F509)</f>
        <v>sale</v>
      </c>
      <c r="L509" s="1" t="str">
        <f>IF(LEFT(TRIM(Raw!G509),2)="-$","-"&amp;MID(TRIM(Raw!G509),3,99),IF(LEFT(TRIM(Raw!G509),1)="$",MID(TRIM(Raw!G509),2,99),TRIM(Raw!G509)))</f>
        <v>353.65</v>
      </c>
      <c r="M509" s="1">
        <f t="shared" si="59"/>
        <v>353.65</v>
      </c>
      <c r="N509" s="10">
        <f t="shared" si="60"/>
        <v>35365</v>
      </c>
      <c r="O509" s="1" t="b">
        <f>IFERROR(IF(ISNUMBER(Raw!G509),TRUE,OR(EXACT(L509,TEXT(M509,"0.00")),EXACT(L509,TEXT(M509,"#,##0.00")))),FALSE)</f>
        <v>1</v>
      </c>
      <c r="P509" s="1" t="str">
        <f>LEN(IF(Raw!A509="","",Raw!A509))&amp;":"&amp;IF(Raw!A509="","",Raw!A509)&amp;"|"&amp;LEN(IF(Raw!B509="","",Raw!B509))&amp;":"&amp;IF(Raw!B509="","",Raw!B509)&amp;"|"&amp;LEN(IF(Raw!C509="","",Raw!C509))&amp;":"&amp;IF(Raw!C509="","",Raw!C509)&amp;"|"&amp;LEN(IF(Raw!D509="","",Raw!D509))&amp;":"&amp;IF(Raw!D509="","",Raw!D509)&amp;"|"&amp;LEN(IF(Raw!E509="","",Raw!E509))&amp;":"&amp;IF(Raw!E509="","",Raw!E509)&amp;"|"&amp;LEN(IF(Raw!F509="","",Raw!F509))&amp;":"&amp;IF(Raw!F509="","",Raw!F509)&amp;"|"&amp;LEN(IF(Raw!G509="","",Raw!G509))&amp;":"&amp;IF(Raw!G509="","",Raw!G509)</f>
        <v>6:L00503|6:T00252|10:2026-02-17|3:P-H|4:Home|4:sale|6:353.65</v>
      </c>
      <c r="Q509" s="1">
        <f>1</f>
        <v>1</v>
      </c>
      <c r="R509" s="1" t="b">
        <f>FALSE</f>
        <v>0</v>
      </c>
      <c r="S509" s="1">
        <f>1</f>
        <v>1</v>
      </c>
      <c r="T509" s="1" t="str">
        <f>IF(AND(Raw!A509="",Raw!B509="",Raw!C509="",Raw!D509="",Raw!E509="",Raw!F509="",Raw!G509=""),"UNUSED",IF(A509="","missing line ID",IF(B509="","missing transaction ID",IF(G509="",IF(C509="","missing date","invalid date"),IF(I509="","unknown product",IF(J509="","conflicting category",IF(NOT(OR(EXACT(K509,"sale"),EXACT(K509,"refund"))),"unknown event",IF(OR(N509="",NOT(O509)),"invalid amount",IF(OR(AND(K509="sale",N509&lt;=0),AND(K509="refund",N509&gt;=0)),"invalid sign","")))))))))</f>
        <v/>
      </c>
      <c r="U509" s="1" t="str">
        <f t="shared" si="61"/>
        <v>INCLUDED</v>
      </c>
      <c r="V509" s="1" t="str">
        <f t="shared" si="62"/>
        <v>2026-02</v>
      </c>
      <c r="W509" s="1">
        <f>IF(AND(U509="INCLUDED",X509&gt;0,EXACT(A509,'AI output'!A509)),1,0)</f>
        <v>1</v>
      </c>
      <c r="X509" s="1">
        <f>509</f>
        <v>509</v>
      </c>
      <c r="Y509" s="1">
        <f>IF(AND(U509="INCLUDED",W509=1),--(NOT(EXACT(A509,'AI output'!A509)))+--(NOT(EXACT(B509,'AI output'!B509)))+--(NOT(EXACT(TEXT(G509,"yyyy-mm-dd"),'AI output'!C509)))+--(NOT(EXACT(H509,'AI output'!D509)))+--(NOT(EXACT(J509,'AI output'!E509)))+--(NOT(EXACT(K509,'AI output'!F509)))+--(N509&lt;&gt;'AI output'!L509)+--(NOT('AI output'!M509)),0)</f>
        <v>0</v>
      </c>
      <c r="Z509" s="1">
        <f t="shared" si="63"/>
        <v>0</v>
      </c>
      <c r="AA509" s="1">
        <f>--EXACT(A509,"L00503")</f>
        <v>1</v>
      </c>
    </row>
    <row r="510" spans="1:27" ht="18.95" customHeight="1">
      <c r="A510" s="1" t="str">
        <f>IF(Raw!A510="","",Raw!A510)</f>
        <v>L00504</v>
      </c>
      <c r="B510" s="1" t="str">
        <f>IF(Raw!B510="","",Raw!B510)</f>
        <v>T00252</v>
      </c>
      <c r="C510" s="1" t="str">
        <f>IF(Raw!C510="","",Raw!C510)</f>
        <v>2026-02-17</v>
      </c>
      <c r="D510" s="1">
        <f t="shared" si="56"/>
        <v>2026</v>
      </c>
      <c r="E510" s="1">
        <f>IFERROR(IF(AND(LEN(C510)=10,MID(C510,5,1)="-",MID(C510,8,1)="-"),VALUE(MID(C510,6,2)),IF(AND(LEN(C510)=11,MID(C510,3,1)="-",MID(C510,7,1)="-"),MATCH(UPPER(MID(C510,4,3)),Guide!$D$7:$D$18,0),0)),0)</f>
        <v>2</v>
      </c>
      <c r="F510" s="1">
        <f t="shared" si="57"/>
        <v>17</v>
      </c>
      <c r="G510" s="9">
        <f t="shared" si="58"/>
        <v>46070</v>
      </c>
      <c r="H510" s="1" t="str">
        <f>IF(Raw!D510="","",Raw!D510)</f>
        <v>P-O</v>
      </c>
      <c r="I510" s="1" t="str">
        <f>IFERROR(IF(EXACT(H510,INDEX(Guide!$A$7:$A$9,MATCH(SUBSTITUTE(SUBSTITUTE(SUBSTITUTE(H510,"~","~~"),"*","~*"),"?","~?"),Guide!$A$7:$A$9,0))),INDEX(Guide!$B$7:$B$9,MATCH(SUBSTITUTE(SUBSTITUTE(SUBSTITUTE(H510,"~","~~"),"*","~*"),"?","~?"),Guide!$A$7:$A$9,0)),""),"")</f>
        <v>Office</v>
      </c>
      <c r="J510" s="1" t="str">
        <f>IF(TRIM(Raw!E510)="",I510,IF(UPPER(TRIM(Raw!E510))=UPPER(I510),I510,""))</f>
        <v>Office</v>
      </c>
      <c r="K510" s="1" t="str">
        <f>IF(Raw!F510="","",Raw!F510)</f>
        <v>sale</v>
      </c>
      <c r="L510" s="1" t="str">
        <f>IF(LEFT(TRIM(Raw!G510),2)="-$","-"&amp;MID(TRIM(Raw!G510),3,99),IF(LEFT(TRIM(Raw!G510),1)="$",MID(TRIM(Raw!G510),2,99),TRIM(Raw!G510)))</f>
        <v>142.20</v>
      </c>
      <c r="M510" s="1">
        <f t="shared" si="59"/>
        <v>142.19999999999999</v>
      </c>
      <c r="N510" s="10">
        <f t="shared" si="60"/>
        <v>14220</v>
      </c>
      <c r="O510" s="1" t="b">
        <f>IFERROR(IF(ISNUMBER(Raw!G510),TRUE,OR(EXACT(L510,TEXT(M510,"0.00")),EXACT(L510,TEXT(M510,"#,##0.00")))),FALSE)</f>
        <v>1</v>
      </c>
      <c r="P510" s="1" t="str">
        <f>LEN(IF(Raw!A510="","",Raw!A510))&amp;":"&amp;IF(Raw!A510="","",Raw!A510)&amp;"|"&amp;LEN(IF(Raw!B510="","",Raw!B510))&amp;":"&amp;IF(Raw!B510="","",Raw!B510)&amp;"|"&amp;LEN(IF(Raw!C510="","",Raw!C510))&amp;":"&amp;IF(Raw!C510="","",Raw!C510)&amp;"|"&amp;LEN(IF(Raw!D510="","",Raw!D510))&amp;":"&amp;IF(Raw!D510="","",Raw!D510)&amp;"|"&amp;LEN(IF(Raw!E510="","",Raw!E510))&amp;":"&amp;IF(Raw!E510="","",Raw!E510)&amp;"|"&amp;LEN(IF(Raw!F510="","",Raw!F510))&amp;":"&amp;IF(Raw!F510="","",Raw!F510)&amp;"|"&amp;LEN(IF(Raw!G510="","",Raw!G510))&amp;":"&amp;IF(Raw!G510="","",Raw!G510)</f>
        <v>6:L00504|6:T00252|10:2026-02-17|3:P-O|6:Office|4:sale|6:142.20</v>
      </c>
      <c r="Q510" s="1">
        <f>1</f>
        <v>1</v>
      </c>
      <c r="R510" s="1" t="b">
        <f>FALSE</f>
        <v>0</v>
      </c>
      <c r="S510" s="1">
        <f>1</f>
        <v>1</v>
      </c>
      <c r="T510" s="1" t="str">
        <f>IF(AND(Raw!A510="",Raw!B510="",Raw!C510="",Raw!D510="",Raw!E510="",Raw!F510="",Raw!G510=""),"UNUSED",IF(A510="","missing line ID",IF(B510="","missing transaction ID",IF(G510="",IF(C510="","missing date","invalid date"),IF(I510="","unknown product",IF(J510="","conflicting category",IF(NOT(OR(EXACT(K510,"sale"),EXACT(K510,"refund"))),"unknown event",IF(OR(N510="",NOT(O510)),"invalid amount",IF(OR(AND(K510="sale",N510&lt;=0),AND(K510="refund",N510&gt;=0)),"invalid sign","")))))))))</f>
        <v/>
      </c>
      <c r="U510" s="1" t="str">
        <f t="shared" si="61"/>
        <v>INCLUDED</v>
      </c>
      <c r="V510" s="1" t="str">
        <f t="shared" si="62"/>
        <v>2026-02</v>
      </c>
      <c r="W510" s="1">
        <f>IF(AND(U510="INCLUDED",X510&gt;0,EXACT(A510,'AI output'!A510)),1,0)</f>
        <v>1</v>
      </c>
      <c r="X510" s="1">
        <f>510</f>
        <v>510</v>
      </c>
      <c r="Y510" s="1">
        <f>IF(AND(U510="INCLUDED",W510=1),--(NOT(EXACT(A510,'AI output'!A510)))+--(NOT(EXACT(B510,'AI output'!B510)))+--(NOT(EXACT(TEXT(G510,"yyyy-mm-dd"),'AI output'!C510)))+--(NOT(EXACT(H510,'AI output'!D510)))+--(NOT(EXACT(J510,'AI output'!E510)))+--(NOT(EXACT(K510,'AI output'!F510)))+--(N510&lt;&gt;'AI output'!L510)+--(NOT('AI output'!M510)),0)</f>
        <v>0</v>
      </c>
      <c r="Z510" s="1">
        <f t="shared" si="63"/>
        <v>0</v>
      </c>
      <c r="AA510" s="1">
        <f>--EXACT(A510,"L00504")</f>
        <v>1</v>
      </c>
    </row>
    <row r="511" spans="1:27" ht="18.95" customHeight="1">
      <c r="A511" s="1" t="str">
        <f>IF(Raw!A511="","",Raw!A511)</f>
        <v>L00505</v>
      </c>
      <c r="B511" s="1" t="str">
        <f>IF(Raw!B511="","",Raw!B511)</f>
        <v>T00253</v>
      </c>
      <c r="C511" s="1" t="str">
        <f>IF(Raw!C511="","",Raw!C511)</f>
        <v>2026-02-24</v>
      </c>
      <c r="D511" s="1">
        <f t="shared" si="56"/>
        <v>2026</v>
      </c>
      <c r="E511" s="1">
        <f>IFERROR(IF(AND(LEN(C511)=10,MID(C511,5,1)="-",MID(C511,8,1)="-"),VALUE(MID(C511,6,2)),IF(AND(LEN(C511)=11,MID(C511,3,1)="-",MID(C511,7,1)="-"),MATCH(UPPER(MID(C511,4,3)),Guide!$D$7:$D$18,0),0)),0)</f>
        <v>2</v>
      </c>
      <c r="F511" s="1">
        <f t="shared" si="57"/>
        <v>24</v>
      </c>
      <c r="G511" s="9">
        <f t="shared" si="58"/>
        <v>46077</v>
      </c>
      <c r="H511" s="1" t="str">
        <f>IF(Raw!D511="","",Raw!D511)</f>
        <v>P-A</v>
      </c>
      <c r="I511" s="1" t="str">
        <f>IFERROR(IF(EXACT(H511,INDEX(Guide!$A$7:$A$9,MATCH(SUBSTITUTE(SUBSTITUTE(SUBSTITUTE(H511,"~","~~"),"*","~*"),"?","~?"),Guide!$A$7:$A$9,0))),INDEX(Guide!$B$7:$B$9,MATCH(SUBSTITUTE(SUBSTITUTE(SUBSTITUTE(H511,"~","~~"),"*","~*"),"?","~?"),Guide!$A$7:$A$9,0)),""),"")</f>
        <v>Accessories</v>
      </c>
      <c r="J511" s="1" t="str">
        <f>IF(TRIM(Raw!E511)="",I511,IF(UPPER(TRIM(Raw!E511))=UPPER(I511),I511,""))</f>
        <v>Accessories</v>
      </c>
      <c r="K511" s="1" t="str">
        <f>IF(Raw!F511="","",Raw!F511)</f>
        <v>sale</v>
      </c>
      <c r="L511" s="1" t="str">
        <f>IF(LEFT(TRIM(Raw!G511),2)="-$","-"&amp;MID(TRIM(Raw!G511),3,99),IF(LEFT(TRIM(Raw!G511),1)="$",MID(TRIM(Raw!G511),2,99),TRIM(Raw!G511)))</f>
        <v>285.88</v>
      </c>
      <c r="M511" s="1">
        <f t="shared" si="59"/>
        <v>285.88</v>
      </c>
      <c r="N511" s="10">
        <f t="shared" si="60"/>
        <v>28588</v>
      </c>
      <c r="O511" s="1" t="b">
        <f>IFERROR(IF(ISNUMBER(Raw!G511),TRUE,OR(EXACT(L511,TEXT(M511,"0.00")),EXACT(L511,TEXT(M511,"#,##0.00")))),FALSE)</f>
        <v>1</v>
      </c>
      <c r="P511" s="1" t="str">
        <f>LEN(IF(Raw!A511="","",Raw!A511))&amp;":"&amp;IF(Raw!A511="","",Raw!A511)&amp;"|"&amp;LEN(IF(Raw!B511="","",Raw!B511))&amp;":"&amp;IF(Raw!B511="","",Raw!B511)&amp;"|"&amp;LEN(IF(Raw!C511="","",Raw!C511))&amp;":"&amp;IF(Raw!C511="","",Raw!C511)&amp;"|"&amp;LEN(IF(Raw!D511="","",Raw!D511))&amp;":"&amp;IF(Raw!D511="","",Raw!D511)&amp;"|"&amp;LEN(IF(Raw!E511="","",Raw!E511))&amp;":"&amp;IF(Raw!E511="","",Raw!E511)&amp;"|"&amp;LEN(IF(Raw!F511="","",Raw!F511))&amp;":"&amp;IF(Raw!F511="","",Raw!F511)&amp;"|"&amp;LEN(IF(Raw!G511="","",Raw!G511))&amp;":"&amp;IF(Raw!G511="","",Raw!G511)</f>
        <v>6:L00505|6:T00253|10:2026-02-24|3:P-A|11:Accessories|4:sale|6:285.88</v>
      </c>
      <c r="Q511" s="1">
        <f>1</f>
        <v>1</v>
      </c>
      <c r="R511" s="1" t="b">
        <f>FALSE</f>
        <v>0</v>
      </c>
      <c r="S511" s="1">
        <f>1</f>
        <v>1</v>
      </c>
      <c r="T511" s="1" t="str">
        <f>IF(AND(Raw!A511="",Raw!B511="",Raw!C511="",Raw!D511="",Raw!E511="",Raw!F511="",Raw!G511=""),"UNUSED",IF(A511="","missing line ID",IF(B511="","missing transaction ID",IF(G511="",IF(C511="","missing date","invalid date"),IF(I511="","unknown product",IF(J511="","conflicting category",IF(NOT(OR(EXACT(K511,"sale"),EXACT(K511,"refund"))),"unknown event",IF(OR(N511="",NOT(O511)),"invalid amount",IF(OR(AND(K511="sale",N511&lt;=0),AND(K511="refund",N511&gt;=0)),"invalid sign","")))))))))</f>
        <v/>
      </c>
      <c r="U511" s="1" t="str">
        <f t="shared" si="61"/>
        <v>INCLUDED</v>
      </c>
      <c r="V511" s="1" t="str">
        <f t="shared" si="62"/>
        <v>2026-02</v>
      </c>
      <c r="W511" s="1">
        <f>IF(AND(U511="INCLUDED",X511&gt;0,EXACT(A511,'AI output'!A511)),1,0)</f>
        <v>1</v>
      </c>
      <c r="X511" s="1">
        <f>511</f>
        <v>511</v>
      </c>
      <c r="Y511" s="1">
        <f>IF(AND(U511="INCLUDED",W511=1),--(NOT(EXACT(A511,'AI output'!A511)))+--(NOT(EXACT(B511,'AI output'!B511)))+--(NOT(EXACT(TEXT(G511,"yyyy-mm-dd"),'AI output'!C511)))+--(NOT(EXACT(H511,'AI output'!D511)))+--(NOT(EXACT(J511,'AI output'!E511)))+--(NOT(EXACT(K511,'AI output'!F511)))+--(N511&lt;&gt;'AI output'!L511)+--(NOT('AI output'!M511)),0)</f>
        <v>0</v>
      </c>
      <c r="Z511" s="1">
        <f t="shared" si="63"/>
        <v>0</v>
      </c>
      <c r="AA511" s="1">
        <f>--EXACT(A511,"L00505")</f>
        <v>1</v>
      </c>
    </row>
    <row r="512" spans="1:27" ht="18.95" customHeight="1">
      <c r="A512" s="1" t="str">
        <f>IF(Raw!A512="","",Raw!A512)</f>
        <v>L00506</v>
      </c>
      <c r="B512" s="1" t="str">
        <f>IF(Raw!B512="","",Raw!B512)</f>
        <v>T00253</v>
      </c>
      <c r="C512" s="1" t="str">
        <f>IF(Raw!C512="","",Raw!C512)</f>
        <v>2026-02-24</v>
      </c>
      <c r="D512" s="1">
        <f t="shared" si="56"/>
        <v>2026</v>
      </c>
      <c r="E512" s="1">
        <f>IFERROR(IF(AND(LEN(C512)=10,MID(C512,5,1)="-",MID(C512,8,1)="-"),VALUE(MID(C512,6,2)),IF(AND(LEN(C512)=11,MID(C512,3,1)="-",MID(C512,7,1)="-"),MATCH(UPPER(MID(C512,4,3)),Guide!$D$7:$D$18,0),0)),0)</f>
        <v>2</v>
      </c>
      <c r="F512" s="1">
        <f t="shared" si="57"/>
        <v>24</v>
      </c>
      <c r="G512" s="9">
        <f t="shared" si="58"/>
        <v>46077</v>
      </c>
      <c r="H512" s="1" t="str">
        <f>IF(Raw!D512="","",Raw!D512)</f>
        <v>P-H</v>
      </c>
      <c r="I512" s="1" t="str">
        <f>IFERROR(IF(EXACT(H512,INDEX(Guide!$A$7:$A$9,MATCH(SUBSTITUTE(SUBSTITUTE(SUBSTITUTE(H512,"~","~~"),"*","~*"),"?","~?"),Guide!$A$7:$A$9,0))),INDEX(Guide!$B$7:$B$9,MATCH(SUBSTITUTE(SUBSTITUTE(SUBSTITUTE(H512,"~","~~"),"*","~*"),"?","~?"),Guide!$A$7:$A$9,0)),""),"")</f>
        <v>Home</v>
      </c>
      <c r="J512" s="1" t="str">
        <f>IF(TRIM(Raw!E512)="",I512,IF(UPPER(TRIM(Raw!E512))=UPPER(I512),I512,""))</f>
        <v>Home</v>
      </c>
      <c r="K512" s="1" t="str">
        <f>IF(Raw!F512="","",Raw!F512)</f>
        <v>sale</v>
      </c>
      <c r="L512" s="1" t="str">
        <f>IF(LEFT(TRIM(Raw!G512),2)="-$","-"&amp;MID(TRIM(Raw!G512),3,99),IF(LEFT(TRIM(Raw!G512),1)="$",MID(TRIM(Raw!G512),2,99),TRIM(Raw!G512)))</f>
        <v>71.84</v>
      </c>
      <c r="M512" s="1">
        <f t="shared" si="59"/>
        <v>71.84</v>
      </c>
      <c r="N512" s="10">
        <f t="shared" si="60"/>
        <v>7184</v>
      </c>
      <c r="O512" s="1" t="b">
        <f>IFERROR(IF(ISNUMBER(Raw!G512),TRUE,OR(EXACT(L512,TEXT(M512,"0.00")),EXACT(L512,TEXT(M512,"#,##0.00")))),FALSE)</f>
        <v>1</v>
      </c>
      <c r="P512" s="1" t="str">
        <f>LEN(IF(Raw!A512="","",Raw!A512))&amp;":"&amp;IF(Raw!A512="","",Raw!A512)&amp;"|"&amp;LEN(IF(Raw!B512="","",Raw!B512))&amp;":"&amp;IF(Raw!B512="","",Raw!B512)&amp;"|"&amp;LEN(IF(Raw!C512="","",Raw!C512))&amp;":"&amp;IF(Raw!C512="","",Raw!C512)&amp;"|"&amp;LEN(IF(Raw!D512="","",Raw!D512))&amp;":"&amp;IF(Raw!D512="","",Raw!D512)&amp;"|"&amp;LEN(IF(Raw!E512="","",Raw!E512))&amp;":"&amp;IF(Raw!E512="","",Raw!E512)&amp;"|"&amp;LEN(IF(Raw!F512="","",Raw!F512))&amp;":"&amp;IF(Raw!F512="","",Raw!F512)&amp;"|"&amp;LEN(IF(Raw!G512="","",Raw!G512))&amp;":"&amp;IF(Raw!G512="","",Raw!G512)</f>
        <v>6:L00506|6:T00253|10:2026-02-24|3:P-H|4:Home|4:sale|5:71.84</v>
      </c>
      <c r="Q512" s="1">
        <f>1</f>
        <v>1</v>
      </c>
      <c r="R512" s="1" t="b">
        <f>FALSE</f>
        <v>0</v>
      </c>
      <c r="S512" s="1">
        <f>1</f>
        <v>1</v>
      </c>
      <c r="T512" s="1" t="str">
        <f>IF(AND(Raw!A512="",Raw!B512="",Raw!C512="",Raw!D512="",Raw!E512="",Raw!F512="",Raw!G512=""),"UNUSED",IF(A512="","missing line ID",IF(B512="","missing transaction ID",IF(G512="",IF(C512="","missing date","invalid date"),IF(I512="","unknown product",IF(J512="","conflicting category",IF(NOT(OR(EXACT(K512,"sale"),EXACT(K512,"refund"))),"unknown event",IF(OR(N512="",NOT(O512)),"invalid amount",IF(OR(AND(K512="sale",N512&lt;=0),AND(K512="refund",N512&gt;=0)),"invalid sign","")))))))))</f>
        <v/>
      </c>
      <c r="U512" s="1" t="str">
        <f t="shared" si="61"/>
        <v>INCLUDED</v>
      </c>
      <c r="V512" s="1" t="str">
        <f t="shared" si="62"/>
        <v>2026-02</v>
      </c>
      <c r="W512" s="1">
        <f>IF(AND(U512="INCLUDED",X512&gt;0,EXACT(A512,'AI output'!A512)),1,0)</f>
        <v>1</v>
      </c>
      <c r="X512" s="1">
        <f>512</f>
        <v>512</v>
      </c>
      <c r="Y512" s="1">
        <f>IF(AND(U512="INCLUDED",W512=1),--(NOT(EXACT(A512,'AI output'!A512)))+--(NOT(EXACT(B512,'AI output'!B512)))+--(NOT(EXACT(TEXT(G512,"yyyy-mm-dd"),'AI output'!C512)))+--(NOT(EXACT(H512,'AI output'!D512)))+--(NOT(EXACT(J512,'AI output'!E512)))+--(NOT(EXACT(K512,'AI output'!F512)))+--(N512&lt;&gt;'AI output'!L512)+--(NOT('AI output'!M512)),0)</f>
        <v>0</v>
      </c>
      <c r="Z512" s="1">
        <f t="shared" si="63"/>
        <v>0</v>
      </c>
      <c r="AA512" s="1">
        <f>--EXACT(A512,"L00506")</f>
        <v>1</v>
      </c>
    </row>
    <row r="513" spans="1:27" ht="18.95" customHeight="1">
      <c r="A513" s="1" t="str">
        <f>IF(Raw!A513="","",Raw!A513)</f>
        <v>L00507</v>
      </c>
      <c r="B513" s="1" t="str">
        <f>IF(Raw!B513="","",Raw!B513)</f>
        <v>T00254</v>
      </c>
      <c r="C513" s="1" t="str">
        <f>IF(Raw!C513="","",Raw!C513)</f>
        <v>2026-03-03</v>
      </c>
      <c r="D513" s="1">
        <f t="shared" si="56"/>
        <v>2026</v>
      </c>
      <c r="E513" s="1">
        <f>IFERROR(IF(AND(LEN(C513)=10,MID(C513,5,1)="-",MID(C513,8,1)="-"),VALUE(MID(C513,6,2)),IF(AND(LEN(C513)=11,MID(C513,3,1)="-",MID(C513,7,1)="-"),MATCH(UPPER(MID(C513,4,3)),Guide!$D$7:$D$18,0),0)),0)</f>
        <v>3</v>
      </c>
      <c r="F513" s="1">
        <f t="shared" si="57"/>
        <v>3</v>
      </c>
      <c r="G513" s="9">
        <f t="shared" si="58"/>
        <v>46084</v>
      </c>
      <c r="H513" s="1" t="str">
        <f>IF(Raw!D513="","",Raw!D513)</f>
        <v>P-O</v>
      </c>
      <c r="I513" s="1" t="str">
        <f>IFERROR(IF(EXACT(H513,INDEX(Guide!$A$7:$A$9,MATCH(SUBSTITUTE(SUBSTITUTE(SUBSTITUTE(H513,"~","~~"),"*","~*"),"?","~?"),Guide!$A$7:$A$9,0))),INDEX(Guide!$B$7:$B$9,MATCH(SUBSTITUTE(SUBSTITUTE(SUBSTITUTE(H513,"~","~~"),"*","~*"),"?","~?"),Guide!$A$7:$A$9,0)),""),"")</f>
        <v>Office</v>
      </c>
      <c r="J513" s="1" t="str">
        <f>IF(TRIM(Raw!E513)="",I513,IF(UPPER(TRIM(Raw!E513))=UPPER(I513),I513,""))</f>
        <v>Office</v>
      </c>
      <c r="K513" s="1" t="str">
        <f>IF(Raw!F513="","",Raw!F513)</f>
        <v>refund</v>
      </c>
      <c r="L513" s="1" t="str">
        <f>IF(LEFT(TRIM(Raw!G513),2)="-$","-"&amp;MID(TRIM(Raw!G513),3,99),IF(LEFT(TRIM(Raw!G513),1)="$",MID(TRIM(Raw!G513),2,99),TRIM(Raw!G513)))</f>
        <v>-216.63</v>
      </c>
      <c r="M513" s="1">
        <f t="shared" si="59"/>
        <v>-216.63</v>
      </c>
      <c r="N513" s="10">
        <f t="shared" si="60"/>
        <v>-21663</v>
      </c>
      <c r="O513" s="1" t="b">
        <f>IFERROR(IF(ISNUMBER(Raw!G513),TRUE,OR(EXACT(L513,TEXT(M513,"0.00")),EXACT(L513,TEXT(M513,"#,##0.00")))),FALSE)</f>
        <v>1</v>
      </c>
      <c r="P513" s="1" t="str">
        <f>LEN(IF(Raw!A513="","",Raw!A513))&amp;":"&amp;IF(Raw!A513="","",Raw!A513)&amp;"|"&amp;LEN(IF(Raw!B513="","",Raw!B513))&amp;":"&amp;IF(Raw!B513="","",Raw!B513)&amp;"|"&amp;LEN(IF(Raw!C513="","",Raw!C513))&amp;":"&amp;IF(Raw!C513="","",Raw!C513)&amp;"|"&amp;LEN(IF(Raw!D513="","",Raw!D513))&amp;":"&amp;IF(Raw!D513="","",Raw!D513)&amp;"|"&amp;LEN(IF(Raw!E513="","",Raw!E513))&amp;":"&amp;IF(Raw!E513="","",Raw!E513)&amp;"|"&amp;LEN(IF(Raw!F513="","",Raw!F513))&amp;":"&amp;IF(Raw!F513="","",Raw!F513)&amp;"|"&amp;LEN(IF(Raw!G513="","",Raw!G513))&amp;":"&amp;IF(Raw!G513="","",Raw!G513)</f>
        <v>6:L00507|6:T00254|10:2026-03-03|3:P-O|6:Office|6:refund|7:-216.63</v>
      </c>
      <c r="Q513" s="1">
        <f>1</f>
        <v>1</v>
      </c>
      <c r="R513" s="1" t="b">
        <f>FALSE</f>
        <v>0</v>
      </c>
      <c r="S513" s="1">
        <f>1</f>
        <v>1</v>
      </c>
      <c r="T513" s="1" t="str">
        <f>IF(AND(Raw!A513="",Raw!B513="",Raw!C513="",Raw!D513="",Raw!E513="",Raw!F513="",Raw!G513=""),"UNUSED",IF(A513="","missing line ID",IF(B513="","missing transaction ID",IF(G513="",IF(C513="","missing date","invalid date"),IF(I513="","unknown product",IF(J513="","conflicting category",IF(NOT(OR(EXACT(K513,"sale"),EXACT(K513,"refund"))),"unknown event",IF(OR(N513="",NOT(O513)),"invalid amount",IF(OR(AND(K513="sale",N513&lt;=0),AND(K513="refund",N513&gt;=0)),"invalid sign","")))))))))</f>
        <v/>
      </c>
      <c r="U513" s="1" t="str">
        <f t="shared" si="61"/>
        <v>INCLUDED</v>
      </c>
      <c r="V513" s="1" t="str">
        <f t="shared" si="62"/>
        <v>2026-03</v>
      </c>
      <c r="W513" s="1">
        <f>IF(AND(U513="INCLUDED",X513&gt;0,EXACT(A513,'AI output'!A513)),1,0)</f>
        <v>1</v>
      </c>
      <c r="X513" s="1">
        <f>513</f>
        <v>513</v>
      </c>
      <c r="Y513" s="1">
        <f>IF(AND(U513="INCLUDED",W513=1),--(NOT(EXACT(A513,'AI output'!A513)))+--(NOT(EXACT(B513,'AI output'!B513)))+--(NOT(EXACT(TEXT(G513,"yyyy-mm-dd"),'AI output'!C513)))+--(NOT(EXACT(H513,'AI output'!D513)))+--(NOT(EXACT(J513,'AI output'!E513)))+--(NOT(EXACT(K513,'AI output'!F513)))+--(N513&lt;&gt;'AI output'!L513)+--(NOT('AI output'!M513)),0)</f>
        <v>0</v>
      </c>
      <c r="Z513" s="1">
        <f t="shared" si="63"/>
        <v>0</v>
      </c>
      <c r="AA513" s="1">
        <f>--EXACT(A513,"L00507")</f>
        <v>1</v>
      </c>
    </row>
    <row r="514" spans="1:27" ht="18.95" customHeight="1">
      <c r="A514" s="1" t="str">
        <f>IF(Raw!A514="","",Raw!A514)</f>
        <v>L00508</v>
      </c>
      <c r="B514" s="1" t="str">
        <f>IF(Raw!B514="","",Raw!B514)</f>
        <v>T00254</v>
      </c>
      <c r="C514" s="1" t="str">
        <f>IF(Raw!C514="","",Raw!C514)</f>
        <v>2026-03-03</v>
      </c>
      <c r="D514" s="1">
        <f t="shared" si="56"/>
        <v>2026</v>
      </c>
      <c r="E514" s="1">
        <f>IFERROR(IF(AND(LEN(C514)=10,MID(C514,5,1)="-",MID(C514,8,1)="-"),VALUE(MID(C514,6,2)),IF(AND(LEN(C514)=11,MID(C514,3,1)="-",MID(C514,7,1)="-"),MATCH(UPPER(MID(C514,4,3)),Guide!$D$7:$D$18,0),0)),0)</f>
        <v>3</v>
      </c>
      <c r="F514" s="1">
        <f t="shared" si="57"/>
        <v>3</v>
      </c>
      <c r="G514" s="9">
        <f t="shared" si="58"/>
        <v>46084</v>
      </c>
      <c r="H514" s="1" t="str">
        <f>IF(Raw!D514="","",Raw!D514)</f>
        <v>P-A</v>
      </c>
      <c r="I514" s="1" t="str">
        <f>IFERROR(IF(EXACT(H514,INDEX(Guide!$A$7:$A$9,MATCH(SUBSTITUTE(SUBSTITUTE(SUBSTITUTE(H514,"~","~~"),"*","~*"),"?","~?"),Guide!$A$7:$A$9,0))),INDEX(Guide!$B$7:$B$9,MATCH(SUBSTITUTE(SUBSTITUTE(SUBSTITUTE(H514,"~","~~"),"*","~*"),"?","~?"),Guide!$A$7:$A$9,0)),""),"")</f>
        <v>Accessories</v>
      </c>
      <c r="J514" s="1" t="str">
        <f>IF(TRIM(Raw!E514)="",I514,IF(UPPER(TRIM(Raw!E514))=UPPER(I514),I514,""))</f>
        <v>Accessories</v>
      </c>
      <c r="K514" s="1" t="str">
        <f>IF(Raw!F514="","",Raw!F514)</f>
        <v>sale</v>
      </c>
      <c r="L514" s="1" t="str">
        <f>IF(LEFT(TRIM(Raw!G514),2)="-$","-"&amp;MID(TRIM(Raw!G514),3,99),IF(LEFT(TRIM(Raw!G514),1)="$",MID(TRIM(Raw!G514),2,99),TRIM(Raw!G514)))</f>
        <v>362.90</v>
      </c>
      <c r="M514" s="1">
        <f t="shared" si="59"/>
        <v>362.9</v>
      </c>
      <c r="N514" s="10">
        <f t="shared" si="60"/>
        <v>36290</v>
      </c>
      <c r="O514" s="1" t="b">
        <f>IFERROR(IF(ISNUMBER(Raw!G514),TRUE,OR(EXACT(L514,TEXT(M514,"0.00")),EXACT(L514,TEXT(M514,"#,##0.00")))),FALSE)</f>
        <v>1</v>
      </c>
      <c r="P514" s="1" t="str">
        <f>LEN(IF(Raw!A514="","",Raw!A514))&amp;":"&amp;IF(Raw!A514="","",Raw!A514)&amp;"|"&amp;LEN(IF(Raw!B514="","",Raw!B514))&amp;":"&amp;IF(Raw!B514="","",Raw!B514)&amp;"|"&amp;LEN(IF(Raw!C514="","",Raw!C514))&amp;":"&amp;IF(Raw!C514="","",Raw!C514)&amp;"|"&amp;LEN(IF(Raw!D514="","",Raw!D514))&amp;":"&amp;IF(Raw!D514="","",Raw!D514)&amp;"|"&amp;LEN(IF(Raw!E514="","",Raw!E514))&amp;":"&amp;IF(Raw!E514="","",Raw!E514)&amp;"|"&amp;LEN(IF(Raw!F514="","",Raw!F514))&amp;":"&amp;IF(Raw!F514="","",Raw!F514)&amp;"|"&amp;LEN(IF(Raw!G514="","",Raw!G514))&amp;":"&amp;IF(Raw!G514="","",Raw!G514)</f>
        <v>6:L00508|6:T00254|10:2026-03-03|3:P-A|11:Accessories|4:sale|6:362.90</v>
      </c>
      <c r="Q514" s="1">
        <f>1</f>
        <v>1</v>
      </c>
      <c r="R514" s="1" t="b">
        <f>FALSE</f>
        <v>0</v>
      </c>
      <c r="S514" s="1">
        <f>1</f>
        <v>1</v>
      </c>
      <c r="T514" s="1" t="str">
        <f>IF(AND(Raw!A514="",Raw!B514="",Raw!C514="",Raw!D514="",Raw!E514="",Raw!F514="",Raw!G514=""),"UNUSED",IF(A514="","missing line ID",IF(B514="","missing transaction ID",IF(G514="",IF(C514="","missing date","invalid date"),IF(I514="","unknown product",IF(J514="","conflicting category",IF(NOT(OR(EXACT(K514,"sale"),EXACT(K514,"refund"))),"unknown event",IF(OR(N514="",NOT(O514)),"invalid amount",IF(OR(AND(K514="sale",N514&lt;=0),AND(K514="refund",N514&gt;=0)),"invalid sign","")))))))))</f>
        <v/>
      </c>
      <c r="U514" s="1" t="str">
        <f t="shared" si="61"/>
        <v>INCLUDED</v>
      </c>
      <c r="V514" s="1" t="str">
        <f t="shared" si="62"/>
        <v>2026-03</v>
      </c>
      <c r="W514" s="1">
        <f>IF(AND(U514="INCLUDED",X514&gt;0,EXACT(A514,'AI output'!A514)),1,0)</f>
        <v>1</v>
      </c>
      <c r="X514" s="1">
        <f>514</f>
        <v>514</v>
      </c>
      <c r="Y514" s="1">
        <f>IF(AND(U514="INCLUDED",W514=1),--(NOT(EXACT(A514,'AI output'!A514)))+--(NOT(EXACT(B514,'AI output'!B514)))+--(NOT(EXACT(TEXT(G514,"yyyy-mm-dd"),'AI output'!C514)))+--(NOT(EXACT(H514,'AI output'!D514)))+--(NOT(EXACT(J514,'AI output'!E514)))+--(NOT(EXACT(K514,'AI output'!F514)))+--(N514&lt;&gt;'AI output'!L514)+--(NOT('AI output'!M514)),0)</f>
        <v>0</v>
      </c>
      <c r="Z514" s="1">
        <f t="shared" si="63"/>
        <v>0</v>
      </c>
      <c r="AA514" s="1">
        <f>--EXACT(A514,"L00508")</f>
        <v>1</v>
      </c>
    </row>
    <row r="515" spans="1:27" ht="18.95" customHeight="1">
      <c r="A515" s="1" t="str">
        <f>IF(Raw!A515="","",Raw!A515)</f>
        <v>L00509</v>
      </c>
      <c r="B515" s="1" t="str">
        <f>IF(Raw!B515="","",Raw!B515)</f>
        <v>T00255</v>
      </c>
      <c r="C515" s="1" t="str">
        <f>IF(Raw!C515="","",Raw!C515)</f>
        <v>2026-03-10</v>
      </c>
      <c r="D515" s="1">
        <f t="shared" si="56"/>
        <v>2026</v>
      </c>
      <c r="E515" s="1">
        <f>IFERROR(IF(AND(LEN(C515)=10,MID(C515,5,1)="-",MID(C515,8,1)="-"),VALUE(MID(C515,6,2)),IF(AND(LEN(C515)=11,MID(C515,3,1)="-",MID(C515,7,1)="-"),MATCH(UPPER(MID(C515,4,3)),Guide!$D$7:$D$18,0),0)),0)</f>
        <v>3</v>
      </c>
      <c r="F515" s="1">
        <f t="shared" si="57"/>
        <v>10</v>
      </c>
      <c r="G515" s="9">
        <f t="shared" si="58"/>
        <v>46091</v>
      </c>
      <c r="H515" s="1" t="str">
        <f>IF(Raw!D515="","",Raw!D515)</f>
        <v>P-H</v>
      </c>
      <c r="I515" s="1" t="str">
        <f>IFERROR(IF(EXACT(H515,INDEX(Guide!$A$7:$A$9,MATCH(SUBSTITUTE(SUBSTITUTE(SUBSTITUTE(H515,"~","~~"),"*","~*"),"?","~?"),Guide!$A$7:$A$9,0))),INDEX(Guide!$B$7:$B$9,MATCH(SUBSTITUTE(SUBSTITUTE(SUBSTITUTE(H515,"~","~~"),"*","~*"),"?","~?"),Guide!$A$7:$A$9,0)),""),"")</f>
        <v>Home</v>
      </c>
      <c r="J515" s="1" t="str">
        <f>IF(TRIM(Raw!E515)="",I515,IF(UPPER(TRIM(Raw!E515))=UPPER(I515),I515,""))</f>
        <v>Home</v>
      </c>
      <c r="K515" s="1" t="str">
        <f>IF(Raw!F515="","",Raw!F515)</f>
        <v>sale</v>
      </c>
      <c r="L515" s="1" t="str">
        <f>IF(LEFT(TRIM(Raw!G515),2)="-$","-"&amp;MID(TRIM(Raw!G515),3,99),IF(LEFT(TRIM(Raw!G515),1)="$",MID(TRIM(Raw!G515),2,99),TRIM(Raw!G515)))</f>
        <v>145.90</v>
      </c>
      <c r="M515" s="1">
        <f t="shared" si="59"/>
        <v>145.9</v>
      </c>
      <c r="N515" s="10">
        <f t="shared" si="60"/>
        <v>14590</v>
      </c>
      <c r="O515" s="1" t="b">
        <f>IFERROR(IF(ISNUMBER(Raw!G515),TRUE,OR(EXACT(L515,TEXT(M515,"0.00")),EXACT(L515,TEXT(M515,"#,##0.00")))),FALSE)</f>
        <v>1</v>
      </c>
      <c r="P515" s="1" t="str">
        <f>LEN(IF(Raw!A515="","",Raw!A515))&amp;":"&amp;IF(Raw!A515="","",Raw!A515)&amp;"|"&amp;LEN(IF(Raw!B515="","",Raw!B515))&amp;":"&amp;IF(Raw!B515="","",Raw!B515)&amp;"|"&amp;LEN(IF(Raw!C515="","",Raw!C515))&amp;":"&amp;IF(Raw!C515="","",Raw!C515)&amp;"|"&amp;LEN(IF(Raw!D515="","",Raw!D515))&amp;":"&amp;IF(Raw!D515="","",Raw!D515)&amp;"|"&amp;LEN(IF(Raw!E515="","",Raw!E515))&amp;":"&amp;IF(Raw!E515="","",Raw!E515)&amp;"|"&amp;LEN(IF(Raw!F515="","",Raw!F515))&amp;":"&amp;IF(Raw!F515="","",Raw!F515)&amp;"|"&amp;LEN(IF(Raw!G515="","",Raw!G515))&amp;":"&amp;IF(Raw!G515="","",Raw!G515)</f>
        <v>6:L00509|6:T00255|10:2026-03-10|3:P-H|4:Home|4:sale|6:145.90</v>
      </c>
      <c r="Q515" s="1">
        <f>1</f>
        <v>1</v>
      </c>
      <c r="R515" s="1" t="b">
        <f>FALSE</f>
        <v>0</v>
      </c>
      <c r="S515" s="1">
        <f>1</f>
        <v>1</v>
      </c>
      <c r="T515" s="1" t="str">
        <f>IF(AND(Raw!A515="",Raw!B515="",Raw!C515="",Raw!D515="",Raw!E515="",Raw!F515="",Raw!G515=""),"UNUSED",IF(A515="","missing line ID",IF(B515="","missing transaction ID",IF(G515="",IF(C515="","missing date","invalid date"),IF(I515="","unknown product",IF(J515="","conflicting category",IF(NOT(OR(EXACT(K515,"sale"),EXACT(K515,"refund"))),"unknown event",IF(OR(N515="",NOT(O515)),"invalid amount",IF(OR(AND(K515="sale",N515&lt;=0),AND(K515="refund",N515&gt;=0)),"invalid sign","")))))))))</f>
        <v/>
      </c>
      <c r="U515" s="1" t="str">
        <f t="shared" si="61"/>
        <v>INCLUDED</v>
      </c>
      <c r="V515" s="1" t="str">
        <f t="shared" si="62"/>
        <v>2026-03</v>
      </c>
      <c r="W515" s="1">
        <f>IF(AND(U515="INCLUDED",X515&gt;0,EXACT(A515,'AI output'!A515)),1,0)</f>
        <v>1</v>
      </c>
      <c r="X515" s="1">
        <f>515</f>
        <v>515</v>
      </c>
      <c r="Y515" s="1">
        <f>IF(AND(U515="INCLUDED",W515=1),--(NOT(EXACT(A515,'AI output'!A515)))+--(NOT(EXACT(B515,'AI output'!B515)))+--(NOT(EXACT(TEXT(G515,"yyyy-mm-dd"),'AI output'!C515)))+--(NOT(EXACT(H515,'AI output'!D515)))+--(NOT(EXACT(J515,'AI output'!E515)))+--(NOT(EXACT(K515,'AI output'!F515)))+--(N515&lt;&gt;'AI output'!L515)+--(NOT('AI output'!M515)),0)</f>
        <v>0</v>
      </c>
      <c r="Z515" s="1">
        <f t="shared" si="63"/>
        <v>0</v>
      </c>
      <c r="AA515" s="1">
        <f>--EXACT(A515,"L00509")</f>
        <v>1</v>
      </c>
    </row>
    <row r="516" spans="1:27" ht="18.95" customHeight="1">
      <c r="A516" s="1" t="str">
        <f>IF(Raw!A516="","",Raw!A516)</f>
        <v>L00510</v>
      </c>
      <c r="B516" s="1" t="str">
        <f>IF(Raw!B516="","",Raw!B516)</f>
        <v>T00255</v>
      </c>
      <c r="C516" s="1" t="str">
        <f>IF(Raw!C516="","",Raw!C516)</f>
        <v>2026-03-10</v>
      </c>
      <c r="D516" s="1">
        <f t="shared" si="56"/>
        <v>2026</v>
      </c>
      <c r="E516" s="1">
        <f>IFERROR(IF(AND(LEN(C516)=10,MID(C516,5,1)="-",MID(C516,8,1)="-"),VALUE(MID(C516,6,2)),IF(AND(LEN(C516)=11,MID(C516,3,1)="-",MID(C516,7,1)="-"),MATCH(UPPER(MID(C516,4,3)),Guide!$D$7:$D$18,0),0)),0)</f>
        <v>3</v>
      </c>
      <c r="F516" s="1">
        <f t="shared" si="57"/>
        <v>10</v>
      </c>
      <c r="G516" s="9">
        <f t="shared" si="58"/>
        <v>46091</v>
      </c>
      <c r="H516" s="1" t="str">
        <f>IF(Raw!D516="","",Raw!D516)</f>
        <v>P-O</v>
      </c>
      <c r="I516" s="1" t="str">
        <f>IFERROR(IF(EXACT(H516,INDEX(Guide!$A$7:$A$9,MATCH(SUBSTITUTE(SUBSTITUTE(SUBSTITUTE(H516,"~","~~"),"*","~*"),"?","~?"),Guide!$A$7:$A$9,0))),INDEX(Guide!$B$7:$B$9,MATCH(SUBSTITUTE(SUBSTITUTE(SUBSTITUTE(H516,"~","~~"),"*","~*"),"?","~?"),Guide!$A$7:$A$9,0)),""),"")</f>
        <v>Office</v>
      </c>
      <c r="J516" s="1" t="str">
        <f>IF(TRIM(Raw!E516)="",I516,IF(UPPER(TRIM(Raw!E516))=UPPER(I516),I516,""))</f>
        <v>Office</v>
      </c>
      <c r="K516" s="1" t="str">
        <f>IF(Raw!F516="","",Raw!F516)</f>
        <v>sale</v>
      </c>
      <c r="L516" s="1" t="str">
        <f>IF(LEFT(TRIM(Raw!G516),2)="-$","-"&amp;MID(TRIM(Raw!G516),3,99),IF(LEFT(TRIM(Raw!G516),1)="$",MID(TRIM(Raw!G516),2,99),TRIM(Raw!G516)))</f>
        <v>293.28</v>
      </c>
      <c r="M516" s="1">
        <f t="shared" si="59"/>
        <v>293.27999999999997</v>
      </c>
      <c r="N516" s="10">
        <f t="shared" si="60"/>
        <v>29328</v>
      </c>
      <c r="O516" s="1" t="b">
        <f>IFERROR(IF(ISNUMBER(Raw!G516),TRUE,OR(EXACT(L516,TEXT(M516,"0.00")),EXACT(L516,TEXT(M516,"#,##0.00")))),FALSE)</f>
        <v>1</v>
      </c>
      <c r="P516" s="1" t="str">
        <f>LEN(IF(Raw!A516="","",Raw!A516))&amp;":"&amp;IF(Raw!A516="","",Raw!A516)&amp;"|"&amp;LEN(IF(Raw!B516="","",Raw!B516))&amp;":"&amp;IF(Raw!B516="","",Raw!B516)&amp;"|"&amp;LEN(IF(Raw!C516="","",Raw!C516))&amp;":"&amp;IF(Raw!C516="","",Raw!C516)&amp;"|"&amp;LEN(IF(Raw!D516="","",Raw!D516))&amp;":"&amp;IF(Raw!D516="","",Raw!D516)&amp;"|"&amp;LEN(IF(Raw!E516="","",Raw!E516))&amp;":"&amp;IF(Raw!E516="","",Raw!E516)&amp;"|"&amp;LEN(IF(Raw!F516="","",Raw!F516))&amp;":"&amp;IF(Raw!F516="","",Raw!F516)&amp;"|"&amp;LEN(IF(Raw!G516="","",Raw!G516))&amp;":"&amp;IF(Raw!G516="","",Raw!G516)</f>
        <v>6:L00510|6:T00255|10:2026-03-10|3:P-O|6:Office|4:sale|6:293.28</v>
      </c>
      <c r="Q516" s="1">
        <f>1</f>
        <v>1</v>
      </c>
      <c r="R516" s="1" t="b">
        <f>FALSE</f>
        <v>0</v>
      </c>
      <c r="S516" s="1">
        <f>1</f>
        <v>1</v>
      </c>
      <c r="T516" s="1" t="str">
        <f>IF(AND(Raw!A516="",Raw!B516="",Raw!C516="",Raw!D516="",Raw!E516="",Raw!F516="",Raw!G516=""),"UNUSED",IF(A516="","missing line ID",IF(B516="","missing transaction ID",IF(G516="",IF(C516="","missing date","invalid date"),IF(I516="","unknown product",IF(J516="","conflicting category",IF(NOT(OR(EXACT(K516,"sale"),EXACT(K516,"refund"))),"unknown event",IF(OR(N516="",NOT(O516)),"invalid amount",IF(OR(AND(K516="sale",N516&lt;=0),AND(K516="refund",N516&gt;=0)),"invalid sign","")))))))))</f>
        <v/>
      </c>
      <c r="U516" s="1" t="str">
        <f t="shared" si="61"/>
        <v>INCLUDED</v>
      </c>
      <c r="V516" s="1" t="str">
        <f t="shared" si="62"/>
        <v>2026-03</v>
      </c>
      <c r="W516" s="1">
        <f>IF(AND(U516="INCLUDED",X516&gt;0,EXACT(A516,'AI output'!A516)),1,0)</f>
        <v>1</v>
      </c>
      <c r="X516" s="1">
        <f>516</f>
        <v>516</v>
      </c>
      <c r="Y516" s="1">
        <f>IF(AND(U516="INCLUDED",W516=1),--(NOT(EXACT(A516,'AI output'!A516)))+--(NOT(EXACT(B516,'AI output'!B516)))+--(NOT(EXACT(TEXT(G516,"yyyy-mm-dd"),'AI output'!C516)))+--(NOT(EXACT(H516,'AI output'!D516)))+--(NOT(EXACT(J516,'AI output'!E516)))+--(NOT(EXACT(K516,'AI output'!F516)))+--(N516&lt;&gt;'AI output'!L516)+--(NOT('AI output'!M516)),0)</f>
        <v>0</v>
      </c>
      <c r="Z516" s="1">
        <f t="shared" si="63"/>
        <v>0</v>
      </c>
      <c r="AA516" s="1">
        <f>--EXACT(A516,"L00510")</f>
        <v>1</v>
      </c>
    </row>
    <row r="517" spans="1:27" ht="18.95" customHeight="1">
      <c r="A517" s="1" t="str">
        <f>IF(Raw!A517="","",Raw!A517)</f>
        <v>L00511</v>
      </c>
      <c r="B517" s="1" t="str">
        <f>IF(Raw!B517="","",Raw!B517)</f>
        <v>T00256</v>
      </c>
      <c r="C517" s="1" t="str">
        <f>IF(Raw!C517="","",Raw!C517)</f>
        <v>2026-03-17</v>
      </c>
      <c r="D517" s="1">
        <f t="shared" si="56"/>
        <v>2026</v>
      </c>
      <c r="E517" s="1">
        <f>IFERROR(IF(AND(LEN(C517)=10,MID(C517,5,1)="-",MID(C517,8,1)="-"),VALUE(MID(C517,6,2)),IF(AND(LEN(C517)=11,MID(C517,3,1)="-",MID(C517,7,1)="-"),MATCH(UPPER(MID(C517,4,3)),Guide!$D$7:$D$18,0),0)),0)</f>
        <v>3</v>
      </c>
      <c r="F517" s="1">
        <f t="shared" si="57"/>
        <v>17</v>
      </c>
      <c r="G517" s="9">
        <f t="shared" si="58"/>
        <v>46098</v>
      </c>
      <c r="H517" s="1" t="str">
        <f>IF(Raw!D517="","",Raw!D517)</f>
        <v>P-A</v>
      </c>
      <c r="I517" s="1" t="str">
        <f>IFERROR(IF(EXACT(H517,INDEX(Guide!$A$7:$A$9,MATCH(SUBSTITUTE(SUBSTITUTE(SUBSTITUTE(H517,"~","~~"),"*","~*"),"?","~?"),Guide!$A$7:$A$9,0))),INDEX(Guide!$B$7:$B$9,MATCH(SUBSTITUTE(SUBSTITUTE(SUBSTITUTE(H517,"~","~~"),"*","~*"),"?","~?"),Guide!$A$7:$A$9,0)),""),"")</f>
        <v>Accessories</v>
      </c>
      <c r="J517" s="1" t="str">
        <f>IF(TRIM(Raw!E517)="",I517,IF(UPPER(TRIM(Raw!E517))=UPPER(I517),I517,""))</f>
        <v>Accessories</v>
      </c>
      <c r="K517" s="1" t="str">
        <f>IF(Raw!F517="","",Raw!F517)</f>
        <v>sale</v>
      </c>
      <c r="L517" s="1" t="str">
        <f>IF(LEFT(TRIM(Raw!G517),2)="-$","-"&amp;MID(TRIM(Raw!G517),3,99),IF(LEFT(TRIM(Raw!G517),1)="$",MID(TRIM(Raw!G517),2,99),TRIM(Raw!G517)))</f>
        <v>73.69</v>
      </c>
      <c r="M517" s="1">
        <f t="shared" si="59"/>
        <v>73.69</v>
      </c>
      <c r="N517" s="10">
        <f t="shared" si="60"/>
        <v>7369</v>
      </c>
      <c r="O517" s="1" t="b">
        <f>IFERROR(IF(ISNUMBER(Raw!G517),TRUE,OR(EXACT(L517,TEXT(M517,"0.00")),EXACT(L517,TEXT(M517,"#,##0.00")))),FALSE)</f>
        <v>1</v>
      </c>
      <c r="P517" s="1" t="str">
        <f>LEN(IF(Raw!A517="","",Raw!A517))&amp;":"&amp;IF(Raw!A517="","",Raw!A517)&amp;"|"&amp;LEN(IF(Raw!B517="","",Raw!B517))&amp;":"&amp;IF(Raw!B517="","",Raw!B517)&amp;"|"&amp;LEN(IF(Raw!C517="","",Raw!C517))&amp;":"&amp;IF(Raw!C517="","",Raw!C517)&amp;"|"&amp;LEN(IF(Raw!D517="","",Raw!D517))&amp;":"&amp;IF(Raw!D517="","",Raw!D517)&amp;"|"&amp;LEN(IF(Raw!E517="","",Raw!E517))&amp;":"&amp;IF(Raw!E517="","",Raw!E517)&amp;"|"&amp;LEN(IF(Raw!F517="","",Raw!F517))&amp;":"&amp;IF(Raw!F517="","",Raw!F517)&amp;"|"&amp;LEN(IF(Raw!G517="","",Raw!G517))&amp;":"&amp;IF(Raw!G517="","",Raw!G517)</f>
        <v>6:L00511|6:T00256|10:2026-03-17|3:P-A|11:Accessories|4:sale|5:73.69</v>
      </c>
      <c r="Q517" s="1">
        <f>1</f>
        <v>1</v>
      </c>
      <c r="R517" s="1" t="b">
        <f>FALSE</f>
        <v>0</v>
      </c>
      <c r="S517" s="1">
        <f>1</f>
        <v>1</v>
      </c>
      <c r="T517" s="1" t="str">
        <f>IF(AND(Raw!A517="",Raw!B517="",Raw!C517="",Raw!D517="",Raw!E517="",Raw!F517="",Raw!G517=""),"UNUSED",IF(A517="","missing line ID",IF(B517="","missing transaction ID",IF(G517="",IF(C517="","missing date","invalid date"),IF(I517="","unknown product",IF(J517="","conflicting category",IF(NOT(OR(EXACT(K517,"sale"),EXACT(K517,"refund"))),"unknown event",IF(OR(N517="",NOT(O517)),"invalid amount",IF(OR(AND(K517="sale",N517&lt;=0),AND(K517="refund",N517&gt;=0)),"invalid sign","")))))))))</f>
        <v/>
      </c>
      <c r="U517" s="1" t="str">
        <f t="shared" si="61"/>
        <v>INCLUDED</v>
      </c>
      <c r="V517" s="1" t="str">
        <f t="shared" si="62"/>
        <v>2026-03</v>
      </c>
      <c r="W517" s="1">
        <f>IF(AND(U517="INCLUDED",X517&gt;0,EXACT(A517,'AI output'!A517)),1,0)</f>
        <v>1</v>
      </c>
      <c r="X517" s="1">
        <f>517</f>
        <v>517</v>
      </c>
      <c r="Y517" s="1">
        <f>IF(AND(U517="INCLUDED",W517=1),--(NOT(EXACT(A517,'AI output'!A517)))+--(NOT(EXACT(B517,'AI output'!B517)))+--(NOT(EXACT(TEXT(G517,"yyyy-mm-dd"),'AI output'!C517)))+--(NOT(EXACT(H517,'AI output'!D517)))+--(NOT(EXACT(J517,'AI output'!E517)))+--(NOT(EXACT(K517,'AI output'!F517)))+--(N517&lt;&gt;'AI output'!L517)+--(NOT('AI output'!M517)),0)</f>
        <v>0</v>
      </c>
      <c r="Z517" s="1">
        <f t="shared" si="63"/>
        <v>0</v>
      </c>
      <c r="AA517" s="1">
        <f>--EXACT(A517,"L00511")</f>
        <v>1</v>
      </c>
    </row>
    <row r="518" spans="1:27" ht="18.95" customHeight="1">
      <c r="A518" s="1" t="str">
        <f>IF(Raw!A518="","",Raw!A518)</f>
        <v>L00512</v>
      </c>
      <c r="B518" s="1" t="str">
        <f>IF(Raw!B518="","",Raw!B518)</f>
        <v>T00256</v>
      </c>
      <c r="C518" s="1" t="str">
        <f>IF(Raw!C518="","",Raw!C518)</f>
        <v>2026-03-17</v>
      </c>
      <c r="D518" s="1">
        <f t="shared" si="56"/>
        <v>2026</v>
      </c>
      <c r="E518" s="1">
        <f>IFERROR(IF(AND(LEN(C518)=10,MID(C518,5,1)="-",MID(C518,8,1)="-"),VALUE(MID(C518,6,2)),IF(AND(LEN(C518)=11,MID(C518,3,1)="-",MID(C518,7,1)="-"),MATCH(UPPER(MID(C518,4,3)),Guide!$D$7:$D$18,0),0)),0)</f>
        <v>3</v>
      </c>
      <c r="F518" s="1">
        <f t="shared" si="57"/>
        <v>17</v>
      </c>
      <c r="G518" s="9">
        <f t="shared" si="58"/>
        <v>46098</v>
      </c>
      <c r="H518" s="1" t="str">
        <f>IF(Raw!D518="","",Raw!D518)</f>
        <v>P-H</v>
      </c>
      <c r="I518" s="1" t="str">
        <f>IFERROR(IF(EXACT(H518,INDEX(Guide!$A$7:$A$9,MATCH(SUBSTITUTE(SUBSTITUTE(SUBSTITUTE(H518,"~","~~"),"*","~*"),"?","~?"),Guide!$A$7:$A$9,0))),INDEX(Guide!$B$7:$B$9,MATCH(SUBSTITUTE(SUBSTITUTE(SUBSTITUTE(H518,"~","~~"),"*","~*"),"?","~?"),Guide!$A$7:$A$9,0)),""),"")</f>
        <v>Home</v>
      </c>
      <c r="J518" s="1" t="str">
        <f>IF(TRIM(Raw!E518)="",I518,IF(UPPER(TRIM(Raw!E518))=UPPER(I518),I518,""))</f>
        <v>Home</v>
      </c>
      <c r="K518" s="1" t="str">
        <f>IF(Raw!F518="","",Raw!F518)</f>
        <v>sale</v>
      </c>
      <c r="L518" s="1" t="str">
        <f>IF(LEFT(TRIM(Raw!G518),2)="-$","-"&amp;MID(TRIM(Raw!G518),3,99),IF(LEFT(TRIM(Raw!G518),1)="$",MID(TRIM(Raw!G518),2,99),TRIM(Raw!G518)))</f>
        <v>222.18</v>
      </c>
      <c r="M518" s="1">
        <f t="shared" si="59"/>
        <v>222.18</v>
      </c>
      <c r="N518" s="10">
        <f t="shared" si="60"/>
        <v>22218</v>
      </c>
      <c r="O518" s="1" t="b">
        <f>IFERROR(IF(ISNUMBER(Raw!G518),TRUE,OR(EXACT(L518,TEXT(M518,"0.00")),EXACT(L518,TEXT(M518,"#,##0.00")))),FALSE)</f>
        <v>1</v>
      </c>
      <c r="P518" s="1" t="str">
        <f>LEN(IF(Raw!A518="","",Raw!A518))&amp;":"&amp;IF(Raw!A518="","",Raw!A518)&amp;"|"&amp;LEN(IF(Raw!B518="","",Raw!B518))&amp;":"&amp;IF(Raw!B518="","",Raw!B518)&amp;"|"&amp;LEN(IF(Raw!C518="","",Raw!C518))&amp;":"&amp;IF(Raw!C518="","",Raw!C518)&amp;"|"&amp;LEN(IF(Raw!D518="","",Raw!D518))&amp;":"&amp;IF(Raw!D518="","",Raw!D518)&amp;"|"&amp;LEN(IF(Raw!E518="","",Raw!E518))&amp;":"&amp;IF(Raw!E518="","",Raw!E518)&amp;"|"&amp;LEN(IF(Raw!F518="","",Raw!F518))&amp;":"&amp;IF(Raw!F518="","",Raw!F518)&amp;"|"&amp;LEN(IF(Raw!G518="","",Raw!G518))&amp;":"&amp;IF(Raw!G518="","",Raw!G518)</f>
        <v>6:L00512|6:T00256|10:2026-03-17|3:P-H|4:Home|4:sale|6:222.18</v>
      </c>
      <c r="Q518" s="1">
        <f>1</f>
        <v>1</v>
      </c>
      <c r="R518" s="1" t="b">
        <f>FALSE</f>
        <v>0</v>
      </c>
      <c r="S518" s="1">
        <f>1</f>
        <v>1</v>
      </c>
      <c r="T518" s="1" t="str">
        <f>IF(AND(Raw!A518="",Raw!B518="",Raw!C518="",Raw!D518="",Raw!E518="",Raw!F518="",Raw!G518=""),"UNUSED",IF(A518="","missing line ID",IF(B518="","missing transaction ID",IF(G518="",IF(C518="","missing date","invalid date"),IF(I518="","unknown product",IF(J518="","conflicting category",IF(NOT(OR(EXACT(K518,"sale"),EXACT(K518,"refund"))),"unknown event",IF(OR(N518="",NOT(O518)),"invalid amount",IF(OR(AND(K518="sale",N518&lt;=0),AND(K518="refund",N518&gt;=0)),"invalid sign","")))))))))</f>
        <v/>
      </c>
      <c r="U518" s="1" t="str">
        <f t="shared" si="61"/>
        <v>INCLUDED</v>
      </c>
      <c r="V518" s="1" t="str">
        <f t="shared" si="62"/>
        <v>2026-03</v>
      </c>
      <c r="W518" s="1">
        <f>IF(AND(U518="INCLUDED",X518&gt;0,EXACT(A518,'AI output'!A518)),1,0)</f>
        <v>1</v>
      </c>
      <c r="X518" s="1">
        <f>518</f>
        <v>518</v>
      </c>
      <c r="Y518" s="1">
        <f>IF(AND(U518="INCLUDED",W518=1),--(NOT(EXACT(A518,'AI output'!A518)))+--(NOT(EXACT(B518,'AI output'!B518)))+--(NOT(EXACT(TEXT(G518,"yyyy-mm-dd"),'AI output'!C518)))+--(NOT(EXACT(H518,'AI output'!D518)))+--(NOT(EXACT(J518,'AI output'!E518)))+--(NOT(EXACT(K518,'AI output'!F518)))+--(N518&lt;&gt;'AI output'!L518)+--(NOT('AI output'!M518)),0)</f>
        <v>0</v>
      </c>
      <c r="Z518" s="1">
        <f t="shared" si="63"/>
        <v>0</v>
      </c>
      <c r="AA518" s="1">
        <f>--EXACT(A518,"L00512")</f>
        <v>1</v>
      </c>
    </row>
    <row r="519" spans="1:27" ht="18.95" customHeight="1">
      <c r="A519" s="1" t="str">
        <f>IF(Raw!A519="","",Raw!A519)</f>
        <v>L00513</v>
      </c>
      <c r="B519" s="1" t="str">
        <f>IF(Raw!B519="","",Raw!B519)</f>
        <v>T00257</v>
      </c>
      <c r="C519" s="1" t="str">
        <f>IF(Raw!C519="","",Raw!C519)</f>
        <v>2026-03-24</v>
      </c>
      <c r="D519" s="1">
        <f t="shared" ref="D519:D582" si="64">IFERROR(IF(AND(LEN(C519)=10,MID(C519,5,1)="-",MID(C519,8,1)="-"),VALUE(LEFT(C519,4)),IF(AND(LEN(C519)=11,MID(C519,3,1)="-",MID(C519,7,1)="-"),VALUE(RIGHT(C519,4)),0)),0)</f>
        <v>2026</v>
      </c>
      <c r="E519" s="1">
        <f>IFERROR(IF(AND(LEN(C519)=10,MID(C519,5,1)="-",MID(C519,8,1)="-"),VALUE(MID(C519,6,2)),IF(AND(LEN(C519)=11,MID(C519,3,1)="-",MID(C519,7,1)="-"),MATCH(UPPER(MID(C519,4,3)),Guide!$D$7:$D$18,0),0)),0)</f>
        <v>3</v>
      </c>
      <c r="F519" s="1">
        <f t="shared" ref="F519:F582" si="65">IFERROR(IF(AND(LEN(C519)=10,MID(C519,5,1)="-",MID(C519,8,1)="-"),VALUE(RIGHT(C519,2)),IF(AND(LEN(C519)=11,MID(C519,3,1)="-",MID(C519,7,1)="-"),VALUE(LEFT(C519,2)),0)),0)</f>
        <v>24</v>
      </c>
      <c r="G519" s="9">
        <f t="shared" ref="G519:G582" si="66">IFERROR(IF(AND(D519&gt;=1900,D519&lt;=9999,YEAR(DATE(D519,E519,F519))=D519,MONTH(DATE(D519,E519,F519))=E519,DAY(DATE(D519,E519,F519))=F519),DATE(D519,E519,F519),""),"")</f>
        <v>46105</v>
      </c>
      <c r="H519" s="1" t="str">
        <f>IF(Raw!D519="","",Raw!D519)</f>
        <v>P-O</v>
      </c>
      <c r="I519" s="1" t="str">
        <f>IFERROR(IF(EXACT(H519,INDEX(Guide!$A$7:$A$9,MATCH(SUBSTITUTE(SUBSTITUTE(SUBSTITUTE(H519,"~","~~"),"*","~*"),"?","~?"),Guide!$A$7:$A$9,0))),INDEX(Guide!$B$7:$B$9,MATCH(SUBSTITUTE(SUBSTITUTE(SUBSTITUTE(H519,"~","~~"),"*","~*"),"?","~?"),Guide!$A$7:$A$9,0)),""),"")</f>
        <v>Office</v>
      </c>
      <c r="J519" s="1" t="str">
        <f>IF(TRIM(Raw!E519)="",I519,IF(UPPER(TRIM(Raw!E519))=UPPER(I519),I519,""))</f>
        <v>Office</v>
      </c>
      <c r="K519" s="1" t="str">
        <f>IF(Raw!F519="","",Raw!F519)</f>
        <v>sale</v>
      </c>
      <c r="L519" s="1" t="str">
        <f>IF(LEFT(TRIM(Raw!G519),2)="-$","-"&amp;MID(TRIM(Raw!G519),3,99),IF(LEFT(TRIM(Raw!G519),1)="$",MID(TRIM(Raw!G519),2,99),TRIM(Raw!G519)))</f>
        <v>372.15</v>
      </c>
      <c r="M519" s="1">
        <f t="shared" ref="M519:M582" si="67">IFERROR(VALUE(L519),"")</f>
        <v>372.15</v>
      </c>
      <c r="N519" s="10">
        <f t="shared" ref="N519:N582" si="68">IF(AND(ISNUMBER(M519),ABS(M519*100-ROUND(M519*100,0))&lt;0.0000001),ROUND(M519*100,0),"")</f>
        <v>37215</v>
      </c>
      <c r="O519" s="1" t="b">
        <f>IFERROR(IF(ISNUMBER(Raw!G519),TRUE,OR(EXACT(L519,TEXT(M519,"0.00")),EXACT(L519,TEXT(M519,"#,##0.00")))),FALSE)</f>
        <v>1</v>
      </c>
      <c r="P519" s="1" t="str">
        <f>LEN(IF(Raw!A519="","",Raw!A519))&amp;":"&amp;IF(Raw!A519="","",Raw!A519)&amp;"|"&amp;LEN(IF(Raw!B519="","",Raw!B519))&amp;":"&amp;IF(Raw!B519="","",Raw!B519)&amp;"|"&amp;LEN(IF(Raw!C519="","",Raw!C519))&amp;":"&amp;IF(Raw!C519="","",Raw!C519)&amp;"|"&amp;LEN(IF(Raw!D519="","",Raw!D519))&amp;":"&amp;IF(Raw!D519="","",Raw!D519)&amp;"|"&amp;LEN(IF(Raw!E519="","",Raw!E519))&amp;":"&amp;IF(Raw!E519="","",Raw!E519)&amp;"|"&amp;LEN(IF(Raw!F519="","",Raw!F519))&amp;":"&amp;IF(Raw!F519="","",Raw!F519)&amp;"|"&amp;LEN(IF(Raw!G519="","",Raw!G519))&amp;":"&amp;IF(Raw!G519="","",Raw!G519)</f>
        <v>6:L00513|6:T00257|10:2026-03-24|3:P-O|6:Office|4:sale|6:372.15</v>
      </c>
      <c r="Q519" s="1">
        <f>1</f>
        <v>1</v>
      </c>
      <c r="R519" s="1" t="b">
        <f>FALSE</f>
        <v>0</v>
      </c>
      <c r="S519" s="1">
        <f>1</f>
        <v>1</v>
      </c>
      <c r="T519" s="1" t="str">
        <f>IF(AND(Raw!A519="",Raw!B519="",Raw!C519="",Raw!D519="",Raw!E519="",Raw!F519="",Raw!G519=""),"UNUSED",IF(A519="","missing line ID",IF(B519="","missing transaction ID",IF(G519="",IF(C519="","missing date","invalid date"),IF(I519="","unknown product",IF(J519="","conflicting category",IF(NOT(OR(EXACT(K519,"sale"),EXACT(K519,"refund"))),"unknown event",IF(OR(N519="",NOT(O519)),"invalid amount",IF(OR(AND(K519="sale",N519&lt;=0),AND(K519="refund",N519&gt;=0)),"invalid sign","")))))))))</f>
        <v/>
      </c>
      <c r="U519" s="1" t="str">
        <f t="shared" ref="U519:U582" si="69">IF(T519="UNUSED","UNUSED",IF(R519,"QUARANTINE",IF(S519&gt;1,"DUPLICATE",IF(T519&lt;&gt;"","QUARANTINE","INCLUDED"))))</f>
        <v>INCLUDED</v>
      </c>
      <c r="V519" s="1" t="str">
        <f t="shared" ref="V519:V582" si="70">IF(G519="","",TEXT(G519,"yyyy-mm"))</f>
        <v>2026-03</v>
      </c>
      <c r="W519" s="1">
        <f>IF(AND(U519="INCLUDED",X519&gt;0,EXACT(A519,'AI output'!A519)),1,0)</f>
        <v>1</v>
      </c>
      <c r="X519" s="1">
        <f>519</f>
        <v>519</v>
      </c>
      <c r="Y519" s="1">
        <f>IF(AND(U519="INCLUDED",W519=1),--(NOT(EXACT(A519,'AI output'!A519)))+--(NOT(EXACT(B519,'AI output'!B519)))+--(NOT(EXACT(TEXT(G519,"yyyy-mm-dd"),'AI output'!C519)))+--(NOT(EXACT(H519,'AI output'!D519)))+--(NOT(EXACT(J519,'AI output'!E519)))+--(NOT(EXACT(K519,'AI output'!F519)))+--(N519&lt;&gt;'AI output'!L519)+--(NOT('AI output'!M519)),0)</f>
        <v>0</v>
      </c>
      <c r="Z519" s="1">
        <f t="shared" ref="Z519:Z582" si="71">IF(U519="INCLUDED",IF(OR(W519&lt;&gt;1,Y519&lt;&gt;0),1,0),0)</f>
        <v>0</v>
      </c>
      <c r="AA519" s="1">
        <f>--EXACT(A519,"L00513")</f>
        <v>1</v>
      </c>
    </row>
    <row r="520" spans="1:27" ht="18.95" customHeight="1">
      <c r="A520" s="1" t="str">
        <f>IF(Raw!A520="","",Raw!A520)</f>
        <v>L00514</v>
      </c>
      <c r="B520" s="1" t="str">
        <f>IF(Raw!B520="","",Raw!B520)</f>
        <v>T00257</v>
      </c>
      <c r="C520" s="1" t="str">
        <f>IF(Raw!C520="","",Raw!C520)</f>
        <v>2026-03-24</v>
      </c>
      <c r="D520" s="1">
        <f t="shared" si="64"/>
        <v>2026</v>
      </c>
      <c r="E520" s="1">
        <f>IFERROR(IF(AND(LEN(C520)=10,MID(C520,5,1)="-",MID(C520,8,1)="-"),VALUE(MID(C520,6,2)),IF(AND(LEN(C520)=11,MID(C520,3,1)="-",MID(C520,7,1)="-"),MATCH(UPPER(MID(C520,4,3)),Guide!$D$7:$D$18,0),0)),0)</f>
        <v>3</v>
      </c>
      <c r="F520" s="1">
        <f t="shared" si="65"/>
        <v>24</v>
      </c>
      <c r="G520" s="9">
        <f t="shared" si="66"/>
        <v>46105</v>
      </c>
      <c r="H520" s="1" t="str">
        <f>IF(Raw!D520="","",Raw!D520)</f>
        <v>P-A</v>
      </c>
      <c r="I520" s="1" t="str">
        <f>IFERROR(IF(EXACT(H520,INDEX(Guide!$A$7:$A$9,MATCH(SUBSTITUTE(SUBSTITUTE(SUBSTITUTE(H520,"~","~~"),"*","~*"),"?","~?"),Guide!$A$7:$A$9,0))),INDEX(Guide!$B$7:$B$9,MATCH(SUBSTITUTE(SUBSTITUTE(SUBSTITUTE(H520,"~","~~"),"*","~*"),"?","~?"),Guide!$A$7:$A$9,0)),""),"")</f>
        <v>Accessories</v>
      </c>
      <c r="J520" s="1" t="str">
        <f>IF(TRIM(Raw!E520)="",I520,IF(UPPER(TRIM(Raw!E520))=UPPER(I520),I520,""))</f>
        <v>Accessories</v>
      </c>
      <c r="K520" s="1" t="str">
        <f>IF(Raw!F520="","",Raw!F520)</f>
        <v>sale</v>
      </c>
      <c r="L520" s="1" t="str">
        <f>IF(LEFT(TRIM(Raw!G520),2)="-$","-"&amp;MID(TRIM(Raw!G520),3,99),IF(LEFT(TRIM(Raw!G520),1)="$",MID(TRIM(Raw!G520),2,99),TRIM(Raw!G520)))</f>
        <v>149.60</v>
      </c>
      <c r="M520" s="1">
        <f t="shared" si="67"/>
        <v>149.6</v>
      </c>
      <c r="N520" s="10">
        <f t="shared" si="68"/>
        <v>14960</v>
      </c>
      <c r="O520" s="1" t="b">
        <f>IFERROR(IF(ISNUMBER(Raw!G520),TRUE,OR(EXACT(L520,TEXT(M520,"0.00")),EXACT(L520,TEXT(M520,"#,##0.00")))),FALSE)</f>
        <v>1</v>
      </c>
      <c r="P520" s="1" t="str">
        <f>LEN(IF(Raw!A520="","",Raw!A520))&amp;":"&amp;IF(Raw!A520="","",Raw!A520)&amp;"|"&amp;LEN(IF(Raw!B520="","",Raw!B520))&amp;":"&amp;IF(Raw!B520="","",Raw!B520)&amp;"|"&amp;LEN(IF(Raw!C520="","",Raw!C520))&amp;":"&amp;IF(Raw!C520="","",Raw!C520)&amp;"|"&amp;LEN(IF(Raw!D520="","",Raw!D520))&amp;":"&amp;IF(Raw!D520="","",Raw!D520)&amp;"|"&amp;LEN(IF(Raw!E520="","",Raw!E520))&amp;":"&amp;IF(Raw!E520="","",Raw!E520)&amp;"|"&amp;LEN(IF(Raw!F520="","",Raw!F520))&amp;":"&amp;IF(Raw!F520="","",Raw!F520)&amp;"|"&amp;LEN(IF(Raw!G520="","",Raw!G520))&amp;":"&amp;IF(Raw!G520="","",Raw!G520)</f>
        <v>6:L00514|6:T00257|10:2026-03-24|3:P-A|11:Accessories|4:sale|6:149.60</v>
      </c>
      <c r="Q520" s="1">
        <f>1</f>
        <v>1</v>
      </c>
      <c r="R520" s="1" t="b">
        <f>FALSE</f>
        <v>0</v>
      </c>
      <c r="S520" s="1">
        <f>1</f>
        <v>1</v>
      </c>
      <c r="T520" s="1" t="str">
        <f>IF(AND(Raw!A520="",Raw!B520="",Raw!C520="",Raw!D520="",Raw!E520="",Raw!F520="",Raw!G520=""),"UNUSED",IF(A520="","missing line ID",IF(B520="","missing transaction ID",IF(G520="",IF(C520="","missing date","invalid date"),IF(I520="","unknown product",IF(J520="","conflicting category",IF(NOT(OR(EXACT(K520,"sale"),EXACT(K520,"refund"))),"unknown event",IF(OR(N520="",NOT(O520)),"invalid amount",IF(OR(AND(K520="sale",N520&lt;=0),AND(K520="refund",N520&gt;=0)),"invalid sign","")))))))))</f>
        <v/>
      </c>
      <c r="U520" s="1" t="str">
        <f t="shared" si="69"/>
        <v>INCLUDED</v>
      </c>
      <c r="V520" s="1" t="str">
        <f t="shared" si="70"/>
        <v>2026-03</v>
      </c>
      <c r="W520" s="1">
        <f>IF(AND(U520="INCLUDED",X520&gt;0,EXACT(A520,'AI output'!A520)),1,0)</f>
        <v>1</v>
      </c>
      <c r="X520" s="1">
        <f>520</f>
        <v>520</v>
      </c>
      <c r="Y520" s="1">
        <f>IF(AND(U520="INCLUDED",W520=1),--(NOT(EXACT(A520,'AI output'!A520)))+--(NOT(EXACT(B520,'AI output'!B520)))+--(NOT(EXACT(TEXT(G520,"yyyy-mm-dd"),'AI output'!C520)))+--(NOT(EXACT(H520,'AI output'!D520)))+--(NOT(EXACT(J520,'AI output'!E520)))+--(NOT(EXACT(K520,'AI output'!F520)))+--(N520&lt;&gt;'AI output'!L520)+--(NOT('AI output'!M520)),0)</f>
        <v>0</v>
      </c>
      <c r="Z520" s="1">
        <f t="shared" si="71"/>
        <v>0</v>
      </c>
      <c r="AA520" s="1">
        <f>--EXACT(A520,"L00514")</f>
        <v>1</v>
      </c>
    </row>
    <row r="521" spans="1:27" ht="18.95" customHeight="1">
      <c r="A521" s="1" t="str">
        <f>IF(Raw!A521="","",Raw!A521)</f>
        <v>L00515</v>
      </c>
      <c r="B521" s="1" t="str">
        <f>IF(Raw!B521="","",Raw!B521)</f>
        <v>T00258</v>
      </c>
      <c r="C521" s="1" t="str">
        <f>IF(Raw!C521="","",Raw!C521)</f>
        <v>2026-03-31</v>
      </c>
      <c r="D521" s="1">
        <f t="shared" si="64"/>
        <v>2026</v>
      </c>
      <c r="E521" s="1">
        <f>IFERROR(IF(AND(LEN(C521)=10,MID(C521,5,1)="-",MID(C521,8,1)="-"),VALUE(MID(C521,6,2)),IF(AND(LEN(C521)=11,MID(C521,3,1)="-",MID(C521,7,1)="-"),MATCH(UPPER(MID(C521,4,3)),Guide!$D$7:$D$18,0),0)),0)</f>
        <v>3</v>
      </c>
      <c r="F521" s="1">
        <f t="shared" si="65"/>
        <v>31</v>
      </c>
      <c r="G521" s="9">
        <f t="shared" si="66"/>
        <v>46112</v>
      </c>
      <c r="H521" s="1" t="str">
        <f>IF(Raw!D521="","",Raw!D521)</f>
        <v>P-H</v>
      </c>
      <c r="I521" s="1" t="str">
        <f>IFERROR(IF(EXACT(H521,INDEX(Guide!$A$7:$A$9,MATCH(SUBSTITUTE(SUBSTITUTE(SUBSTITUTE(H521,"~","~~"),"*","~*"),"?","~?"),Guide!$A$7:$A$9,0))),INDEX(Guide!$B$7:$B$9,MATCH(SUBSTITUTE(SUBSTITUTE(SUBSTITUTE(H521,"~","~~"),"*","~*"),"?","~?"),Guide!$A$7:$A$9,0)),""),"")</f>
        <v>Home</v>
      </c>
      <c r="J521" s="1" t="str">
        <f>IF(TRIM(Raw!E521)="",I521,IF(UPPER(TRIM(Raw!E521))=UPPER(I521),I521,""))</f>
        <v>Home</v>
      </c>
      <c r="K521" s="1" t="str">
        <f>IF(Raw!F521="","",Raw!F521)</f>
        <v>sale</v>
      </c>
      <c r="L521" s="1" t="str">
        <f>IF(LEFT(TRIM(Raw!G521),2)="-$","-"&amp;MID(TRIM(Raw!G521),3,99),IF(LEFT(TRIM(Raw!G521),1)="$",MID(TRIM(Raw!G521),2,99),TRIM(Raw!G521)))</f>
        <v>300.68</v>
      </c>
      <c r="M521" s="1">
        <f t="shared" si="67"/>
        <v>300.68</v>
      </c>
      <c r="N521" s="10">
        <f t="shared" si="68"/>
        <v>30068</v>
      </c>
      <c r="O521" s="1" t="b">
        <f>IFERROR(IF(ISNUMBER(Raw!G521),TRUE,OR(EXACT(L521,TEXT(M521,"0.00")),EXACT(L521,TEXT(M521,"#,##0.00")))),FALSE)</f>
        <v>1</v>
      </c>
      <c r="P521" s="1" t="str">
        <f>LEN(IF(Raw!A521="","",Raw!A521))&amp;":"&amp;IF(Raw!A521="","",Raw!A521)&amp;"|"&amp;LEN(IF(Raw!B521="","",Raw!B521))&amp;":"&amp;IF(Raw!B521="","",Raw!B521)&amp;"|"&amp;LEN(IF(Raw!C521="","",Raw!C521))&amp;":"&amp;IF(Raw!C521="","",Raw!C521)&amp;"|"&amp;LEN(IF(Raw!D521="","",Raw!D521))&amp;":"&amp;IF(Raw!D521="","",Raw!D521)&amp;"|"&amp;LEN(IF(Raw!E521="","",Raw!E521))&amp;":"&amp;IF(Raw!E521="","",Raw!E521)&amp;"|"&amp;LEN(IF(Raw!F521="","",Raw!F521))&amp;":"&amp;IF(Raw!F521="","",Raw!F521)&amp;"|"&amp;LEN(IF(Raw!G521="","",Raw!G521))&amp;":"&amp;IF(Raw!G521="","",Raw!G521)</f>
        <v>6:L00515|6:T00258|10:2026-03-31|3:P-H|4:Home|4:sale|6:300.68</v>
      </c>
      <c r="Q521" s="1">
        <f>1</f>
        <v>1</v>
      </c>
      <c r="R521" s="1" t="b">
        <f>FALSE</f>
        <v>0</v>
      </c>
      <c r="S521" s="1">
        <f>1</f>
        <v>1</v>
      </c>
      <c r="T521" s="1" t="str">
        <f>IF(AND(Raw!A521="",Raw!B521="",Raw!C521="",Raw!D521="",Raw!E521="",Raw!F521="",Raw!G521=""),"UNUSED",IF(A521="","missing line ID",IF(B521="","missing transaction ID",IF(G521="",IF(C521="","missing date","invalid date"),IF(I521="","unknown product",IF(J521="","conflicting category",IF(NOT(OR(EXACT(K521,"sale"),EXACT(K521,"refund"))),"unknown event",IF(OR(N521="",NOT(O521)),"invalid amount",IF(OR(AND(K521="sale",N521&lt;=0),AND(K521="refund",N521&gt;=0)),"invalid sign","")))))))))</f>
        <v/>
      </c>
      <c r="U521" s="1" t="str">
        <f t="shared" si="69"/>
        <v>INCLUDED</v>
      </c>
      <c r="V521" s="1" t="str">
        <f t="shared" si="70"/>
        <v>2026-03</v>
      </c>
      <c r="W521" s="1">
        <f>IF(AND(U521="INCLUDED",X521&gt;0,EXACT(A521,'AI output'!A521)),1,0)</f>
        <v>1</v>
      </c>
      <c r="X521" s="1">
        <f>521</f>
        <v>521</v>
      </c>
      <c r="Y521" s="1">
        <f>IF(AND(U521="INCLUDED",W521=1),--(NOT(EXACT(A521,'AI output'!A521)))+--(NOT(EXACT(B521,'AI output'!B521)))+--(NOT(EXACT(TEXT(G521,"yyyy-mm-dd"),'AI output'!C521)))+--(NOT(EXACT(H521,'AI output'!D521)))+--(NOT(EXACT(J521,'AI output'!E521)))+--(NOT(EXACT(K521,'AI output'!F521)))+--(N521&lt;&gt;'AI output'!L521)+--(NOT('AI output'!M521)),0)</f>
        <v>0</v>
      </c>
      <c r="Z521" s="1">
        <f t="shared" si="71"/>
        <v>0</v>
      </c>
      <c r="AA521" s="1">
        <f>--EXACT(A521,"L00515")</f>
        <v>1</v>
      </c>
    </row>
    <row r="522" spans="1:27" ht="18.95" customHeight="1">
      <c r="A522" s="1" t="str">
        <f>IF(Raw!A522="","",Raw!A522)</f>
        <v>L00516</v>
      </c>
      <c r="B522" s="1" t="str">
        <f>IF(Raw!B522="","",Raw!B522)</f>
        <v>T00258</v>
      </c>
      <c r="C522" s="1" t="str">
        <f>IF(Raw!C522="","",Raw!C522)</f>
        <v>2026-03-31</v>
      </c>
      <c r="D522" s="1">
        <f t="shared" si="64"/>
        <v>2026</v>
      </c>
      <c r="E522" s="1">
        <f>IFERROR(IF(AND(LEN(C522)=10,MID(C522,5,1)="-",MID(C522,8,1)="-"),VALUE(MID(C522,6,2)),IF(AND(LEN(C522)=11,MID(C522,3,1)="-",MID(C522,7,1)="-"),MATCH(UPPER(MID(C522,4,3)),Guide!$D$7:$D$18,0),0)),0)</f>
        <v>3</v>
      </c>
      <c r="F522" s="1">
        <f t="shared" si="65"/>
        <v>31</v>
      </c>
      <c r="G522" s="9">
        <f t="shared" si="66"/>
        <v>46112</v>
      </c>
      <c r="H522" s="1" t="str">
        <f>IF(Raw!D522="","",Raw!D522)</f>
        <v>P-O</v>
      </c>
      <c r="I522" s="1" t="str">
        <f>IFERROR(IF(EXACT(H522,INDEX(Guide!$A$7:$A$9,MATCH(SUBSTITUTE(SUBSTITUTE(SUBSTITUTE(H522,"~","~~"),"*","~*"),"?","~?"),Guide!$A$7:$A$9,0))),INDEX(Guide!$B$7:$B$9,MATCH(SUBSTITUTE(SUBSTITUTE(SUBSTITUTE(H522,"~","~~"),"*","~*"),"?","~?"),Guide!$A$7:$A$9,0)),""),"")</f>
        <v>Office</v>
      </c>
      <c r="J522" s="1" t="str">
        <f>IF(TRIM(Raw!E522)="",I522,IF(UPPER(TRIM(Raw!E522))=UPPER(I522),I522,""))</f>
        <v>Office</v>
      </c>
      <c r="K522" s="1" t="str">
        <f>IF(Raw!F522="","",Raw!F522)</f>
        <v>sale</v>
      </c>
      <c r="L522" s="1" t="str">
        <f>IF(LEFT(TRIM(Raw!G522),2)="-$","-"&amp;MID(TRIM(Raw!G522),3,99),IF(LEFT(TRIM(Raw!G522),1)="$",MID(TRIM(Raw!G522),2,99),TRIM(Raw!G522)))</f>
        <v>75.54</v>
      </c>
      <c r="M522" s="1">
        <f t="shared" si="67"/>
        <v>75.540000000000006</v>
      </c>
      <c r="N522" s="10">
        <f t="shared" si="68"/>
        <v>7554</v>
      </c>
      <c r="O522" s="1" t="b">
        <f>IFERROR(IF(ISNUMBER(Raw!G522),TRUE,OR(EXACT(L522,TEXT(M522,"0.00")),EXACT(L522,TEXT(M522,"#,##0.00")))),FALSE)</f>
        <v>1</v>
      </c>
      <c r="P522" s="1" t="str">
        <f>LEN(IF(Raw!A522="","",Raw!A522))&amp;":"&amp;IF(Raw!A522="","",Raw!A522)&amp;"|"&amp;LEN(IF(Raw!B522="","",Raw!B522))&amp;":"&amp;IF(Raw!B522="","",Raw!B522)&amp;"|"&amp;LEN(IF(Raw!C522="","",Raw!C522))&amp;":"&amp;IF(Raw!C522="","",Raw!C522)&amp;"|"&amp;LEN(IF(Raw!D522="","",Raw!D522))&amp;":"&amp;IF(Raw!D522="","",Raw!D522)&amp;"|"&amp;LEN(IF(Raw!E522="","",Raw!E522))&amp;":"&amp;IF(Raw!E522="","",Raw!E522)&amp;"|"&amp;LEN(IF(Raw!F522="","",Raw!F522))&amp;":"&amp;IF(Raw!F522="","",Raw!F522)&amp;"|"&amp;LEN(IF(Raw!G522="","",Raw!G522))&amp;":"&amp;IF(Raw!G522="","",Raw!G522)</f>
        <v>6:L00516|6:T00258|10:2026-03-31|3:P-O|6:Office|4:sale|5:75.54</v>
      </c>
      <c r="Q522" s="1">
        <f>1</f>
        <v>1</v>
      </c>
      <c r="R522" s="1" t="b">
        <f>FALSE</f>
        <v>0</v>
      </c>
      <c r="S522" s="1">
        <f>1</f>
        <v>1</v>
      </c>
      <c r="T522" s="1" t="str">
        <f>IF(AND(Raw!A522="",Raw!B522="",Raw!C522="",Raw!D522="",Raw!E522="",Raw!F522="",Raw!G522=""),"UNUSED",IF(A522="","missing line ID",IF(B522="","missing transaction ID",IF(G522="",IF(C522="","missing date","invalid date"),IF(I522="","unknown product",IF(J522="","conflicting category",IF(NOT(OR(EXACT(K522,"sale"),EXACT(K522,"refund"))),"unknown event",IF(OR(N522="",NOT(O522)),"invalid amount",IF(OR(AND(K522="sale",N522&lt;=0),AND(K522="refund",N522&gt;=0)),"invalid sign","")))))))))</f>
        <v/>
      </c>
      <c r="U522" s="1" t="str">
        <f t="shared" si="69"/>
        <v>INCLUDED</v>
      </c>
      <c r="V522" s="1" t="str">
        <f t="shared" si="70"/>
        <v>2026-03</v>
      </c>
      <c r="W522" s="1">
        <f>IF(AND(U522="INCLUDED",X522&gt;0,EXACT(A522,'AI output'!A522)),1,0)</f>
        <v>1</v>
      </c>
      <c r="X522" s="1">
        <f>522</f>
        <v>522</v>
      </c>
      <c r="Y522" s="1">
        <f>IF(AND(U522="INCLUDED",W522=1),--(NOT(EXACT(A522,'AI output'!A522)))+--(NOT(EXACT(B522,'AI output'!B522)))+--(NOT(EXACT(TEXT(G522,"yyyy-mm-dd"),'AI output'!C522)))+--(NOT(EXACT(H522,'AI output'!D522)))+--(NOT(EXACT(J522,'AI output'!E522)))+--(NOT(EXACT(K522,'AI output'!F522)))+--(N522&lt;&gt;'AI output'!L522)+--(NOT('AI output'!M522)),0)</f>
        <v>0</v>
      </c>
      <c r="Z522" s="1">
        <f t="shared" si="71"/>
        <v>0</v>
      </c>
      <c r="AA522" s="1">
        <f>--EXACT(A522,"L00516")</f>
        <v>1</v>
      </c>
    </row>
    <row r="523" spans="1:27" ht="18.95" customHeight="1">
      <c r="A523" s="1" t="str">
        <f>IF(Raw!A523="","",Raw!A523)</f>
        <v>L00517</v>
      </c>
      <c r="B523" s="1" t="str">
        <f>IF(Raw!B523="","",Raw!B523)</f>
        <v>T00259</v>
      </c>
      <c r="C523" s="1" t="str">
        <f>IF(Raw!C523="","",Raw!C523)</f>
        <v>2026-01-07</v>
      </c>
      <c r="D523" s="1">
        <f t="shared" si="64"/>
        <v>2026</v>
      </c>
      <c r="E523" s="1">
        <f>IFERROR(IF(AND(LEN(C523)=10,MID(C523,5,1)="-",MID(C523,8,1)="-"),VALUE(MID(C523,6,2)),IF(AND(LEN(C523)=11,MID(C523,3,1)="-",MID(C523,7,1)="-"),MATCH(UPPER(MID(C523,4,3)),Guide!$D$7:$D$18,0),0)),0)</f>
        <v>1</v>
      </c>
      <c r="F523" s="1">
        <f t="shared" si="65"/>
        <v>7</v>
      </c>
      <c r="G523" s="9">
        <f t="shared" si="66"/>
        <v>46029</v>
      </c>
      <c r="H523" s="1" t="str">
        <f>IF(Raw!D523="","",Raw!D523)</f>
        <v>P-A</v>
      </c>
      <c r="I523" s="1" t="str">
        <f>IFERROR(IF(EXACT(H523,INDEX(Guide!$A$7:$A$9,MATCH(SUBSTITUTE(SUBSTITUTE(SUBSTITUTE(H523,"~","~~"),"*","~*"),"?","~?"),Guide!$A$7:$A$9,0))),INDEX(Guide!$B$7:$B$9,MATCH(SUBSTITUTE(SUBSTITUTE(SUBSTITUTE(H523,"~","~~"),"*","~*"),"?","~?"),Guide!$A$7:$A$9,0)),""),"")</f>
        <v>Accessories</v>
      </c>
      <c r="J523" s="1" t="str">
        <f>IF(TRIM(Raw!E523)="",I523,IF(UPPER(TRIM(Raw!E523))=UPPER(I523),I523,""))</f>
        <v>Accessories</v>
      </c>
      <c r="K523" s="1" t="str">
        <f>IF(Raw!F523="","",Raw!F523)</f>
        <v>sale</v>
      </c>
      <c r="L523" s="1" t="str">
        <f>IF(LEFT(TRIM(Raw!G523),2)="-$","-"&amp;MID(TRIM(Raw!G523),3,99),IF(LEFT(TRIM(Raw!G523),1)="$",MID(TRIM(Raw!G523),2,99),TRIM(Raw!G523)))</f>
        <v>227.73</v>
      </c>
      <c r="M523" s="1">
        <f t="shared" si="67"/>
        <v>227.73</v>
      </c>
      <c r="N523" s="10">
        <f t="shared" si="68"/>
        <v>22773</v>
      </c>
      <c r="O523" s="1" t="b">
        <f>IFERROR(IF(ISNUMBER(Raw!G523),TRUE,OR(EXACT(L523,TEXT(M523,"0.00")),EXACT(L523,TEXT(M523,"#,##0.00")))),FALSE)</f>
        <v>1</v>
      </c>
      <c r="P523" s="1" t="str">
        <f>LEN(IF(Raw!A523="","",Raw!A523))&amp;":"&amp;IF(Raw!A523="","",Raw!A523)&amp;"|"&amp;LEN(IF(Raw!B523="","",Raw!B523))&amp;":"&amp;IF(Raw!B523="","",Raw!B523)&amp;"|"&amp;LEN(IF(Raw!C523="","",Raw!C523))&amp;":"&amp;IF(Raw!C523="","",Raw!C523)&amp;"|"&amp;LEN(IF(Raw!D523="","",Raw!D523))&amp;":"&amp;IF(Raw!D523="","",Raw!D523)&amp;"|"&amp;LEN(IF(Raw!E523="","",Raw!E523))&amp;":"&amp;IF(Raw!E523="","",Raw!E523)&amp;"|"&amp;LEN(IF(Raw!F523="","",Raw!F523))&amp;":"&amp;IF(Raw!F523="","",Raw!F523)&amp;"|"&amp;LEN(IF(Raw!G523="","",Raw!G523))&amp;":"&amp;IF(Raw!G523="","",Raw!G523)</f>
        <v>6:L00517|6:T00259|10:2026-01-07|3:P-A|11:Accessories|4:sale|6:227.73</v>
      </c>
      <c r="Q523" s="1">
        <f>1</f>
        <v>1</v>
      </c>
      <c r="R523" s="1" t="b">
        <f>FALSE</f>
        <v>0</v>
      </c>
      <c r="S523" s="1">
        <f>1</f>
        <v>1</v>
      </c>
      <c r="T523" s="1" t="str">
        <f>IF(AND(Raw!A523="",Raw!B523="",Raw!C523="",Raw!D523="",Raw!E523="",Raw!F523="",Raw!G523=""),"UNUSED",IF(A523="","missing line ID",IF(B523="","missing transaction ID",IF(G523="",IF(C523="","missing date","invalid date"),IF(I523="","unknown product",IF(J523="","conflicting category",IF(NOT(OR(EXACT(K523,"sale"),EXACT(K523,"refund"))),"unknown event",IF(OR(N523="",NOT(O523)),"invalid amount",IF(OR(AND(K523="sale",N523&lt;=0),AND(K523="refund",N523&gt;=0)),"invalid sign","")))))))))</f>
        <v/>
      </c>
      <c r="U523" s="1" t="str">
        <f t="shared" si="69"/>
        <v>INCLUDED</v>
      </c>
      <c r="V523" s="1" t="str">
        <f t="shared" si="70"/>
        <v>2026-01</v>
      </c>
      <c r="W523" s="1">
        <f>IF(AND(U523="INCLUDED",X523&gt;0,EXACT(A523,'AI output'!A523)),1,0)</f>
        <v>1</v>
      </c>
      <c r="X523" s="1">
        <f>523</f>
        <v>523</v>
      </c>
      <c r="Y523" s="1">
        <f>IF(AND(U523="INCLUDED",W523=1),--(NOT(EXACT(A523,'AI output'!A523)))+--(NOT(EXACT(B523,'AI output'!B523)))+--(NOT(EXACT(TEXT(G523,"yyyy-mm-dd"),'AI output'!C523)))+--(NOT(EXACT(H523,'AI output'!D523)))+--(NOT(EXACT(J523,'AI output'!E523)))+--(NOT(EXACT(K523,'AI output'!F523)))+--(N523&lt;&gt;'AI output'!L523)+--(NOT('AI output'!M523)),0)</f>
        <v>0</v>
      </c>
      <c r="Z523" s="1">
        <f t="shared" si="71"/>
        <v>0</v>
      </c>
      <c r="AA523" s="1">
        <f>--EXACT(A523,"L00517")</f>
        <v>1</v>
      </c>
    </row>
    <row r="524" spans="1:27" ht="18.95" customHeight="1">
      <c r="A524" s="1" t="str">
        <f>IF(Raw!A524="","",Raw!A524)</f>
        <v>L00518</v>
      </c>
      <c r="B524" s="1" t="str">
        <f>IF(Raw!B524="","",Raw!B524)</f>
        <v>T00259</v>
      </c>
      <c r="C524" s="1" t="str">
        <f>IF(Raw!C524="","",Raw!C524)</f>
        <v>2026-01-07</v>
      </c>
      <c r="D524" s="1">
        <f t="shared" si="64"/>
        <v>2026</v>
      </c>
      <c r="E524" s="1">
        <f>IFERROR(IF(AND(LEN(C524)=10,MID(C524,5,1)="-",MID(C524,8,1)="-"),VALUE(MID(C524,6,2)),IF(AND(LEN(C524)=11,MID(C524,3,1)="-",MID(C524,7,1)="-"),MATCH(UPPER(MID(C524,4,3)),Guide!$D$7:$D$18,0),0)),0)</f>
        <v>1</v>
      </c>
      <c r="F524" s="1">
        <f t="shared" si="65"/>
        <v>7</v>
      </c>
      <c r="G524" s="9">
        <f t="shared" si="66"/>
        <v>46029</v>
      </c>
      <c r="H524" s="1" t="str">
        <f>IF(Raw!D524="","",Raw!D524)</f>
        <v>P-H</v>
      </c>
      <c r="I524" s="1" t="str">
        <f>IFERROR(IF(EXACT(H524,INDEX(Guide!$A$7:$A$9,MATCH(SUBSTITUTE(SUBSTITUTE(SUBSTITUTE(H524,"~","~~"),"*","~*"),"?","~?"),Guide!$A$7:$A$9,0))),INDEX(Guide!$B$7:$B$9,MATCH(SUBSTITUTE(SUBSTITUTE(SUBSTITUTE(H524,"~","~~"),"*","~*"),"?","~?"),Guide!$A$7:$A$9,0)),""),"")</f>
        <v>Home</v>
      </c>
      <c r="J524" s="1" t="str">
        <f>IF(TRIM(Raw!E524)="",I524,IF(UPPER(TRIM(Raw!E524))=UPPER(I524),I524,""))</f>
        <v>Home</v>
      </c>
      <c r="K524" s="1" t="str">
        <f>IF(Raw!F524="","",Raw!F524)</f>
        <v>sale</v>
      </c>
      <c r="L524" s="1" t="str">
        <f>IF(LEFT(TRIM(Raw!G524),2)="-$","-"&amp;MID(TRIM(Raw!G524),3,99),IF(LEFT(TRIM(Raw!G524),1)="$",MID(TRIM(Raw!G524),2,99),TRIM(Raw!G524)))</f>
        <v>381.40</v>
      </c>
      <c r="M524" s="1">
        <f t="shared" si="67"/>
        <v>381.4</v>
      </c>
      <c r="N524" s="10">
        <f t="shared" si="68"/>
        <v>38140</v>
      </c>
      <c r="O524" s="1" t="b">
        <f>IFERROR(IF(ISNUMBER(Raw!G524),TRUE,OR(EXACT(L524,TEXT(M524,"0.00")),EXACT(L524,TEXT(M524,"#,##0.00")))),FALSE)</f>
        <v>1</v>
      </c>
      <c r="P524" s="1" t="str">
        <f>LEN(IF(Raw!A524="","",Raw!A524))&amp;":"&amp;IF(Raw!A524="","",Raw!A524)&amp;"|"&amp;LEN(IF(Raw!B524="","",Raw!B524))&amp;":"&amp;IF(Raw!B524="","",Raw!B524)&amp;"|"&amp;LEN(IF(Raw!C524="","",Raw!C524))&amp;":"&amp;IF(Raw!C524="","",Raw!C524)&amp;"|"&amp;LEN(IF(Raw!D524="","",Raw!D524))&amp;":"&amp;IF(Raw!D524="","",Raw!D524)&amp;"|"&amp;LEN(IF(Raw!E524="","",Raw!E524))&amp;":"&amp;IF(Raw!E524="","",Raw!E524)&amp;"|"&amp;LEN(IF(Raw!F524="","",Raw!F524))&amp;":"&amp;IF(Raw!F524="","",Raw!F524)&amp;"|"&amp;LEN(IF(Raw!G524="","",Raw!G524))&amp;":"&amp;IF(Raw!G524="","",Raw!G524)</f>
        <v>6:L00518|6:T00259|10:2026-01-07|3:P-H|4:Home|4:sale|6:381.40</v>
      </c>
      <c r="Q524" s="1">
        <f>1</f>
        <v>1</v>
      </c>
      <c r="R524" s="1" t="b">
        <f>FALSE</f>
        <v>0</v>
      </c>
      <c r="S524" s="1">
        <f>1</f>
        <v>1</v>
      </c>
      <c r="T524" s="1" t="str">
        <f>IF(AND(Raw!A524="",Raw!B524="",Raw!C524="",Raw!D524="",Raw!E524="",Raw!F524="",Raw!G524=""),"UNUSED",IF(A524="","missing line ID",IF(B524="","missing transaction ID",IF(G524="",IF(C524="","missing date","invalid date"),IF(I524="","unknown product",IF(J524="","conflicting category",IF(NOT(OR(EXACT(K524,"sale"),EXACT(K524,"refund"))),"unknown event",IF(OR(N524="",NOT(O524)),"invalid amount",IF(OR(AND(K524="sale",N524&lt;=0),AND(K524="refund",N524&gt;=0)),"invalid sign","")))))))))</f>
        <v/>
      </c>
      <c r="U524" s="1" t="str">
        <f t="shared" si="69"/>
        <v>INCLUDED</v>
      </c>
      <c r="V524" s="1" t="str">
        <f t="shared" si="70"/>
        <v>2026-01</v>
      </c>
      <c r="W524" s="1">
        <f>IF(AND(U524="INCLUDED",X524&gt;0,EXACT(A524,'AI output'!A524)),1,0)</f>
        <v>1</v>
      </c>
      <c r="X524" s="1">
        <f>524</f>
        <v>524</v>
      </c>
      <c r="Y524" s="1">
        <f>IF(AND(U524="INCLUDED",W524=1),--(NOT(EXACT(A524,'AI output'!A524)))+--(NOT(EXACT(B524,'AI output'!B524)))+--(NOT(EXACT(TEXT(G524,"yyyy-mm-dd"),'AI output'!C524)))+--(NOT(EXACT(H524,'AI output'!D524)))+--(NOT(EXACT(J524,'AI output'!E524)))+--(NOT(EXACT(K524,'AI output'!F524)))+--(N524&lt;&gt;'AI output'!L524)+--(NOT('AI output'!M524)),0)</f>
        <v>0</v>
      </c>
      <c r="Z524" s="1">
        <f t="shared" si="71"/>
        <v>0</v>
      </c>
      <c r="AA524" s="1">
        <f>--EXACT(A524,"L00518")</f>
        <v>1</v>
      </c>
    </row>
    <row r="525" spans="1:27" ht="18.95" customHeight="1">
      <c r="A525" s="1" t="str">
        <f>IF(Raw!A525="","",Raw!A525)</f>
        <v>L00519</v>
      </c>
      <c r="B525" s="1" t="str">
        <f>IF(Raw!B525="","",Raw!B525)</f>
        <v>T00260</v>
      </c>
      <c r="C525" s="1" t="str">
        <f>IF(Raw!C525="","",Raw!C525)</f>
        <v>2026-01-14</v>
      </c>
      <c r="D525" s="1">
        <f t="shared" si="64"/>
        <v>2026</v>
      </c>
      <c r="E525" s="1">
        <f>IFERROR(IF(AND(LEN(C525)=10,MID(C525,5,1)="-",MID(C525,8,1)="-"),VALUE(MID(C525,6,2)),IF(AND(LEN(C525)=11,MID(C525,3,1)="-",MID(C525,7,1)="-"),MATCH(UPPER(MID(C525,4,3)),Guide!$D$7:$D$18,0),0)),0)</f>
        <v>1</v>
      </c>
      <c r="F525" s="1">
        <f t="shared" si="65"/>
        <v>14</v>
      </c>
      <c r="G525" s="9">
        <f t="shared" si="66"/>
        <v>46036</v>
      </c>
      <c r="H525" s="1" t="str">
        <f>IF(Raw!D525="","",Raw!D525)</f>
        <v>P-O</v>
      </c>
      <c r="I525" s="1" t="str">
        <f>IFERROR(IF(EXACT(H525,INDEX(Guide!$A$7:$A$9,MATCH(SUBSTITUTE(SUBSTITUTE(SUBSTITUTE(H525,"~","~~"),"*","~*"),"?","~?"),Guide!$A$7:$A$9,0))),INDEX(Guide!$B$7:$B$9,MATCH(SUBSTITUTE(SUBSTITUTE(SUBSTITUTE(H525,"~","~~"),"*","~*"),"?","~?"),Guide!$A$7:$A$9,0)),""),"")</f>
        <v>Office</v>
      </c>
      <c r="J525" s="1" t="str">
        <f>IF(TRIM(Raw!E525)="",I525,IF(UPPER(TRIM(Raw!E525))=UPPER(I525),I525,""))</f>
        <v>Office</v>
      </c>
      <c r="K525" s="1" t="str">
        <f>IF(Raw!F525="","",Raw!F525)</f>
        <v>sale</v>
      </c>
      <c r="L525" s="1" t="str">
        <f>IF(LEFT(TRIM(Raw!G525),2)="-$","-"&amp;MID(TRIM(Raw!G525),3,99),IF(LEFT(TRIM(Raw!G525),1)="$",MID(TRIM(Raw!G525),2,99),TRIM(Raw!G525)))</f>
        <v>153.30</v>
      </c>
      <c r="M525" s="1">
        <f t="shared" si="67"/>
        <v>153.30000000000001</v>
      </c>
      <c r="N525" s="10">
        <f t="shared" si="68"/>
        <v>15330</v>
      </c>
      <c r="O525" s="1" t="b">
        <f>IFERROR(IF(ISNUMBER(Raw!G525),TRUE,OR(EXACT(L525,TEXT(M525,"0.00")),EXACT(L525,TEXT(M525,"#,##0.00")))),FALSE)</f>
        <v>1</v>
      </c>
      <c r="P525" s="1" t="str">
        <f>LEN(IF(Raw!A525="","",Raw!A525))&amp;":"&amp;IF(Raw!A525="","",Raw!A525)&amp;"|"&amp;LEN(IF(Raw!B525="","",Raw!B525))&amp;":"&amp;IF(Raw!B525="","",Raw!B525)&amp;"|"&amp;LEN(IF(Raw!C525="","",Raw!C525))&amp;":"&amp;IF(Raw!C525="","",Raw!C525)&amp;"|"&amp;LEN(IF(Raw!D525="","",Raw!D525))&amp;":"&amp;IF(Raw!D525="","",Raw!D525)&amp;"|"&amp;LEN(IF(Raw!E525="","",Raw!E525))&amp;":"&amp;IF(Raw!E525="","",Raw!E525)&amp;"|"&amp;LEN(IF(Raw!F525="","",Raw!F525))&amp;":"&amp;IF(Raw!F525="","",Raw!F525)&amp;"|"&amp;LEN(IF(Raw!G525="","",Raw!G525))&amp;":"&amp;IF(Raw!G525="","",Raw!G525)</f>
        <v>6:L00519|6:T00260|10:2026-01-14|3:P-O|6:Office|4:sale|6:153.30</v>
      </c>
      <c r="Q525" s="1">
        <f>1</f>
        <v>1</v>
      </c>
      <c r="R525" s="1" t="b">
        <f>FALSE</f>
        <v>0</v>
      </c>
      <c r="S525" s="1">
        <f>1</f>
        <v>1</v>
      </c>
      <c r="T525" s="1" t="str">
        <f>IF(AND(Raw!A525="",Raw!B525="",Raw!C525="",Raw!D525="",Raw!E525="",Raw!F525="",Raw!G525=""),"UNUSED",IF(A525="","missing line ID",IF(B525="","missing transaction ID",IF(G525="",IF(C525="","missing date","invalid date"),IF(I525="","unknown product",IF(J525="","conflicting category",IF(NOT(OR(EXACT(K525,"sale"),EXACT(K525,"refund"))),"unknown event",IF(OR(N525="",NOT(O525)),"invalid amount",IF(OR(AND(K525="sale",N525&lt;=0),AND(K525="refund",N525&gt;=0)),"invalid sign","")))))))))</f>
        <v/>
      </c>
      <c r="U525" s="1" t="str">
        <f t="shared" si="69"/>
        <v>INCLUDED</v>
      </c>
      <c r="V525" s="1" t="str">
        <f t="shared" si="70"/>
        <v>2026-01</v>
      </c>
      <c r="W525" s="1">
        <f>IF(AND(U525="INCLUDED",X525&gt;0,EXACT(A525,'AI output'!A525)),1,0)</f>
        <v>1</v>
      </c>
      <c r="X525" s="1">
        <f>525</f>
        <v>525</v>
      </c>
      <c r="Y525" s="1">
        <f>IF(AND(U525="INCLUDED",W525=1),--(NOT(EXACT(A525,'AI output'!A525)))+--(NOT(EXACT(B525,'AI output'!B525)))+--(NOT(EXACT(TEXT(G525,"yyyy-mm-dd"),'AI output'!C525)))+--(NOT(EXACT(H525,'AI output'!D525)))+--(NOT(EXACT(J525,'AI output'!E525)))+--(NOT(EXACT(K525,'AI output'!F525)))+--(N525&lt;&gt;'AI output'!L525)+--(NOT('AI output'!M525)),0)</f>
        <v>0</v>
      </c>
      <c r="Z525" s="1">
        <f t="shared" si="71"/>
        <v>0</v>
      </c>
      <c r="AA525" s="1">
        <f>--EXACT(A525,"L00519")</f>
        <v>1</v>
      </c>
    </row>
    <row r="526" spans="1:27" ht="18.95" customHeight="1">
      <c r="A526" s="1" t="str">
        <f>IF(Raw!A526="","",Raw!A526)</f>
        <v>L00520</v>
      </c>
      <c r="B526" s="1" t="str">
        <f>IF(Raw!B526="","",Raw!B526)</f>
        <v>T00260</v>
      </c>
      <c r="C526" s="1" t="str">
        <f>IF(Raw!C526="","",Raw!C526)</f>
        <v>2026-01-14</v>
      </c>
      <c r="D526" s="1">
        <f t="shared" si="64"/>
        <v>2026</v>
      </c>
      <c r="E526" s="1">
        <f>IFERROR(IF(AND(LEN(C526)=10,MID(C526,5,1)="-",MID(C526,8,1)="-"),VALUE(MID(C526,6,2)),IF(AND(LEN(C526)=11,MID(C526,3,1)="-",MID(C526,7,1)="-"),MATCH(UPPER(MID(C526,4,3)),Guide!$D$7:$D$18,0),0)),0)</f>
        <v>1</v>
      </c>
      <c r="F526" s="1">
        <f t="shared" si="65"/>
        <v>14</v>
      </c>
      <c r="G526" s="9">
        <f t="shared" si="66"/>
        <v>46036</v>
      </c>
      <c r="H526" s="1" t="str">
        <f>IF(Raw!D526="","",Raw!D526)</f>
        <v>P-A</v>
      </c>
      <c r="I526" s="1" t="str">
        <f>IFERROR(IF(EXACT(H526,INDEX(Guide!$A$7:$A$9,MATCH(SUBSTITUTE(SUBSTITUTE(SUBSTITUTE(H526,"~","~~"),"*","~*"),"?","~?"),Guide!$A$7:$A$9,0))),INDEX(Guide!$B$7:$B$9,MATCH(SUBSTITUTE(SUBSTITUTE(SUBSTITUTE(H526,"~","~~"),"*","~*"),"?","~?"),Guide!$A$7:$A$9,0)),""),"")</f>
        <v>Accessories</v>
      </c>
      <c r="J526" s="1" t="str">
        <f>IF(TRIM(Raw!E526)="",I526,IF(UPPER(TRIM(Raw!E526))=UPPER(I526),I526,""))</f>
        <v>Accessories</v>
      </c>
      <c r="K526" s="1" t="str">
        <f>IF(Raw!F526="","",Raw!F526)</f>
        <v>sale</v>
      </c>
      <c r="L526" s="1" t="str">
        <f>IF(LEFT(TRIM(Raw!G526),2)="-$","-"&amp;MID(TRIM(Raw!G526),3,99),IF(LEFT(TRIM(Raw!G526),1)="$",MID(TRIM(Raw!G526),2,99),TRIM(Raw!G526)))</f>
        <v>308.08</v>
      </c>
      <c r="M526" s="1">
        <f t="shared" si="67"/>
        <v>308.08</v>
      </c>
      <c r="N526" s="10">
        <f t="shared" si="68"/>
        <v>30808</v>
      </c>
      <c r="O526" s="1" t="b">
        <f>IFERROR(IF(ISNUMBER(Raw!G526),TRUE,OR(EXACT(L526,TEXT(M526,"0.00")),EXACT(L526,TEXT(M526,"#,##0.00")))),FALSE)</f>
        <v>1</v>
      </c>
      <c r="P526" s="1" t="str">
        <f>LEN(IF(Raw!A526="","",Raw!A526))&amp;":"&amp;IF(Raw!A526="","",Raw!A526)&amp;"|"&amp;LEN(IF(Raw!B526="","",Raw!B526))&amp;":"&amp;IF(Raw!B526="","",Raw!B526)&amp;"|"&amp;LEN(IF(Raw!C526="","",Raw!C526))&amp;":"&amp;IF(Raw!C526="","",Raw!C526)&amp;"|"&amp;LEN(IF(Raw!D526="","",Raw!D526))&amp;":"&amp;IF(Raw!D526="","",Raw!D526)&amp;"|"&amp;LEN(IF(Raw!E526="","",Raw!E526))&amp;":"&amp;IF(Raw!E526="","",Raw!E526)&amp;"|"&amp;LEN(IF(Raw!F526="","",Raw!F526))&amp;":"&amp;IF(Raw!F526="","",Raw!F526)&amp;"|"&amp;LEN(IF(Raw!G526="","",Raw!G526))&amp;":"&amp;IF(Raw!G526="","",Raw!G526)</f>
        <v>6:L00520|6:T00260|10:2026-01-14|3:P-A|11:Accessories|4:sale|6:308.08</v>
      </c>
      <c r="Q526" s="1">
        <f>1</f>
        <v>1</v>
      </c>
      <c r="R526" s="1" t="b">
        <f>FALSE</f>
        <v>0</v>
      </c>
      <c r="S526" s="1">
        <f>1</f>
        <v>1</v>
      </c>
      <c r="T526" s="1" t="str">
        <f>IF(AND(Raw!A526="",Raw!B526="",Raw!C526="",Raw!D526="",Raw!E526="",Raw!F526="",Raw!G526=""),"UNUSED",IF(A526="","missing line ID",IF(B526="","missing transaction ID",IF(G526="",IF(C526="","missing date","invalid date"),IF(I526="","unknown product",IF(J526="","conflicting category",IF(NOT(OR(EXACT(K526,"sale"),EXACT(K526,"refund"))),"unknown event",IF(OR(N526="",NOT(O526)),"invalid amount",IF(OR(AND(K526="sale",N526&lt;=0),AND(K526="refund",N526&gt;=0)),"invalid sign","")))))))))</f>
        <v/>
      </c>
      <c r="U526" s="1" t="str">
        <f t="shared" si="69"/>
        <v>INCLUDED</v>
      </c>
      <c r="V526" s="1" t="str">
        <f t="shared" si="70"/>
        <v>2026-01</v>
      </c>
      <c r="W526" s="1">
        <f>IF(AND(U526="INCLUDED",X526&gt;0,EXACT(A526,'AI output'!A526)),1,0)</f>
        <v>1</v>
      </c>
      <c r="X526" s="1">
        <f>526</f>
        <v>526</v>
      </c>
      <c r="Y526" s="1">
        <f>IF(AND(U526="INCLUDED",W526=1),--(NOT(EXACT(A526,'AI output'!A526)))+--(NOT(EXACT(B526,'AI output'!B526)))+--(NOT(EXACT(TEXT(G526,"yyyy-mm-dd"),'AI output'!C526)))+--(NOT(EXACT(H526,'AI output'!D526)))+--(NOT(EXACT(J526,'AI output'!E526)))+--(NOT(EXACT(K526,'AI output'!F526)))+--(N526&lt;&gt;'AI output'!L526)+--(NOT('AI output'!M526)),0)</f>
        <v>0</v>
      </c>
      <c r="Z526" s="1">
        <f t="shared" si="71"/>
        <v>0</v>
      </c>
      <c r="AA526" s="1">
        <f>--EXACT(A526,"L00520")</f>
        <v>1</v>
      </c>
    </row>
    <row r="527" spans="1:27" ht="18.95" customHeight="1">
      <c r="A527" s="1" t="str">
        <f>IF(Raw!A527="","",Raw!A527)</f>
        <v>L00521</v>
      </c>
      <c r="B527" s="1" t="str">
        <f>IF(Raw!B527="","",Raw!B527)</f>
        <v>T00261</v>
      </c>
      <c r="C527" s="1" t="str">
        <f>IF(Raw!C527="","",Raw!C527)</f>
        <v>2026-01-21</v>
      </c>
      <c r="D527" s="1">
        <f t="shared" si="64"/>
        <v>2026</v>
      </c>
      <c r="E527" s="1">
        <f>IFERROR(IF(AND(LEN(C527)=10,MID(C527,5,1)="-",MID(C527,8,1)="-"),VALUE(MID(C527,6,2)),IF(AND(LEN(C527)=11,MID(C527,3,1)="-",MID(C527,7,1)="-"),MATCH(UPPER(MID(C527,4,3)),Guide!$D$7:$D$18,0),0)),0)</f>
        <v>1</v>
      </c>
      <c r="F527" s="1">
        <f t="shared" si="65"/>
        <v>21</v>
      </c>
      <c r="G527" s="9">
        <f t="shared" si="66"/>
        <v>46043</v>
      </c>
      <c r="H527" s="1" t="str">
        <f>IF(Raw!D527="","",Raw!D527)</f>
        <v>P-H</v>
      </c>
      <c r="I527" s="1" t="str">
        <f>IFERROR(IF(EXACT(H527,INDEX(Guide!$A$7:$A$9,MATCH(SUBSTITUTE(SUBSTITUTE(SUBSTITUTE(H527,"~","~~"),"*","~*"),"?","~?"),Guide!$A$7:$A$9,0))),INDEX(Guide!$B$7:$B$9,MATCH(SUBSTITUTE(SUBSTITUTE(SUBSTITUTE(H527,"~","~~"),"*","~*"),"?","~?"),Guide!$A$7:$A$9,0)),""),"")</f>
        <v>Home</v>
      </c>
      <c r="J527" s="1" t="str">
        <f>IF(TRIM(Raw!E527)="",I527,IF(UPPER(TRIM(Raw!E527))=UPPER(I527),I527,""))</f>
        <v>Home</v>
      </c>
      <c r="K527" s="1" t="str">
        <f>IF(Raw!F527="","",Raw!F527)</f>
        <v>sale</v>
      </c>
      <c r="L527" s="1" t="str">
        <f>IF(LEFT(TRIM(Raw!G527),2)="-$","-"&amp;MID(TRIM(Raw!G527),3,99),IF(LEFT(TRIM(Raw!G527),1)="$",MID(TRIM(Raw!G527),2,99),TRIM(Raw!G527)))</f>
        <v>77.39</v>
      </c>
      <c r="M527" s="1">
        <f t="shared" si="67"/>
        <v>77.39</v>
      </c>
      <c r="N527" s="10">
        <f t="shared" si="68"/>
        <v>7739</v>
      </c>
      <c r="O527" s="1" t="b">
        <f>IFERROR(IF(ISNUMBER(Raw!G527),TRUE,OR(EXACT(L527,TEXT(M527,"0.00")),EXACT(L527,TEXT(M527,"#,##0.00")))),FALSE)</f>
        <v>1</v>
      </c>
      <c r="P527" s="1" t="str">
        <f>LEN(IF(Raw!A527="","",Raw!A527))&amp;":"&amp;IF(Raw!A527="","",Raw!A527)&amp;"|"&amp;LEN(IF(Raw!B527="","",Raw!B527))&amp;":"&amp;IF(Raw!B527="","",Raw!B527)&amp;"|"&amp;LEN(IF(Raw!C527="","",Raw!C527))&amp;":"&amp;IF(Raw!C527="","",Raw!C527)&amp;"|"&amp;LEN(IF(Raw!D527="","",Raw!D527))&amp;":"&amp;IF(Raw!D527="","",Raw!D527)&amp;"|"&amp;LEN(IF(Raw!E527="","",Raw!E527))&amp;":"&amp;IF(Raw!E527="","",Raw!E527)&amp;"|"&amp;LEN(IF(Raw!F527="","",Raw!F527))&amp;":"&amp;IF(Raw!F527="","",Raw!F527)&amp;"|"&amp;LEN(IF(Raw!G527="","",Raw!G527))&amp;":"&amp;IF(Raw!G527="","",Raw!G527)</f>
        <v>6:L00521|6:T00261|10:2026-01-21|3:P-H|4:Home|4:sale|5:77.39</v>
      </c>
      <c r="Q527" s="1">
        <f>1</f>
        <v>1</v>
      </c>
      <c r="R527" s="1" t="b">
        <f>FALSE</f>
        <v>0</v>
      </c>
      <c r="S527" s="1">
        <f>1</f>
        <v>1</v>
      </c>
      <c r="T527" s="1" t="str">
        <f>IF(AND(Raw!A527="",Raw!B527="",Raw!C527="",Raw!D527="",Raw!E527="",Raw!F527="",Raw!G527=""),"UNUSED",IF(A527="","missing line ID",IF(B527="","missing transaction ID",IF(G527="",IF(C527="","missing date","invalid date"),IF(I527="","unknown product",IF(J527="","conflicting category",IF(NOT(OR(EXACT(K527,"sale"),EXACT(K527,"refund"))),"unknown event",IF(OR(N527="",NOT(O527)),"invalid amount",IF(OR(AND(K527="sale",N527&lt;=0),AND(K527="refund",N527&gt;=0)),"invalid sign","")))))))))</f>
        <v/>
      </c>
      <c r="U527" s="1" t="str">
        <f t="shared" si="69"/>
        <v>INCLUDED</v>
      </c>
      <c r="V527" s="1" t="str">
        <f t="shared" si="70"/>
        <v>2026-01</v>
      </c>
      <c r="W527" s="1">
        <f>IF(AND(U527="INCLUDED",X527&gt;0,EXACT(A527,'AI output'!A527)),1,0)</f>
        <v>1</v>
      </c>
      <c r="X527" s="1">
        <f>527</f>
        <v>527</v>
      </c>
      <c r="Y527" s="1">
        <f>IF(AND(U527="INCLUDED",W527=1),--(NOT(EXACT(A527,'AI output'!A527)))+--(NOT(EXACT(B527,'AI output'!B527)))+--(NOT(EXACT(TEXT(G527,"yyyy-mm-dd"),'AI output'!C527)))+--(NOT(EXACT(H527,'AI output'!D527)))+--(NOT(EXACT(J527,'AI output'!E527)))+--(NOT(EXACT(K527,'AI output'!F527)))+--(N527&lt;&gt;'AI output'!L527)+--(NOT('AI output'!M527)),0)</f>
        <v>0</v>
      </c>
      <c r="Z527" s="1">
        <f t="shared" si="71"/>
        <v>0</v>
      </c>
      <c r="AA527" s="1">
        <f>--EXACT(A527,"L00521")</f>
        <v>1</v>
      </c>
    </row>
    <row r="528" spans="1:27" ht="18.95" customHeight="1">
      <c r="A528" s="1" t="str">
        <f>IF(Raw!A528="","",Raw!A528)</f>
        <v>L00522</v>
      </c>
      <c r="B528" s="1" t="str">
        <f>IF(Raw!B528="","",Raw!B528)</f>
        <v>T00261</v>
      </c>
      <c r="C528" s="1" t="str">
        <f>IF(Raw!C528="","",Raw!C528)</f>
        <v>2026-01-21</v>
      </c>
      <c r="D528" s="1">
        <f t="shared" si="64"/>
        <v>2026</v>
      </c>
      <c r="E528" s="1">
        <f>IFERROR(IF(AND(LEN(C528)=10,MID(C528,5,1)="-",MID(C528,8,1)="-"),VALUE(MID(C528,6,2)),IF(AND(LEN(C528)=11,MID(C528,3,1)="-",MID(C528,7,1)="-"),MATCH(UPPER(MID(C528,4,3)),Guide!$D$7:$D$18,0),0)),0)</f>
        <v>1</v>
      </c>
      <c r="F528" s="1">
        <f t="shared" si="65"/>
        <v>21</v>
      </c>
      <c r="G528" s="9">
        <f t="shared" si="66"/>
        <v>46043</v>
      </c>
      <c r="H528" s="1" t="str">
        <f>IF(Raw!D528="","",Raw!D528)</f>
        <v>P-O</v>
      </c>
      <c r="I528" s="1" t="str">
        <f>IFERROR(IF(EXACT(H528,INDEX(Guide!$A$7:$A$9,MATCH(SUBSTITUTE(SUBSTITUTE(SUBSTITUTE(H528,"~","~~"),"*","~*"),"?","~?"),Guide!$A$7:$A$9,0))),INDEX(Guide!$B$7:$B$9,MATCH(SUBSTITUTE(SUBSTITUTE(SUBSTITUTE(H528,"~","~~"),"*","~*"),"?","~?"),Guide!$A$7:$A$9,0)),""),"")</f>
        <v>Office</v>
      </c>
      <c r="J528" s="1" t="str">
        <f>IF(TRIM(Raw!E528)="",I528,IF(UPPER(TRIM(Raw!E528))=UPPER(I528),I528,""))</f>
        <v>Office</v>
      </c>
      <c r="K528" s="1" t="str">
        <f>IF(Raw!F528="","",Raw!F528)</f>
        <v>sale</v>
      </c>
      <c r="L528" s="1" t="str">
        <f>IF(LEFT(TRIM(Raw!G528),2)="-$","-"&amp;MID(TRIM(Raw!G528),3,99),IF(LEFT(TRIM(Raw!G528),1)="$",MID(TRIM(Raw!G528),2,99),TRIM(Raw!G528)))</f>
        <v>233.28</v>
      </c>
      <c r="M528" s="1">
        <f t="shared" si="67"/>
        <v>233.28</v>
      </c>
      <c r="N528" s="10">
        <f t="shared" si="68"/>
        <v>23328</v>
      </c>
      <c r="O528" s="1" t="b">
        <f>IFERROR(IF(ISNUMBER(Raw!G528),TRUE,OR(EXACT(L528,TEXT(M528,"0.00")),EXACT(L528,TEXT(M528,"#,##0.00")))),FALSE)</f>
        <v>1</v>
      </c>
      <c r="P528" s="1" t="str">
        <f>LEN(IF(Raw!A528="","",Raw!A528))&amp;":"&amp;IF(Raw!A528="","",Raw!A528)&amp;"|"&amp;LEN(IF(Raw!B528="","",Raw!B528))&amp;":"&amp;IF(Raw!B528="","",Raw!B528)&amp;"|"&amp;LEN(IF(Raw!C528="","",Raw!C528))&amp;":"&amp;IF(Raw!C528="","",Raw!C528)&amp;"|"&amp;LEN(IF(Raw!D528="","",Raw!D528))&amp;":"&amp;IF(Raw!D528="","",Raw!D528)&amp;"|"&amp;LEN(IF(Raw!E528="","",Raw!E528))&amp;":"&amp;IF(Raw!E528="","",Raw!E528)&amp;"|"&amp;LEN(IF(Raw!F528="","",Raw!F528))&amp;":"&amp;IF(Raw!F528="","",Raw!F528)&amp;"|"&amp;LEN(IF(Raw!G528="","",Raw!G528))&amp;":"&amp;IF(Raw!G528="","",Raw!G528)</f>
        <v>6:L00522|6:T00261|10:2026-01-21|3:P-O|6:Office|4:sale|6:233.28</v>
      </c>
      <c r="Q528" s="1">
        <f>1</f>
        <v>1</v>
      </c>
      <c r="R528" s="1" t="b">
        <f>FALSE</f>
        <v>0</v>
      </c>
      <c r="S528" s="1">
        <f>1</f>
        <v>1</v>
      </c>
      <c r="T528" s="1" t="str">
        <f>IF(AND(Raw!A528="",Raw!B528="",Raw!C528="",Raw!D528="",Raw!E528="",Raw!F528="",Raw!G528=""),"UNUSED",IF(A528="","missing line ID",IF(B528="","missing transaction ID",IF(G528="",IF(C528="","missing date","invalid date"),IF(I528="","unknown product",IF(J528="","conflicting category",IF(NOT(OR(EXACT(K528,"sale"),EXACT(K528,"refund"))),"unknown event",IF(OR(N528="",NOT(O528)),"invalid amount",IF(OR(AND(K528="sale",N528&lt;=0),AND(K528="refund",N528&gt;=0)),"invalid sign","")))))))))</f>
        <v/>
      </c>
      <c r="U528" s="1" t="str">
        <f t="shared" si="69"/>
        <v>INCLUDED</v>
      </c>
      <c r="V528" s="1" t="str">
        <f t="shared" si="70"/>
        <v>2026-01</v>
      </c>
      <c r="W528" s="1">
        <f>IF(AND(U528="INCLUDED",X528&gt;0,EXACT(A528,'AI output'!A528)),1,0)</f>
        <v>1</v>
      </c>
      <c r="X528" s="1">
        <f>528</f>
        <v>528</v>
      </c>
      <c r="Y528" s="1">
        <f>IF(AND(U528="INCLUDED",W528=1),--(NOT(EXACT(A528,'AI output'!A528)))+--(NOT(EXACT(B528,'AI output'!B528)))+--(NOT(EXACT(TEXT(G528,"yyyy-mm-dd"),'AI output'!C528)))+--(NOT(EXACT(H528,'AI output'!D528)))+--(NOT(EXACT(J528,'AI output'!E528)))+--(NOT(EXACT(K528,'AI output'!F528)))+--(N528&lt;&gt;'AI output'!L528)+--(NOT('AI output'!M528)),0)</f>
        <v>0</v>
      </c>
      <c r="Z528" s="1">
        <f t="shared" si="71"/>
        <v>0</v>
      </c>
      <c r="AA528" s="1">
        <f>--EXACT(A528,"L00522")</f>
        <v>1</v>
      </c>
    </row>
    <row r="529" spans="1:27" ht="18.95" customHeight="1">
      <c r="A529" s="1" t="str">
        <f>IF(Raw!A529="","",Raw!A529)</f>
        <v>L00523</v>
      </c>
      <c r="B529" s="1" t="str">
        <f>IF(Raw!B529="","",Raw!B529)</f>
        <v>T00262</v>
      </c>
      <c r="C529" s="1" t="str">
        <f>IF(Raw!C529="","",Raw!C529)</f>
        <v>2026-01-28</v>
      </c>
      <c r="D529" s="1">
        <f t="shared" si="64"/>
        <v>2026</v>
      </c>
      <c r="E529" s="1">
        <f>IFERROR(IF(AND(LEN(C529)=10,MID(C529,5,1)="-",MID(C529,8,1)="-"),VALUE(MID(C529,6,2)),IF(AND(LEN(C529)=11,MID(C529,3,1)="-",MID(C529,7,1)="-"),MATCH(UPPER(MID(C529,4,3)),Guide!$D$7:$D$18,0),0)),0)</f>
        <v>1</v>
      </c>
      <c r="F529" s="1">
        <f t="shared" si="65"/>
        <v>28</v>
      </c>
      <c r="G529" s="9">
        <f t="shared" si="66"/>
        <v>46050</v>
      </c>
      <c r="H529" s="1" t="str">
        <f>IF(Raw!D529="","",Raw!D529)</f>
        <v>P-A</v>
      </c>
      <c r="I529" s="1" t="str">
        <f>IFERROR(IF(EXACT(H529,INDEX(Guide!$A$7:$A$9,MATCH(SUBSTITUTE(SUBSTITUTE(SUBSTITUTE(H529,"~","~~"),"*","~*"),"?","~?"),Guide!$A$7:$A$9,0))),INDEX(Guide!$B$7:$B$9,MATCH(SUBSTITUTE(SUBSTITUTE(SUBSTITUTE(H529,"~","~~"),"*","~*"),"?","~?"),Guide!$A$7:$A$9,0)),""),"")</f>
        <v>Accessories</v>
      </c>
      <c r="J529" s="1" t="str">
        <f>IF(TRIM(Raw!E529)="",I529,IF(UPPER(TRIM(Raw!E529))=UPPER(I529),I529,""))</f>
        <v>Accessories</v>
      </c>
      <c r="K529" s="1" t="str">
        <f>IF(Raw!F529="","",Raw!F529)</f>
        <v>sale</v>
      </c>
      <c r="L529" s="1" t="str">
        <f>IF(LEFT(TRIM(Raw!G529),2)="-$","-"&amp;MID(TRIM(Raw!G529),3,99),IF(LEFT(TRIM(Raw!G529),1)="$",MID(TRIM(Raw!G529),2,99),TRIM(Raw!G529)))</f>
        <v>390.65</v>
      </c>
      <c r="M529" s="1">
        <f t="shared" si="67"/>
        <v>390.65</v>
      </c>
      <c r="N529" s="10">
        <f t="shared" si="68"/>
        <v>39065</v>
      </c>
      <c r="O529" s="1" t="b">
        <f>IFERROR(IF(ISNUMBER(Raw!G529),TRUE,OR(EXACT(L529,TEXT(M529,"0.00")),EXACT(L529,TEXT(M529,"#,##0.00")))),FALSE)</f>
        <v>1</v>
      </c>
      <c r="P529" s="1" t="str">
        <f>LEN(IF(Raw!A529="","",Raw!A529))&amp;":"&amp;IF(Raw!A529="","",Raw!A529)&amp;"|"&amp;LEN(IF(Raw!B529="","",Raw!B529))&amp;":"&amp;IF(Raw!B529="","",Raw!B529)&amp;"|"&amp;LEN(IF(Raw!C529="","",Raw!C529))&amp;":"&amp;IF(Raw!C529="","",Raw!C529)&amp;"|"&amp;LEN(IF(Raw!D529="","",Raw!D529))&amp;":"&amp;IF(Raw!D529="","",Raw!D529)&amp;"|"&amp;LEN(IF(Raw!E529="","",Raw!E529))&amp;":"&amp;IF(Raw!E529="","",Raw!E529)&amp;"|"&amp;LEN(IF(Raw!F529="","",Raw!F529))&amp;":"&amp;IF(Raw!F529="","",Raw!F529)&amp;"|"&amp;LEN(IF(Raw!G529="","",Raw!G529))&amp;":"&amp;IF(Raw!G529="","",Raw!G529)</f>
        <v>6:L00523|6:T00262|10:2026-01-28|3:P-A|0:|4:sale|6:390.65</v>
      </c>
      <c r="Q529" s="1">
        <f>1</f>
        <v>1</v>
      </c>
      <c r="R529" s="1" t="b">
        <f>FALSE</f>
        <v>0</v>
      </c>
      <c r="S529" s="1">
        <f>1</f>
        <v>1</v>
      </c>
      <c r="T529" s="1" t="str">
        <f>IF(AND(Raw!A529="",Raw!B529="",Raw!C529="",Raw!D529="",Raw!E529="",Raw!F529="",Raw!G529=""),"UNUSED",IF(A529="","missing line ID",IF(B529="","missing transaction ID",IF(G529="",IF(C529="","missing date","invalid date"),IF(I529="","unknown product",IF(J529="","conflicting category",IF(NOT(OR(EXACT(K529,"sale"),EXACT(K529,"refund"))),"unknown event",IF(OR(N529="",NOT(O529)),"invalid amount",IF(OR(AND(K529="sale",N529&lt;=0),AND(K529="refund",N529&gt;=0)),"invalid sign","")))))))))</f>
        <v/>
      </c>
      <c r="U529" s="1" t="str">
        <f t="shared" si="69"/>
        <v>INCLUDED</v>
      </c>
      <c r="V529" s="1" t="str">
        <f t="shared" si="70"/>
        <v>2026-01</v>
      </c>
      <c r="W529" s="1">
        <f>IF(AND(U529="INCLUDED",X529&gt;0,EXACT(A529,'AI output'!A529)),1,0)</f>
        <v>1</v>
      </c>
      <c r="X529" s="1">
        <f>529</f>
        <v>529</v>
      </c>
      <c r="Y529" s="1">
        <f>IF(AND(U529="INCLUDED",W529=1),--(NOT(EXACT(A529,'AI output'!A529)))+--(NOT(EXACT(B529,'AI output'!B529)))+--(NOT(EXACT(TEXT(G529,"yyyy-mm-dd"),'AI output'!C529)))+--(NOT(EXACT(H529,'AI output'!D529)))+--(NOT(EXACT(J529,'AI output'!E529)))+--(NOT(EXACT(K529,'AI output'!F529)))+--(N529&lt;&gt;'AI output'!L529)+--(NOT('AI output'!M529)),0)</f>
        <v>0</v>
      </c>
      <c r="Z529" s="1">
        <f t="shared" si="71"/>
        <v>0</v>
      </c>
      <c r="AA529" s="1">
        <f>--EXACT(A529,"L00523")</f>
        <v>1</v>
      </c>
    </row>
    <row r="530" spans="1:27" ht="18.95" customHeight="1">
      <c r="A530" s="1" t="str">
        <f>IF(Raw!A530="","",Raw!A530)</f>
        <v>L00524</v>
      </c>
      <c r="B530" s="1" t="str">
        <f>IF(Raw!B530="","",Raw!B530)</f>
        <v>T00262</v>
      </c>
      <c r="C530" s="1" t="str">
        <f>IF(Raw!C530="","",Raw!C530)</f>
        <v>2026-01-28</v>
      </c>
      <c r="D530" s="1">
        <f t="shared" si="64"/>
        <v>2026</v>
      </c>
      <c r="E530" s="1">
        <f>IFERROR(IF(AND(LEN(C530)=10,MID(C530,5,1)="-",MID(C530,8,1)="-"),VALUE(MID(C530,6,2)),IF(AND(LEN(C530)=11,MID(C530,3,1)="-",MID(C530,7,1)="-"),MATCH(UPPER(MID(C530,4,3)),Guide!$D$7:$D$18,0),0)),0)</f>
        <v>1</v>
      </c>
      <c r="F530" s="1">
        <f t="shared" si="65"/>
        <v>28</v>
      </c>
      <c r="G530" s="9">
        <f t="shared" si="66"/>
        <v>46050</v>
      </c>
      <c r="H530" s="1" t="str">
        <f>IF(Raw!D530="","",Raw!D530)</f>
        <v>P-H</v>
      </c>
      <c r="I530" s="1" t="str">
        <f>IFERROR(IF(EXACT(H530,INDEX(Guide!$A$7:$A$9,MATCH(SUBSTITUTE(SUBSTITUTE(SUBSTITUTE(H530,"~","~~"),"*","~*"),"?","~?"),Guide!$A$7:$A$9,0))),INDEX(Guide!$B$7:$B$9,MATCH(SUBSTITUTE(SUBSTITUTE(SUBSTITUTE(H530,"~","~~"),"*","~*"),"?","~?"),Guide!$A$7:$A$9,0)),""),"")</f>
        <v>Home</v>
      </c>
      <c r="J530" s="1" t="str">
        <f>IF(TRIM(Raw!E530)="",I530,IF(UPPER(TRIM(Raw!E530))=UPPER(I530),I530,""))</f>
        <v>Home</v>
      </c>
      <c r="K530" s="1" t="str">
        <f>IF(Raw!F530="","",Raw!F530)</f>
        <v>sale</v>
      </c>
      <c r="L530" s="1" t="str">
        <f>IF(LEFT(TRIM(Raw!G530),2)="-$","-"&amp;MID(TRIM(Raw!G530),3,99),IF(LEFT(TRIM(Raw!G530),1)="$",MID(TRIM(Raw!G530),2,99),TRIM(Raw!G530)))</f>
        <v>157.00</v>
      </c>
      <c r="M530" s="1">
        <f t="shared" si="67"/>
        <v>157</v>
      </c>
      <c r="N530" s="10">
        <f t="shared" si="68"/>
        <v>15700</v>
      </c>
      <c r="O530" s="1" t="b">
        <f>IFERROR(IF(ISNUMBER(Raw!G530),TRUE,OR(EXACT(L530,TEXT(M530,"0.00")),EXACT(L530,TEXT(M530,"#,##0.00")))),FALSE)</f>
        <v>1</v>
      </c>
      <c r="P530" s="1" t="str">
        <f>LEN(IF(Raw!A530="","",Raw!A530))&amp;":"&amp;IF(Raw!A530="","",Raw!A530)&amp;"|"&amp;LEN(IF(Raw!B530="","",Raw!B530))&amp;":"&amp;IF(Raw!B530="","",Raw!B530)&amp;"|"&amp;LEN(IF(Raw!C530="","",Raw!C530))&amp;":"&amp;IF(Raw!C530="","",Raw!C530)&amp;"|"&amp;LEN(IF(Raw!D530="","",Raw!D530))&amp;":"&amp;IF(Raw!D530="","",Raw!D530)&amp;"|"&amp;LEN(IF(Raw!E530="","",Raw!E530))&amp;":"&amp;IF(Raw!E530="","",Raw!E530)&amp;"|"&amp;LEN(IF(Raw!F530="","",Raw!F530))&amp;":"&amp;IF(Raw!F530="","",Raw!F530)&amp;"|"&amp;LEN(IF(Raw!G530="","",Raw!G530))&amp;":"&amp;IF(Raw!G530="","",Raw!G530)</f>
        <v>6:L00524|6:T00262|10:2026-01-28|3:P-H|4:Home|4:sale|6:157.00</v>
      </c>
      <c r="Q530" s="1">
        <f>1</f>
        <v>1</v>
      </c>
      <c r="R530" s="1" t="b">
        <f>FALSE</f>
        <v>0</v>
      </c>
      <c r="S530" s="1">
        <f>1</f>
        <v>1</v>
      </c>
      <c r="T530" s="1" t="str">
        <f>IF(AND(Raw!A530="",Raw!B530="",Raw!C530="",Raw!D530="",Raw!E530="",Raw!F530="",Raw!G530=""),"UNUSED",IF(A530="","missing line ID",IF(B530="","missing transaction ID",IF(G530="",IF(C530="","missing date","invalid date"),IF(I530="","unknown product",IF(J530="","conflicting category",IF(NOT(OR(EXACT(K530,"sale"),EXACT(K530,"refund"))),"unknown event",IF(OR(N530="",NOT(O530)),"invalid amount",IF(OR(AND(K530="sale",N530&lt;=0),AND(K530="refund",N530&gt;=0)),"invalid sign","")))))))))</f>
        <v/>
      </c>
      <c r="U530" s="1" t="str">
        <f t="shared" si="69"/>
        <v>INCLUDED</v>
      </c>
      <c r="V530" s="1" t="str">
        <f t="shared" si="70"/>
        <v>2026-01</v>
      </c>
      <c r="W530" s="1">
        <f>IF(AND(U530="INCLUDED",X530&gt;0,EXACT(A530,'AI output'!A530)),1,0)</f>
        <v>1</v>
      </c>
      <c r="X530" s="1">
        <f>530</f>
        <v>530</v>
      </c>
      <c r="Y530" s="1">
        <f>IF(AND(U530="INCLUDED",W530=1),--(NOT(EXACT(A530,'AI output'!A530)))+--(NOT(EXACT(B530,'AI output'!B530)))+--(NOT(EXACT(TEXT(G530,"yyyy-mm-dd"),'AI output'!C530)))+--(NOT(EXACT(H530,'AI output'!D530)))+--(NOT(EXACT(J530,'AI output'!E530)))+--(NOT(EXACT(K530,'AI output'!F530)))+--(N530&lt;&gt;'AI output'!L530)+--(NOT('AI output'!M530)),0)</f>
        <v>0</v>
      </c>
      <c r="Z530" s="1">
        <f t="shared" si="71"/>
        <v>0</v>
      </c>
      <c r="AA530" s="1">
        <f>--EXACT(A530,"L00524")</f>
        <v>1</v>
      </c>
    </row>
    <row r="531" spans="1:27" ht="18.95" customHeight="1">
      <c r="A531" s="1" t="str">
        <f>IF(Raw!A531="","",Raw!A531)</f>
        <v>L00525</v>
      </c>
      <c r="B531" s="1" t="str">
        <f>IF(Raw!B531="","",Raw!B531)</f>
        <v>T00263</v>
      </c>
      <c r="C531" s="1" t="str">
        <f>IF(Raw!C531="","",Raw!C531)</f>
        <v>2026-02-04</v>
      </c>
      <c r="D531" s="1">
        <f t="shared" si="64"/>
        <v>2026</v>
      </c>
      <c r="E531" s="1">
        <f>IFERROR(IF(AND(LEN(C531)=10,MID(C531,5,1)="-",MID(C531,8,1)="-"),VALUE(MID(C531,6,2)),IF(AND(LEN(C531)=11,MID(C531,3,1)="-",MID(C531,7,1)="-"),MATCH(UPPER(MID(C531,4,3)),Guide!$D$7:$D$18,0),0)),0)</f>
        <v>2</v>
      </c>
      <c r="F531" s="1">
        <f t="shared" si="65"/>
        <v>4</v>
      </c>
      <c r="G531" s="9">
        <f t="shared" si="66"/>
        <v>46057</v>
      </c>
      <c r="H531" s="1" t="str">
        <f>IF(Raw!D531="","",Raw!D531)</f>
        <v>P-O</v>
      </c>
      <c r="I531" s="1" t="str">
        <f>IFERROR(IF(EXACT(H531,INDEX(Guide!$A$7:$A$9,MATCH(SUBSTITUTE(SUBSTITUTE(SUBSTITUTE(H531,"~","~~"),"*","~*"),"?","~?"),Guide!$A$7:$A$9,0))),INDEX(Guide!$B$7:$B$9,MATCH(SUBSTITUTE(SUBSTITUTE(SUBSTITUTE(H531,"~","~~"),"*","~*"),"?","~?"),Guide!$A$7:$A$9,0)),""),"")</f>
        <v>Office</v>
      </c>
      <c r="J531" s="1" t="str">
        <f>IF(TRIM(Raw!E531)="",I531,IF(UPPER(TRIM(Raw!E531))=UPPER(I531),I531,""))</f>
        <v>Office</v>
      </c>
      <c r="K531" s="1" t="str">
        <f>IF(Raw!F531="","",Raw!F531)</f>
        <v>sale</v>
      </c>
      <c r="L531" s="1" t="str">
        <f>IF(LEFT(TRIM(Raw!G531),2)="-$","-"&amp;MID(TRIM(Raw!G531),3,99),IF(LEFT(TRIM(Raw!G531),1)="$",MID(TRIM(Raw!G531),2,99),TRIM(Raw!G531)))</f>
        <v>315.48</v>
      </c>
      <c r="M531" s="1">
        <f t="shared" si="67"/>
        <v>315.48</v>
      </c>
      <c r="N531" s="10">
        <f t="shared" si="68"/>
        <v>31548</v>
      </c>
      <c r="O531" s="1" t="b">
        <f>IFERROR(IF(ISNUMBER(Raw!G531),TRUE,OR(EXACT(L531,TEXT(M531,"0.00")),EXACT(L531,TEXT(M531,"#,##0.00")))),FALSE)</f>
        <v>1</v>
      </c>
      <c r="P531" s="1" t="str">
        <f>LEN(IF(Raw!A531="","",Raw!A531))&amp;":"&amp;IF(Raw!A531="","",Raw!A531)&amp;"|"&amp;LEN(IF(Raw!B531="","",Raw!B531))&amp;":"&amp;IF(Raw!B531="","",Raw!B531)&amp;"|"&amp;LEN(IF(Raw!C531="","",Raw!C531))&amp;":"&amp;IF(Raw!C531="","",Raw!C531)&amp;"|"&amp;LEN(IF(Raw!D531="","",Raw!D531))&amp;":"&amp;IF(Raw!D531="","",Raw!D531)&amp;"|"&amp;LEN(IF(Raw!E531="","",Raw!E531))&amp;":"&amp;IF(Raw!E531="","",Raw!E531)&amp;"|"&amp;LEN(IF(Raw!F531="","",Raw!F531))&amp;":"&amp;IF(Raw!F531="","",Raw!F531)&amp;"|"&amp;LEN(IF(Raw!G531="","",Raw!G531))&amp;":"&amp;IF(Raw!G531="","",Raw!G531)</f>
        <v>6:L00525|6:T00263|10:2026-02-04|3:P-O|6:Office|4:sale|6:315.48</v>
      </c>
      <c r="Q531" s="1">
        <f>1</f>
        <v>1</v>
      </c>
      <c r="R531" s="1" t="b">
        <f>FALSE</f>
        <v>0</v>
      </c>
      <c r="S531" s="1">
        <f>1</f>
        <v>1</v>
      </c>
      <c r="T531" s="1" t="str">
        <f>IF(AND(Raw!A531="",Raw!B531="",Raw!C531="",Raw!D531="",Raw!E531="",Raw!F531="",Raw!G531=""),"UNUSED",IF(A531="","missing line ID",IF(B531="","missing transaction ID",IF(G531="",IF(C531="","missing date","invalid date"),IF(I531="","unknown product",IF(J531="","conflicting category",IF(NOT(OR(EXACT(K531,"sale"),EXACT(K531,"refund"))),"unknown event",IF(OR(N531="",NOT(O531)),"invalid amount",IF(OR(AND(K531="sale",N531&lt;=0),AND(K531="refund",N531&gt;=0)),"invalid sign","")))))))))</f>
        <v/>
      </c>
      <c r="U531" s="1" t="str">
        <f t="shared" si="69"/>
        <v>INCLUDED</v>
      </c>
      <c r="V531" s="1" t="str">
        <f t="shared" si="70"/>
        <v>2026-02</v>
      </c>
      <c r="W531" s="1">
        <f>IF(AND(U531="INCLUDED",X531&gt;0,EXACT(A531,'AI output'!A531)),1,0)</f>
        <v>1</v>
      </c>
      <c r="X531" s="1">
        <f>531</f>
        <v>531</v>
      </c>
      <c r="Y531" s="1">
        <f>IF(AND(U531="INCLUDED",W531=1),--(NOT(EXACT(A531,'AI output'!A531)))+--(NOT(EXACT(B531,'AI output'!B531)))+--(NOT(EXACT(TEXT(G531,"yyyy-mm-dd"),'AI output'!C531)))+--(NOT(EXACT(H531,'AI output'!D531)))+--(NOT(EXACT(J531,'AI output'!E531)))+--(NOT(EXACT(K531,'AI output'!F531)))+--(N531&lt;&gt;'AI output'!L531)+--(NOT('AI output'!M531)),0)</f>
        <v>0</v>
      </c>
      <c r="Z531" s="1">
        <f t="shared" si="71"/>
        <v>0</v>
      </c>
      <c r="AA531" s="1">
        <f>--EXACT(A531,"L00525")</f>
        <v>1</v>
      </c>
    </row>
    <row r="532" spans="1:27" ht="18.95" customHeight="1">
      <c r="A532" s="1" t="str">
        <f>IF(Raw!A532="","",Raw!A532)</f>
        <v>L00526</v>
      </c>
      <c r="B532" s="1" t="str">
        <f>IF(Raw!B532="","",Raw!B532)</f>
        <v>T00263</v>
      </c>
      <c r="C532" s="1" t="str">
        <f>IF(Raw!C532="","",Raw!C532)</f>
        <v>2026-02-04</v>
      </c>
      <c r="D532" s="1">
        <f t="shared" si="64"/>
        <v>2026</v>
      </c>
      <c r="E532" s="1">
        <f>IFERROR(IF(AND(LEN(C532)=10,MID(C532,5,1)="-",MID(C532,8,1)="-"),VALUE(MID(C532,6,2)),IF(AND(LEN(C532)=11,MID(C532,3,1)="-",MID(C532,7,1)="-"),MATCH(UPPER(MID(C532,4,3)),Guide!$D$7:$D$18,0),0)),0)</f>
        <v>2</v>
      </c>
      <c r="F532" s="1">
        <f t="shared" si="65"/>
        <v>4</v>
      </c>
      <c r="G532" s="9">
        <f t="shared" si="66"/>
        <v>46057</v>
      </c>
      <c r="H532" s="1" t="str">
        <f>IF(Raw!D532="","",Raw!D532)</f>
        <v>P-A</v>
      </c>
      <c r="I532" s="1" t="str">
        <f>IFERROR(IF(EXACT(H532,INDEX(Guide!$A$7:$A$9,MATCH(SUBSTITUTE(SUBSTITUTE(SUBSTITUTE(H532,"~","~~"),"*","~*"),"?","~?"),Guide!$A$7:$A$9,0))),INDEX(Guide!$B$7:$B$9,MATCH(SUBSTITUTE(SUBSTITUTE(SUBSTITUTE(H532,"~","~~"),"*","~*"),"?","~?"),Guide!$A$7:$A$9,0)),""),"")</f>
        <v>Accessories</v>
      </c>
      <c r="J532" s="1" t="str">
        <f>IF(TRIM(Raw!E532)="",I532,IF(UPPER(TRIM(Raw!E532))=UPPER(I532),I532,""))</f>
        <v>Accessories</v>
      </c>
      <c r="K532" s="1" t="str">
        <f>IF(Raw!F532="","",Raw!F532)</f>
        <v>sale</v>
      </c>
      <c r="L532" s="1" t="str">
        <f>IF(LEFT(TRIM(Raw!G532),2)="-$","-"&amp;MID(TRIM(Raw!G532),3,99),IF(LEFT(TRIM(Raw!G532),1)="$",MID(TRIM(Raw!G532),2,99),TRIM(Raw!G532)))</f>
        <v>79.24</v>
      </c>
      <c r="M532" s="1">
        <f t="shared" si="67"/>
        <v>79.239999999999995</v>
      </c>
      <c r="N532" s="10">
        <f t="shared" si="68"/>
        <v>7924</v>
      </c>
      <c r="O532" s="1" t="b">
        <f>IFERROR(IF(ISNUMBER(Raw!G532),TRUE,OR(EXACT(L532,TEXT(M532,"0.00")),EXACT(L532,TEXT(M532,"#,##0.00")))),FALSE)</f>
        <v>1</v>
      </c>
      <c r="P532" s="1" t="str">
        <f>LEN(IF(Raw!A532="","",Raw!A532))&amp;":"&amp;IF(Raw!A532="","",Raw!A532)&amp;"|"&amp;LEN(IF(Raw!B532="","",Raw!B532))&amp;":"&amp;IF(Raw!B532="","",Raw!B532)&amp;"|"&amp;LEN(IF(Raw!C532="","",Raw!C532))&amp;":"&amp;IF(Raw!C532="","",Raw!C532)&amp;"|"&amp;LEN(IF(Raw!D532="","",Raw!D532))&amp;":"&amp;IF(Raw!D532="","",Raw!D532)&amp;"|"&amp;LEN(IF(Raw!E532="","",Raw!E532))&amp;":"&amp;IF(Raw!E532="","",Raw!E532)&amp;"|"&amp;LEN(IF(Raw!F532="","",Raw!F532))&amp;":"&amp;IF(Raw!F532="","",Raw!F532)&amp;"|"&amp;LEN(IF(Raw!G532="","",Raw!G532))&amp;":"&amp;IF(Raw!G532="","",Raw!G532)</f>
        <v>6:L00526|6:T00263|10:2026-02-04|3:P-A|11:Accessories|4:sale|5:79.24</v>
      </c>
      <c r="Q532" s="1">
        <f>1</f>
        <v>1</v>
      </c>
      <c r="R532" s="1" t="b">
        <f>FALSE</f>
        <v>0</v>
      </c>
      <c r="S532" s="1">
        <f>1</f>
        <v>1</v>
      </c>
      <c r="T532" s="1" t="str">
        <f>IF(AND(Raw!A532="",Raw!B532="",Raw!C532="",Raw!D532="",Raw!E532="",Raw!F532="",Raw!G532=""),"UNUSED",IF(A532="","missing line ID",IF(B532="","missing transaction ID",IF(G532="",IF(C532="","missing date","invalid date"),IF(I532="","unknown product",IF(J532="","conflicting category",IF(NOT(OR(EXACT(K532,"sale"),EXACT(K532,"refund"))),"unknown event",IF(OR(N532="",NOT(O532)),"invalid amount",IF(OR(AND(K532="sale",N532&lt;=0),AND(K532="refund",N532&gt;=0)),"invalid sign","")))))))))</f>
        <v/>
      </c>
      <c r="U532" s="1" t="str">
        <f t="shared" si="69"/>
        <v>INCLUDED</v>
      </c>
      <c r="V532" s="1" t="str">
        <f t="shared" si="70"/>
        <v>2026-02</v>
      </c>
      <c r="W532" s="1">
        <f>IF(AND(U532="INCLUDED",X532&gt;0,EXACT(A532,'AI output'!A532)),1,0)</f>
        <v>1</v>
      </c>
      <c r="X532" s="1">
        <f>532</f>
        <v>532</v>
      </c>
      <c r="Y532" s="1">
        <f>IF(AND(U532="INCLUDED",W532=1),--(NOT(EXACT(A532,'AI output'!A532)))+--(NOT(EXACT(B532,'AI output'!B532)))+--(NOT(EXACT(TEXT(G532,"yyyy-mm-dd"),'AI output'!C532)))+--(NOT(EXACT(H532,'AI output'!D532)))+--(NOT(EXACT(J532,'AI output'!E532)))+--(NOT(EXACT(K532,'AI output'!F532)))+--(N532&lt;&gt;'AI output'!L532)+--(NOT('AI output'!M532)),0)</f>
        <v>0</v>
      </c>
      <c r="Z532" s="1">
        <f t="shared" si="71"/>
        <v>0</v>
      </c>
      <c r="AA532" s="1">
        <f>--EXACT(A532,"L00526")</f>
        <v>1</v>
      </c>
    </row>
    <row r="533" spans="1:27" ht="18.95" customHeight="1">
      <c r="A533" s="1" t="str">
        <f>IF(Raw!A533="","",Raw!A533)</f>
        <v>L00527</v>
      </c>
      <c r="B533" s="1" t="str">
        <f>IF(Raw!B533="","",Raw!B533)</f>
        <v>T00264</v>
      </c>
      <c r="C533" s="1" t="str">
        <f>IF(Raw!C533="","",Raw!C533)</f>
        <v>2026-02-11</v>
      </c>
      <c r="D533" s="1">
        <f t="shared" si="64"/>
        <v>2026</v>
      </c>
      <c r="E533" s="1">
        <f>IFERROR(IF(AND(LEN(C533)=10,MID(C533,5,1)="-",MID(C533,8,1)="-"),VALUE(MID(C533,6,2)),IF(AND(LEN(C533)=11,MID(C533,3,1)="-",MID(C533,7,1)="-"),MATCH(UPPER(MID(C533,4,3)),Guide!$D$7:$D$18,0),0)),0)</f>
        <v>2</v>
      </c>
      <c r="F533" s="1">
        <f t="shared" si="65"/>
        <v>11</v>
      </c>
      <c r="G533" s="9">
        <f t="shared" si="66"/>
        <v>46064</v>
      </c>
      <c r="H533" s="1" t="str">
        <f>IF(Raw!D533="","",Raw!D533)</f>
        <v>P-H</v>
      </c>
      <c r="I533" s="1" t="str">
        <f>IFERROR(IF(EXACT(H533,INDEX(Guide!$A$7:$A$9,MATCH(SUBSTITUTE(SUBSTITUTE(SUBSTITUTE(H533,"~","~~"),"*","~*"),"?","~?"),Guide!$A$7:$A$9,0))),INDEX(Guide!$B$7:$B$9,MATCH(SUBSTITUTE(SUBSTITUTE(SUBSTITUTE(H533,"~","~~"),"*","~*"),"?","~?"),Guide!$A$7:$A$9,0)),""),"")</f>
        <v>Home</v>
      </c>
      <c r="J533" s="1" t="str">
        <f>IF(TRIM(Raw!E533)="",I533,IF(UPPER(TRIM(Raw!E533))=UPPER(I533),I533,""))</f>
        <v>Home</v>
      </c>
      <c r="K533" s="1" t="str">
        <f>IF(Raw!F533="","",Raw!F533)</f>
        <v>sale</v>
      </c>
      <c r="L533" s="1" t="str">
        <f>IF(LEFT(TRIM(Raw!G533),2)="-$","-"&amp;MID(TRIM(Raw!G533),3,99),IF(LEFT(TRIM(Raw!G533),1)="$",MID(TRIM(Raw!G533),2,99),TRIM(Raw!G533)))</f>
        <v>238.83</v>
      </c>
      <c r="M533" s="1">
        <f t="shared" si="67"/>
        <v>238.83</v>
      </c>
      <c r="N533" s="10">
        <f t="shared" si="68"/>
        <v>23883</v>
      </c>
      <c r="O533" s="1" t="b">
        <f>IFERROR(IF(ISNUMBER(Raw!G533),TRUE,OR(EXACT(L533,TEXT(M533,"0.00")),EXACT(L533,TEXT(M533,"#,##0.00")))),FALSE)</f>
        <v>1</v>
      </c>
      <c r="P533" s="1" t="str">
        <f>LEN(IF(Raw!A533="","",Raw!A533))&amp;":"&amp;IF(Raw!A533="","",Raw!A533)&amp;"|"&amp;LEN(IF(Raw!B533="","",Raw!B533))&amp;":"&amp;IF(Raw!B533="","",Raw!B533)&amp;"|"&amp;LEN(IF(Raw!C533="","",Raw!C533))&amp;":"&amp;IF(Raw!C533="","",Raw!C533)&amp;"|"&amp;LEN(IF(Raw!D533="","",Raw!D533))&amp;":"&amp;IF(Raw!D533="","",Raw!D533)&amp;"|"&amp;LEN(IF(Raw!E533="","",Raw!E533))&amp;":"&amp;IF(Raw!E533="","",Raw!E533)&amp;"|"&amp;LEN(IF(Raw!F533="","",Raw!F533))&amp;":"&amp;IF(Raw!F533="","",Raw!F533)&amp;"|"&amp;LEN(IF(Raw!G533="","",Raw!G533))&amp;":"&amp;IF(Raw!G533="","",Raw!G533)</f>
        <v>6:L00527|6:T00264|10:2026-02-11|3:P-H|4:Home|4:sale|6:238.83</v>
      </c>
      <c r="Q533" s="1">
        <f>1</f>
        <v>1</v>
      </c>
      <c r="R533" s="1" t="b">
        <f>FALSE</f>
        <v>0</v>
      </c>
      <c r="S533" s="1">
        <f>1</f>
        <v>1</v>
      </c>
      <c r="T533" s="1" t="str">
        <f>IF(AND(Raw!A533="",Raw!B533="",Raw!C533="",Raw!D533="",Raw!E533="",Raw!F533="",Raw!G533=""),"UNUSED",IF(A533="","missing line ID",IF(B533="","missing transaction ID",IF(G533="",IF(C533="","missing date","invalid date"),IF(I533="","unknown product",IF(J533="","conflicting category",IF(NOT(OR(EXACT(K533,"sale"),EXACT(K533,"refund"))),"unknown event",IF(OR(N533="",NOT(O533)),"invalid amount",IF(OR(AND(K533="sale",N533&lt;=0),AND(K533="refund",N533&gt;=0)),"invalid sign","")))))))))</f>
        <v/>
      </c>
      <c r="U533" s="1" t="str">
        <f t="shared" si="69"/>
        <v>INCLUDED</v>
      </c>
      <c r="V533" s="1" t="str">
        <f t="shared" si="70"/>
        <v>2026-02</v>
      </c>
      <c r="W533" s="1">
        <f>IF(AND(U533="INCLUDED",X533&gt;0,EXACT(A533,'AI output'!A533)),1,0)</f>
        <v>1</v>
      </c>
      <c r="X533" s="1">
        <f>533</f>
        <v>533</v>
      </c>
      <c r="Y533" s="1">
        <f>IF(AND(U533="INCLUDED",W533=1),--(NOT(EXACT(A533,'AI output'!A533)))+--(NOT(EXACT(B533,'AI output'!B533)))+--(NOT(EXACT(TEXT(G533,"yyyy-mm-dd"),'AI output'!C533)))+--(NOT(EXACT(H533,'AI output'!D533)))+--(NOT(EXACT(J533,'AI output'!E533)))+--(NOT(EXACT(K533,'AI output'!F533)))+--(N533&lt;&gt;'AI output'!L533)+--(NOT('AI output'!M533)),0)</f>
        <v>0</v>
      </c>
      <c r="Z533" s="1">
        <f t="shared" si="71"/>
        <v>0</v>
      </c>
      <c r="AA533" s="1">
        <f>--EXACT(A533,"L00527")</f>
        <v>1</v>
      </c>
    </row>
    <row r="534" spans="1:27" ht="18.95" customHeight="1">
      <c r="A534" s="1" t="str">
        <f>IF(Raw!A534="","",Raw!A534)</f>
        <v>L00528</v>
      </c>
      <c r="B534" s="1" t="str">
        <f>IF(Raw!B534="","",Raw!B534)</f>
        <v>T00264</v>
      </c>
      <c r="C534" s="1" t="str">
        <f>IF(Raw!C534="","",Raw!C534)</f>
        <v>2026-02-11</v>
      </c>
      <c r="D534" s="1">
        <f t="shared" si="64"/>
        <v>2026</v>
      </c>
      <c r="E534" s="1">
        <f>IFERROR(IF(AND(LEN(C534)=10,MID(C534,5,1)="-",MID(C534,8,1)="-"),VALUE(MID(C534,6,2)),IF(AND(LEN(C534)=11,MID(C534,3,1)="-",MID(C534,7,1)="-"),MATCH(UPPER(MID(C534,4,3)),Guide!$D$7:$D$18,0),0)),0)</f>
        <v>2</v>
      </c>
      <c r="F534" s="1">
        <f t="shared" si="65"/>
        <v>11</v>
      </c>
      <c r="G534" s="9">
        <f t="shared" si="66"/>
        <v>46064</v>
      </c>
      <c r="H534" s="1" t="str">
        <f>IF(Raw!D534="","",Raw!D534)</f>
        <v>P-O</v>
      </c>
      <c r="I534" s="1" t="str">
        <f>IFERROR(IF(EXACT(H534,INDEX(Guide!$A$7:$A$9,MATCH(SUBSTITUTE(SUBSTITUTE(SUBSTITUTE(H534,"~","~~"),"*","~*"),"?","~?"),Guide!$A$7:$A$9,0))),INDEX(Guide!$B$7:$B$9,MATCH(SUBSTITUTE(SUBSTITUTE(SUBSTITUTE(H534,"~","~~"),"*","~*"),"?","~?"),Guide!$A$7:$A$9,0)),""),"")</f>
        <v>Office</v>
      </c>
      <c r="J534" s="1" t="str">
        <f>IF(TRIM(Raw!E534)="",I534,IF(UPPER(TRIM(Raw!E534))=UPPER(I534),I534,""))</f>
        <v>Office</v>
      </c>
      <c r="K534" s="1" t="str">
        <f>IF(Raw!F534="","",Raw!F534)</f>
        <v>sale</v>
      </c>
      <c r="L534" s="1" t="str">
        <f>IF(LEFT(TRIM(Raw!G534),2)="-$","-"&amp;MID(TRIM(Raw!G534),3,99),IF(LEFT(TRIM(Raw!G534),1)="$",MID(TRIM(Raw!G534),2,99),TRIM(Raw!G534)))</f>
        <v>399.90</v>
      </c>
      <c r="M534" s="1">
        <f t="shared" si="67"/>
        <v>399.9</v>
      </c>
      <c r="N534" s="10">
        <f t="shared" si="68"/>
        <v>39990</v>
      </c>
      <c r="O534" s="1" t="b">
        <f>IFERROR(IF(ISNUMBER(Raw!G534),TRUE,OR(EXACT(L534,TEXT(M534,"0.00")),EXACT(L534,TEXT(M534,"#,##0.00")))),FALSE)</f>
        <v>1</v>
      </c>
      <c r="P534" s="1" t="str">
        <f>LEN(IF(Raw!A534="","",Raw!A534))&amp;":"&amp;IF(Raw!A534="","",Raw!A534)&amp;"|"&amp;LEN(IF(Raw!B534="","",Raw!B534))&amp;":"&amp;IF(Raw!B534="","",Raw!B534)&amp;"|"&amp;LEN(IF(Raw!C534="","",Raw!C534))&amp;":"&amp;IF(Raw!C534="","",Raw!C534)&amp;"|"&amp;LEN(IF(Raw!D534="","",Raw!D534))&amp;":"&amp;IF(Raw!D534="","",Raw!D534)&amp;"|"&amp;LEN(IF(Raw!E534="","",Raw!E534))&amp;":"&amp;IF(Raw!E534="","",Raw!E534)&amp;"|"&amp;LEN(IF(Raw!F534="","",Raw!F534))&amp;":"&amp;IF(Raw!F534="","",Raw!F534)&amp;"|"&amp;LEN(IF(Raw!G534="","",Raw!G534))&amp;":"&amp;IF(Raw!G534="","",Raw!G534)</f>
        <v>6:L00528|6:T00264|10:2026-02-11|3:P-O|6:Office|4:sale|6:399.90</v>
      </c>
      <c r="Q534" s="1">
        <f>1</f>
        <v>1</v>
      </c>
      <c r="R534" s="1" t="b">
        <f>FALSE</f>
        <v>0</v>
      </c>
      <c r="S534" s="1">
        <f>1</f>
        <v>1</v>
      </c>
      <c r="T534" s="1" t="str">
        <f>IF(AND(Raw!A534="",Raw!B534="",Raw!C534="",Raw!D534="",Raw!E534="",Raw!F534="",Raw!G534=""),"UNUSED",IF(A534="","missing line ID",IF(B534="","missing transaction ID",IF(G534="",IF(C534="","missing date","invalid date"),IF(I534="","unknown product",IF(J534="","conflicting category",IF(NOT(OR(EXACT(K534,"sale"),EXACT(K534,"refund"))),"unknown event",IF(OR(N534="",NOT(O534)),"invalid amount",IF(OR(AND(K534="sale",N534&lt;=0),AND(K534="refund",N534&gt;=0)),"invalid sign","")))))))))</f>
        <v/>
      </c>
      <c r="U534" s="1" t="str">
        <f t="shared" si="69"/>
        <v>INCLUDED</v>
      </c>
      <c r="V534" s="1" t="str">
        <f t="shared" si="70"/>
        <v>2026-02</v>
      </c>
      <c r="W534" s="1">
        <f>IF(AND(U534="INCLUDED",X534&gt;0,EXACT(A534,'AI output'!A534)),1,0)</f>
        <v>1</v>
      </c>
      <c r="X534" s="1">
        <f>534</f>
        <v>534</v>
      </c>
      <c r="Y534" s="1">
        <f>IF(AND(U534="INCLUDED",W534=1),--(NOT(EXACT(A534,'AI output'!A534)))+--(NOT(EXACT(B534,'AI output'!B534)))+--(NOT(EXACT(TEXT(G534,"yyyy-mm-dd"),'AI output'!C534)))+--(NOT(EXACT(H534,'AI output'!D534)))+--(NOT(EXACT(J534,'AI output'!E534)))+--(NOT(EXACT(K534,'AI output'!F534)))+--(N534&lt;&gt;'AI output'!L534)+--(NOT('AI output'!M534)),0)</f>
        <v>0</v>
      </c>
      <c r="Z534" s="1">
        <f t="shared" si="71"/>
        <v>0</v>
      </c>
      <c r="AA534" s="1">
        <f>--EXACT(A534,"L00528")</f>
        <v>1</v>
      </c>
    </row>
    <row r="535" spans="1:27" ht="18.95" customHeight="1">
      <c r="A535" s="1" t="str">
        <f>IF(Raw!A535="","",Raw!A535)</f>
        <v>L00529</v>
      </c>
      <c r="B535" s="1" t="str">
        <f>IF(Raw!B535="","",Raw!B535)</f>
        <v>T00265</v>
      </c>
      <c r="C535" s="1" t="str">
        <f>IF(Raw!C535="","",Raw!C535)</f>
        <v>2026-02-18</v>
      </c>
      <c r="D535" s="1">
        <f t="shared" si="64"/>
        <v>2026</v>
      </c>
      <c r="E535" s="1">
        <f>IFERROR(IF(AND(LEN(C535)=10,MID(C535,5,1)="-",MID(C535,8,1)="-"),VALUE(MID(C535,6,2)),IF(AND(LEN(C535)=11,MID(C535,3,1)="-",MID(C535,7,1)="-"),MATCH(UPPER(MID(C535,4,3)),Guide!$D$7:$D$18,0),0)),0)</f>
        <v>2</v>
      </c>
      <c r="F535" s="1">
        <f t="shared" si="65"/>
        <v>18</v>
      </c>
      <c r="G535" s="9">
        <f t="shared" si="66"/>
        <v>46071</v>
      </c>
      <c r="H535" s="1" t="str">
        <f>IF(Raw!D535="","",Raw!D535)</f>
        <v>P-A</v>
      </c>
      <c r="I535" s="1" t="str">
        <f>IFERROR(IF(EXACT(H535,INDEX(Guide!$A$7:$A$9,MATCH(SUBSTITUTE(SUBSTITUTE(SUBSTITUTE(H535,"~","~~"),"*","~*"),"?","~?"),Guide!$A$7:$A$9,0))),INDEX(Guide!$B$7:$B$9,MATCH(SUBSTITUTE(SUBSTITUTE(SUBSTITUTE(H535,"~","~~"),"*","~*"),"?","~?"),Guide!$A$7:$A$9,0)),""),"")</f>
        <v>Accessories</v>
      </c>
      <c r="J535" s="1" t="str">
        <f>IF(TRIM(Raw!E535)="",I535,IF(UPPER(TRIM(Raw!E535))=UPPER(I535),I535,""))</f>
        <v>Accessories</v>
      </c>
      <c r="K535" s="1" t="str">
        <f>IF(Raw!F535="","",Raw!F535)</f>
        <v>sale</v>
      </c>
      <c r="L535" s="1" t="str">
        <f>IF(LEFT(TRIM(Raw!G535),2)="-$","-"&amp;MID(TRIM(Raw!G535),3,99),IF(LEFT(TRIM(Raw!G535),1)="$",MID(TRIM(Raw!G535),2,99),TRIM(Raw!G535)))</f>
        <v>160.70</v>
      </c>
      <c r="M535" s="1">
        <f t="shared" si="67"/>
        <v>160.69999999999999</v>
      </c>
      <c r="N535" s="10">
        <f t="shared" si="68"/>
        <v>16070</v>
      </c>
      <c r="O535" s="1" t="b">
        <f>IFERROR(IF(ISNUMBER(Raw!G535),TRUE,OR(EXACT(L535,TEXT(M535,"0.00")),EXACT(L535,TEXT(M535,"#,##0.00")))),FALSE)</f>
        <v>1</v>
      </c>
      <c r="P535" s="1" t="str">
        <f>LEN(IF(Raw!A535="","",Raw!A535))&amp;":"&amp;IF(Raw!A535="","",Raw!A535)&amp;"|"&amp;LEN(IF(Raw!B535="","",Raw!B535))&amp;":"&amp;IF(Raw!B535="","",Raw!B535)&amp;"|"&amp;LEN(IF(Raw!C535="","",Raw!C535))&amp;":"&amp;IF(Raw!C535="","",Raw!C535)&amp;"|"&amp;LEN(IF(Raw!D535="","",Raw!D535))&amp;":"&amp;IF(Raw!D535="","",Raw!D535)&amp;"|"&amp;LEN(IF(Raw!E535="","",Raw!E535))&amp;":"&amp;IF(Raw!E535="","",Raw!E535)&amp;"|"&amp;LEN(IF(Raw!F535="","",Raw!F535))&amp;":"&amp;IF(Raw!F535="","",Raw!F535)&amp;"|"&amp;LEN(IF(Raw!G535="","",Raw!G535))&amp;":"&amp;IF(Raw!G535="","",Raw!G535)</f>
        <v>6:L00529|6:T00265|10:2026-02-18|3:P-A|11:Accessories|4:sale|6:160.70</v>
      </c>
      <c r="Q535" s="1">
        <f>1</f>
        <v>1</v>
      </c>
      <c r="R535" s="1" t="b">
        <f>FALSE</f>
        <v>0</v>
      </c>
      <c r="S535" s="1">
        <f>1</f>
        <v>1</v>
      </c>
      <c r="T535" s="1" t="str">
        <f>IF(AND(Raw!A535="",Raw!B535="",Raw!C535="",Raw!D535="",Raw!E535="",Raw!F535="",Raw!G535=""),"UNUSED",IF(A535="","missing line ID",IF(B535="","missing transaction ID",IF(G535="",IF(C535="","missing date","invalid date"),IF(I535="","unknown product",IF(J535="","conflicting category",IF(NOT(OR(EXACT(K535,"sale"),EXACT(K535,"refund"))),"unknown event",IF(OR(N535="",NOT(O535)),"invalid amount",IF(OR(AND(K535="sale",N535&lt;=0),AND(K535="refund",N535&gt;=0)),"invalid sign","")))))))))</f>
        <v/>
      </c>
      <c r="U535" s="1" t="str">
        <f t="shared" si="69"/>
        <v>INCLUDED</v>
      </c>
      <c r="V535" s="1" t="str">
        <f t="shared" si="70"/>
        <v>2026-02</v>
      </c>
      <c r="W535" s="1">
        <f>IF(AND(U535="INCLUDED",X535&gt;0,EXACT(A535,'AI output'!A535)),1,0)</f>
        <v>1</v>
      </c>
      <c r="X535" s="1">
        <f>535</f>
        <v>535</v>
      </c>
      <c r="Y535" s="1">
        <f>IF(AND(U535="INCLUDED",W535=1),--(NOT(EXACT(A535,'AI output'!A535)))+--(NOT(EXACT(B535,'AI output'!B535)))+--(NOT(EXACT(TEXT(G535,"yyyy-mm-dd"),'AI output'!C535)))+--(NOT(EXACT(H535,'AI output'!D535)))+--(NOT(EXACT(J535,'AI output'!E535)))+--(NOT(EXACT(K535,'AI output'!F535)))+--(N535&lt;&gt;'AI output'!L535)+--(NOT('AI output'!M535)),0)</f>
        <v>0</v>
      </c>
      <c r="Z535" s="1">
        <f t="shared" si="71"/>
        <v>0</v>
      </c>
      <c r="AA535" s="1">
        <f>--EXACT(A535,"L00529")</f>
        <v>1</v>
      </c>
    </row>
    <row r="536" spans="1:27" ht="18.95" customHeight="1">
      <c r="A536" s="1" t="str">
        <f>IF(Raw!A536="","",Raw!A536)</f>
        <v>L00530</v>
      </c>
      <c r="B536" s="1" t="str">
        <f>IF(Raw!B536="","",Raw!B536)</f>
        <v>T00265</v>
      </c>
      <c r="C536" s="1" t="str">
        <f>IF(Raw!C536="","",Raw!C536)</f>
        <v>2026-02-18</v>
      </c>
      <c r="D536" s="1">
        <f t="shared" si="64"/>
        <v>2026</v>
      </c>
      <c r="E536" s="1">
        <f>IFERROR(IF(AND(LEN(C536)=10,MID(C536,5,1)="-",MID(C536,8,1)="-"),VALUE(MID(C536,6,2)),IF(AND(LEN(C536)=11,MID(C536,3,1)="-",MID(C536,7,1)="-"),MATCH(UPPER(MID(C536,4,3)),Guide!$D$7:$D$18,0),0)),0)</f>
        <v>2</v>
      </c>
      <c r="F536" s="1">
        <f t="shared" si="65"/>
        <v>18</v>
      </c>
      <c r="G536" s="9">
        <f t="shared" si="66"/>
        <v>46071</v>
      </c>
      <c r="H536" s="1" t="str">
        <f>IF(Raw!D536="","",Raw!D536)</f>
        <v>P-H</v>
      </c>
      <c r="I536" s="1" t="str">
        <f>IFERROR(IF(EXACT(H536,INDEX(Guide!$A$7:$A$9,MATCH(SUBSTITUTE(SUBSTITUTE(SUBSTITUTE(H536,"~","~~"),"*","~*"),"?","~?"),Guide!$A$7:$A$9,0))),INDEX(Guide!$B$7:$B$9,MATCH(SUBSTITUTE(SUBSTITUTE(SUBSTITUTE(H536,"~","~~"),"*","~*"),"?","~?"),Guide!$A$7:$A$9,0)),""),"")</f>
        <v>Home</v>
      </c>
      <c r="J536" s="1" t="str">
        <f>IF(TRIM(Raw!E536)="",I536,IF(UPPER(TRIM(Raw!E536))=UPPER(I536),I536,""))</f>
        <v>Home</v>
      </c>
      <c r="K536" s="1" t="str">
        <f>IF(Raw!F536="","",Raw!F536)</f>
        <v>refund</v>
      </c>
      <c r="L536" s="1" t="str">
        <f>IF(LEFT(TRIM(Raw!G536),2)="-$","-"&amp;MID(TRIM(Raw!G536),3,99),IF(LEFT(TRIM(Raw!G536),1)="$",MID(TRIM(Raw!G536),2,99),TRIM(Raw!G536)))</f>
        <v>-322.88</v>
      </c>
      <c r="M536" s="1">
        <f t="shared" si="67"/>
        <v>-322.88</v>
      </c>
      <c r="N536" s="10">
        <f t="shared" si="68"/>
        <v>-32288</v>
      </c>
      <c r="O536" s="1" t="b">
        <f>IFERROR(IF(ISNUMBER(Raw!G536),TRUE,OR(EXACT(L536,TEXT(M536,"0.00")),EXACT(L536,TEXT(M536,"#,##0.00")))),FALSE)</f>
        <v>1</v>
      </c>
      <c r="P536" s="1" t="str">
        <f>LEN(IF(Raw!A536="","",Raw!A536))&amp;":"&amp;IF(Raw!A536="","",Raw!A536)&amp;"|"&amp;LEN(IF(Raw!B536="","",Raw!B536))&amp;":"&amp;IF(Raw!B536="","",Raw!B536)&amp;"|"&amp;LEN(IF(Raw!C536="","",Raw!C536))&amp;":"&amp;IF(Raw!C536="","",Raw!C536)&amp;"|"&amp;LEN(IF(Raw!D536="","",Raw!D536))&amp;":"&amp;IF(Raw!D536="","",Raw!D536)&amp;"|"&amp;LEN(IF(Raw!E536="","",Raw!E536))&amp;":"&amp;IF(Raw!E536="","",Raw!E536)&amp;"|"&amp;LEN(IF(Raw!F536="","",Raw!F536))&amp;":"&amp;IF(Raw!F536="","",Raw!F536)&amp;"|"&amp;LEN(IF(Raw!G536="","",Raw!G536))&amp;":"&amp;IF(Raw!G536="","",Raw!G536)</f>
        <v>6:L00530|6:T00265|10:2026-02-18|3:P-H|4:Home|6:refund|7:-322.88</v>
      </c>
      <c r="Q536" s="1">
        <f>1</f>
        <v>1</v>
      </c>
      <c r="R536" s="1" t="b">
        <f>FALSE</f>
        <v>0</v>
      </c>
      <c r="S536" s="1">
        <f>1</f>
        <v>1</v>
      </c>
      <c r="T536" s="1" t="str">
        <f>IF(AND(Raw!A536="",Raw!B536="",Raw!C536="",Raw!D536="",Raw!E536="",Raw!F536="",Raw!G536=""),"UNUSED",IF(A536="","missing line ID",IF(B536="","missing transaction ID",IF(G536="",IF(C536="","missing date","invalid date"),IF(I536="","unknown product",IF(J536="","conflicting category",IF(NOT(OR(EXACT(K536,"sale"),EXACT(K536,"refund"))),"unknown event",IF(OR(N536="",NOT(O536)),"invalid amount",IF(OR(AND(K536="sale",N536&lt;=0),AND(K536="refund",N536&gt;=0)),"invalid sign","")))))))))</f>
        <v/>
      </c>
      <c r="U536" s="1" t="str">
        <f t="shared" si="69"/>
        <v>INCLUDED</v>
      </c>
      <c r="V536" s="1" t="str">
        <f t="shared" si="70"/>
        <v>2026-02</v>
      </c>
      <c r="W536" s="1">
        <f>IF(AND(U536="INCLUDED",X536&gt;0,EXACT(A536,'AI output'!A536)),1,0)</f>
        <v>1</v>
      </c>
      <c r="X536" s="1">
        <f>536</f>
        <v>536</v>
      </c>
      <c r="Y536" s="1">
        <f>IF(AND(U536="INCLUDED",W536=1),--(NOT(EXACT(A536,'AI output'!A536)))+--(NOT(EXACT(B536,'AI output'!B536)))+--(NOT(EXACT(TEXT(G536,"yyyy-mm-dd"),'AI output'!C536)))+--(NOT(EXACT(H536,'AI output'!D536)))+--(NOT(EXACT(J536,'AI output'!E536)))+--(NOT(EXACT(K536,'AI output'!F536)))+--(N536&lt;&gt;'AI output'!L536)+--(NOT('AI output'!M536)),0)</f>
        <v>0</v>
      </c>
      <c r="Z536" s="1">
        <f t="shared" si="71"/>
        <v>0</v>
      </c>
      <c r="AA536" s="1">
        <f>--EXACT(A536,"L00530")</f>
        <v>1</v>
      </c>
    </row>
    <row r="537" spans="1:27" ht="18.95" customHeight="1">
      <c r="A537" s="1" t="str">
        <f>IF(Raw!A537="","",Raw!A537)</f>
        <v>L00531</v>
      </c>
      <c r="B537" s="1" t="str">
        <f>IF(Raw!B537="","",Raw!B537)</f>
        <v>T00266</v>
      </c>
      <c r="C537" s="1" t="str">
        <f>IF(Raw!C537="","",Raw!C537)</f>
        <v>2026-02-25</v>
      </c>
      <c r="D537" s="1">
        <f t="shared" si="64"/>
        <v>2026</v>
      </c>
      <c r="E537" s="1">
        <f>IFERROR(IF(AND(LEN(C537)=10,MID(C537,5,1)="-",MID(C537,8,1)="-"),VALUE(MID(C537,6,2)),IF(AND(LEN(C537)=11,MID(C537,3,1)="-",MID(C537,7,1)="-"),MATCH(UPPER(MID(C537,4,3)),Guide!$D$7:$D$18,0),0)),0)</f>
        <v>2</v>
      </c>
      <c r="F537" s="1">
        <f t="shared" si="65"/>
        <v>25</v>
      </c>
      <c r="G537" s="9">
        <f t="shared" si="66"/>
        <v>46078</v>
      </c>
      <c r="H537" s="1" t="str">
        <f>IF(Raw!D537="","",Raw!D537)</f>
        <v>P-O</v>
      </c>
      <c r="I537" s="1" t="str">
        <f>IFERROR(IF(EXACT(H537,INDEX(Guide!$A$7:$A$9,MATCH(SUBSTITUTE(SUBSTITUTE(SUBSTITUTE(H537,"~","~~"),"*","~*"),"?","~?"),Guide!$A$7:$A$9,0))),INDEX(Guide!$B$7:$B$9,MATCH(SUBSTITUTE(SUBSTITUTE(SUBSTITUTE(H537,"~","~~"),"*","~*"),"?","~?"),Guide!$A$7:$A$9,0)),""),"")</f>
        <v>Office</v>
      </c>
      <c r="J537" s="1" t="str">
        <f>IF(TRIM(Raw!E537)="",I537,IF(UPPER(TRIM(Raw!E537))=UPPER(I537),I537,""))</f>
        <v>Office</v>
      </c>
      <c r="K537" s="1" t="str">
        <f>IF(Raw!F537="","",Raw!F537)</f>
        <v>sale</v>
      </c>
      <c r="L537" s="1" t="str">
        <f>IF(LEFT(TRIM(Raw!G537),2)="-$","-"&amp;MID(TRIM(Raw!G537),3,99),IF(LEFT(TRIM(Raw!G537),1)="$",MID(TRIM(Raw!G537),2,99),TRIM(Raw!G537)))</f>
        <v>81.09</v>
      </c>
      <c r="M537" s="1">
        <f t="shared" si="67"/>
        <v>81.09</v>
      </c>
      <c r="N537" s="10">
        <f t="shared" si="68"/>
        <v>8109</v>
      </c>
      <c r="O537" s="1" t="b">
        <f>IFERROR(IF(ISNUMBER(Raw!G537),TRUE,OR(EXACT(L537,TEXT(M537,"0.00")),EXACT(L537,TEXT(M537,"#,##0.00")))),FALSE)</f>
        <v>1</v>
      </c>
      <c r="P537" s="1" t="str">
        <f>LEN(IF(Raw!A537="","",Raw!A537))&amp;":"&amp;IF(Raw!A537="","",Raw!A537)&amp;"|"&amp;LEN(IF(Raw!B537="","",Raw!B537))&amp;":"&amp;IF(Raw!B537="","",Raw!B537)&amp;"|"&amp;LEN(IF(Raw!C537="","",Raw!C537))&amp;":"&amp;IF(Raw!C537="","",Raw!C537)&amp;"|"&amp;LEN(IF(Raw!D537="","",Raw!D537))&amp;":"&amp;IF(Raw!D537="","",Raw!D537)&amp;"|"&amp;LEN(IF(Raw!E537="","",Raw!E537))&amp;":"&amp;IF(Raw!E537="","",Raw!E537)&amp;"|"&amp;LEN(IF(Raw!F537="","",Raw!F537))&amp;":"&amp;IF(Raw!F537="","",Raw!F537)&amp;"|"&amp;LEN(IF(Raw!G537="","",Raw!G537))&amp;":"&amp;IF(Raw!G537="","",Raw!G537)</f>
        <v>6:L00531|6:T00266|10:2026-02-25|3:P-O|6:Office|4:sale|5:81.09</v>
      </c>
      <c r="Q537" s="1">
        <f>1</f>
        <v>1</v>
      </c>
      <c r="R537" s="1" t="b">
        <f>FALSE</f>
        <v>0</v>
      </c>
      <c r="S537" s="1">
        <f>1</f>
        <v>1</v>
      </c>
      <c r="T537" s="1" t="str">
        <f>IF(AND(Raw!A537="",Raw!B537="",Raw!C537="",Raw!D537="",Raw!E537="",Raw!F537="",Raw!G537=""),"UNUSED",IF(A537="","missing line ID",IF(B537="","missing transaction ID",IF(G537="",IF(C537="","missing date","invalid date"),IF(I537="","unknown product",IF(J537="","conflicting category",IF(NOT(OR(EXACT(K537,"sale"),EXACT(K537,"refund"))),"unknown event",IF(OR(N537="",NOT(O537)),"invalid amount",IF(OR(AND(K537="sale",N537&lt;=0),AND(K537="refund",N537&gt;=0)),"invalid sign","")))))))))</f>
        <v/>
      </c>
      <c r="U537" s="1" t="str">
        <f t="shared" si="69"/>
        <v>INCLUDED</v>
      </c>
      <c r="V537" s="1" t="str">
        <f t="shared" si="70"/>
        <v>2026-02</v>
      </c>
      <c r="W537" s="1">
        <f>IF(AND(U537="INCLUDED",X537&gt;0,EXACT(A537,'AI output'!A537)),1,0)</f>
        <v>1</v>
      </c>
      <c r="X537" s="1">
        <f>537</f>
        <v>537</v>
      </c>
      <c r="Y537" s="1">
        <f>IF(AND(U537="INCLUDED",W537=1),--(NOT(EXACT(A537,'AI output'!A537)))+--(NOT(EXACT(B537,'AI output'!B537)))+--(NOT(EXACT(TEXT(G537,"yyyy-mm-dd"),'AI output'!C537)))+--(NOT(EXACT(H537,'AI output'!D537)))+--(NOT(EXACT(J537,'AI output'!E537)))+--(NOT(EXACT(K537,'AI output'!F537)))+--(N537&lt;&gt;'AI output'!L537)+--(NOT('AI output'!M537)),0)</f>
        <v>0</v>
      </c>
      <c r="Z537" s="1">
        <f t="shared" si="71"/>
        <v>0</v>
      </c>
      <c r="AA537" s="1">
        <f>--EXACT(A537,"L00531")</f>
        <v>1</v>
      </c>
    </row>
    <row r="538" spans="1:27" ht="18.95" customHeight="1">
      <c r="A538" s="1" t="str">
        <f>IF(Raw!A538="","",Raw!A538)</f>
        <v>L00532</v>
      </c>
      <c r="B538" s="1" t="str">
        <f>IF(Raw!B538="","",Raw!B538)</f>
        <v>T00266</v>
      </c>
      <c r="C538" s="1" t="str">
        <f>IF(Raw!C538="","",Raw!C538)</f>
        <v>2026-02-25</v>
      </c>
      <c r="D538" s="1">
        <f t="shared" si="64"/>
        <v>2026</v>
      </c>
      <c r="E538" s="1">
        <f>IFERROR(IF(AND(LEN(C538)=10,MID(C538,5,1)="-",MID(C538,8,1)="-"),VALUE(MID(C538,6,2)),IF(AND(LEN(C538)=11,MID(C538,3,1)="-",MID(C538,7,1)="-"),MATCH(UPPER(MID(C538,4,3)),Guide!$D$7:$D$18,0),0)),0)</f>
        <v>2</v>
      </c>
      <c r="F538" s="1">
        <f t="shared" si="65"/>
        <v>25</v>
      </c>
      <c r="G538" s="9">
        <f t="shared" si="66"/>
        <v>46078</v>
      </c>
      <c r="H538" s="1" t="str">
        <f>IF(Raw!D538="","",Raw!D538)</f>
        <v>P-A</v>
      </c>
      <c r="I538" s="1" t="str">
        <f>IFERROR(IF(EXACT(H538,INDEX(Guide!$A$7:$A$9,MATCH(SUBSTITUTE(SUBSTITUTE(SUBSTITUTE(H538,"~","~~"),"*","~*"),"?","~?"),Guide!$A$7:$A$9,0))),INDEX(Guide!$B$7:$B$9,MATCH(SUBSTITUTE(SUBSTITUTE(SUBSTITUTE(H538,"~","~~"),"*","~*"),"?","~?"),Guide!$A$7:$A$9,0)),""),"")</f>
        <v>Accessories</v>
      </c>
      <c r="J538" s="1" t="str">
        <f>IF(TRIM(Raw!E538)="",I538,IF(UPPER(TRIM(Raw!E538))=UPPER(I538),I538,""))</f>
        <v>Accessories</v>
      </c>
      <c r="K538" s="1" t="str">
        <f>IF(Raw!F538="","",Raw!F538)</f>
        <v>sale</v>
      </c>
      <c r="L538" s="1" t="str">
        <f>IF(LEFT(TRIM(Raw!G538),2)="-$","-"&amp;MID(TRIM(Raw!G538),3,99),IF(LEFT(TRIM(Raw!G538),1)="$",MID(TRIM(Raw!G538),2,99),TRIM(Raw!G538)))</f>
        <v>244.38</v>
      </c>
      <c r="M538" s="1">
        <f t="shared" si="67"/>
        <v>244.38</v>
      </c>
      <c r="N538" s="10">
        <f t="shared" si="68"/>
        <v>24438</v>
      </c>
      <c r="O538" s="1" t="b">
        <f>IFERROR(IF(ISNUMBER(Raw!G538),TRUE,OR(EXACT(L538,TEXT(M538,"0.00")),EXACT(L538,TEXT(M538,"#,##0.00")))),FALSE)</f>
        <v>1</v>
      </c>
      <c r="P538" s="1" t="str">
        <f>LEN(IF(Raw!A538="","",Raw!A538))&amp;":"&amp;IF(Raw!A538="","",Raw!A538)&amp;"|"&amp;LEN(IF(Raw!B538="","",Raw!B538))&amp;":"&amp;IF(Raw!B538="","",Raw!B538)&amp;"|"&amp;LEN(IF(Raw!C538="","",Raw!C538))&amp;":"&amp;IF(Raw!C538="","",Raw!C538)&amp;"|"&amp;LEN(IF(Raw!D538="","",Raw!D538))&amp;":"&amp;IF(Raw!D538="","",Raw!D538)&amp;"|"&amp;LEN(IF(Raw!E538="","",Raw!E538))&amp;":"&amp;IF(Raw!E538="","",Raw!E538)&amp;"|"&amp;LEN(IF(Raw!F538="","",Raw!F538))&amp;":"&amp;IF(Raw!F538="","",Raw!F538)&amp;"|"&amp;LEN(IF(Raw!G538="","",Raw!G538))&amp;":"&amp;IF(Raw!G538="","",Raw!G538)</f>
        <v>6:L00532|6:T00266|10:2026-02-25|3:P-A|11:Accessories|4:sale|6:244.38</v>
      </c>
      <c r="Q538" s="1">
        <f>1</f>
        <v>1</v>
      </c>
      <c r="R538" s="1" t="b">
        <f>FALSE</f>
        <v>0</v>
      </c>
      <c r="S538" s="1">
        <f>1</f>
        <v>1</v>
      </c>
      <c r="T538" s="1" t="str">
        <f>IF(AND(Raw!A538="",Raw!B538="",Raw!C538="",Raw!D538="",Raw!E538="",Raw!F538="",Raw!G538=""),"UNUSED",IF(A538="","missing line ID",IF(B538="","missing transaction ID",IF(G538="",IF(C538="","missing date","invalid date"),IF(I538="","unknown product",IF(J538="","conflicting category",IF(NOT(OR(EXACT(K538,"sale"),EXACT(K538,"refund"))),"unknown event",IF(OR(N538="",NOT(O538)),"invalid amount",IF(OR(AND(K538="sale",N538&lt;=0),AND(K538="refund",N538&gt;=0)),"invalid sign","")))))))))</f>
        <v/>
      </c>
      <c r="U538" s="1" t="str">
        <f t="shared" si="69"/>
        <v>INCLUDED</v>
      </c>
      <c r="V538" s="1" t="str">
        <f t="shared" si="70"/>
        <v>2026-02</v>
      </c>
      <c r="W538" s="1">
        <f>IF(AND(U538="INCLUDED",X538&gt;0,EXACT(A538,'AI output'!A538)),1,0)</f>
        <v>1</v>
      </c>
      <c r="X538" s="1">
        <f>538</f>
        <v>538</v>
      </c>
      <c r="Y538" s="1">
        <f>IF(AND(U538="INCLUDED",W538=1),--(NOT(EXACT(A538,'AI output'!A538)))+--(NOT(EXACT(B538,'AI output'!B538)))+--(NOT(EXACT(TEXT(G538,"yyyy-mm-dd"),'AI output'!C538)))+--(NOT(EXACT(H538,'AI output'!D538)))+--(NOT(EXACT(J538,'AI output'!E538)))+--(NOT(EXACT(K538,'AI output'!F538)))+--(N538&lt;&gt;'AI output'!L538)+--(NOT('AI output'!M538)),0)</f>
        <v>0</v>
      </c>
      <c r="Z538" s="1">
        <f t="shared" si="71"/>
        <v>0</v>
      </c>
      <c r="AA538" s="1">
        <f>--EXACT(A538,"L00532")</f>
        <v>1</v>
      </c>
    </row>
    <row r="539" spans="1:27" ht="18.95" customHeight="1">
      <c r="A539" s="1" t="str">
        <f>IF(Raw!A539="","",Raw!A539)</f>
        <v>L00533</v>
      </c>
      <c r="B539" s="1" t="str">
        <f>IF(Raw!B539="","",Raw!B539)</f>
        <v>T00267</v>
      </c>
      <c r="C539" s="1" t="str">
        <f>IF(Raw!C539="","",Raw!C539)</f>
        <v>2026-03-04</v>
      </c>
      <c r="D539" s="1">
        <f t="shared" si="64"/>
        <v>2026</v>
      </c>
      <c r="E539" s="1">
        <f>IFERROR(IF(AND(LEN(C539)=10,MID(C539,5,1)="-",MID(C539,8,1)="-"),VALUE(MID(C539,6,2)),IF(AND(LEN(C539)=11,MID(C539,3,1)="-",MID(C539,7,1)="-"),MATCH(UPPER(MID(C539,4,3)),Guide!$D$7:$D$18,0),0)),0)</f>
        <v>3</v>
      </c>
      <c r="F539" s="1">
        <f t="shared" si="65"/>
        <v>4</v>
      </c>
      <c r="G539" s="9">
        <f t="shared" si="66"/>
        <v>46085</v>
      </c>
      <c r="H539" s="1" t="str">
        <f>IF(Raw!D539="","",Raw!D539)</f>
        <v>P-H</v>
      </c>
      <c r="I539" s="1" t="str">
        <f>IFERROR(IF(EXACT(H539,INDEX(Guide!$A$7:$A$9,MATCH(SUBSTITUTE(SUBSTITUTE(SUBSTITUTE(H539,"~","~~"),"*","~*"),"?","~?"),Guide!$A$7:$A$9,0))),INDEX(Guide!$B$7:$B$9,MATCH(SUBSTITUTE(SUBSTITUTE(SUBSTITUTE(H539,"~","~~"),"*","~*"),"?","~?"),Guide!$A$7:$A$9,0)),""),"")</f>
        <v>Home</v>
      </c>
      <c r="J539" s="1" t="str">
        <f>IF(TRIM(Raw!E539)="",I539,IF(UPPER(TRIM(Raw!E539))=UPPER(I539),I539,""))</f>
        <v>Home</v>
      </c>
      <c r="K539" s="1" t="str">
        <f>IF(Raw!F539="","",Raw!F539)</f>
        <v>sale</v>
      </c>
      <c r="L539" s="1" t="str">
        <f>IF(LEFT(TRIM(Raw!G539),2)="-$","-"&amp;MID(TRIM(Raw!G539),3,99),IF(LEFT(TRIM(Raw!G539),1)="$",MID(TRIM(Raw!G539),2,99),TRIM(Raw!G539)))</f>
        <v>409.15</v>
      </c>
      <c r="M539" s="1">
        <f t="shared" si="67"/>
        <v>409.15</v>
      </c>
      <c r="N539" s="10">
        <f t="shared" si="68"/>
        <v>40915</v>
      </c>
      <c r="O539" s="1" t="b">
        <f>IFERROR(IF(ISNUMBER(Raw!G539),TRUE,OR(EXACT(L539,TEXT(M539,"0.00")),EXACT(L539,TEXT(M539,"#,##0.00")))),FALSE)</f>
        <v>1</v>
      </c>
      <c r="P539" s="1" t="str">
        <f>LEN(IF(Raw!A539="","",Raw!A539))&amp;":"&amp;IF(Raw!A539="","",Raw!A539)&amp;"|"&amp;LEN(IF(Raw!B539="","",Raw!B539))&amp;":"&amp;IF(Raw!B539="","",Raw!B539)&amp;"|"&amp;LEN(IF(Raw!C539="","",Raw!C539))&amp;":"&amp;IF(Raw!C539="","",Raw!C539)&amp;"|"&amp;LEN(IF(Raw!D539="","",Raw!D539))&amp;":"&amp;IF(Raw!D539="","",Raw!D539)&amp;"|"&amp;LEN(IF(Raw!E539="","",Raw!E539))&amp;":"&amp;IF(Raw!E539="","",Raw!E539)&amp;"|"&amp;LEN(IF(Raw!F539="","",Raw!F539))&amp;":"&amp;IF(Raw!F539="","",Raw!F539)&amp;"|"&amp;LEN(IF(Raw!G539="","",Raw!G539))&amp;":"&amp;IF(Raw!G539="","",Raw!G539)</f>
        <v>6:L00533|6:T00267|10:2026-03-04|3:P-H|4:Home|4:sale|6:409.15</v>
      </c>
      <c r="Q539" s="1">
        <f>1</f>
        <v>1</v>
      </c>
      <c r="R539" s="1" t="b">
        <f>FALSE</f>
        <v>0</v>
      </c>
      <c r="S539" s="1">
        <f>1</f>
        <v>1</v>
      </c>
      <c r="T539" s="1" t="str">
        <f>IF(AND(Raw!A539="",Raw!B539="",Raw!C539="",Raw!D539="",Raw!E539="",Raw!F539="",Raw!G539=""),"UNUSED",IF(A539="","missing line ID",IF(B539="","missing transaction ID",IF(G539="",IF(C539="","missing date","invalid date"),IF(I539="","unknown product",IF(J539="","conflicting category",IF(NOT(OR(EXACT(K539,"sale"),EXACT(K539,"refund"))),"unknown event",IF(OR(N539="",NOT(O539)),"invalid amount",IF(OR(AND(K539="sale",N539&lt;=0),AND(K539="refund",N539&gt;=0)),"invalid sign","")))))))))</f>
        <v/>
      </c>
      <c r="U539" s="1" t="str">
        <f t="shared" si="69"/>
        <v>INCLUDED</v>
      </c>
      <c r="V539" s="1" t="str">
        <f t="shared" si="70"/>
        <v>2026-03</v>
      </c>
      <c r="W539" s="1">
        <f>IF(AND(U539="INCLUDED",X539&gt;0,EXACT(A539,'AI output'!A539)),1,0)</f>
        <v>1</v>
      </c>
      <c r="X539" s="1">
        <f>539</f>
        <v>539</v>
      </c>
      <c r="Y539" s="1">
        <f>IF(AND(U539="INCLUDED",W539=1),--(NOT(EXACT(A539,'AI output'!A539)))+--(NOT(EXACT(B539,'AI output'!B539)))+--(NOT(EXACT(TEXT(G539,"yyyy-mm-dd"),'AI output'!C539)))+--(NOT(EXACT(H539,'AI output'!D539)))+--(NOT(EXACT(J539,'AI output'!E539)))+--(NOT(EXACT(K539,'AI output'!F539)))+--(N539&lt;&gt;'AI output'!L539)+--(NOT('AI output'!M539)),0)</f>
        <v>0</v>
      </c>
      <c r="Z539" s="1">
        <f t="shared" si="71"/>
        <v>0</v>
      </c>
      <c r="AA539" s="1">
        <f>--EXACT(A539,"L00533")</f>
        <v>1</v>
      </c>
    </row>
    <row r="540" spans="1:27" ht="18.95" customHeight="1">
      <c r="A540" s="1" t="str">
        <f>IF(Raw!A540="","",Raw!A540)</f>
        <v>L00534</v>
      </c>
      <c r="B540" s="1" t="str">
        <f>IF(Raw!B540="","",Raw!B540)</f>
        <v>T00267</v>
      </c>
      <c r="C540" s="1" t="str">
        <f>IF(Raw!C540="","",Raw!C540)</f>
        <v>2026-03-04</v>
      </c>
      <c r="D540" s="1">
        <f t="shared" si="64"/>
        <v>2026</v>
      </c>
      <c r="E540" s="1">
        <f>IFERROR(IF(AND(LEN(C540)=10,MID(C540,5,1)="-",MID(C540,8,1)="-"),VALUE(MID(C540,6,2)),IF(AND(LEN(C540)=11,MID(C540,3,1)="-",MID(C540,7,1)="-"),MATCH(UPPER(MID(C540,4,3)),Guide!$D$7:$D$18,0),0)),0)</f>
        <v>3</v>
      </c>
      <c r="F540" s="1">
        <f t="shared" si="65"/>
        <v>4</v>
      </c>
      <c r="G540" s="9">
        <f t="shared" si="66"/>
        <v>46085</v>
      </c>
      <c r="H540" s="1" t="str">
        <f>IF(Raw!D540="","",Raw!D540)</f>
        <v>P-O</v>
      </c>
      <c r="I540" s="1" t="str">
        <f>IFERROR(IF(EXACT(H540,INDEX(Guide!$A$7:$A$9,MATCH(SUBSTITUTE(SUBSTITUTE(SUBSTITUTE(H540,"~","~~"),"*","~*"),"?","~?"),Guide!$A$7:$A$9,0))),INDEX(Guide!$B$7:$B$9,MATCH(SUBSTITUTE(SUBSTITUTE(SUBSTITUTE(H540,"~","~~"),"*","~*"),"?","~?"),Guide!$A$7:$A$9,0)),""),"")</f>
        <v>Office</v>
      </c>
      <c r="J540" s="1" t="str">
        <f>IF(TRIM(Raw!E540)="",I540,IF(UPPER(TRIM(Raw!E540))=UPPER(I540),I540,""))</f>
        <v>Office</v>
      </c>
      <c r="K540" s="1" t="str">
        <f>IF(Raw!F540="","",Raw!F540)</f>
        <v>sale</v>
      </c>
      <c r="L540" s="1" t="str">
        <f>IF(LEFT(TRIM(Raw!G540),2)="-$","-"&amp;MID(TRIM(Raw!G540),3,99),IF(LEFT(TRIM(Raw!G540),1)="$",MID(TRIM(Raw!G540),2,99),TRIM(Raw!G540)))</f>
        <v>164.40</v>
      </c>
      <c r="M540" s="1">
        <f t="shared" si="67"/>
        <v>164.4</v>
      </c>
      <c r="N540" s="10">
        <f t="shared" si="68"/>
        <v>16440</v>
      </c>
      <c r="O540" s="1" t="b">
        <f>IFERROR(IF(ISNUMBER(Raw!G540),TRUE,OR(EXACT(L540,TEXT(M540,"0.00")),EXACT(L540,TEXT(M540,"#,##0.00")))),FALSE)</f>
        <v>1</v>
      </c>
      <c r="P540" s="1" t="str">
        <f>LEN(IF(Raw!A540="","",Raw!A540))&amp;":"&amp;IF(Raw!A540="","",Raw!A540)&amp;"|"&amp;LEN(IF(Raw!B540="","",Raw!B540))&amp;":"&amp;IF(Raw!B540="","",Raw!B540)&amp;"|"&amp;LEN(IF(Raw!C540="","",Raw!C540))&amp;":"&amp;IF(Raw!C540="","",Raw!C540)&amp;"|"&amp;LEN(IF(Raw!D540="","",Raw!D540))&amp;":"&amp;IF(Raw!D540="","",Raw!D540)&amp;"|"&amp;LEN(IF(Raw!E540="","",Raw!E540))&amp;":"&amp;IF(Raw!E540="","",Raw!E540)&amp;"|"&amp;LEN(IF(Raw!F540="","",Raw!F540))&amp;":"&amp;IF(Raw!F540="","",Raw!F540)&amp;"|"&amp;LEN(IF(Raw!G540="","",Raw!G540))&amp;":"&amp;IF(Raw!G540="","",Raw!G540)</f>
        <v>6:L00534|6:T00267|10:2026-03-04|3:P-O|6:Office|4:sale|6:164.40</v>
      </c>
      <c r="Q540" s="1">
        <f>2</f>
        <v>2</v>
      </c>
      <c r="R540" s="1" t="b">
        <f>OR(NOT(EXACT(P540,P1993)))</f>
        <v>0</v>
      </c>
      <c r="S540" s="1">
        <f>1</f>
        <v>1</v>
      </c>
      <c r="T540" s="1" t="str">
        <f>IF(AND(Raw!A540="",Raw!B540="",Raw!C540="",Raw!D540="",Raw!E540="",Raw!F540="",Raw!G540=""),"UNUSED",IF(A540="","missing line ID",IF(B540="","missing transaction ID",IF(G540="",IF(C540="","missing date","invalid date"),IF(I540="","unknown product",IF(J540="","conflicting category",IF(NOT(OR(EXACT(K540,"sale"),EXACT(K540,"refund"))),"unknown event",IF(OR(N540="",NOT(O540)),"invalid amount",IF(OR(AND(K540="sale",N540&lt;=0),AND(K540="refund",N540&gt;=0)),"invalid sign","")))))))))</f>
        <v/>
      </c>
      <c r="U540" s="1" t="str">
        <f t="shared" si="69"/>
        <v>INCLUDED</v>
      </c>
      <c r="V540" s="1" t="str">
        <f t="shared" si="70"/>
        <v>2026-03</v>
      </c>
      <c r="W540" s="1">
        <f>IF(AND(U540="INCLUDED",X540&gt;0,EXACT(A540,'AI output'!A540)),1,0)</f>
        <v>1</v>
      </c>
      <c r="X540" s="1">
        <f>540</f>
        <v>540</v>
      </c>
      <c r="Y540" s="1">
        <f>IF(AND(U540="INCLUDED",W540=1),--(NOT(EXACT(A540,'AI output'!A540)))+--(NOT(EXACT(B540,'AI output'!B540)))+--(NOT(EXACT(TEXT(G540,"yyyy-mm-dd"),'AI output'!C540)))+--(NOT(EXACT(H540,'AI output'!D540)))+--(NOT(EXACT(J540,'AI output'!E540)))+--(NOT(EXACT(K540,'AI output'!F540)))+--(N540&lt;&gt;'AI output'!L540)+--(NOT('AI output'!M540)),0)</f>
        <v>0</v>
      </c>
      <c r="Z540" s="1">
        <f t="shared" si="71"/>
        <v>0</v>
      </c>
      <c r="AA540" s="1">
        <f>--EXACT(A540,"L00534")</f>
        <v>1</v>
      </c>
    </row>
    <row r="541" spans="1:27" ht="18.95" customHeight="1">
      <c r="A541" s="1" t="str">
        <f>IF(Raw!A541="","",Raw!A541)</f>
        <v>L00535</v>
      </c>
      <c r="B541" s="1" t="str">
        <f>IF(Raw!B541="","",Raw!B541)</f>
        <v>T00268</v>
      </c>
      <c r="C541" s="1" t="str">
        <f>IF(Raw!C541="","",Raw!C541)</f>
        <v>2026-03-11</v>
      </c>
      <c r="D541" s="1">
        <f t="shared" si="64"/>
        <v>2026</v>
      </c>
      <c r="E541" s="1">
        <f>IFERROR(IF(AND(LEN(C541)=10,MID(C541,5,1)="-",MID(C541,8,1)="-"),VALUE(MID(C541,6,2)),IF(AND(LEN(C541)=11,MID(C541,3,1)="-",MID(C541,7,1)="-"),MATCH(UPPER(MID(C541,4,3)),Guide!$D$7:$D$18,0),0)),0)</f>
        <v>3</v>
      </c>
      <c r="F541" s="1">
        <f t="shared" si="65"/>
        <v>11</v>
      </c>
      <c r="G541" s="9">
        <f t="shared" si="66"/>
        <v>46092</v>
      </c>
      <c r="H541" s="1" t="str">
        <f>IF(Raw!D541="","",Raw!D541)</f>
        <v>P-A</v>
      </c>
      <c r="I541" s="1" t="str">
        <f>IFERROR(IF(EXACT(H541,INDEX(Guide!$A$7:$A$9,MATCH(SUBSTITUTE(SUBSTITUTE(SUBSTITUTE(H541,"~","~~"),"*","~*"),"?","~?"),Guide!$A$7:$A$9,0))),INDEX(Guide!$B$7:$B$9,MATCH(SUBSTITUTE(SUBSTITUTE(SUBSTITUTE(H541,"~","~~"),"*","~*"),"?","~?"),Guide!$A$7:$A$9,0)),""),"")</f>
        <v>Accessories</v>
      </c>
      <c r="J541" s="1" t="str">
        <f>IF(TRIM(Raw!E541)="",I541,IF(UPPER(TRIM(Raw!E541))=UPPER(I541),I541,""))</f>
        <v>Accessories</v>
      </c>
      <c r="K541" s="1" t="str">
        <f>IF(Raw!F541="","",Raw!F541)</f>
        <v>sale</v>
      </c>
      <c r="L541" s="1" t="str">
        <f>IF(LEFT(TRIM(Raw!G541),2)="-$","-"&amp;MID(TRIM(Raw!G541),3,99),IF(LEFT(TRIM(Raw!G541),1)="$",MID(TRIM(Raw!G541),2,99),TRIM(Raw!G541)))</f>
        <v>330.28</v>
      </c>
      <c r="M541" s="1">
        <f t="shared" si="67"/>
        <v>330.28</v>
      </c>
      <c r="N541" s="10">
        <f t="shared" si="68"/>
        <v>33028</v>
      </c>
      <c r="O541" s="1" t="b">
        <f>IFERROR(IF(ISNUMBER(Raw!G541),TRUE,OR(EXACT(L541,TEXT(M541,"0.00")),EXACT(L541,TEXT(M541,"#,##0.00")))),FALSE)</f>
        <v>1</v>
      </c>
      <c r="P541" s="1" t="str">
        <f>LEN(IF(Raw!A541="","",Raw!A541))&amp;":"&amp;IF(Raw!A541="","",Raw!A541)&amp;"|"&amp;LEN(IF(Raw!B541="","",Raw!B541))&amp;":"&amp;IF(Raw!B541="","",Raw!B541)&amp;"|"&amp;LEN(IF(Raw!C541="","",Raw!C541))&amp;":"&amp;IF(Raw!C541="","",Raw!C541)&amp;"|"&amp;LEN(IF(Raw!D541="","",Raw!D541))&amp;":"&amp;IF(Raw!D541="","",Raw!D541)&amp;"|"&amp;LEN(IF(Raw!E541="","",Raw!E541))&amp;":"&amp;IF(Raw!E541="","",Raw!E541)&amp;"|"&amp;LEN(IF(Raw!F541="","",Raw!F541))&amp;":"&amp;IF(Raw!F541="","",Raw!F541)&amp;"|"&amp;LEN(IF(Raw!G541="","",Raw!G541))&amp;":"&amp;IF(Raw!G541="","",Raw!G541)</f>
        <v>6:L00535|6:T00268|10:2026-03-11|3:P-A|11:Accessories|4:sale|6:330.28</v>
      </c>
      <c r="Q541" s="1">
        <f>1</f>
        <v>1</v>
      </c>
      <c r="R541" s="1" t="b">
        <f>FALSE</f>
        <v>0</v>
      </c>
      <c r="S541" s="1">
        <f>1</f>
        <v>1</v>
      </c>
      <c r="T541" s="1" t="str">
        <f>IF(AND(Raw!A541="",Raw!B541="",Raw!C541="",Raw!D541="",Raw!E541="",Raw!F541="",Raw!G541=""),"UNUSED",IF(A541="","missing line ID",IF(B541="","missing transaction ID",IF(G541="",IF(C541="","missing date","invalid date"),IF(I541="","unknown product",IF(J541="","conflicting category",IF(NOT(OR(EXACT(K541,"sale"),EXACT(K541,"refund"))),"unknown event",IF(OR(N541="",NOT(O541)),"invalid amount",IF(OR(AND(K541="sale",N541&lt;=0),AND(K541="refund",N541&gt;=0)),"invalid sign","")))))))))</f>
        <v/>
      </c>
      <c r="U541" s="1" t="str">
        <f t="shared" si="69"/>
        <v>INCLUDED</v>
      </c>
      <c r="V541" s="1" t="str">
        <f t="shared" si="70"/>
        <v>2026-03</v>
      </c>
      <c r="W541" s="1">
        <f>IF(AND(U541="INCLUDED",X541&gt;0,EXACT(A541,'AI output'!A541)),1,0)</f>
        <v>1</v>
      </c>
      <c r="X541" s="1">
        <f>541</f>
        <v>541</v>
      </c>
      <c r="Y541" s="1">
        <f>IF(AND(U541="INCLUDED",W541=1),--(NOT(EXACT(A541,'AI output'!A541)))+--(NOT(EXACT(B541,'AI output'!B541)))+--(NOT(EXACT(TEXT(G541,"yyyy-mm-dd"),'AI output'!C541)))+--(NOT(EXACT(H541,'AI output'!D541)))+--(NOT(EXACT(J541,'AI output'!E541)))+--(NOT(EXACT(K541,'AI output'!F541)))+--(N541&lt;&gt;'AI output'!L541)+--(NOT('AI output'!M541)),0)</f>
        <v>0</v>
      </c>
      <c r="Z541" s="1">
        <f t="shared" si="71"/>
        <v>0</v>
      </c>
      <c r="AA541" s="1">
        <f>--EXACT(A541,"L00535")</f>
        <v>1</v>
      </c>
    </row>
    <row r="542" spans="1:27" ht="18.95" customHeight="1">
      <c r="A542" s="1" t="str">
        <f>IF(Raw!A542="","",Raw!A542)</f>
        <v>L00536</v>
      </c>
      <c r="B542" s="1" t="str">
        <f>IF(Raw!B542="","",Raw!B542)</f>
        <v>T00268</v>
      </c>
      <c r="C542" s="1" t="str">
        <f>IF(Raw!C542="","",Raw!C542)</f>
        <v>2026-03-11</v>
      </c>
      <c r="D542" s="1">
        <f t="shared" si="64"/>
        <v>2026</v>
      </c>
      <c r="E542" s="1">
        <f>IFERROR(IF(AND(LEN(C542)=10,MID(C542,5,1)="-",MID(C542,8,1)="-"),VALUE(MID(C542,6,2)),IF(AND(LEN(C542)=11,MID(C542,3,1)="-",MID(C542,7,1)="-"),MATCH(UPPER(MID(C542,4,3)),Guide!$D$7:$D$18,0),0)),0)</f>
        <v>3</v>
      </c>
      <c r="F542" s="1">
        <f t="shared" si="65"/>
        <v>11</v>
      </c>
      <c r="G542" s="9">
        <f t="shared" si="66"/>
        <v>46092</v>
      </c>
      <c r="H542" s="1" t="str">
        <f>IF(Raw!D542="","",Raw!D542)</f>
        <v>P-H</v>
      </c>
      <c r="I542" s="1" t="str">
        <f>IFERROR(IF(EXACT(H542,INDEX(Guide!$A$7:$A$9,MATCH(SUBSTITUTE(SUBSTITUTE(SUBSTITUTE(H542,"~","~~"),"*","~*"),"?","~?"),Guide!$A$7:$A$9,0))),INDEX(Guide!$B$7:$B$9,MATCH(SUBSTITUTE(SUBSTITUTE(SUBSTITUTE(H542,"~","~~"),"*","~*"),"?","~?"),Guide!$A$7:$A$9,0)),""),"")</f>
        <v>Home</v>
      </c>
      <c r="J542" s="1" t="str">
        <f>IF(TRIM(Raw!E542)="",I542,IF(UPPER(TRIM(Raw!E542))=UPPER(I542),I542,""))</f>
        <v>Home</v>
      </c>
      <c r="K542" s="1" t="str">
        <f>IF(Raw!F542="","",Raw!F542)</f>
        <v>sale</v>
      </c>
      <c r="L542" s="1" t="str">
        <f>IF(LEFT(TRIM(Raw!G542),2)="-$","-"&amp;MID(TRIM(Raw!G542),3,99),IF(LEFT(TRIM(Raw!G542),1)="$",MID(TRIM(Raw!G542),2,99),TRIM(Raw!G542)))</f>
        <v>82.94</v>
      </c>
      <c r="M542" s="1">
        <f t="shared" si="67"/>
        <v>82.94</v>
      </c>
      <c r="N542" s="10">
        <f t="shared" si="68"/>
        <v>8294</v>
      </c>
      <c r="O542" s="1" t="b">
        <f>IFERROR(IF(ISNUMBER(Raw!G542),TRUE,OR(EXACT(L542,TEXT(M542,"0.00")),EXACT(L542,TEXT(M542,"#,##0.00")))),FALSE)</f>
        <v>1</v>
      </c>
      <c r="P542" s="1" t="str">
        <f>LEN(IF(Raw!A542="","",Raw!A542))&amp;":"&amp;IF(Raw!A542="","",Raw!A542)&amp;"|"&amp;LEN(IF(Raw!B542="","",Raw!B542))&amp;":"&amp;IF(Raw!B542="","",Raw!B542)&amp;"|"&amp;LEN(IF(Raw!C542="","",Raw!C542))&amp;":"&amp;IF(Raw!C542="","",Raw!C542)&amp;"|"&amp;LEN(IF(Raw!D542="","",Raw!D542))&amp;":"&amp;IF(Raw!D542="","",Raw!D542)&amp;"|"&amp;LEN(IF(Raw!E542="","",Raw!E542))&amp;":"&amp;IF(Raw!E542="","",Raw!E542)&amp;"|"&amp;LEN(IF(Raw!F542="","",Raw!F542))&amp;":"&amp;IF(Raw!F542="","",Raw!F542)&amp;"|"&amp;LEN(IF(Raw!G542="","",Raw!G542))&amp;":"&amp;IF(Raw!G542="","",Raw!G542)</f>
        <v>6:L00536|6:T00268|10:2026-03-11|3:P-H|4:Home|4:sale|5:82.94</v>
      </c>
      <c r="Q542" s="1">
        <f>1</f>
        <v>1</v>
      </c>
      <c r="R542" s="1" t="b">
        <f>FALSE</f>
        <v>0</v>
      </c>
      <c r="S542" s="1">
        <f>1</f>
        <v>1</v>
      </c>
      <c r="T542" s="1" t="str">
        <f>IF(AND(Raw!A542="",Raw!B542="",Raw!C542="",Raw!D542="",Raw!E542="",Raw!F542="",Raw!G542=""),"UNUSED",IF(A542="","missing line ID",IF(B542="","missing transaction ID",IF(G542="",IF(C542="","missing date","invalid date"),IF(I542="","unknown product",IF(J542="","conflicting category",IF(NOT(OR(EXACT(K542,"sale"),EXACT(K542,"refund"))),"unknown event",IF(OR(N542="",NOT(O542)),"invalid amount",IF(OR(AND(K542="sale",N542&lt;=0),AND(K542="refund",N542&gt;=0)),"invalid sign","")))))))))</f>
        <v/>
      </c>
      <c r="U542" s="1" t="str">
        <f t="shared" si="69"/>
        <v>INCLUDED</v>
      </c>
      <c r="V542" s="1" t="str">
        <f t="shared" si="70"/>
        <v>2026-03</v>
      </c>
      <c r="W542" s="1">
        <f>IF(AND(U542="INCLUDED",X542&gt;0,EXACT(A542,'AI output'!A542)),1,0)</f>
        <v>1</v>
      </c>
      <c r="X542" s="1">
        <f>542</f>
        <v>542</v>
      </c>
      <c r="Y542" s="1">
        <f>IF(AND(U542="INCLUDED",W542=1),--(NOT(EXACT(A542,'AI output'!A542)))+--(NOT(EXACT(B542,'AI output'!B542)))+--(NOT(EXACT(TEXT(G542,"yyyy-mm-dd"),'AI output'!C542)))+--(NOT(EXACT(H542,'AI output'!D542)))+--(NOT(EXACT(J542,'AI output'!E542)))+--(NOT(EXACT(K542,'AI output'!F542)))+--(N542&lt;&gt;'AI output'!L542)+--(NOT('AI output'!M542)),0)</f>
        <v>0</v>
      </c>
      <c r="Z542" s="1">
        <f t="shared" si="71"/>
        <v>0</v>
      </c>
      <c r="AA542" s="1">
        <f>--EXACT(A542,"L00536")</f>
        <v>1</v>
      </c>
    </row>
    <row r="543" spans="1:27" ht="18.95" customHeight="1">
      <c r="A543" s="1" t="str">
        <f>IF(Raw!A543="","",Raw!A543)</f>
        <v>L00537</v>
      </c>
      <c r="B543" s="1" t="str">
        <f>IF(Raw!B543="","",Raw!B543)</f>
        <v>T00269</v>
      </c>
      <c r="C543" s="1" t="str">
        <f>IF(Raw!C543="","",Raw!C543)</f>
        <v>2026-03-18</v>
      </c>
      <c r="D543" s="1">
        <f t="shared" si="64"/>
        <v>2026</v>
      </c>
      <c r="E543" s="1">
        <f>IFERROR(IF(AND(LEN(C543)=10,MID(C543,5,1)="-",MID(C543,8,1)="-"),VALUE(MID(C543,6,2)),IF(AND(LEN(C543)=11,MID(C543,3,1)="-",MID(C543,7,1)="-"),MATCH(UPPER(MID(C543,4,3)),Guide!$D$7:$D$18,0),0)),0)</f>
        <v>3</v>
      </c>
      <c r="F543" s="1">
        <f t="shared" si="65"/>
        <v>18</v>
      </c>
      <c r="G543" s="9">
        <f t="shared" si="66"/>
        <v>46099</v>
      </c>
      <c r="H543" s="1" t="str">
        <f>IF(Raw!D543="","",Raw!D543)</f>
        <v>P-O</v>
      </c>
      <c r="I543" s="1" t="str">
        <f>IFERROR(IF(EXACT(H543,INDEX(Guide!$A$7:$A$9,MATCH(SUBSTITUTE(SUBSTITUTE(SUBSTITUTE(H543,"~","~~"),"*","~*"),"?","~?"),Guide!$A$7:$A$9,0))),INDEX(Guide!$B$7:$B$9,MATCH(SUBSTITUTE(SUBSTITUTE(SUBSTITUTE(H543,"~","~~"),"*","~*"),"?","~?"),Guide!$A$7:$A$9,0)),""),"")</f>
        <v>Office</v>
      </c>
      <c r="J543" s="1" t="str">
        <f>IF(TRIM(Raw!E543)="",I543,IF(UPPER(TRIM(Raw!E543))=UPPER(I543),I543,""))</f>
        <v>Office</v>
      </c>
      <c r="K543" s="1" t="str">
        <f>IF(Raw!F543="","",Raw!F543)</f>
        <v>sale</v>
      </c>
      <c r="L543" s="1" t="str">
        <f>IF(LEFT(TRIM(Raw!G543),2)="-$","-"&amp;MID(TRIM(Raw!G543),3,99),IF(LEFT(TRIM(Raw!G543),1)="$",MID(TRIM(Raw!G543),2,99),TRIM(Raw!G543)))</f>
        <v>249.93</v>
      </c>
      <c r="M543" s="1">
        <f t="shared" si="67"/>
        <v>249.93</v>
      </c>
      <c r="N543" s="10">
        <f t="shared" si="68"/>
        <v>24993</v>
      </c>
      <c r="O543" s="1" t="b">
        <f>IFERROR(IF(ISNUMBER(Raw!G543),TRUE,OR(EXACT(L543,TEXT(M543,"0.00")),EXACT(L543,TEXT(M543,"#,##0.00")))),FALSE)</f>
        <v>1</v>
      </c>
      <c r="P543" s="1" t="str">
        <f>LEN(IF(Raw!A543="","",Raw!A543))&amp;":"&amp;IF(Raw!A543="","",Raw!A543)&amp;"|"&amp;LEN(IF(Raw!B543="","",Raw!B543))&amp;":"&amp;IF(Raw!B543="","",Raw!B543)&amp;"|"&amp;LEN(IF(Raw!C543="","",Raw!C543))&amp;":"&amp;IF(Raw!C543="","",Raw!C543)&amp;"|"&amp;LEN(IF(Raw!D543="","",Raw!D543))&amp;":"&amp;IF(Raw!D543="","",Raw!D543)&amp;"|"&amp;LEN(IF(Raw!E543="","",Raw!E543))&amp;":"&amp;IF(Raw!E543="","",Raw!E543)&amp;"|"&amp;LEN(IF(Raw!F543="","",Raw!F543))&amp;":"&amp;IF(Raw!F543="","",Raw!F543)&amp;"|"&amp;LEN(IF(Raw!G543="","",Raw!G543))&amp;":"&amp;IF(Raw!G543="","",Raw!G543)</f>
        <v>6:L00537|6:T00269|10:2026-03-18|3:P-O|6:Office|4:sale|6:249.93</v>
      </c>
      <c r="Q543" s="1">
        <f>1</f>
        <v>1</v>
      </c>
      <c r="R543" s="1" t="b">
        <f>FALSE</f>
        <v>0</v>
      </c>
      <c r="S543" s="1">
        <f>1</f>
        <v>1</v>
      </c>
      <c r="T543" s="1" t="str">
        <f>IF(AND(Raw!A543="",Raw!B543="",Raw!C543="",Raw!D543="",Raw!E543="",Raw!F543="",Raw!G543=""),"UNUSED",IF(A543="","missing line ID",IF(B543="","missing transaction ID",IF(G543="",IF(C543="","missing date","invalid date"),IF(I543="","unknown product",IF(J543="","conflicting category",IF(NOT(OR(EXACT(K543,"sale"),EXACT(K543,"refund"))),"unknown event",IF(OR(N543="",NOT(O543)),"invalid amount",IF(OR(AND(K543="sale",N543&lt;=0),AND(K543="refund",N543&gt;=0)),"invalid sign","")))))))))</f>
        <v/>
      </c>
      <c r="U543" s="1" t="str">
        <f t="shared" si="69"/>
        <v>INCLUDED</v>
      </c>
      <c r="V543" s="1" t="str">
        <f t="shared" si="70"/>
        <v>2026-03</v>
      </c>
      <c r="W543" s="1">
        <f>IF(AND(U543="INCLUDED",X543&gt;0,EXACT(A543,'AI output'!A543)),1,0)</f>
        <v>1</v>
      </c>
      <c r="X543" s="1">
        <f>543</f>
        <v>543</v>
      </c>
      <c r="Y543" s="1">
        <f>IF(AND(U543="INCLUDED",W543=1),--(NOT(EXACT(A543,'AI output'!A543)))+--(NOT(EXACT(B543,'AI output'!B543)))+--(NOT(EXACT(TEXT(G543,"yyyy-mm-dd"),'AI output'!C543)))+--(NOT(EXACT(H543,'AI output'!D543)))+--(NOT(EXACT(J543,'AI output'!E543)))+--(NOT(EXACT(K543,'AI output'!F543)))+--(N543&lt;&gt;'AI output'!L543)+--(NOT('AI output'!M543)),0)</f>
        <v>0</v>
      </c>
      <c r="Z543" s="1">
        <f t="shared" si="71"/>
        <v>0</v>
      </c>
      <c r="AA543" s="1">
        <f>--EXACT(A543,"L00537")</f>
        <v>1</v>
      </c>
    </row>
    <row r="544" spans="1:27" ht="18.95" customHeight="1">
      <c r="A544" s="1" t="str">
        <f>IF(Raw!A544="","",Raw!A544)</f>
        <v>L00538</v>
      </c>
      <c r="B544" s="1" t="str">
        <f>IF(Raw!B544="","",Raw!B544)</f>
        <v>T00269</v>
      </c>
      <c r="C544" s="1" t="str">
        <f>IF(Raw!C544="","",Raw!C544)</f>
        <v>2026-03-18</v>
      </c>
      <c r="D544" s="1">
        <f t="shared" si="64"/>
        <v>2026</v>
      </c>
      <c r="E544" s="1">
        <f>IFERROR(IF(AND(LEN(C544)=10,MID(C544,5,1)="-",MID(C544,8,1)="-"),VALUE(MID(C544,6,2)),IF(AND(LEN(C544)=11,MID(C544,3,1)="-",MID(C544,7,1)="-"),MATCH(UPPER(MID(C544,4,3)),Guide!$D$7:$D$18,0),0)),0)</f>
        <v>3</v>
      </c>
      <c r="F544" s="1">
        <f t="shared" si="65"/>
        <v>18</v>
      </c>
      <c r="G544" s="9">
        <f t="shared" si="66"/>
        <v>46099</v>
      </c>
      <c r="H544" s="1" t="str">
        <f>IF(Raw!D544="","",Raw!D544)</f>
        <v>P-A</v>
      </c>
      <c r="I544" s="1" t="str">
        <f>IFERROR(IF(EXACT(H544,INDEX(Guide!$A$7:$A$9,MATCH(SUBSTITUTE(SUBSTITUTE(SUBSTITUTE(H544,"~","~~"),"*","~*"),"?","~?"),Guide!$A$7:$A$9,0))),INDEX(Guide!$B$7:$B$9,MATCH(SUBSTITUTE(SUBSTITUTE(SUBSTITUTE(H544,"~","~~"),"*","~*"),"?","~?"),Guide!$A$7:$A$9,0)),""),"")</f>
        <v>Accessories</v>
      </c>
      <c r="J544" s="1" t="str">
        <f>IF(TRIM(Raw!E544)="",I544,IF(UPPER(TRIM(Raw!E544))=UPPER(I544),I544,""))</f>
        <v>Accessories</v>
      </c>
      <c r="K544" s="1" t="str">
        <f>IF(Raw!F544="","",Raw!F544)</f>
        <v>sale</v>
      </c>
      <c r="L544" s="1" t="str">
        <f>IF(LEFT(TRIM(Raw!G544),2)="-$","-"&amp;MID(TRIM(Raw!G544),3,99),IF(LEFT(TRIM(Raw!G544),1)="$",MID(TRIM(Raw!G544),2,99),TRIM(Raw!G544)))</f>
        <v>418.40</v>
      </c>
      <c r="M544" s="1">
        <f t="shared" si="67"/>
        <v>418.4</v>
      </c>
      <c r="N544" s="10">
        <f t="shared" si="68"/>
        <v>41840</v>
      </c>
      <c r="O544" s="1" t="b">
        <f>IFERROR(IF(ISNUMBER(Raw!G544),TRUE,OR(EXACT(L544,TEXT(M544,"0.00")),EXACT(L544,TEXT(M544,"#,##0.00")))),FALSE)</f>
        <v>1</v>
      </c>
      <c r="P544" s="1" t="str">
        <f>LEN(IF(Raw!A544="","",Raw!A544))&amp;":"&amp;IF(Raw!A544="","",Raw!A544)&amp;"|"&amp;LEN(IF(Raw!B544="","",Raw!B544))&amp;":"&amp;IF(Raw!B544="","",Raw!B544)&amp;"|"&amp;LEN(IF(Raw!C544="","",Raw!C544))&amp;":"&amp;IF(Raw!C544="","",Raw!C544)&amp;"|"&amp;LEN(IF(Raw!D544="","",Raw!D544))&amp;":"&amp;IF(Raw!D544="","",Raw!D544)&amp;"|"&amp;LEN(IF(Raw!E544="","",Raw!E544))&amp;":"&amp;IF(Raw!E544="","",Raw!E544)&amp;"|"&amp;LEN(IF(Raw!F544="","",Raw!F544))&amp;":"&amp;IF(Raw!F544="","",Raw!F544)&amp;"|"&amp;LEN(IF(Raw!G544="","",Raw!G544))&amp;":"&amp;IF(Raw!G544="","",Raw!G544)</f>
        <v>6:L00538|6:T00269|10:2026-03-18|3:P-A|11:Accessories|4:sale|7:$418.40</v>
      </c>
      <c r="Q544" s="1">
        <f>1</f>
        <v>1</v>
      </c>
      <c r="R544" s="1" t="b">
        <f>FALSE</f>
        <v>0</v>
      </c>
      <c r="S544" s="1">
        <f>1</f>
        <v>1</v>
      </c>
      <c r="T544" s="1" t="str">
        <f>IF(AND(Raw!A544="",Raw!B544="",Raw!C544="",Raw!D544="",Raw!E544="",Raw!F544="",Raw!G544=""),"UNUSED",IF(A544="","missing line ID",IF(B544="","missing transaction ID",IF(G544="",IF(C544="","missing date","invalid date"),IF(I544="","unknown product",IF(J544="","conflicting category",IF(NOT(OR(EXACT(K544,"sale"),EXACT(K544,"refund"))),"unknown event",IF(OR(N544="",NOT(O544)),"invalid amount",IF(OR(AND(K544="sale",N544&lt;=0),AND(K544="refund",N544&gt;=0)),"invalid sign","")))))))))</f>
        <v/>
      </c>
      <c r="U544" s="1" t="str">
        <f t="shared" si="69"/>
        <v>INCLUDED</v>
      </c>
      <c r="V544" s="1" t="str">
        <f t="shared" si="70"/>
        <v>2026-03</v>
      </c>
      <c r="W544" s="1">
        <f>IF(AND(U544="INCLUDED",X544&gt;0,EXACT(A544,'AI output'!A544)),1,0)</f>
        <v>1</v>
      </c>
      <c r="X544" s="1">
        <f>544</f>
        <v>544</v>
      </c>
      <c r="Y544" s="1">
        <f>IF(AND(U544="INCLUDED",W544=1),--(NOT(EXACT(A544,'AI output'!A544)))+--(NOT(EXACT(B544,'AI output'!B544)))+--(NOT(EXACT(TEXT(G544,"yyyy-mm-dd"),'AI output'!C544)))+--(NOT(EXACT(H544,'AI output'!D544)))+--(NOT(EXACT(J544,'AI output'!E544)))+--(NOT(EXACT(K544,'AI output'!F544)))+--(N544&lt;&gt;'AI output'!L544)+--(NOT('AI output'!M544)),0)</f>
        <v>0</v>
      </c>
      <c r="Z544" s="1">
        <f t="shared" si="71"/>
        <v>0</v>
      </c>
      <c r="AA544" s="1">
        <f>--EXACT(A544,"L00538")</f>
        <v>1</v>
      </c>
    </row>
    <row r="545" spans="1:27" ht="18.95" customHeight="1">
      <c r="A545" s="1" t="str">
        <f>IF(Raw!A545="","",Raw!A545)</f>
        <v>L00539</v>
      </c>
      <c r="B545" s="1" t="str">
        <f>IF(Raw!B545="","",Raw!B545)</f>
        <v>T00270</v>
      </c>
      <c r="C545" s="1" t="str">
        <f>IF(Raw!C545="","",Raw!C545)</f>
        <v>2026-03-25</v>
      </c>
      <c r="D545" s="1">
        <f t="shared" si="64"/>
        <v>2026</v>
      </c>
      <c r="E545" s="1">
        <f>IFERROR(IF(AND(LEN(C545)=10,MID(C545,5,1)="-",MID(C545,8,1)="-"),VALUE(MID(C545,6,2)),IF(AND(LEN(C545)=11,MID(C545,3,1)="-",MID(C545,7,1)="-"),MATCH(UPPER(MID(C545,4,3)),Guide!$D$7:$D$18,0),0)),0)</f>
        <v>3</v>
      </c>
      <c r="F545" s="1">
        <f t="shared" si="65"/>
        <v>25</v>
      </c>
      <c r="G545" s="9">
        <f t="shared" si="66"/>
        <v>46106</v>
      </c>
      <c r="H545" s="1" t="str">
        <f>IF(Raw!D545="","",Raw!D545)</f>
        <v>P-H</v>
      </c>
      <c r="I545" s="1" t="str">
        <f>IFERROR(IF(EXACT(H545,INDEX(Guide!$A$7:$A$9,MATCH(SUBSTITUTE(SUBSTITUTE(SUBSTITUTE(H545,"~","~~"),"*","~*"),"?","~?"),Guide!$A$7:$A$9,0))),INDEX(Guide!$B$7:$B$9,MATCH(SUBSTITUTE(SUBSTITUTE(SUBSTITUTE(H545,"~","~~"),"*","~*"),"?","~?"),Guide!$A$7:$A$9,0)),""),"")</f>
        <v>Home</v>
      </c>
      <c r="J545" s="1" t="str">
        <f>IF(TRIM(Raw!E545)="",I545,IF(UPPER(TRIM(Raw!E545))=UPPER(I545),I545,""))</f>
        <v>Home</v>
      </c>
      <c r="K545" s="1" t="str">
        <f>IF(Raw!F545="","",Raw!F545)</f>
        <v>sale</v>
      </c>
      <c r="L545" s="1" t="str">
        <f>IF(LEFT(TRIM(Raw!G545),2)="-$","-"&amp;MID(TRIM(Raw!G545),3,99),IF(LEFT(TRIM(Raw!G545),1)="$",MID(TRIM(Raw!G545),2,99),TRIM(Raw!G545)))</f>
        <v>168.10</v>
      </c>
      <c r="M545" s="1">
        <f t="shared" si="67"/>
        <v>168.1</v>
      </c>
      <c r="N545" s="10">
        <f t="shared" si="68"/>
        <v>16810</v>
      </c>
      <c r="O545" s="1" t="b">
        <f>IFERROR(IF(ISNUMBER(Raw!G545),TRUE,OR(EXACT(L545,TEXT(M545,"0.00")),EXACT(L545,TEXT(M545,"#,##0.00")))),FALSE)</f>
        <v>1</v>
      </c>
      <c r="P545" s="1" t="str">
        <f>LEN(IF(Raw!A545="","",Raw!A545))&amp;":"&amp;IF(Raw!A545="","",Raw!A545)&amp;"|"&amp;LEN(IF(Raw!B545="","",Raw!B545))&amp;":"&amp;IF(Raw!B545="","",Raw!B545)&amp;"|"&amp;LEN(IF(Raw!C545="","",Raw!C545))&amp;":"&amp;IF(Raw!C545="","",Raw!C545)&amp;"|"&amp;LEN(IF(Raw!D545="","",Raw!D545))&amp;":"&amp;IF(Raw!D545="","",Raw!D545)&amp;"|"&amp;LEN(IF(Raw!E545="","",Raw!E545))&amp;":"&amp;IF(Raw!E545="","",Raw!E545)&amp;"|"&amp;LEN(IF(Raw!F545="","",Raw!F545))&amp;":"&amp;IF(Raw!F545="","",Raw!F545)&amp;"|"&amp;LEN(IF(Raw!G545="","",Raw!G545))&amp;":"&amp;IF(Raw!G545="","",Raw!G545)</f>
        <v>6:L00539|6:T00270|10:2026-03-25|3:P-H|4:Home|4:sale|6:168.10</v>
      </c>
      <c r="Q545" s="1">
        <f>1</f>
        <v>1</v>
      </c>
      <c r="R545" s="1" t="b">
        <f>FALSE</f>
        <v>0</v>
      </c>
      <c r="S545" s="1">
        <f>1</f>
        <v>1</v>
      </c>
      <c r="T545" s="1" t="str">
        <f>IF(AND(Raw!A545="",Raw!B545="",Raw!C545="",Raw!D545="",Raw!E545="",Raw!F545="",Raw!G545=""),"UNUSED",IF(A545="","missing line ID",IF(B545="","missing transaction ID",IF(G545="",IF(C545="","missing date","invalid date"),IF(I545="","unknown product",IF(J545="","conflicting category",IF(NOT(OR(EXACT(K545,"sale"),EXACT(K545,"refund"))),"unknown event",IF(OR(N545="",NOT(O545)),"invalid amount",IF(OR(AND(K545="sale",N545&lt;=0),AND(K545="refund",N545&gt;=0)),"invalid sign","")))))))))</f>
        <v/>
      </c>
      <c r="U545" s="1" t="str">
        <f t="shared" si="69"/>
        <v>INCLUDED</v>
      </c>
      <c r="V545" s="1" t="str">
        <f t="shared" si="70"/>
        <v>2026-03</v>
      </c>
      <c r="W545" s="1">
        <f>IF(AND(U545="INCLUDED",X545&gt;0,EXACT(A545,'AI output'!A545)),1,0)</f>
        <v>1</v>
      </c>
      <c r="X545" s="1">
        <f>545</f>
        <v>545</v>
      </c>
      <c r="Y545" s="1">
        <f>IF(AND(U545="INCLUDED",W545=1),--(NOT(EXACT(A545,'AI output'!A545)))+--(NOT(EXACT(B545,'AI output'!B545)))+--(NOT(EXACT(TEXT(G545,"yyyy-mm-dd"),'AI output'!C545)))+--(NOT(EXACT(H545,'AI output'!D545)))+--(NOT(EXACT(J545,'AI output'!E545)))+--(NOT(EXACT(K545,'AI output'!F545)))+--(N545&lt;&gt;'AI output'!L545)+--(NOT('AI output'!M545)),0)</f>
        <v>0</v>
      </c>
      <c r="Z545" s="1">
        <f t="shared" si="71"/>
        <v>0</v>
      </c>
      <c r="AA545" s="1">
        <f>--EXACT(A545,"L00539")</f>
        <v>1</v>
      </c>
    </row>
    <row r="546" spans="1:27" ht="18.95" customHeight="1">
      <c r="A546" s="1" t="str">
        <f>IF(Raw!A546="","",Raw!A546)</f>
        <v>L00540</v>
      </c>
      <c r="B546" s="1" t="str">
        <f>IF(Raw!B546="","",Raw!B546)</f>
        <v>T00270</v>
      </c>
      <c r="C546" s="1" t="str">
        <f>IF(Raw!C546="","",Raw!C546)</f>
        <v>2026-03-25</v>
      </c>
      <c r="D546" s="1">
        <f t="shared" si="64"/>
        <v>2026</v>
      </c>
      <c r="E546" s="1">
        <f>IFERROR(IF(AND(LEN(C546)=10,MID(C546,5,1)="-",MID(C546,8,1)="-"),VALUE(MID(C546,6,2)),IF(AND(LEN(C546)=11,MID(C546,3,1)="-",MID(C546,7,1)="-"),MATCH(UPPER(MID(C546,4,3)),Guide!$D$7:$D$18,0),0)),0)</f>
        <v>3</v>
      </c>
      <c r="F546" s="1">
        <f t="shared" si="65"/>
        <v>25</v>
      </c>
      <c r="G546" s="9">
        <f t="shared" si="66"/>
        <v>46106</v>
      </c>
      <c r="H546" s="1" t="str">
        <f>IF(Raw!D546="","",Raw!D546)</f>
        <v>P-O</v>
      </c>
      <c r="I546" s="1" t="str">
        <f>IFERROR(IF(EXACT(H546,INDEX(Guide!$A$7:$A$9,MATCH(SUBSTITUTE(SUBSTITUTE(SUBSTITUTE(H546,"~","~~"),"*","~*"),"?","~?"),Guide!$A$7:$A$9,0))),INDEX(Guide!$B$7:$B$9,MATCH(SUBSTITUTE(SUBSTITUTE(SUBSTITUTE(H546,"~","~~"),"*","~*"),"?","~?"),Guide!$A$7:$A$9,0)),""),"")</f>
        <v>Office</v>
      </c>
      <c r="J546" s="1" t="str">
        <f>IF(TRIM(Raw!E546)="",I546,IF(UPPER(TRIM(Raw!E546))=UPPER(I546),I546,""))</f>
        <v>Office</v>
      </c>
      <c r="K546" s="1" t="str">
        <f>IF(Raw!F546="","",Raw!F546)</f>
        <v>sale</v>
      </c>
      <c r="L546" s="1" t="str">
        <f>IF(LEFT(TRIM(Raw!G546),2)="-$","-"&amp;MID(TRIM(Raw!G546),3,99),IF(LEFT(TRIM(Raw!G546),1)="$",MID(TRIM(Raw!G546),2,99),TRIM(Raw!G546)))</f>
        <v>337.68</v>
      </c>
      <c r="M546" s="1">
        <f t="shared" si="67"/>
        <v>337.68</v>
      </c>
      <c r="N546" s="10">
        <f t="shared" si="68"/>
        <v>33768</v>
      </c>
      <c r="O546" s="1" t="b">
        <f>IFERROR(IF(ISNUMBER(Raw!G546),TRUE,OR(EXACT(L546,TEXT(M546,"0.00")),EXACT(L546,TEXT(M546,"#,##0.00")))),FALSE)</f>
        <v>1</v>
      </c>
      <c r="P546" s="1" t="str">
        <f>LEN(IF(Raw!A546="","",Raw!A546))&amp;":"&amp;IF(Raw!A546="","",Raw!A546)&amp;"|"&amp;LEN(IF(Raw!B546="","",Raw!B546))&amp;":"&amp;IF(Raw!B546="","",Raw!B546)&amp;"|"&amp;LEN(IF(Raw!C546="","",Raw!C546))&amp;":"&amp;IF(Raw!C546="","",Raw!C546)&amp;"|"&amp;LEN(IF(Raw!D546="","",Raw!D546))&amp;":"&amp;IF(Raw!D546="","",Raw!D546)&amp;"|"&amp;LEN(IF(Raw!E546="","",Raw!E546))&amp;":"&amp;IF(Raw!E546="","",Raw!E546)&amp;"|"&amp;LEN(IF(Raw!F546="","",Raw!F546))&amp;":"&amp;IF(Raw!F546="","",Raw!F546)&amp;"|"&amp;LEN(IF(Raw!G546="","",Raw!G546))&amp;":"&amp;IF(Raw!G546="","",Raw!G546)</f>
        <v>6:L00540|6:T00270|10:2026-03-25|3:P-O|6:Office|4:sale|6:337.68</v>
      </c>
      <c r="Q546" s="1">
        <f>1</f>
        <v>1</v>
      </c>
      <c r="R546" s="1" t="b">
        <f>FALSE</f>
        <v>0</v>
      </c>
      <c r="S546" s="1">
        <f>1</f>
        <v>1</v>
      </c>
      <c r="T546" s="1" t="str">
        <f>IF(AND(Raw!A546="",Raw!B546="",Raw!C546="",Raw!D546="",Raw!E546="",Raw!F546="",Raw!G546=""),"UNUSED",IF(A546="","missing line ID",IF(B546="","missing transaction ID",IF(G546="",IF(C546="","missing date","invalid date"),IF(I546="","unknown product",IF(J546="","conflicting category",IF(NOT(OR(EXACT(K546,"sale"),EXACT(K546,"refund"))),"unknown event",IF(OR(N546="",NOT(O546)),"invalid amount",IF(OR(AND(K546="sale",N546&lt;=0),AND(K546="refund",N546&gt;=0)),"invalid sign","")))))))))</f>
        <v/>
      </c>
      <c r="U546" s="1" t="str">
        <f t="shared" si="69"/>
        <v>INCLUDED</v>
      </c>
      <c r="V546" s="1" t="str">
        <f t="shared" si="70"/>
        <v>2026-03</v>
      </c>
      <c r="W546" s="1">
        <f>IF(AND(U546="INCLUDED",X546&gt;0,EXACT(A546,'AI output'!A546)),1,0)</f>
        <v>1</v>
      </c>
      <c r="X546" s="1">
        <f>546</f>
        <v>546</v>
      </c>
      <c r="Y546" s="1">
        <f>IF(AND(U546="INCLUDED",W546=1),--(NOT(EXACT(A546,'AI output'!A546)))+--(NOT(EXACT(B546,'AI output'!B546)))+--(NOT(EXACT(TEXT(G546,"yyyy-mm-dd"),'AI output'!C546)))+--(NOT(EXACT(H546,'AI output'!D546)))+--(NOT(EXACT(J546,'AI output'!E546)))+--(NOT(EXACT(K546,'AI output'!F546)))+--(N546&lt;&gt;'AI output'!L546)+--(NOT('AI output'!M546)),0)</f>
        <v>0</v>
      </c>
      <c r="Z546" s="1">
        <f t="shared" si="71"/>
        <v>0</v>
      </c>
      <c r="AA546" s="1">
        <f>--EXACT(A546,"L00540")</f>
        <v>1</v>
      </c>
    </row>
    <row r="547" spans="1:27" ht="18.95" customHeight="1">
      <c r="A547" s="1" t="str">
        <f>IF(Raw!A547="","",Raw!A547)</f>
        <v>L00541</v>
      </c>
      <c r="B547" s="1" t="str">
        <f>IF(Raw!B547="","",Raw!B547)</f>
        <v>T00271</v>
      </c>
      <c r="C547" s="1" t="str">
        <f>IF(Raw!C547="","",Raw!C547)</f>
        <v>2026-01-01</v>
      </c>
      <c r="D547" s="1">
        <f t="shared" si="64"/>
        <v>2026</v>
      </c>
      <c r="E547" s="1">
        <f>IFERROR(IF(AND(LEN(C547)=10,MID(C547,5,1)="-",MID(C547,8,1)="-"),VALUE(MID(C547,6,2)),IF(AND(LEN(C547)=11,MID(C547,3,1)="-",MID(C547,7,1)="-"),MATCH(UPPER(MID(C547,4,3)),Guide!$D$7:$D$18,0),0)),0)</f>
        <v>1</v>
      </c>
      <c r="F547" s="1">
        <f t="shared" si="65"/>
        <v>1</v>
      </c>
      <c r="G547" s="9">
        <f t="shared" si="66"/>
        <v>46023</v>
      </c>
      <c r="H547" s="1" t="str">
        <f>IF(Raw!D547="","",Raw!D547)</f>
        <v>P-A</v>
      </c>
      <c r="I547" s="1" t="str">
        <f>IFERROR(IF(EXACT(H547,INDEX(Guide!$A$7:$A$9,MATCH(SUBSTITUTE(SUBSTITUTE(SUBSTITUTE(H547,"~","~~"),"*","~*"),"?","~?"),Guide!$A$7:$A$9,0))),INDEX(Guide!$B$7:$B$9,MATCH(SUBSTITUTE(SUBSTITUTE(SUBSTITUTE(H547,"~","~~"),"*","~*"),"?","~?"),Guide!$A$7:$A$9,0)),""),"")</f>
        <v>Accessories</v>
      </c>
      <c r="J547" s="1" t="str">
        <f>IF(TRIM(Raw!E547)="",I547,IF(UPPER(TRIM(Raw!E547))=UPPER(I547),I547,""))</f>
        <v>Accessories</v>
      </c>
      <c r="K547" s="1" t="str">
        <f>IF(Raw!F547="","",Raw!F547)</f>
        <v>sale</v>
      </c>
      <c r="L547" s="1" t="str">
        <f>IF(LEFT(TRIM(Raw!G547),2)="-$","-"&amp;MID(TRIM(Raw!G547),3,99),IF(LEFT(TRIM(Raw!G547),1)="$",MID(TRIM(Raw!G547),2,99),TRIM(Raw!G547)))</f>
        <v>84.79</v>
      </c>
      <c r="M547" s="1">
        <f t="shared" si="67"/>
        <v>84.79</v>
      </c>
      <c r="N547" s="10">
        <f t="shared" si="68"/>
        <v>8479</v>
      </c>
      <c r="O547" s="1" t="b">
        <f>IFERROR(IF(ISNUMBER(Raw!G547),TRUE,OR(EXACT(L547,TEXT(M547,"0.00")),EXACT(L547,TEXT(M547,"#,##0.00")))),FALSE)</f>
        <v>1</v>
      </c>
      <c r="P547" s="1" t="str">
        <f>LEN(IF(Raw!A547="","",Raw!A547))&amp;":"&amp;IF(Raw!A547="","",Raw!A547)&amp;"|"&amp;LEN(IF(Raw!B547="","",Raw!B547))&amp;":"&amp;IF(Raw!B547="","",Raw!B547)&amp;"|"&amp;LEN(IF(Raw!C547="","",Raw!C547))&amp;":"&amp;IF(Raw!C547="","",Raw!C547)&amp;"|"&amp;LEN(IF(Raw!D547="","",Raw!D547))&amp;":"&amp;IF(Raw!D547="","",Raw!D547)&amp;"|"&amp;LEN(IF(Raw!E547="","",Raw!E547))&amp;":"&amp;IF(Raw!E547="","",Raw!E547)&amp;"|"&amp;LEN(IF(Raw!F547="","",Raw!F547))&amp;":"&amp;IF(Raw!F547="","",Raw!F547)&amp;"|"&amp;LEN(IF(Raw!G547="","",Raw!G547))&amp;":"&amp;IF(Raw!G547="","",Raw!G547)</f>
        <v>6:L00541|6:T00271|10:2026-01-01|3:P-A|11:Accessories|4:sale|5:84.79</v>
      </c>
      <c r="Q547" s="1">
        <f>1</f>
        <v>1</v>
      </c>
      <c r="R547" s="1" t="b">
        <f>FALSE</f>
        <v>0</v>
      </c>
      <c r="S547" s="1">
        <f>1</f>
        <v>1</v>
      </c>
      <c r="T547" s="1" t="str">
        <f>IF(AND(Raw!A547="",Raw!B547="",Raw!C547="",Raw!D547="",Raw!E547="",Raw!F547="",Raw!G547=""),"UNUSED",IF(A547="","missing line ID",IF(B547="","missing transaction ID",IF(G547="",IF(C547="","missing date","invalid date"),IF(I547="","unknown product",IF(J547="","conflicting category",IF(NOT(OR(EXACT(K547,"sale"),EXACT(K547,"refund"))),"unknown event",IF(OR(N547="",NOT(O547)),"invalid amount",IF(OR(AND(K547="sale",N547&lt;=0),AND(K547="refund",N547&gt;=0)),"invalid sign","")))))))))</f>
        <v/>
      </c>
      <c r="U547" s="1" t="str">
        <f t="shared" si="69"/>
        <v>INCLUDED</v>
      </c>
      <c r="V547" s="1" t="str">
        <f t="shared" si="70"/>
        <v>2026-01</v>
      </c>
      <c r="W547" s="1">
        <f>IF(AND(U547="INCLUDED",X547&gt;0,EXACT(A547,'AI output'!A547)),1,0)</f>
        <v>1</v>
      </c>
      <c r="X547" s="1">
        <f>547</f>
        <v>547</v>
      </c>
      <c r="Y547" s="1">
        <f>IF(AND(U547="INCLUDED",W547=1),--(NOT(EXACT(A547,'AI output'!A547)))+--(NOT(EXACT(B547,'AI output'!B547)))+--(NOT(EXACT(TEXT(G547,"yyyy-mm-dd"),'AI output'!C547)))+--(NOT(EXACT(H547,'AI output'!D547)))+--(NOT(EXACT(J547,'AI output'!E547)))+--(NOT(EXACT(K547,'AI output'!F547)))+--(N547&lt;&gt;'AI output'!L547)+--(NOT('AI output'!M547)),0)</f>
        <v>0</v>
      </c>
      <c r="Z547" s="1">
        <f t="shared" si="71"/>
        <v>0</v>
      </c>
      <c r="AA547" s="1">
        <f>--EXACT(A547,"L00541")</f>
        <v>1</v>
      </c>
    </row>
    <row r="548" spans="1:27" ht="18.95" customHeight="1">
      <c r="A548" s="1" t="str">
        <f>IF(Raw!A548="","",Raw!A548)</f>
        <v>L00542</v>
      </c>
      <c r="B548" s="1" t="str">
        <f>IF(Raw!B548="","",Raw!B548)</f>
        <v>T00271</v>
      </c>
      <c r="C548" s="1" t="str">
        <f>IF(Raw!C548="","",Raw!C548)</f>
        <v>2026-01-01</v>
      </c>
      <c r="D548" s="1">
        <f t="shared" si="64"/>
        <v>2026</v>
      </c>
      <c r="E548" s="1">
        <f>IFERROR(IF(AND(LEN(C548)=10,MID(C548,5,1)="-",MID(C548,8,1)="-"),VALUE(MID(C548,6,2)),IF(AND(LEN(C548)=11,MID(C548,3,1)="-",MID(C548,7,1)="-"),MATCH(UPPER(MID(C548,4,3)),Guide!$D$7:$D$18,0),0)),0)</f>
        <v>1</v>
      </c>
      <c r="F548" s="1">
        <f t="shared" si="65"/>
        <v>1</v>
      </c>
      <c r="G548" s="9">
        <f t="shared" si="66"/>
        <v>46023</v>
      </c>
      <c r="H548" s="1" t="str">
        <f>IF(Raw!D548="","",Raw!D548)</f>
        <v>P-H</v>
      </c>
      <c r="I548" s="1" t="str">
        <f>IFERROR(IF(EXACT(H548,INDEX(Guide!$A$7:$A$9,MATCH(SUBSTITUTE(SUBSTITUTE(SUBSTITUTE(H548,"~","~~"),"*","~*"),"?","~?"),Guide!$A$7:$A$9,0))),INDEX(Guide!$B$7:$B$9,MATCH(SUBSTITUTE(SUBSTITUTE(SUBSTITUTE(H548,"~","~~"),"*","~*"),"?","~?"),Guide!$A$7:$A$9,0)),""),"")</f>
        <v>Home</v>
      </c>
      <c r="J548" s="1" t="str">
        <f>IF(TRIM(Raw!E548)="",I548,IF(UPPER(TRIM(Raw!E548))=UPPER(I548),I548,""))</f>
        <v>Home</v>
      </c>
      <c r="K548" s="1" t="str">
        <f>IF(Raw!F548="","",Raw!F548)</f>
        <v>sale</v>
      </c>
      <c r="L548" s="1" t="str">
        <f>IF(LEFT(TRIM(Raw!G548),2)="-$","-"&amp;MID(TRIM(Raw!G548),3,99),IF(LEFT(TRIM(Raw!G548),1)="$",MID(TRIM(Raw!G548),2,99),TRIM(Raw!G548)))</f>
        <v>255.48</v>
      </c>
      <c r="M548" s="1">
        <f t="shared" si="67"/>
        <v>255.48</v>
      </c>
      <c r="N548" s="10">
        <f t="shared" si="68"/>
        <v>25548</v>
      </c>
      <c r="O548" s="1" t="b">
        <f>IFERROR(IF(ISNUMBER(Raw!G548),TRUE,OR(EXACT(L548,TEXT(M548,"0.00")),EXACT(L548,TEXT(M548,"#,##0.00")))),FALSE)</f>
        <v>1</v>
      </c>
      <c r="P548" s="1" t="str">
        <f>LEN(IF(Raw!A548="","",Raw!A548))&amp;":"&amp;IF(Raw!A548="","",Raw!A548)&amp;"|"&amp;LEN(IF(Raw!B548="","",Raw!B548))&amp;":"&amp;IF(Raw!B548="","",Raw!B548)&amp;"|"&amp;LEN(IF(Raw!C548="","",Raw!C548))&amp;":"&amp;IF(Raw!C548="","",Raw!C548)&amp;"|"&amp;LEN(IF(Raw!D548="","",Raw!D548))&amp;":"&amp;IF(Raw!D548="","",Raw!D548)&amp;"|"&amp;LEN(IF(Raw!E548="","",Raw!E548))&amp;":"&amp;IF(Raw!E548="","",Raw!E548)&amp;"|"&amp;LEN(IF(Raw!F548="","",Raw!F548))&amp;":"&amp;IF(Raw!F548="","",Raw!F548)&amp;"|"&amp;LEN(IF(Raw!G548="","",Raw!G548))&amp;":"&amp;IF(Raw!G548="","",Raw!G548)</f>
        <v>6:L00542|6:T00271|10:2026-01-01|3:P-H|4:Home|4:sale|6:255.48</v>
      </c>
      <c r="Q548" s="1">
        <f>1</f>
        <v>1</v>
      </c>
      <c r="R548" s="1" t="b">
        <f>FALSE</f>
        <v>0</v>
      </c>
      <c r="S548" s="1">
        <f>1</f>
        <v>1</v>
      </c>
      <c r="T548" s="1" t="str">
        <f>IF(AND(Raw!A548="",Raw!B548="",Raw!C548="",Raw!D548="",Raw!E548="",Raw!F548="",Raw!G548=""),"UNUSED",IF(A548="","missing line ID",IF(B548="","missing transaction ID",IF(G548="",IF(C548="","missing date","invalid date"),IF(I548="","unknown product",IF(J548="","conflicting category",IF(NOT(OR(EXACT(K548,"sale"),EXACT(K548,"refund"))),"unknown event",IF(OR(N548="",NOT(O548)),"invalid amount",IF(OR(AND(K548="sale",N548&lt;=0),AND(K548="refund",N548&gt;=0)),"invalid sign","")))))))))</f>
        <v/>
      </c>
      <c r="U548" s="1" t="str">
        <f t="shared" si="69"/>
        <v>INCLUDED</v>
      </c>
      <c r="V548" s="1" t="str">
        <f t="shared" si="70"/>
        <v>2026-01</v>
      </c>
      <c r="W548" s="1">
        <f>IF(AND(U548="INCLUDED",X548&gt;0,EXACT(A548,'AI output'!A548)),1,0)</f>
        <v>1</v>
      </c>
      <c r="X548" s="1">
        <f>548</f>
        <v>548</v>
      </c>
      <c r="Y548" s="1">
        <f>IF(AND(U548="INCLUDED",W548=1),--(NOT(EXACT(A548,'AI output'!A548)))+--(NOT(EXACT(B548,'AI output'!B548)))+--(NOT(EXACT(TEXT(G548,"yyyy-mm-dd"),'AI output'!C548)))+--(NOT(EXACT(H548,'AI output'!D548)))+--(NOT(EXACT(J548,'AI output'!E548)))+--(NOT(EXACT(K548,'AI output'!F548)))+--(N548&lt;&gt;'AI output'!L548)+--(NOT('AI output'!M548)),0)</f>
        <v>0</v>
      </c>
      <c r="Z548" s="1">
        <f t="shared" si="71"/>
        <v>0</v>
      </c>
      <c r="AA548" s="1">
        <f>--EXACT(A548,"L00542")</f>
        <v>1</v>
      </c>
    </row>
    <row r="549" spans="1:27" ht="18.95" customHeight="1">
      <c r="A549" s="1" t="str">
        <f>IF(Raw!A549="","",Raw!A549)</f>
        <v>L00543</v>
      </c>
      <c r="B549" s="1" t="str">
        <f>IF(Raw!B549="","",Raw!B549)</f>
        <v>T00272</v>
      </c>
      <c r="C549" s="1" t="str">
        <f>IF(Raw!C549="","",Raw!C549)</f>
        <v>2026-01-08</v>
      </c>
      <c r="D549" s="1">
        <f t="shared" si="64"/>
        <v>2026</v>
      </c>
      <c r="E549" s="1">
        <f>IFERROR(IF(AND(LEN(C549)=10,MID(C549,5,1)="-",MID(C549,8,1)="-"),VALUE(MID(C549,6,2)),IF(AND(LEN(C549)=11,MID(C549,3,1)="-",MID(C549,7,1)="-"),MATCH(UPPER(MID(C549,4,3)),Guide!$D$7:$D$18,0),0)),0)</f>
        <v>1</v>
      </c>
      <c r="F549" s="1">
        <f t="shared" si="65"/>
        <v>8</v>
      </c>
      <c r="G549" s="9">
        <f t="shared" si="66"/>
        <v>46030</v>
      </c>
      <c r="H549" s="1" t="str">
        <f>IF(Raw!D549="","",Raw!D549)</f>
        <v>P-O</v>
      </c>
      <c r="I549" s="1" t="str">
        <f>IFERROR(IF(EXACT(H549,INDEX(Guide!$A$7:$A$9,MATCH(SUBSTITUTE(SUBSTITUTE(SUBSTITUTE(H549,"~","~~"),"*","~*"),"?","~?"),Guide!$A$7:$A$9,0))),INDEX(Guide!$B$7:$B$9,MATCH(SUBSTITUTE(SUBSTITUTE(SUBSTITUTE(H549,"~","~~"),"*","~*"),"?","~?"),Guide!$A$7:$A$9,0)),""),"")</f>
        <v>Office</v>
      </c>
      <c r="J549" s="1" t="str">
        <f>IF(TRIM(Raw!E549)="",I549,IF(UPPER(TRIM(Raw!E549))=UPPER(I549),I549,""))</f>
        <v>Office</v>
      </c>
      <c r="K549" s="1" t="str">
        <f>IF(Raw!F549="","",Raw!F549)</f>
        <v>sale</v>
      </c>
      <c r="L549" s="1" t="str">
        <f>IF(LEFT(TRIM(Raw!G549),2)="-$","-"&amp;MID(TRIM(Raw!G549),3,99),IF(LEFT(TRIM(Raw!G549),1)="$",MID(TRIM(Raw!G549),2,99),TRIM(Raw!G549)))</f>
        <v>427.65</v>
      </c>
      <c r="M549" s="1">
        <f t="shared" si="67"/>
        <v>427.65</v>
      </c>
      <c r="N549" s="10">
        <f t="shared" si="68"/>
        <v>42765</v>
      </c>
      <c r="O549" s="1" t="b">
        <f>IFERROR(IF(ISNUMBER(Raw!G549),TRUE,OR(EXACT(L549,TEXT(M549,"0.00")),EXACT(L549,TEXT(M549,"#,##0.00")))),FALSE)</f>
        <v>1</v>
      </c>
      <c r="P549" s="1" t="str">
        <f>LEN(IF(Raw!A549="","",Raw!A549))&amp;":"&amp;IF(Raw!A549="","",Raw!A549)&amp;"|"&amp;LEN(IF(Raw!B549="","",Raw!B549))&amp;":"&amp;IF(Raw!B549="","",Raw!B549)&amp;"|"&amp;LEN(IF(Raw!C549="","",Raw!C549))&amp;":"&amp;IF(Raw!C549="","",Raw!C549)&amp;"|"&amp;LEN(IF(Raw!D549="","",Raw!D549))&amp;":"&amp;IF(Raw!D549="","",Raw!D549)&amp;"|"&amp;LEN(IF(Raw!E549="","",Raw!E549))&amp;":"&amp;IF(Raw!E549="","",Raw!E549)&amp;"|"&amp;LEN(IF(Raw!F549="","",Raw!F549))&amp;":"&amp;IF(Raw!F549="","",Raw!F549)&amp;"|"&amp;LEN(IF(Raw!G549="","",Raw!G549))&amp;":"&amp;IF(Raw!G549="","",Raw!G549)</f>
        <v>6:L00543|6:T00272|10:2026-01-08|3:P-O|6:Office|4:sale|6:427.65</v>
      </c>
      <c r="Q549" s="1">
        <f>1</f>
        <v>1</v>
      </c>
      <c r="R549" s="1" t="b">
        <f>FALSE</f>
        <v>0</v>
      </c>
      <c r="S549" s="1">
        <f>1</f>
        <v>1</v>
      </c>
      <c r="T549" s="1" t="str">
        <f>IF(AND(Raw!A549="",Raw!B549="",Raw!C549="",Raw!D549="",Raw!E549="",Raw!F549="",Raw!G549=""),"UNUSED",IF(A549="","missing line ID",IF(B549="","missing transaction ID",IF(G549="",IF(C549="","missing date","invalid date"),IF(I549="","unknown product",IF(J549="","conflicting category",IF(NOT(OR(EXACT(K549,"sale"),EXACT(K549,"refund"))),"unknown event",IF(OR(N549="",NOT(O549)),"invalid amount",IF(OR(AND(K549="sale",N549&lt;=0),AND(K549="refund",N549&gt;=0)),"invalid sign","")))))))))</f>
        <v/>
      </c>
      <c r="U549" s="1" t="str">
        <f t="shared" si="69"/>
        <v>INCLUDED</v>
      </c>
      <c r="V549" s="1" t="str">
        <f t="shared" si="70"/>
        <v>2026-01</v>
      </c>
      <c r="W549" s="1">
        <f>IF(AND(U549="INCLUDED",X549&gt;0,EXACT(A549,'AI output'!A549)),1,0)</f>
        <v>1</v>
      </c>
      <c r="X549" s="1">
        <f>549</f>
        <v>549</v>
      </c>
      <c r="Y549" s="1">
        <f>IF(AND(U549="INCLUDED",W549=1),--(NOT(EXACT(A549,'AI output'!A549)))+--(NOT(EXACT(B549,'AI output'!B549)))+--(NOT(EXACT(TEXT(G549,"yyyy-mm-dd"),'AI output'!C549)))+--(NOT(EXACT(H549,'AI output'!D549)))+--(NOT(EXACT(J549,'AI output'!E549)))+--(NOT(EXACT(K549,'AI output'!F549)))+--(N549&lt;&gt;'AI output'!L549)+--(NOT('AI output'!M549)),0)</f>
        <v>0</v>
      </c>
      <c r="Z549" s="1">
        <f t="shared" si="71"/>
        <v>0</v>
      </c>
      <c r="AA549" s="1">
        <f>--EXACT(A549,"L00543")</f>
        <v>1</v>
      </c>
    </row>
    <row r="550" spans="1:27" ht="18.95" customHeight="1">
      <c r="A550" s="1" t="str">
        <f>IF(Raw!A550="","",Raw!A550)</f>
        <v>L00544</v>
      </c>
      <c r="B550" s="1" t="str">
        <f>IF(Raw!B550="","",Raw!B550)</f>
        <v>T00272</v>
      </c>
      <c r="C550" s="1" t="str">
        <f>IF(Raw!C550="","",Raw!C550)</f>
        <v>2026-01-08</v>
      </c>
      <c r="D550" s="1">
        <f t="shared" si="64"/>
        <v>2026</v>
      </c>
      <c r="E550" s="1">
        <f>IFERROR(IF(AND(LEN(C550)=10,MID(C550,5,1)="-",MID(C550,8,1)="-"),VALUE(MID(C550,6,2)),IF(AND(LEN(C550)=11,MID(C550,3,1)="-",MID(C550,7,1)="-"),MATCH(UPPER(MID(C550,4,3)),Guide!$D$7:$D$18,0),0)),0)</f>
        <v>1</v>
      </c>
      <c r="F550" s="1">
        <f t="shared" si="65"/>
        <v>8</v>
      </c>
      <c r="G550" s="9">
        <f t="shared" si="66"/>
        <v>46030</v>
      </c>
      <c r="H550" s="1" t="str">
        <f>IF(Raw!D550="","",Raw!D550)</f>
        <v>P-A</v>
      </c>
      <c r="I550" s="1" t="str">
        <f>IFERROR(IF(EXACT(H550,INDEX(Guide!$A$7:$A$9,MATCH(SUBSTITUTE(SUBSTITUTE(SUBSTITUTE(H550,"~","~~"),"*","~*"),"?","~?"),Guide!$A$7:$A$9,0))),INDEX(Guide!$B$7:$B$9,MATCH(SUBSTITUTE(SUBSTITUTE(SUBSTITUTE(H550,"~","~~"),"*","~*"),"?","~?"),Guide!$A$7:$A$9,0)),""),"")</f>
        <v>Accessories</v>
      </c>
      <c r="J550" s="1" t="str">
        <f>IF(TRIM(Raw!E550)="",I550,IF(UPPER(TRIM(Raw!E550))=UPPER(I550),I550,""))</f>
        <v>Accessories</v>
      </c>
      <c r="K550" s="1" t="str">
        <f>IF(Raw!F550="","",Raw!F550)</f>
        <v>sale</v>
      </c>
      <c r="L550" s="1" t="str">
        <f>IF(LEFT(TRIM(Raw!G550),2)="-$","-"&amp;MID(TRIM(Raw!G550),3,99),IF(LEFT(TRIM(Raw!G550),1)="$",MID(TRIM(Raw!G550),2,99),TRIM(Raw!G550)))</f>
        <v>171.80</v>
      </c>
      <c r="M550" s="1">
        <f t="shared" si="67"/>
        <v>171.8</v>
      </c>
      <c r="N550" s="10">
        <f t="shared" si="68"/>
        <v>17180</v>
      </c>
      <c r="O550" s="1" t="b">
        <f>IFERROR(IF(ISNUMBER(Raw!G550),TRUE,OR(EXACT(L550,TEXT(M550,"0.00")),EXACT(L550,TEXT(M550,"#,##0.00")))),FALSE)</f>
        <v>1</v>
      </c>
      <c r="P550" s="1" t="str">
        <f>LEN(IF(Raw!A550="","",Raw!A550))&amp;":"&amp;IF(Raw!A550="","",Raw!A550)&amp;"|"&amp;LEN(IF(Raw!B550="","",Raw!B550))&amp;":"&amp;IF(Raw!B550="","",Raw!B550)&amp;"|"&amp;LEN(IF(Raw!C550="","",Raw!C550))&amp;":"&amp;IF(Raw!C550="","",Raw!C550)&amp;"|"&amp;LEN(IF(Raw!D550="","",Raw!D550))&amp;":"&amp;IF(Raw!D550="","",Raw!D550)&amp;"|"&amp;LEN(IF(Raw!E550="","",Raw!E550))&amp;":"&amp;IF(Raw!E550="","",Raw!E550)&amp;"|"&amp;LEN(IF(Raw!F550="","",Raw!F550))&amp;":"&amp;IF(Raw!F550="","",Raw!F550)&amp;"|"&amp;LEN(IF(Raw!G550="","",Raw!G550))&amp;":"&amp;IF(Raw!G550="","",Raw!G550)</f>
        <v>6:L00544|6:T00272|10:2026-01-08|3:P-A|11:Accessories|4:sale|6:171.80</v>
      </c>
      <c r="Q550" s="1">
        <f>1</f>
        <v>1</v>
      </c>
      <c r="R550" s="1" t="b">
        <f>FALSE</f>
        <v>0</v>
      </c>
      <c r="S550" s="1">
        <f>1</f>
        <v>1</v>
      </c>
      <c r="T550" s="1" t="str">
        <f>IF(AND(Raw!A550="",Raw!B550="",Raw!C550="",Raw!D550="",Raw!E550="",Raw!F550="",Raw!G550=""),"UNUSED",IF(A550="","missing line ID",IF(B550="","missing transaction ID",IF(G550="",IF(C550="","missing date","invalid date"),IF(I550="","unknown product",IF(J550="","conflicting category",IF(NOT(OR(EXACT(K550,"sale"),EXACT(K550,"refund"))),"unknown event",IF(OR(N550="",NOT(O550)),"invalid amount",IF(OR(AND(K550="sale",N550&lt;=0),AND(K550="refund",N550&gt;=0)),"invalid sign","")))))))))</f>
        <v/>
      </c>
      <c r="U550" s="1" t="str">
        <f t="shared" si="69"/>
        <v>INCLUDED</v>
      </c>
      <c r="V550" s="1" t="str">
        <f t="shared" si="70"/>
        <v>2026-01</v>
      </c>
      <c r="W550" s="1">
        <f>IF(AND(U550="INCLUDED",X550&gt;0,EXACT(A550,'AI output'!A550)),1,0)</f>
        <v>1</v>
      </c>
      <c r="X550" s="1">
        <f>550</f>
        <v>550</v>
      </c>
      <c r="Y550" s="1">
        <f>IF(AND(U550="INCLUDED",W550=1),--(NOT(EXACT(A550,'AI output'!A550)))+--(NOT(EXACT(B550,'AI output'!B550)))+--(NOT(EXACT(TEXT(G550,"yyyy-mm-dd"),'AI output'!C550)))+--(NOT(EXACT(H550,'AI output'!D550)))+--(NOT(EXACT(J550,'AI output'!E550)))+--(NOT(EXACT(K550,'AI output'!F550)))+--(N550&lt;&gt;'AI output'!L550)+--(NOT('AI output'!M550)),0)</f>
        <v>0</v>
      </c>
      <c r="Z550" s="1">
        <f t="shared" si="71"/>
        <v>0</v>
      </c>
      <c r="AA550" s="1">
        <f>--EXACT(A550,"L00544")</f>
        <v>1</v>
      </c>
    </row>
    <row r="551" spans="1:27" ht="18.95" customHeight="1">
      <c r="A551" s="1" t="str">
        <f>IF(Raw!A551="","",Raw!A551)</f>
        <v>L00545</v>
      </c>
      <c r="B551" s="1" t="str">
        <f>IF(Raw!B551="","",Raw!B551)</f>
        <v>T00273</v>
      </c>
      <c r="C551" s="1" t="str">
        <f>IF(Raw!C551="","",Raw!C551)</f>
        <v>2026-01-15</v>
      </c>
      <c r="D551" s="1">
        <f t="shared" si="64"/>
        <v>2026</v>
      </c>
      <c r="E551" s="1">
        <f>IFERROR(IF(AND(LEN(C551)=10,MID(C551,5,1)="-",MID(C551,8,1)="-"),VALUE(MID(C551,6,2)),IF(AND(LEN(C551)=11,MID(C551,3,1)="-",MID(C551,7,1)="-"),MATCH(UPPER(MID(C551,4,3)),Guide!$D$7:$D$18,0),0)),0)</f>
        <v>1</v>
      </c>
      <c r="F551" s="1">
        <f t="shared" si="65"/>
        <v>15</v>
      </c>
      <c r="G551" s="9">
        <f t="shared" si="66"/>
        <v>46037</v>
      </c>
      <c r="H551" s="1" t="str">
        <f>IF(Raw!D551="","",Raw!D551)</f>
        <v>P-H</v>
      </c>
      <c r="I551" s="1" t="str">
        <f>IFERROR(IF(EXACT(H551,INDEX(Guide!$A$7:$A$9,MATCH(SUBSTITUTE(SUBSTITUTE(SUBSTITUTE(H551,"~","~~"),"*","~*"),"?","~?"),Guide!$A$7:$A$9,0))),INDEX(Guide!$B$7:$B$9,MATCH(SUBSTITUTE(SUBSTITUTE(SUBSTITUTE(H551,"~","~~"),"*","~*"),"?","~?"),Guide!$A$7:$A$9,0)),""),"")</f>
        <v>Home</v>
      </c>
      <c r="J551" s="1" t="str">
        <f>IF(TRIM(Raw!E551)="",I551,IF(UPPER(TRIM(Raw!E551))=UPPER(I551),I551,""))</f>
        <v>Home</v>
      </c>
      <c r="K551" s="1" t="str">
        <f>IF(Raw!F551="","",Raw!F551)</f>
        <v>sale</v>
      </c>
      <c r="L551" s="1" t="str">
        <f>IF(LEFT(TRIM(Raw!G551),2)="-$","-"&amp;MID(TRIM(Raw!G551),3,99),IF(LEFT(TRIM(Raw!G551),1)="$",MID(TRIM(Raw!G551),2,99),TRIM(Raw!G551)))</f>
        <v>345.08</v>
      </c>
      <c r="M551" s="1">
        <f t="shared" si="67"/>
        <v>345.08</v>
      </c>
      <c r="N551" s="10">
        <f t="shared" si="68"/>
        <v>34508</v>
      </c>
      <c r="O551" s="1" t="b">
        <f>IFERROR(IF(ISNUMBER(Raw!G551),TRUE,OR(EXACT(L551,TEXT(M551,"0.00")),EXACT(L551,TEXT(M551,"#,##0.00")))),FALSE)</f>
        <v>1</v>
      </c>
      <c r="P551" s="1" t="str">
        <f>LEN(IF(Raw!A551="","",Raw!A551))&amp;":"&amp;IF(Raw!A551="","",Raw!A551)&amp;"|"&amp;LEN(IF(Raw!B551="","",Raw!B551))&amp;":"&amp;IF(Raw!B551="","",Raw!B551)&amp;"|"&amp;LEN(IF(Raw!C551="","",Raw!C551))&amp;":"&amp;IF(Raw!C551="","",Raw!C551)&amp;"|"&amp;LEN(IF(Raw!D551="","",Raw!D551))&amp;":"&amp;IF(Raw!D551="","",Raw!D551)&amp;"|"&amp;LEN(IF(Raw!E551="","",Raw!E551))&amp;":"&amp;IF(Raw!E551="","",Raw!E551)&amp;"|"&amp;LEN(IF(Raw!F551="","",Raw!F551))&amp;":"&amp;IF(Raw!F551="","",Raw!F551)&amp;"|"&amp;LEN(IF(Raw!G551="","",Raw!G551))&amp;":"&amp;IF(Raw!G551="","",Raw!G551)</f>
        <v>6:L00545|6:T00273|10:2026-01-15|3:P-H|4:Home|4:sale|6:345.08</v>
      </c>
      <c r="Q551" s="1">
        <f>1</f>
        <v>1</v>
      </c>
      <c r="R551" s="1" t="b">
        <f>FALSE</f>
        <v>0</v>
      </c>
      <c r="S551" s="1">
        <f>1</f>
        <v>1</v>
      </c>
      <c r="T551" s="1" t="str">
        <f>IF(AND(Raw!A551="",Raw!B551="",Raw!C551="",Raw!D551="",Raw!E551="",Raw!F551="",Raw!G551=""),"UNUSED",IF(A551="","missing line ID",IF(B551="","missing transaction ID",IF(G551="",IF(C551="","missing date","invalid date"),IF(I551="","unknown product",IF(J551="","conflicting category",IF(NOT(OR(EXACT(K551,"sale"),EXACT(K551,"refund"))),"unknown event",IF(OR(N551="",NOT(O551)),"invalid amount",IF(OR(AND(K551="sale",N551&lt;=0),AND(K551="refund",N551&gt;=0)),"invalid sign","")))))))))</f>
        <v/>
      </c>
      <c r="U551" s="1" t="str">
        <f t="shared" si="69"/>
        <v>INCLUDED</v>
      </c>
      <c r="V551" s="1" t="str">
        <f t="shared" si="70"/>
        <v>2026-01</v>
      </c>
      <c r="W551" s="1">
        <f>IF(AND(U551="INCLUDED",X551&gt;0,EXACT(A551,'AI output'!A551)),1,0)</f>
        <v>1</v>
      </c>
      <c r="X551" s="1">
        <f>551</f>
        <v>551</v>
      </c>
      <c r="Y551" s="1">
        <f>IF(AND(U551="INCLUDED",W551=1),--(NOT(EXACT(A551,'AI output'!A551)))+--(NOT(EXACT(B551,'AI output'!B551)))+--(NOT(EXACT(TEXT(G551,"yyyy-mm-dd"),'AI output'!C551)))+--(NOT(EXACT(H551,'AI output'!D551)))+--(NOT(EXACT(J551,'AI output'!E551)))+--(NOT(EXACT(K551,'AI output'!F551)))+--(N551&lt;&gt;'AI output'!L551)+--(NOT('AI output'!M551)),0)</f>
        <v>0</v>
      </c>
      <c r="Z551" s="1">
        <f t="shared" si="71"/>
        <v>0</v>
      </c>
      <c r="AA551" s="1">
        <f>--EXACT(A551,"L00545")</f>
        <v>1</v>
      </c>
    </row>
    <row r="552" spans="1:27" ht="18.95" customHeight="1">
      <c r="A552" s="1" t="str">
        <f>IF(Raw!A552="","",Raw!A552)</f>
        <v>L00546</v>
      </c>
      <c r="B552" s="1" t="str">
        <f>IF(Raw!B552="","",Raw!B552)</f>
        <v>T00273</v>
      </c>
      <c r="C552" s="1" t="str">
        <f>IF(Raw!C552="","",Raw!C552)</f>
        <v>2026-01-15</v>
      </c>
      <c r="D552" s="1">
        <f t="shared" si="64"/>
        <v>2026</v>
      </c>
      <c r="E552" s="1">
        <f>IFERROR(IF(AND(LEN(C552)=10,MID(C552,5,1)="-",MID(C552,8,1)="-"),VALUE(MID(C552,6,2)),IF(AND(LEN(C552)=11,MID(C552,3,1)="-",MID(C552,7,1)="-"),MATCH(UPPER(MID(C552,4,3)),Guide!$D$7:$D$18,0),0)),0)</f>
        <v>1</v>
      </c>
      <c r="F552" s="1">
        <f t="shared" si="65"/>
        <v>15</v>
      </c>
      <c r="G552" s="9">
        <f t="shared" si="66"/>
        <v>46037</v>
      </c>
      <c r="H552" s="1" t="str">
        <f>IF(Raw!D552="","",Raw!D552)</f>
        <v>P-O</v>
      </c>
      <c r="I552" s="1" t="str">
        <f>IFERROR(IF(EXACT(H552,INDEX(Guide!$A$7:$A$9,MATCH(SUBSTITUTE(SUBSTITUTE(SUBSTITUTE(H552,"~","~~"),"*","~*"),"?","~?"),Guide!$A$7:$A$9,0))),INDEX(Guide!$B$7:$B$9,MATCH(SUBSTITUTE(SUBSTITUTE(SUBSTITUTE(H552,"~","~~"),"*","~*"),"?","~?"),Guide!$A$7:$A$9,0)),""),"")</f>
        <v>Office</v>
      </c>
      <c r="J552" s="1" t="str">
        <f>IF(TRIM(Raw!E552)="",I552,IF(UPPER(TRIM(Raw!E552))=UPPER(I552),I552,""))</f>
        <v>Office</v>
      </c>
      <c r="K552" s="1" t="str">
        <f>IF(Raw!F552="","",Raw!F552)</f>
        <v>sale</v>
      </c>
      <c r="L552" s="1" t="str">
        <f>IF(LEFT(TRIM(Raw!G552),2)="-$","-"&amp;MID(TRIM(Raw!G552),3,99),IF(LEFT(TRIM(Raw!G552),1)="$",MID(TRIM(Raw!G552),2,99),TRIM(Raw!G552)))</f>
        <v>86.64</v>
      </c>
      <c r="M552" s="1">
        <f t="shared" si="67"/>
        <v>86.64</v>
      </c>
      <c r="N552" s="10">
        <f t="shared" si="68"/>
        <v>8664</v>
      </c>
      <c r="O552" s="1" t="b">
        <f>IFERROR(IF(ISNUMBER(Raw!G552),TRUE,OR(EXACT(L552,TEXT(M552,"0.00")),EXACT(L552,TEXT(M552,"#,##0.00")))),FALSE)</f>
        <v>1</v>
      </c>
      <c r="P552" s="1" t="str">
        <f>LEN(IF(Raw!A552="","",Raw!A552))&amp;":"&amp;IF(Raw!A552="","",Raw!A552)&amp;"|"&amp;LEN(IF(Raw!B552="","",Raw!B552))&amp;":"&amp;IF(Raw!B552="","",Raw!B552)&amp;"|"&amp;LEN(IF(Raw!C552="","",Raw!C552))&amp;":"&amp;IF(Raw!C552="","",Raw!C552)&amp;"|"&amp;LEN(IF(Raw!D552="","",Raw!D552))&amp;":"&amp;IF(Raw!D552="","",Raw!D552)&amp;"|"&amp;LEN(IF(Raw!E552="","",Raw!E552))&amp;":"&amp;IF(Raw!E552="","",Raw!E552)&amp;"|"&amp;LEN(IF(Raw!F552="","",Raw!F552))&amp;":"&amp;IF(Raw!F552="","",Raw!F552)&amp;"|"&amp;LEN(IF(Raw!G552="","",Raw!G552))&amp;":"&amp;IF(Raw!G552="","",Raw!G552)</f>
        <v>6:L00546|6:T00273|10:2026-01-15|3:P-O|6:Office|4:sale|5:86.64</v>
      </c>
      <c r="Q552" s="1">
        <f>1</f>
        <v>1</v>
      </c>
      <c r="R552" s="1" t="b">
        <f>FALSE</f>
        <v>0</v>
      </c>
      <c r="S552" s="1">
        <f>1</f>
        <v>1</v>
      </c>
      <c r="T552" s="1" t="str">
        <f>IF(AND(Raw!A552="",Raw!B552="",Raw!C552="",Raw!D552="",Raw!E552="",Raw!F552="",Raw!G552=""),"UNUSED",IF(A552="","missing line ID",IF(B552="","missing transaction ID",IF(G552="",IF(C552="","missing date","invalid date"),IF(I552="","unknown product",IF(J552="","conflicting category",IF(NOT(OR(EXACT(K552,"sale"),EXACT(K552,"refund"))),"unknown event",IF(OR(N552="",NOT(O552)),"invalid amount",IF(OR(AND(K552="sale",N552&lt;=0),AND(K552="refund",N552&gt;=0)),"invalid sign","")))))))))</f>
        <v/>
      </c>
      <c r="U552" s="1" t="str">
        <f t="shared" si="69"/>
        <v>INCLUDED</v>
      </c>
      <c r="V552" s="1" t="str">
        <f t="shared" si="70"/>
        <v>2026-01</v>
      </c>
      <c r="W552" s="1">
        <f>IF(AND(U552="INCLUDED",X552&gt;0,EXACT(A552,'AI output'!A552)),1,0)</f>
        <v>1</v>
      </c>
      <c r="X552" s="1">
        <f>552</f>
        <v>552</v>
      </c>
      <c r="Y552" s="1">
        <f>IF(AND(U552="INCLUDED",W552=1),--(NOT(EXACT(A552,'AI output'!A552)))+--(NOT(EXACT(B552,'AI output'!B552)))+--(NOT(EXACT(TEXT(G552,"yyyy-mm-dd"),'AI output'!C552)))+--(NOT(EXACT(H552,'AI output'!D552)))+--(NOT(EXACT(J552,'AI output'!E552)))+--(NOT(EXACT(K552,'AI output'!F552)))+--(N552&lt;&gt;'AI output'!L552)+--(NOT('AI output'!M552)),0)</f>
        <v>0</v>
      </c>
      <c r="Z552" s="1">
        <f t="shared" si="71"/>
        <v>0</v>
      </c>
      <c r="AA552" s="1">
        <f>--EXACT(A552,"L00546")</f>
        <v>1</v>
      </c>
    </row>
    <row r="553" spans="1:27" ht="18.95" customHeight="1">
      <c r="A553" s="1" t="str">
        <f>IF(Raw!A553="","",Raw!A553)</f>
        <v>L00547</v>
      </c>
      <c r="B553" s="1" t="str">
        <f>IF(Raw!B553="","",Raw!B553)</f>
        <v>T00274</v>
      </c>
      <c r="C553" s="1" t="str">
        <f>IF(Raw!C553="","",Raw!C553)</f>
        <v>2026-01-22</v>
      </c>
      <c r="D553" s="1">
        <f t="shared" si="64"/>
        <v>2026</v>
      </c>
      <c r="E553" s="1">
        <f>IFERROR(IF(AND(LEN(C553)=10,MID(C553,5,1)="-",MID(C553,8,1)="-"),VALUE(MID(C553,6,2)),IF(AND(LEN(C553)=11,MID(C553,3,1)="-",MID(C553,7,1)="-"),MATCH(UPPER(MID(C553,4,3)),Guide!$D$7:$D$18,0),0)),0)</f>
        <v>1</v>
      </c>
      <c r="F553" s="1">
        <f t="shared" si="65"/>
        <v>22</v>
      </c>
      <c r="G553" s="9">
        <f t="shared" si="66"/>
        <v>46044</v>
      </c>
      <c r="H553" s="1" t="str">
        <f>IF(Raw!D553="","",Raw!D553)</f>
        <v>P-A</v>
      </c>
      <c r="I553" s="1" t="str">
        <f>IFERROR(IF(EXACT(H553,INDEX(Guide!$A$7:$A$9,MATCH(SUBSTITUTE(SUBSTITUTE(SUBSTITUTE(H553,"~","~~"),"*","~*"),"?","~?"),Guide!$A$7:$A$9,0))),INDEX(Guide!$B$7:$B$9,MATCH(SUBSTITUTE(SUBSTITUTE(SUBSTITUTE(H553,"~","~~"),"*","~*"),"?","~?"),Guide!$A$7:$A$9,0)),""),"")</f>
        <v>Accessories</v>
      </c>
      <c r="J553" s="1" t="str">
        <f>IF(TRIM(Raw!E553)="",I553,IF(UPPER(TRIM(Raw!E553))=UPPER(I553),I553,""))</f>
        <v>Accessories</v>
      </c>
      <c r="K553" s="1" t="str">
        <f>IF(Raw!F553="","",Raw!F553)</f>
        <v>sale</v>
      </c>
      <c r="L553" s="1" t="str">
        <f>IF(LEFT(TRIM(Raw!G553),2)="-$","-"&amp;MID(TRIM(Raw!G553),3,99),IF(LEFT(TRIM(Raw!G553),1)="$",MID(TRIM(Raw!G553),2,99),TRIM(Raw!G553)))</f>
        <v>261.03</v>
      </c>
      <c r="M553" s="1">
        <f t="shared" si="67"/>
        <v>261.02999999999997</v>
      </c>
      <c r="N553" s="10">
        <f t="shared" si="68"/>
        <v>26103</v>
      </c>
      <c r="O553" s="1" t="b">
        <f>IFERROR(IF(ISNUMBER(Raw!G553),TRUE,OR(EXACT(L553,TEXT(M553,"0.00")),EXACT(L553,TEXT(M553,"#,##0.00")))),FALSE)</f>
        <v>1</v>
      </c>
      <c r="P553" s="1" t="str">
        <f>LEN(IF(Raw!A553="","",Raw!A553))&amp;":"&amp;IF(Raw!A553="","",Raw!A553)&amp;"|"&amp;LEN(IF(Raw!B553="","",Raw!B553))&amp;":"&amp;IF(Raw!B553="","",Raw!B553)&amp;"|"&amp;LEN(IF(Raw!C553="","",Raw!C553))&amp;":"&amp;IF(Raw!C553="","",Raw!C553)&amp;"|"&amp;LEN(IF(Raw!D553="","",Raw!D553))&amp;":"&amp;IF(Raw!D553="","",Raw!D553)&amp;"|"&amp;LEN(IF(Raw!E553="","",Raw!E553))&amp;":"&amp;IF(Raw!E553="","",Raw!E553)&amp;"|"&amp;LEN(IF(Raw!F553="","",Raw!F553))&amp;":"&amp;IF(Raw!F553="","",Raw!F553)&amp;"|"&amp;LEN(IF(Raw!G553="","",Raw!G553))&amp;":"&amp;IF(Raw!G553="","",Raw!G553)</f>
        <v>6:L00547|6:T00274|10:2026-01-22|3:P-A|11:Accessories|4:sale|6:261.03</v>
      </c>
      <c r="Q553" s="1">
        <f>1</f>
        <v>1</v>
      </c>
      <c r="R553" s="1" t="b">
        <f>FALSE</f>
        <v>0</v>
      </c>
      <c r="S553" s="1">
        <f>1</f>
        <v>1</v>
      </c>
      <c r="T553" s="1" t="str">
        <f>IF(AND(Raw!A553="",Raw!B553="",Raw!C553="",Raw!D553="",Raw!E553="",Raw!F553="",Raw!G553=""),"UNUSED",IF(A553="","missing line ID",IF(B553="","missing transaction ID",IF(G553="",IF(C553="","missing date","invalid date"),IF(I553="","unknown product",IF(J553="","conflicting category",IF(NOT(OR(EXACT(K553,"sale"),EXACT(K553,"refund"))),"unknown event",IF(OR(N553="",NOT(O553)),"invalid amount",IF(OR(AND(K553="sale",N553&lt;=0),AND(K553="refund",N553&gt;=0)),"invalid sign","")))))))))</f>
        <v/>
      </c>
      <c r="U553" s="1" t="str">
        <f t="shared" si="69"/>
        <v>INCLUDED</v>
      </c>
      <c r="V553" s="1" t="str">
        <f t="shared" si="70"/>
        <v>2026-01</v>
      </c>
      <c r="W553" s="1">
        <f>IF(AND(U553="INCLUDED",X553&gt;0,EXACT(A553,'AI output'!A553)),1,0)</f>
        <v>1</v>
      </c>
      <c r="X553" s="1">
        <f>553</f>
        <v>553</v>
      </c>
      <c r="Y553" s="1">
        <f>IF(AND(U553="INCLUDED",W553=1),--(NOT(EXACT(A553,'AI output'!A553)))+--(NOT(EXACT(B553,'AI output'!B553)))+--(NOT(EXACT(TEXT(G553,"yyyy-mm-dd"),'AI output'!C553)))+--(NOT(EXACT(H553,'AI output'!D553)))+--(NOT(EXACT(J553,'AI output'!E553)))+--(NOT(EXACT(K553,'AI output'!F553)))+--(N553&lt;&gt;'AI output'!L553)+--(NOT('AI output'!M553)),0)</f>
        <v>0</v>
      </c>
      <c r="Z553" s="1">
        <f t="shared" si="71"/>
        <v>0</v>
      </c>
      <c r="AA553" s="1">
        <f>--EXACT(A553,"L00547")</f>
        <v>1</v>
      </c>
    </row>
    <row r="554" spans="1:27" ht="18.95" customHeight="1">
      <c r="A554" s="1" t="str">
        <f>IF(Raw!A554="","",Raw!A554)</f>
        <v>L00548</v>
      </c>
      <c r="B554" s="1" t="str">
        <f>IF(Raw!B554="","",Raw!B554)</f>
        <v>T00274</v>
      </c>
      <c r="C554" s="1" t="str">
        <f>IF(Raw!C554="","",Raw!C554)</f>
        <v>2026-01-22</v>
      </c>
      <c r="D554" s="1">
        <f t="shared" si="64"/>
        <v>2026</v>
      </c>
      <c r="E554" s="1">
        <f>IFERROR(IF(AND(LEN(C554)=10,MID(C554,5,1)="-",MID(C554,8,1)="-"),VALUE(MID(C554,6,2)),IF(AND(LEN(C554)=11,MID(C554,3,1)="-",MID(C554,7,1)="-"),MATCH(UPPER(MID(C554,4,3)),Guide!$D$7:$D$18,0),0)),0)</f>
        <v>1</v>
      </c>
      <c r="F554" s="1">
        <f t="shared" si="65"/>
        <v>22</v>
      </c>
      <c r="G554" s="9">
        <f t="shared" si="66"/>
        <v>46044</v>
      </c>
      <c r="H554" s="1" t="str">
        <f>IF(Raw!D554="","",Raw!D554)</f>
        <v>P-H</v>
      </c>
      <c r="I554" s="1" t="str">
        <f>IFERROR(IF(EXACT(H554,INDEX(Guide!$A$7:$A$9,MATCH(SUBSTITUTE(SUBSTITUTE(SUBSTITUTE(H554,"~","~~"),"*","~*"),"?","~?"),Guide!$A$7:$A$9,0))),INDEX(Guide!$B$7:$B$9,MATCH(SUBSTITUTE(SUBSTITUTE(SUBSTITUTE(H554,"~","~~"),"*","~*"),"?","~?"),Guide!$A$7:$A$9,0)),""),"")</f>
        <v>Home</v>
      </c>
      <c r="J554" s="1" t="str">
        <f>IF(TRIM(Raw!E554)="",I554,IF(UPPER(TRIM(Raw!E554))=UPPER(I554),I554,""))</f>
        <v>Home</v>
      </c>
      <c r="K554" s="1" t="str">
        <f>IF(Raw!F554="","",Raw!F554)</f>
        <v>sale</v>
      </c>
      <c r="L554" s="1" t="str">
        <f>IF(LEFT(TRIM(Raw!G554),2)="-$","-"&amp;MID(TRIM(Raw!G554),3,99),IF(LEFT(TRIM(Raw!G554),1)="$",MID(TRIM(Raw!G554),2,99),TRIM(Raw!G554)))</f>
        <v>436.90</v>
      </c>
      <c r="M554" s="1">
        <f t="shared" si="67"/>
        <v>436.9</v>
      </c>
      <c r="N554" s="10">
        <f t="shared" si="68"/>
        <v>43690</v>
      </c>
      <c r="O554" s="1" t="b">
        <f>IFERROR(IF(ISNUMBER(Raw!G554),TRUE,OR(EXACT(L554,TEXT(M554,"0.00")),EXACT(L554,TEXT(M554,"#,##0.00")))),FALSE)</f>
        <v>1</v>
      </c>
      <c r="P554" s="1" t="str">
        <f>LEN(IF(Raw!A554="","",Raw!A554))&amp;":"&amp;IF(Raw!A554="","",Raw!A554)&amp;"|"&amp;LEN(IF(Raw!B554="","",Raw!B554))&amp;":"&amp;IF(Raw!B554="","",Raw!B554)&amp;"|"&amp;LEN(IF(Raw!C554="","",Raw!C554))&amp;":"&amp;IF(Raw!C554="","",Raw!C554)&amp;"|"&amp;LEN(IF(Raw!D554="","",Raw!D554))&amp;":"&amp;IF(Raw!D554="","",Raw!D554)&amp;"|"&amp;LEN(IF(Raw!E554="","",Raw!E554))&amp;":"&amp;IF(Raw!E554="","",Raw!E554)&amp;"|"&amp;LEN(IF(Raw!F554="","",Raw!F554))&amp;":"&amp;IF(Raw!F554="","",Raw!F554)&amp;"|"&amp;LEN(IF(Raw!G554="","",Raw!G554))&amp;":"&amp;IF(Raw!G554="","",Raw!G554)</f>
        <v>6:L00548|6:T00274|10:2026-01-22|3:P-H|4:Home|4:sale|6:436.90</v>
      </c>
      <c r="Q554" s="1">
        <f>1</f>
        <v>1</v>
      </c>
      <c r="R554" s="1" t="b">
        <f>FALSE</f>
        <v>0</v>
      </c>
      <c r="S554" s="1">
        <f>1</f>
        <v>1</v>
      </c>
      <c r="T554" s="1" t="str">
        <f>IF(AND(Raw!A554="",Raw!B554="",Raw!C554="",Raw!D554="",Raw!E554="",Raw!F554="",Raw!G554=""),"UNUSED",IF(A554="","missing line ID",IF(B554="","missing transaction ID",IF(G554="",IF(C554="","missing date","invalid date"),IF(I554="","unknown product",IF(J554="","conflicting category",IF(NOT(OR(EXACT(K554,"sale"),EXACT(K554,"refund"))),"unknown event",IF(OR(N554="",NOT(O554)),"invalid amount",IF(OR(AND(K554="sale",N554&lt;=0),AND(K554="refund",N554&gt;=0)),"invalid sign","")))))))))</f>
        <v/>
      </c>
      <c r="U554" s="1" t="str">
        <f t="shared" si="69"/>
        <v>INCLUDED</v>
      </c>
      <c r="V554" s="1" t="str">
        <f t="shared" si="70"/>
        <v>2026-01</v>
      </c>
      <c r="W554" s="1">
        <f>IF(AND(U554="INCLUDED",X554&gt;0,EXACT(A554,'AI output'!A554)),1,0)</f>
        <v>1</v>
      </c>
      <c r="X554" s="1">
        <f>554</f>
        <v>554</v>
      </c>
      <c r="Y554" s="1">
        <f>IF(AND(U554="INCLUDED",W554=1),--(NOT(EXACT(A554,'AI output'!A554)))+--(NOT(EXACT(B554,'AI output'!B554)))+--(NOT(EXACT(TEXT(G554,"yyyy-mm-dd"),'AI output'!C554)))+--(NOT(EXACT(H554,'AI output'!D554)))+--(NOT(EXACT(J554,'AI output'!E554)))+--(NOT(EXACT(K554,'AI output'!F554)))+--(N554&lt;&gt;'AI output'!L554)+--(NOT('AI output'!M554)),0)</f>
        <v>0</v>
      </c>
      <c r="Z554" s="1">
        <f t="shared" si="71"/>
        <v>0</v>
      </c>
      <c r="AA554" s="1">
        <f>--EXACT(A554,"L00548")</f>
        <v>1</v>
      </c>
    </row>
    <row r="555" spans="1:27" ht="18.95" customHeight="1">
      <c r="A555" s="1" t="str">
        <f>IF(Raw!A555="","",Raw!A555)</f>
        <v>L00549</v>
      </c>
      <c r="B555" s="1" t="str">
        <f>IF(Raw!B555="","",Raw!B555)</f>
        <v>T00275</v>
      </c>
      <c r="C555" s="1" t="str">
        <f>IF(Raw!C555="","",Raw!C555)</f>
        <v>2026-01-29</v>
      </c>
      <c r="D555" s="1">
        <f t="shared" si="64"/>
        <v>2026</v>
      </c>
      <c r="E555" s="1">
        <f>IFERROR(IF(AND(LEN(C555)=10,MID(C555,5,1)="-",MID(C555,8,1)="-"),VALUE(MID(C555,6,2)),IF(AND(LEN(C555)=11,MID(C555,3,1)="-",MID(C555,7,1)="-"),MATCH(UPPER(MID(C555,4,3)),Guide!$D$7:$D$18,0),0)),0)</f>
        <v>1</v>
      </c>
      <c r="F555" s="1">
        <f t="shared" si="65"/>
        <v>29</v>
      </c>
      <c r="G555" s="9">
        <f t="shared" si="66"/>
        <v>46051</v>
      </c>
      <c r="H555" s="1" t="str">
        <f>IF(Raw!D555="","",Raw!D555)</f>
        <v>P-O</v>
      </c>
      <c r="I555" s="1" t="str">
        <f>IFERROR(IF(EXACT(H555,INDEX(Guide!$A$7:$A$9,MATCH(SUBSTITUTE(SUBSTITUTE(SUBSTITUTE(H555,"~","~~"),"*","~*"),"?","~?"),Guide!$A$7:$A$9,0))),INDEX(Guide!$B$7:$B$9,MATCH(SUBSTITUTE(SUBSTITUTE(SUBSTITUTE(H555,"~","~~"),"*","~*"),"?","~?"),Guide!$A$7:$A$9,0)),""),"")</f>
        <v>Office</v>
      </c>
      <c r="J555" s="1" t="str">
        <f>IF(TRIM(Raw!E555)="",I555,IF(UPPER(TRIM(Raw!E555))=UPPER(I555),I555,""))</f>
        <v>Office</v>
      </c>
      <c r="K555" s="1" t="str">
        <f>IF(Raw!F555="","",Raw!F555)</f>
        <v>sale</v>
      </c>
      <c r="L555" s="1" t="str">
        <f>IF(LEFT(TRIM(Raw!G555),2)="-$","-"&amp;MID(TRIM(Raw!G555),3,99),IF(LEFT(TRIM(Raw!G555),1)="$",MID(TRIM(Raw!G555),2,99),TRIM(Raw!G555)))</f>
        <v>175.50</v>
      </c>
      <c r="M555" s="1">
        <f t="shared" si="67"/>
        <v>175.5</v>
      </c>
      <c r="N555" s="10">
        <f t="shared" si="68"/>
        <v>17550</v>
      </c>
      <c r="O555" s="1" t="b">
        <f>IFERROR(IF(ISNUMBER(Raw!G555),TRUE,OR(EXACT(L555,TEXT(M555,"0.00")),EXACT(L555,TEXT(M555,"#,##0.00")))),FALSE)</f>
        <v>1</v>
      </c>
      <c r="P555" s="1" t="str">
        <f>LEN(IF(Raw!A555="","",Raw!A555))&amp;":"&amp;IF(Raw!A555="","",Raw!A555)&amp;"|"&amp;LEN(IF(Raw!B555="","",Raw!B555))&amp;":"&amp;IF(Raw!B555="","",Raw!B555)&amp;"|"&amp;LEN(IF(Raw!C555="","",Raw!C555))&amp;":"&amp;IF(Raw!C555="","",Raw!C555)&amp;"|"&amp;LEN(IF(Raw!D555="","",Raw!D555))&amp;":"&amp;IF(Raw!D555="","",Raw!D555)&amp;"|"&amp;LEN(IF(Raw!E555="","",Raw!E555))&amp;":"&amp;IF(Raw!E555="","",Raw!E555)&amp;"|"&amp;LEN(IF(Raw!F555="","",Raw!F555))&amp;":"&amp;IF(Raw!F555="","",Raw!F555)&amp;"|"&amp;LEN(IF(Raw!G555="","",Raw!G555))&amp;":"&amp;IF(Raw!G555="","",Raw!G555)</f>
        <v>6:L00549|6:T00275|10:2026-01-29|3:P-O|10:  office  |4:sale|6:175.50</v>
      </c>
      <c r="Q555" s="1">
        <f>1</f>
        <v>1</v>
      </c>
      <c r="R555" s="1" t="b">
        <f>FALSE</f>
        <v>0</v>
      </c>
      <c r="S555" s="1">
        <f>1</f>
        <v>1</v>
      </c>
      <c r="T555" s="1" t="str">
        <f>IF(AND(Raw!A555="",Raw!B555="",Raw!C555="",Raw!D555="",Raw!E555="",Raw!F555="",Raw!G555=""),"UNUSED",IF(A555="","missing line ID",IF(B555="","missing transaction ID",IF(G555="",IF(C555="","missing date","invalid date"),IF(I555="","unknown product",IF(J555="","conflicting category",IF(NOT(OR(EXACT(K555,"sale"),EXACT(K555,"refund"))),"unknown event",IF(OR(N555="",NOT(O555)),"invalid amount",IF(OR(AND(K555="sale",N555&lt;=0),AND(K555="refund",N555&gt;=0)),"invalid sign","")))))))))</f>
        <v/>
      </c>
      <c r="U555" s="1" t="str">
        <f t="shared" si="69"/>
        <v>INCLUDED</v>
      </c>
      <c r="V555" s="1" t="str">
        <f t="shared" si="70"/>
        <v>2026-01</v>
      </c>
      <c r="W555" s="1">
        <f>IF(AND(U555="INCLUDED",X555&gt;0,EXACT(A555,'AI output'!A555)),1,0)</f>
        <v>1</v>
      </c>
      <c r="X555" s="1">
        <f>555</f>
        <v>555</v>
      </c>
      <c r="Y555" s="1">
        <f>IF(AND(U555="INCLUDED",W555=1),--(NOT(EXACT(A555,'AI output'!A555)))+--(NOT(EXACT(B555,'AI output'!B555)))+--(NOT(EXACT(TEXT(G555,"yyyy-mm-dd"),'AI output'!C555)))+--(NOT(EXACT(H555,'AI output'!D555)))+--(NOT(EXACT(J555,'AI output'!E555)))+--(NOT(EXACT(K555,'AI output'!F555)))+--(N555&lt;&gt;'AI output'!L555)+--(NOT('AI output'!M555)),0)</f>
        <v>0</v>
      </c>
      <c r="Z555" s="1">
        <f t="shared" si="71"/>
        <v>0</v>
      </c>
      <c r="AA555" s="1">
        <f>--EXACT(A555,"L00549")</f>
        <v>1</v>
      </c>
    </row>
    <row r="556" spans="1:27" ht="18.95" customHeight="1">
      <c r="A556" s="1" t="str">
        <f>IF(Raw!A556="","",Raw!A556)</f>
        <v>L00550</v>
      </c>
      <c r="B556" s="1" t="str">
        <f>IF(Raw!B556="","",Raw!B556)</f>
        <v>T00275</v>
      </c>
      <c r="C556" s="1" t="str">
        <f>IF(Raw!C556="","",Raw!C556)</f>
        <v>2026-01-29</v>
      </c>
      <c r="D556" s="1">
        <f t="shared" si="64"/>
        <v>2026</v>
      </c>
      <c r="E556" s="1">
        <f>IFERROR(IF(AND(LEN(C556)=10,MID(C556,5,1)="-",MID(C556,8,1)="-"),VALUE(MID(C556,6,2)),IF(AND(LEN(C556)=11,MID(C556,3,1)="-",MID(C556,7,1)="-"),MATCH(UPPER(MID(C556,4,3)),Guide!$D$7:$D$18,0),0)),0)</f>
        <v>1</v>
      </c>
      <c r="F556" s="1">
        <f t="shared" si="65"/>
        <v>29</v>
      </c>
      <c r="G556" s="9">
        <f t="shared" si="66"/>
        <v>46051</v>
      </c>
      <c r="H556" s="1" t="str">
        <f>IF(Raw!D556="","",Raw!D556)</f>
        <v>P-A</v>
      </c>
      <c r="I556" s="1" t="str">
        <f>IFERROR(IF(EXACT(H556,INDEX(Guide!$A$7:$A$9,MATCH(SUBSTITUTE(SUBSTITUTE(SUBSTITUTE(H556,"~","~~"),"*","~*"),"?","~?"),Guide!$A$7:$A$9,0))),INDEX(Guide!$B$7:$B$9,MATCH(SUBSTITUTE(SUBSTITUTE(SUBSTITUTE(H556,"~","~~"),"*","~*"),"?","~?"),Guide!$A$7:$A$9,0)),""),"")</f>
        <v>Accessories</v>
      </c>
      <c r="J556" s="1" t="str">
        <f>IF(TRIM(Raw!E556)="",I556,IF(UPPER(TRIM(Raw!E556))=UPPER(I556),I556,""))</f>
        <v>Accessories</v>
      </c>
      <c r="K556" s="1" t="str">
        <f>IF(Raw!F556="","",Raw!F556)</f>
        <v>sale</v>
      </c>
      <c r="L556" s="1" t="str">
        <f>IF(LEFT(TRIM(Raw!G556),2)="-$","-"&amp;MID(TRIM(Raw!G556),3,99),IF(LEFT(TRIM(Raw!G556),1)="$",MID(TRIM(Raw!G556),2,99),TRIM(Raw!G556)))</f>
        <v>352.48</v>
      </c>
      <c r="M556" s="1">
        <f t="shared" si="67"/>
        <v>352.48</v>
      </c>
      <c r="N556" s="10">
        <f t="shared" si="68"/>
        <v>35248</v>
      </c>
      <c r="O556" s="1" t="b">
        <f>IFERROR(IF(ISNUMBER(Raw!G556),TRUE,OR(EXACT(L556,TEXT(M556,"0.00")),EXACT(L556,TEXT(M556,"#,##0.00")))),FALSE)</f>
        <v>1</v>
      </c>
      <c r="P556" s="1" t="str">
        <f>LEN(IF(Raw!A556="","",Raw!A556))&amp;":"&amp;IF(Raw!A556="","",Raw!A556)&amp;"|"&amp;LEN(IF(Raw!B556="","",Raw!B556))&amp;":"&amp;IF(Raw!B556="","",Raw!B556)&amp;"|"&amp;LEN(IF(Raw!C556="","",Raw!C556))&amp;":"&amp;IF(Raw!C556="","",Raw!C556)&amp;"|"&amp;LEN(IF(Raw!D556="","",Raw!D556))&amp;":"&amp;IF(Raw!D556="","",Raw!D556)&amp;"|"&amp;LEN(IF(Raw!E556="","",Raw!E556))&amp;":"&amp;IF(Raw!E556="","",Raw!E556)&amp;"|"&amp;LEN(IF(Raw!F556="","",Raw!F556))&amp;":"&amp;IF(Raw!F556="","",Raw!F556)&amp;"|"&amp;LEN(IF(Raw!G556="","",Raw!G556))&amp;":"&amp;IF(Raw!G556="","",Raw!G556)</f>
        <v>6:L00550|6:T00275|10:2026-01-29|3:P-A|11:Accessories|4:sale|6:352.48</v>
      </c>
      <c r="Q556" s="1">
        <f>1</f>
        <v>1</v>
      </c>
      <c r="R556" s="1" t="b">
        <f>FALSE</f>
        <v>0</v>
      </c>
      <c r="S556" s="1">
        <f>1</f>
        <v>1</v>
      </c>
      <c r="T556" s="1" t="str">
        <f>IF(AND(Raw!A556="",Raw!B556="",Raw!C556="",Raw!D556="",Raw!E556="",Raw!F556="",Raw!G556=""),"UNUSED",IF(A556="","missing line ID",IF(B556="","missing transaction ID",IF(G556="",IF(C556="","missing date","invalid date"),IF(I556="","unknown product",IF(J556="","conflicting category",IF(NOT(OR(EXACT(K556,"sale"),EXACT(K556,"refund"))),"unknown event",IF(OR(N556="",NOT(O556)),"invalid amount",IF(OR(AND(K556="sale",N556&lt;=0),AND(K556="refund",N556&gt;=0)),"invalid sign","")))))))))</f>
        <v/>
      </c>
      <c r="U556" s="1" t="str">
        <f t="shared" si="69"/>
        <v>INCLUDED</v>
      </c>
      <c r="V556" s="1" t="str">
        <f t="shared" si="70"/>
        <v>2026-01</v>
      </c>
      <c r="W556" s="1">
        <f>IF(AND(U556="INCLUDED",X556&gt;0,EXACT(A556,'AI output'!A556)),1,0)</f>
        <v>1</v>
      </c>
      <c r="X556" s="1">
        <f>556</f>
        <v>556</v>
      </c>
      <c r="Y556" s="1">
        <f>IF(AND(U556="INCLUDED",W556=1),--(NOT(EXACT(A556,'AI output'!A556)))+--(NOT(EXACT(B556,'AI output'!B556)))+--(NOT(EXACT(TEXT(G556,"yyyy-mm-dd"),'AI output'!C556)))+--(NOT(EXACT(H556,'AI output'!D556)))+--(NOT(EXACT(J556,'AI output'!E556)))+--(NOT(EXACT(K556,'AI output'!F556)))+--(N556&lt;&gt;'AI output'!L556)+--(NOT('AI output'!M556)),0)</f>
        <v>0</v>
      </c>
      <c r="Z556" s="1">
        <f t="shared" si="71"/>
        <v>0</v>
      </c>
      <c r="AA556" s="1">
        <f>--EXACT(A556,"L00550")</f>
        <v>1</v>
      </c>
    </row>
    <row r="557" spans="1:27" ht="18.95" customHeight="1">
      <c r="A557" s="1" t="str">
        <f>IF(Raw!A557="","",Raw!A557)</f>
        <v>L00551</v>
      </c>
      <c r="B557" s="1" t="str">
        <f>IF(Raw!B557="","",Raw!B557)</f>
        <v>T00276</v>
      </c>
      <c r="C557" s="1" t="str">
        <f>IF(Raw!C557="","",Raw!C557)</f>
        <v>2026-02-05</v>
      </c>
      <c r="D557" s="1">
        <f t="shared" si="64"/>
        <v>2026</v>
      </c>
      <c r="E557" s="1">
        <f>IFERROR(IF(AND(LEN(C557)=10,MID(C557,5,1)="-",MID(C557,8,1)="-"),VALUE(MID(C557,6,2)),IF(AND(LEN(C557)=11,MID(C557,3,1)="-",MID(C557,7,1)="-"),MATCH(UPPER(MID(C557,4,3)),Guide!$D$7:$D$18,0),0)),0)</f>
        <v>2</v>
      </c>
      <c r="F557" s="1">
        <f t="shared" si="65"/>
        <v>5</v>
      </c>
      <c r="G557" s="9">
        <f t="shared" si="66"/>
        <v>46058</v>
      </c>
      <c r="H557" s="1" t="str">
        <f>IF(Raw!D557="","",Raw!D557)</f>
        <v>P-H</v>
      </c>
      <c r="I557" s="1" t="str">
        <f>IFERROR(IF(EXACT(H557,INDEX(Guide!$A$7:$A$9,MATCH(SUBSTITUTE(SUBSTITUTE(SUBSTITUTE(H557,"~","~~"),"*","~*"),"?","~?"),Guide!$A$7:$A$9,0))),INDEX(Guide!$B$7:$B$9,MATCH(SUBSTITUTE(SUBSTITUTE(SUBSTITUTE(H557,"~","~~"),"*","~*"),"?","~?"),Guide!$A$7:$A$9,0)),""),"")</f>
        <v>Home</v>
      </c>
      <c r="J557" s="1" t="str">
        <f>IF(TRIM(Raw!E557)="",I557,IF(UPPER(TRIM(Raw!E557))=UPPER(I557),I557,""))</f>
        <v>Home</v>
      </c>
      <c r="K557" s="1" t="str">
        <f>IF(Raw!F557="","",Raw!F557)</f>
        <v>sale</v>
      </c>
      <c r="L557" s="1" t="str">
        <f>IF(LEFT(TRIM(Raw!G557),2)="-$","-"&amp;MID(TRIM(Raw!G557),3,99),IF(LEFT(TRIM(Raw!G557),1)="$",MID(TRIM(Raw!G557),2,99),TRIM(Raw!G557)))</f>
        <v>88.49</v>
      </c>
      <c r="M557" s="1">
        <f t="shared" si="67"/>
        <v>88.49</v>
      </c>
      <c r="N557" s="10">
        <f t="shared" si="68"/>
        <v>8849</v>
      </c>
      <c r="O557" s="1" t="b">
        <f>IFERROR(IF(ISNUMBER(Raw!G557),TRUE,OR(EXACT(L557,TEXT(M557,"0.00")),EXACT(L557,TEXT(M557,"#,##0.00")))),FALSE)</f>
        <v>1</v>
      </c>
      <c r="P557" s="1" t="str">
        <f>LEN(IF(Raw!A557="","",Raw!A557))&amp;":"&amp;IF(Raw!A557="","",Raw!A557)&amp;"|"&amp;LEN(IF(Raw!B557="","",Raw!B557))&amp;":"&amp;IF(Raw!B557="","",Raw!B557)&amp;"|"&amp;LEN(IF(Raw!C557="","",Raw!C557))&amp;":"&amp;IF(Raw!C557="","",Raw!C557)&amp;"|"&amp;LEN(IF(Raw!D557="","",Raw!D557))&amp;":"&amp;IF(Raw!D557="","",Raw!D557)&amp;"|"&amp;LEN(IF(Raw!E557="","",Raw!E557))&amp;":"&amp;IF(Raw!E557="","",Raw!E557)&amp;"|"&amp;LEN(IF(Raw!F557="","",Raw!F557))&amp;":"&amp;IF(Raw!F557="","",Raw!F557)&amp;"|"&amp;LEN(IF(Raw!G557="","",Raw!G557))&amp;":"&amp;IF(Raw!G557="","",Raw!G557)</f>
        <v>6:L00551|6:T00276|10:2026-02-05|3:P-H|4:Home|4:sale|5:88.49</v>
      </c>
      <c r="Q557" s="1">
        <f>1</f>
        <v>1</v>
      </c>
      <c r="R557" s="1" t="b">
        <f>FALSE</f>
        <v>0</v>
      </c>
      <c r="S557" s="1">
        <f>1</f>
        <v>1</v>
      </c>
      <c r="T557" s="1" t="str">
        <f>IF(AND(Raw!A557="",Raw!B557="",Raw!C557="",Raw!D557="",Raw!E557="",Raw!F557="",Raw!G557=""),"UNUSED",IF(A557="","missing line ID",IF(B557="","missing transaction ID",IF(G557="",IF(C557="","missing date","invalid date"),IF(I557="","unknown product",IF(J557="","conflicting category",IF(NOT(OR(EXACT(K557,"sale"),EXACT(K557,"refund"))),"unknown event",IF(OR(N557="",NOT(O557)),"invalid amount",IF(OR(AND(K557="sale",N557&lt;=0),AND(K557="refund",N557&gt;=0)),"invalid sign","")))))))))</f>
        <v/>
      </c>
      <c r="U557" s="1" t="str">
        <f t="shared" si="69"/>
        <v>INCLUDED</v>
      </c>
      <c r="V557" s="1" t="str">
        <f t="shared" si="70"/>
        <v>2026-02</v>
      </c>
      <c r="W557" s="1">
        <f>IF(AND(U557="INCLUDED",X557&gt;0,EXACT(A557,'AI output'!A557)),1,0)</f>
        <v>1</v>
      </c>
      <c r="X557" s="1">
        <f>557</f>
        <v>557</v>
      </c>
      <c r="Y557" s="1">
        <f>IF(AND(U557="INCLUDED",W557=1),--(NOT(EXACT(A557,'AI output'!A557)))+--(NOT(EXACT(B557,'AI output'!B557)))+--(NOT(EXACT(TEXT(G557,"yyyy-mm-dd"),'AI output'!C557)))+--(NOT(EXACT(H557,'AI output'!D557)))+--(NOT(EXACT(J557,'AI output'!E557)))+--(NOT(EXACT(K557,'AI output'!F557)))+--(N557&lt;&gt;'AI output'!L557)+--(NOT('AI output'!M557)),0)</f>
        <v>0</v>
      </c>
      <c r="Z557" s="1">
        <f t="shared" si="71"/>
        <v>0</v>
      </c>
      <c r="AA557" s="1">
        <f>--EXACT(A557,"L00551")</f>
        <v>1</v>
      </c>
    </row>
    <row r="558" spans="1:27" ht="18.95" customHeight="1">
      <c r="A558" s="1" t="str">
        <f>IF(Raw!A558="","",Raw!A558)</f>
        <v>L00552</v>
      </c>
      <c r="B558" s="1" t="str">
        <f>IF(Raw!B558="","",Raw!B558)</f>
        <v>T00276</v>
      </c>
      <c r="C558" s="1" t="str">
        <f>IF(Raw!C558="","",Raw!C558)</f>
        <v>2026-02-05</v>
      </c>
      <c r="D558" s="1">
        <f t="shared" si="64"/>
        <v>2026</v>
      </c>
      <c r="E558" s="1">
        <f>IFERROR(IF(AND(LEN(C558)=10,MID(C558,5,1)="-",MID(C558,8,1)="-"),VALUE(MID(C558,6,2)),IF(AND(LEN(C558)=11,MID(C558,3,1)="-",MID(C558,7,1)="-"),MATCH(UPPER(MID(C558,4,3)),Guide!$D$7:$D$18,0),0)),0)</f>
        <v>2</v>
      </c>
      <c r="F558" s="1">
        <f t="shared" si="65"/>
        <v>5</v>
      </c>
      <c r="G558" s="9">
        <f t="shared" si="66"/>
        <v>46058</v>
      </c>
      <c r="H558" s="1" t="str">
        <f>IF(Raw!D558="","",Raw!D558)</f>
        <v>P-O</v>
      </c>
      <c r="I558" s="1" t="str">
        <f>IFERROR(IF(EXACT(H558,INDEX(Guide!$A$7:$A$9,MATCH(SUBSTITUTE(SUBSTITUTE(SUBSTITUTE(H558,"~","~~"),"*","~*"),"?","~?"),Guide!$A$7:$A$9,0))),INDEX(Guide!$B$7:$B$9,MATCH(SUBSTITUTE(SUBSTITUTE(SUBSTITUTE(H558,"~","~~"),"*","~*"),"?","~?"),Guide!$A$7:$A$9,0)),""),"")</f>
        <v>Office</v>
      </c>
      <c r="J558" s="1" t="str">
        <f>IF(TRIM(Raw!E558)="",I558,IF(UPPER(TRIM(Raw!E558))=UPPER(I558),I558,""))</f>
        <v>Office</v>
      </c>
      <c r="K558" s="1" t="str">
        <f>IF(Raw!F558="","",Raw!F558)</f>
        <v>sale</v>
      </c>
      <c r="L558" s="1" t="str">
        <f>IF(LEFT(TRIM(Raw!G558),2)="-$","-"&amp;MID(TRIM(Raw!G558),3,99),IF(LEFT(TRIM(Raw!G558),1)="$",MID(TRIM(Raw!G558),2,99),TRIM(Raw!G558)))</f>
        <v>266.58</v>
      </c>
      <c r="M558" s="1">
        <f t="shared" si="67"/>
        <v>266.58</v>
      </c>
      <c r="N558" s="10">
        <f t="shared" si="68"/>
        <v>26658</v>
      </c>
      <c r="O558" s="1" t="b">
        <f>IFERROR(IF(ISNUMBER(Raw!G558),TRUE,OR(EXACT(L558,TEXT(M558,"0.00")),EXACT(L558,TEXT(M558,"#,##0.00")))),FALSE)</f>
        <v>1</v>
      </c>
      <c r="P558" s="1" t="str">
        <f>LEN(IF(Raw!A558="","",Raw!A558))&amp;":"&amp;IF(Raw!A558="","",Raw!A558)&amp;"|"&amp;LEN(IF(Raw!B558="","",Raw!B558))&amp;":"&amp;IF(Raw!B558="","",Raw!B558)&amp;"|"&amp;LEN(IF(Raw!C558="","",Raw!C558))&amp;":"&amp;IF(Raw!C558="","",Raw!C558)&amp;"|"&amp;LEN(IF(Raw!D558="","",Raw!D558))&amp;":"&amp;IF(Raw!D558="","",Raw!D558)&amp;"|"&amp;LEN(IF(Raw!E558="","",Raw!E558))&amp;":"&amp;IF(Raw!E558="","",Raw!E558)&amp;"|"&amp;LEN(IF(Raw!F558="","",Raw!F558))&amp;":"&amp;IF(Raw!F558="","",Raw!F558)&amp;"|"&amp;LEN(IF(Raw!G558="","",Raw!G558))&amp;":"&amp;IF(Raw!G558="","",Raw!G558)</f>
        <v>6:L00552|6:T00276|10:2026-02-05|3:P-O|6:Office|4:sale|6:266.58</v>
      </c>
      <c r="Q558" s="1">
        <f>1</f>
        <v>1</v>
      </c>
      <c r="R558" s="1" t="b">
        <f>FALSE</f>
        <v>0</v>
      </c>
      <c r="S558" s="1">
        <f>1</f>
        <v>1</v>
      </c>
      <c r="T558" s="1" t="str">
        <f>IF(AND(Raw!A558="",Raw!B558="",Raw!C558="",Raw!D558="",Raw!E558="",Raw!F558="",Raw!G558=""),"UNUSED",IF(A558="","missing line ID",IF(B558="","missing transaction ID",IF(G558="",IF(C558="","missing date","invalid date"),IF(I558="","unknown product",IF(J558="","conflicting category",IF(NOT(OR(EXACT(K558,"sale"),EXACT(K558,"refund"))),"unknown event",IF(OR(N558="",NOT(O558)),"invalid amount",IF(OR(AND(K558="sale",N558&lt;=0),AND(K558="refund",N558&gt;=0)),"invalid sign","")))))))))</f>
        <v/>
      </c>
      <c r="U558" s="1" t="str">
        <f t="shared" si="69"/>
        <v>INCLUDED</v>
      </c>
      <c r="V558" s="1" t="str">
        <f t="shared" si="70"/>
        <v>2026-02</v>
      </c>
      <c r="W558" s="1">
        <f>IF(AND(U558="INCLUDED",X558&gt;0,EXACT(A558,'AI output'!A558)),1,0)</f>
        <v>1</v>
      </c>
      <c r="X558" s="1">
        <f>558</f>
        <v>558</v>
      </c>
      <c r="Y558" s="1">
        <f>IF(AND(U558="INCLUDED",W558=1),--(NOT(EXACT(A558,'AI output'!A558)))+--(NOT(EXACT(B558,'AI output'!B558)))+--(NOT(EXACT(TEXT(G558,"yyyy-mm-dd"),'AI output'!C558)))+--(NOT(EXACT(H558,'AI output'!D558)))+--(NOT(EXACT(J558,'AI output'!E558)))+--(NOT(EXACT(K558,'AI output'!F558)))+--(N558&lt;&gt;'AI output'!L558)+--(NOT('AI output'!M558)),0)</f>
        <v>0</v>
      </c>
      <c r="Z558" s="1">
        <f t="shared" si="71"/>
        <v>0</v>
      </c>
      <c r="AA558" s="1">
        <f>--EXACT(A558,"L00552")</f>
        <v>1</v>
      </c>
    </row>
    <row r="559" spans="1:27" ht="18.95" customHeight="1">
      <c r="A559" s="1" t="str">
        <f>IF(Raw!A559="","",Raw!A559)</f>
        <v>L00553</v>
      </c>
      <c r="B559" s="1" t="str">
        <f>IF(Raw!B559="","",Raw!B559)</f>
        <v>T00277</v>
      </c>
      <c r="C559" s="1" t="str">
        <f>IF(Raw!C559="","",Raw!C559)</f>
        <v>2026-02-12</v>
      </c>
      <c r="D559" s="1">
        <f t="shared" si="64"/>
        <v>2026</v>
      </c>
      <c r="E559" s="1">
        <f>IFERROR(IF(AND(LEN(C559)=10,MID(C559,5,1)="-",MID(C559,8,1)="-"),VALUE(MID(C559,6,2)),IF(AND(LEN(C559)=11,MID(C559,3,1)="-",MID(C559,7,1)="-"),MATCH(UPPER(MID(C559,4,3)),Guide!$D$7:$D$18,0),0)),0)</f>
        <v>2</v>
      </c>
      <c r="F559" s="1">
        <f t="shared" si="65"/>
        <v>12</v>
      </c>
      <c r="G559" s="9">
        <f t="shared" si="66"/>
        <v>46065</v>
      </c>
      <c r="H559" s="1" t="str">
        <f>IF(Raw!D559="","",Raw!D559)</f>
        <v>P-A</v>
      </c>
      <c r="I559" s="1" t="str">
        <f>IFERROR(IF(EXACT(H559,INDEX(Guide!$A$7:$A$9,MATCH(SUBSTITUTE(SUBSTITUTE(SUBSTITUTE(H559,"~","~~"),"*","~*"),"?","~?"),Guide!$A$7:$A$9,0))),INDEX(Guide!$B$7:$B$9,MATCH(SUBSTITUTE(SUBSTITUTE(SUBSTITUTE(H559,"~","~~"),"*","~*"),"?","~?"),Guide!$A$7:$A$9,0)),""),"")</f>
        <v>Accessories</v>
      </c>
      <c r="J559" s="1" t="str">
        <f>IF(TRIM(Raw!E559)="",I559,IF(UPPER(TRIM(Raw!E559))=UPPER(I559),I559,""))</f>
        <v>Accessories</v>
      </c>
      <c r="K559" s="1" t="str">
        <f>IF(Raw!F559="","",Raw!F559)</f>
        <v>refund</v>
      </c>
      <c r="L559" s="1" t="str">
        <f>IF(LEFT(TRIM(Raw!G559),2)="-$","-"&amp;MID(TRIM(Raw!G559),3,99),IF(LEFT(TRIM(Raw!G559),1)="$",MID(TRIM(Raw!G559),2,99),TRIM(Raw!G559)))</f>
        <v>-446.15</v>
      </c>
      <c r="M559" s="1">
        <f t="shared" si="67"/>
        <v>-446.15</v>
      </c>
      <c r="N559" s="10">
        <f t="shared" si="68"/>
        <v>-44615</v>
      </c>
      <c r="O559" s="1" t="b">
        <f>IFERROR(IF(ISNUMBER(Raw!G559),TRUE,OR(EXACT(L559,TEXT(M559,"0.00")),EXACT(L559,TEXT(M559,"#,##0.00")))),FALSE)</f>
        <v>1</v>
      </c>
      <c r="P559" s="1" t="str">
        <f>LEN(IF(Raw!A559="","",Raw!A559))&amp;":"&amp;IF(Raw!A559="","",Raw!A559)&amp;"|"&amp;LEN(IF(Raw!B559="","",Raw!B559))&amp;":"&amp;IF(Raw!B559="","",Raw!B559)&amp;"|"&amp;LEN(IF(Raw!C559="","",Raw!C559))&amp;":"&amp;IF(Raw!C559="","",Raw!C559)&amp;"|"&amp;LEN(IF(Raw!D559="","",Raw!D559))&amp;":"&amp;IF(Raw!D559="","",Raw!D559)&amp;"|"&amp;LEN(IF(Raw!E559="","",Raw!E559))&amp;":"&amp;IF(Raw!E559="","",Raw!E559)&amp;"|"&amp;LEN(IF(Raw!F559="","",Raw!F559))&amp;":"&amp;IF(Raw!F559="","",Raw!F559)&amp;"|"&amp;LEN(IF(Raw!G559="","",Raw!G559))&amp;":"&amp;IF(Raw!G559="","",Raw!G559)</f>
        <v>6:L00553|6:T00277|10:2026-02-12|3:P-A|11:Accessories|6:refund|7:-446.15</v>
      </c>
      <c r="Q559" s="1">
        <f>1</f>
        <v>1</v>
      </c>
      <c r="R559" s="1" t="b">
        <f>FALSE</f>
        <v>0</v>
      </c>
      <c r="S559" s="1">
        <f>1</f>
        <v>1</v>
      </c>
      <c r="T559" s="1" t="str">
        <f>IF(AND(Raw!A559="",Raw!B559="",Raw!C559="",Raw!D559="",Raw!E559="",Raw!F559="",Raw!G559=""),"UNUSED",IF(A559="","missing line ID",IF(B559="","missing transaction ID",IF(G559="",IF(C559="","missing date","invalid date"),IF(I559="","unknown product",IF(J559="","conflicting category",IF(NOT(OR(EXACT(K559,"sale"),EXACT(K559,"refund"))),"unknown event",IF(OR(N559="",NOT(O559)),"invalid amount",IF(OR(AND(K559="sale",N559&lt;=0),AND(K559="refund",N559&gt;=0)),"invalid sign","")))))))))</f>
        <v/>
      </c>
      <c r="U559" s="1" t="str">
        <f t="shared" si="69"/>
        <v>INCLUDED</v>
      </c>
      <c r="V559" s="1" t="str">
        <f t="shared" si="70"/>
        <v>2026-02</v>
      </c>
      <c r="W559" s="1">
        <f>IF(AND(U559="INCLUDED",X559&gt;0,EXACT(A559,'AI output'!A559)),1,0)</f>
        <v>1</v>
      </c>
      <c r="X559" s="1">
        <f>559</f>
        <v>559</v>
      </c>
      <c r="Y559" s="1">
        <f>IF(AND(U559="INCLUDED",W559=1),--(NOT(EXACT(A559,'AI output'!A559)))+--(NOT(EXACT(B559,'AI output'!B559)))+--(NOT(EXACT(TEXT(G559,"yyyy-mm-dd"),'AI output'!C559)))+--(NOT(EXACT(H559,'AI output'!D559)))+--(NOT(EXACT(J559,'AI output'!E559)))+--(NOT(EXACT(K559,'AI output'!F559)))+--(N559&lt;&gt;'AI output'!L559)+--(NOT('AI output'!M559)),0)</f>
        <v>0</v>
      </c>
      <c r="Z559" s="1">
        <f t="shared" si="71"/>
        <v>0</v>
      </c>
      <c r="AA559" s="1">
        <f>--EXACT(A559,"L00553")</f>
        <v>1</v>
      </c>
    </row>
    <row r="560" spans="1:27" ht="18.95" customHeight="1">
      <c r="A560" s="1" t="str">
        <f>IF(Raw!A560="","",Raw!A560)</f>
        <v>L00554</v>
      </c>
      <c r="B560" s="1" t="str">
        <f>IF(Raw!B560="","",Raw!B560)</f>
        <v>T00277</v>
      </c>
      <c r="C560" s="1" t="str">
        <f>IF(Raw!C560="","",Raw!C560)</f>
        <v>2026-02-12</v>
      </c>
      <c r="D560" s="1">
        <f t="shared" si="64"/>
        <v>2026</v>
      </c>
      <c r="E560" s="1">
        <f>IFERROR(IF(AND(LEN(C560)=10,MID(C560,5,1)="-",MID(C560,8,1)="-"),VALUE(MID(C560,6,2)),IF(AND(LEN(C560)=11,MID(C560,3,1)="-",MID(C560,7,1)="-"),MATCH(UPPER(MID(C560,4,3)),Guide!$D$7:$D$18,0),0)),0)</f>
        <v>2</v>
      </c>
      <c r="F560" s="1">
        <f t="shared" si="65"/>
        <v>12</v>
      </c>
      <c r="G560" s="9">
        <f t="shared" si="66"/>
        <v>46065</v>
      </c>
      <c r="H560" s="1" t="str">
        <f>IF(Raw!D560="","",Raw!D560)</f>
        <v>P-H</v>
      </c>
      <c r="I560" s="1" t="str">
        <f>IFERROR(IF(EXACT(H560,INDEX(Guide!$A$7:$A$9,MATCH(SUBSTITUTE(SUBSTITUTE(SUBSTITUTE(H560,"~","~~"),"*","~*"),"?","~?"),Guide!$A$7:$A$9,0))),INDEX(Guide!$B$7:$B$9,MATCH(SUBSTITUTE(SUBSTITUTE(SUBSTITUTE(H560,"~","~~"),"*","~*"),"?","~?"),Guide!$A$7:$A$9,0)),""),"")</f>
        <v>Home</v>
      </c>
      <c r="J560" s="1" t="str">
        <f>IF(TRIM(Raw!E560)="",I560,IF(UPPER(TRIM(Raw!E560))=UPPER(I560),I560,""))</f>
        <v>Home</v>
      </c>
      <c r="K560" s="1" t="str">
        <f>IF(Raw!F560="","",Raw!F560)</f>
        <v>sale</v>
      </c>
      <c r="L560" s="1" t="str">
        <f>IF(LEFT(TRIM(Raw!G560),2)="-$","-"&amp;MID(TRIM(Raw!G560),3,99),IF(LEFT(TRIM(Raw!G560),1)="$",MID(TRIM(Raw!G560),2,99),TRIM(Raw!G560)))</f>
        <v>179.20</v>
      </c>
      <c r="M560" s="1">
        <f t="shared" si="67"/>
        <v>179.2</v>
      </c>
      <c r="N560" s="10">
        <f t="shared" si="68"/>
        <v>17920</v>
      </c>
      <c r="O560" s="1" t="b">
        <f>IFERROR(IF(ISNUMBER(Raw!G560),TRUE,OR(EXACT(L560,TEXT(M560,"0.00")),EXACT(L560,TEXT(M560,"#,##0.00")))),FALSE)</f>
        <v>1</v>
      </c>
      <c r="P560" s="1" t="str">
        <f>LEN(IF(Raw!A560="","",Raw!A560))&amp;":"&amp;IF(Raw!A560="","",Raw!A560)&amp;"|"&amp;LEN(IF(Raw!B560="","",Raw!B560))&amp;":"&amp;IF(Raw!B560="","",Raw!B560)&amp;"|"&amp;LEN(IF(Raw!C560="","",Raw!C560))&amp;":"&amp;IF(Raw!C560="","",Raw!C560)&amp;"|"&amp;LEN(IF(Raw!D560="","",Raw!D560))&amp;":"&amp;IF(Raw!D560="","",Raw!D560)&amp;"|"&amp;LEN(IF(Raw!E560="","",Raw!E560))&amp;":"&amp;IF(Raw!E560="","",Raw!E560)&amp;"|"&amp;LEN(IF(Raw!F560="","",Raw!F560))&amp;":"&amp;IF(Raw!F560="","",Raw!F560)&amp;"|"&amp;LEN(IF(Raw!G560="","",Raw!G560))&amp;":"&amp;IF(Raw!G560="","",Raw!G560)</f>
        <v>6:L00554|6:T00277|10:2026-02-12|3:P-H|4:Home|4:sale|6:179.20</v>
      </c>
      <c r="Q560" s="1">
        <f>1</f>
        <v>1</v>
      </c>
      <c r="R560" s="1" t="b">
        <f>FALSE</f>
        <v>0</v>
      </c>
      <c r="S560" s="1">
        <f>1</f>
        <v>1</v>
      </c>
      <c r="T560" s="1" t="str">
        <f>IF(AND(Raw!A560="",Raw!B560="",Raw!C560="",Raw!D560="",Raw!E560="",Raw!F560="",Raw!G560=""),"UNUSED",IF(A560="","missing line ID",IF(B560="","missing transaction ID",IF(G560="",IF(C560="","missing date","invalid date"),IF(I560="","unknown product",IF(J560="","conflicting category",IF(NOT(OR(EXACT(K560,"sale"),EXACT(K560,"refund"))),"unknown event",IF(OR(N560="",NOT(O560)),"invalid amount",IF(OR(AND(K560="sale",N560&lt;=0),AND(K560="refund",N560&gt;=0)),"invalid sign","")))))))))</f>
        <v/>
      </c>
      <c r="U560" s="1" t="str">
        <f t="shared" si="69"/>
        <v>INCLUDED</v>
      </c>
      <c r="V560" s="1" t="str">
        <f t="shared" si="70"/>
        <v>2026-02</v>
      </c>
      <c r="W560" s="1">
        <f>IF(AND(U560="INCLUDED",X560&gt;0,EXACT(A560,'AI output'!A560)),1,0)</f>
        <v>1</v>
      </c>
      <c r="X560" s="1">
        <f>560</f>
        <v>560</v>
      </c>
      <c r="Y560" s="1">
        <f>IF(AND(U560="INCLUDED",W560=1),--(NOT(EXACT(A560,'AI output'!A560)))+--(NOT(EXACT(B560,'AI output'!B560)))+--(NOT(EXACT(TEXT(G560,"yyyy-mm-dd"),'AI output'!C560)))+--(NOT(EXACT(H560,'AI output'!D560)))+--(NOT(EXACT(J560,'AI output'!E560)))+--(NOT(EXACT(K560,'AI output'!F560)))+--(N560&lt;&gt;'AI output'!L560)+--(NOT('AI output'!M560)),0)</f>
        <v>0</v>
      </c>
      <c r="Z560" s="1">
        <f t="shared" si="71"/>
        <v>0</v>
      </c>
      <c r="AA560" s="1">
        <f>--EXACT(A560,"L00554")</f>
        <v>1</v>
      </c>
    </row>
    <row r="561" spans="1:27" ht="18.95" customHeight="1">
      <c r="A561" s="1" t="str">
        <f>IF(Raw!A561="","",Raw!A561)</f>
        <v>L00555</v>
      </c>
      <c r="B561" s="1" t="str">
        <f>IF(Raw!B561="","",Raw!B561)</f>
        <v>T00278</v>
      </c>
      <c r="C561" s="1" t="str">
        <f>IF(Raw!C561="","",Raw!C561)</f>
        <v>2026-02-19</v>
      </c>
      <c r="D561" s="1">
        <f t="shared" si="64"/>
        <v>2026</v>
      </c>
      <c r="E561" s="1">
        <f>IFERROR(IF(AND(LEN(C561)=10,MID(C561,5,1)="-",MID(C561,8,1)="-"),VALUE(MID(C561,6,2)),IF(AND(LEN(C561)=11,MID(C561,3,1)="-",MID(C561,7,1)="-"),MATCH(UPPER(MID(C561,4,3)),Guide!$D$7:$D$18,0),0)),0)</f>
        <v>2</v>
      </c>
      <c r="F561" s="1">
        <f t="shared" si="65"/>
        <v>19</v>
      </c>
      <c r="G561" s="9">
        <f t="shared" si="66"/>
        <v>46072</v>
      </c>
      <c r="H561" s="1" t="str">
        <f>IF(Raw!D561="","",Raw!D561)</f>
        <v>P-O</v>
      </c>
      <c r="I561" s="1" t="str">
        <f>IFERROR(IF(EXACT(H561,INDEX(Guide!$A$7:$A$9,MATCH(SUBSTITUTE(SUBSTITUTE(SUBSTITUTE(H561,"~","~~"),"*","~*"),"?","~?"),Guide!$A$7:$A$9,0))),INDEX(Guide!$B$7:$B$9,MATCH(SUBSTITUTE(SUBSTITUTE(SUBSTITUTE(H561,"~","~~"),"*","~*"),"?","~?"),Guide!$A$7:$A$9,0)),""),"")</f>
        <v>Office</v>
      </c>
      <c r="J561" s="1" t="str">
        <f>IF(TRIM(Raw!E561)="",I561,IF(UPPER(TRIM(Raw!E561))=UPPER(I561),I561,""))</f>
        <v>Office</v>
      </c>
      <c r="K561" s="1" t="str">
        <f>IF(Raw!F561="","",Raw!F561)</f>
        <v>sale</v>
      </c>
      <c r="L561" s="1" t="str">
        <f>IF(LEFT(TRIM(Raw!G561),2)="-$","-"&amp;MID(TRIM(Raw!G561),3,99),IF(LEFT(TRIM(Raw!G561),1)="$",MID(TRIM(Raw!G561),2,99),TRIM(Raw!G561)))</f>
        <v>359.88</v>
      </c>
      <c r="M561" s="1">
        <f t="shared" si="67"/>
        <v>359.88</v>
      </c>
      <c r="N561" s="10">
        <f t="shared" si="68"/>
        <v>35988</v>
      </c>
      <c r="O561" s="1" t="b">
        <f>IFERROR(IF(ISNUMBER(Raw!G561),TRUE,OR(EXACT(L561,TEXT(M561,"0.00")),EXACT(L561,TEXT(M561,"#,##0.00")))),FALSE)</f>
        <v>1</v>
      </c>
      <c r="P561" s="1" t="str">
        <f>LEN(IF(Raw!A561="","",Raw!A561))&amp;":"&amp;IF(Raw!A561="","",Raw!A561)&amp;"|"&amp;LEN(IF(Raw!B561="","",Raw!B561))&amp;":"&amp;IF(Raw!B561="","",Raw!B561)&amp;"|"&amp;LEN(IF(Raw!C561="","",Raw!C561))&amp;":"&amp;IF(Raw!C561="","",Raw!C561)&amp;"|"&amp;LEN(IF(Raw!D561="","",Raw!D561))&amp;":"&amp;IF(Raw!D561="","",Raw!D561)&amp;"|"&amp;LEN(IF(Raw!E561="","",Raw!E561))&amp;":"&amp;IF(Raw!E561="","",Raw!E561)&amp;"|"&amp;LEN(IF(Raw!F561="","",Raw!F561))&amp;":"&amp;IF(Raw!F561="","",Raw!F561)&amp;"|"&amp;LEN(IF(Raw!G561="","",Raw!G561))&amp;":"&amp;IF(Raw!G561="","",Raw!G561)</f>
        <v>6:L00555|6:T00278|10:2026-02-19|3:P-O|6:Office|4:sale|6:359.88</v>
      </c>
      <c r="Q561" s="1">
        <f>1</f>
        <v>1</v>
      </c>
      <c r="R561" s="1" t="b">
        <f>FALSE</f>
        <v>0</v>
      </c>
      <c r="S561" s="1">
        <f>1</f>
        <v>1</v>
      </c>
      <c r="T561" s="1" t="str">
        <f>IF(AND(Raw!A561="",Raw!B561="",Raw!C561="",Raw!D561="",Raw!E561="",Raw!F561="",Raw!G561=""),"UNUSED",IF(A561="","missing line ID",IF(B561="","missing transaction ID",IF(G561="",IF(C561="","missing date","invalid date"),IF(I561="","unknown product",IF(J561="","conflicting category",IF(NOT(OR(EXACT(K561,"sale"),EXACT(K561,"refund"))),"unknown event",IF(OR(N561="",NOT(O561)),"invalid amount",IF(OR(AND(K561="sale",N561&lt;=0),AND(K561="refund",N561&gt;=0)),"invalid sign","")))))))))</f>
        <v/>
      </c>
      <c r="U561" s="1" t="str">
        <f t="shared" si="69"/>
        <v>INCLUDED</v>
      </c>
      <c r="V561" s="1" t="str">
        <f t="shared" si="70"/>
        <v>2026-02</v>
      </c>
      <c r="W561" s="1">
        <f>IF(AND(U561="INCLUDED",X561&gt;0,EXACT(A561,'AI output'!A561)),1,0)</f>
        <v>1</v>
      </c>
      <c r="X561" s="1">
        <f>561</f>
        <v>561</v>
      </c>
      <c r="Y561" s="1">
        <f>IF(AND(U561="INCLUDED",W561=1),--(NOT(EXACT(A561,'AI output'!A561)))+--(NOT(EXACT(B561,'AI output'!B561)))+--(NOT(EXACT(TEXT(G561,"yyyy-mm-dd"),'AI output'!C561)))+--(NOT(EXACT(H561,'AI output'!D561)))+--(NOT(EXACT(J561,'AI output'!E561)))+--(NOT(EXACT(K561,'AI output'!F561)))+--(N561&lt;&gt;'AI output'!L561)+--(NOT('AI output'!M561)),0)</f>
        <v>0</v>
      </c>
      <c r="Z561" s="1">
        <f t="shared" si="71"/>
        <v>0</v>
      </c>
      <c r="AA561" s="1">
        <f>--EXACT(A561,"L00555")</f>
        <v>1</v>
      </c>
    </row>
    <row r="562" spans="1:27" ht="18.95" customHeight="1">
      <c r="A562" s="1" t="str">
        <f>IF(Raw!A562="","",Raw!A562)</f>
        <v>L00556</v>
      </c>
      <c r="B562" s="1" t="str">
        <f>IF(Raw!B562="","",Raw!B562)</f>
        <v>T00278</v>
      </c>
      <c r="C562" s="1" t="str">
        <f>IF(Raw!C562="","",Raw!C562)</f>
        <v>2026-02-19</v>
      </c>
      <c r="D562" s="1">
        <f t="shared" si="64"/>
        <v>2026</v>
      </c>
      <c r="E562" s="1">
        <f>IFERROR(IF(AND(LEN(C562)=10,MID(C562,5,1)="-",MID(C562,8,1)="-"),VALUE(MID(C562,6,2)),IF(AND(LEN(C562)=11,MID(C562,3,1)="-",MID(C562,7,1)="-"),MATCH(UPPER(MID(C562,4,3)),Guide!$D$7:$D$18,0),0)),0)</f>
        <v>2</v>
      </c>
      <c r="F562" s="1">
        <f t="shared" si="65"/>
        <v>19</v>
      </c>
      <c r="G562" s="9">
        <f t="shared" si="66"/>
        <v>46072</v>
      </c>
      <c r="H562" s="1" t="str">
        <f>IF(Raw!D562="","",Raw!D562)</f>
        <v>P-A</v>
      </c>
      <c r="I562" s="1" t="str">
        <f>IFERROR(IF(EXACT(H562,INDEX(Guide!$A$7:$A$9,MATCH(SUBSTITUTE(SUBSTITUTE(SUBSTITUTE(H562,"~","~~"),"*","~*"),"?","~?"),Guide!$A$7:$A$9,0))),INDEX(Guide!$B$7:$B$9,MATCH(SUBSTITUTE(SUBSTITUTE(SUBSTITUTE(H562,"~","~~"),"*","~*"),"?","~?"),Guide!$A$7:$A$9,0)),""),"")</f>
        <v>Accessories</v>
      </c>
      <c r="J562" s="1" t="str">
        <f>IF(TRIM(Raw!E562)="",I562,IF(UPPER(TRIM(Raw!E562))=UPPER(I562),I562,""))</f>
        <v>Accessories</v>
      </c>
      <c r="K562" s="1" t="str">
        <f>IF(Raw!F562="","",Raw!F562)</f>
        <v>sale</v>
      </c>
      <c r="L562" s="1" t="str">
        <f>IF(LEFT(TRIM(Raw!G562),2)="-$","-"&amp;MID(TRIM(Raw!G562),3,99),IF(LEFT(TRIM(Raw!G562),1)="$",MID(TRIM(Raw!G562),2,99),TRIM(Raw!G562)))</f>
        <v>90.34</v>
      </c>
      <c r="M562" s="1">
        <f t="shared" si="67"/>
        <v>90.34</v>
      </c>
      <c r="N562" s="10">
        <f t="shared" si="68"/>
        <v>9034</v>
      </c>
      <c r="O562" s="1" t="b">
        <f>IFERROR(IF(ISNUMBER(Raw!G562),TRUE,OR(EXACT(L562,TEXT(M562,"0.00")),EXACT(L562,TEXT(M562,"#,##0.00")))),FALSE)</f>
        <v>1</v>
      </c>
      <c r="P562" s="1" t="str">
        <f>LEN(IF(Raw!A562="","",Raw!A562))&amp;":"&amp;IF(Raw!A562="","",Raw!A562)&amp;"|"&amp;LEN(IF(Raw!B562="","",Raw!B562))&amp;":"&amp;IF(Raw!B562="","",Raw!B562)&amp;"|"&amp;LEN(IF(Raw!C562="","",Raw!C562))&amp;":"&amp;IF(Raw!C562="","",Raw!C562)&amp;"|"&amp;LEN(IF(Raw!D562="","",Raw!D562))&amp;":"&amp;IF(Raw!D562="","",Raw!D562)&amp;"|"&amp;LEN(IF(Raw!E562="","",Raw!E562))&amp;":"&amp;IF(Raw!E562="","",Raw!E562)&amp;"|"&amp;LEN(IF(Raw!F562="","",Raw!F562))&amp;":"&amp;IF(Raw!F562="","",Raw!F562)&amp;"|"&amp;LEN(IF(Raw!G562="","",Raw!G562))&amp;":"&amp;IF(Raw!G562="","",Raw!G562)</f>
        <v>6:L00556|6:T00278|10:2026-02-19|3:P-A|11:Accessories|4:sale|5:90.34</v>
      </c>
      <c r="Q562" s="1">
        <f>1</f>
        <v>1</v>
      </c>
      <c r="R562" s="1" t="b">
        <f>FALSE</f>
        <v>0</v>
      </c>
      <c r="S562" s="1">
        <f>1</f>
        <v>1</v>
      </c>
      <c r="T562" s="1" t="str">
        <f>IF(AND(Raw!A562="",Raw!B562="",Raw!C562="",Raw!D562="",Raw!E562="",Raw!F562="",Raw!G562=""),"UNUSED",IF(A562="","missing line ID",IF(B562="","missing transaction ID",IF(G562="",IF(C562="","missing date","invalid date"),IF(I562="","unknown product",IF(J562="","conflicting category",IF(NOT(OR(EXACT(K562,"sale"),EXACT(K562,"refund"))),"unknown event",IF(OR(N562="",NOT(O562)),"invalid amount",IF(OR(AND(K562="sale",N562&lt;=0),AND(K562="refund",N562&gt;=0)),"invalid sign","")))))))))</f>
        <v/>
      </c>
      <c r="U562" s="1" t="str">
        <f t="shared" si="69"/>
        <v>INCLUDED</v>
      </c>
      <c r="V562" s="1" t="str">
        <f t="shared" si="70"/>
        <v>2026-02</v>
      </c>
      <c r="W562" s="1">
        <f>IF(AND(U562="INCLUDED",X562&gt;0,EXACT(A562,'AI output'!A562)),1,0)</f>
        <v>1</v>
      </c>
      <c r="X562" s="1">
        <f>562</f>
        <v>562</v>
      </c>
      <c r="Y562" s="1">
        <f>IF(AND(U562="INCLUDED",W562=1),--(NOT(EXACT(A562,'AI output'!A562)))+--(NOT(EXACT(B562,'AI output'!B562)))+--(NOT(EXACT(TEXT(G562,"yyyy-mm-dd"),'AI output'!C562)))+--(NOT(EXACT(H562,'AI output'!D562)))+--(NOT(EXACT(J562,'AI output'!E562)))+--(NOT(EXACT(K562,'AI output'!F562)))+--(N562&lt;&gt;'AI output'!L562)+--(NOT('AI output'!M562)),0)</f>
        <v>0</v>
      </c>
      <c r="Z562" s="1">
        <f t="shared" si="71"/>
        <v>0</v>
      </c>
      <c r="AA562" s="1">
        <f>--EXACT(A562,"L00556")</f>
        <v>1</v>
      </c>
    </row>
    <row r="563" spans="1:27" ht="18.95" customHeight="1">
      <c r="A563" s="1" t="str">
        <f>IF(Raw!A563="","",Raw!A563)</f>
        <v>L00557</v>
      </c>
      <c r="B563" s="1" t="str">
        <f>IF(Raw!B563="","",Raw!B563)</f>
        <v>T00279</v>
      </c>
      <c r="C563" s="1" t="str">
        <f>IF(Raw!C563="","",Raw!C563)</f>
        <v>2026-02-26</v>
      </c>
      <c r="D563" s="1">
        <f t="shared" si="64"/>
        <v>2026</v>
      </c>
      <c r="E563" s="1">
        <f>IFERROR(IF(AND(LEN(C563)=10,MID(C563,5,1)="-",MID(C563,8,1)="-"),VALUE(MID(C563,6,2)),IF(AND(LEN(C563)=11,MID(C563,3,1)="-",MID(C563,7,1)="-"),MATCH(UPPER(MID(C563,4,3)),Guide!$D$7:$D$18,0),0)),0)</f>
        <v>2</v>
      </c>
      <c r="F563" s="1">
        <f t="shared" si="65"/>
        <v>26</v>
      </c>
      <c r="G563" s="9">
        <f t="shared" si="66"/>
        <v>46079</v>
      </c>
      <c r="H563" s="1" t="str">
        <f>IF(Raw!D563="","",Raw!D563)</f>
        <v>P-H</v>
      </c>
      <c r="I563" s="1" t="str">
        <f>IFERROR(IF(EXACT(H563,INDEX(Guide!$A$7:$A$9,MATCH(SUBSTITUTE(SUBSTITUTE(SUBSTITUTE(H563,"~","~~"),"*","~*"),"?","~?"),Guide!$A$7:$A$9,0))),INDEX(Guide!$B$7:$B$9,MATCH(SUBSTITUTE(SUBSTITUTE(SUBSTITUTE(H563,"~","~~"),"*","~*"),"?","~?"),Guide!$A$7:$A$9,0)),""),"")</f>
        <v>Home</v>
      </c>
      <c r="J563" s="1" t="str">
        <f>IF(TRIM(Raw!E563)="",I563,IF(UPPER(TRIM(Raw!E563))=UPPER(I563),I563,""))</f>
        <v>Home</v>
      </c>
      <c r="K563" s="1" t="str">
        <f>IF(Raw!F563="","",Raw!F563)</f>
        <v>sale</v>
      </c>
      <c r="L563" s="1" t="str">
        <f>IF(LEFT(TRIM(Raw!G563),2)="-$","-"&amp;MID(TRIM(Raw!G563),3,99),IF(LEFT(TRIM(Raw!G563),1)="$",MID(TRIM(Raw!G563),2,99),TRIM(Raw!G563)))</f>
        <v>272.13</v>
      </c>
      <c r="M563" s="1">
        <f t="shared" si="67"/>
        <v>272.13</v>
      </c>
      <c r="N563" s="10">
        <f t="shared" si="68"/>
        <v>27213</v>
      </c>
      <c r="O563" s="1" t="b">
        <f>IFERROR(IF(ISNUMBER(Raw!G563),TRUE,OR(EXACT(L563,TEXT(M563,"0.00")),EXACT(L563,TEXT(M563,"#,##0.00")))),FALSE)</f>
        <v>1</v>
      </c>
      <c r="P563" s="1" t="str">
        <f>LEN(IF(Raw!A563="","",Raw!A563))&amp;":"&amp;IF(Raw!A563="","",Raw!A563)&amp;"|"&amp;LEN(IF(Raw!B563="","",Raw!B563))&amp;":"&amp;IF(Raw!B563="","",Raw!B563)&amp;"|"&amp;LEN(IF(Raw!C563="","",Raw!C563))&amp;":"&amp;IF(Raw!C563="","",Raw!C563)&amp;"|"&amp;LEN(IF(Raw!D563="","",Raw!D563))&amp;":"&amp;IF(Raw!D563="","",Raw!D563)&amp;"|"&amp;LEN(IF(Raw!E563="","",Raw!E563))&amp;":"&amp;IF(Raw!E563="","",Raw!E563)&amp;"|"&amp;LEN(IF(Raw!F563="","",Raw!F563))&amp;":"&amp;IF(Raw!F563="","",Raw!F563)&amp;"|"&amp;LEN(IF(Raw!G563="","",Raw!G563))&amp;":"&amp;IF(Raw!G563="","",Raw!G563)</f>
        <v>6:L00557|6:T00279|10:2026-02-26|3:P-H|4:Home|4:sale|6:272.13</v>
      </c>
      <c r="Q563" s="1">
        <f>1</f>
        <v>1</v>
      </c>
      <c r="R563" s="1" t="b">
        <f>FALSE</f>
        <v>0</v>
      </c>
      <c r="S563" s="1">
        <f>1</f>
        <v>1</v>
      </c>
      <c r="T563" s="1" t="str">
        <f>IF(AND(Raw!A563="",Raw!B563="",Raw!C563="",Raw!D563="",Raw!E563="",Raw!F563="",Raw!G563=""),"UNUSED",IF(A563="","missing line ID",IF(B563="","missing transaction ID",IF(G563="",IF(C563="","missing date","invalid date"),IF(I563="","unknown product",IF(J563="","conflicting category",IF(NOT(OR(EXACT(K563,"sale"),EXACT(K563,"refund"))),"unknown event",IF(OR(N563="",NOT(O563)),"invalid amount",IF(OR(AND(K563="sale",N563&lt;=0),AND(K563="refund",N563&gt;=0)),"invalid sign","")))))))))</f>
        <v/>
      </c>
      <c r="U563" s="1" t="str">
        <f t="shared" si="69"/>
        <v>INCLUDED</v>
      </c>
      <c r="V563" s="1" t="str">
        <f t="shared" si="70"/>
        <v>2026-02</v>
      </c>
      <c r="W563" s="1">
        <f>IF(AND(U563="INCLUDED",X563&gt;0,EXACT(A563,'AI output'!A563)),1,0)</f>
        <v>1</v>
      </c>
      <c r="X563" s="1">
        <f>563</f>
        <v>563</v>
      </c>
      <c r="Y563" s="1">
        <f>IF(AND(U563="INCLUDED",W563=1),--(NOT(EXACT(A563,'AI output'!A563)))+--(NOT(EXACT(B563,'AI output'!B563)))+--(NOT(EXACT(TEXT(G563,"yyyy-mm-dd"),'AI output'!C563)))+--(NOT(EXACT(H563,'AI output'!D563)))+--(NOT(EXACT(J563,'AI output'!E563)))+--(NOT(EXACT(K563,'AI output'!F563)))+--(N563&lt;&gt;'AI output'!L563)+--(NOT('AI output'!M563)),0)</f>
        <v>0</v>
      </c>
      <c r="Z563" s="1">
        <f t="shared" si="71"/>
        <v>0</v>
      </c>
      <c r="AA563" s="1">
        <f>--EXACT(A563,"L00557")</f>
        <v>1</v>
      </c>
    </row>
    <row r="564" spans="1:27" ht="18.95" customHeight="1">
      <c r="A564" s="1" t="str">
        <f>IF(Raw!A564="","",Raw!A564)</f>
        <v>L00558</v>
      </c>
      <c r="B564" s="1" t="str">
        <f>IF(Raw!B564="","",Raw!B564)</f>
        <v>T00279</v>
      </c>
      <c r="C564" s="1" t="str">
        <f>IF(Raw!C564="","",Raw!C564)</f>
        <v>2026-02-26</v>
      </c>
      <c r="D564" s="1">
        <f t="shared" si="64"/>
        <v>2026</v>
      </c>
      <c r="E564" s="1">
        <f>IFERROR(IF(AND(LEN(C564)=10,MID(C564,5,1)="-",MID(C564,8,1)="-"),VALUE(MID(C564,6,2)),IF(AND(LEN(C564)=11,MID(C564,3,1)="-",MID(C564,7,1)="-"),MATCH(UPPER(MID(C564,4,3)),Guide!$D$7:$D$18,0),0)),0)</f>
        <v>2</v>
      </c>
      <c r="F564" s="1">
        <f t="shared" si="65"/>
        <v>26</v>
      </c>
      <c r="G564" s="9">
        <f t="shared" si="66"/>
        <v>46079</v>
      </c>
      <c r="H564" s="1" t="str">
        <f>IF(Raw!D564="","",Raw!D564)</f>
        <v>P-O</v>
      </c>
      <c r="I564" s="1" t="str">
        <f>IFERROR(IF(EXACT(H564,INDEX(Guide!$A$7:$A$9,MATCH(SUBSTITUTE(SUBSTITUTE(SUBSTITUTE(H564,"~","~~"),"*","~*"),"?","~?"),Guide!$A$7:$A$9,0))),INDEX(Guide!$B$7:$B$9,MATCH(SUBSTITUTE(SUBSTITUTE(SUBSTITUTE(H564,"~","~~"),"*","~*"),"?","~?"),Guide!$A$7:$A$9,0)),""),"")</f>
        <v>Office</v>
      </c>
      <c r="J564" s="1" t="str">
        <f>IF(TRIM(Raw!E564)="",I564,IF(UPPER(TRIM(Raw!E564))=UPPER(I564),I564,""))</f>
        <v>Office</v>
      </c>
      <c r="K564" s="1" t="str">
        <f>IF(Raw!F564="","",Raw!F564)</f>
        <v>sale</v>
      </c>
      <c r="L564" s="1" t="str">
        <f>IF(LEFT(TRIM(Raw!G564),2)="-$","-"&amp;MID(TRIM(Raw!G564),3,99),IF(LEFT(TRIM(Raw!G564),1)="$",MID(TRIM(Raw!G564),2,99),TRIM(Raw!G564)))</f>
        <v>455.40</v>
      </c>
      <c r="M564" s="1">
        <f t="shared" si="67"/>
        <v>455.4</v>
      </c>
      <c r="N564" s="10">
        <f t="shared" si="68"/>
        <v>45540</v>
      </c>
      <c r="O564" s="1" t="b">
        <f>IFERROR(IF(ISNUMBER(Raw!G564),TRUE,OR(EXACT(L564,TEXT(M564,"0.00")),EXACT(L564,TEXT(M564,"#,##0.00")))),FALSE)</f>
        <v>1</v>
      </c>
      <c r="P564" s="1" t="str">
        <f>LEN(IF(Raw!A564="","",Raw!A564))&amp;":"&amp;IF(Raw!A564="","",Raw!A564)&amp;"|"&amp;LEN(IF(Raw!B564="","",Raw!B564))&amp;":"&amp;IF(Raw!B564="","",Raw!B564)&amp;"|"&amp;LEN(IF(Raw!C564="","",Raw!C564))&amp;":"&amp;IF(Raw!C564="","",Raw!C564)&amp;"|"&amp;LEN(IF(Raw!D564="","",Raw!D564))&amp;":"&amp;IF(Raw!D564="","",Raw!D564)&amp;"|"&amp;LEN(IF(Raw!E564="","",Raw!E564))&amp;":"&amp;IF(Raw!E564="","",Raw!E564)&amp;"|"&amp;LEN(IF(Raw!F564="","",Raw!F564))&amp;":"&amp;IF(Raw!F564="","",Raw!F564)&amp;"|"&amp;LEN(IF(Raw!G564="","",Raw!G564))&amp;":"&amp;IF(Raw!G564="","",Raw!G564)</f>
        <v>6:L00558|6:T00279|10:2026-02-26|3:P-O|6:Office|4:sale|6:455.40</v>
      </c>
      <c r="Q564" s="1">
        <f>1</f>
        <v>1</v>
      </c>
      <c r="R564" s="1" t="b">
        <f>FALSE</f>
        <v>0</v>
      </c>
      <c r="S564" s="1">
        <f>1</f>
        <v>1</v>
      </c>
      <c r="T564" s="1" t="str">
        <f>IF(AND(Raw!A564="",Raw!B564="",Raw!C564="",Raw!D564="",Raw!E564="",Raw!F564="",Raw!G564=""),"UNUSED",IF(A564="","missing line ID",IF(B564="","missing transaction ID",IF(G564="",IF(C564="","missing date","invalid date"),IF(I564="","unknown product",IF(J564="","conflicting category",IF(NOT(OR(EXACT(K564,"sale"),EXACT(K564,"refund"))),"unknown event",IF(OR(N564="",NOT(O564)),"invalid amount",IF(OR(AND(K564="sale",N564&lt;=0),AND(K564="refund",N564&gt;=0)),"invalid sign","")))))))))</f>
        <v/>
      </c>
      <c r="U564" s="1" t="str">
        <f t="shared" si="69"/>
        <v>INCLUDED</v>
      </c>
      <c r="V564" s="1" t="str">
        <f t="shared" si="70"/>
        <v>2026-02</v>
      </c>
      <c r="W564" s="1">
        <f>IF(AND(U564="INCLUDED",X564&gt;0,EXACT(A564,'AI output'!A564)),1,0)</f>
        <v>1</v>
      </c>
      <c r="X564" s="1">
        <f>564</f>
        <v>564</v>
      </c>
      <c r="Y564" s="1">
        <f>IF(AND(U564="INCLUDED",W564=1),--(NOT(EXACT(A564,'AI output'!A564)))+--(NOT(EXACT(B564,'AI output'!B564)))+--(NOT(EXACT(TEXT(G564,"yyyy-mm-dd"),'AI output'!C564)))+--(NOT(EXACT(H564,'AI output'!D564)))+--(NOT(EXACT(J564,'AI output'!E564)))+--(NOT(EXACT(K564,'AI output'!F564)))+--(N564&lt;&gt;'AI output'!L564)+--(NOT('AI output'!M564)),0)</f>
        <v>0</v>
      </c>
      <c r="Z564" s="1">
        <f t="shared" si="71"/>
        <v>0</v>
      </c>
      <c r="AA564" s="1">
        <f>--EXACT(A564,"L00558")</f>
        <v>1</v>
      </c>
    </row>
    <row r="565" spans="1:27" ht="18.95" customHeight="1">
      <c r="A565" s="1" t="str">
        <f>IF(Raw!A565="","",Raw!A565)</f>
        <v>L00559</v>
      </c>
      <c r="B565" s="1" t="str">
        <f>IF(Raw!B565="","",Raw!B565)</f>
        <v>T00280</v>
      </c>
      <c r="C565" s="1" t="str">
        <f>IF(Raw!C565="","",Raw!C565)</f>
        <v>2026-03-05</v>
      </c>
      <c r="D565" s="1">
        <f t="shared" si="64"/>
        <v>2026</v>
      </c>
      <c r="E565" s="1">
        <f>IFERROR(IF(AND(LEN(C565)=10,MID(C565,5,1)="-",MID(C565,8,1)="-"),VALUE(MID(C565,6,2)),IF(AND(LEN(C565)=11,MID(C565,3,1)="-",MID(C565,7,1)="-"),MATCH(UPPER(MID(C565,4,3)),Guide!$D$7:$D$18,0),0)),0)</f>
        <v>3</v>
      </c>
      <c r="F565" s="1">
        <f t="shared" si="65"/>
        <v>5</v>
      </c>
      <c r="G565" s="9">
        <f t="shared" si="66"/>
        <v>46086</v>
      </c>
      <c r="H565" s="1" t="str">
        <f>IF(Raw!D565="","",Raw!D565)</f>
        <v>P-A</v>
      </c>
      <c r="I565" s="1" t="str">
        <f>IFERROR(IF(EXACT(H565,INDEX(Guide!$A$7:$A$9,MATCH(SUBSTITUTE(SUBSTITUTE(SUBSTITUTE(H565,"~","~~"),"*","~*"),"?","~?"),Guide!$A$7:$A$9,0))),INDEX(Guide!$B$7:$B$9,MATCH(SUBSTITUTE(SUBSTITUTE(SUBSTITUTE(H565,"~","~~"),"*","~*"),"?","~?"),Guide!$A$7:$A$9,0)),""),"")</f>
        <v>Accessories</v>
      </c>
      <c r="J565" s="1" t="str">
        <f>IF(TRIM(Raw!E565)="",I565,IF(UPPER(TRIM(Raw!E565))=UPPER(I565),I565,""))</f>
        <v>Accessories</v>
      </c>
      <c r="K565" s="1" t="str">
        <f>IF(Raw!F565="","",Raw!F565)</f>
        <v>sale</v>
      </c>
      <c r="L565" s="1" t="str">
        <f>IF(LEFT(TRIM(Raw!G565),2)="-$","-"&amp;MID(TRIM(Raw!G565),3,99),IF(LEFT(TRIM(Raw!G565),1)="$",MID(TRIM(Raw!G565),2,99),TRIM(Raw!G565)))</f>
        <v>182.90</v>
      </c>
      <c r="M565" s="1">
        <f t="shared" si="67"/>
        <v>182.9</v>
      </c>
      <c r="N565" s="10">
        <f t="shared" si="68"/>
        <v>18290</v>
      </c>
      <c r="O565" s="1" t="b">
        <f>IFERROR(IF(ISNUMBER(Raw!G565),TRUE,OR(EXACT(L565,TEXT(M565,"0.00")),EXACT(L565,TEXT(M565,"#,##0.00")))),FALSE)</f>
        <v>1</v>
      </c>
      <c r="P565" s="1" t="str">
        <f>LEN(IF(Raw!A565="","",Raw!A565))&amp;":"&amp;IF(Raw!A565="","",Raw!A565)&amp;"|"&amp;LEN(IF(Raw!B565="","",Raw!B565))&amp;":"&amp;IF(Raw!B565="","",Raw!B565)&amp;"|"&amp;LEN(IF(Raw!C565="","",Raw!C565))&amp;":"&amp;IF(Raw!C565="","",Raw!C565)&amp;"|"&amp;LEN(IF(Raw!D565="","",Raw!D565))&amp;":"&amp;IF(Raw!D565="","",Raw!D565)&amp;"|"&amp;LEN(IF(Raw!E565="","",Raw!E565))&amp;":"&amp;IF(Raw!E565="","",Raw!E565)&amp;"|"&amp;LEN(IF(Raw!F565="","",Raw!F565))&amp;":"&amp;IF(Raw!F565="","",Raw!F565)&amp;"|"&amp;LEN(IF(Raw!G565="","",Raw!G565))&amp;":"&amp;IF(Raw!G565="","",Raw!G565)</f>
        <v>6:L00559|6:T00280|10:2026-03-05|3:P-A|11:Accessories|4:sale|6:182.90</v>
      </c>
      <c r="Q565" s="1">
        <f>1</f>
        <v>1</v>
      </c>
      <c r="R565" s="1" t="b">
        <f>FALSE</f>
        <v>0</v>
      </c>
      <c r="S565" s="1">
        <f>1</f>
        <v>1</v>
      </c>
      <c r="T565" s="1" t="str">
        <f>IF(AND(Raw!A565="",Raw!B565="",Raw!C565="",Raw!D565="",Raw!E565="",Raw!F565="",Raw!G565=""),"UNUSED",IF(A565="","missing line ID",IF(B565="","missing transaction ID",IF(G565="",IF(C565="","missing date","invalid date"),IF(I565="","unknown product",IF(J565="","conflicting category",IF(NOT(OR(EXACT(K565,"sale"),EXACT(K565,"refund"))),"unknown event",IF(OR(N565="",NOT(O565)),"invalid amount",IF(OR(AND(K565="sale",N565&lt;=0),AND(K565="refund",N565&gt;=0)),"invalid sign","")))))))))</f>
        <v/>
      </c>
      <c r="U565" s="1" t="str">
        <f t="shared" si="69"/>
        <v>INCLUDED</v>
      </c>
      <c r="V565" s="1" t="str">
        <f t="shared" si="70"/>
        <v>2026-03</v>
      </c>
      <c r="W565" s="1">
        <f>IF(AND(U565="INCLUDED",X565&gt;0,EXACT(A565,'AI output'!A565)),1,0)</f>
        <v>1</v>
      </c>
      <c r="X565" s="1">
        <f>565</f>
        <v>565</v>
      </c>
      <c r="Y565" s="1">
        <f>IF(AND(U565="INCLUDED",W565=1),--(NOT(EXACT(A565,'AI output'!A565)))+--(NOT(EXACT(B565,'AI output'!B565)))+--(NOT(EXACT(TEXT(G565,"yyyy-mm-dd"),'AI output'!C565)))+--(NOT(EXACT(H565,'AI output'!D565)))+--(NOT(EXACT(J565,'AI output'!E565)))+--(NOT(EXACT(K565,'AI output'!F565)))+--(N565&lt;&gt;'AI output'!L565)+--(NOT('AI output'!M565)),0)</f>
        <v>0</v>
      </c>
      <c r="Z565" s="1">
        <f t="shared" si="71"/>
        <v>0</v>
      </c>
      <c r="AA565" s="1">
        <f>--EXACT(A565,"L00559")</f>
        <v>1</v>
      </c>
    </row>
    <row r="566" spans="1:27" ht="18.95" customHeight="1">
      <c r="A566" s="1" t="str">
        <f>IF(Raw!A566="","",Raw!A566)</f>
        <v>L00560</v>
      </c>
      <c r="B566" s="1" t="str">
        <f>IF(Raw!B566="","",Raw!B566)</f>
        <v>T00280</v>
      </c>
      <c r="C566" s="1" t="str">
        <f>IF(Raw!C566="","",Raw!C566)</f>
        <v>2026-03-05</v>
      </c>
      <c r="D566" s="1">
        <f t="shared" si="64"/>
        <v>2026</v>
      </c>
      <c r="E566" s="1">
        <f>IFERROR(IF(AND(LEN(C566)=10,MID(C566,5,1)="-",MID(C566,8,1)="-"),VALUE(MID(C566,6,2)),IF(AND(LEN(C566)=11,MID(C566,3,1)="-",MID(C566,7,1)="-"),MATCH(UPPER(MID(C566,4,3)),Guide!$D$7:$D$18,0),0)),0)</f>
        <v>3</v>
      </c>
      <c r="F566" s="1">
        <f t="shared" si="65"/>
        <v>5</v>
      </c>
      <c r="G566" s="9">
        <f t="shared" si="66"/>
        <v>46086</v>
      </c>
      <c r="H566" s="1" t="str">
        <f>IF(Raw!D566="","",Raw!D566)</f>
        <v>P-H</v>
      </c>
      <c r="I566" s="1" t="str">
        <f>IFERROR(IF(EXACT(H566,INDEX(Guide!$A$7:$A$9,MATCH(SUBSTITUTE(SUBSTITUTE(SUBSTITUTE(H566,"~","~~"),"*","~*"),"?","~?"),Guide!$A$7:$A$9,0))),INDEX(Guide!$B$7:$B$9,MATCH(SUBSTITUTE(SUBSTITUTE(SUBSTITUTE(H566,"~","~~"),"*","~*"),"?","~?"),Guide!$A$7:$A$9,0)),""),"")</f>
        <v>Home</v>
      </c>
      <c r="J566" s="1" t="str">
        <f>IF(TRIM(Raw!E566)="",I566,IF(UPPER(TRIM(Raw!E566))=UPPER(I566),I566,""))</f>
        <v>Home</v>
      </c>
      <c r="K566" s="1" t="str">
        <f>IF(Raw!F566="","",Raw!F566)</f>
        <v>sale</v>
      </c>
      <c r="L566" s="1" t="str">
        <f>IF(LEFT(TRIM(Raw!G566),2)="-$","-"&amp;MID(TRIM(Raw!G566),3,99),IF(LEFT(TRIM(Raw!G566),1)="$",MID(TRIM(Raw!G566),2,99),TRIM(Raw!G566)))</f>
        <v>367.28</v>
      </c>
      <c r="M566" s="1">
        <f t="shared" si="67"/>
        <v>367.28</v>
      </c>
      <c r="N566" s="10">
        <f t="shared" si="68"/>
        <v>36728</v>
      </c>
      <c r="O566" s="1" t="b">
        <f>IFERROR(IF(ISNUMBER(Raw!G566),TRUE,OR(EXACT(L566,TEXT(M566,"0.00")),EXACT(L566,TEXT(M566,"#,##0.00")))),FALSE)</f>
        <v>1</v>
      </c>
      <c r="P566" s="1" t="str">
        <f>LEN(IF(Raw!A566="","",Raw!A566))&amp;":"&amp;IF(Raw!A566="","",Raw!A566)&amp;"|"&amp;LEN(IF(Raw!B566="","",Raw!B566))&amp;":"&amp;IF(Raw!B566="","",Raw!B566)&amp;"|"&amp;LEN(IF(Raw!C566="","",Raw!C566))&amp;":"&amp;IF(Raw!C566="","",Raw!C566)&amp;"|"&amp;LEN(IF(Raw!D566="","",Raw!D566))&amp;":"&amp;IF(Raw!D566="","",Raw!D566)&amp;"|"&amp;LEN(IF(Raw!E566="","",Raw!E566))&amp;":"&amp;IF(Raw!E566="","",Raw!E566)&amp;"|"&amp;LEN(IF(Raw!F566="","",Raw!F566))&amp;":"&amp;IF(Raw!F566="","",Raw!F566)&amp;"|"&amp;LEN(IF(Raw!G566="","",Raw!G566))&amp;":"&amp;IF(Raw!G566="","",Raw!G566)</f>
        <v>6:L00560|6:T00280|10:2026-03-05|3:P-H|4:Home|4:sale|6:367.28</v>
      </c>
      <c r="Q566" s="1">
        <f>1</f>
        <v>1</v>
      </c>
      <c r="R566" s="1" t="b">
        <f>FALSE</f>
        <v>0</v>
      </c>
      <c r="S566" s="1">
        <f>1</f>
        <v>1</v>
      </c>
      <c r="T566" s="1" t="str">
        <f>IF(AND(Raw!A566="",Raw!B566="",Raw!C566="",Raw!D566="",Raw!E566="",Raw!F566="",Raw!G566=""),"UNUSED",IF(A566="","missing line ID",IF(B566="","missing transaction ID",IF(G566="",IF(C566="","missing date","invalid date"),IF(I566="","unknown product",IF(J566="","conflicting category",IF(NOT(OR(EXACT(K566,"sale"),EXACT(K566,"refund"))),"unknown event",IF(OR(N566="",NOT(O566)),"invalid amount",IF(OR(AND(K566="sale",N566&lt;=0),AND(K566="refund",N566&gt;=0)),"invalid sign","")))))))))</f>
        <v/>
      </c>
      <c r="U566" s="1" t="str">
        <f t="shared" si="69"/>
        <v>INCLUDED</v>
      </c>
      <c r="V566" s="1" t="str">
        <f t="shared" si="70"/>
        <v>2026-03</v>
      </c>
      <c r="W566" s="1">
        <f>IF(AND(U566="INCLUDED",X566&gt;0,EXACT(A566,'AI output'!A566)),1,0)</f>
        <v>1</v>
      </c>
      <c r="X566" s="1">
        <f>566</f>
        <v>566</v>
      </c>
      <c r="Y566" s="1">
        <f>IF(AND(U566="INCLUDED",W566=1),--(NOT(EXACT(A566,'AI output'!A566)))+--(NOT(EXACT(B566,'AI output'!B566)))+--(NOT(EXACT(TEXT(G566,"yyyy-mm-dd"),'AI output'!C566)))+--(NOT(EXACT(H566,'AI output'!D566)))+--(NOT(EXACT(J566,'AI output'!E566)))+--(NOT(EXACT(K566,'AI output'!F566)))+--(N566&lt;&gt;'AI output'!L566)+--(NOT('AI output'!M566)),0)</f>
        <v>0</v>
      </c>
      <c r="Z566" s="1">
        <f t="shared" si="71"/>
        <v>0</v>
      </c>
      <c r="AA566" s="1">
        <f>--EXACT(A566,"L00560")</f>
        <v>1</v>
      </c>
    </row>
    <row r="567" spans="1:27" ht="18.95" customHeight="1">
      <c r="A567" s="1" t="str">
        <f>IF(Raw!A567="","",Raw!A567)</f>
        <v>L00561</v>
      </c>
      <c r="B567" s="1" t="str">
        <f>IF(Raw!B567="","",Raw!B567)</f>
        <v>T00281</v>
      </c>
      <c r="C567" s="1" t="str">
        <f>IF(Raw!C567="","",Raw!C567)</f>
        <v>2026-03-12</v>
      </c>
      <c r="D567" s="1">
        <f t="shared" si="64"/>
        <v>2026</v>
      </c>
      <c r="E567" s="1">
        <f>IFERROR(IF(AND(LEN(C567)=10,MID(C567,5,1)="-",MID(C567,8,1)="-"),VALUE(MID(C567,6,2)),IF(AND(LEN(C567)=11,MID(C567,3,1)="-",MID(C567,7,1)="-"),MATCH(UPPER(MID(C567,4,3)),Guide!$D$7:$D$18,0),0)),0)</f>
        <v>3</v>
      </c>
      <c r="F567" s="1">
        <f t="shared" si="65"/>
        <v>12</v>
      </c>
      <c r="G567" s="9">
        <f t="shared" si="66"/>
        <v>46093</v>
      </c>
      <c r="H567" s="1" t="str">
        <f>IF(Raw!D567="","",Raw!D567)</f>
        <v>P-O</v>
      </c>
      <c r="I567" s="1" t="str">
        <f>IFERROR(IF(EXACT(H567,INDEX(Guide!$A$7:$A$9,MATCH(SUBSTITUTE(SUBSTITUTE(SUBSTITUTE(H567,"~","~~"),"*","~*"),"?","~?"),Guide!$A$7:$A$9,0))),INDEX(Guide!$B$7:$B$9,MATCH(SUBSTITUTE(SUBSTITUTE(SUBSTITUTE(H567,"~","~~"),"*","~*"),"?","~?"),Guide!$A$7:$A$9,0)),""),"")</f>
        <v>Office</v>
      </c>
      <c r="J567" s="1" t="str">
        <f>IF(TRIM(Raw!E567)="",I567,IF(UPPER(TRIM(Raw!E567))=UPPER(I567),I567,""))</f>
        <v>Office</v>
      </c>
      <c r="K567" s="1" t="str">
        <f>IF(Raw!F567="","",Raw!F567)</f>
        <v>sale</v>
      </c>
      <c r="L567" s="1" t="str">
        <f>IF(LEFT(TRIM(Raw!G567),2)="-$","-"&amp;MID(TRIM(Raw!G567),3,99),IF(LEFT(TRIM(Raw!G567),1)="$",MID(TRIM(Raw!G567),2,99),TRIM(Raw!G567)))</f>
        <v>92.19</v>
      </c>
      <c r="M567" s="1">
        <f t="shared" si="67"/>
        <v>92.19</v>
      </c>
      <c r="N567" s="10">
        <f t="shared" si="68"/>
        <v>9219</v>
      </c>
      <c r="O567" s="1" t="b">
        <f>IFERROR(IF(ISNUMBER(Raw!G567),TRUE,OR(EXACT(L567,TEXT(M567,"0.00")),EXACT(L567,TEXT(M567,"#,##0.00")))),FALSE)</f>
        <v>1</v>
      </c>
      <c r="P567" s="1" t="str">
        <f>LEN(IF(Raw!A567="","",Raw!A567))&amp;":"&amp;IF(Raw!A567="","",Raw!A567)&amp;"|"&amp;LEN(IF(Raw!B567="","",Raw!B567))&amp;":"&amp;IF(Raw!B567="","",Raw!B567)&amp;"|"&amp;LEN(IF(Raw!C567="","",Raw!C567))&amp;":"&amp;IF(Raw!C567="","",Raw!C567)&amp;"|"&amp;LEN(IF(Raw!D567="","",Raw!D567))&amp;":"&amp;IF(Raw!D567="","",Raw!D567)&amp;"|"&amp;LEN(IF(Raw!E567="","",Raw!E567))&amp;":"&amp;IF(Raw!E567="","",Raw!E567)&amp;"|"&amp;LEN(IF(Raw!F567="","",Raw!F567))&amp;":"&amp;IF(Raw!F567="","",Raw!F567)&amp;"|"&amp;LEN(IF(Raw!G567="","",Raw!G567))&amp;":"&amp;IF(Raw!G567="","",Raw!G567)</f>
        <v>6:L00561|6:T00281|10:2026-03-12|3:P-O|6:Office|4:sale|5:92.19</v>
      </c>
      <c r="Q567" s="1">
        <f>1</f>
        <v>1</v>
      </c>
      <c r="R567" s="1" t="b">
        <f>FALSE</f>
        <v>0</v>
      </c>
      <c r="S567" s="1">
        <f>1</f>
        <v>1</v>
      </c>
      <c r="T567" s="1" t="str">
        <f>IF(AND(Raw!A567="",Raw!B567="",Raw!C567="",Raw!D567="",Raw!E567="",Raw!F567="",Raw!G567=""),"UNUSED",IF(A567="","missing line ID",IF(B567="","missing transaction ID",IF(G567="",IF(C567="","missing date","invalid date"),IF(I567="","unknown product",IF(J567="","conflicting category",IF(NOT(OR(EXACT(K567,"sale"),EXACT(K567,"refund"))),"unknown event",IF(OR(N567="",NOT(O567)),"invalid amount",IF(OR(AND(K567="sale",N567&lt;=0),AND(K567="refund",N567&gt;=0)),"invalid sign","")))))))))</f>
        <v/>
      </c>
      <c r="U567" s="1" t="str">
        <f t="shared" si="69"/>
        <v>INCLUDED</v>
      </c>
      <c r="V567" s="1" t="str">
        <f t="shared" si="70"/>
        <v>2026-03</v>
      </c>
      <c r="W567" s="1">
        <f>IF(AND(U567="INCLUDED",X567&gt;0,EXACT(A567,'AI output'!A567)),1,0)</f>
        <v>1</v>
      </c>
      <c r="X567" s="1">
        <f>567</f>
        <v>567</v>
      </c>
      <c r="Y567" s="1">
        <f>IF(AND(U567="INCLUDED",W567=1),--(NOT(EXACT(A567,'AI output'!A567)))+--(NOT(EXACT(B567,'AI output'!B567)))+--(NOT(EXACT(TEXT(G567,"yyyy-mm-dd"),'AI output'!C567)))+--(NOT(EXACT(H567,'AI output'!D567)))+--(NOT(EXACT(J567,'AI output'!E567)))+--(NOT(EXACT(K567,'AI output'!F567)))+--(N567&lt;&gt;'AI output'!L567)+--(NOT('AI output'!M567)),0)</f>
        <v>0</v>
      </c>
      <c r="Z567" s="1">
        <f t="shared" si="71"/>
        <v>0</v>
      </c>
      <c r="AA567" s="1">
        <f>--EXACT(A567,"L00561")</f>
        <v>1</v>
      </c>
    </row>
    <row r="568" spans="1:27" ht="18.95" customHeight="1">
      <c r="A568" s="1" t="str">
        <f>IF(Raw!A568="","",Raw!A568)</f>
        <v>L00562</v>
      </c>
      <c r="B568" s="1" t="str">
        <f>IF(Raw!B568="","",Raw!B568)</f>
        <v>T00281</v>
      </c>
      <c r="C568" s="1" t="str">
        <f>IF(Raw!C568="","",Raw!C568)</f>
        <v>2026-03-12</v>
      </c>
      <c r="D568" s="1">
        <f t="shared" si="64"/>
        <v>2026</v>
      </c>
      <c r="E568" s="1">
        <f>IFERROR(IF(AND(LEN(C568)=10,MID(C568,5,1)="-",MID(C568,8,1)="-"),VALUE(MID(C568,6,2)),IF(AND(LEN(C568)=11,MID(C568,3,1)="-",MID(C568,7,1)="-"),MATCH(UPPER(MID(C568,4,3)),Guide!$D$7:$D$18,0),0)),0)</f>
        <v>3</v>
      </c>
      <c r="F568" s="1">
        <f t="shared" si="65"/>
        <v>12</v>
      </c>
      <c r="G568" s="9">
        <f t="shared" si="66"/>
        <v>46093</v>
      </c>
      <c r="H568" s="1" t="str">
        <f>IF(Raw!D568="","",Raw!D568)</f>
        <v>P-A</v>
      </c>
      <c r="I568" s="1" t="str">
        <f>IFERROR(IF(EXACT(H568,INDEX(Guide!$A$7:$A$9,MATCH(SUBSTITUTE(SUBSTITUTE(SUBSTITUTE(H568,"~","~~"),"*","~*"),"?","~?"),Guide!$A$7:$A$9,0))),INDEX(Guide!$B$7:$B$9,MATCH(SUBSTITUTE(SUBSTITUTE(SUBSTITUTE(H568,"~","~~"),"*","~*"),"?","~?"),Guide!$A$7:$A$9,0)),""),"")</f>
        <v>Accessories</v>
      </c>
      <c r="J568" s="1" t="str">
        <f>IF(TRIM(Raw!E568)="",I568,IF(UPPER(TRIM(Raw!E568))=UPPER(I568),I568,""))</f>
        <v>Accessories</v>
      </c>
      <c r="K568" s="1" t="str">
        <f>IF(Raw!F568="","",Raw!F568)</f>
        <v>sale</v>
      </c>
      <c r="L568" s="1" t="str">
        <f>IF(LEFT(TRIM(Raw!G568),2)="-$","-"&amp;MID(TRIM(Raw!G568),3,99),IF(LEFT(TRIM(Raw!G568),1)="$",MID(TRIM(Raw!G568),2,99),TRIM(Raw!G568)))</f>
        <v>277.68</v>
      </c>
      <c r="M568" s="1">
        <f t="shared" si="67"/>
        <v>277.68</v>
      </c>
      <c r="N568" s="10">
        <f t="shared" si="68"/>
        <v>27768</v>
      </c>
      <c r="O568" s="1" t="b">
        <f>IFERROR(IF(ISNUMBER(Raw!G568),TRUE,OR(EXACT(L568,TEXT(M568,"0.00")),EXACT(L568,TEXT(M568,"#,##0.00")))),FALSE)</f>
        <v>1</v>
      </c>
      <c r="P568" s="1" t="str">
        <f>LEN(IF(Raw!A568="","",Raw!A568))&amp;":"&amp;IF(Raw!A568="","",Raw!A568)&amp;"|"&amp;LEN(IF(Raw!B568="","",Raw!B568))&amp;":"&amp;IF(Raw!B568="","",Raw!B568)&amp;"|"&amp;LEN(IF(Raw!C568="","",Raw!C568))&amp;":"&amp;IF(Raw!C568="","",Raw!C568)&amp;"|"&amp;LEN(IF(Raw!D568="","",Raw!D568))&amp;":"&amp;IF(Raw!D568="","",Raw!D568)&amp;"|"&amp;LEN(IF(Raw!E568="","",Raw!E568))&amp;":"&amp;IF(Raw!E568="","",Raw!E568)&amp;"|"&amp;LEN(IF(Raw!F568="","",Raw!F568))&amp;":"&amp;IF(Raw!F568="","",Raw!F568)&amp;"|"&amp;LEN(IF(Raw!G568="","",Raw!G568))&amp;":"&amp;IF(Raw!G568="","",Raw!G568)</f>
        <v>6:L00562|6:T00281|10:2026-03-12|3:P-A|11:Accessories|4:sale|6:277.68</v>
      </c>
      <c r="Q568" s="1">
        <f>1</f>
        <v>1</v>
      </c>
      <c r="R568" s="1" t="b">
        <f>FALSE</f>
        <v>0</v>
      </c>
      <c r="S568" s="1">
        <f>1</f>
        <v>1</v>
      </c>
      <c r="T568" s="1" t="str">
        <f>IF(AND(Raw!A568="",Raw!B568="",Raw!C568="",Raw!D568="",Raw!E568="",Raw!F568="",Raw!G568=""),"UNUSED",IF(A568="","missing line ID",IF(B568="","missing transaction ID",IF(G568="",IF(C568="","missing date","invalid date"),IF(I568="","unknown product",IF(J568="","conflicting category",IF(NOT(OR(EXACT(K568,"sale"),EXACT(K568,"refund"))),"unknown event",IF(OR(N568="",NOT(O568)),"invalid amount",IF(OR(AND(K568="sale",N568&lt;=0),AND(K568="refund",N568&gt;=0)),"invalid sign","")))))))))</f>
        <v/>
      </c>
      <c r="U568" s="1" t="str">
        <f t="shared" si="69"/>
        <v>INCLUDED</v>
      </c>
      <c r="V568" s="1" t="str">
        <f t="shared" si="70"/>
        <v>2026-03</v>
      </c>
      <c r="W568" s="1">
        <f>IF(AND(U568="INCLUDED",X568&gt;0,EXACT(A568,'AI output'!A568)),1,0)</f>
        <v>1</v>
      </c>
      <c r="X568" s="1">
        <f>568</f>
        <v>568</v>
      </c>
      <c r="Y568" s="1">
        <f>IF(AND(U568="INCLUDED",W568=1),--(NOT(EXACT(A568,'AI output'!A568)))+--(NOT(EXACT(B568,'AI output'!B568)))+--(NOT(EXACT(TEXT(G568,"yyyy-mm-dd"),'AI output'!C568)))+--(NOT(EXACT(H568,'AI output'!D568)))+--(NOT(EXACT(J568,'AI output'!E568)))+--(NOT(EXACT(K568,'AI output'!F568)))+--(N568&lt;&gt;'AI output'!L568)+--(NOT('AI output'!M568)),0)</f>
        <v>0</v>
      </c>
      <c r="Z568" s="1">
        <f t="shared" si="71"/>
        <v>0</v>
      </c>
      <c r="AA568" s="1">
        <f>--EXACT(A568,"L00562")</f>
        <v>1</v>
      </c>
    </row>
    <row r="569" spans="1:27" ht="18.95" customHeight="1">
      <c r="A569" s="1" t="str">
        <f>IF(Raw!A569="","",Raw!A569)</f>
        <v>L00563</v>
      </c>
      <c r="B569" s="1" t="str">
        <f>IF(Raw!B569="","",Raw!B569)</f>
        <v>T00282</v>
      </c>
      <c r="C569" s="1" t="str">
        <f>IF(Raw!C569="","",Raw!C569)</f>
        <v>2026-03-19</v>
      </c>
      <c r="D569" s="1">
        <f t="shared" si="64"/>
        <v>2026</v>
      </c>
      <c r="E569" s="1">
        <f>IFERROR(IF(AND(LEN(C569)=10,MID(C569,5,1)="-",MID(C569,8,1)="-"),VALUE(MID(C569,6,2)),IF(AND(LEN(C569)=11,MID(C569,3,1)="-",MID(C569,7,1)="-"),MATCH(UPPER(MID(C569,4,3)),Guide!$D$7:$D$18,0),0)),0)</f>
        <v>3</v>
      </c>
      <c r="F569" s="1">
        <f t="shared" si="65"/>
        <v>19</v>
      </c>
      <c r="G569" s="9">
        <f t="shared" si="66"/>
        <v>46100</v>
      </c>
      <c r="H569" s="1" t="str">
        <f>IF(Raw!D569="","",Raw!D569)</f>
        <v>P-H</v>
      </c>
      <c r="I569" s="1" t="str">
        <f>IFERROR(IF(EXACT(H569,INDEX(Guide!$A$7:$A$9,MATCH(SUBSTITUTE(SUBSTITUTE(SUBSTITUTE(H569,"~","~~"),"*","~*"),"?","~?"),Guide!$A$7:$A$9,0))),INDEX(Guide!$B$7:$B$9,MATCH(SUBSTITUTE(SUBSTITUTE(SUBSTITUTE(H569,"~","~~"),"*","~*"),"?","~?"),Guide!$A$7:$A$9,0)),""),"")</f>
        <v>Home</v>
      </c>
      <c r="J569" s="1" t="str">
        <f>IF(TRIM(Raw!E569)="",I569,IF(UPPER(TRIM(Raw!E569))=UPPER(I569),I569,""))</f>
        <v>Home</v>
      </c>
      <c r="K569" s="1" t="str">
        <f>IF(Raw!F569="","",Raw!F569)</f>
        <v>sale</v>
      </c>
      <c r="L569" s="1" t="str">
        <f>IF(LEFT(TRIM(Raw!G569),2)="-$","-"&amp;MID(TRIM(Raw!G569),3,99),IF(LEFT(TRIM(Raw!G569),1)="$",MID(TRIM(Raw!G569),2,99),TRIM(Raw!G569)))</f>
        <v>464.65</v>
      </c>
      <c r="M569" s="1">
        <f t="shared" si="67"/>
        <v>464.65</v>
      </c>
      <c r="N569" s="10">
        <f t="shared" si="68"/>
        <v>46465</v>
      </c>
      <c r="O569" s="1" t="b">
        <f>IFERROR(IF(ISNUMBER(Raw!G569),TRUE,OR(EXACT(L569,TEXT(M569,"0.00")),EXACT(L569,TEXT(M569,"#,##0.00")))),FALSE)</f>
        <v>1</v>
      </c>
      <c r="P569" s="1" t="str">
        <f>LEN(IF(Raw!A569="","",Raw!A569))&amp;":"&amp;IF(Raw!A569="","",Raw!A569)&amp;"|"&amp;LEN(IF(Raw!B569="","",Raw!B569))&amp;":"&amp;IF(Raw!B569="","",Raw!B569)&amp;"|"&amp;LEN(IF(Raw!C569="","",Raw!C569))&amp;":"&amp;IF(Raw!C569="","",Raw!C569)&amp;"|"&amp;LEN(IF(Raw!D569="","",Raw!D569))&amp;":"&amp;IF(Raw!D569="","",Raw!D569)&amp;"|"&amp;LEN(IF(Raw!E569="","",Raw!E569))&amp;":"&amp;IF(Raw!E569="","",Raw!E569)&amp;"|"&amp;LEN(IF(Raw!F569="","",Raw!F569))&amp;":"&amp;IF(Raw!F569="","",Raw!F569)&amp;"|"&amp;LEN(IF(Raw!G569="","",Raw!G569))&amp;":"&amp;IF(Raw!G569="","",Raw!G569)</f>
        <v>6:L00563|6:T00282|10:2026-03-19|3:P-H|4:Home|4:sale|6:464.65</v>
      </c>
      <c r="Q569" s="1">
        <f>1</f>
        <v>1</v>
      </c>
      <c r="R569" s="1" t="b">
        <f>FALSE</f>
        <v>0</v>
      </c>
      <c r="S569" s="1">
        <f>1</f>
        <v>1</v>
      </c>
      <c r="T569" s="1" t="str">
        <f>IF(AND(Raw!A569="",Raw!B569="",Raw!C569="",Raw!D569="",Raw!E569="",Raw!F569="",Raw!G569=""),"UNUSED",IF(A569="","missing line ID",IF(B569="","missing transaction ID",IF(G569="",IF(C569="","missing date","invalid date"),IF(I569="","unknown product",IF(J569="","conflicting category",IF(NOT(OR(EXACT(K569,"sale"),EXACT(K569,"refund"))),"unknown event",IF(OR(N569="",NOT(O569)),"invalid amount",IF(OR(AND(K569="sale",N569&lt;=0),AND(K569="refund",N569&gt;=0)),"invalid sign","")))))))))</f>
        <v/>
      </c>
      <c r="U569" s="1" t="str">
        <f t="shared" si="69"/>
        <v>INCLUDED</v>
      </c>
      <c r="V569" s="1" t="str">
        <f t="shared" si="70"/>
        <v>2026-03</v>
      </c>
      <c r="W569" s="1">
        <f>IF(AND(U569="INCLUDED",X569&gt;0,EXACT(A569,'AI output'!A569)),1,0)</f>
        <v>1</v>
      </c>
      <c r="X569" s="1">
        <f>569</f>
        <v>569</v>
      </c>
      <c r="Y569" s="1">
        <f>IF(AND(U569="INCLUDED",W569=1),--(NOT(EXACT(A569,'AI output'!A569)))+--(NOT(EXACT(B569,'AI output'!B569)))+--(NOT(EXACT(TEXT(G569,"yyyy-mm-dd"),'AI output'!C569)))+--(NOT(EXACT(H569,'AI output'!D569)))+--(NOT(EXACT(J569,'AI output'!E569)))+--(NOT(EXACT(K569,'AI output'!F569)))+--(N569&lt;&gt;'AI output'!L569)+--(NOT('AI output'!M569)),0)</f>
        <v>0</v>
      </c>
      <c r="Z569" s="1">
        <f t="shared" si="71"/>
        <v>0</v>
      </c>
      <c r="AA569" s="1">
        <f>--EXACT(A569,"L00563")</f>
        <v>1</v>
      </c>
    </row>
    <row r="570" spans="1:27" ht="18.95" customHeight="1">
      <c r="A570" s="1" t="str">
        <f>IF(Raw!A570="","",Raw!A570)</f>
        <v>L00564</v>
      </c>
      <c r="B570" s="1" t="str">
        <f>IF(Raw!B570="","",Raw!B570)</f>
        <v>T00282</v>
      </c>
      <c r="C570" s="1" t="str">
        <f>IF(Raw!C570="","",Raw!C570)</f>
        <v>2026-03-19</v>
      </c>
      <c r="D570" s="1">
        <f t="shared" si="64"/>
        <v>2026</v>
      </c>
      <c r="E570" s="1">
        <f>IFERROR(IF(AND(LEN(C570)=10,MID(C570,5,1)="-",MID(C570,8,1)="-"),VALUE(MID(C570,6,2)),IF(AND(LEN(C570)=11,MID(C570,3,1)="-",MID(C570,7,1)="-"),MATCH(UPPER(MID(C570,4,3)),Guide!$D$7:$D$18,0),0)),0)</f>
        <v>3</v>
      </c>
      <c r="F570" s="1">
        <f t="shared" si="65"/>
        <v>19</v>
      </c>
      <c r="G570" s="9">
        <f t="shared" si="66"/>
        <v>46100</v>
      </c>
      <c r="H570" s="1" t="str">
        <f>IF(Raw!D570="","",Raw!D570)</f>
        <v>P-O</v>
      </c>
      <c r="I570" s="1" t="str">
        <f>IFERROR(IF(EXACT(H570,INDEX(Guide!$A$7:$A$9,MATCH(SUBSTITUTE(SUBSTITUTE(SUBSTITUTE(H570,"~","~~"),"*","~*"),"?","~?"),Guide!$A$7:$A$9,0))),INDEX(Guide!$B$7:$B$9,MATCH(SUBSTITUTE(SUBSTITUTE(SUBSTITUTE(H570,"~","~~"),"*","~*"),"?","~?"),Guide!$A$7:$A$9,0)),""),"")</f>
        <v>Office</v>
      </c>
      <c r="J570" s="1" t="str">
        <f>IF(TRIM(Raw!E570)="",I570,IF(UPPER(TRIM(Raw!E570))=UPPER(I570),I570,""))</f>
        <v>Office</v>
      </c>
      <c r="K570" s="1" t="str">
        <f>IF(Raw!F570="","",Raw!F570)</f>
        <v>sale</v>
      </c>
      <c r="L570" s="1" t="str">
        <f>IF(LEFT(TRIM(Raw!G570),2)="-$","-"&amp;MID(TRIM(Raw!G570),3,99),IF(LEFT(TRIM(Raw!G570),1)="$",MID(TRIM(Raw!G570),2,99),TRIM(Raw!G570)))</f>
        <v>186.60</v>
      </c>
      <c r="M570" s="1">
        <f t="shared" si="67"/>
        <v>186.6</v>
      </c>
      <c r="N570" s="10">
        <f t="shared" si="68"/>
        <v>18660</v>
      </c>
      <c r="O570" s="1" t="b">
        <f>IFERROR(IF(ISNUMBER(Raw!G570),TRUE,OR(EXACT(L570,TEXT(M570,"0.00")),EXACT(L570,TEXT(M570,"#,##0.00")))),FALSE)</f>
        <v>1</v>
      </c>
      <c r="P570" s="1" t="str">
        <f>LEN(IF(Raw!A570="","",Raw!A570))&amp;":"&amp;IF(Raw!A570="","",Raw!A570)&amp;"|"&amp;LEN(IF(Raw!B570="","",Raw!B570))&amp;":"&amp;IF(Raw!B570="","",Raw!B570)&amp;"|"&amp;LEN(IF(Raw!C570="","",Raw!C570))&amp;":"&amp;IF(Raw!C570="","",Raw!C570)&amp;"|"&amp;LEN(IF(Raw!D570="","",Raw!D570))&amp;":"&amp;IF(Raw!D570="","",Raw!D570)&amp;"|"&amp;LEN(IF(Raw!E570="","",Raw!E570))&amp;":"&amp;IF(Raw!E570="","",Raw!E570)&amp;"|"&amp;LEN(IF(Raw!F570="","",Raw!F570))&amp;":"&amp;IF(Raw!F570="","",Raw!F570)&amp;"|"&amp;LEN(IF(Raw!G570="","",Raw!G570))&amp;":"&amp;IF(Raw!G570="","",Raw!G570)</f>
        <v>6:L00564|6:T00282|10:2026-03-19|3:P-O|6:Office|4:sale|6:186.60</v>
      </c>
      <c r="Q570" s="1">
        <f>1</f>
        <v>1</v>
      </c>
      <c r="R570" s="1" t="b">
        <f>FALSE</f>
        <v>0</v>
      </c>
      <c r="S570" s="1">
        <f>1</f>
        <v>1</v>
      </c>
      <c r="T570" s="1" t="str">
        <f>IF(AND(Raw!A570="",Raw!B570="",Raw!C570="",Raw!D570="",Raw!E570="",Raw!F570="",Raw!G570=""),"UNUSED",IF(A570="","missing line ID",IF(B570="","missing transaction ID",IF(G570="",IF(C570="","missing date","invalid date"),IF(I570="","unknown product",IF(J570="","conflicting category",IF(NOT(OR(EXACT(K570,"sale"),EXACT(K570,"refund"))),"unknown event",IF(OR(N570="",NOT(O570)),"invalid amount",IF(OR(AND(K570="sale",N570&lt;=0),AND(K570="refund",N570&gt;=0)),"invalid sign","")))))))))</f>
        <v/>
      </c>
      <c r="U570" s="1" t="str">
        <f t="shared" si="69"/>
        <v>INCLUDED</v>
      </c>
      <c r="V570" s="1" t="str">
        <f t="shared" si="70"/>
        <v>2026-03</v>
      </c>
      <c r="W570" s="1">
        <f>IF(AND(U570="INCLUDED",X570&gt;0,EXACT(A570,'AI output'!A570)),1,0)</f>
        <v>1</v>
      </c>
      <c r="X570" s="1">
        <f>570</f>
        <v>570</v>
      </c>
      <c r="Y570" s="1">
        <f>IF(AND(U570="INCLUDED",W570=1),--(NOT(EXACT(A570,'AI output'!A570)))+--(NOT(EXACT(B570,'AI output'!B570)))+--(NOT(EXACT(TEXT(G570,"yyyy-mm-dd"),'AI output'!C570)))+--(NOT(EXACT(H570,'AI output'!D570)))+--(NOT(EXACT(J570,'AI output'!E570)))+--(NOT(EXACT(K570,'AI output'!F570)))+--(N570&lt;&gt;'AI output'!L570)+--(NOT('AI output'!M570)),0)</f>
        <v>0</v>
      </c>
      <c r="Z570" s="1">
        <f t="shared" si="71"/>
        <v>0</v>
      </c>
      <c r="AA570" s="1">
        <f>--EXACT(A570,"L00564")</f>
        <v>1</v>
      </c>
    </row>
    <row r="571" spans="1:27" ht="18.95" customHeight="1">
      <c r="A571" s="1" t="str">
        <f>IF(Raw!A571="","",Raw!A571)</f>
        <v>L00565</v>
      </c>
      <c r="B571" s="1" t="str">
        <f>IF(Raw!B571="","",Raw!B571)</f>
        <v>T00283</v>
      </c>
      <c r="C571" s="1" t="str">
        <f>IF(Raw!C571="","",Raw!C571)</f>
        <v>2026-03-26</v>
      </c>
      <c r="D571" s="1">
        <f t="shared" si="64"/>
        <v>2026</v>
      </c>
      <c r="E571" s="1">
        <f>IFERROR(IF(AND(LEN(C571)=10,MID(C571,5,1)="-",MID(C571,8,1)="-"),VALUE(MID(C571,6,2)),IF(AND(LEN(C571)=11,MID(C571,3,1)="-",MID(C571,7,1)="-"),MATCH(UPPER(MID(C571,4,3)),Guide!$D$7:$D$18,0),0)),0)</f>
        <v>3</v>
      </c>
      <c r="F571" s="1">
        <f t="shared" si="65"/>
        <v>26</v>
      </c>
      <c r="G571" s="9">
        <f t="shared" si="66"/>
        <v>46107</v>
      </c>
      <c r="H571" s="1" t="str">
        <f>IF(Raw!D571="","",Raw!D571)</f>
        <v>P-A</v>
      </c>
      <c r="I571" s="1" t="str">
        <f>IFERROR(IF(EXACT(H571,INDEX(Guide!$A$7:$A$9,MATCH(SUBSTITUTE(SUBSTITUTE(SUBSTITUTE(H571,"~","~~"),"*","~*"),"?","~?"),Guide!$A$7:$A$9,0))),INDEX(Guide!$B$7:$B$9,MATCH(SUBSTITUTE(SUBSTITUTE(SUBSTITUTE(H571,"~","~~"),"*","~*"),"?","~?"),Guide!$A$7:$A$9,0)),""),"")</f>
        <v>Accessories</v>
      </c>
      <c r="J571" s="1" t="str">
        <f>IF(TRIM(Raw!E571)="",I571,IF(UPPER(TRIM(Raw!E571))=UPPER(I571),I571,""))</f>
        <v>Accessories</v>
      </c>
      <c r="K571" s="1" t="str">
        <f>IF(Raw!F571="","",Raw!F571)</f>
        <v>sale</v>
      </c>
      <c r="L571" s="1" t="str">
        <f>IF(LEFT(TRIM(Raw!G571),2)="-$","-"&amp;MID(TRIM(Raw!G571),3,99),IF(LEFT(TRIM(Raw!G571),1)="$",MID(TRIM(Raw!G571),2,99),TRIM(Raw!G571)))</f>
        <v>374.68</v>
      </c>
      <c r="M571" s="1">
        <f t="shared" si="67"/>
        <v>374.68</v>
      </c>
      <c r="N571" s="10">
        <f t="shared" si="68"/>
        <v>37468</v>
      </c>
      <c r="O571" s="1" t="b">
        <f>IFERROR(IF(ISNUMBER(Raw!G571),TRUE,OR(EXACT(L571,TEXT(M571,"0.00")),EXACT(L571,TEXT(M571,"#,##0.00")))),FALSE)</f>
        <v>1</v>
      </c>
      <c r="P571" s="1" t="str">
        <f>LEN(IF(Raw!A571="","",Raw!A571))&amp;":"&amp;IF(Raw!A571="","",Raw!A571)&amp;"|"&amp;LEN(IF(Raw!B571="","",Raw!B571))&amp;":"&amp;IF(Raw!B571="","",Raw!B571)&amp;"|"&amp;LEN(IF(Raw!C571="","",Raw!C571))&amp;":"&amp;IF(Raw!C571="","",Raw!C571)&amp;"|"&amp;LEN(IF(Raw!D571="","",Raw!D571))&amp;":"&amp;IF(Raw!D571="","",Raw!D571)&amp;"|"&amp;LEN(IF(Raw!E571="","",Raw!E571))&amp;":"&amp;IF(Raw!E571="","",Raw!E571)&amp;"|"&amp;LEN(IF(Raw!F571="","",Raw!F571))&amp;":"&amp;IF(Raw!F571="","",Raw!F571)&amp;"|"&amp;LEN(IF(Raw!G571="","",Raw!G571))&amp;":"&amp;IF(Raw!G571="","",Raw!G571)</f>
        <v>6:L00565|6:T00283|10:2026-03-26|3:P-A|11:Accessories|4:sale|6:374.68</v>
      </c>
      <c r="Q571" s="1">
        <f>1</f>
        <v>1</v>
      </c>
      <c r="R571" s="1" t="b">
        <f>FALSE</f>
        <v>0</v>
      </c>
      <c r="S571" s="1">
        <f>1</f>
        <v>1</v>
      </c>
      <c r="T571" s="1" t="str">
        <f>IF(AND(Raw!A571="",Raw!B571="",Raw!C571="",Raw!D571="",Raw!E571="",Raw!F571="",Raw!G571=""),"UNUSED",IF(A571="","missing line ID",IF(B571="","missing transaction ID",IF(G571="",IF(C571="","missing date","invalid date"),IF(I571="","unknown product",IF(J571="","conflicting category",IF(NOT(OR(EXACT(K571,"sale"),EXACT(K571,"refund"))),"unknown event",IF(OR(N571="",NOT(O571)),"invalid amount",IF(OR(AND(K571="sale",N571&lt;=0),AND(K571="refund",N571&gt;=0)),"invalid sign","")))))))))</f>
        <v/>
      </c>
      <c r="U571" s="1" t="str">
        <f t="shared" si="69"/>
        <v>INCLUDED</v>
      </c>
      <c r="V571" s="1" t="str">
        <f t="shared" si="70"/>
        <v>2026-03</v>
      </c>
      <c r="W571" s="1">
        <f>IF(AND(U571="INCLUDED",X571&gt;0,EXACT(A571,'AI output'!A571)),1,0)</f>
        <v>1</v>
      </c>
      <c r="X571" s="1">
        <f>571</f>
        <v>571</v>
      </c>
      <c r="Y571" s="1">
        <f>IF(AND(U571="INCLUDED",W571=1),--(NOT(EXACT(A571,'AI output'!A571)))+--(NOT(EXACT(B571,'AI output'!B571)))+--(NOT(EXACT(TEXT(G571,"yyyy-mm-dd"),'AI output'!C571)))+--(NOT(EXACT(H571,'AI output'!D571)))+--(NOT(EXACT(J571,'AI output'!E571)))+--(NOT(EXACT(K571,'AI output'!F571)))+--(N571&lt;&gt;'AI output'!L571)+--(NOT('AI output'!M571)),0)</f>
        <v>0</v>
      </c>
      <c r="Z571" s="1">
        <f t="shared" si="71"/>
        <v>0</v>
      </c>
      <c r="AA571" s="1">
        <f>--EXACT(A571,"L00565")</f>
        <v>1</v>
      </c>
    </row>
    <row r="572" spans="1:27" ht="18.95" customHeight="1">
      <c r="A572" s="1" t="str">
        <f>IF(Raw!A572="","",Raw!A572)</f>
        <v>L00566</v>
      </c>
      <c r="B572" s="1" t="str">
        <f>IF(Raw!B572="","",Raw!B572)</f>
        <v>T00283</v>
      </c>
      <c r="C572" s="1" t="str">
        <f>IF(Raw!C572="","",Raw!C572)</f>
        <v>2026-03-26</v>
      </c>
      <c r="D572" s="1">
        <f t="shared" si="64"/>
        <v>2026</v>
      </c>
      <c r="E572" s="1">
        <f>IFERROR(IF(AND(LEN(C572)=10,MID(C572,5,1)="-",MID(C572,8,1)="-"),VALUE(MID(C572,6,2)),IF(AND(LEN(C572)=11,MID(C572,3,1)="-",MID(C572,7,1)="-"),MATCH(UPPER(MID(C572,4,3)),Guide!$D$7:$D$18,0),0)),0)</f>
        <v>3</v>
      </c>
      <c r="F572" s="1">
        <f t="shared" si="65"/>
        <v>26</v>
      </c>
      <c r="G572" s="9">
        <f t="shared" si="66"/>
        <v>46107</v>
      </c>
      <c r="H572" s="1" t="str">
        <f>IF(Raw!D572="","",Raw!D572)</f>
        <v>P-H</v>
      </c>
      <c r="I572" s="1" t="str">
        <f>IFERROR(IF(EXACT(H572,INDEX(Guide!$A$7:$A$9,MATCH(SUBSTITUTE(SUBSTITUTE(SUBSTITUTE(H572,"~","~~"),"*","~*"),"?","~?"),Guide!$A$7:$A$9,0))),INDEX(Guide!$B$7:$B$9,MATCH(SUBSTITUTE(SUBSTITUTE(SUBSTITUTE(H572,"~","~~"),"*","~*"),"?","~?"),Guide!$A$7:$A$9,0)),""),"")</f>
        <v>Home</v>
      </c>
      <c r="J572" s="1" t="str">
        <f>IF(TRIM(Raw!E572)="",I572,IF(UPPER(TRIM(Raw!E572))=UPPER(I572),I572,""))</f>
        <v>Home</v>
      </c>
      <c r="K572" s="1" t="str">
        <f>IF(Raw!F572="","",Raw!F572)</f>
        <v>sale</v>
      </c>
      <c r="L572" s="1" t="str">
        <f>IF(LEFT(TRIM(Raw!G572),2)="-$","-"&amp;MID(TRIM(Raw!G572),3,99),IF(LEFT(TRIM(Raw!G572),1)="$",MID(TRIM(Raw!G572),2,99),TRIM(Raw!G572)))</f>
        <v>94.04</v>
      </c>
      <c r="M572" s="1">
        <f t="shared" si="67"/>
        <v>94.04</v>
      </c>
      <c r="N572" s="10">
        <f t="shared" si="68"/>
        <v>9404</v>
      </c>
      <c r="O572" s="1" t="b">
        <f>IFERROR(IF(ISNUMBER(Raw!G572),TRUE,OR(EXACT(L572,TEXT(M572,"0.00")),EXACT(L572,TEXT(M572,"#,##0.00")))),FALSE)</f>
        <v>1</v>
      </c>
      <c r="P572" s="1" t="str">
        <f>LEN(IF(Raw!A572="","",Raw!A572))&amp;":"&amp;IF(Raw!A572="","",Raw!A572)&amp;"|"&amp;LEN(IF(Raw!B572="","",Raw!B572))&amp;":"&amp;IF(Raw!B572="","",Raw!B572)&amp;"|"&amp;LEN(IF(Raw!C572="","",Raw!C572))&amp;":"&amp;IF(Raw!C572="","",Raw!C572)&amp;"|"&amp;LEN(IF(Raw!D572="","",Raw!D572))&amp;":"&amp;IF(Raw!D572="","",Raw!D572)&amp;"|"&amp;LEN(IF(Raw!E572="","",Raw!E572))&amp;":"&amp;IF(Raw!E572="","",Raw!E572)&amp;"|"&amp;LEN(IF(Raw!F572="","",Raw!F572))&amp;":"&amp;IF(Raw!F572="","",Raw!F572)&amp;"|"&amp;LEN(IF(Raw!G572="","",Raw!G572))&amp;":"&amp;IF(Raw!G572="","",Raw!G572)</f>
        <v>6:L00566|6:T00283|10:2026-03-26|3:P-H|4:Home|4:sale|5:94.04</v>
      </c>
      <c r="Q572" s="1">
        <f>1</f>
        <v>1</v>
      </c>
      <c r="R572" s="1" t="b">
        <f>FALSE</f>
        <v>0</v>
      </c>
      <c r="S572" s="1">
        <f>1</f>
        <v>1</v>
      </c>
      <c r="T572" s="1" t="str">
        <f>IF(AND(Raw!A572="",Raw!B572="",Raw!C572="",Raw!D572="",Raw!E572="",Raw!F572="",Raw!G572=""),"UNUSED",IF(A572="","missing line ID",IF(B572="","missing transaction ID",IF(G572="",IF(C572="","missing date","invalid date"),IF(I572="","unknown product",IF(J572="","conflicting category",IF(NOT(OR(EXACT(K572,"sale"),EXACT(K572,"refund"))),"unknown event",IF(OR(N572="",NOT(O572)),"invalid amount",IF(OR(AND(K572="sale",N572&lt;=0),AND(K572="refund",N572&gt;=0)),"invalid sign","")))))))))</f>
        <v/>
      </c>
      <c r="U572" s="1" t="str">
        <f t="shared" si="69"/>
        <v>INCLUDED</v>
      </c>
      <c r="V572" s="1" t="str">
        <f t="shared" si="70"/>
        <v>2026-03</v>
      </c>
      <c r="W572" s="1">
        <f>IF(AND(U572="INCLUDED",X572&gt;0,EXACT(A572,'AI output'!A572)),1,0)</f>
        <v>1</v>
      </c>
      <c r="X572" s="1">
        <f>572</f>
        <v>572</v>
      </c>
      <c r="Y572" s="1">
        <f>IF(AND(U572="INCLUDED",W572=1),--(NOT(EXACT(A572,'AI output'!A572)))+--(NOT(EXACT(B572,'AI output'!B572)))+--(NOT(EXACT(TEXT(G572,"yyyy-mm-dd"),'AI output'!C572)))+--(NOT(EXACT(H572,'AI output'!D572)))+--(NOT(EXACT(J572,'AI output'!E572)))+--(NOT(EXACT(K572,'AI output'!F572)))+--(N572&lt;&gt;'AI output'!L572)+--(NOT('AI output'!M572)),0)</f>
        <v>0</v>
      </c>
      <c r="Z572" s="1">
        <f t="shared" si="71"/>
        <v>0</v>
      </c>
      <c r="AA572" s="1">
        <f>--EXACT(A572,"L00566")</f>
        <v>1</v>
      </c>
    </row>
    <row r="573" spans="1:27" ht="18.95" customHeight="1">
      <c r="A573" s="1" t="str">
        <f>IF(Raw!A573="","",Raw!A573)</f>
        <v>L00567</v>
      </c>
      <c r="B573" s="1" t="str">
        <f>IF(Raw!B573="","",Raw!B573)</f>
        <v>T00284</v>
      </c>
      <c r="C573" s="1" t="str">
        <f>IF(Raw!C573="","",Raw!C573)</f>
        <v>2026-01-02</v>
      </c>
      <c r="D573" s="1">
        <f t="shared" si="64"/>
        <v>2026</v>
      </c>
      <c r="E573" s="1">
        <f>IFERROR(IF(AND(LEN(C573)=10,MID(C573,5,1)="-",MID(C573,8,1)="-"),VALUE(MID(C573,6,2)),IF(AND(LEN(C573)=11,MID(C573,3,1)="-",MID(C573,7,1)="-"),MATCH(UPPER(MID(C573,4,3)),Guide!$D$7:$D$18,0),0)),0)</f>
        <v>1</v>
      </c>
      <c r="F573" s="1">
        <f t="shared" si="65"/>
        <v>2</v>
      </c>
      <c r="G573" s="9">
        <f t="shared" si="66"/>
        <v>46024</v>
      </c>
      <c r="H573" s="1" t="str">
        <f>IF(Raw!D573="","",Raw!D573)</f>
        <v>P-O</v>
      </c>
      <c r="I573" s="1" t="str">
        <f>IFERROR(IF(EXACT(H573,INDEX(Guide!$A$7:$A$9,MATCH(SUBSTITUTE(SUBSTITUTE(SUBSTITUTE(H573,"~","~~"),"*","~*"),"?","~?"),Guide!$A$7:$A$9,0))),INDEX(Guide!$B$7:$B$9,MATCH(SUBSTITUTE(SUBSTITUTE(SUBSTITUTE(H573,"~","~~"),"*","~*"),"?","~?"),Guide!$A$7:$A$9,0)),""),"")</f>
        <v>Office</v>
      </c>
      <c r="J573" s="1" t="str">
        <f>IF(TRIM(Raw!E573)="",I573,IF(UPPER(TRIM(Raw!E573))=UPPER(I573),I573,""))</f>
        <v>Office</v>
      </c>
      <c r="K573" s="1" t="str">
        <f>IF(Raw!F573="","",Raw!F573)</f>
        <v>sale</v>
      </c>
      <c r="L573" s="1" t="str">
        <f>IF(LEFT(TRIM(Raw!G573),2)="-$","-"&amp;MID(TRIM(Raw!G573),3,99),IF(LEFT(TRIM(Raw!G573),1)="$",MID(TRIM(Raw!G573),2,99),TRIM(Raw!G573)))</f>
        <v>283.23</v>
      </c>
      <c r="M573" s="1">
        <f t="shared" si="67"/>
        <v>283.23</v>
      </c>
      <c r="N573" s="10">
        <f t="shared" si="68"/>
        <v>28323</v>
      </c>
      <c r="O573" s="1" t="b">
        <f>IFERROR(IF(ISNUMBER(Raw!G573),TRUE,OR(EXACT(L573,TEXT(M573,"0.00")),EXACT(L573,TEXT(M573,"#,##0.00")))),FALSE)</f>
        <v>1</v>
      </c>
      <c r="P573" s="1" t="str">
        <f>LEN(IF(Raw!A573="","",Raw!A573))&amp;":"&amp;IF(Raw!A573="","",Raw!A573)&amp;"|"&amp;LEN(IF(Raw!B573="","",Raw!B573))&amp;":"&amp;IF(Raw!B573="","",Raw!B573)&amp;"|"&amp;LEN(IF(Raw!C573="","",Raw!C573))&amp;":"&amp;IF(Raw!C573="","",Raw!C573)&amp;"|"&amp;LEN(IF(Raw!D573="","",Raw!D573))&amp;":"&amp;IF(Raw!D573="","",Raw!D573)&amp;"|"&amp;LEN(IF(Raw!E573="","",Raw!E573))&amp;":"&amp;IF(Raw!E573="","",Raw!E573)&amp;"|"&amp;LEN(IF(Raw!F573="","",Raw!F573))&amp;":"&amp;IF(Raw!F573="","",Raw!F573)&amp;"|"&amp;LEN(IF(Raw!G573="","",Raw!G573))&amp;":"&amp;IF(Raw!G573="","",Raw!G573)</f>
        <v>6:L00567|6:T00284|10:2026-01-02|3:P-O|6:Office|4:sale|6:283.23</v>
      </c>
      <c r="Q573" s="1">
        <f>1</f>
        <v>1</v>
      </c>
      <c r="R573" s="1" t="b">
        <f>FALSE</f>
        <v>0</v>
      </c>
      <c r="S573" s="1">
        <f>1</f>
        <v>1</v>
      </c>
      <c r="T573" s="1" t="str">
        <f>IF(AND(Raw!A573="",Raw!B573="",Raw!C573="",Raw!D573="",Raw!E573="",Raw!F573="",Raw!G573=""),"UNUSED",IF(A573="","missing line ID",IF(B573="","missing transaction ID",IF(G573="",IF(C573="","missing date","invalid date"),IF(I573="","unknown product",IF(J573="","conflicting category",IF(NOT(OR(EXACT(K573,"sale"),EXACT(K573,"refund"))),"unknown event",IF(OR(N573="",NOT(O573)),"invalid amount",IF(OR(AND(K573="sale",N573&lt;=0),AND(K573="refund",N573&gt;=0)),"invalid sign","")))))))))</f>
        <v/>
      </c>
      <c r="U573" s="1" t="str">
        <f t="shared" si="69"/>
        <v>INCLUDED</v>
      </c>
      <c r="V573" s="1" t="str">
        <f t="shared" si="70"/>
        <v>2026-01</v>
      </c>
      <c r="W573" s="1">
        <f>IF(AND(U573="INCLUDED",X573&gt;0,EXACT(A573,'AI output'!A573)),1,0)</f>
        <v>1</v>
      </c>
      <c r="X573" s="1">
        <f>573</f>
        <v>573</v>
      </c>
      <c r="Y573" s="1">
        <f>IF(AND(U573="INCLUDED",W573=1),--(NOT(EXACT(A573,'AI output'!A573)))+--(NOT(EXACT(B573,'AI output'!B573)))+--(NOT(EXACT(TEXT(G573,"yyyy-mm-dd"),'AI output'!C573)))+--(NOT(EXACT(H573,'AI output'!D573)))+--(NOT(EXACT(J573,'AI output'!E573)))+--(NOT(EXACT(K573,'AI output'!F573)))+--(N573&lt;&gt;'AI output'!L573)+--(NOT('AI output'!M573)),0)</f>
        <v>0</v>
      </c>
      <c r="Z573" s="1">
        <f t="shared" si="71"/>
        <v>0</v>
      </c>
      <c r="AA573" s="1">
        <f>--EXACT(A573,"L00567")</f>
        <v>1</v>
      </c>
    </row>
    <row r="574" spans="1:27" ht="18.95" customHeight="1">
      <c r="A574" s="1" t="str">
        <f>IF(Raw!A574="","",Raw!A574)</f>
        <v>L00568</v>
      </c>
      <c r="B574" s="1" t="str">
        <f>IF(Raw!B574="","",Raw!B574)</f>
        <v>T00284</v>
      </c>
      <c r="C574" s="1" t="str">
        <f>IF(Raw!C574="","",Raw!C574)</f>
        <v>2026-01-02</v>
      </c>
      <c r="D574" s="1">
        <f t="shared" si="64"/>
        <v>2026</v>
      </c>
      <c r="E574" s="1">
        <f>IFERROR(IF(AND(LEN(C574)=10,MID(C574,5,1)="-",MID(C574,8,1)="-"),VALUE(MID(C574,6,2)),IF(AND(LEN(C574)=11,MID(C574,3,1)="-",MID(C574,7,1)="-"),MATCH(UPPER(MID(C574,4,3)),Guide!$D$7:$D$18,0),0)),0)</f>
        <v>1</v>
      </c>
      <c r="F574" s="1">
        <f t="shared" si="65"/>
        <v>2</v>
      </c>
      <c r="G574" s="9">
        <f t="shared" si="66"/>
        <v>46024</v>
      </c>
      <c r="H574" s="1" t="str">
        <f>IF(Raw!D574="","",Raw!D574)</f>
        <v>P-A</v>
      </c>
      <c r="I574" s="1" t="str">
        <f>IFERROR(IF(EXACT(H574,INDEX(Guide!$A$7:$A$9,MATCH(SUBSTITUTE(SUBSTITUTE(SUBSTITUTE(H574,"~","~~"),"*","~*"),"?","~?"),Guide!$A$7:$A$9,0))),INDEX(Guide!$B$7:$B$9,MATCH(SUBSTITUTE(SUBSTITUTE(SUBSTITUTE(H574,"~","~~"),"*","~*"),"?","~?"),Guide!$A$7:$A$9,0)),""),"")</f>
        <v>Accessories</v>
      </c>
      <c r="J574" s="1" t="str">
        <f>IF(TRIM(Raw!E574)="",I574,IF(UPPER(TRIM(Raw!E574))=UPPER(I574),I574,""))</f>
        <v>Accessories</v>
      </c>
      <c r="K574" s="1" t="str">
        <f>IF(Raw!F574="","",Raw!F574)</f>
        <v>sale</v>
      </c>
      <c r="L574" s="1" t="str">
        <f>IF(LEFT(TRIM(Raw!G574),2)="-$","-"&amp;MID(TRIM(Raw!G574),3,99),IF(LEFT(TRIM(Raw!G574),1)="$",MID(TRIM(Raw!G574),2,99),TRIM(Raw!G574)))</f>
        <v>473.90</v>
      </c>
      <c r="M574" s="1">
        <f t="shared" si="67"/>
        <v>473.9</v>
      </c>
      <c r="N574" s="10">
        <f t="shared" si="68"/>
        <v>47390</v>
      </c>
      <c r="O574" s="1" t="b">
        <f>IFERROR(IF(ISNUMBER(Raw!G574),TRUE,OR(EXACT(L574,TEXT(M574,"0.00")),EXACT(L574,TEXT(M574,"#,##0.00")))),FALSE)</f>
        <v>1</v>
      </c>
      <c r="P574" s="1" t="str">
        <f>LEN(IF(Raw!A574="","",Raw!A574))&amp;":"&amp;IF(Raw!A574="","",Raw!A574)&amp;"|"&amp;LEN(IF(Raw!B574="","",Raw!B574))&amp;":"&amp;IF(Raw!B574="","",Raw!B574)&amp;"|"&amp;LEN(IF(Raw!C574="","",Raw!C574))&amp;":"&amp;IF(Raw!C574="","",Raw!C574)&amp;"|"&amp;LEN(IF(Raw!D574="","",Raw!D574))&amp;":"&amp;IF(Raw!D574="","",Raw!D574)&amp;"|"&amp;LEN(IF(Raw!E574="","",Raw!E574))&amp;":"&amp;IF(Raw!E574="","",Raw!E574)&amp;"|"&amp;LEN(IF(Raw!F574="","",Raw!F574))&amp;":"&amp;IF(Raw!F574="","",Raw!F574)&amp;"|"&amp;LEN(IF(Raw!G574="","",Raw!G574))&amp;":"&amp;IF(Raw!G574="","",Raw!G574)</f>
        <v>6:L00568|6:T00284|10:2026-01-02|3:P-A|11:Accessories|4:sale|6:473.90</v>
      </c>
      <c r="Q574" s="1">
        <f>1</f>
        <v>1</v>
      </c>
      <c r="R574" s="1" t="b">
        <f>FALSE</f>
        <v>0</v>
      </c>
      <c r="S574" s="1">
        <f>1</f>
        <v>1</v>
      </c>
      <c r="T574" s="1" t="str">
        <f>IF(AND(Raw!A574="",Raw!B574="",Raw!C574="",Raw!D574="",Raw!E574="",Raw!F574="",Raw!G574=""),"UNUSED",IF(A574="","missing line ID",IF(B574="","missing transaction ID",IF(G574="",IF(C574="","missing date","invalid date"),IF(I574="","unknown product",IF(J574="","conflicting category",IF(NOT(OR(EXACT(K574,"sale"),EXACT(K574,"refund"))),"unknown event",IF(OR(N574="",NOT(O574)),"invalid amount",IF(OR(AND(K574="sale",N574&lt;=0),AND(K574="refund",N574&gt;=0)),"invalid sign","")))))))))</f>
        <v/>
      </c>
      <c r="U574" s="1" t="str">
        <f t="shared" si="69"/>
        <v>INCLUDED</v>
      </c>
      <c r="V574" s="1" t="str">
        <f t="shared" si="70"/>
        <v>2026-01</v>
      </c>
      <c r="W574" s="1">
        <f>IF(AND(U574="INCLUDED",X574&gt;0,EXACT(A574,'AI output'!A574)),1,0)</f>
        <v>1</v>
      </c>
      <c r="X574" s="1">
        <f>574</f>
        <v>574</v>
      </c>
      <c r="Y574" s="1">
        <f>IF(AND(U574="INCLUDED",W574=1),--(NOT(EXACT(A574,'AI output'!A574)))+--(NOT(EXACT(B574,'AI output'!B574)))+--(NOT(EXACT(TEXT(G574,"yyyy-mm-dd"),'AI output'!C574)))+--(NOT(EXACT(H574,'AI output'!D574)))+--(NOT(EXACT(J574,'AI output'!E574)))+--(NOT(EXACT(K574,'AI output'!F574)))+--(N574&lt;&gt;'AI output'!L574)+--(NOT('AI output'!M574)),0)</f>
        <v>0</v>
      </c>
      <c r="Z574" s="1">
        <f t="shared" si="71"/>
        <v>0</v>
      </c>
      <c r="AA574" s="1">
        <f>--EXACT(A574,"L00568")</f>
        <v>1</v>
      </c>
    </row>
    <row r="575" spans="1:27" ht="18.95" customHeight="1">
      <c r="A575" s="1" t="str">
        <f>IF(Raw!A575="","",Raw!A575)</f>
        <v>L00569</v>
      </c>
      <c r="B575" s="1" t="str">
        <f>IF(Raw!B575="","",Raw!B575)</f>
        <v>T00285</v>
      </c>
      <c r="C575" s="1" t="str">
        <f>IF(Raw!C575="","",Raw!C575)</f>
        <v>2026-01-09</v>
      </c>
      <c r="D575" s="1">
        <f t="shared" si="64"/>
        <v>2026</v>
      </c>
      <c r="E575" s="1">
        <f>IFERROR(IF(AND(LEN(C575)=10,MID(C575,5,1)="-",MID(C575,8,1)="-"),VALUE(MID(C575,6,2)),IF(AND(LEN(C575)=11,MID(C575,3,1)="-",MID(C575,7,1)="-"),MATCH(UPPER(MID(C575,4,3)),Guide!$D$7:$D$18,0),0)),0)</f>
        <v>1</v>
      </c>
      <c r="F575" s="1">
        <f t="shared" si="65"/>
        <v>9</v>
      </c>
      <c r="G575" s="9">
        <f t="shared" si="66"/>
        <v>46031</v>
      </c>
      <c r="H575" s="1" t="str">
        <f>IF(Raw!D575="","",Raw!D575)</f>
        <v>P-H</v>
      </c>
      <c r="I575" s="1" t="str">
        <f>IFERROR(IF(EXACT(H575,INDEX(Guide!$A$7:$A$9,MATCH(SUBSTITUTE(SUBSTITUTE(SUBSTITUTE(H575,"~","~~"),"*","~*"),"?","~?"),Guide!$A$7:$A$9,0))),INDEX(Guide!$B$7:$B$9,MATCH(SUBSTITUTE(SUBSTITUTE(SUBSTITUTE(H575,"~","~~"),"*","~*"),"?","~?"),Guide!$A$7:$A$9,0)),""),"")</f>
        <v>Home</v>
      </c>
      <c r="J575" s="1" t="str">
        <f>IF(TRIM(Raw!E575)="",I575,IF(UPPER(TRIM(Raw!E575))=UPPER(I575),I575,""))</f>
        <v>Home</v>
      </c>
      <c r="K575" s="1" t="str">
        <f>IF(Raw!F575="","",Raw!F575)</f>
        <v>sale</v>
      </c>
      <c r="L575" s="1" t="str">
        <f>IF(LEFT(TRIM(Raw!G575),2)="-$","-"&amp;MID(TRIM(Raw!G575),3,99),IF(LEFT(TRIM(Raw!G575),1)="$",MID(TRIM(Raw!G575),2,99),TRIM(Raw!G575)))</f>
        <v>190.30</v>
      </c>
      <c r="M575" s="1">
        <f t="shared" si="67"/>
        <v>190.3</v>
      </c>
      <c r="N575" s="10">
        <f t="shared" si="68"/>
        <v>19030</v>
      </c>
      <c r="O575" s="1" t="b">
        <f>IFERROR(IF(ISNUMBER(Raw!G575),TRUE,OR(EXACT(L575,TEXT(M575,"0.00")),EXACT(L575,TEXT(M575,"#,##0.00")))),FALSE)</f>
        <v>1</v>
      </c>
      <c r="P575" s="1" t="str">
        <f>LEN(IF(Raw!A575="","",Raw!A575))&amp;":"&amp;IF(Raw!A575="","",Raw!A575)&amp;"|"&amp;LEN(IF(Raw!B575="","",Raw!B575))&amp;":"&amp;IF(Raw!B575="","",Raw!B575)&amp;"|"&amp;LEN(IF(Raw!C575="","",Raw!C575))&amp;":"&amp;IF(Raw!C575="","",Raw!C575)&amp;"|"&amp;LEN(IF(Raw!D575="","",Raw!D575))&amp;":"&amp;IF(Raw!D575="","",Raw!D575)&amp;"|"&amp;LEN(IF(Raw!E575="","",Raw!E575))&amp;":"&amp;IF(Raw!E575="","",Raw!E575)&amp;"|"&amp;LEN(IF(Raw!F575="","",Raw!F575))&amp;":"&amp;IF(Raw!F575="","",Raw!F575)&amp;"|"&amp;LEN(IF(Raw!G575="","",Raw!G575))&amp;":"&amp;IF(Raw!G575="","",Raw!G575)</f>
        <v>6:L00569|6:T00285|10:2026-01-09|3:P-H|4:Home|4:sale|6:190.30</v>
      </c>
      <c r="Q575" s="1">
        <f>1</f>
        <v>1</v>
      </c>
      <c r="R575" s="1" t="b">
        <f>FALSE</f>
        <v>0</v>
      </c>
      <c r="S575" s="1">
        <f>1</f>
        <v>1</v>
      </c>
      <c r="T575" s="1" t="str">
        <f>IF(AND(Raw!A575="",Raw!B575="",Raw!C575="",Raw!D575="",Raw!E575="",Raw!F575="",Raw!G575=""),"UNUSED",IF(A575="","missing line ID",IF(B575="","missing transaction ID",IF(G575="",IF(C575="","missing date","invalid date"),IF(I575="","unknown product",IF(J575="","conflicting category",IF(NOT(OR(EXACT(K575,"sale"),EXACT(K575,"refund"))),"unknown event",IF(OR(N575="",NOT(O575)),"invalid amount",IF(OR(AND(K575="sale",N575&lt;=0),AND(K575="refund",N575&gt;=0)),"invalid sign","")))))))))</f>
        <v/>
      </c>
      <c r="U575" s="1" t="str">
        <f t="shared" si="69"/>
        <v>INCLUDED</v>
      </c>
      <c r="V575" s="1" t="str">
        <f t="shared" si="70"/>
        <v>2026-01</v>
      </c>
      <c r="W575" s="1">
        <f>IF(AND(U575="INCLUDED",X575&gt;0,EXACT(A575,'AI output'!A575)),1,0)</f>
        <v>1</v>
      </c>
      <c r="X575" s="1">
        <f>575</f>
        <v>575</v>
      </c>
      <c r="Y575" s="1">
        <f>IF(AND(U575="INCLUDED",W575=1),--(NOT(EXACT(A575,'AI output'!A575)))+--(NOT(EXACT(B575,'AI output'!B575)))+--(NOT(EXACT(TEXT(G575,"yyyy-mm-dd"),'AI output'!C575)))+--(NOT(EXACT(H575,'AI output'!D575)))+--(NOT(EXACT(J575,'AI output'!E575)))+--(NOT(EXACT(K575,'AI output'!F575)))+--(N575&lt;&gt;'AI output'!L575)+--(NOT('AI output'!M575)),0)</f>
        <v>0</v>
      </c>
      <c r="Z575" s="1">
        <f t="shared" si="71"/>
        <v>0</v>
      </c>
      <c r="AA575" s="1">
        <f>--EXACT(A575,"L00569")</f>
        <v>1</v>
      </c>
    </row>
    <row r="576" spans="1:27" ht="18.95" customHeight="1">
      <c r="A576" s="1" t="str">
        <f>IF(Raw!A576="","",Raw!A576)</f>
        <v>L00570</v>
      </c>
      <c r="B576" s="1" t="str">
        <f>IF(Raw!B576="","",Raw!B576)</f>
        <v>T00285</v>
      </c>
      <c r="C576" s="1" t="str">
        <f>IF(Raw!C576="","",Raw!C576)</f>
        <v>2026-01-09</v>
      </c>
      <c r="D576" s="1">
        <f t="shared" si="64"/>
        <v>2026</v>
      </c>
      <c r="E576" s="1">
        <f>IFERROR(IF(AND(LEN(C576)=10,MID(C576,5,1)="-",MID(C576,8,1)="-"),VALUE(MID(C576,6,2)),IF(AND(LEN(C576)=11,MID(C576,3,1)="-",MID(C576,7,1)="-"),MATCH(UPPER(MID(C576,4,3)),Guide!$D$7:$D$18,0),0)),0)</f>
        <v>1</v>
      </c>
      <c r="F576" s="1">
        <f t="shared" si="65"/>
        <v>9</v>
      </c>
      <c r="G576" s="9">
        <f t="shared" si="66"/>
        <v>46031</v>
      </c>
      <c r="H576" s="1" t="str">
        <f>IF(Raw!D576="","",Raw!D576)</f>
        <v>P-O</v>
      </c>
      <c r="I576" s="1" t="str">
        <f>IFERROR(IF(EXACT(H576,INDEX(Guide!$A$7:$A$9,MATCH(SUBSTITUTE(SUBSTITUTE(SUBSTITUTE(H576,"~","~~"),"*","~*"),"?","~?"),Guide!$A$7:$A$9,0))),INDEX(Guide!$B$7:$B$9,MATCH(SUBSTITUTE(SUBSTITUTE(SUBSTITUTE(H576,"~","~~"),"*","~*"),"?","~?"),Guide!$A$7:$A$9,0)),""),"")</f>
        <v>Office</v>
      </c>
      <c r="J576" s="1" t="str">
        <f>IF(TRIM(Raw!E576)="",I576,IF(UPPER(TRIM(Raw!E576))=UPPER(I576),I576,""))</f>
        <v>Office</v>
      </c>
      <c r="K576" s="1" t="str">
        <f>IF(Raw!F576="","",Raw!F576)</f>
        <v>sale</v>
      </c>
      <c r="L576" s="1" t="str">
        <f>IF(LEFT(TRIM(Raw!G576),2)="-$","-"&amp;MID(TRIM(Raw!G576),3,99),IF(LEFT(TRIM(Raw!G576),1)="$",MID(TRIM(Raw!G576),2,99),TRIM(Raw!G576)))</f>
        <v>382.08</v>
      </c>
      <c r="M576" s="1">
        <f t="shared" si="67"/>
        <v>382.08</v>
      </c>
      <c r="N576" s="10">
        <f t="shared" si="68"/>
        <v>38208</v>
      </c>
      <c r="O576" s="1" t="b">
        <f>IFERROR(IF(ISNUMBER(Raw!G576),TRUE,OR(EXACT(L576,TEXT(M576,"0.00")),EXACT(L576,TEXT(M576,"#,##0.00")))),FALSE)</f>
        <v>1</v>
      </c>
      <c r="P576" s="1" t="str">
        <f>LEN(IF(Raw!A576="","",Raw!A576))&amp;":"&amp;IF(Raw!A576="","",Raw!A576)&amp;"|"&amp;LEN(IF(Raw!B576="","",Raw!B576))&amp;":"&amp;IF(Raw!B576="","",Raw!B576)&amp;"|"&amp;LEN(IF(Raw!C576="","",Raw!C576))&amp;":"&amp;IF(Raw!C576="","",Raw!C576)&amp;"|"&amp;LEN(IF(Raw!D576="","",Raw!D576))&amp;":"&amp;IF(Raw!D576="","",Raw!D576)&amp;"|"&amp;LEN(IF(Raw!E576="","",Raw!E576))&amp;":"&amp;IF(Raw!E576="","",Raw!E576)&amp;"|"&amp;LEN(IF(Raw!F576="","",Raw!F576))&amp;":"&amp;IF(Raw!F576="","",Raw!F576)&amp;"|"&amp;LEN(IF(Raw!G576="","",Raw!G576))&amp;":"&amp;IF(Raw!G576="","",Raw!G576)</f>
        <v>6:L00570|6:T00285|10:2026-01-09|3:P-O|6:Office|4:sale|6:382.08</v>
      </c>
      <c r="Q576" s="1">
        <f>1</f>
        <v>1</v>
      </c>
      <c r="R576" s="1" t="b">
        <f>FALSE</f>
        <v>0</v>
      </c>
      <c r="S576" s="1">
        <f>1</f>
        <v>1</v>
      </c>
      <c r="T576" s="1" t="str">
        <f>IF(AND(Raw!A576="",Raw!B576="",Raw!C576="",Raw!D576="",Raw!E576="",Raw!F576="",Raw!G576=""),"UNUSED",IF(A576="","missing line ID",IF(B576="","missing transaction ID",IF(G576="",IF(C576="","missing date","invalid date"),IF(I576="","unknown product",IF(J576="","conflicting category",IF(NOT(OR(EXACT(K576,"sale"),EXACT(K576,"refund"))),"unknown event",IF(OR(N576="",NOT(O576)),"invalid amount",IF(OR(AND(K576="sale",N576&lt;=0),AND(K576="refund",N576&gt;=0)),"invalid sign","")))))))))</f>
        <v/>
      </c>
      <c r="U576" s="1" t="str">
        <f t="shared" si="69"/>
        <v>INCLUDED</v>
      </c>
      <c r="V576" s="1" t="str">
        <f t="shared" si="70"/>
        <v>2026-01</v>
      </c>
      <c r="W576" s="1">
        <f>IF(AND(U576="INCLUDED",X576&gt;0,EXACT(A576,'AI output'!A576)),1,0)</f>
        <v>1</v>
      </c>
      <c r="X576" s="1">
        <f>576</f>
        <v>576</v>
      </c>
      <c r="Y576" s="1">
        <f>IF(AND(U576="INCLUDED",W576=1),--(NOT(EXACT(A576,'AI output'!A576)))+--(NOT(EXACT(B576,'AI output'!B576)))+--(NOT(EXACT(TEXT(G576,"yyyy-mm-dd"),'AI output'!C576)))+--(NOT(EXACT(H576,'AI output'!D576)))+--(NOT(EXACT(J576,'AI output'!E576)))+--(NOT(EXACT(K576,'AI output'!F576)))+--(N576&lt;&gt;'AI output'!L576)+--(NOT('AI output'!M576)),0)</f>
        <v>0</v>
      </c>
      <c r="Z576" s="1">
        <f t="shared" si="71"/>
        <v>0</v>
      </c>
      <c r="AA576" s="1">
        <f>--EXACT(A576,"L00570")</f>
        <v>1</v>
      </c>
    </row>
    <row r="577" spans="1:27" ht="18.95" customHeight="1">
      <c r="A577" s="1" t="str">
        <f>IF(Raw!A577="","",Raw!A577)</f>
        <v>L00571</v>
      </c>
      <c r="B577" s="1" t="str">
        <f>IF(Raw!B577="","",Raw!B577)</f>
        <v>T00286</v>
      </c>
      <c r="C577" s="1" t="str">
        <f>IF(Raw!C577="","",Raw!C577)</f>
        <v>2026-01-16</v>
      </c>
      <c r="D577" s="1">
        <f t="shared" si="64"/>
        <v>2026</v>
      </c>
      <c r="E577" s="1">
        <f>IFERROR(IF(AND(LEN(C577)=10,MID(C577,5,1)="-",MID(C577,8,1)="-"),VALUE(MID(C577,6,2)),IF(AND(LEN(C577)=11,MID(C577,3,1)="-",MID(C577,7,1)="-"),MATCH(UPPER(MID(C577,4,3)),Guide!$D$7:$D$18,0),0)),0)</f>
        <v>1</v>
      </c>
      <c r="F577" s="1">
        <f t="shared" si="65"/>
        <v>16</v>
      </c>
      <c r="G577" s="9">
        <f t="shared" si="66"/>
        <v>46038</v>
      </c>
      <c r="H577" s="1" t="str">
        <f>IF(Raw!D577="","",Raw!D577)</f>
        <v>P-A</v>
      </c>
      <c r="I577" s="1" t="str">
        <f>IFERROR(IF(EXACT(H577,INDEX(Guide!$A$7:$A$9,MATCH(SUBSTITUTE(SUBSTITUTE(SUBSTITUTE(H577,"~","~~"),"*","~*"),"?","~?"),Guide!$A$7:$A$9,0))),INDEX(Guide!$B$7:$B$9,MATCH(SUBSTITUTE(SUBSTITUTE(SUBSTITUTE(H577,"~","~~"),"*","~*"),"?","~?"),Guide!$A$7:$A$9,0)),""),"")</f>
        <v>Accessories</v>
      </c>
      <c r="J577" s="1" t="str">
        <f>IF(TRIM(Raw!E577)="",I577,IF(UPPER(TRIM(Raw!E577))=UPPER(I577),I577,""))</f>
        <v>Accessories</v>
      </c>
      <c r="K577" s="1" t="str">
        <f>IF(Raw!F577="","",Raw!F577)</f>
        <v>sale</v>
      </c>
      <c r="L577" s="1" t="str">
        <f>IF(LEFT(TRIM(Raw!G577),2)="-$","-"&amp;MID(TRIM(Raw!G577),3,99),IF(LEFT(TRIM(Raw!G577),1)="$",MID(TRIM(Raw!G577),2,99),TRIM(Raw!G577)))</f>
        <v>95.89</v>
      </c>
      <c r="M577" s="1">
        <f t="shared" si="67"/>
        <v>95.89</v>
      </c>
      <c r="N577" s="10">
        <f t="shared" si="68"/>
        <v>9589</v>
      </c>
      <c r="O577" s="1" t="b">
        <f>IFERROR(IF(ISNUMBER(Raw!G577),TRUE,OR(EXACT(L577,TEXT(M577,"0.00")),EXACT(L577,TEXT(M577,"#,##0.00")))),FALSE)</f>
        <v>1</v>
      </c>
      <c r="P577" s="1" t="str">
        <f>LEN(IF(Raw!A577="","",Raw!A577))&amp;":"&amp;IF(Raw!A577="","",Raw!A577)&amp;"|"&amp;LEN(IF(Raw!B577="","",Raw!B577))&amp;":"&amp;IF(Raw!B577="","",Raw!B577)&amp;"|"&amp;LEN(IF(Raw!C577="","",Raw!C577))&amp;":"&amp;IF(Raw!C577="","",Raw!C577)&amp;"|"&amp;LEN(IF(Raw!D577="","",Raw!D577))&amp;":"&amp;IF(Raw!D577="","",Raw!D577)&amp;"|"&amp;LEN(IF(Raw!E577="","",Raw!E577))&amp;":"&amp;IF(Raw!E577="","",Raw!E577)&amp;"|"&amp;LEN(IF(Raw!F577="","",Raw!F577))&amp;":"&amp;IF(Raw!F577="","",Raw!F577)&amp;"|"&amp;LEN(IF(Raw!G577="","",Raw!G577))&amp;":"&amp;IF(Raw!G577="","",Raw!G577)</f>
        <v>6:L00571|6:T00286|10:2026-01-16|3:P-A|11:Accessories|4:sale|5:95.89</v>
      </c>
      <c r="Q577" s="1">
        <f>1</f>
        <v>1</v>
      </c>
      <c r="R577" s="1" t="b">
        <f>FALSE</f>
        <v>0</v>
      </c>
      <c r="S577" s="1">
        <f>1</f>
        <v>1</v>
      </c>
      <c r="T577" s="1" t="str">
        <f>IF(AND(Raw!A577="",Raw!B577="",Raw!C577="",Raw!D577="",Raw!E577="",Raw!F577="",Raw!G577=""),"UNUSED",IF(A577="","missing line ID",IF(B577="","missing transaction ID",IF(G577="",IF(C577="","missing date","invalid date"),IF(I577="","unknown product",IF(J577="","conflicting category",IF(NOT(OR(EXACT(K577,"sale"),EXACT(K577,"refund"))),"unknown event",IF(OR(N577="",NOT(O577)),"invalid amount",IF(OR(AND(K577="sale",N577&lt;=0),AND(K577="refund",N577&gt;=0)),"invalid sign","")))))))))</f>
        <v/>
      </c>
      <c r="U577" s="1" t="str">
        <f t="shared" si="69"/>
        <v>INCLUDED</v>
      </c>
      <c r="V577" s="1" t="str">
        <f t="shared" si="70"/>
        <v>2026-01</v>
      </c>
      <c r="W577" s="1">
        <f>IF(AND(U577="INCLUDED",X577&gt;0,EXACT(A577,'AI output'!A577)),1,0)</f>
        <v>1</v>
      </c>
      <c r="X577" s="1">
        <f>577</f>
        <v>577</v>
      </c>
      <c r="Y577" s="1">
        <f>IF(AND(U577="INCLUDED",W577=1),--(NOT(EXACT(A577,'AI output'!A577)))+--(NOT(EXACT(B577,'AI output'!B577)))+--(NOT(EXACT(TEXT(G577,"yyyy-mm-dd"),'AI output'!C577)))+--(NOT(EXACT(H577,'AI output'!D577)))+--(NOT(EXACT(J577,'AI output'!E577)))+--(NOT(EXACT(K577,'AI output'!F577)))+--(N577&lt;&gt;'AI output'!L577)+--(NOT('AI output'!M577)),0)</f>
        <v>0</v>
      </c>
      <c r="Z577" s="1">
        <f t="shared" si="71"/>
        <v>0</v>
      </c>
      <c r="AA577" s="1">
        <f>--EXACT(A577,"L00571")</f>
        <v>1</v>
      </c>
    </row>
    <row r="578" spans="1:27" ht="18.95" customHeight="1">
      <c r="A578" s="1" t="str">
        <f>IF(Raw!A578="","",Raw!A578)</f>
        <v>L00572</v>
      </c>
      <c r="B578" s="1" t="str">
        <f>IF(Raw!B578="","",Raw!B578)</f>
        <v>T00286</v>
      </c>
      <c r="C578" s="1" t="str">
        <f>IF(Raw!C578="","",Raw!C578)</f>
        <v>2026-01-16</v>
      </c>
      <c r="D578" s="1">
        <f t="shared" si="64"/>
        <v>2026</v>
      </c>
      <c r="E578" s="1">
        <f>IFERROR(IF(AND(LEN(C578)=10,MID(C578,5,1)="-",MID(C578,8,1)="-"),VALUE(MID(C578,6,2)),IF(AND(LEN(C578)=11,MID(C578,3,1)="-",MID(C578,7,1)="-"),MATCH(UPPER(MID(C578,4,3)),Guide!$D$7:$D$18,0),0)),0)</f>
        <v>1</v>
      </c>
      <c r="F578" s="1">
        <f t="shared" si="65"/>
        <v>16</v>
      </c>
      <c r="G578" s="9">
        <f t="shared" si="66"/>
        <v>46038</v>
      </c>
      <c r="H578" s="1" t="str">
        <f>IF(Raw!D578="","",Raw!D578)</f>
        <v>P-H</v>
      </c>
      <c r="I578" s="1" t="str">
        <f>IFERROR(IF(EXACT(H578,INDEX(Guide!$A$7:$A$9,MATCH(SUBSTITUTE(SUBSTITUTE(SUBSTITUTE(H578,"~","~~"),"*","~*"),"?","~?"),Guide!$A$7:$A$9,0))),INDEX(Guide!$B$7:$B$9,MATCH(SUBSTITUTE(SUBSTITUTE(SUBSTITUTE(H578,"~","~~"),"*","~*"),"?","~?"),Guide!$A$7:$A$9,0)),""),"")</f>
        <v>Home</v>
      </c>
      <c r="J578" s="1" t="str">
        <f>IF(TRIM(Raw!E578)="",I578,IF(UPPER(TRIM(Raw!E578))=UPPER(I578),I578,""))</f>
        <v>Home</v>
      </c>
      <c r="K578" s="1" t="str">
        <f>IF(Raw!F578="","",Raw!F578)</f>
        <v>sale</v>
      </c>
      <c r="L578" s="1" t="str">
        <f>IF(LEFT(TRIM(Raw!G578),2)="-$","-"&amp;MID(TRIM(Raw!G578),3,99),IF(LEFT(TRIM(Raw!G578),1)="$",MID(TRIM(Raw!G578),2,99),TRIM(Raw!G578)))</f>
        <v>288.78</v>
      </c>
      <c r="M578" s="1">
        <f t="shared" si="67"/>
        <v>288.77999999999997</v>
      </c>
      <c r="N578" s="10">
        <f t="shared" si="68"/>
        <v>28878</v>
      </c>
      <c r="O578" s="1" t="b">
        <f>IFERROR(IF(ISNUMBER(Raw!G578),TRUE,OR(EXACT(L578,TEXT(M578,"0.00")),EXACT(L578,TEXT(M578,"#,##0.00")))),FALSE)</f>
        <v>1</v>
      </c>
      <c r="P578" s="1" t="str">
        <f>LEN(IF(Raw!A578="","",Raw!A578))&amp;":"&amp;IF(Raw!A578="","",Raw!A578)&amp;"|"&amp;LEN(IF(Raw!B578="","",Raw!B578))&amp;":"&amp;IF(Raw!B578="","",Raw!B578)&amp;"|"&amp;LEN(IF(Raw!C578="","",Raw!C578))&amp;":"&amp;IF(Raw!C578="","",Raw!C578)&amp;"|"&amp;LEN(IF(Raw!D578="","",Raw!D578))&amp;":"&amp;IF(Raw!D578="","",Raw!D578)&amp;"|"&amp;LEN(IF(Raw!E578="","",Raw!E578))&amp;":"&amp;IF(Raw!E578="","",Raw!E578)&amp;"|"&amp;LEN(IF(Raw!F578="","",Raw!F578))&amp;":"&amp;IF(Raw!F578="","",Raw!F578)&amp;"|"&amp;LEN(IF(Raw!G578="","",Raw!G578))&amp;":"&amp;IF(Raw!G578="","",Raw!G578)</f>
        <v>6:L00572|6:T00286|10:2026-01-16|3:P-H|4:Home|4:sale|6:288.78</v>
      </c>
      <c r="Q578" s="1">
        <f>1</f>
        <v>1</v>
      </c>
      <c r="R578" s="1" t="b">
        <f>FALSE</f>
        <v>0</v>
      </c>
      <c r="S578" s="1">
        <f>1</f>
        <v>1</v>
      </c>
      <c r="T578" s="1" t="str">
        <f>IF(AND(Raw!A578="",Raw!B578="",Raw!C578="",Raw!D578="",Raw!E578="",Raw!F578="",Raw!G578=""),"UNUSED",IF(A578="","missing line ID",IF(B578="","missing transaction ID",IF(G578="",IF(C578="","missing date","invalid date"),IF(I578="","unknown product",IF(J578="","conflicting category",IF(NOT(OR(EXACT(K578,"sale"),EXACT(K578,"refund"))),"unknown event",IF(OR(N578="",NOT(O578)),"invalid amount",IF(OR(AND(K578="sale",N578&lt;=0),AND(K578="refund",N578&gt;=0)),"invalid sign","")))))))))</f>
        <v/>
      </c>
      <c r="U578" s="1" t="str">
        <f t="shared" si="69"/>
        <v>INCLUDED</v>
      </c>
      <c r="V578" s="1" t="str">
        <f t="shared" si="70"/>
        <v>2026-01</v>
      </c>
      <c r="W578" s="1">
        <f>IF(AND(U578="INCLUDED",X578&gt;0,EXACT(A578,'AI output'!A578)),1,0)</f>
        <v>1</v>
      </c>
      <c r="X578" s="1">
        <f>578</f>
        <v>578</v>
      </c>
      <c r="Y578" s="1">
        <f>IF(AND(U578="INCLUDED",W578=1),--(NOT(EXACT(A578,'AI output'!A578)))+--(NOT(EXACT(B578,'AI output'!B578)))+--(NOT(EXACT(TEXT(G578,"yyyy-mm-dd"),'AI output'!C578)))+--(NOT(EXACT(H578,'AI output'!D578)))+--(NOT(EXACT(J578,'AI output'!E578)))+--(NOT(EXACT(K578,'AI output'!F578)))+--(N578&lt;&gt;'AI output'!L578)+--(NOT('AI output'!M578)),0)</f>
        <v>0</v>
      </c>
      <c r="Z578" s="1">
        <f t="shared" si="71"/>
        <v>0</v>
      </c>
      <c r="AA578" s="1">
        <f>--EXACT(A578,"L00572")</f>
        <v>1</v>
      </c>
    </row>
    <row r="579" spans="1:27" ht="18.95" customHeight="1">
      <c r="A579" s="1" t="str">
        <f>IF(Raw!A579="","",Raw!A579)</f>
        <v>L00573</v>
      </c>
      <c r="B579" s="1" t="str">
        <f>IF(Raw!B579="","",Raw!B579)</f>
        <v>T00287</v>
      </c>
      <c r="C579" s="1" t="str">
        <f>IF(Raw!C579="","",Raw!C579)</f>
        <v>2026-01-23</v>
      </c>
      <c r="D579" s="1">
        <f t="shared" si="64"/>
        <v>2026</v>
      </c>
      <c r="E579" s="1">
        <f>IFERROR(IF(AND(LEN(C579)=10,MID(C579,5,1)="-",MID(C579,8,1)="-"),VALUE(MID(C579,6,2)),IF(AND(LEN(C579)=11,MID(C579,3,1)="-",MID(C579,7,1)="-"),MATCH(UPPER(MID(C579,4,3)),Guide!$D$7:$D$18,0),0)),0)</f>
        <v>1</v>
      </c>
      <c r="F579" s="1">
        <f t="shared" si="65"/>
        <v>23</v>
      </c>
      <c r="G579" s="9">
        <f t="shared" si="66"/>
        <v>46045</v>
      </c>
      <c r="H579" s="1" t="str">
        <f>IF(Raw!D579="","",Raw!D579)</f>
        <v>P-O</v>
      </c>
      <c r="I579" s="1" t="str">
        <f>IFERROR(IF(EXACT(H579,INDEX(Guide!$A$7:$A$9,MATCH(SUBSTITUTE(SUBSTITUTE(SUBSTITUTE(H579,"~","~~"),"*","~*"),"?","~?"),Guide!$A$7:$A$9,0))),INDEX(Guide!$B$7:$B$9,MATCH(SUBSTITUTE(SUBSTITUTE(SUBSTITUTE(H579,"~","~~"),"*","~*"),"?","~?"),Guide!$A$7:$A$9,0)),""),"")</f>
        <v>Office</v>
      </c>
      <c r="J579" s="1" t="str">
        <f>IF(TRIM(Raw!E579)="",I579,IF(UPPER(TRIM(Raw!E579))=UPPER(I579),I579,""))</f>
        <v>Office</v>
      </c>
      <c r="K579" s="1" t="str">
        <f>IF(Raw!F579="","",Raw!F579)</f>
        <v>sale</v>
      </c>
      <c r="L579" s="1" t="str">
        <f>IF(LEFT(TRIM(Raw!G579),2)="-$","-"&amp;MID(TRIM(Raw!G579),3,99),IF(LEFT(TRIM(Raw!G579),1)="$",MID(TRIM(Raw!G579),2,99),TRIM(Raw!G579)))</f>
        <v>483.15</v>
      </c>
      <c r="M579" s="1">
        <f t="shared" si="67"/>
        <v>483.15</v>
      </c>
      <c r="N579" s="10">
        <f t="shared" si="68"/>
        <v>48315</v>
      </c>
      <c r="O579" s="1" t="b">
        <f>IFERROR(IF(ISNUMBER(Raw!G579),TRUE,OR(EXACT(L579,TEXT(M579,"0.00")),EXACT(L579,TEXT(M579,"#,##0.00")))),FALSE)</f>
        <v>1</v>
      </c>
      <c r="P579" s="1" t="str">
        <f>LEN(IF(Raw!A579="","",Raw!A579))&amp;":"&amp;IF(Raw!A579="","",Raw!A579)&amp;"|"&amp;LEN(IF(Raw!B579="","",Raw!B579))&amp;":"&amp;IF(Raw!B579="","",Raw!B579)&amp;"|"&amp;LEN(IF(Raw!C579="","",Raw!C579))&amp;":"&amp;IF(Raw!C579="","",Raw!C579)&amp;"|"&amp;LEN(IF(Raw!D579="","",Raw!D579))&amp;":"&amp;IF(Raw!D579="","",Raw!D579)&amp;"|"&amp;LEN(IF(Raw!E579="","",Raw!E579))&amp;":"&amp;IF(Raw!E579="","",Raw!E579)&amp;"|"&amp;LEN(IF(Raw!F579="","",Raw!F579))&amp;":"&amp;IF(Raw!F579="","",Raw!F579)&amp;"|"&amp;LEN(IF(Raw!G579="","",Raw!G579))&amp;":"&amp;IF(Raw!G579="","",Raw!G579)</f>
        <v>6:L00573|6:T00287|10:2026-01-23|3:P-O|6:Office|4:sale|6:483.15</v>
      </c>
      <c r="Q579" s="1">
        <f>1</f>
        <v>1</v>
      </c>
      <c r="R579" s="1" t="b">
        <f>FALSE</f>
        <v>0</v>
      </c>
      <c r="S579" s="1">
        <f>1</f>
        <v>1</v>
      </c>
      <c r="T579" s="1" t="str">
        <f>IF(AND(Raw!A579="",Raw!B579="",Raw!C579="",Raw!D579="",Raw!E579="",Raw!F579="",Raw!G579=""),"UNUSED",IF(A579="","missing line ID",IF(B579="","missing transaction ID",IF(G579="",IF(C579="","missing date","invalid date"),IF(I579="","unknown product",IF(J579="","conflicting category",IF(NOT(OR(EXACT(K579,"sale"),EXACT(K579,"refund"))),"unknown event",IF(OR(N579="",NOT(O579)),"invalid amount",IF(OR(AND(K579="sale",N579&lt;=0),AND(K579="refund",N579&gt;=0)),"invalid sign","")))))))))</f>
        <v/>
      </c>
      <c r="U579" s="1" t="str">
        <f t="shared" si="69"/>
        <v>INCLUDED</v>
      </c>
      <c r="V579" s="1" t="str">
        <f t="shared" si="70"/>
        <v>2026-01</v>
      </c>
      <c r="W579" s="1">
        <f>IF(AND(U579="INCLUDED",X579&gt;0,EXACT(A579,'AI output'!A579)),1,0)</f>
        <v>1</v>
      </c>
      <c r="X579" s="1">
        <f>579</f>
        <v>579</v>
      </c>
      <c r="Y579" s="1">
        <f>IF(AND(U579="INCLUDED",W579=1),--(NOT(EXACT(A579,'AI output'!A579)))+--(NOT(EXACT(B579,'AI output'!B579)))+--(NOT(EXACT(TEXT(G579,"yyyy-mm-dd"),'AI output'!C579)))+--(NOT(EXACT(H579,'AI output'!D579)))+--(NOT(EXACT(J579,'AI output'!E579)))+--(NOT(EXACT(K579,'AI output'!F579)))+--(N579&lt;&gt;'AI output'!L579)+--(NOT('AI output'!M579)),0)</f>
        <v>0</v>
      </c>
      <c r="Z579" s="1">
        <f t="shared" si="71"/>
        <v>0</v>
      </c>
      <c r="AA579" s="1">
        <f>--EXACT(A579,"L00573")</f>
        <v>1</v>
      </c>
    </row>
    <row r="580" spans="1:27" ht="18.95" customHeight="1">
      <c r="A580" s="1" t="str">
        <f>IF(Raw!A580="","",Raw!A580)</f>
        <v>L00574</v>
      </c>
      <c r="B580" s="1" t="str">
        <f>IF(Raw!B580="","",Raw!B580)</f>
        <v>T00287</v>
      </c>
      <c r="C580" s="1" t="str">
        <f>IF(Raw!C580="","",Raw!C580)</f>
        <v>2026-01-23</v>
      </c>
      <c r="D580" s="1">
        <f t="shared" si="64"/>
        <v>2026</v>
      </c>
      <c r="E580" s="1">
        <f>IFERROR(IF(AND(LEN(C580)=10,MID(C580,5,1)="-",MID(C580,8,1)="-"),VALUE(MID(C580,6,2)),IF(AND(LEN(C580)=11,MID(C580,3,1)="-",MID(C580,7,1)="-"),MATCH(UPPER(MID(C580,4,3)),Guide!$D$7:$D$18,0),0)),0)</f>
        <v>1</v>
      </c>
      <c r="F580" s="1">
        <f t="shared" si="65"/>
        <v>23</v>
      </c>
      <c r="G580" s="9">
        <f t="shared" si="66"/>
        <v>46045</v>
      </c>
      <c r="H580" s="1" t="str">
        <f>IF(Raw!D580="","",Raw!D580)</f>
        <v>P-A</v>
      </c>
      <c r="I580" s="1" t="str">
        <f>IFERROR(IF(EXACT(H580,INDEX(Guide!$A$7:$A$9,MATCH(SUBSTITUTE(SUBSTITUTE(SUBSTITUTE(H580,"~","~~"),"*","~*"),"?","~?"),Guide!$A$7:$A$9,0))),INDEX(Guide!$B$7:$B$9,MATCH(SUBSTITUTE(SUBSTITUTE(SUBSTITUTE(H580,"~","~~"),"*","~*"),"?","~?"),Guide!$A$7:$A$9,0)),""),"")</f>
        <v>Accessories</v>
      </c>
      <c r="J580" s="1" t="str">
        <f>IF(TRIM(Raw!E580)="",I580,IF(UPPER(TRIM(Raw!E580))=UPPER(I580),I580,""))</f>
        <v>Accessories</v>
      </c>
      <c r="K580" s="1" t="str">
        <f>IF(Raw!F580="","",Raw!F580)</f>
        <v>sale</v>
      </c>
      <c r="L580" s="1" t="str">
        <f>IF(LEFT(TRIM(Raw!G580),2)="-$","-"&amp;MID(TRIM(Raw!G580),3,99),IF(LEFT(TRIM(Raw!G580),1)="$",MID(TRIM(Raw!G580),2,99),TRIM(Raw!G580)))</f>
        <v>194.00</v>
      </c>
      <c r="M580" s="1">
        <f t="shared" si="67"/>
        <v>194</v>
      </c>
      <c r="N580" s="10">
        <f t="shared" si="68"/>
        <v>19400</v>
      </c>
      <c r="O580" s="1" t="b">
        <f>IFERROR(IF(ISNUMBER(Raw!G580),TRUE,OR(EXACT(L580,TEXT(M580,"0.00")),EXACT(L580,TEXT(M580,"#,##0.00")))),FALSE)</f>
        <v>1</v>
      </c>
      <c r="P580" s="1" t="str">
        <f>LEN(IF(Raw!A580="","",Raw!A580))&amp;":"&amp;IF(Raw!A580="","",Raw!A580)&amp;"|"&amp;LEN(IF(Raw!B580="","",Raw!B580))&amp;":"&amp;IF(Raw!B580="","",Raw!B580)&amp;"|"&amp;LEN(IF(Raw!C580="","",Raw!C580))&amp;":"&amp;IF(Raw!C580="","",Raw!C580)&amp;"|"&amp;LEN(IF(Raw!D580="","",Raw!D580))&amp;":"&amp;IF(Raw!D580="","",Raw!D580)&amp;"|"&amp;LEN(IF(Raw!E580="","",Raw!E580))&amp;":"&amp;IF(Raw!E580="","",Raw!E580)&amp;"|"&amp;LEN(IF(Raw!F580="","",Raw!F580))&amp;":"&amp;IF(Raw!F580="","",Raw!F580)&amp;"|"&amp;LEN(IF(Raw!G580="","",Raw!G580))&amp;":"&amp;IF(Raw!G580="","",Raw!G580)</f>
        <v>6:L00574|6:T00287|10:2026-01-23|3:P-A|11:Accessories|4:sale|6:194.00</v>
      </c>
      <c r="Q580" s="1">
        <f>1</f>
        <v>1</v>
      </c>
      <c r="R580" s="1" t="b">
        <f>FALSE</f>
        <v>0</v>
      </c>
      <c r="S580" s="1">
        <f>1</f>
        <v>1</v>
      </c>
      <c r="T580" s="1" t="str">
        <f>IF(AND(Raw!A580="",Raw!B580="",Raw!C580="",Raw!D580="",Raw!E580="",Raw!F580="",Raw!G580=""),"UNUSED",IF(A580="","missing line ID",IF(B580="","missing transaction ID",IF(G580="",IF(C580="","missing date","invalid date"),IF(I580="","unknown product",IF(J580="","conflicting category",IF(NOT(OR(EXACT(K580,"sale"),EXACT(K580,"refund"))),"unknown event",IF(OR(N580="",NOT(O580)),"invalid amount",IF(OR(AND(K580="sale",N580&lt;=0),AND(K580="refund",N580&gt;=0)),"invalid sign","")))))))))</f>
        <v/>
      </c>
      <c r="U580" s="1" t="str">
        <f t="shared" si="69"/>
        <v>INCLUDED</v>
      </c>
      <c r="V580" s="1" t="str">
        <f t="shared" si="70"/>
        <v>2026-01</v>
      </c>
      <c r="W580" s="1">
        <f>IF(AND(U580="INCLUDED",X580&gt;0,EXACT(A580,'AI output'!A580)),1,0)</f>
        <v>1</v>
      </c>
      <c r="X580" s="1">
        <f>580</f>
        <v>580</v>
      </c>
      <c r="Y580" s="1">
        <f>IF(AND(U580="INCLUDED",W580=1),--(NOT(EXACT(A580,'AI output'!A580)))+--(NOT(EXACT(B580,'AI output'!B580)))+--(NOT(EXACT(TEXT(G580,"yyyy-mm-dd"),'AI output'!C580)))+--(NOT(EXACT(H580,'AI output'!D580)))+--(NOT(EXACT(J580,'AI output'!E580)))+--(NOT(EXACT(K580,'AI output'!F580)))+--(N580&lt;&gt;'AI output'!L580)+--(NOT('AI output'!M580)),0)</f>
        <v>0</v>
      </c>
      <c r="Z580" s="1">
        <f t="shared" si="71"/>
        <v>0</v>
      </c>
      <c r="AA580" s="1">
        <f>--EXACT(A580,"L00574")</f>
        <v>1</v>
      </c>
    </row>
    <row r="581" spans="1:27" ht="18.95" customHeight="1">
      <c r="A581" s="1" t="str">
        <f>IF(Raw!A581="","",Raw!A581)</f>
        <v>L00575</v>
      </c>
      <c r="B581" s="1" t="str">
        <f>IF(Raw!B581="","",Raw!B581)</f>
        <v>T00288</v>
      </c>
      <c r="C581" s="1" t="str">
        <f>IF(Raw!C581="","",Raw!C581)</f>
        <v>2026-01-30</v>
      </c>
      <c r="D581" s="1">
        <f t="shared" si="64"/>
        <v>2026</v>
      </c>
      <c r="E581" s="1">
        <f>IFERROR(IF(AND(LEN(C581)=10,MID(C581,5,1)="-",MID(C581,8,1)="-"),VALUE(MID(C581,6,2)),IF(AND(LEN(C581)=11,MID(C581,3,1)="-",MID(C581,7,1)="-"),MATCH(UPPER(MID(C581,4,3)),Guide!$D$7:$D$18,0),0)),0)</f>
        <v>1</v>
      </c>
      <c r="F581" s="1">
        <f t="shared" si="65"/>
        <v>30</v>
      </c>
      <c r="G581" s="9">
        <f t="shared" si="66"/>
        <v>46052</v>
      </c>
      <c r="H581" s="1" t="str">
        <f>IF(Raw!D581="","",Raw!D581)</f>
        <v>P-H</v>
      </c>
      <c r="I581" s="1" t="str">
        <f>IFERROR(IF(EXACT(H581,INDEX(Guide!$A$7:$A$9,MATCH(SUBSTITUTE(SUBSTITUTE(SUBSTITUTE(H581,"~","~~"),"*","~*"),"?","~?"),Guide!$A$7:$A$9,0))),INDEX(Guide!$B$7:$B$9,MATCH(SUBSTITUTE(SUBSTITUTE(SUBSTITUTE(H581,"~","~~"),"*","~*"),"?","~?"),Guide!$A$7:$A$9,0)),""),"")</f>
        <v>Home</v>
      </c>
      <c r="J581" s="1" t="str">
        <f>IF(TRIM(Raw!E581)="",I581,IF(UPPER(TRIM(Raw!E581))=UPPER(I581),I581,""))</f>
        <v>Home</v>
      </c>
      <c r="K581" s="1" t="str">
        <f>IF(Raw!F581="","",Raw!F581)</f>
        <v>sale</v>
      </c>
      <c r="L581" s="1" t="str">
        <f>IF(LEFT(TRIM(Raw!G581),2)="-$","-"&amp;MID(TRIM(Raw!G581),3,99),IF(LEFT(TRIM(Raw!G581),1)="$",MID(TRIM(Raw!G581),2,99),TRIM(Raw!G581)))</f>
        <v>389.48</v>
      </c>
      <c r="M581" s="1">
        <f t="shared" si="67"/>
        <v>389.48</v>
      </c>
      <c r="N581" s="10">
        <f t="shared" si="68"/>
        <v>38948</v>
      </c>
      <c r="O581" s="1" t="b">
        <f>IFERROR(IF(ISNUMBER(Raw!G581),TRUE,OR(EXACT(L581,TEXT(M581,"0.00")),EXACT(L581,TEXT(M581,"#,##0.00")))),FALSE)</f>
        <v>1</v>
      </c>
      <c r="P581" s="1" t="str">
        <f>LEN(IF(Raw!A581="","",Raw!A581))&amp;":"&amp;IF(Raw!A581="","",Raw!A581)&amp;"|"&amp;LEN(IF(Raw!B581="","",Raw!B581))&amp;":"&amp;IF(Raw!B581="","",Raw!B581)&amp;"|"&amp;LEN(IF(Raw!C581="","",Raw!C581))&amp;":"&amp;IF(Raw!C581="","",Raw!C581)&amp;"|"&amp;LEN(IF(Raw!D581="","",Raw!D581))&amp;":"&amp;IF(Raw!D581="","",Raw!D581)&amp;"|"&amp;LEN(IF(Raw!E581="","",Raw!E581))&amp;":"&amp;IF(Raw!E581="","",Raw!E581)&amp;"|"&amp;LEN(IF(Raw!F581="","",Raw!F581))&amp;":"&amp;IF(Raw!F581="","",Raw!F581)&amp;"|"&amp;LEN(IF(Raw!G581="","",Raw!G581))&amp;":"&amp;IF(Raw!G581="","",Raw!G581)</f>
        <v>6:L00575|6:T00288|10:2026-01-30|3:P-H|4:Home|4:sale|6:389.48</v>
      </c>
      <c r="Q581" s="1">
        <f>1</f>
        <v>1</v>
      </c>
      <c r="R581" s="1" t="b">
        <f>FALSE</f>
        <v>0</v>
      </c>
      <c r="S581" s="1">
        <f>1</f>
        <v>1</v>
      </c>
      <c r="T581" s="1" t="str">
        <f>IF(AND(Raw!A581="",Raw!B581="",Raw!C581="",Raw!D581="",Raw!E581="",Raw!F581="",Raw!G581=""),"UNUSED",IF(A581="","missing line ID",IF(B581="","missing transaction ID",IF(G581="",IF(C581="","missing date","invalid date"),IF(I581="","unknown product",IF(J581="","conflicting category",IF(NOT(OR(EXACT(K581,"sale"),EXACT(K581,"refund"))),"unknown event",IF(OR(N581="",NOT(O581)),"invalid amount",IF(OR(AND(K581="sale",N581&lt;=0),AND(K581="refund",N581&gt;=0)),"invalid sign","")))))))))</f>
        <v/>
      </c>
      <c r="U581" s="1" t="str">
        <f t="shared" si="69"/>
        <v>INCLUDED</v>
      </c>
      <c r="V581" s="1" t="str">
        <f t="shared" si="70"/>
        <v>2026-01</v>
      </c>
      <c r="W581" s="1">
        <f>IF(AND(U581="INCLUDED",X581&gt;0,EXACT(A581,'AI output'!A581)),1,0)</f>
        <v>1</v>
      </c>
      <c r="X581" s="1">
        <f>581</f>
        <v>581</v>
      </c>
      <c r="Y581" s="1">
        <f>IF(AND(U581="INCLUDED",W581=1),--(NOT(EXACT(A581,'AI output'!A581)))+--(NOT(EXACT(B581,'AI output'!B581)))+--(NOT(EXACT(TEXT(G581,"yyyy-mm-dd"),'AI output'!C581)))+--(NOT(EXACT(H581,'AI output'!D581)))+--(NOT(EXACT(J581,'AI output'!E581)))+--(NOT(EXACT(K581,'AI output'!F581)))+--(N581&lt;&gt;'AI output'!L581)+--(NOT('AI output'!M581)),0)</f>
        <v>0</v>
      </c>
      <c r="Z581" s="1">
        <f t="shared" si="71"/>
        <v>0</v>
      </c>
      <c r="AA581" s="1">
        <f>--EXACT(A581,"L00575")</f>
        <v>1</v>
      </c>
    </row>
    <row r="582" spans="1:27" ht="18.95" customHeight="1">
      <c r="A582" s="1" t="str">
        <f>IF(Raw!A582="","",Raw!A582)</f>
        <v>L00576</v>
      </c>
      <c r="B582" s="1" t="str">
        <f>IF(Raw!B582="","",Raw!B582)</f>
        <v>T00288</v>
      </c>
      <c r="C582" s="1" t="str">
        <f>IF(Raw!C582="","",Raw!C582)</f>
        <v>2026-01-30</v>
      </c>
      <c r="D582" s="1">
        <f t="shared" si="64"/>
        <v>2026</v>
      </c>
      <c r="E582" s="1">
        <f>IFERROR(IF(AND(LEN(C582)=10,MID(C582,5,1)="-",MID(C582,8,1)="-"),VALUE(MID(C582,6,2)),IF(AND(LEN(C582)=11,MID(C582,3,1)="-",MID(C582,7,1)="-"),MATCH(UPPER(MID(C582,4,3)),Guide!$D$7:$D$18,0),0)),0)</f>
        <v>1</v>
      </c>
      <c r="F582" s="1">
        <f t="shared" si="65"/>
        <v>30</v>
      </c>
      <c r="G582" s="9">
        <f t="shared" si="66"/>
        <v>46052</v>
      </c>
      <c r="H582" s="1" t="str">
        <f>IF(Raw!D582="","",Raw!D582)</f>
        <v>P-O</v>
      </c>
      <c r="I582" s="1" t="str">
        <f>IFERROR(IF(EXACT(H582,INDEX(Guide!$A$7:$A$9,MATCH(SUBSTITUTE(SUBSTITUTE(SUBSTITUTE(H582,"~","~~"),"*","~*"),"?","~?"),Guide!$A$7:$A$9,0))),INDEX(Guide!$B$7:$B$9,MATCH(SUBSTITUTE(SUBSTITUTE(SUBSTITUTE(H582,"~","~~"),"*","~*"),"?","~?"),Guide!$A$7:$A$9,0)),""),"")</f>
        <v>Office</v>
      </c>
      <c r="J582" s="1" t="str">
        <f>IF(TRIM(Raw!E582)="",I582,IF(UPPER(TRIM(Raw!E582))=UPPER(I582),I582,""))</f>
        <v>Office</v>
      </c>
      <c r="K582" s="1" t="str">
        <f>IF(Raw!F582="","",Raw!F582)</f>
        <v>refund</v>
      </c>
      <c r="L582" s="1" t="str">
        <f>IF(LEFT(TRIM(Raw!G582),2)="-$","-"&amp;MID(TRIM(Raw!G582),3,99),IF(LEFT(TRIM(Raw!G582),1)="$",MID(TRIM(Raw!G582),2,99),TRIM(Raw!G582)))</f>
        <v>-97.74</v>
      </c>
      <c r="M582" s="1">
        <f t="shared" si="67"/>
        <v>-97.74</v>
      </c>
      <c r="N582" s="10">
        <f t="shared" si="68"/>
        <v>-9774</v>
      </c>
      <c r="O582" s="1" t="b">
        <f>IFERROR(IF(ISNUMBER(Raw!G582),TRUE,OR(EXACT(L582,TEXT(M582,"0.00")),EXACT(L582,TEXT(M582,"#,##0.00")))),FALSE)</f>
        <v>1</v>
      </c>
      <c r="P582" s="1" t="str">
        <f>LEN(IF(Raw!A582="","",Raw!A582))&amp;":"&amp;IF(Raw!A582="","",Raw!A582)&amp;"|"&amp;LEN(IF(Raw!B582="","",Raw!B582))&amp;":"&amp;IF(Raw!B582="","",Raw!B582)&amp;"|"&amp;LEN(IF(Raw!C582="","",Raw!C582))&amp;":"&amp;IF(Raw!C582="","",Raw!C582)&amp;"|"&amp;LEN(IF(Raw!D582="","",Raw!D582))&amp;":"&amp;IF(Raw!D582="","",Raw!D582)&amp;"|"&amp;LEN(IF(Raw!E582="","",Raw!E582))&amp;":"&amp;IF(Raw!E582="","",Raw!E582)&amp;"|"&amp;LEN(IF(Raw!F582="","",Raw!F582))&amp;":"&amp;IF(Raw!F582="","",Raw!F582)&amp;"|"&amp;LEN(IF(Raw!G582="","",Raw!G582))&amp;":"&amp;IF(Raw!G582="","",Raw!G582)</f>
        <v>6:L00576|6:T00288|10:2026-01-30|3:P-O|6:Office|6:refund|6:-97.74</v>
      </c>
      <c r="Q582" s="1">
        <f>1</f>
        <v>1</v>
      </c>
      <c r="R582" s="1" t="b">
        <f>FALSE</f>
        <v>0</v>
      </c>
      <c r="S582" s="1">
        <f>1</f>
        <v>1</v>
      </c>
      <c r="T582" s="1" t="str">
        <f>IF(AND(Raw!A582="",Raw!B582="",Raw!C582="",Raw!D582="",Raw!E582="",Raw!F582="",Raw!G582=""),"UNUSED",IF(A582="","missing line ID",IF(B582="","missing transaction ID",IF(G582="",IF(C582="","missing date","invalid date"),IF(I582="","unknown product",IF(J582="","conflicting category",IF(NOT(OR(EXACT(K582,"sale"),EXACT(K582,"refund"))),"unknown event",IF(OR(N582="",NOT(O582)),"invalid amount",IF(OR(AND(K582="sale",N582&lt;=0),AND(K582="refund",N582&gt;=0)),"invalid sign","")))))))))</f>
        <v/>
      </c>
      <c r="U582" s="1" t="str">
        <f t="shared" si="69"/>
        <v>INCLUDED</v>
      </c>
      <c r="V582" s="1" t="str">
        <f t="shared" si="70"/>
        <v>2026-01</v>
      </c>
      <c r="W582" s="1">
        <f>IF(AND(U582="INCLUDED",X582&gt;0,EXACT(A582,'AI output'!A582)),1,0)</f>
        <v>1</v>
      </c>
      <c r="X582" s="1">
        <f>582</f>
        <v>582</v>
      </c>
      <c r="Y582" s="1">
        <f>IF(AND(U582="INCLUDED",W582=1),--(NOT(EXACT(A582,'AI output'!A582)))+--(NOT(EXACT(B582,'AI output'!B582)))+--(NOT(EXACT(TEXT(G582,"yyyy-mm-dd"),'AI output'!C582)))+--(NOT(EXACT(H582,'AI output'!D582)))+--(NOT(EXACT(J582,'AI output'!E582)))+--(NOT(EXACT(K582,'AI output'!F582)))+--(N582&lt;&gt;'AI output'!L582)+--(NOT('AI output'!M582)),0)</f>
        <v>0</v>
      </c>
      <c r="Z582" s="1">
        <f t="shared" si="71"/>
        <v>0</v>
      </c>
      <c r="AA582" s="1">
        <f>--EXACT(A582,"L00576")</f>
        <v>1</v>
      </c>
    </row>
    <row r="583" spans="1:27" ht="18.95" customHeight="1">
      <c r="A583" s="1" t="str">
        <f>IF(Raw!A583="","",Raw!A583)</f>
        <v>L00577</v>
      </c>
      <c r="B583" s="1" t="str">
        <f>IF(Raw!B583="","",Raw!B583)</f>
        <v>T00289</v>
      </c>
      <c r="C583" s="1" t="str">
        <f>IF(Raw!C583="","",Raw!C583)</f>
        <v>2026-02-06</v>
      </c>
      <c r="D583" s="1">
        <f t="shared" ref="D583:D646" si="72">IFERROR(IF(AND(LEN(C583)=10,MID(C583,5,1)="-",MID(C583,8,1)="-"),VALUE(LEFT(C583,4)),IF(AND(LEN(C583)=11,MID(C583,3,1)="-",MID(C583,7,1)="-"),VALUE(RIGHT(C583,4)),0)),0)</f>
        <v>2026</v>
      </c>
      <c r="E583" s="1">
        <f>IFERROR(IF(AND(LEN(C583)=10,MID(C583,5,1)="-",MID(C583,8,1)="-"),VALUE(MID(C583,6,2)),IF(AND(LEN(C583)=11,MID(C583,3,1)="-",MID(C583,7,1)="-"),MATCH(UPPER(MID(C583,4,3)),Guide!$D$7:$D$18,0),0)),0)</f>
        <v>2</v>
      </c>
      <c r="F583" s="1">
        <f t="shared" ref="F583:F646" si="73">IFERROR(IF(AND(LEN(C583)=10,MID(C583,5,1)="-",MID(C583,8,1)="-"),VALUE(RIGHT(C583,2)),IF(AND(LEN(C583)=11,MID(C583,3,1)="-",MID(C583,7,1)="-"),VALUE(LEFT(C583,2)),0)),0)</f>
        <v>6</v>
      </c>
      <c r="G583" s="9">
        <f t="shared" ref="G583:G646" si="74">IFERROR(IF(AND(D583&gt;=1900,D583&lt;=9999,YEAR(DATE(D583,E583,F583))=D583,MONTH(DATE(D583,E583,F583))=E583,DAY(DATE(D583,E583,F583))=F583),DATE(D583,E583,F583),""),"")</f>
        <v>46059</v>
      </c>
      <c r="H583" s="1" t="str">
        <f>IF(Raw!D583="","",Raw!D583)</f>
        <v>P-A</v>
      </c>
      <c r="I583" s="1" t="str">
        <f>IFERROR(IF(EXACT(H583,INDEX(Guide!$A$7:$A$9,MATCH(SUBSTITUTE(SUBSTITUTE(SUBSTITUTE(H583,"~","~~"),"*","~*"),"?","~?"),Guide!$A$7:$A$9,0))),INDEX(Guide!$B$7:$B$9,MATCH(SUBSTITUTE(SUBSTITUTE(SUBSTITUTE(H583,"~","~~"),"*","~*"),"?","~?"),Guide!$A$7:$A$9,0)),""),"")</f>
        <v>Accessories</v>
      </c>
      <c r="J583" s="1" t="str">
        <f>IF(TRIM(Raw!E583)="",I583,IF(UPPER(TRIM(Raw!E583))=UPPER(I583),I583,""))</f>
        <v>Accessories</v>
      </c>
      <c r="K583" s="1" t="str">
        <f>IF(Raw!F583="","",Raw!F583)</f>
        <v>sale</v>
      </c>
      <c r="L583" s="1" t="str">
        <f>IF(LEFT(TRIM(Raw!G583),2)="-$","-"&amp;MID(TRIM(Raw!G583),3,99),IF(LEFT(TRIM(Raw!G583),1)="$",MID(TRIM(Raw!G583),2,99),TRIM(Raw!G583)))</f>
        <v>294.33</v>
      </c>
      <c r="M583" s="1">
        <f t="shared" ref="M583:M646" si="75">IFERROR(VALUE(L583),"")</f>
        <v>294.33</v>
      </c>
      <c r="N583" s="10">
        <f t="shared" ref="N583:N646" si="76">IF(AND(ISNUMBER(M583),ABS(M583*100-ROUND(M583*100,0))&lt;0.0000001),ROUND(M583*100,0),"")</f>
        <v>29433</v>
      </c>
      <c r="O583" s="1" t="b">
        <f>IFERROR(IF(ISNUMBER(Raw!G583),TRUE,OR(EXACT(L583,TEXT(M583,"0.00")),EXACT(L583,TEXT(M583,"#,##0.00")))),FALSE)</f>
        <v>1</v>
      </c>
      <c r="P583" s="1" t="str">
        <f>LEN(IF(Raw!A583="","",Raw!A583))&amp;":"&amp;IF(Raw!A583="","",Raw!A583)&amp;"|"&amp;LEN(IF(Raw!B583="","",Raw!B583))&amp;":"&amp;IF(Raw!B583="","",Raw!B583)&amp;"|"&amp;LEN(IF(Raw!C583="","",Raw!C583))&amp;":"&amp;IF(Raw!C583="","",Raw!C583)&amp;"|"&amp;LEN(IF(Raw!D583="","",Raw!D583))&amp;":"&amp;IF(Raw!D583="","",Raw!D583)&amp;"|"&amp;LEN(IF(Raw!E583="","",Raw!E583))&amp;":"&amp;IF(Raw!E583="","",Raw!E583)&amp;"|"&amp;LEN(IF(Raw!F583="","",Raw!F583))&amp;":"&amp;IF(Raw!F583="","",Raw!F583)&amp;"|"&amp;LEN(IF(Raw!G583="","",Raw!G583))&amp;":"&amp;IF(Raw!G583="","",Raw!G583)</f>
        <v>6:L00577|6:T00289|10:2026-02-06|3:P-A|11:Accessories|4:sale|6:294.33</v>
      </c>
      <c r="Q583" s="1">
        <f>1</f>
        <v>1</v>
      </c>
      <c r="R583" s="1" t="b">
        <f>FALSE</f>
        <v>0</v>
      </c>
      <c r="S583" s="1">
        <f>1</f>
        <v>1</v>
      </c>
      <c r="T583" s="1" t="str">
        <f>IF(AND(Raw!A583="",Raw!B583="",Raw!C583="",Raw!D583="",Raw!E583="",Raw!F583="",Raw!G583=""),"UNUSED",IF(A583="","missing line ID",IF(B583="","missing transaction ID",IF(G583="",IF(C583="","missing date","invalid date"),IF(I583="","unknown product",IF(J583="","conflicting category",IF(NOT(OR(EXACT(K583,"sale"),EXACT(K583,"refund"))),"unknown event",IF(OR(N583="",NOT(O583)),"invalid amount",IF(OR(AND(K583="sale",N583&lt;=0),AND(K583="refund",N583&gt;=0)),"invalid sign","")))))))))</f>
        <v/>
      </c>
      <c r="U583" s="1" t="str">
        <f t="shared" ref="U583:U646" si="77">IF(T583="UNUSED","UNUSED",IF(R583,"QUARANTINE",IF(S583&gt;1,"DUPLICATE",IF(T583&lt;&gt;"","QUARANTINE","INCLUDED"))))</f>
        <v>INCLUDED</v>
      </c>
      <c r="V583" s="1" t="str">
        <f t="shared" ref="V583:V646" si="78">IF(G583="","",TEXT(G583,"yyyy-mm"))</f>
        <v>2026-02</v>
      </c>
      <c r="W583" s="1">
        <f>IF(AND(U583="INCLUDED",X583&gt;0,EXACT(A583,'AI output'!A583)),1,0)</f>
        <v>1</v>
      </c>
      <c r="X583" s="1">
        <f>583</f>
        <v>583</v>
      </c>
      <c r="Y583" s="1">
        <f>IF(AND(U583="INCLUDED",W583=1),--(NOT(EXACT(A583,'AI output'!A583)))+--(NOT(EXACT(B583,'AI output'!B583)))+--(NOT(EXACT(TEXT(G583,"yyyy-mm-dd"),'AI output'!C583)))+--(NOT(EXACT(H583,'AI output'!D583)))+--(NOT(EXACT(J583,'AI output'!E583)))+--(NOT(EXACT(K583,'AI output'!F583)))+--(N583&lt;&gt;'AI output'!L583)+--(NOT('AI output'!M583)),0)</f>
        <v>0</v>
      </c>
      <c r="Z583" s="1">
        <f t="shared" ref="Z583:Z646" si="79">IF(U583="INCLUDED",IF(OR(W583&lt;&gt;1,Y583&lt;&gt;0),1,0),0)</f>
        <v>0</v>
      </c>
      <c r="AA583" s="1">
        <f>--EXACT(A583,"L00577")</f>
        <v>1</v>
      </c>
    </row>
    <row r="584" spans="1:27" ht="18.95" customHeight="1">
      <c r="A584" s="1" t="str">
        <f>IF(Raw!A584="","",Raw!A584)</f>
        <v>L00578</v>
      </c>
      <c r="B584" s="1" t="str">
        <f>IF(Raw!B584="","",Raw!B584)</f>
        <v>T00289</v>
      </c>
      <c r="C584" s="1" t="str">
        <f>IF(Raw!C584="","",Raw!C584)</f>
        <v>2026-02-06</v>
      </c>
      <c r="D584" s="1">
        <f t="shared" si="72"/>
        <v>2026</v>
      </c>
      <c r="E584" s="1">
        <f>IFERROR(IF(AND(LEN(C584)=10,MID(C584,5,1)="-",MID(C584,8,1)="-"),VALUE(MID(C584,6,2)),IF(AND(LEN(C584)=11,MID(C584,3,1)="-",MID(C584,7,1)="-"),MATCH(UPPER(MID(C584,4,3)),Guide!$D$7:$D$18,0),0)),0)</f>
        <v>2</v>
      </c>
      <c r="F584" s="1">
        <f t="shared" si="73"/>
        <v>6</v>
      </c>
      <c r="G584" s="9">
        <f t="shared" si="74"/>
        <v>46059</v>
      </c>
      <c r="H584" s="1" t="str">
        <f>IF(Raw!D584="","",Raw!D584)</f>
        <v>P-H</v>
      </c>
      <c r="I584" s="1" t="str">
        <f>IFERROR(IF(EXACT(H584,INDEX(Guide!$A$7:$A$9,MATCH(SUBSTITUTE(SUBSTITUTE(SUBSTITUTE(H584,"~","~~"),"*","~*"),"?","~?"),Guide!$A$7:$A$9,0))),INDEX(Guide!$B$7:$B$9,MATCH(SUBSTITUTE(SUBSTITUTE(SUBSTITUTE(H584,"~","~~"),"*","~*"),"?","~?"),Guide!$A$7:$A$9,0)),""),"")</f>
        <v>Home</v>
      </c>
      <c r="J584" s="1" t="str">
        <f>IF(TRIM(Raw!E584)="",I584,IF(UPPER(TRIM(Raw!E584))=UPPER(I584),I584,""))</f>
        <v>Home</v>
      </c>
      <c r="K584" s="1" t="str">
        <f>IF(Raw!F584="","",Raw!F584)</f>
        <v>sale</v>
      </c>
      <c r="L584" s="1" t="str">
        <f>IF(LEFT(TRIM(Raw!G584),2)="-$","-"&amp;MID(TRIM(Raw!G584),3,99),IF(LEFT(TRIM(Raw!G584),1)="$",MID(TRIM(Raw!G584),2,99),TRIM(Raw!G584)))</f>
        <v>492.40</v>
      </c>
      <c r="M584" s="1">
        <f t="shared" si="75"/>
        <v>492.4</v>
      </c>
      <c r="N584" s="10">
        <f t="shared" si="76"/>
        <v>49240</v>
      </c>
      <c r="O584" s="1" t="b">
        <f>IFERROR(IF(ISNUMBER(Raw!G584),TRUE,OR(EXACT(L584,TEXT(M584,"0.00")),EXACT(L584,TEXT(M584,"#,##0.00")))),FALSE)</f>
        <v>1</v>
      </c>
      <c r="P584" s="1" t="str">
        <f>LEN(IF(Raw!A584="","",Raw!A584))&amp;":"&amp;IF(Raw!A584="","",Raw!A584)&amp;"|"&amp;LEN(IF(Raw!B584="","",Raw!B584))&amp;":"&amp;IF(Raw!B584="","",Raw!B584)&amp;"|"&amp;LEN(IF(Raw!C584="","",Raw!C584))&amp;":"&amp;IF(Raw!C584="","",Raw!C584)&amp;"|"&amp;LEN(IF(Raw!D584="","",Raw!D584))&amp;":"&amp;IF(Raw!D584="","",Raw!D584)&amp;"|"&amp;LEN(IF(Raw!E584="","",Raw!E584))&amp;":"&amp;IF(Raw!E584="","",Raw!E584)&amp;"|"&amp;LEN(IF(Raw!F584="","",Raw!F584))&amp;":"&amp;IF(Raw!F584="","",Raw!F584)&amp;"|"&amp;LEN(IF(Raw!G584="","",Raw!G584))&amp;":"&amp;IF(Raw!G584="","",Raw!G584)</f>
        <v>6:L00578|6:T00289|10:2026-02-06|3:P-H|4:Home|4:sale|6:492.40</v>
      </c>
      <c r="Q584" s="1">
        <f>1</f>
        <v>1</v>
      </c>
      <c r="R584" s="1" t="b">
        <f>FALSE</f>
        <v>0</v>
      </c>
      <c r="S584" s="1">
        <f>1</f>
        <v>1</v>
      </c>
      <c r="T584" s="1" t="str">
        <f>IF(AND(Raw!A584="",Raw!B584="",Raw!C584="",Raw!D584="",Raw!E584="",Raw!F584="",Raw!G584=""),"UNUSED",IF(A584="","missing line ID",IF(B584="","missing transaction ID",IF(G584="",IF(C584="","missing date","invalid date"),IF(I584="","unknown product",IF(J584="","conflicting category",IF(NOT(OR(EXACT(K584,"sale"),EXACT(K584,"refund"))),"unknown event",IF(OR(N584="",NOT(O584)),"invalid amount",IF(OR(AND(K584="sale",N584&lt;=0),AND(K584="refund",N584&gt;=0)),"invalid sign","")))))))))</f>
        <v/>
      </c>
      <c r="U584" s="1" t="str">
        <f t="shared" si="77"/>
        <v>INCLUDED</v>
      </c>
      <c r="V584" s="1" t="str">
        <f t="shared" si="78"/>
        <v>2026-02</v>
      </c>
      <c r="W584" s="1">
        <f>IF(AND(U584="INCLUDED",X584&gt;0,EXACT(A584,'AI output'!A584)),1,0)</f>
        <v>1</v>
      </c>
      <c r="X584" s="1">
        <f>584</f>
        <v>584</v>
      </c>
      <c r="Y584" s="1">
        <f>IF(AND(U584="INCLUDED",W584=1),--(NOT(EXACT(A584,'AI output'!A584)))+--(NOT(EXACT(B584,'AI output'!B584)))+--(NOT(EXACT(TEXT(G584,"yyyy-mm-dd"),'AI output'!C584)))+--(NOT(EXACT(H584,'AI output'!D584)))+--(NOT(EXACT(J584,'AI output'!E584)))+--(NOT(EXACT(K584,'AI output'!F584)))+--(N584&lt;&gt;'AI output'!L584)+--(NOT('AI output'!M584)),0)</f>
        <v>0</v>
      </c>
      <c r="Z584" s="1">
        <f t="shared" si="79"/>
        <v>0</v>
      </c>
      <c r="AA584" s="1">
        <f>--EXACT(A584,"L00578")</f>
        <v>1</v>
      </c>
    </row>
    <row r="585" spans="1:27" ht="18.95" customHeight="1">
      <c r="A585" s="1" t="str">
        <f>IF(Raw!A585="","",Raw!A585)</f>
        <v>L00579</v>
      </c>
      <c r="B585" s="1" t="str">
        <f>IF(Raw!B585="","",Raw!B585)</f>
        <v>T00290</v>
      </c>
      <c r="C585" s="1" t="str">
        <f>IF(Raw!C585="","",Raw!C585)</f>
        <v>2026-02-13</v>
      </c>
      <c r="D585" s="1">
        <f t="shared" si="72"/>
        <v>2026</v>
      </c>
      <c r="E585" s="1">
        <f>IFERROR(IF(AND(LEN(C585)=10,MID(C585,5,1)="-",MID(C585,8,1)="-"),VALUE(MID(C585,6,2)),IF(AND(LEN(C585)=11,MID(C585,3,1)="-",MID(C585,7,1)="-"),MATCH(UPPER(MID(C585,4,3)),Guide!$D$7:$D$18,0),0)),0)</f>
        <v>2</v>
      </c>
      <c r="F585" s="1">
        <f t="shared" si="73"/>
        <v>13</v>
      </c>
      <c r="G585" s="9">
        <f t="shared" si="74"/>
        <v>46066</v>
      </c>
      <c r="H585" s="1" t="str">
        <f>IF(Raw!D585="","",Raw!D585)</f>
        <v>P-O</v>
      </c>
      <c r="I585" s="1" t="str">
        <f>IFERROR(IF(EXACT(H585,INDEX(Guide!$A$7:$A$9,MATCH(SUBSTITUTE(SUBSTITUTE(SUBSTITUTE(H585,"~","~~"),"*","~*"),"?","~?"),Guide!$A$7:$A$9,0))),INDEX(Guide!$B$7:$B$9,MATCH(SUBSTITUTE(SUBSTITUTE(SUBSTITUTE(H585,"~","~~"),"*","~*"),"?","~?"),Guide!$A$7:$A$9,0)),""),"")</f>
        <v>Office</v>
      </c>
      <c r="J585" s="1" t="str">
        <f>IF(TRIM(Raw!E585)="",I585,IF(UPPER(TRIM(Raw!E585))=UPPER(I585),I585,""))</f>
        <v>Office</v>
      </c>
      <c r="K585" s="1" t="str">
        <f>IF(Raw!F585="","",Raw!F585)</f>
        <v>sale</v>
      </c>
      <c r="L585" s="1" t="str">
        <f>IF(LEFT(TRIM(Raw!G585),2)="-$","-"&amp;MID(TRIM(Raw!G585),3,99),IF(LEFT(TRIM(Raw!G585),1)="$",MID(TRIM(Raw!G585),2,99),TRIM(Raw!G585)))</f>
        <v>197.70</v>
      </c>
      <c r="M585" s="1">
        <f t="shared" si="75"/>
        <v>197.7</v>
      </c>
      <c r="N585" s="10">
        <f t="shared" si="76"/>
        <v>19770</v>
      </c>
      <c r="O585" s="1" t="b">
        <f>IFERROR(IF(ISNUMBER(Raw!G585),TRUE,OR(EXACT(L585,TEXT(M585,"0.00")),EXACT(L585,TEXT(M585,"#,##0.00")))),FALSE)</f>
        <v>1</v>
      </c>
      <c r="P585" s="1" t="str">
        <f>LEN(IF(Raw!A585="","",Raw!A585))&amp;":"&amp;IF(Raw!A585="","",Raw!A585)&amp;"|"&amp;LEN(IF(Raw!B585="","",Raw!B585))&amp;":"&amp;IF(Raw!B585="","",Raw!B585)&amp;"|"&amp;LEN(IF(Raw!C585="","",Raw!C585))&amp;":"&amp;IF(Raw!C585="","",Raw!C585)&amp;"|"&amp;LEN(IF(Raw!D585="","",Raw!D585))&amp;":"&amp;IF(Raw!D585="","",Raw!D585)&amp;"|"&amp;LEN(IF(Raw!E585="","",Raw!E585))&amp;":"&amp;IF(Raw!E585="","",Raw!E585)&amp;"|"&amp;LEN(IF(Raw!F585="","",Raw!F585))&amp;":"&amp;IF(Raw!F585="","",Raw!F585)&amp;"|"&amp;LEN(IF(Raw!G585="","",Raw!G585))&amp;":"&amp;IF(Raw!G585="","",Raw!G585)</f>
        <v>6:L00579|6:T00290|10:2026-02-13|3:P-O|6:Office|4:sale|6:197.70</v>
      </c>
      <c r="Q585" s="1">
        <f>1</f>
        <v>1</v>
      </c>
      <c r="R585" s="1" t="b">
        <f>FALSE</f>
        <v>0</v>
      </c>
      <c r="S585" s="1">
        <f>1</f>
        <v>1</v>
      </c>
      <c r="T585" s="1" t="str">
        <f>IF(AND(Raw!A585="",Raw!B585="",Raw!C585="",Raw!D585="",Raw!E585="",Raw!F585="",Raw!G585=""),"UNUSED",IF(A585="","missing line ID",IF(B585="","missing transaction ID",IF(G585="",IF(C585="","missing date","invalid date"),IF(I585="","unknown product",IF(J585="","conflicting category",IF(NOT(OR(EXACT(K585,"sale"),EXACT(K585,"refund"))),"unknown event",IF(OR(N585="",NOT(O585)),"invalid amount",IF(OR(AND(K585="sale",N585&lt;=0),AND(K585="refund",N585&gt;=0)),"invalid sign","")))))))))</f>
        <v/>
      </c>
      <c r="U585" s="1" t="str">
        <f t="shared" si="77"/>
        <v>INCLUDED</v>
      </c>
      <c r="V585" s="1" t="str">
        <f t="shared" si="78"/>
        <v>2026-02</v>
      </c>
      <c r="W585" s="1">
        <f>IF(AND(U585="INCLUDED",X585&gt;0,EXACT(A585,'AI output'!A585)),1,0)</f>
        <v>1</v>
      </c>
      <c r="X585" s="1">
        <f>585</f>
        <v>585</v>
      </c>
      <c r="Y585" s="1">
        <f>IF(AND(U585="INCLUDED",W585=1),--(NOT(EXACT(A585,'AI output'!A585)))+--(NOT(EXACT(B585,'AI output'!B585)))+--(NOT(EXACT(TEXT(G585,"yyyy-mm-dd"),'AI output'!C585)))+--(NOT(EXACT(H585,'AI output'!D585)))+--(NOT(EXACT(J585,'AI output'!E585)))+--(NOT(EXACT(K585,'AI output'!F585)))+--(N585&lt;&gt;'AI output'!L585)+--(NOT('AI output'!M585)),0)</f>
        <v>0</v>
      </c>
      <c r="Z585" s="1">
        <f t="shared" si="79"/>
        <v>0</v>
      </c>
      <c r="AA585" s="1">
        <f>--EXACT(A585,"L00579")</f>
        <v>1</v>
      </c>
    </row>
    <row r="586" spans="1:27" ht="18.95" customHeight="1">
      <c r="A586" s="1" t="str">
        <f>IF(Raw!A586="","",Raw!A586)</f>
        <v>L00580</v>
      </c>
      <c r="B586" s="1" t="str">
        <f>IF(Raw!B586="","",Raw!B586)</f>
        <v>T00290</v>
      </c>
      <c r="C586" s="1" t="str">
        <f>IF(Raw!C586="","",Raw!C586)</f>
        <v>2026-02-13</v>
      </c>
      <c r="D586" s="1">
        <f t="shared" si="72"/>
        <v>2026</v>
      </c>
      <c r="E586" s="1">
        <f>IFERROR(IF(AND(LEN(C586)=10,MID(C586,5,1)="-",MID(C586,8,1)="-"),VALUE(MID(C586,6,2)),IF(AND(LEN(C586)=11,MID(C586,3,1)="-",MID(C586,7,1)="-"),MATCH(UPPER(MID(C586,4,3)),Guide!$D$7:$D$18,0),0)),0)</f>
        <v>2</v>
      </c>
      <c r="F586" s="1">
        <f t="shared" si="73"/>
        <v>13</v>
      </c>
      <c r="G586" s="9">
        <f t="shared" si="74"/>
        <v>46066</v>
      </c>
      <c r="H586" s="1" t="str">
        <f>IF(Raw!D586="","",Raw!D586)</f>
        <v>P-A</v>
      </c>
      <c r="I586" s="1" t="str">
        <f>IFERROR(IF(EXACT(H586,INDEX(Guide!$A$7:$A$9,MATCH(SUBSTITUTE(SUBSTITUTE(SUBSTITUTE(H586,"~","~~"),"*","~*"),"?","~?"),Guide!$A$7:$A$9,0))),INDEX(Guide!$B$7:$B$9,MATCH(SUBSTITUTE(SUBSTITUTE(SUBSTITUTE(H586,"~","~~"),"*","~*"),"?","~?"),Guide!$A$7:$A$9,0)),""),"")</f>
        <v>Accessories</v>
      </c>
      <c r="J586" s="1" t="str">
        <f>IF(TRIM(Raw!E586)="",I586,IF(UPPER(TRIM(Raw!E586))=UPPER(I586),I586,""))</f>
        <v>Accessories</v>
      </c>
      <c r="K586" s="1" t="str">
        <f>IF(Raw!F586="","",Raw!F586)</f>
        <v>sale</v>
      </c>
      <c r="L586" s="1" t="str">
        <f>IF(LEFT(TRIM(Raw!G586),2)="-$","-"&amp;MID(TRIM(Raw!G586),3,99),IF(LEFT(TRIM(Raw!G586),1)="$",MID(TRIM(Raw!G586),2,99),TRIM(Raw!G586)))</f>
        <v>396.88</v>
      </c>
      <c r="M586" s="1">
        <f t="shared" si="75"/>
        <v>396.88</v>
      </c>
      <c r="N586" s="10">
        <f t="shared" si="76"/>
        <v>39688</v>
      </c>
      <c r="O586" s="1" t="b">
        <f>IFERROR(IF(ISNUMBER(Raw!G586),TRUE,OR(EXACT(L586,TEXT(M586,"0.00")),EXACT(L586,TEXT(M586,"#,##0.00")))),FALSE)</f>
        <v>1</v>
      </c>
      <c r="P586" s="1" t="str">
        <f>LEN(IF(Raw!A586="","",Raw!A586))&amp;":"&amp;IF(Raw!A586="","",Raw!A586)&amp;"|"&amp;LEN(IF(Raw!B586="","",Raw!B586))&amp;":"&amp;IF(Raw!B586="","",Raw!B586)&amp;"|"&amp;LEN(IF(Raw!C586="","",Raw!C586))&amp;":"&amp;IF(Raw!C586="","",Raw!C586)&amp;"|"&amp;LEN(IF(Raw!D586="","",Raw!D586))&amp;":"&amp;IF(Raw!D586="","",Raw!D586)&amp;"|"&amp;LEN(IF(Raw!E586="","",Raw!E586))&amp;":"&amp;IF(Raw!E586="","",Raw!E586)&amp;"|"&amp;LEN(IF(Raw!F586="","",Raw!F586))&amp;":"&amp;IF(Raw!F586="","",Raw!F586)&amp;"|"&amp;LEN(IF(Raw!G586="","",Raw!G586))&amp;":"&amp;IF(Raw!G586="","",Raw!G586)</f>
        <v>6:L00580|6:T00290|10:2026-02-13|3:P-A|11:Accessories|4:sale|6:396.88</v>
      </c>
      <c r="Q586" s="1">
        <f>1</f>
        <v>1</v>
      </c>
      <c r="R586" s="1" t="b">
        <f>FALSE</f>
        <v>0</v>
      </c>
      <c r="S586" s="1">
        <f>1</f>
        <v>1</v>
      </c>
      <c r="T586" s="1" t="str">
        <f>IF(AND(Raw!A586="",Raw!B586="",Raw!C586="",Raw!D586="",Raw!E586="",Raw!F586="",Raw!G586=""),"UNUSED",IF(A586="","missing line ID",IF(B586="","missing transaction ID",IF(G586="",IF(C586="","missing date","invalid date"),IF(I586="","unknown product",IF(J586="","conflicting category",IF(NOT(OR(EXACT(K586,"sale"),EXACT(K586,"refund"))),"unknown event",IF(OR(N586="",NOT(O586)),"invalid amount",IF(OR(AND(K586="sale",N586&lt;=0),AND(K586="refund",N586&gt;=0)),"invalid sign","")))))))))</f>
        <v/>
      </c>
      <c r="U586" s="1" t="str">
        <f t="shared" si="77"/>
        <v>INCLUDED</v>
      </c>
      <c r="V586" s="1" t="str">
        <f t="shared" si="78"/>
        <v>2026-02</v>
      </c>
      <c r="W586" s="1">
        <f>IF(AND(U586="INCLUDED",X586&gt;0,EXACT(A586,'AI output'!A586)),1,0)</f>
        <v>1</v>
      </c>
      <c r="X586" s="1">
        <f>586</f>
        <v>586</v>
      </c>
      <c r="Y586" s="1">
        <f>IF(AND(U586="INCLUDED",W586=1),--(NOT(EXACT(A586,'AI output'!A586)))+--(NOT(EXACT(B586,'AI output'!B586)))+--(NOT(EXACT(TEXT(G586,"yyyy-mm-dd"),'AI output'!C586)))+--(NOT(EXACT(H586,'AI output'!D586)))+--(NOT(EXACT(J586,'AI output'!E586)))+--(NOT(EXACT(K586,'AI output'!F586)))+--(N586&lt;&gt;'AI output'!L586)+--(NOT('AI output'!M586)),0)</f>
        <v>0</v>
      </c>
      <c r="Z586" s="1">
        <f t="shared" si="79"/>
        <v>0</v>
      </c>
      <c r="AA586" s="1">
        <f>--EXACT(A586,"L00580")</f>
        <v>1</v>
      </c>
    </row>
    <row r="587" spans="1:27" ht="18.95" customHeight="1">
      <c r="A587" s="1" t="str">
        <f>IF(Raw!A587="","",Raw!A587)</f>
        <v>L00581</v>
      </c>
      <c r="B587" s="1" t="str">
        <f>IF(Raw!B587="","",Raw!B587)</f>
        <v>T00291</v>
      </c>
      <c r="C587" s="1" t="str">
        <f>IF(Raw!C587="","",Raw!C587)</f>
        <v>2026-02-20</v>
      </c>
      <c r="D587" s="1">
        <f t="shared" si="72"/>
        <v>2026</v>
      </c>
      <c r="E587" s="1">
        <f>IFERROR(IF(AND(LEN(C587)=10,MID(C587,5,1)="-",MID(C587,8,1)="-"),VALUE(MID(C587,6,2)),IF(AND(LEN(C587)=11,MID(C587,3,1)="-",MID(C587,7,1)="-"),MATCH(UPPER(MID(C587,4,3)),Guide!$D$7:$D$18,0),0)),0)</f>
        <v>2</v>
      </c>
      <c r="F587" s="1">
        <f t="shared" si="73"/>
        <v>20</v>
      </c>
      <c r="G587" s="9">
        <f t="shared" si="74"/>
        <v>46073</v>
      </c>
      <c r="H587" s="1" t="str">
        <f>IF(Raw!D587="","",Raw!D587)</f>
        <v>P-H</v>
      </c>
      <c r="I587" s="1" t="str">
        <f>IFERROR(IF(EXACT(H587,INDEX(Guide!$A$7:$A$9,MATCH(SUBSTITUTE(SUBSTITUTE(SUBSTITUTE(H587,"~","~~"),"*","~*"),"?","~?"),Guide!$A$7:$A$9,0))),INDEX(Guide!$B$7:$B$9,MATCH(SUBSTITUTE(SUBSTITUTE(SUBSTITUTE(H587,"~","~~"),"*","~*"),"?","~?"),Guide!$A$7:$A$9,0)),""),"")</f>
        <v>Home</v>
      </c>
      <c r="J587" s="1" t="str">
        <f>IF(TRIM(Raw!E587)="",I587,IF(UPPER(TRIM(Raw!E587))=UPPER(I587),I587,""))</f>
        <v>Home</v>
      </c>
      <c r="K587" s="1" t="str">
        <f>IF(Raw!F587="","",Raw!F587)</f>
        <v>sale</v>
      </c>
      <c r="L587" s="1" t="str">
        <f>IF(LEFT(TRIM(Raw!G587),2)="-$","-"&amp;MID(TRIM(Raw!G587),3,99),IF(LEFT(TRIM(Raw!G587),1)="$",MID(TRIM(Raw!G587),2,99),TRIM(Raw!G587)))</f>
        <v>99.59</v>
      </c>
      <c r="M587" s="1">
        <f t="shared" si="75"/>
        <v>99.59</v>
      </c>
      <c r="N587" s="10">
        <f t="shared" si="76"/>
        <v>9959</v>
      </c>
      <c r="O587" s="1" t="b">
        <f>IFERROR(IF(ISNUMBER(Raw!G587),TRUE,OR(EXACT(L587,TEXT(M587,"0.00")),EXACT(L587,TEXT(M587,"#,##0.00")))),FALSE)</f>
        <v>1</v>
      </c>
      <c r="P587" s="1" t="str">
        <f>LEN(IF(Raw!A587="","",Raw!A587))&amp;":"&amp;IF(Raw!A587="","",Raw!A587)&amp;"|"&amp;LEN(IF(Raw!B587="","",Raw!B587))&amp;":"&amp;IF(Raw!B587="","",Raw!B587)&amp;"|"&amp;LEN(IF(Raw!C587="","",Raw!C587))&amp;":"&amp;IF(Raw!C587="","",Raw!C587)&amp;"|"&amp;LEN(IF(Raw!D587="","",Raw!D587))&amp;":"&amp;IF(Raw!D587="","",Raw!D587)&amp;"|"&amp;LEN(IF(Raw!E587="","",Raw!E587))&amp;":"&amp;IF(Raw!E587="","",Raw!E587)&amp;"|"&amp;LEN(IF(Raw!F587="","",Raw!F587))&amp;":"&amp;IF(Raw!F587="","",Raw!F587)&amp;"|"&amp;LEN(IF(Raw!G587="","",Raw!G587))&amp;":"&amp;IF(Raw!G587="","",Raw!G587)</f>
        <v>6:L00581|6:T00291|10:2026-02-20|3:P-H|4:Home|4:sale|5:99.59</v>
      </c>
      <c r="Q587" s="1">
        <f>1</f>
        <v>1</v>
      </c>
      <c r="R587" s="1" t="b">
        <f>FALSE</f>
        <v>0</v>
      </c>
      <c r="S587" s="1">
        <f>1</f>
        <v>1</v>
      </c>
      <c r="T587" s="1" t="str">
        <f>IF(AND(Raw!A587="",Raw!B587="",Raw!C587="",Raw!D587="",Raw!E587="",Raw!F587="",Raw!G587=""),"UNUSED",IF(A587="","missing line ID",IF(B587="","missing transaction ID",IF(G587="",IF(C587="","missing date","invalid date"),IF(I587="","unknown product",IF(J587="","conflicting category",IF(NOT(OR(EXACT(K587,"sale"),EXACT(K587,"refund"))),"unknown event",IF(OR(N587="",NOT(O587)),"invalid amount",IF(OR(AND(K587="sale",N587&lt;=0),AND(K587="refund",N587&gt;=0)),"invalid sign","")))))))))</f>
        <v/>
      </c>
      <c r="U587" s="1" t="str">
        <f t="shared" si="77"/>
        <v>INCLUDED</v>
      </c>
      <c r="V587" s="1" t="str">
        <f t="shared" si="78"/>
        <v>2026-02</v>
      </c>
      <c r="W587" s="1">
        <f>IF(AND(U587="INCLUDED",X587&gt;0,EXACT(A587,'AI output'!A587)),1,0)</f>
        <v>1</v>
      </c>
      <c r="X587" s="1">
        <f>587</f>
        <v>587</v>
      </c>
      <c r="Y587" s="1">
        <f>IF(AND(U587="INCLUDED",W587=1),--(NOT(EXACT(A587,'AI output'!A587)))+--(NOT(EXACT(B587,'AI output'!B587)))+--(NOT(EXACT(TEXT(G587,"yyyy-mm-dd"),'AI output'!C587)))+--(NOT(EXACT(H587,'AI output'!D587)))+--(NOT(EXACT(J587,'AI output'!E587)))+--(NOT(EXACT(K587,'AI output'!F587)))+--(N587&lt;&gt;'AI output'!L587)+--(NOT('AI output'!M587)),0)</f>
        <v>0</v>
      </c>
      <c r="Z587" s="1">
        <f t="shared" si="79"/>
        <v>0</v>
      </c>
      <c r="AA587" s="1">
        <f>--EXACT(A587,"L00581")</f>
        <v>1</v>
      </c>
    </row>
    <row r="588" spans="1:27" ht="18.95" customHeight="1">
      <c r="A588" s="1" t="str">
        <f>IF(Raw!A588="","",Raw!A588)</f>
        <v>L00582</v>
      </c>
      <c r="B588" s="1" t="str">
        <f>IF(Raw!B588="","",Raw!B588)</f>
        <v>T00291</v>
      </c>
      <c r="C588" s="1" t="str">
        <f>IF(Raw!C588="","",Raw!C588)</f>
        <v>20-Feb-2026</v>
      </c>
      <c r="D588" s="1">
        <f t="shared" si="72"/>
        <v>2026</v>
      </c>
      <c r="E588" s="1">
        <f>IFERROR(IF(AND(LEN(C588)=10,MID(C588,5,1)="-",MID(C588,8,1)="-"),VALUE(MID(C588,6,2)),IF(AND(LEN(C588)=11,MID(C588,3,1)="-",MID(C588,7,1)="-"),MATCH(UPPER(MID(C588,4,3)),Guide!$D$7:$D$18,0),0)),0)</f>
        <v>2</v>
      </c>
      <c r="F588" s="1">
        <f t="shared" si="73"/>
        <v>20</v>
      </c>
      <c r="G588" s="9">
        <f t="shared" si="74"/>
        <v>46073</v>
      </c>
      <c r="H588" s="1" t="str">
        <f>IF(Raw!D588="","",Raw!D588)</f>
        <v>P-O</v>
      </c>
      <c r="I588" s="1" t="str">
        <f>IFERROR(IF(EXACT(H588,INDEX(Guide!$A$7:$A$9,MATCH(SUBSTITUTE(SUBSTITUTE(SUBSTITUTE(H588,"~","~~"),"*","~*"),"?","~?"),Guide!$A$7:$A$9,0))),INDEX(Guide!$B$7:$B$9,MATCH(SUBSTITUTE(SUBSTITUTE(SUBSTITUTE(H588,"~","~~"),"*","~*"),"?","~?"),Guide!$A$7:$A$9,0)),""),"")</f>
        <v>Office</v>
      </c>
      <c r="J588" s="1" t="str">
        <f>IF(TRIM(Raw!E588)="",I588,IF(UPPER(TRIM(Raw!E588))=UPPER(I588),I588,""))</f>
        <v>Office</v>
      </c>
      <c r="K588" s="1" t="str">
        <f>IF(Raw!F588="","",Raw!F588)</f>
        <v>sale</v>
      </c>
      <c r="L588" s="1" t="str">
        <f>IF(LEFT(TRIM(Raw!G588),2)="-$","-"&amp;MID(TRIM(Raw!G588),3,99),IF(LEFT(TRIM(Raw!G588),1)="$",MID(TRIM(Raw!G588),2,99),TRIM(Raw!G588)))</f>
        <v>299.88</v>
      </c>
      <c r="M588" s="1">
        <f t="shared" si="75"/>
        <v>299.88</v>
      </c>
      <c r="N588" s="10">
        <f t="shared" si="76"/>
        <v>29988</v>
      </c>
      <c r="O588" s="1" t="b">
        <f>IFERROR(IF(ISNUMBER(Raw!G588),TRUE,OR(EXACT(L588,TEXT(M588,"0.00")),EXACT(L588,TEXT(M588,"#,##0.00")))),FALSE)</f>
        <v>1</v>
      </c>
      <c r="P588" s="1" t="str">
        <f>LEN(IF(Raw!A588="","",Raw!A588))&amp;":"&amp;IF(Raw!A588="","",Raw!A588)&amp;"|"&amp;LEN(IF(Raw!B588="","",Raw!B588))&amp;":"&amp;IF(Raw!B588="","",Raw!B588)&amp;"|"&amp;LEN(IF(Raw!C588="","",Raw!C588))&amp;":"&amp;IF(Raw!C588="","",Raw!C588)&amp;"|"&amp;LEN(IF(Raw!D588="","",Raw!D588))&amp;":"&amp;IF(Raw!D588="","",Raw!D588)&amp;"|"&amp;LEN(IF(Raw!E588="","",Raw!E588))&amp;":"&amp;IF(Raw!E588="","",Raw!E588)&amp;"|"&amp;LEN(IF(Raw!F588="","",Raw!F588))&amp;":"&amp;IF(Raw!F588="","",Raw!F588)&amp;"|"&amp;LEN(IF(Raw!G588="","",Raw!G588))&amp;":"&amp;IF(Raw!G588="","",Raw!G588)</f>
        <v>6:L00582|6:T00291|11:20-Feb-2026|3:P-O|6:Office|4:sale|6:299.88</v>
      </c>
      <c r="Q588" s="1">
        <f>1</f>
        <v>1</v>
      </c>
      <c r="R588" s="1" t="b">
        <f>FALSE</f>
        <v>0</v>
      </c>
      <c r="S588" s="1">
        <f>1</f>
        <v>1</v>
      </c>
      <c r="T588" s="1" t="str">
        <f>IF(AND(Raw!A588="",Raw!B588="",Raw!C588="",Raw!D588="",Raw!E588="",Raw!F588="",Raw!G588=""),"UNUSED",IF(A588="","missing line ID",IF(B588="","missing transaction ID",IF(G588="",IF(C588="","missing date","invalid date"),IF(I588="","unknown product",IF(J588="","conflicting category",IF(NOT(OR(EXACT(K588,"sale"),EXACT(K588,"refund"))),"unknown event",IF(OR(N588="",NOT(O588)),"invalid amount",IF(OR(AND(K588="sale",N588&lt;=0),AND(K588="refund",N588&gt;=0)),"invalid sign","")))))))))</f>
        <v/>
      </c>
      <c r="U588" s="1" t="str">
        <f t="shared" si="77"/>
        <v>INCLUDED</v>
      </c>
      <c r="V588" s="1" t="str">
        <f t="shared" si="78"/>
        <v>2026-02</v>
      </c>
      <c r="W588" s="1">
        <f>IF(AND(U588="INCLUDED",X588&gt;0,EXACT(A588,'AI output'!A588)),1,0)</f>
        <v>1</v>
      </c>
      <c r="X588" s="1">
        <f>588</f>
        <v>588</v>
      </c>
      <c r="Y588" s="1">
        <f>IF(AND(U588="INCLUDED",W588=1),--(NOT(EXACT(A588,'AI output'!A588)))+--(NOT(EXACT(B588,'AI output'!B588)))+--(NOT(EXACT(TEXT(G588,"yyyy-mm-dd"),'AI output'!C588)))+--(NOT(EXACT(H588,'AI output'!D588)))+--(NOT(EXACT(J588,'AI output'!E588)))+--(NOT(EXACT(K588,'AI output'!F588)))+--(N588&lt;&gt;'AI output'!L588)+--(NOT('AI output'!M588)),0)</f>
        <v>0</v>
      </c>
      <c r="Z588" s="1">
        <f t="shared" si="79"/>
        <v>0</v>
      </c>
      <c r="AA588" s="1">
        <f>--EXACT(A588,"L00582")</f>
        <v>1</v>
      </c>
    </row>
    <row r="589" spans="1:27" ht="18.95" customHeight="1">
      <c r="A589" s="1" t="str">
        <f>IF(Raw!A589="","",Raw!A589)</f>
        <v>L00583</v>
      </c>
      <c r="B589" s="1" t="str">
        <f>IF(Raw!B589="","",Raw!B589)</f>
        <v>T00292</v>
      </c>
      <c r="C589" s="1" t="str">
        <f>IF(Raw!C589="","",Raw!C589)</f>
        <v>2026-02-27</v>
      </c>
      <c r="D589" s="1">
        <f t="shared" si="72"/>
        <v>2026</v>
      </c>
      <c r="E589" s="1">
        <f>IFERROR(IF(AND(LEN(C589)=10,MID(C589,5,1)="-",MID(C589,8,1)="-"),VALUE(MID(C589,6,2)),IF(AND(LEN(C589)=11,MID(C589,3,1)="-",MID(C589,7,1)="-"),MATCH(UPPER(MID(C589,4,3)),Guide!$D$7:$D$18,0),0)),0)</f>
        <v>2</v>
      </c>
      <c r="F589" s="1">
        <f t="shared" si="73"/>
        <v>27</v>
      </c>
      <c r="G589" s="9">
        <f t="shared" si="74"/>
        <v>46080</v>
      </c>
      <c r="H589" s="1" t="str">
        <f>IF(Raw!D589="","",Raw!D589)</f>
        <v>P-A</v>
      </c>
      <c r="I589" s="1" t="str">
        <f>IFERROR(IF(EXACT(H589,INDEX(Guide!$A$7:$A$9,MATCH(SUBSTITUTE(SUBSTITUTE(SUBSTITUTE(H589,"~","~~"),"*","~*"),"?","~?"),Guide!$A$7:$A$9,0))),INDEX(Guide!$B$7:$B$9,MATCH(SUBSTITUTE(SUBSTITUTE(SUBSTITUTE(H589,"~","~~"),"*","~*"),"?","~?"),Guide!$A$7:$A$9,0)),""),"")</f>
        <v>Accessories</v>
      </c>
      <c r="J589" s="1" t="str">
        <f>IF(TRIM(Raw!E589)="",I589,IF(UPPER(TRIM(Raw!E589))=UPPER(I589),I589,""))</f>
        <v>Accessories</v>
      </c>
      <c r="K589" s="1" t="str">
        <f>IF(Raw!F589="","",Raw!F589)</f>
        <v>sale</v>
      </c>
      <c r="L589" s="1" t="str">
        <f>IF(LEFT(TRIM(Raw!G589),2)="-$","-"&amp;MID(TRIM(Raw!G589),3,99),IF(LEFT(TRIM(Raw!G589),1)="$",MID(TRIM(Raw!G589),2,99),TRIM(Raw!G589)))</f>
        <v>501.65</v>
      </c>
      <c r="M589" s="1">
        <f t="shared" si="75"/>
        <v>501.65</v>
      </c>
      <c r="N589" s="10">
        <f t="shared" si="76"/>
        <v>50165</v>
      </c>
      <c r="O589" s="1" t="b">
        <f>IFERROR(IF(ISNUMBER(Raw!G589),TRUE,OR(EXACT(L589,TEXT(M589,"0.00")),EXACT(L589,TEXT(M589,"#,##0.00")))),FALSE)</f>
        <v>1</v>
      </c>
      <c r="P589" s="1" t="str">
        <f>LEN(IF(Raw!A589="","",Raw!A589))&amp;":"&amp;IF(Raw!A589="","",Raw!A589)&amp;"|"&amp;LEN(IF(Raw!B589="","",Raw!B589))&amp;":"&amp;IF(Raw!B589="","",Raw!B589)&amp;"|"&amp;LEN(IF(Raw!C589="","",Raw!C589))&amp;":"&amp;IF(Raw!C589="","",Raw!C589)&amp;"|"&amp;LEN(IF(Raw!D589="","",Raw!D589))&amp;":"&amp;IF(Raw!D589="","",Raw!D589)&amp;"|"&amp;LEN(IF(Raw!E589="","",Raw!E589))&amp;":"&amp;IF(Raw!E589="","",Raw!E589)&amp;"|"&amp;LEN(IF(Raw!F589="","",Raw!F589))&amp;":"&amp;IF(Raw!F589="","",Raw!F589)&amp;"|"&amp;LEN(IF(Raw!G589="","",Raw!G589))&amp;":"&amp;IF(Raw!G589="","",Raw!G589)</f>
        <v>6:L00583|6:T00292|10:2026-02-27|3:P-A|11:Accessories|4:sale|6:501.65</v>
      </c>
      <c r="Q589" s="1">
        <f>1</f>
        <v>1</v>
      </c>
      <c r="R589" s="1" t="b">
        <f>FALSE</f>
        <v>0</v>
      </c>
      <c r="S589" s="1">
        <f>1</f>
        <v>1</v>
      </c>
      <c r="T589" s="1" t="str">
        <f>IF(AND(Raw!A589="",Raw!B589="",Raw!C589="",Raw!D589="",Raw!E589="",Raw!F589="",Raw!G589=""),"UNUSED",IF(A589="","missing line ID",IF(B589="","missing transaction ID",IF(G589="",IF(C589="","missing date","invalid date"),IF(I589="","unknown product",IF(J589="","conflicting category",IF(NOT(OR(EXACT(K589,"sale"),EXACT(K589,"refund"))),"unknown event",IF(OR(N589="",NOT(O589)),"invalid amount",IF(OR(AND(K589="sale",N589&lt;=0),AND(K589="refund",N589&gt;=0)),"invalid sign","")))))))))</f>
        <v/>
      </c>
      <c r="U589" s="1" t="str">
        <f t="shared" si="77"/>
        <v>INCLUDED</v>
      </c>
      <c r="V589" s="1" t="str">
        <f t="shared" si="78"/>
        <v>2026-02</v>
      </c>
      <c r="W589" s="1">
        <f>IF(AND(U589="INCLUDED",X589&gt;0,EXACT(A589,'AI output'!A589)),1,0)</f>
        <v>1</v>
      </c>
      <c r="X589" s="1">
        <f>589</f>
        <v>589</v>
      </c>
      <c r="Y589" s="1">
        <f>IF(AND(U589="INCLUDED",W589=1),--(NOT(EXACT(A589,'AI output'!A589)))+--(NOT(EXACT(B589,'AI output'!B589)))+--(NOT(EXACT(TEXT(G589,"yyyy-mm-dd"),'AI output'!C589)))+--(NOT(EXACT(H589,'AI output'!D589)))+--(NOT(EXACT(J589,'AI output'!E589)))+--(NOT(EXACT(K589,'AI output'!F589)))+--(N589&lt;&gt;'AI output'!L589)+--(NOT('AI output'!M589)),0)</f>
        <v>0</v>
      </c>
      <c r="Z589" s="1">
        <f t="shared" si="79"/>
        <v>0</v>
      </c>
      <c r="AA589" s="1">
        <f>--EXACT(A589,"L00583")</f>
        <v>1</v>
      </c>
    </row>
    <row r="590" spans="1:27" ht="18.95" customHeight="1">
      <c r="A590" s="1" t="str">
        <f>IF(Raw!A590="","",Raw!A590)</f>
        <v>L00584</v>
      </c>
      <c r="B590" s="1" t="str">
        <f>IF(Raw!B590="","",Raw!B590)</f>
        <v>T00292</v>
      </c>
      <c r="C590" s="1" t="str">
        <f>IF(Raw!C590="","",Raw!C590)</f>
        <v>2026-02-27</v>
      </c>
      <c r="D590" s="1">
        <f t="shared" si="72"/>
        <v>2026</v>
      </c>
      <c r="E590" s="1">
        <f>IFERROR(IF(AND(LEN(C590)=10,MID(C590,5,1)="-",MID(C590,8,1)="-"),VALUE(MID(C590,6,2)),IF(AND(LEN(C590)=11,MID(C590,3,1)="-",MID(C590,7,1)="-"),MATCH(UPPER(MID(C590,4,3)),Guide!$D$7:$D$18,0),0)),0)</f>
        <v>2</v>
      </c>
      <c r="F590" s="1">
        <f t="shared" si="73"/>
        <v>27</v>
      </c>
      <c r="G590" s="9">
        <f t="shared" si="74"/>
        <v>46080</v>
      </c>
      <c r="H590" s="1" t="str">
        <f>IF(Raw!D590="","",Raw!D590)</f>
        <v>P-H</v>
      </c>
      <c r="I590" s="1" t="str">
        <f>IFERROR(IF(EXACT(H590,INDEX(Guide!$A$7:$A$9,MATCH(SUBSTITUTE(SUBSTITUTE(SUBSTITUTE(H590,"~","~~"),"*","~*"),"?","~?"),Guide!$A$7:$A$9,0))),INDEX(Guide!$B$7:$B$9,MATCH(SUBSTITUTE(SUBSTITUTE(SUBSTITUTE(H590,"~","~~"),"*","~*"),"?","~?"),Guide!$A$7:$A$9,0)),""),"")</f>
        <v>Home</v>
      </c>
      <c r="J590" s="1" t="str">
        <f>IF(TRIM(Raw!E590)="",I590,IF(UPPER(TRIM(Raw!E590))=UPPER(I590),I590,""))</f>
        <v>Home</v>
      </c>
      <c r="K590" s="1" t="str">
        <f>IF(Raw!F590="","",Raw!F590)</f>
        <v>sale</v>
      </c>
      <c r="L590" s="1" t="str">
        <f>IF(LEFT(TRIM(Raw!G590),2)="-$","-"&amp;MID(TRIM(Raw!G590),3,99),IF(LEFT(TRIM(Raw!G590),1)="$",MID(TRIM(Raw!G590),2,99),TRIM(Raw!G590)))</f>
        <v>201.40</v>
      </c>
      <c r="M590" s="1">
        <f t="shared" si="75"/>
        <v>201.4</v>
      </c>
      <c r="N590" s="10">
        <f t="shared" si="76"/>
        <v>20140</v>
      </c>
      <c r="O590" s="1" t="b">
        <f>IFERROR(IF(ISNUMBER(Raw!G590),TRUE,OR(EXACT(L590,TEXT(M590,"0.00")),EXACT(L590,TEXT(M590,"#,##0.00")))),FALSE)</f>
        <v>1</v>
      </c>
      <c r="P590" s="1" t="str">
        <f>LEN(IF(Raw!A590="","",Raw!A590))&amp;":"&amp;IF(Raw!A590="","",Raw!A590)&amp;"|"&amp;LEN(IF(Raw!B590="","",Raw!B590))&amp;":"&amp;IF(Raw!B590="","",Raw!B590)&amp;"|"&amp;LEN(IF(Raw!C590="","",Raw!C590))&amp;":"&amp;IF(Raw!C590="","",Raw!C590)&amp;"|"&amp;LEN(IF(Raw!D590="","",Raw!D590))&amp;":"&amp;IF(Raw!D590="","",Raw!D590)&amp;"|"&amp;LEN(IF(Raw!E590="","",Raw!E590))&amp;":"&amp;IF(Raw!E590="","",Raw!E590)&amp;"|"&amp;LEN(IF(Raw!F590="","",Raw!F590))&amp;":"&amp;IF(Raw!F590="","",Raw!F590)&amp;"|"&amp;LEN(IF(Raw!G590="","",Raw!G590))&amp;":"&amp;IF(Raw!G590="","",Raw!G590)</f>
        <v>6:L00584|6:T00292|10:2026-02-27|3:P-H|4:Home|4:sale|6:201.40</v>
      </c>
      <c r="Q590" s="1">
        <f>1</f>
        <v>1</v>
      </c>
      <c r="R590" s="1" t="b">
        <f>FALSE</f>
        <v>0</v>
      </c>
      <c r="S590" s="1">
        <f>1</f>
        <v>1</v>
      </c>
      <c r="T590" s="1" t="str">
        <f>IF(AND(Raw!A590="",Raw!B590="",Raw!C590="",Raw!D590="",Raw!E590="",Raw!F590="",Raw!G590=""),"UNUSED",IF(A590="","missing line ID",IF(B590="","missing transaction ID",IF(G590="",IF(C590="","missing date","invalid date"),IF(I590="","unknown product",IF(J590="","conflicting category",IF(NOT(OR(EXACT(K590,"sale"),EXACT(K590,"refund"))),"unknown event",IF(OR(N590="",NOT(O590)),"invalid amount",IF(OR(AND(K590="sale",N590&lt;=0),AND(K590="refund",N590&gt;=0)),"invalid sign","")))))))))</f>
        <v/>
      </c>
      <c r="U590" s="1" t="str">
        <f t="shared" si="77"/>
        <v>INCLUDED</v>
      </c>
      <c r="V590" s="1" t="str">
        <f t="shared" si="78"/>
        <v>2026-02</v>
      </c>
      <c r="W590" s="1">
        <f>IF(AND(U590="INCLUDED",X590&gt;0,EXACT(A590,'AI output'!A590)),1,0)</f>
        <v>1</v>
      </c>
      <c r="X590" s="1">
        <f>590</f>
        <v>590</v>
      </c>
      <c r="Y590" s="1">
        <f>IF(AND(U590="INCLUDED",W590=1),--(NOT(EXACT(A590,'AI output'!A590)))+--(NOT(EXACT(B590,'AI output'!B590)))+--(NOT(EXACT(TEXT(G590,"yyyy-mm-dd"),'AI output'!C590)))+--(NOT(EXACT(H590,'AI output'!D590)))+--(NOT(EXACT(J590,'AI output'!E590)))+--(NOT(EXACT(K590,'AI output'!F590)))+--(N590&lt;&gt;'AI output'!L590)+--(NOT('AI output'!M590)),0)</f>
        <v>0</v>
      </c>
      <c r="Z590" s="1">
        <f t="shared" si="79"/>
        <v>0</v>
      </c>
      <c r="AA590" s="1">
        <f>--EXACT(A590,"L00584")</f>
        <v>1</v>
      </c>
    </row>
    <row r="591" spans="1:27" ht="18.95" customHeight="1">
      <c r="A591" s="1" t="str">
        <f>IF(Raw!A591="","",Raw!A591)</f>
        <v>L00585</v>
      </c>
      <c r="B591" s="1" t="str">
        <f>IF(Raw!B591="","",Raw!B591)</f>
        <v>T00293</v>
      </c>
      <c r="C591" s="1" t="str">
        <f>IF(Raw!C591="","",Raw!C591)</f>
        <v>2026-03-06</v>
      </c>
      <c r="D591" s="1">
        <f t="shared" si="72"/>
        <v>2026</v>
      </c>
      <c r="E591" s="1">
        <f>IFERROR(IF(AND(LEN(C591)=10,MID(C591,5,1)="-",MID(C591,8,1)="-"),VALUE(MID(C591,6,2)),IF(AND(LEN(C591)=11,MID(C591,3,1)="-",MID(C591,7,1)="-"),MATCH(UPPER(MID(C591,4,3)),Guide!$D$7:$D$18,0),0)),0)</f>
        <v>3</v>
      </c>
      <c r="F591" s="1">
        <f t="shared" si="73"/>
        <v>6</v>
      </c>
      <c r="G591" s="9">
        <f t="shared" si="74"/>
        <v>46087</v>
      </c>
      <c r="H591" s="1" t="str">
        <f>IF(Raw!D591="","",Raw!D591)</f>
        <v>P-O</v>
      </c>
      <c r="I591" s="1" t="str">
        <f>IFERROR(IF(EXACT(H591,INDEX(Guide!$A$7:$A$9,MATCH(SUBSTITUTE(SUBSTITUTE(SUBSTITUTE(H591,"~","~~"),"*","~*"),"?","~?"),Guide!$A$7:$A$9,0))),INDEX(Guide!$B$7:$B$9,MATCH(SUBSTITUTE(SUBSTITUTE(SUBSTITUTE(H591,"~","~~"),"*","~*"),"?","~?"),Guide!$A$7:$A$9,0)),""),"")</f>
        <v>Office</v>
      </c>
      <c r="J591" s="1" t="str">
        <f>IF(TRIM(Raw!E591)="",I591,IF(UPPER(TRIM(Raw!E591))=UPPER(I591),I591,""))</f>
        <v>Office</v>
      </c>
      <c r="K591" s="1" t="str">
        <f>IF(Raw!F591="","",Raw!F591)</f>
        <v>sale</v>
      </c>
      <c r="L591" s="1" t="str">
        <f>IF(LEFT(TRIM(Raw!G591),2)="-$","-"&amp;MID(TRIM(Raw!G591),3,99),IF(LEFT(TRIM(Raw!G591),1)="$",MID(TRIM(Raw!G591),2,99),TRIM(Raw!G591)))</f>
        <v>404.28</v>
      </c>
      <c r="M591" s="1">
        <f t="shared" si="75"/>
        <v>404.28</v>
      </c>
      <c r="N591" s="10">
        <f t="shared" si="76"/>
        <v>40428</v>
      </c>
      <c r="O591" s="1" t="b">
        <f>IFERROR(IF(ISNUMBER(Raw!G591),TRUE,OR(EXACT(L591,TEXT(M591,"0.00")),EXACT(L591,TEXT(M591,"#,##0.00")))),FALSE)</f>
        <v>1</v>
      </c>
      <c r="P591" s="1" t="str">
        <f>LEN(IF(Raw!A591="","",Raw!A591))&amp;":"&amp;IF(Raw!A591="","",Raw!A591)&amp;"|"&amp;LEN(IF(Raw!B591="","",Raw!B591))&amp;":"&amp;IF(Raw!B591="","",Raw!B591)&amp;"|"&amp;LEN(IF(Raw!C591="","",Raw!C591))&amp;":"&amp;IF(Raw!C591="","",Raw!C591)&amp;"|"&amp;LEN(IF(Raw!D591="","",Raw!D591))&amp;":"&amp;IF(Raw!D591="","",Raw!D591)&amp;"|"&amp;LEN(IF(Raw!E591="","",Raw!E591))&amp;":"&amp;IF(Raw!E591="","",Raw!E591)&amp;"|"&amp;LEN(IF(Raw!F591="","",Raw!F591))&amp;":"&amp;IF(Raw!F591="","",Raw!F591)&amp;"|"&amp;LEN(IF(Raw!G591="","",Raw!G591))&amp;":"&amp;IF(Raw!G591="","",Raw!G591)</f>
        <v>6:L00585|6:T00293|10:2026-03-06|3:P-O|6:Office|4:sale|6:404.28</v>
      </c>
      <c r="Q591" s="1">
        <f>1</f>
        <v>1</v>
      </c>
      <c r="R591" s="1" t="b">
        <f>FALSE</f>
        <v>0</v>
      </c>
      <c r="S591" s="1">
        <f>1</f>
        <v>1</v>
      </c>
      <c r="T591" s="1" t="str">
        <f>IF(AND(Raw!A591="",Raw!B591="",Raw!C591="",Raw!D591="",Raw!E591="",Raw!F591="",Raw!G591=""),"UNUSED",IF(A591="","missing line ID",IF(B591="","missing transaction ID",IF(G591="",IF(C591="","missing date","invalid date"),IF(I591="","unknown product",IF(J591="","conflicting category",IF(NOT(OR(EXACT(K591,"sale"),EXACT(K591,"refund"))),"unknown event",IF(OR(N591="",NOT(O591)),"invalid amount",IF(OR(AND(K591="sale",N591&lt;=0),AND(K591="refund",N591&gt;=0)),"invalid sign","")))))))))</f>
        <v/>
      </c>
      <c r="U591" s="1" t="str">
        <f t="shared" si="77"/>
        <v>INCLUDED</v>
      </c>
      <c r="V591" s="1" t="str">
        <f t="shared" si="78"/>
        <v>2026-03</v>
      </c>
      <c r="W591" s="1">
        <f>IF(AND(U591="INCLUDED",X591&gt;0,EXACT(A591,'AI output'!A591)),1,0)</f>
        <v>1</v>
      </c>
      <c r="X591" s="1">
        <f>591</f>
        <v>591</v>
      </c>
      <c r="Y591" s="1">
        <f>IF(AND(U591="INCLUDED",W591=1),--(NOT(EXACT(A591,'AI output'!A591)))+--(NOT(EXACT(B591,'AI output'!B591)))+--(NOT(EXACT(TEXT(G591,"yyyy-mm-dd"),'AI output'!C591)))+--(NOT(EXACT(H591,'AI output'!D591)))+--(NOT(EXACT(J591,'AI output'!E591)))+--(NOT(EXACT(K591,'AI output'!F591)))+--(N591&lt;&gt;'AI output'!L591)+--(NOT('AI output'!M591)),0)</f>
        <v>0</v>
      </c>
      <c r="Z591" s="1">
        <f t="shared" si="79"/>
        <v>0</v>
      </c>
      <c r="AA591" s="1">
        <f>--EXACT(A591,"L00585")</f>
        <v>1</v>
      </c>
    </row>
    <row r="592" spans="1:27" ht="18.95" customHeight="1">
      <c r="A592" s="1" t="str">
        <f>IF(Raw!A592="","",Raw!A592)</f>
        <v>L00586</v>
      </c>
      <c r="B592" s="1" t="str">
        <f>IF(Raw!B592="","",Raw!B592)</f>
        <v>T00293</v>
      </c>
      <c r="C592" s="1" t="str">
        <f>IF(Raw!C592="","",Raw!C592)</f>
        <v>2026-03-06</v>
      </c>
      <c r="D592" s="1">
        <f t="shared" si="72"/>
        <v>2026</v>
      </c>
      <c r="E592" s="1">
        <f>IFERROR(IF(AND(LEN(C592)=10,MID(C592,5,1)="-",MID(C592,8,1)="-"),VALUE(MID(C592,6,2)),IF(AND(LEN(C592)=11,MID(C592,3,1)="-",MID(C592,7,1)="-"),MATCH(UPPER(MID(C592,4,3)),Guide!$D$7:$D$18,0),0)),0)</f>
        <v>3</v>
      </c>
      <c r="F592" s="1">
        <f t="shared" si="73"/>
        <v>6</v>
      </c>
      <c r="G592" s="9">
        <f t="shared" si="74"/>
        <v>46087</v>
      </c>
      <c r="H592" s="1" t="str">
        <f>IF(Raw!D592="","",Raw!D592)</f>
        <v>P-A</v>
      </c>
      <c r="I592" s="1" t="str">
        <f>IFERROR(IF(EXACT(H592,INDEX(Guide!$A$7:$A$9,MATCH(SUBSTITUTE(SUBSTITUTE(SUBSTITUTE(H592,"~","~~"),"*","~*"),"?","~?"),Guide!$A$7:$A$9,0))),INDEX(Guide!$B$7:$B$9,MATCH(SUBSTITUTE(SUBSTITUTE(SUBSTITUTE(H592,"~","~~"),"*","~*"),"?","~?"),Guide!$A$7:$A$9,0)),""),"")</f>
        <v>Accessories</v>
      </c>
      <c r="J592" s="1" t="str">
        <f>IF(TRIM(Raw!E592)="",I592,IF(UPPER(TRIM(Raw!E592))=UPPER(I592),I592,""))</f>
        <v>Accessories</v>
      </c>
      <c r="K592" s="1" t="str">
        <f>IF(Raw!F592="","",Raw!F592)</f>
        <v>sale</v>
      </c>
      <c r="L592" s="1" t="str">
        <f>IF(LEFT(TRIM(Raw!G592),2)="-$","-"&amp;MID(TRIM(Raw!G592),3,99),IF(LEFT(TRIM(Raw!G592),1)="$",MID(TRIM(Raw!G592),2,99),TRIM(Raw!G592)))</f>
        <v>101.44</v>
      </c>
      <c r="M592" s="1">
        <f t="shared" si="75"/>
        <v>101.44</v>
      </c>
      <c r="N592" s="10">
        <f t="shared" si="76"/>
        <v>10144</v>
      </c>
      <c r="O592" s="1" t="b">
        <f>IFERROR(IF(ISNUMBER(Raw!G592),TRUE,OR(EXACT(L592,TEXT(M592,"0.00")),EXACT(L592,TEXT(M592,"#,##0.00")))),FALSE)</f>
        <v>1</v>
      </c>
      <c r="P592" s="1" t="str">
        <f>LEN(IF(Raw!A592="","",Raw!A592))&amp;":"&amp;IF(Raw!A592="","",Raw!A592)&amp;"|"&amp;LEN(IF(Raw!B592="","",Raw!B592))&amp;":"&amp;IF(Raw!B592="","",Raw!B592)&amp;"|"&amp;LEN(IF(Raw!C592="","",Raw!C592))&amp;":"&amp;IF(Raw!C592="","",Raw!C592)&amp;"|"&amp;LEN(IF(Raw!D592="","",Raw!D592))&amp;":"&amp;IF(Raw!D592="","",Raw!D592)&amp;"|"&amp;LEN(IF(Raw!E592="","",Raw!E592))&amp;":"&amp;IF(Raw!E592="","",Raw!E592)&amp;"|"&amp;LEN(IF(Raw!F592="","",Raw!F592))&amp;":"&amp;IF(Raw!F592="","",Raw!F592)&amp;"|"&amp;LEN(IF(Raw!G592="","",Raw!G592))&amp;":"&amp;IF(Raw!G592="","",Raw!G592)</f>
        <v>6:L00586|6:T00293|10:2026-03-06|3:P-A|11:Accessories|4:sale|6:101.44</v>
      </c>
      <c r="Q592" s="1">
        <f>1</f>
        <v>1</v>
      </c>
      <c r="R592" s="1" t="b">
        <f>FALSE</f>
        <v>0</v>
      </c>
      <c r="S592" s="1">
        <f>1</f>
        <v>1</v>
      </c>
      <c r="T592" s="1" t="str">
        <f>IF(AND(Raw!A592="",Raw!B592="",Raw!C592="",Raw!D592="",Raw!E592="",Raw!F592="",Raw!G592=""),"UNUSED",IF(A592="","missing line ID",IF(B592="","missing transaction ID",IF(G592="",IF(C592="","missing date","invalid date"),IF(I592="","unknown product",IF(J592="","conflicting category",IF(NOT(OR(EXACT(K592,"sale"),EXACT(K592,"refund"))),"unknown event",IF(OR(N592="",NOT(O592)),"invalid amount",IF(OR(AND(K592="sale",N592&lt;=0),AND(K592="refund",N592&gt;=0)),"invalid sign","")))))))))</f>
        <v/>
      </c>
      <c r="U592" s="1" t="str">
        <f t="shared" si="77"/>
        <v>INCLUDED</v>
      </c>
      <c r="V592" s="1" t="str">
        <f t="shared" si="78"/>
        <v>2026-03</v>
      </c>
      <c r="W592" s="1">
        <f>IF(AND(U592="INCLUDED",X592&gt;0,EXACT(A592,'AI output'!A592)),1,0)</f>
        <v>1</v>
      </c>
      <c r="X592" s="1">
        <f>592</f>
        <v>592</v>
      </c>
      <c r="Y592" s="1">
        <f>IF(AND(U592="INCLUDED",W592=1),--(NOT(EXACT(A592,'AI output'!A592)))+--(NOT(EXACT(B592,'AI output'!B592)))+--(NOT(EXACT(TEXT(G592,"yyyy-mm-dd"),'AI output'!C592)))+--(NOT(EXACT(H592,'AI output'!D592)))+--(NOT(EXACT(J592,'AI output'!E592)))+--(NOT(EXACT(K592,'AI output'!F592)))+--(N592&lt;&gt;'AI output'!L592)+--(NOT('AI output'!M592)),0)</f>
        <v>0</v>
      </c>
      <c r="Z592" s="1">
        <f t="shared" si="79"/>
        <v>0</v>
      </c>
      <c r="AA592" s="1">
        <f>--EXACT(A592,"L00586")</f>
        <v>1</v>
      </c>
    </row>
    <row r="593" spans="1:27" ht="18.95" customHeight="1">
      <c r="A593" s="1" t="str">
        <f>IF(Raw!A593="","",Raw!A593)</f>
        <v>L00587</v>
      </c>
      <c r="B593" s="1" t="str">
        <f>IF(Raw!B593="","",Raw!B593)</f>
        <v>T00294</v>
      </c>
      <c r="C593" s="1" t="str">
        <f>IF(Raw!C593="","",Raw!C593)</f>
        <v>2026-03-13</v>
      </c>
      <c r="D593" s="1">
        <f t="shared" si="72"/>
        <v>2026</v>
      </c>
      <c r="E593" s="1">
        <f>IFERROR(IF(AND(LEN(C593)=10,MID(C593,5,1)="-",MID(C593,8,1)="-"),VALUE(MID(C593,6,2)),IF(AND(LEN(C593)=11,MID(C593,3,1)="-",MID(C593,7,1)="-"),MATCH(UPPER(MID(C593,4,3)),Guide!$D$7:$D$18,0),0)),0)</f>
        <v>3</v>
      </c>
      <c r="F593" s="1">
        <f t="shared" si="73"/>
        <v>13</v>
      </c>
      <c r="G593" s="9">
        <f t="shared" si="74"/>
        <v>46094</v>
      </c>
      <c r="H593" s="1" t="str">
        <f>IF(Raw!D593="","",Raw!D593)</f>
        <v>P-H</v>
      </c>
      <c r="I593" s="1" t="str">
        <f>IFERROR(IF(EXACT(H593,INDEX(Guide!$A$7:$A$9,MATCH(SUBSTITUTE(SUBSTITUTE(SUBSTITUTE(H593,"~","~~"),"*","~*"),"?","~?"),Guide!$A$7:$A$9,0))),INDEX(Guide!$B$7:$B$9,MATCH(SUBSTITUTE(SUBSTITUTE(SUBSTITUTE(H593,"~","~~"),"*","~*"),"?","~?"),Guide!$A$7:$A$9,0)),""),"")</f>
        <v>Home</v>
      </c>
      <c r="J593" s="1" t="str">
        <f>IF(TRIM(Raw!E593)="",I593,IF(UPPER(TRIM(Raw!E593))=UPPER(I593),I593,""))</f>
        <v>Home</v>
      </c>
      <c r="K593" s="1" t="str">
        <f>IF(Raw!F593="","",Raw!F593)</f>
        <v>sale</v>
      </c>
      <c r="L593" s="1" t="str">
        <f>IF(LEFT(TRIM(Raw!G593),2)="-$","-"&amp;MID(TRIM(Raw!G593),3,99),IF(LEFT(TRIM(Raw!G593),1)="$",MID(TRIM(Raw!G593),2,99),TRIM(Raw!G593)))</f>
        <v>305.43</v>
      </c>
      <c r="M593" s="1">
        <f t="shared" si="75"/>
        <v>305.43</v>
      </c>
      <c r="N593" s="10">
        <f t="shared" si="76"/>
        <v>30543</v>
      </c>
      <c r="O593" s="1" t="b">
        <f>IFERROR(IF(ISNUMBER(Raw!G593),TRUE,OR(EXACT(L593,TEXT(M593,"0.00")),EXACT(L593,TEXT(M593,"#,##0.00")))),FALSE)</f>
        <v>1</v>
      </c>
      <c r="P593" s="1" t="str">
        <f>LEN(IF(Raw!A593="","",Raw!A593))&amp;":"&amp;IF(Raw!A593="","",Raw!A593)&amp;"|"&amp;LEN(IF(Raw!B593="","",Raw!B593))&amp;":"&amp;IF(Raw!B593="","",Raw!B593)&amp;"|"&amp;LEN(IF(Raw!C593="","",Raw!C593))&amp;":"&amp;IF(Raw!C593="","",Raw!C593)&amp;"|"&amp;LEN(IF(Raw!D593="","",Raw!D593))&amp;":"&amp;IF(Raw!D593="","",Raw!D593)&amp;"|"&amp;LEN(IF(Raw!E593="","",Raw!E593))&amp;":"&amp;IF(Raw!E593="","",Raw!E593)&amp;"|"&amp;LEN(IF(Raw!F593="","",Raw!F593))&amp;":"&amp;IF(Raw!F593="","",Raw!F593)&amp;"|"&amp;LEN(IF(Raw!G593="","",Raw!G593))&amp;":"&amp;IF(Raw!G593="","",Raw!G593)</f>
        <v>6:L00587|6:T00294|10:2026-03-13|3:P-H|4:Home|4:sale|6:305.43</v>
      </c>
      <c r="Q593" s="1">
        <f>1</f>
        <v>1</v>
      </c>
      <c r="R593" s="1" t="b">
        <f>FALSE</f>
        <v>0</v>
      </c>
      <c r="S593" s="1">
        <f>1</f>
        <v>1</v>
      </c>
      <c r="T593" s="1" t="str">
        <f>IF(AND(Raw!A593="",Raw!B593="",Raw!C593="",Raw!D593="",Raw!E593="",Raw!F593="",Raw!G593=""),"UNUSED",IF(A593="","missing line ID",IF(B593="","missing transaction ID",IF(G593="",IF(C593="","missing date","invalid date"),IF(I593="","unknown product",IF(J593="","conflicting category",IF(NOT(OR(EXACT(K593,"sale"),EXACT(K593,"refund"))),"unknown event",IF(OR(N593="",NOT(O593)),"invalid amount",IF(OR(AND(K593="sale",N593&lt;=0),AND(K593="refund",N593&gt;=0)),"invalid sign","")))))))))</f>
        <v/>
      </c>
      <c r="U593" s="1" t="str">
        <f t="shared" si="77"/>
        <v>INCLUDED</v>
      </c>
      <c r="V593" s="1" t="str">
        <f t="shared" si="78"/>
        <v>2026-03</v>
      </c>
      <c r="W593" s="1">
        <f>IF(AND(U593="INCLUDED",X593&gt;0,EXACT(A593,'AI output'!A593)),1,0)</f>
        <v>1</v>
      </c>
      <c r="X593" s="1">
        <f>593</f>
        <v>593</v>
      </c>
      <c r="Y593" s="1">
        <f>IF(AND(U593="INCLUDED",W593=1),--(NOT(EXACT(A593,'AI output'!A593)))+--(NOT(EXACT(B593,'AI output'!B593)))+--(NOT(EXACT(TEXT(G593,"yyyy-mm-dd"),'AI output'!C593)))+--(NOT(EXACT(H593,'AI output'!D593)))+--(NOT(EXACT(J593,'AI output'!E593)))+--(NOT(EXACT(K593,'AI output'!F593)))+--(N593&lt;&gt;'AI output'!L593)+--(NOT('AI output'!M593)),0)</f>
        <v>0</v>
      </c>
      <c r="Z593" s="1">
        <f t="shared" si="79"/>
        <v>0</v>
      </c>
      <c r="AA593" s="1">
        <f>--EXACT(A593,"L00587")</f>
        <v>1</v>
      </c>
    </row>
    <row r="594" spans="1:27" ht="18.95" customHeight="1">
      <c r="A594" s="1" t="str">
        <f>IF(Raw!A594="","",Raw!A594)</f>
        <v>L00588</v>
      </c>
      <c r="B594" s="1" t="str">
        <f>IF(Raw!B594="","",Raw!B594)</f>
        <v>T00294</v>
      </c>
      <c r="C594" s="1" t="str">
        <f>IF(Raw!C594="","",Raw!C594)</f>
        <v>2026-03-13</v>
      </c>
      <c r="D594" s="1">
        <f t="shared" si="72"/>
        <v>2026</v>
      </c>
      <c r="E594" s="1">
        <f>IFERROR(IF(AND(LEN(C594)=10,MID(C594,5,1)="-",MID(C594,8,1)="-"),VALUE(MID(C594,6,2)),IF(AND(LEN(C594)=11,MID(C594,3,1)="-",MID(C594,7,1)="-"),MATCH(UPPER(MID(C594,4,3)),Guide!$D$7:$D$18,0),0)),0)</f>
        <v>3</v>
      </c>
      <c r="F594" s="1">
        <f t="shared" si="73"/>
        <v>13</v>
      </c>
      <c r="G594" s="9">
        <f t="shared" si="74"/>
        <v>46094</v>
      </c>
      <c r="H594" s="1" t="str">
        <f>IF(Raw!D594="","",Raw!D594)</f>
        <v>P-O</v>
      </c>
      <c r="I594" s="1" t="str">
        <f>IFERROR(IF(EXACT(H594,INDEX(Guide!$A$7:$A$9,MATCH(SUBSTITUTE(SUBSTITUTE(SUBSTITUTE(H594,"~","~~"),"*","~*"),"?","~?"),Guide!$A$7:$A$9,0))),INDEX(Guide!$B$7:$B$9,MATCH(SUBSTITUTE(SUBSTITUTE(SUBSTITUTE(H594,"~","~~"),"*","~*"),"?","~?"),Guide!$A$7:$A$9,0)),""),"")</f>
        <v>Office</v>
      </c>
      <c r="J594" s="1" t="str">
        <f>IF(TRIM(Raw!E594)="",I594,IF(UPPER(TRIM(Raw!E594))=UPPER(I594),I594,""))</f>
        <v>Office</v>
      </c>
      <c r="K594" s="1" t="str">
        <f>IF(Raw!F594="","",Raw!F594)</f>
        <v>sale</v>
      </c>
      <c r="L594" s="1" t="str">
        <f>IF(LEFT(TRIM(Raw!G594),2)="-$","-"&amp;MID(TRIM(Raw!G594),3,99),IF(LEFT(TRIM(Raw!G594),1)="$",MID(TRIM(Raw!G594),2,99),TRIM(Raw!G594)))</f>
        <v>510.90</v>
      </c>
      <c r="M594" s="1">
        <f t="shared" si="75"/>
        <v>510.9</v>
      </c>
      <c r="N594" s="10">
        <f t="shared" si="76"/>
        <v>51090</v>
      </c>
      <c r="O594" s="1" t="b">
        <f>IFERROR(IF(ISNUMBER(Raw!G594),TRUE,OR(EXACT(L594,TEXT(M594,"0.00")),EXACT(L594,TEXT(M594,"#,##0.00")))),FALSE)</f>
        <v>1</v>
      </c>
      <c r="P594" s="1" t="str">
        <f>LEN(IF(Raw!A594="","",Raw!A594))&amp;":"&amp;IF(Raw!A594="","",Raw!A594)&amp;"|"&amp;LEN(IF(Raw!B594="","",Raw!B594))&amp;":"&amp;IF(Raw!B594="","",Raw!B594)&amp;"|"&amp;LEN(IF(Raw!C594="","",Raw!C594))&amp;":"&amp;IF(Raw!C594="","",Raw!C594)&amp;"|"&amp;LEN(IF(Raw!D594="","",Raw!D594))&amp;":"&amp;IF(Raw!D594="","",Raw!D594)&amp;"|"&amp;LEN(IF(Raw!E594="","",Raw!E594))&amp;":"&amp;IF(Raw!E594="","",Raw!E594)&amp;"|"&amp;LEN(IF(Raw!F594="","",Raw!F594))&amp;":"&amp;IF(Raw!F594="","",Raw!F594)&amp;"|"&amp;LEN(IF(Raw!G594="","",Raw!G594))&amp;":"&amp;IF(Raw!G594="","",Raw!G594)</f>
        <v>6:L00588|6:T00294|10:2026-03-13|3:P-O|6:Office|4:sale|6:510.90</v>
      </c>
      <c r="Q594" s="1">
        <f>1</f>
        <v>1</v>
      </c>
      <c r="R594" s="1" t="b">
        <f>FALSE</f>
        <v>0</v>
      </c>
      <c r="S594" s="1">
        <f>1</f>
        <v>1</v>
      </c>
      <c r="T594" s="1" t="str">
        <f>IF(AND(Raw!A594="",Raw!B594="",Raw!C594="",Raw!D594="",Raw!E594="",Raw!F594="",Raw!G594=""),"UNUSED",IF(A594="","missing line ID",IF(B594="","missing transaction ID",IF(G594="",IF(C594="","missing date","invalid date"),IF(I594="","unknown product",IF(J594="","conflicting category",IF(NOT(OR(EXACT(K594,"sale"),EXACT(K594,"refund"))),"unknown event",IF(OR(N594="",NOT(O594)),"invalid amount",IF(OR(AND(K594="sale",N594&lt;=0),AND(K594="refund",N594&gt;=0)),"invalid sign","")))))))))</f>
        <v/>
      </c>
      <c r="U594" s="1" t="str">
        <f t="shared" si="77"/>
        <v>INCLUDED</v>
      </c>
      <c r="V594" s="1" t="str">
        <f t="shared" si="78"/>
        <v>2026-03</v>
      </c>
      <c r="W594" s="1">
        <f>IF(AND(U594="INCLUDED",X594&gt;0,EXACT(A594,'AI output'!A594)),1,0)</f>
        <v>1</v>
      </c>
      <c r="X594" s="1">
        <f>594</f>
        <v>594</v>
      </c>
      <c r="Y594" s="1">
        <f>IF(AND(U594="INCLUDED",W594=1),--(NOT(EXACT(A594,'AI output'!A594)))+--(NOT(EXACT(B594,'AI output'!B594)))+--(NOT(EXACT(TEXT(G594,"yyyy-mm-dd"),'AI output'!C594)))+--(NOT(EXACT(H594,'AI output'!D594)))+--(NOT(EXACT(J594,'AI output'!E594)))+--(NOT(EXACT(K594,'AI output'!F594)))+--(N594&lt;&gt;'AI output'!L594)+--(NOT('AI output'!M594)),0)</f>
        <v>0</v>
      </c>
      <c r="Z594" s="1">
        <f t="shared" si="79"/>
        <v>0</v>
      </c>
      <c r="AA594" s="1">
        <f>--EXACT(A594,"L00588")</f>
        <v>1</v>
      </c>
    </row>
    <row r="595" spans="1:27" ht="18.95" customHeight="1">
      <c r="A595" s="1" t="str">
        <f>IF(Raw!A595="","",Raw!A595)</f>
        <v>L00589</v>
      </c>
      <c r="B595" s="1" t="str">
        <f>IF(Raw!B595="","",Raw!B595)</f>
        <v>T00295</v>
      </c>
      <c r="C595" s="1" t="str">
        <f>IF(Raw!C595="","",Raw!C595)</f>
        <v>2026-03-20</v>
      </c>
      <c r="D595" s="1">
        <f t="shared" si="72"/>
        <v>2026</v>
      </c>
      <c r="E595" s="1">
        <f>IFERROR(IF(AND(LEN(C595)=10,MID(C595,5,1)="-",MID(C595,8,1)="-"),VALUE(MID(C595,6,2)),IF(AND(LEN(C595)=11,MID(C595,3,1)="-",MID(C595,7,1)="-"),MATCH(UPPER(MID(C595,4,3)),Guide!$D$7:$D$18,0),0)),0)</f>
        <v>3</v>
      </c>
      <c r="F595" s="1">
        <f t="shared" si="73"/>
        <v>20</v>
      </c>
      <c r="G595" s="9">
        <f t="shared" si="74"/>
        <v>46101</v>
      </c>
      <c r="H595" s="1" t="str">
        <f>IF(Raw!D595="","",Raw!D595)</f>
        <v>P-A</v>
      </c>
      <c r="I595" s="1" t="str">
        <f>IFERROR(IF(EXACT(H595,INDEX(Guide!$A$7:$A$9,MATCH(SUBSTITUTE(SUBSTITUTE(SUBSTITUTE(H595,"~","~~"),"*","~*"),"?","~?"),Guide!$A$7:$A$9,0))),INDEX(Guide!$B$7:$B$9,MATCH(SUBSTITUTE(SUBSTITUTE(SUBSTITUTE(H595,"~","~~"),"*","~*"),"?","~?"),Guide!$A$7:$A$9,0)),""),"")</f>
        <v>Accessories</v>
      </c>
      <c r="J595" s="1" t="str">
        <f>IF(TRIM(Raw!E595)="",I595,IF(UPPER(TRIM(Raw!E595))=UPPER(I595),I595,""))</f>
        <v>Accessories</v>
      </c>
      <c r="K595" s="1" t="str">
        <f>IF(Raw!F595="","",Raw!F595)</f>
        <v>sale</v>
      </c>
      <c r="L595" s="1" t="str">
        <f>IF(LEFT(TRIM(Raw!G595),2)="-$","-"&amp;MID(TRIM(Raw!G595),3,99),IF(LEFT(TRIM(Raw!G595),1)="$",MID(TRIM(Raw!G595),2,99),TRIM(Raw!G595)))</f>
        <v>205.10</v>
      </c>
      <c r="M595" s="1">
        <f t="shared" si="75"/>
        <v>205.1</v>
      </c>
      <c r="N595" s="10">
        <f t="shared" si="76"/>
        <v>20510</v>
      </c>
      <c r="O595" s="1" t="b">
        <f>IFERROR(IF(ISNUMBER(Raw!G595),TRUE,OR(EXACT(L595,TEXT(M595,"0.00")),EXACT(L595,TEXT(M595,"#,##0.00")))),FALSE)</f>
        <v>1</v>
      </c>
      <c r="P595" s="1" t="str">
        <f>LEN(IF(Raw!A595="","",Raw!A595))&amp;":"&amp;IF(Raw!A595="","",Raw!A595)&amp;"|"&amp;LEN(IF(Raw!B595="","",Raw!B595))&amp;":"&amp;IF(Raw!B595="","",Raw!B595)&amp;"|"&amp;LEN(IF(Raw!C595="","",Raw!C595))&amp;":"&amp;IF(Raw!C595="","",Raw!C595)&amp;"|"&amp;LEN(IF(Raw!D595="","",Raw!D595))&amp;":"&amp;IF(Raw!D595="","",Raw!D595)&amp;"|"&amp;LEN(IF(Raw!E595="","",Raw!E595))&amp;":"&amp;IF(Raw!E595="","",Raw!E595)&amp;"|"&amp;LEN(IF(Raw!F595="","",Raw!F595))&amp;":"&amp;IF(Raw!F595="","",Raw!F595)&amp;"|"&amp;LEN(IF(Raw!G595="","",Raw!G595))&amp;":"&amp;IF(Raw!G595="","",Raw!G595)</f>
        <v>6:L00589|6:T00295|10:2026-03-20|3:P-A|11:Accessories|4:sale|6:205.10</v>
      </c>
      <c r="Q595" s="1">
        <f>1</f>
        <v>1</v>
      </c>
      <c r="R595" s="1" t="b">
        <f>FALSE</f>
        <v>0</v>
      </c>
      <c r="S595" s="1">
        <f>1</f>
        <v>1</v>
      </c>
      <c r="T595" s="1" t="str">
        <f>IF(AND(Raw!A595="",Raw!B595="",Raw!C595="",Raw!D595="",Raw!E595="",Raw!F595="",Raw!G595=""),"UNUSED",IF(A595="","missing line ID",IF(B595="","missing transaction ID",IF(G595="",IF(C595="","missing date","invalid date"),IF(I595="","unknown product",IF(J595="","conflicting category",IF(NOT(OR(EXACT(K595,"sale"),EXACT(K595,"refund"))),"unknown event",IF(OR(N595="",NOT(O595)),"invalid amount",IF(OR(AND(K595="sale",N595&lt;=0),AND(K595="refund",N595&gt;=0)),"invalid sign","")))))))))</f>
        <v/>
      </c>
      <c r="U595" s="1" t="str">
        <f t="shared" si="77"/>
        <v>INCLUDED</v>
      </c>
      <c r="V595" s="1" t="str">
        <f t="shared" si="78"/>
        <v>2026-03</v>
      </c>
      <c r="W595" s="1">
        <f>IF(AND(U595="INCLUDED",X595&gt;0,EXACT(A595,'AI output'!A595)),1,0)</f>
        <v>1</v>
      </c>
      <c r="X595" s="1">
        <f>595</f>
        <v>595</v>
      </c>
      <c r="Y595" s="1">
        <f>IF(AND(U595="INCLUDED",W595=1),--(NOT(EXACT(A595,'AI output'!A595)))+--(NOT(EXACT(B595,'AI output'!B595)))+--(NOT(EXACT(TEXT(G595,"yyyy-mm-dd"),'AI output'!C595)))+--(NOT(EXACT(H595,'AI output'!D595)))+--(NOT(EXACT(J595,'AI output'!E595)))+--(NOT(EXACT(K595,'AI output'!F595)))+--(N595&lt;&gt;'AI output'!L595)+--(NOT('AI output'!M595)),0)</f>
        <v>0</v>
      </c>
      <c r="Z595" s="1">
        <f t="shared" si="79"/>
        <v>0</v>
      </c>
      <c r="AA595" s="1">
        <f>--EXACT(A595,"L00589")</f>
        <v>1</v>
      </c>
    </row>
    <row r="596" spans="1:27" ht="18.95" customHeight="1">
      <c r="A596" s="1" t="str">
        <f>IF(Raw!A596="","",Raw!A596)</f>
        <v>L00590</v>
      </c>
      <c r="B596" s="1" t="str">
        <f>IF(Raw!B596="","",Raw!B596)</f>
        <v>T00295</v>
      </c>
      <c r="C596" s="1" t="str">
        <f>IF(Raw!C596="","",Raw!C596)</f>
        <v>2026-03-20</v>
      </c>
      <c r="D596" s="1">
        <f t="shared" si="72"/>
        <v>2026</v>
      </c>
      <c r="E596" s="1">
        <f>IFERROR(IF(AND(LEN(C596)=10,MID(C596,5,1)="-",MID(C596,8,1)="-"),VALUE(MID(C596,6,2)),IF(AND(LEN(C596)=11,MID(C596,3,1)="-",MID(C596,7,1)="-"),MATCH(UPPER(MID(C596,4,3)),Guide!$D$7:$D$18,0),0)),0)</f>
        <v>3</v>
      </c>
      <c r="F596" s="1">
        <f t="shared" si="73"/>
        <v>20</v>
      </c>
      <c r="G596" s="9">
        <f t="shared" si="74"/>
        <v>46101</v>
      </c>
      <c r="H596" s="1" t="str">
        <f>IF(Raw!D596="","",Raw!D596)</f>
        <v>P-H</v>
      </c>
      <c r="I596" s="1" t="str">
        <f>IFERROR(IF(EXACT(H596,INDEX(Guide!$A$7:$A$9,MATCH(SUBSTITUTE(SUBSTITUTE(SUBSTITUTE(H596,"~","~~"),"*","~*"),"?","~?"),Guide!$A$7:$A$9,0))),INDEX(Guide!$B$7:$B$9,MATCH(SUBSTITUTE(SUBSTITUTE(SUBSTITUTE(H596,"~","~~"),"*","~*"),"?","~?"),Guide!$A$7:$A$9,0)),""),"")</f>
        <v>Home</v>
      </c>
      <c r="J596" s="1" t="str">
        <f>IF(TRIM(Raw!E596)="",I596,IF(UPPER(TRIM(Raw!E596))=UPPER(I596),I596,""))</f>
        <v>Home</v>
      </c>
      <c r="K596" s="1" t="str">
        <f>IF(Raw!F596="","",Raw!F596)</f>
        <v>sale</v>
      </c>
      <c r="L596" s="1" t="str">
        <f>IF(LEFT(TRIM(Raw!G596),2)="-$","-"&amp;MID(TRIM(Raw!G596),3,99),IF(LEFT(TRIM(Raw!G596),1)="$",MID(TRIM(Raw!G596),2,99),TRIM(Raw!G596)))</f>
        <v>411.68</v>
      </c>
      <c r="M596" s="1">
        <f t="shared" si="75"/>
        <v>411.68</v>
      </c>
      <c r="N596" s="10">
        <f t="shared" si="76"/>
        <v>41168</v>
      </c>
      <c r="O596" s="1" t="b">
        <f>IFERROR(IF(ISNUMBER(Raw!G596),TRUE,OR(EXACT(L596,TEXT(M596,"0.00")),EXACT(L596,TEXT(M596,"#,##0.00")))),FALSE)</f>
        <v>1</v>
      </c>
      <c r="P596" s="1" t="str">
        <f>LEN(IF(Raw!A596="","",Raw!A596))&amp;":"&amp;IF(Raw!A596="","",Raw!A596)&amp;"|"&amp;LEN(IF(Raw!B596="","",Raw!B596))&amp;":"&amp;IF(Raw!B596="","",Raw!B596)&amp;"|"&amp;LEN(IF(Raw!C596="","",Raw!C596))&amp;":"&amp;IF(Raw!C596="","",Raw!C596)&amp;"|"&amp;LEN(IF(Raw!D596="","",Raw!D596))&amp;":"&amp;IF(Raw!D596="","",Raw!D596)&amp;"|"&amp;LEN(IF(Raw!E596="","",Raw!E596))&amp;":"&amp;IF(Raw!E596="","",Raw!E596)&amp;"|"&amp;LEN(IF(Raw!F596="","",Raw!F596))&amp;":"&amp;IF(Raw!F596="","",Raw!F596)&amp;"|"&amp;LEN(IF(Raw!G596="","",Raw!G596))&amp;":"&amp;IF(Raw!G596="","",Raw!G596)</f>
        <v>6:L00590|6:T00295|10:2026-03-20|3:P-H|4:Home|4:sale|6:411.68</v>
      </c>
      <c r="Q596" s="1">
        <f>1</f>
        <v>1</v>
      </c>
      <c r="R596" s="1" t="b">
        <f>FALSE</f>
        <v>0</v>
      </c>
      <c r="S596" s="1">
        <f>1</f>
        <v>1</v>
      </c>
      <c r="T596" s="1" t="str">
        <f>IF(AND(Raw!A596="",Raw!B596="",Raw!C596="",Raw!D596="",Raw!E596="",Raw!F596="",Raw!G596=""),"UNUSED",IF(A596="","missing line ID",IF(B596="","missing transaction ID",IF(G596="",IF(C596="","missing date","invalid date"),IF(I596="","unknown product",IF(J596="","conflicting category",IF(NOT(OR(EXACT(K596,"sale"),EXACT(K596,"refund"))),"unknown event",IF(OR(N596="",NOT(O596)),"invalid amount",IF(OR(AND(K596="sale",N596&lt;=0),AND(K596="refund",N596&gt;=0)),"invalid sign","")))))))))</f>
        <v/>
      </c>
      <c r="U596" s="1" t="str">
        <f t="shared" si="77"/>
        <v>INCLUDED</v>
      </c>
      <c r="V596" s="1" t="str">
        <f t="shared" si="78"/>
        <v>2026-03</v>
      </c>
      <c r="W596" s="1">
        <f>IF(AND(U596="INCLUDED",X596&gt;0,EXACT(A596,'AI output'!A596)),1,0)</f>
        <v>1</v>
      </c>
      <c r="X596" s="1">
        <f>596</f>
        <v>596</v>
      </c>
      <c r="Y596" s="1">
        <f>IF(AND(U596="INCLUDED",W596=1),--(NOT(EXACT(A596,'AI output'!A596)))+--(NOT(EXACT(B596,'AI output'!B596)))+--(NOT(EXACT(TEXT(G596,"yyyy-mm-dd"),'AI output'!C596)))+--(NOT(EXACT(H596,'AI output'!D596)))+--(NOT(EXACT(J596,'AI output'!E596)))+--(NOT(EXACT(K596,'AI output'!F596)))+--(N596&lt;&gt;'AI output'!L596)+--(NOT('AI output'!M596)),0)</f>
        <v>0</v>
      </c>
      <c r="Z596" s="1">
        <f t="shared" si="79"/>
        <v>0</v>
      </c>
      <c r="AA596" s="1">
        <f>--EXACT(A596,"L00590")</f>
        <v>1</v>
      </c>
    </row>
    <row r="597" spans="1:27" ht="18.95" customHeight="1">
      <c r="A597" s="1" t="str">
        <f>IF(Raw!A597="","",Raw!A597)</f>
        <v>L00591</v>
      </c>
      <c r="B597" s="1" t="str">
        <f>IF(Raw!B597="","",Raw!B597)</f>
        <v>T00296</v>
      </c>
      <c r="C597" s="1" t="str">
        <f>IF(Raw!C597="","",Raw!C597)</f>
        <v>2026-03-27</v>
      </c>
      <c r="D597" s="1">
        <f t="shared" si="72"/>
        <v>2026</v>
      </c>
      <c r="E597" s="1">
        <f>IFERROR(IF(AND(LEN(C597)=10,MID(C597,5,1)="-",MID(C597,8,1)="-"),VALUE(MID(C597,6,2)),IF(AND(LEN(C597)=11,MID(C597,3,1)="-",MID(C597,7,1)="-"),MATCH(UPPER(MID(C597,4,3)),Guide!$D$7:$D$18,0),0)),0)</f>
        <v>3</v>
      </c>
      <c r="F597" s="1">
        <f t="shared" si="73"/>
        <v>27</v>
      </c>
      <c r="G597" s="9">
        <f t="shared" si="74"/>
        <v>46108</v>
      </c>
      <c r="H597" s="1" t="str">
        <f>IF(Raw!D597="","",Raw!D597)</f>
        <v>P-O</v>
      </c>
      <c r="I597" s="1" t="str">
        <f>IFERROR(IF(EXACT(H597,INDEX(Guide!$A$7:$A$9,MATCH(SUBSTITUTE(SUBSTITUTE(SUBSTITUTE(H597,"~","~~"),"*","~*"),"?","~?"),Guide!$A$7:$A$9,0))),INDEX(Guide!$B$7:$B$9,MATCH(SUBSTITUTE(SUBSTITUTE(SUBSTITUTE(H597,"~","~~"),"*","~*"),"?","~?"),Guide!$A$7:$A$9,0)),""),"")</f>
        <v>Office</v>
      </c>
      <c r="J597" s="1" t="str">
        <f>IF(TRIM(Raw!E597)="",I597,IF(UPPER(TRIM(Raw!E597))=UPPER(I597),I597,""))</f>
        <v>Office</v>
      </c>
      <c r="K597" s="1" t="str">
        <f>IF(Raw!F597="","",Raw!F597)</f>
        <v>sale</v>
      </c>
      <c r="L597" s="1" t="str">
        <f>IF(LEFT(TRIM(Raw!G597),2)="-$","-"&amp;MID(TRIM(Raw!G597),3,99),IF(LEFT(TRIM(Raw!G597),1)="$",MID(TRIM(Raw!G597),2,99),TRIM(Raw!G597)))</f>
        <v>103.29</v>
      </c>
      <c r="M597" s="1">
        <f t="shared" si="75"/>
        <v>103.29</v>
      </c>
      <c r="N597" s="10">
        <f t="shared" si="76"/>
        <v>10329</v>
      </c>
      <c r="O597" s="1" t="b">
        <f>IFERROR(IF(ISNUMBER(Raw!G597),TRUE,OR(EXACT(L597,TEXT(M597,"0.00")),EXACT(L597,TEXT(M597,"#,##0.00")))),FALSE)</f>
        <v>1</v>
      </c>
      <c r="P597" s="1" t="str">
        <f>LEN(IF(Raw!A597="","",Raw!A597))&amp;":"&amp;IF(Raw!A597="","",Raw!A597)&amp;"|"&amp;LEN(IF(Raw!B597="","",Raw!B597))&amp;":"&amp;IF(Raw!B597="","",Raw!B597)&amp;"|"&amp;LEN(IF(Raw!C597="","",Raw!C597))&amp;":"&amp;IF(Raw!C597="","",Raw!C597)&amp;"|"&amp;LEN(IF(Raw!D597="","",Raw!D597))&amp;":"&amp;IF(Raw!D597="","",Raw!D597)&amp;"|"&amp;LEN(IF(Raw!E597="","",Raw!E597))&amp;":"&amp;IF(Raw!E597="","",Raw!E597)&amp;"|"&amp;LEN(IF(Raw!F597="","",Raw!F597))&amp;":"&amp;IF(Raw!F597="","",Raw!F597)&amp;"|"&amp;LEN(IF(Raw!G597="","",Raw!G597))&amp;":"&amp;IF(Raw!G597="","",Raw!G597)</f>
        <v>6:L00591|6:T00296|10:2026-03-27|3:P-O|6:Office|4:sale|6:103.29</v>
      </c>
      <c r="Q597" s="1">
        <f>1</f>
        <v>1</v>
      </c>
      <c r="R597" s="1" t="b">
        <f>FALSE</f>
        <v>0</v>
      </c>
      <c r="S597" s="1">
        <f>1</f>
        <v>1</v>
      </c>
      <c r="T597" s="1" t="str">
        <f>IF(AND(Raw!A597="",Raw!B597="",Raw!C597="",Raw!D597="",Raw!E597="",Raw!F597="",Raw!G597=""),"UNUSED",IF(A597="","missing line ID",IF(B597="","missing transaction ID",IF(G597="",IF(C597="","missing date","invalid date"),IF(I597="","unknown product",IF(J597="","conflicting category",IF(NOT(OR(EXACT(K597,"sale"),EXACT(K597,"refund"))),"unknown event",IF(OR(N597="",NOT(O597)),"invalid amount",IF(OR(AND(K597="sale",N597&lt;=0),AND(K597="refund",N597&gt;=0)),"invalid sign","")))))))))</f>
        <v/>
      </c>
      <c r="U597" s="1" t="str">
        <f t="shared" si="77"/>
        <v>INCLUDED</v>
      </c>
      <c r="V597" s="1" t="str">
        <f t="shared" si="78"/>
        <v>2026-03</v>
      </c>
      <c r="W597" s="1">
        <f>IF(AND(U597="INCLUDED",X597&gt;0,EXACT(A597,'AI output'!A597)),1,0)</f>
        <v>1</v>
      </c>
      <c r="X597" s="1">
        <f>597</f>
        <v>597</v>
      </c>
      <c r="Y597" s="1">
        <f>IF(AND(U597="INCLUDED",W597=1),--(NOT(EXACT(A597,'AI output'!A597)))+--(NOT(EXACT(B597,'AI output'!B597)))+--(NOT(EXACT(TEXT(G597,"yyyy-mm-dd"),'AI output'!C597)))+--(NOT(EXACT(H597,'AI output'!D597)))+--(NOT(EXACT(J597,'AI output'!E597)))+--(NOT(EXACT(K597,'AI output'!F597)))+--(N597&lt;&gt;'AI output'!L597)+--(NOT('AI output'!M597)),0)</f>
        <v>0</v>
      </c>
      <c r="Z597" s="1">
        <f t="shared" si="79"/>
        <v>0</v>
      </c>
      <c r="AA597" s="1">
        <f>--EXACT(A597,"L00591")</f>
        <v>1</v>
      </c>
    </row>
    <row r="598" spans="1:27" ht="18.95" customHeight="1">
      <c r="A598" s="1" t="str">
        <f>IF(Raw!A598="","",Raw!A598)</f>
        <v>L00592</v>
      </c>
      <c r="B598" s="1" t="str">
        <f>IF(Raw!B598="","",Raw!B598)</f>
        <v>T00296</v>
      </c>
      <c r="C598" s="1" t="str">
        <f>IF(Raw!C598="","",Raw!C598)</f>
        <v>2026-03-27</v>
      </c>
      <c r="D598" s="1">
        <f t="shared" si="72"/>
        <v>2026</v>
      </c>
      <c r="E598" s="1">
        <f>IFERROR(IF(AND(LEN(C598)=10,MID(C598,5,1)="-",MID(C598,8,1)="-"),VALUE(MID(C598,6,2)),IF(AND(LEN(C598)=11,MID(C598,3,1)="-",MID(C598,7,1)="-"),MATCH(UPPER(MID(C598,4,3)),Guide!$D$7:$D$18,0),0)),0)</f>
        <v>3</v>
      </c>
      <c r="F598" s="1">
        <f t="shared" si="73"/>
        <v>27</v>
      </c>
      <c r="G598" s="9">
        <f t="shared" si="74"/>
        <v>46108</v>
      </c>
      <c r="H598" s="1" t="str">
        <f>IF(Raw!D598="","",Raw!D598)</f>
        <v>P-A</v>
      </c>
      <c r="I598" s="1" t="str">
        <f>IFERROR(IF(EXACT(H598,INDEX(Guide!$A$7:$A$9,MATCH(SUBSTITUTE(SUBSTITUTE(SUBSTITUTE(H598,"~","~~"),"*","~*"),"?","~?"),Guide!$A$7:$A$9,0))),INDEX(Guide!$B$7:$B$9,MATCH(SUBSTITUTE(SUBSTITUTE(SUBSTITUTE(H598,"~","~~"),"*","~*"),"?","~?"),Guide!$A$7:$A$9,0)),""),"")</f>
        <v>Accessories</v>
      </c>
      <c r="J598" s="1" t="str">
        <f>IF(TRIM(Raw!E598)="",I598,IF(UPPER(TRIM(Raw!E598))=UPPER(I598),I598,""))</f>
        <v>Accessories</v>
      </c>
      <c r="K598" s="1" t="str">
        <f>IF(Raw!F598="","",Raw!F598)</f>
        <v>sale</v>
      </c>
      <c r="L598" s="1" t="str">
        <f>IF(LEFT(TRIM(Raw!G598),2)="-$","-"&amp;MID(TRIM(Raw!G598),3,99),IF(LEFT(TRIM(Raw!G598),1)="$",MID(TRIM(Raw!G598),2,99),TRIM(Raw!G598)))</f>
        <v>310.98</v>
      </c>
      <c r="M598" s="1">
        <f t="shared" si="75"/>
        <v>310.98</v>
      </c>
      <c r="N598" s="10">
        <f t="shared" si="76"/>
        <v>31098</v>
      </c>
      <c r="O598" s="1" t="b">
        <f>IFERROR(IF(ISNUMBER(Raw!G598),TRUE,OR(EXACT(L598,TEXT(M598,"0.00")),EXACT(L598,TEXT(M598,"#,##0.00")))),FALSE)</f>
        <v>1</v>
      </c>
      <c r="P598" s="1" t="str">
        <f>LEN(IF(Raw!A598="","",Raw!A598))&amp;":"&amp;IF(Raw!A598="","",Raw!A598)&amp;"|"&amp;LEN(IF(Raw!B598="","",Raw!B598))&amp;":"&amp;IF(Raw!B598="","",Raw!B598)&amp;"|"&amp;LEN(IF(Raw!C598="","",Raw!C598))&amp;":"&amp;IF(Raw!C598="","",Raw!C598)&amp;"|"&amp;LEN(IF(Raw!D598="","",Raw!D598))&amp;":"&amp;IF(Raw!D598="","",Raw!D598)&amp;"|"&amp;LEN(IF(Raw!E598="","",Raw!E598))&amp;":"&amp;IF(Raw!E598="","",Raw!E598)&amp;"|"&amp;LEN(IF(Raw!F598="","",Raw!F598))&amp;":"&amp;IF(Raw!F598="","",Raw!F598)&amp;"|"&amp;LEN(IF(Raw!G598="","",Raw!G598))&amp;":"&amp;IF(Raw!G598="","",Raw!G598)</f>
        <v>6:L00592|6:T00296|10:2026-03-27|3:P-A|11:Accessories|4:sale|6:310.98</v>
      </c>
      <c r="Q598" s="1">
        <f>1</f>
        <v>1</v>
      </c>
      <c r="R598" s="1" t="b">
        <f>FALSE</f>
        <v>0</v>
      </c>
      <c r="S598" s="1">
        <f>1</f>
        <v>1</v>
      </c>
      <c r="T598" s="1" t="str">
        <f>IF(AND(Raw!A598="",Raw!B598="",Raw!C598="",Raw!D598="",Raw!E598="",Raw!F598="",Raw!G598=""),"UNUSED",IF(A598="","missing line ID",IF(B598="","missing transaction ID",IF(G598="",IF(C598="","missing date","invalid date"),IF(I598="","unknown product",IF(J598="","conflicting category",IF(NOT(OR(EXACT(K598,"sale"),EXACT(K598,"refund"))),"unknown event",IF(OR(N598="",NOT(O598)),"invalid amount",IF(OR(AND(K598="sale",N598&lt;=0),AND(K598="refund",N598&gt;=0)),"invalid sign","")))))))))</f>
        <v/>
      </c>
      <c r="U598" s="1" t="str">
        <f t="shared" si="77"/>
        <v>INCLUDED</v>
      </c>
      <c r="V598" s="1" t="str">
        <f t="shared" si="78"/>
        <v>2026-03</v>
      </c>
      <c r="W598" s="1">
        <f>IF(AND(U598="INCLUDED",X598&gt;0,EXACT(A598,'AI output'!A598)),1,0)</f>
        <v>1</v>
      </c>
      <c r="X598" s="1">
        <f>598</f>
        <v>598</v>
      </c>
      <c r="Y598" s="1">
        <f>IF(AND(U598="INCLUDED",W598=1),--(NOT(EXACT(A598,'AI output'!A598)))+--(NOT(EXACT(B598,'AI output'!B598)))+--(NOT(EXACT(TEXT(G598,"yyyy-mm-dd"),'AI output'!C598)))+--(NOT(EXACT(H598,'AI output'!D598)))+--(NOT(EXACT(J598,'AI output'!E598)))+--(NOT(EXACT(K598,'AI output'!F598)))+--(N598&lt;&gt;'AI output'!L598)+--(NOT('AI output'!M598)),0)</f>
        <v>0</v>
      </c>
      <c r="Z598" s="1">
        <f t="shared" si="79"/>
        <v>0</v>
      </c>
      <c r="AA598" s="1">
        <f>--EXACT(A598,"L00592")</f>
        <v>1</v>
      </c>
    </row>
    <row r="599" spans="1:27" ht="18.95" customHeight="1">
      <c r="A599" s="1" t="str">
        <f>IF(Raw!A599="","",Raw!A599)</f>
        <v>L00593</v>
      </c>
      <c r="B599" s="1" t="str">
        <f>IF(Raw!B599="","",Raw!B599)</f>
        <v>T00297</v>
      </c>
      <c r="C599" s="1" t="str">
        <f>IF(Raw!C599="","",Raw!C599)</f>
        <v>2026-01-03</v>
      </c>
      <c r="D599" s="1">
        <f t="shared" si="72"/>
        <v>2026</v>
      </c>
      <c r="E599" s="1">
        <f>IFERROR(IF(AND(LEN(C599)=10,MID(C599,5,1)="-",MID(C599,8,1)="-"),VALUE(MID(C599,6,2)),IF(AND(LEN(C599)=11,MID(C599,3,1)="-",MID(C599,7,1)="-"),MATCH(UPPER(MID(C599,4,3)),Guide!$D$7:$D$18,0),0)),0)</f>
        <v>1</v>
      </c>
      <c r="F599" s="1">
        <f t="shared" si="73"/>
        <v>3</v>
      </c>
      <c r="G599" s="9">
        <f t="shared" si="74"/>
        <v>46025</v>
      </c>
      <c r="H599" s="1" t="str">
        <f>IF(Raw!D599="","",Raw!D599)</f>
        <v>P-H</v>
      </c>
      <c r="I599" s="1" t="str">
        <f>IFERROR(IF(EXACT(H599,INDEX(Guide!$A$7:$A$9,MATCH(SUBSTITUTE(SUBSTITUTE(SUBSTITUTE(H599,"~","~~"),"*","~*"),"?","~?"),Guide!$A$7:$A$9,0))),INDEX(Guide!$B$7:$B$9,MATCH(SUBSTITUTE(SUBSTITUTE(SUBSTITUTE(H599,"~","~~"),"*","~*"),"?","~?"),Guide!$A$7:$A$9,0)),""),"")</f>
        <v>Home</v>
      </c>
      <c r="J599" s="1" t="str">
        <f>IF(TRIM(Raw!E599)="",I599,IF(UPPER(TRIM(Raw!E599))=UPPER(I599),I599,""))</f>
        <v>Home</v>
      </c>
      <c r="K599" s="1" t="str">
        <f>IF(Raw!F599="","",Raw!F599)</f>
        <v>sale</v>
      </c>
      <c r="L599" s="1" t="str">
        <f>IF(LEFT(TRIM(Raw!G599),2)="-$","-"&amp;MID(TRIM(Raw!G599),3,99),IF(LEFT(TRIM(Raw!G599),1)="$",MID(TRIM(Raw!G599),2,99),TRIM(Raw!G599)))</f>
        <v>520.15</v>
      </c>
      <c r="M599" s="1">
        <f t="shared" si="75"/>
        <v>520.15</v>
      </c>
      <c r="N599" s="10">
        <f t="shared" si="76"/>
        <v>52015</v>
      </c>
      <c r="O599" s="1" t="b">
        <f>IFERROR(IF(ISNUMBER(Raw!G599),TRUE,OR(EXACT(L599,TEXT(M599,"0.00")),EXACT(L599,TEXT(M599,"#,##0.00")))),FALSE)</f>
        <v>1</v>
      </c>
      <c r="P599" s="1" t="str">
        <f>LEN(IF(Raw!A599="","",Raw!A599))&amp;":"&amp;IF(Raw!A599="","",Raw!A599)&amp;"|"&amp;LEN(IF(Raw!B599="","",Raw!B599))&amp;":"&amp;IF(Raw!B599="","",Raw!B599)&amp;"|"&amp;LEN(IF(Raw!C599="","",Raw!C599))&amp;":"&amp;IF(Raw!C599="","",Raw!C599)&amp;"|"&amp;LEN(IF(Raw!D599="","",Raw!D599))&amp;":"&amp;IF(Raw!D599="","",Raw!D599)&amp;"|"&amp;LEN(IF(Raw!E599="","",Raw!E599))&amp;":"&amp;IF(Raw!E599="","",Raw!E599)&amp;"|"&amp;LEN(IF(Raw!F599="","",Raw!F599))&amp;":"&amp;IF(Raw!F599="","",Raw!F599)&amp;"|"&amp;LEN(IF(Raw!G599="","",Raw!G599))&amp;":"&amp;IF(Raw!G599="","",Raw!G599)</f>
        <v>6:L00593|6:T00297|10:2026-01-03|3:P-H|4:Home|4:sale|6:520.15</v>
      </c>
      <c r="Q599" s="1">
        <f>1</f>
        <v>1</v>
      </c>
      <c r="R599" s="1" t="b">
        <f>FALSE</f>
        <v>0</v>
      </c>
      <c r="S599" s="1">
        <f>1</f>
        <v>1</v>
      </c>
      <c r="T599" s="1" t="str">
        <f>IF(AND(Raw!A599="",Raw!B599="",Raw!C599="",Raw!D599="",Raw!E599="",Raw!F599="",Raw!G599=""),"UNUSED",IF(A599="","missing line ID",IF(B599="","missing transaction ID",IF(G599="",IF(C599="","missing date","invalid date"),IF(I599="","unknown product",IF(J599="","conflicting category",IF(NOT(OR(EXACT(K599,"sale"),EXACT(K599,"refund"))),"unknown event",IF(OR(N599="",NOT(O599)),"invalid amount",IF(OR(AND(K599="sale",N599&lt;=0),AND(K599="refund",N599&gt;=0)),"invalid sign","")))))))))</f>
        <v/>
      </c>
      <c r="U599" s="1" t="str">
        <f t="shared" si="77"/>
        <v>INCLUDED</v>
      </c>
      <c r="V599" s="1" t="str">
        <f t="shared" si="78"/>
        <v>2026-01</v>
      </c>
      <c r="W599" s="1">
        <f>IF(AND(U599="INCLUDED",X599&gt;0,EXACT(A599,'AI output'!A599)),1,0)</f>
        <v>1</v>
      </c>
      <c r="X599" s="1">
        <f>599</f>
        <v>599</v>
      </c>
      <c r="Y599" s="1">
        <f>IF(AND(U599="INCLUDED",W599=1),--(NOT(EXACT(A599,'AI output'!A599)))+--(NOT(EXACT(B599,'AI output'!B599)))+--(NOT(EXACT(TEXT(G599,"yyyy-mm-dd"),'AI output'!C599)))+--(NOT(EXACT(H599,'AI output'!D599)))+--(NOT(EXACT(J599,'AI output'!E599)))+--(NOT(EXACT(K599,'AI output'!F599)))+--(N599&lt;&gt;'AI output'!L599)+--(NOT('AI output'!M599)),0)</f>
        <v>0</v>
      </c>
      <c r="Z599" s="1">
        <f t="shared" si="79"/>
        <v>0</v>
      </c>
      <c r="AA599" s="1">
        <f>--EXACT(A599,"L00593")</f>
        <v>1</v>
      </c>
    </row>
    <row r="600" spans="1:27" ht="18.95" customHeight="1">
      <c r="A600" s="1" t="str">
        <f>IF(Raw!A600="","",Raw!A600)</f>
        <v>L00594</v>
      </c>
      <c r="B600" s="1" t="str">
        <f>IF(Raw!B600="","",Raw!B600)</f>
        <v>T00297</v>
      </c>
      <c r="C600" s="1" t="str">
        <f>IF(Raw!C600="","",Raw!C600)</f>
        <v>2026-01-03</v>
      </c>
      <c r="D600" s="1">
        <f t="shared" si="72"/>
        <v>2026</v>
      </c>
      <c r="E600" s="1">
        <f>IFERROR(IF(AND(LEN(C600)=10,MID(C600,5,1)="-",MID(C600,8,1)="-"),VALUE(MID(C600,6,2)),IF(AND(LEN(C600)=11,MID(C600,3,1)="-",MID(C600,7,1)="-"),MATCH(UPPER(MID(C600,4,3)),Guide!$D$7:$D$18,0),0)),0)</f>
        <v>1</v>
      </c>
      <c r="F600" s="1">
        <f t="shared" si="73"/>
        <v>3</v>
      </c>
      <c r="G600" s="9">
        <f t="shared" si="74"/>
        <v>46025</v>
      </c>
      <c r="H600" s="1" t="str">
        <f>IF(Raw!D600="","",Raw!D600)</f>
        <v>P-O</v>
      </c>
      <c r="I600" s="1" t="str">
        <f>IFERROR(IF(EXACT(H600,INDEX(Guide!$A$7:$A$9,MATCH(SUBSTITUTE(SUBSTITUTE(SUBSTITUTE(H600,"~","~~"),"*","~*"),"?","~?"),Guide!$A$7:$A$9,0))),INDEX(Guide!$B$7:$B$9,MATCH(SUBSTITUTE(SUBSTITUTE(SUBSTITUTE(H600,"~","~~"),"*","~*"),"?","~?"),Guide!$A$7:$A$9,0)),""),"")</f>
        <v>Office</v>
      </c>
      <c r="J600" s="1" t="str">
        <f>IF(TRIM(Raw!E600)="",I600,IF(UPPER(TRIM(Raw!E600))=UPPER(I600),I600,""))</f>
        <v>Office</v>
      </c>
      <c r="K600" s="1" t="str">
        <f>IF(Raw!F600="","",Raw!F600)</f>
        <v>sale</v>
      </c>
      <c r="L600" s="1" t="str">
        <f>IF(LEFT(TRIM(Raw!G600),2)="-$","-"&amp;MID(TRIM(Raw!G600),3,99),IF(LEFT(TRIM(Raw!G600),1)="$",MID(TRIM(Raw!G600),2,99),TRIM(Raw!G600)))</f>
        <v>208.80</v>
      </c>
      <c r="M600" s="1">
        <f t="shared" si="75"/>
        <v>208.8</v>
      </c>
      <c r="N600" s="10">
        <f t="shared" si="76"/>
        <v>20880</v>
      </c>
      <c r="O600" s="1" t="b">
        <f>IFERROR(IF(ISNUMBER(Raw!G600),TRUE,OR(EXACT(L600,TEXT(M600,"0.00")),EXACT(L600,TEXT(M600,"#,##0.00")))),FALSE)</f>
        <v>1</v>
      </c>
      <c r="P600" s="1" t="str">
        <f>LEN(IF(Raw!A600="","",Raw!A600))&amp;":"&amp;IF(Raw!A600="","",Raw!A600)&amp;"|"&amp;LEN(IF(Raw!B600="","",Raw!B600))&amp;":"&amp;IF(Raw!B600="","",Raw!B600)&amp;"|"&amp;LEN(IF(Raw!C600="","",Raw!C600))&amp;":"&amp;IF(Raw!C600="","",Raw!C600)&amp;"|"&amp;LEN(IF(Raw!D600="","",Raw!D600))&amp;":"&amp;IF(Raw!D600="","",Raw!D600)&amp;"|"&amp;LEN(IF(Raw!E600="","",Raw!E600))&amp;":"&amp;IF(Raw!E600="","",Raw!E600)&amp;"|"&amp;LEN(IF(Raw!F600="","",Raw!F600))&amp;":"&amp;IF(Raw!F600="","",Raw!F600)&amp;"|"&amp;LEN(IF(Raw!G600="","",Raw!G600))&amp;":"&amp;IF(Raw!G600="","",Raw!G600)</f>
        <v>6:L00594|6:T00297|10:2026-01-03|3:P-O|6:Office|4:sale|6:208.80</v>
      </c>
      <c r="Q600" s="1">
        <f>1</f>
        <v>1</v>
      </c>
      <c r="R600" s="1" t="b">
        <f>FALSE</f>
        <v>0</v>
      </c>
      <c r="S600" s="1">
        <f>1</f>
        <v>1</v>
      </c>
      <c r="T600" s="1" t="str">
        <f>IF(AND(Raw!A600="",Raw!B600="",Raw!C600="",Raw!D600="",Raw!E600="",Raw!F600="",Raw!G600=""),"UNUSED",IF(A600="","missing line ID",IF(B600="","missing transaction ID",IF(G600="",IF(C600="","missing date","invalid date"),IF(I600="","unknown product",IF(J600="","conflicting category",IF(NOT(OR(EXACT(K600,"sale"),EXACT(K600,"refund"))),"unknown event",IF(OR(N600="",NOT(O600)),"invalid amount",IF(OR(AND(K600="sale",N600&lt;=0),AND(K600="refund",N600&gt;=0)),"invalid sign","")))))))))</f>
        <v/>
      </c>
      <c r="U600" s="1" t="str">
        <f t="shared" si="77"/>
        <v>INCLUDED</v>
      </c>
      <c r="V600" s="1" t="str">
        <f t="shared" si="78"/>
        <v>2026-01</v>
      </c>
      <c r="W600" s="1">
        <f>IF(AND(U600="INCLUDED",X600&gt;0,EXACT(A600,'AI output'!A600)),1,0)</f>
        <v>1</v>
      </c>
      <c r="X600" s="1">
        <f>600</f>
        <v>600</v>
      </c>
      <c r="Y600" s="1">
        <f>IF(AND(U600="INCLUDED",W600=1),--(NOT(EXACT(A600,'AI output'!A600)))+--(NOT(EXACT(B600,'AI output'!B600)))+--(NOT(EXACT(TEXT(G600,"yyyy-mm-dd"),'AI output'!C600)))+--(NOT(EXACT(H600,'AI output'!D600)))+--(NOT(EXACT(J600,'AI output'!E600)))+--(NOT(EXACT(K600,'AI output'!F600)))+--(N600&lt;&gt;'AI output'!L600)+--(NOT('AI output'!M600)),0)</f>
        <v>0</v>
      </c>
      <c r="Z600" s="1">
        <f t="shared" si="79"/>
        <v>0</v>
      </c>
      <c r="AA600" s="1">
        <f>--EXACT(A600,"L00594")</f>
        <v>1</v>
      </c>
    </row>
    <row r="601" spans="1:27" ht="18.95" customHeight="1">
      <c r="A601" s="1" t="str">
        <f>IF(Raw!A601="","",Raw!A601)</f>
        <v>L00595</v>
      </c>
      <c r="B601" s="1" t="str">
        <f>IF(Raw!B601="","",Raw!B601)</f>
        <v>T00298</v>
      </c>
      <c r="C601" s="1" t="str">
        <f>IF(Raw!C601="","",Raw!C601)</f>
        <v>2026-01-10</v>
      </c>
      <c r="D601" s="1">
        <f t="shared" si="72"/>
        <v>2026</v>
      </c>
      <c r="E601" s="1">
        <f>IFERROR(IF(AND(LEN(C601)=10,MID(C601,5,1)="-",MID(C601,8,1)="-"),VALUE(MID(C601,6,2)),IF(AND(LEN(C601)=11,MID(C601,3,1)="-",MID(C601,7,1)="-"),MATCH(UPPER(MID(C601,4,3)),Guide!$D$7:$D$18,0),0)),0)</f>
        <v>1</v>
      </c>
      <c r="F601" s="1">
        <f t="shared" si="73"/>
        <v>10</v>
      </c>
      <c r="G601" s="9">
        <f t="shared" si="74"/>
        <v>46032</v>
      </c>
      <c r="H601" s="1" t="str">
        <f>IF(Raw!D601="","",Raw!D601)</f>
        <v>P-A</v>
      </c>
      <c r="I601" s="1" t="str">
        <f>IFERROR(IF(EXACT(H601,INDEX(Guide!$A$7:$A$9,MATCH(SUBSTITUTE(SUBSTITUTE(SUBSTITUTE(H601,"~","~~"),"*","~*"),"?","~?"),Guide!$A$7:$A$9,0))),INDEX(Guide!$B$7:$B$9,MATCH(SUBSTITUTE(SUBSTITUTE(SUBSTITUTE(H601,"~","~~"),"*","~*"),"?","~?"),Guide!$A$7:$A$9,0)),""),"")</f>
        <v>Accessories</v>
      </c>
      <c r="J601" s="1" t="str">
        <f>IF(TRIM(Raw!E601)="",I601,IF(UPPER(TRIM(Raw!E601))=UPPER(I601),I601,""))</f>
        <v>Accessories</v>
      </c>
      <c r="K601" s="1" t="str">
        <f>IF(Raw!F601="","",Raw!F601)</f>
        <v>sale</v>
      </c>
      <c r="L601" s="1" t="str">
        <f>IF(LEFT(TRIM(Raw!G601),2)="-$","-"&amp;MID(TRIM(Raw!G601),3,99),IF(LEFT(TRIM(Raw!G601),1)="$",MID(TRIM(Raw!G601),2,99),TRIM(Raw!G601)))</f>
        <v>419.08</v>
      </c>
      <c r="M601" s="1">
        <f t="shared" si="75"/>
        <v>419.08</v>
      </c>
      <c r="N601" s="10">
        <f t="shared" si="76"/>
        <v>41908</v>
      </c>
      <c r="O601" s="1" t="b">
        <f>IFERROR(IF(ISNUMBER(Raw!G601),TRUE,OR(EXACT(L601,TEXT(M601,"0.00")),EXACT(L601,TEXT(M601,"#,##0.00")))),FALSE)</f>
        <v>1</v>
      </c>
      <c r="P601" s="1" t="str">
        <f>LEN(IF(Raw!A601="","",Raw!A601))&amp;":"&amp;IF(Raw!A601="","",Raw!A601)&amp;"|"&amp;LEN(IF(Raw!B601="","",Raw!B601))&amp;":"&amp;IF(Raw!B601="","",Raw!B601)&amp;"|"&amp;LEN(IF(Raw!C601="","",Raw!C601))&amp;":"&amp;IF(Raw!C601="","",Raw!C601)&amp;"|"&amp;LEN(IF(Raw!D601="","",Raw!D601))&amp;":"&amp;IF(Raw!D601="","",Raw!D601)&amp;"|"&amp;LEN(IF(Raw!E601="","",Raw!E601))&amp;":"&amp;IF(Raw!E601="","",Raw!E601)&amp;"|"&amp;LEN(IF(Raw!F601="","",Raw!F601))&amp;":"&amp;IF(Raw!F601="","",Raw!F601)&amp;"|"&amp;LEN(IF(Raw!G601="","",Raw!G601))&amp;":"&amp;IF(Raw!G601="","",Raw!G601)</f>
        <v>6:L00595|6:T00298|10:2026-01-10|3:P-A|11:Accessories|4:sale|6:419.08</v>
      </c>
      <c r="Q601" s="1">
        <f>1</f>
        <v>1</v>
      </c>
      <c r="R601" s="1" t="b">
        <f>FALSE</f>
        <v>0</v>
      </c>
      <c r="S601" s="1">
        <f>1</f>
        <v>1</v>
      </c>
      <c r="T601" s="1" t="str">
        <f>IF(AND(Raw!A601="",Raw!B601="",Raw!C601="",Raw!D601="",Raw!E601="",Raw!F601="",Raw!G601=""),"UNUSED",IF(A601="","missing line ID",IF(B601="","missing transaction ID",IF(G601="",IF(C601="","missing date","invalid date"),IF(I601="","unknown product",IF(J601="","conflicting category",IF(NOT(OR(EXACT(K601,"sale"),EXACT(K601,"refund"))),"unknown event",IF(OR(N601="",NOT(O601)),"invalid amount",IF(OR(AND(K601="sale",N601&lt;=0),AND(K601="refund",N601&gt;=0)),"invalid sign","")))))))))</f>
        <v/>
      </c>
      <c r="U601" s="1" t="str">
        <f t="shared" si="77"/>
        <v>INCLUDED</v>
      </c>
      <c r="V601" s="1" t="str">
        <f t="shared" si="78"/>
        <v>2026-01</v>
      </c>
      <c r="W601" s="1">
        <f>IF(AND(U601="INCLUDED",X601&gt;0,EXACT(A601,'AI output'!A601)),1,0)</f>
        <v>1</v>
      </c>
      <c r="X601" s="1">
        <f>601</f>
        <v>601</v>
      </c>
      <c r="Y601" s="1">
        <f>IF(AND(U601="INCLUDED",W601=1),--(NOT(EXACT(A601,'AI output'!A601)))+--(NOT(EXACT(B601,'AI output'!B601)))+--(NOT(EXACT(TEXT(G601,"yyyy-mm-dd"),'AI output'!C601)))+--(NOT(EXACT(H601,'AI output'!D601)))+--(NOT(EXACT(J601,'AI output'!E601)))+--(NOT(EXACT(K601,'AI output'!F601)))+--(N601&lt;&gt;'AI output'!L601)+--(NOT('AI output'!M601)),0)</f>
        <v>0</v>
      </c>
      <c r="Z601" s="1">
        <f t="shared" si="79"/>
        <v>0</v>
      </c>
      <c r="AA601" s="1">
        <f>--EXACT(A601,"L00595")</f>
        <v>1</v>
      </c>
    </row>
    <row r="602" spans="1:27" ht="18.95" customHeight="1">
      <c r="A602" s="1" t="str">
        <f>IF(Raw!A602="","",Raw!A602)</f>
        <v>L00596</v>
      </c>
      <c r="B602" s="1" t="str">
        <f>IF(Raw!B602="","",Raw!B602)</f>
        <v>T00298</v>
      </c>
      <c r="C602" s="1" t="str">
        <f>IF(Raw!C602="","",Raw!C602)</f>
        <v>2026-01-10</v>
      </c>
      <c r="D602" s="1">
        <f t="shared" si="72"/>
        <v>2026</v>
      </c>
      <c r="E602" s="1">
        <f>IFERROR(IF(AND(LEN(C602)=10,MID(C602,5,1)="-",MID(C602,8,1)="-"),VALUE(MID(C602,6,2)),IF(AND(LEN(C602)=11,MID(C602,3,1)="-",MID(C602,7,1)="-"),MATCH(UPPER(MID(C602,4,3)),Guide!$D$7:$D$18,0),0)),0)</f>
        <v>1</v>
      </c>
      <c r="F602" s="1">
        <f t="shared" si="73"/>
        <v>10</v>
      </c>
      <c r="G602" s="9">
        <f t="shared" si="74"/>
        <v>46032</v>
      </c>
      <c r="H602" s="1" t="str">
        <f>IF(Raw!D602="","",Raw!D602)</f>
        <v>P-H</v>
      </c>
      <c r="I602" s="1" t="str">
        <f>IFERROR(IF(EXACT(H602,INDEX(Guide!$A$7:$A$9,MATCH(SUBSTITUTE(SUBSTITUTE(SUBSTITUTE(H602,"~","~~"),"*","~*"),"?","~?"),Guide!$A$7:$A$9,0))),INDEX(Guide!$B$7:$B$9,MATCH(SUBSTITUTE(SUBSTITUTE(SUBSTITUTE(H602,"~","~~"),"*","~*"),"?","~?"),Guide!$A$7:$A$9,0)),""),"")</f>
        <v>Home</v>
      </c>
      <c r="J602" s="1" t="str">
        <f>IF(TRIM(Raw!E602)="",I602,IF(UPPER(TRIM(Raw!E602))=UPPER(I602),I602,""))</f>
        <v>Home</v>
      </c>
      <c r="K602" s="1" t="str">
        <f>IF(Raw!F602="","",Raw!F602)</f>
        <v>sale</v>
      </c>
      <c r="L602" s="1" t="str">
        <f>IF(LEFT(TRIM(Raw!G602),2)="-$","-"&amp;MID(TRIM(Raw!G602),3,99),IF(LEFT(TRIM(Raw!G602),1)="$",MID(TRIM(Raw!G602),2,99),TRIM(Raw!G602)))</f>
        <v>105.14</v>
      </c>
      <c r="M602" s="1">
        <f t="shared" si="75"/>
        <v>105.14</v>
      </c>
      <c r="N602" s="10">
        <f t="shared" si="76"/>
        <v>10514</v>
      </c>
      <c r="O602" s="1" t="b">
        <f>IFERROR(IF(ISNUMBER(Raw!G602),TRUE,OR(EXACT(L602,TEXT(M602,"0.00")),EXACT(L602,TEXT(M602,"#,##0.00")))),FALSE)</f>
        <v>1</v>
      </c>
      <c r="P602" s="1" t="str">
        <f>LEN(IF(Raw!A602="","",Raw!A602))&amp;":"&amp;IF(Raw!A602="","",Raw!A602)&amp;"|"&amp;LEN(IF(Raw!B602="","",Raw!B602))&amp;":"&amp;IF(Raw!B602="","",Raw!B602)&amp;"|"&amp;LEN(IF(Raw!C602="","",Raw!C602))&amp;":"&amp;IF(Raw!C602="","",Raw!C602)&amp;"|"&amp;LEN(IF(Raw!D602="","",Raw!D602))&amp;":"&amp;IF(Raw!D602="","",Raw!D602)&amp;"|"&amp;LEN(IF(Raw!E602="","",Raw!E602))&amp;":"&amp;IF(Raw!E602="","",Raw!E602)&amp;"|"&amp;LEN(IF(Raw!F602="","",Raw!F602))&amp;":"&amp;IF(Raw!F602="","",Raw!F602)&amp;"|"&amp;LEN(IF(Raw!G602="","",Raw!G602))&amp;":"&amp;IF(Raw!G602="","",Raw!G602)</f>
        <v>6:L00596|6:T00298|10:2026-01-10|3:P-H|4:Home|4:sale|6:105.14</v>
      </c>
      <c r="Q602" s="1">
        <f>1</f>
        <v>1</v>
      </c>
      <c r="R602" s="1" t="b">
        <f>FALSE</f>
        <v>0</v>
      </c>
      <c r="S602" s="1">
        <f>1</f>
        <v>1</v>
      </c>
      <c r="T602" s="1" t="str">
        <f>IF(AND(Raw!A602="",Raw!B602="",Raw!C602="",Raw!D602="",Raw!E602="",Raw!F602="",Raw!G602=""),"UNUSED",IF(A602="","missing line ID",IF(B602="","missing transaction ID",IF(G602="",IF(C602="","missing date","invalid date"),IF(I602="","unknown product",IF(J602="","conflicting category",IF(NOT(OR(EXACT(K602,"sale"),EXACT(K602,"refund"))),"unknown event",IF(OR(N602="",NOT(O602)),"invalid amount",IF(OR(AND(K602="sale",N602&lt;=0),AND(K602="refund",N602&gt;=0)),"invalid sign","")))))))))</f>
        <v/>
      </c>
      <c r="U602" s="1" t="str">
        <f t="shared" si="77"/>
        <v>INCLUDED</v>
      </c>
      <c r="V602" s="1" t="str">
        <f t="shared" si="78"/>
        <v>2026-01</v>
      </c>
      <c r="W602" s="1">
        <f>IF(AND(U602="INCLUDED",X602&gt;0,EXACT(A602,'AI output'!A602)),1,0)</f>
        <v>1</v>
      </c>
      <c r="X602" s="1">
        <f>602</f>
        <v>602</v>
      </c>
      <c r="Y602" s="1">
        <f>IF(AND(U602="INCLUDED",W602=1),--(NOT(EXACT(A602,'AI output'!A602)))+--(NOT(EXACT(B602,'AI output'!B602)))+--(NOT(EXACT(TEXT(G602,"yyyy-mm-dd"),'AI output'!C602)))+--(NOT(EXACT(H602,'AI output'!D602)))+--(NOT(EXACT(J602,'AI output'!E602)))+--(NOT(EXACT(K602,'AI output'!F602)))+--(N602&lt;&gt;'AI output'!L602)+--(NOT('AI output'!M602)),0)</f>
        <v>0</v>
      </c>
      <c r="Z602" s="1">
        <f t="shared" si="79"/>
        <v>0</v>
      </c>
      <c r="AA602" s="1">
        <f>--EXACT(A602,"L00596")</f>
        <v>1</v>
      </c>
    </row>
    <row r="603" spans="1:27" ht="18.95" customHeight="1">
      <c r="A603" s="1" t="str">
        <f>IF(Raw!A603="","",Raw!A603)</f>
        <v>L00597</v>
      </c>
      <c r="B603" s="1" t="str">
        <f>IF(Raw!B603="","",Raw!B603)</f>
        <v>T00299</v>
      </c>
      <c r="C603" s="1" t="str">
        <f>IF(Raw!C603="","",Raw!C603)</f>
        <v>2026-01-17</v>
      </c>
      <c r="D603" s="1">
        <f t="shared" si="72"/>
        <v>2026</v>
      </c>
      <c r="E603" s="1">
        <f>IFERROR(IF(AND(LEN(C603)=10,MID(C603,5,1)="-",MID(C603,8,1)="-"),VALUE(MID(C603,6,2)),IF(AND(LEN(C603)=11,MID(C603,3,1)="-",MID(C603,7,1)="-"),MATCH(UPPER(MID(C603,4,3)),Guide!$D$7:$D$18,0),0)),0)</f>
        <v>1</v>
      </c>
      <c r="F603" s="1">
        <f t="shared" si="73"/>
        <v>17</v>
      </c>
      <c r="G603" s="9">
        <f t="shared" si="74"/>
        <v>46039</v>
      </c>
      <c r="H603" s="1" t="str">
        <f>IF(Raw!D603="","",Raw!D603)</f>
        <v>P-O</v>
      </c>
      <c r="I603" s="1" t="str">
        <f>IFERROR(IF(EXACT(H603,INDEX(Guide!$A$7:$A$9,MATCH(SUBSTITUTE(SUBSTITUTE(SUBSTITUTE(H603,"~","~~"),"*","~*"),"?","~?"),Guide!$A$7:$A$9,0))),INDEX(Guide!$B$7:$B$9,MATCH(SUBSTITUTE(SUBSTITUTE(SUBSTITUTE(H603,"~","~~"),"*","~*"),"?","~?"),Guide!$A$7:$A$9,0)),""),"")</f>
        <v>Office</v>
      </c>
      <c r="J603" s="1" t="str">
        <f>IF(TRIM(Raw!E603)="",I603,IF(UPPER(TRIM(Raw!E603))=UPPER(I603),I603,""))</f>
        <v>Office</v>
      </c>
      <c r="K603" s="1" t="str">
        <f>IF(Raw!F603="","",Raw!F603)</f>
        <v>sale</v>
      </c>
      <c r="L603" s="1" t="str">
        <f>IF(LEFT(TRIM(Raw!G603),2)="-$","-"&amp;MID(TRIM(Raw!G603),3,99),IF(LEFT(TRIM(Raw!G603),1)="$",MID(TRIM(Raw!G603),2,99),TRIM(Raw!G603)))</f>
        <v>316.53</v>
      </c>
      <c r="M603" s="1">
        <f t="shared" si="75"/>
        <v>316.52999999999997</v>
      </c>
      <c r="N603" s="10">
        <f t="shared" si="76"/>
        <v>31653</v>
      </c>
      <c r="O603" s="1" t="b">
        <f>IFERROR(IF(ISNUMBER(Raw!G603),TRUE,OR(EXACT(L603,TEXT(M603,"0.00")),EXACT(L603,TEXT(M603,"#,##0.00")))),FALSE)</f>
        <v>1</v>
      </c>
      <c r="P603" s="1" t="str">
        <f>LEN(IF(Raw!A603="","",Raw!A603))&amp;":"&amp;IF(Raw!A603="","",Raw!A603)&amp;"|"&amp;LEN(IF(Raw!B603="","",Raw!B603))&amp;":"&amp;IF(Raw!B603="","",Raw!B603)&amp;"|"&amp;LEN(IF(Raw!C603="","",Raw!C603))&amp;":"&amp;IF(Raw!C603="","",Raw!C603)&amp;"|"&amp;LEN(IF(Raw!D603="","",Raw!D603))&amp;":"&amp;IF(Raw!D603="","",Raw!D603)&amp;"|"&amp;LEN(IF(Raw!E603="","",Raw!E603))&amp;":"&amp;IF(Raw!E603="","",Raw!E603)&amp;"|"&amp;LEN(IF(Raw!F603="","",Raw!F603))&amp;":"&amp;IF(Raw!F603="","",Raw!F603)&amp;"|"&amp;LEN(IF(Raw!G603="","",Raw!G603))&amp;":"&amp;IF(Raw!G603="","",Raw!G603)</f>
        <v>6:L00597|6:T00299|10:2026-01-17|3:P-O|6:Office|4:sale|6:316.53</v>
      </c>
      <c r="Q603" s="1">
        <f>1</f>
        <v>1</v>
      </c>
      <c r="R603" s="1" t="b">
        <f>FALSE</f>
        <v>0</v>
      </c>
      <c r="S603" s="1">
        <f>1</f>
        <v>1</v>
      </c>
      <c r="T603" s="1" t="str">
        <f>IF(AND(Raw!A603="",Raw!B603="",Raw!C603="",Raw!D603="",Raw!E603="",Raw!F603="",Raw!G603=""),"UNUSED",IF(A603="","missing line ID",IF(B603="","missing transaction ID",IF(G603="",IF(C603="","missing date","invalid date"),IF(I603="","unknown product",IF(J603="","conflicting category",IF(NOT(OR(EXACT(K603,"sale"),EXACT(K603,"refund"))),"unknown event",IF(OR(N603="",NOT(O603)),"invalid amount",IF(OR(AND(K603="sale",N603&lt;=0),AND(K603="refund",N603&gt;=0)),"invalid sign","")))))))))</f>
        <v/>
      </c>
      <c r="U603" s="1" t="str">
        <f t="shared" si="77"/>
        <v>INCLUDED</v>
      </c>
      <c r="V603" s="1" t="str">
        <f t="shared" si="78"/>
        <v>2026-01</v>
      </c>
      <c r="W603" s="1">
        <f>IF(AND(U603="INCLUDED",X603&gt;0,EXACT(A603,'AI output'!A603)),1,0)</f>
        <v>1</v>
      </c>
      <c r="X603" s="1">
        <f>603</f>
        <v>603</v>
      </c>
      <c r="Y603" s="1">
        <f>IF(AND(U603="INCLUDED",W603=1),--(NOT(EXACT(A603,'AI output'!A603)))+--(NOT(EXACT(B603,'AI output'!B603)))+--(NOT(EXACT(TEXT(G603,"yyyy-mm-dd"),'AI output'!C603)))+--(NOT(EXACT(H603,'AI output'!D603)))+--(NOT(EXACT(J603,'AI output'!E603)))+--(NOT(EXACT(K603,'AI output'!F603)))+--(N603&lt;&gt;'AI output'!L603)+--(NOT('AI output'!M603)),0)</f>
        <v>0</v>
      </c>
      <c r="Z603" s="1">
        <f t="shared" si="79"/>
        <v>0</v>
      </c>
      <c r="AA603" s="1">
        <f>--EXACT(A603,"L00597")</f>
        <v>1</v>
      </c>
    </row>
    <row r="604" spans="1:27" ht="18.95" customHeight="1">
      <c r="A604" s="1" t="str">
        <f>IF(Raw!A604="","",Raw!A604)</f>
        <v>L00598</v>
      </c>
      <c r="B604" s="1" t="str">
        <f>IF(Raw!B604="","",Raw!B604)</f>
        <v>T00299</v>
      </c>
      <c r="C604" s="1" t="str">
        <f>IF(Raw!C604="","",Raw!C604)</f>
        <v>2026-01-17</v>
      </c>
      <c r="D604" s="1">
        <f t="shared" si="72"/>
        <v>2026</v>
      </c>
      <c r="E604" s="1">
        <f>IFERROR(IF(AND(LEN(C604)=10,MID(C604,5,1)="-",MID(C604,8,1)="-"),VALUE(MID(C604,6,2)),IF(AND(LEN(C604)=11,MID(C604,3,1)="-",MID(C604,7,1)="-"),MATCH(UPPER(MID(C604,4,3)),Guide!$D$7:$D$18,0),0)),0)</f>
        <v>1</v>
      </c>
      <c r="F604" s="1">
        <f t="shared" si="73"/>
        <v>17</v>
      </c>
      <c r="G604" s="9">
        <f t="shared" si="74"/>
        <v>46039</v>
      </c>
      <c r="H604" s="1" t="str">
        <f>IF(Raw!D604="","",Raw!D604)</f>
        <v>P-A</v>
      </c>
      <c r="I604" s="1" t="str">
        <f>IFERROR(IF(EXACT(H604,INDEX(Guide!$A$7:$A$9,MATCH(SUBSTITUTE(SUBSTITUTE(SUBSTITUTE(H604,"~","~~"),"*","~*"),"?","~?"),Guide!$A$7:$A$9,0))),INDEX(Guide!$B$7:$B$9,MATCH(SUBSTITUTE(SUBSTITUTE(SUBSTITUTE(H604,"~","~~"),"*","~*"),"?","~?"),Guide!$A$7:$A$9,0)),""),"")</f>
        <v>Accessories</v>
      </c>
      <c r="J604" s="1" t="str">
        <f>IF(TRIM(Raw!E604)="",I604,IF(UPPER(TRIM(Raw!E604))=UPPER(I604),I604,""))</f>
        <v>Accessories</v>
      </c>
      <c r="K604" s="1" t="str">
        <f>IF(Raw!F604="","",Raw!F604)</f>
        <v>sale</v>
      </c>
      <c r="L604" s="1" t="str">
        <f>IF(LEFT(TRIM(Raw!G604),2)="-$","-"&amp;MID(TRIM(Raw!G604),3,99),IF(LEFT(TRIM(Raw!G604),1)="$",MID(TRIM(Raw!G604),2,99),TRIM(Raw!G604)))</f>
        <v>529.40</v>
      </c>
      <c r="M604" s="1">
        <f t="shared" si="75"/>
        <v>529.4</v>
      </c>
      <c r="N604" s="10">
        <f t="shared" si="76"/>
        <v>52940</v>
      </c>
      <c r="O604" s="1" t="b">
        <f>IFERROR(IF(ISNUMBER(Raw!G604),TRUE,OR(EXACT(L604,TEXT(M604,"0.00")),EXACT(L604,TEXT(M604,"#,##0.00")))),FALSE)</f>
        <v>1</v>
      </c>
      <c r="P604" s="1" t="str">
        <f>LEN(IF(Raw!A604="","",Raw!A604))&amp;":"&amp;IF(Raw!A604="","",Raw!A604)&amp;"|"&amp;LEN(IF(Raw!B604="","",Raw!B604))&amp;":"&amp;IF(Raw!B604="","",Raw!B604)&amp;"|"&amp;LEN(IF(Raw!C604="","",Raw!C604))&amp;":"&amp;IF(Raw!C604="","",Raw!C604)&amp;"|"&amp;LEN(IF(Raw!D604="","",Raw!D604))&amp;":"&amp;IF(Raw!D604="","",Raw!D604)&amp;"|"&amp;LEN(IF(Raw!E604="","",Raw!E604))&amp;":"&amp;IF(Raw!E604="","",Raw!E604)&amp;"|"&amp;LEN(IF(Raw!F604="","",Raw!F604))&amp;":"&amp;IF(Raw!F604="","",Raw!F604)&amp;"|"&amp;LEN(IF(Raw!G604="","",Raw!G604))&amp;":"&amp;IF(Raw!G604="","",Raw!G604)</f>
        <v>6:L00598|6:T00299|10:2026-01-17|3:P-A|11:Accessories|4:sale|6:529.40</v>
      </c>
      <c r="Q604" s="1">
        <f>1</f>
        <v>1</v>
      </c>
      <c r="R604" s="1" t="b">
        <f>FALSE</f>
        <v>0</v>
      </c>
      <c r="S604" s="1">
        <f>1</f>
        <v>1</v>
      </c>
      <c r="T604" s="1" t="str">
        <f>IF(AND(Raw!A604="",Raw!B604="",Raw!C604="",Raw!D604="",Raw!E604="",Raw!F604="",Raw!G604=""),"UNUSED",IF(A604="","missing line ID",IF(B604="","missing transaction ID",IF(G604="",IF(C604="","missing date","invalid date"),IF(I604="","unknown product",IF(J604="","conflicting category",IF(NOT(OR(EXACT(K604,"sale"),EXACT(K604,"refund"))),"unknown event",IF(OR(N604="",NOT(O604)),"invalid amount",IF(OR(AND(K604="sale",N604&lt;=0),AND(K604="refund",N604&gt;=0)),"invalid sign","")))))))))</f>
        <v/>
      </c>
      <c r="U604" s="1" t="str">
        <f t="shared" si="77"/>
        <v>INCLUDED</v>
      </c>
      <c r="V604" s="1" t="str">
        <f t="shared" si="78"/>
        <v>2026-01</v>
      </c>
      <c r="W604" s="1">
        <f>IF(AND(U604="INCLUDED",X604&gt;0,EXACT(A604,'AI output'!A604)),1,0)</f>
        <v>1</v>
      </c>
      <c r="X604" s="1">
        <f>604</f>
        <v>604</v>
      </c>
      <c r="Y604" s="1">
        <f>IF(AND(U604="INCLUDED",W604=1),--(NOT(EXACT(A604,'AI output'!A604)))+--(NOT(EXACT(B604,'AI output'!B604)))+--(NOT(EXACT(TEXT(G604,"yyyy-mm-dd"),'AI output'!C604)))+--(NOT(EXACT(H604,'AI output'!D604)))+--(NOT(EXACT(J604,'AI output'!E604)))+--(NOT(EXACT(K604,'AI output'!F604)))+--(N604&lt;&gt;'AI output'!L604)+--(NOT('AI output'!M604)),0)</f>
        <v>0</v>
      </c>
      <c r="Z604" s="1">
        <f t="shared" si="79"/>
        <v>0</v>
      </c>
      <c r="AA604" s="1">
        <f>--EXACT(A604,"L00598")</f>
        <v>1</v>
      </c>
    </row>
    <row r="605" spans="1:27" ht="18.95" customHeight="1">
      <c r="A605" s="1" t="str">
        <f>IF(Raw!A605="","",Raw!A605)</f>
        <v>L00599</v>
      </c>
      <c r="B605" s="1" t="str">
        <f>IF(Raw!B605="","",Raw!B605)</f>
        <v>T00300</v>
      </c>
      <c r="C605" s="1" t="str">
        <f>IF(Raw!C605="","",Raw!C605)</f>
        <v>2026-01-24</v>
      </c>
      <c r="D605" s="1">
        <f t="shared" si="72"/>
        <v>2026</v>
      </c>
      <c r="E605" s="1">
        <f>IFERROR(IF(AND(LEN(C605)=10,MID(C605,5,1)="-",MID(C605,8,1)="-"),VALUE(MID(C605,6,2)),IF(AND(LEN(C605)=11,MID(C605,3,1)="-",MID(C605,7,1)="-"),MATCH(UPPER(MID(C605,4,3)),Guide!$D$7:$D$18,0),0)),0)</f>
        <v>1</v>
      </c>
      <c r="F605" s="1">
        <f t="shared" si="73"/>
        <v>24</v>
      </c>
      <c r="G605" s="9">
        <f t="shared" si="74"/>
        <v>46046</v>
      </c>
      <c r="H605" s="1" t="str">
        <f>IF(Raw!D605="","",Raw!D605)</f>
        <v>P-H</v>
      </c>
      <c r="I605" s="1" t="str">
        <f>IFERROR(IF(EXACT(H605,INDEX(Guide!$A$7:$A$9,MATCH(SUBSTITUTE(SUBSTITUTE(SUBSTITUTE(H605,"~","~~"),"*","~*"),"?","~?"),Guide!$A$7:$A$9,0))),INDEX(Guide!$B$7:$B$9,MATCH(SUBSTITUTE(SUBSTITUTE(SUBSTITUTE(H605,"~","~~"),"*","~*"),"?","~?"),Guide!$A$7:$A$9,0)),""),"")</f>
        <v>Home</v>
      </c>
      <c r="J605" s="1" t="str">
        <f>IF(TRIM(Raw!E605)="",I605,IF(UPPER(TRIM(Raw!E605))=UPPER(I605),I605,""))</f>
        <v>Home</v>
      </c>
      <c r="K605" s="1" t="str">
        <f>IF(Raw!F605="","",Raw!F605)</f>
        <v>refund</v>
      </c>
      <c r="L605" s="1" t="str">
        <f>IF(LEFT(TRIM(Raw!G605),2)="-$","-"&amp;MID(TRIM(Raw!G605),3,99),IF(LEFT(TRIM(Raw!G605),1)="$",MID(TRIM(Raw!G605),2,99),TRIM(Raw!G605)))</f>
        <v>-212.50</v>
      </c>
      <c r="M605" s="1">
        <f t="shared" si="75"/>
        <v>-212.5</v>
      </c>
      <c r="N605" s="10">
        <f t="shared" si="76"/>
        <v>-21250</v>
      </c>
      <c r="O605" s="1" t="b">
        <f>IFERROR(IF(ISNUMBER(Raw!G605),TRUE,OR(EXACT(L605,TEXT(M605,"0.00")),EXACT(L605,TEXT(M605,"#,##0.00")))),FALSE)</f>
        <v>1</v>
      </c>
      <c r="P605" s="1" t="str">
        <f>LEN(IF(Raw!A605="","",Raw!A605))&amp;":"&amp;IF(Raw!A605="","",Raw!A605)&amp;"|"&amp;LEN(IF(Raw!B605="","",Raw!B605))&amp;":"&amp;IF(Raw!B605="","",Raw!B605)&amp;"|"&amp;LEN(IF(Raw!C605="","",Raw!C605))&amp;":"&amp;IF(Raw!C605="","",Raw!C605)&amp;"|"&amp;LEN(IF(Raw!D605="","",Raw!D605))&amp;":"&amp;IF(Raw!D605="","",Raw!D605)&amp;"|"&amp;LEN(IF(Raw!E605="","",Raw!E605))&amp;":"&amp;IF(Raw!E605="","",Raw!E605)&amp;"|"&amp;LEN(IF(Raw!F605="","",Raw!F605))&amp;":"&amp;IF(Raw!F605="","",Raw!F605)&amp;"|"&amp;LEN(IF(Raw!G605="","",Raw!G605))&amp;":"&amp;IF(Raw!G605="","",Raw!G605)</f>
        <v>6:L00599|6:T00300|10:2026-01-24|3:P-H|4:Home|6:refund|7:-212.50</v>
      </c>
      <c r="Q605" s="1">
        <f>1</f>
        <v>1</v>
      </c>
      <c r="R605" s="1" t="b">
        <f>FALSE</f>
        <v>0</v>
      </c>
      <c r="S605" s="1">
        <f>1</f>
        <v>1</v>
      </c>
      <c r="T605" s="1" t="str">
        <f>IF(AND(Raw!A605="",Raw!B605="",Raw!C605="",Raw!D605="",Raw!E605="",Raw!F605="",Raw!G605=""),"UNUSED",IF(A605="","missing line ID",IF(B605="","missing transaction ID",IF(G605="",IF(C605="","missing date","invalid date"),IF(I605="","unknown product",IF(J605="","conflicting category",IF(NOT(OR(EXACT(K605,"sale"),EXACT(K605,"refund"))),"unknown event",IF(OR(N605="",NOT(O605)),"invalid amount",IF(OR(AND(K605="sale",N605&lt;=0),AND(K605="refund",N605&gt;=0)),"invalid sign","")))))))))</f>
        <v/>
      </c>
      <c r="U605" s="1" t="str">
        <f t="shared" si="77"/>
        <v>INCLUDED</v>
      </c>
      <c r="V605" s="1" t="str">
        <f t="shared" si="78"/>
        <v>2026-01</v>
      </c>
      <c r="W605" s="1">
        <f>IF(AND(U605="INCLUDED",X605&gt;0,EXACT(A605,'AI output'!A605)),1,0)</f>
        <v>1</v>
      </c>
      <c r="X605" s="1">
        <f>605</f>
        <v>605</v>
      </c>
      <c r="Y605" s="1">
        <f>IF(AND(U605="INCLUDED",W605=1),--(NOT(EXACT(A605,'AI output'!A605)))+--(NOT(EXACT(B605,'AI output'!B605)))+--(NOT(EXACT(TEXT(G605,"yyyy-mm-dd"),'AI output'!C605)))+--(NOT(EXACT(H605,'AI output'!D605)))+--(NOT(EXACT(J605,'AI output'!E605)))+--(NOT(EXACT(K605,'AI output'!F605)))+--(N605&lt;&gt;'AI output'!L605)+--(NOT('AI output'!M605)),0)</f>
        <v>0</v>
      </c>
      <c r="Z605" s="1">
        <f t="shared" si="79"/>
        <v>0</v>
      </c>
      <c r="AA605" s="1">
        <f>--EXACT(A605,"L00599")</f>
        <v>1</v>
      </c>
    </row>
    <row r="606" spans="1:27" ht="18.95" customHeight="1">
      <c r="A606" s="1" t="str">
        <f>IF(Raw!A606="","",Raw!A606)</f>
        <v>L00600</v>
      </c>
      <c r="B606" s="1" t="str">
        <f>IF(Raw!B606="","",Raw!B606)</f>
        <v>T00300</v>
      </c>
      <c r="C606" s="1" t="str">
        <f>IF(Raw!C606="","",Raw!C606)</f>
        <v>2026-01-24</v>
      </c>
      <c r="D606" s="1">
        <f t="shared" si="72"/>
        <v>2026</v>
      </c>
      <c r="E606" s="1">
        <f>IFERROR(IF(AND(LEN(C606)=10,MID(C606,5,1)="-",MID(C606,8,1)="-"),VALUE(MID(C606,6,2)),IF(AND(LEN(C606)=11,MID(C606,3,1)="-",MID(C606,7,1)="-"),MATCH(UPPER(MID(C606,4,3)),Guide!$D$7:$D$18,0),0)),0)</f>
        <v>1</v>
      </c>
      <c r="F606" s="1">
        <f t="shared" si="73"/>
        <v>24</v>
      </c>
      <c r="G606" s="9">
        <f t="shared" si="74"/>
        <v>46046</v>
      </c>
      <c r="H606" s="1" t="str">
        <f>IF(Raw!D606="","",Raw!D606)</f>
        <v>P-O</v>
      </c>
      <c r="I606" s="1" t="str">
        <f>IFERROR(IF(EXACT(H606,INDEX(Guide!$A$7:$A$9,MATCH(SUBSTITUTE(SUBSTITUTE(SUBSTITUTE(H606,"~","~~"),"*","~*"),"?","~?"),Guide!$A$7:$A$9,0))),INDEX(Guide!$B$7:$B$9,MATCH(SUBSTITUTE(SUBSTITUTE(SUBSTITUTE(H606,"~","~~"),"*","~*"),"?","~?"),Guide!$A$7:$A$9,0)),""),"")</f>
        <v>Office</v>
      </c>
      <c r="J606" s="1" t="str">
        <f>IF(TRIM(Raw!E606)="",I606,IF(UPPER(TRIM(Raw!E606))=UPPER(I606),I606,""))</f>
        <v>Office</v>
      </c>
      <c r="K606" s="1" t="str">
        <f>IF(Raw!F606="","",Raw!F606)</f>
        <v>sale</v>
      </c>
      <c r="L606" s="1" t="str">
        <f>IF(LEFT(TRIM(Raw!G606),2)="-$","-"&amp;MID(TRIM(Raw!G606),3,99),IF(LEFT(TRIM(Raw!G606),1)="$",MID(TRIM(Raw!G606),2,99),TRIM(Raw!G606)))</f>
        <v>426.48</v>
      </c>
      <c r="M606" s="1">
        <f t="shared" si="75"/>
        <v>426.48</v>
      </c>
      <c r="N606" s="10">
        <f t="shared" si="76"/>
        <v>42648</v>
      </c>
      <c r="O606" s="1" t="b">
        <f>IFERROR(IF(ISNUMBER(Raw!G606),TRUE,OR(EXACT(L606,TEXT(M606,"0.00")),EXACT(L606,TEXT(M606,"#,##0.00")))),FALSE)</f>
        <v>1</v>
      </c>
      <c r="P606" s="1" t="str">
        <f>LEN(IF(Raw!A606="","",Raw!A606))&amp;":"&amp;IF(Raw!A606="","",Raw!A606)&amp;"|"&amp;LEN(IF(Raw!B606="","",Raw!B606))&amp;":"&amp;IF(Raw!B606="","",Raw!B606)&amp;"|"&amp;LEN(IF(Raw!C606="","",Raw!C606))&amp;":"&amp;IF(Raw!C606="","",Raw!C606)&amp;"|"&amp;LEN(IF(Raw!D606="","",Raw!D606))&amp;":"&amp;IF(Raw!D606="","",Raw!D606)&amp;"|"&amp;LEN(IF(Raw!E606="","",Raw!E606))&amp;":"&amp;IF(Raw!E606="","",Raw!E606)&amp;"|"&amp;LEN(IF(Raw!F606="","",Raw!F606))&amp;":"&amp;IF(Raw!F606="","",Raw!F606)&amp;"|"&amp;LEN(IF(Raw!G606="","",Raw!G606))&amp;":"&amp;IF(Raw!G606="","",Raw!G606)</f>
        <v>6:L00600|6:T00300|10:2026-01-24|3:P-O|6:Office|4:sale|6:426.48</v>
      </c>
      <c r="Q606" s="1">
        <f>1</f>
        <v>1</v>
      </c>
      <c r="R606" s="1" t="b">
        <f>FALSE</f>
        <v>0</v>
      </c>
      <c r="S606" s="1">
        <f>1</f>
        <v>1</v>
      </c>
      <c r="T606" s="1" t="str">
        <f>IF(AND(Raw!A606="",Raw!B606="",Raw!C606="",Raw!D606="",Raw!E606="",Raw!F606="",Raw!G606=""),"UNUSED",IF(A606="","missing line ID",IF(B606="","missing transaction ID",IF(G606="",IF(C606="","missing date","invalid date"),IF(I606="","unknown product",IF(J606="","conflicting category",IF(NOT(OR(EXACT(K606,"sale"),EXACT(K606,"refund"))),"unknown event",IF(OR(N606="",NOT(O606)),"invalid amount",IF(OR(AND(K606="sale",N606&lt;=0),AND(K606="refund",N606&gt;=0)),"invalid sign","")))))))))</f>
        <v/>
      </c>
      <c r="U606" s="1" t="str">
        <f t="shared" si="77"/>
        <v>INCLUDED</v>
      </c>
      <c r="V606" s="1" t="str">
        <f t="shared" si="78"/>
        <v>2026-01</v>
      </c>
      <c r="W606" s="1">
        <f>IF(AND(U606="INCLUDED",X606&gt;0,EXACT(A606,'AI output'!A606)),1,0)</f>
        <v>1</v>
      </c>
      <c r="X606" s="1">
        <f>606</f>
        <v>606</v>
      </c>
      <c r="Y606" s="1">
        <f>IF(AND(U606="INCLUDED",W606=1),--(NOT(EXACT(A606,'AI output'!A606)))+--(NOT(EXACT(B606,'AI output'!B606)))+--(NOT(EXACT(TEXT(G606,"yyyy-mm-dd"),'AI output'!C606)))+--(NOT(EXACT(H606,'AI output'!D606)))+--(NOT(EXACT(J606,'AI output'!E606)))+--(NOT(EXACT(K606,'AI output'!F606)))+--(N606&lt;&gt;'AI output'!L606)+--(NOT('AI output'!M606)),0)</f>
        <v>0</v>
      </c>
      <c r="Z606" s="1">
        <f t="shared" si="79"/>
        <v>0</v>
      </c>
      <c r="AA606" s="1">
        <f>--EXACT(A606,"L00600")</f>
        <v>1</v>
      </c>
    </row>
    <row r="607" spans="1:27" ht="18.95" customHeight="1">
      <c r="A607" s="1" t="str">
        <f>IF(Raw!A607="","",Raw!A607)</f>
        <v>L00601</v>
      </c>
      <c r="B607" s="1" t="str">
        <f>IF(Raw!B607="","",Raw!B607)</f>
        <v>T00301</v>
      </c>
      <c r="C607" s="1" t="str">
        <f>IF(Raw!C607="","",Raw!C607)</f>
        <v>2026-01-31</v>
      </c>
      <c r="D607" s="1">
        <f t="shared" si="72"/>
        <v>2026</v>
      </c>
      <c r="E607" s="1">
        <f>IFERROR(IF(AND(LEN(C607)=10,MID(C607,5,1)="-",MID(C607,8,1)="-"),VALUE(MID(C607,6,2)),IF(AND(LEN(C607)=11,MID(C607,3,1)="-",MID(C607,7,1)="-"),MATCH(UPPER(MID(C607,4,3)),Guide!$D$7:$D$18,0),0)),0)</f>
        <v>1</v>
      </c>
      <c r="F607" s="1">
        <f t="shared" si="73"/>
        <v>31</v>
      </c>
      <c r="G607" s="9">
        <f t="shared" si="74"/>
        <v>46053</v>
      </c>
      <c r="H607" s="1" t="str">
        <f>IF(Raw!D607="","",Raw!D607)</f>
        <v>P-A</v>
      </c>
      <c r="I607" s="1" t="str">
        <f>IFERROR(IF(EXACT(H607,INDEX(Guide!$A$7:$A$9,MATCH(SUBSTITUTE(SUBSTITUTE(SUBSTITUTE(H607,"~","~~"),"*","~*"),"?","~?"),Guide!$A$7:$A$9,0))),INDEX(Guide!$B$7:$B$9,MATCH(SUBSTITUTE(SUBSTITUTE(SUBSTITUTE(H607,"~","~~"),"*","~*"),"?","~?"),Guide!$A$7:$A$9,0)),""),"")</f>
        <v>Accessories</v>
      </c>
      <c r="J607" s="1" t="str">
        <f>IF(TRIM(Raw!E607)="",I607,IF(UPPER(TRIM(Raw!E607))=UPPER(I607),I607,""))</f>
        <v>Accessories</v>
      </c>
      <c r="K607" s="1" t="str">
        <f>IF(Raw!F607="","",Raw!F607)</f>
        <v>sale</v>
      </c>
      <c r="L607" s="1" t="str">
        <f>IF(LEFT(TRIM(Raw!G607),2)="-$","-"&amp;MID(TRIM(Raw!G607),3,99),IF(LEFT(TRIM(Raw!G607),1)="$",MID(TRIM(Raw!G607),2,99),TRIM(Raw!G607)))</f>
        <v>106.99</v>
      </c>
      <c r="M607" s="1">
        <f t="shared" si="75"/>
        <v>106.99</v>
      </c>
      <c r="N607" s="10">
        <f t="shared" si="76"/>
        <v>10699</v>
      </c>
      <c r="O607" s="1" t="b">
        <f>IFERROR(IF(ISNUMBER(Raw!G607),TRUE,OR(EXACT(L607,TEXT(M607,"0.00")),EXACT(L607,TEXT(M607,"#,##0.00")))),FALSE)</f>
        <v>1</v>
      </c>
      <c r="P607" s="1" t="str">
        <f>LEN(IF(Raw!A607="","",Raw!A607))&amp;":"&amp;IF(Raw!A607="","",Raw!A607)&amp;"|"&amp;LEN(IF(Raw!B607="","",Raw!B607))&amp;":"&amp;IF(Raw!B607="","",Raw!B607)&amp;"|"&amp;LEN(IF(Raw!C607="","",Raw!C607))&amp;":"&amp;IF(Raw!C607="","",Raw!C607)&amp;"|"&amp;LEN(IF(Raw!D607="","",Raw!D607))&amp;":"&amp;IF(Raw!D607="","",Raw!D607)&amp;"|"&amp;LEN(IF(Raw!E607="","",Raw!E607))&amp;":"&amp;IF(Raw!E607="","",Raw!E607)&amp;"|"&amp;LEN(IF(Raw!F607="","",Raw!F607))&amp;":"&amp;IF(Raw!F607="","",Raw!F607)&amp;"|"&amp;LEN(IF(Raw!G607="","",Raw!G607))&amp;":"&amp;IF(Raw!G607="","",Raw!G607)</f>
        <v>6:L00601|6:T00301|10:2026-01-31|3:P-A|11:Accessories|4:sale|6:106.99</v>
      </c>
      <c r="Q607" s="1">
        <f>1</f>
        <v>1</v>
      </c>
      <c r="R607" s="1" t="b">
        <f>FALSE</f>
        <v>0</v>
      </c>
      <c r="S607" s="1">
        <f>1</f>
        <v>1</v>
      </c>
      <c r="T607" s="1" t="str">
        <f>IF(AND(Raw!A607="",Raw!B607="",Raw!C607="",Raw!D607="",Raw!E607="",Raw!F607="",Raw!G607=""),"UNUSED",IF(A607="","missing line ID",IF(B607="","missing transaction ID",IF(G607="",IF(C607="","missing date","invalid date"),IF(I607="","unknown product",IF(J607="","conflicting category",IF(NOT(OR(EXACT(K607,"sale"),EXACT(K607,"refund"))),"unknown event",IF(OR(N607="",NOT(O607)),"invalid amount",IF(OR(AND(K607="sale",N607&lt;=0),AND(K607="refund",N607&gt;=0)),"invalid sign","")))))))))</f>
        <v/>
      </c>
      <c r="U607" s="1" t="str">
        <f t="shared" si="77"/>
        <v>INCLUDED</v>
      </c>
      <c r="V607" s="1" t="str">
        <f t="shared" si="78"/>
        <v>2026-01</v>
      </c>
      <c r="W607" s="1">
        <f>IF(AND(U607="INCLUDED",X607&gt;0,EXACT(A607,'AI output'!A607)),1,0)</f>
        <v>1</v>
      </c>
      <c r="X607" s="1">
        <f>607</f>
        <v>607</v>
      </c>
      <c r="Y607" s="1">
        <f>IF(AND(U607="INCLUDED",W607=1),--(NOT(EXACT(A607,'AI output'!A607)))+--(NOT(EXACT(B607,'AI output'!B607)))+--(NOT(EXACT(TEXT(G607,"yyyy-mm-dd"),'AI output'!C607)))+--(NOT(EXACT(H607,'AI output'!D607)))+--(NOT(EXACT(J607,'AI output'!E607)))+--(NOT(EXACT(K607,'AI output'!F607)))+--(N607&lt;&gt;'AI output'!L607)+--(NOT('AI output'!M607)),0)</f>
        <v>0</v>
      </c>
      <c r="Z607" s="1">
        <f t="shared" si="79"/>
        <v>0</v>
      </c>
      <c r="AA607" s="1">
        <f>--EXACT(A607,"L00601")</f>
        <v>1</v>
      </c>
    </row>
    <row r="608" spans="1:27" ht="18.95" customHeight="1">
      <c r="A608" s="1" t="str">
        <f>IF(Raw!A608="","",Raw!A608)</f>
        <v>L00602</v>
      </c>
      <c r="B608" s="1" t="str">
        <f>IF(Raw!B608="","",Raw!B608)</f>
        <v>T00301</v>
      </c>
      <c r="C608" s="1" t="str">
        <f>IF(Raw!C608="","",Raw!C608)</f>
        <v>2026-01-31</v>
      </c>
      <c r="D608" s="1">
        <f t="shared" si="72"/>
        <v>2026</v>
      </c>
      <c r="E608" s="1">
        <f>IFERROR(IF(AND(LEN(C608)=10,MID(C608,5,1)="-",MID(C608,8,1)="-"),VALUE(MID(C608,6,2)),IF(AND(LEN(C608)=11,MID(C608,3,1)="-",MID(C608,7,1)="-"),MATCH(UPPER(MID(C608,4,3)),Guide!$D$7:$D$18,0),0)),0)</f>
        <v>1</v>
      </c>
      <c r="F608" s="1">
        <f t="shared" si="73"/>
        <v>31</v>
      </c>
      <c r="G608" s="9">
        <f t="shared" si="74"/>
        <v>46053</v>
      </c>
      <c r="H608" s="1" t="str">
        <f>IF(Raw!D608="","",Raw!D608)</f>
        <v>P-H</v>
      </c>
      <c r="I608" s="1" t="str">
        <f>IFERROR(IF(EXACT(H608,INDEX(Guide!$A$7:$A$9,MATCH(SUBSTITUTE(SUBSTITUTE(SUBSTITUTE(H608,"~","~~"),"*","~*"),"?","~?"),Guide!$A$7:$A$9,0))),INDEX(Guide!$B$7:$B$9,MATCH(SUBSTITUTE(SUBSTITUTE(SUBSTITUTE(H608,"~","~~"),"*","~*"),"?","~?"),Guide!$A$7:$A$9,0)),""),"")</f>
        <v>Home</v>
      </c>
      <c r="J608" s="1" t="str">
        <f>IF(TRIM(Raw!E608)="",I608,IF(UPPER(TRIM(Raw!E608))=UPPER(I608),I608,""))</f>
        <v>Home</v>
      </c>
      <c r="K608" s="1" t="str">
        <f>IF(Raw!F608="","",Raw!F608)</f>
        <v>sale</v>
      </c>
      <c r="L608" s="1" t="str">
        <f>IF(LEFT(TRIM(Raw!G608),2)="-$","-"&amp;MID(TRIM(Raw!G608),3,99),IF(LEFT(TRIM(Raw!G608),1)="$",MID(TRIM(Raw!G608),2,99),TRIM(Raw!G608)))</f>
        <v>322.08</v>
      </c>
      <c r="M608" s="1">
        <f t="shared" si="75"/>
        <v>322.08</v>
      </c>
      <c r="N608" s="10">
        <f t="shared" si="76"/>
        <v>32208</v>
      </c>
      <c r="O608" s="1" t="b">
        <f>IFERROR(IF(ISNUMBER(Raw!G608),TRUE,OR(EXACT(L608,TEXT(M608,"0.00")),EXACT(L608,TEXT(M608,"#,##0.00")))),FALSE)</f>
        <v>1</v>
      </c>
      <c r="P608" s="1" t="str">
        <f>LEN(IF(Raw!A608="","",Raw!A608))&amp;":"&amp;IF(Raw!A608="","",Raw!A608)&amp;"|"&amp;LEN(IF(Raw!B608="","",Raw!B608))&amp;":"&amp;IF(Raw!B608="","",Raw!B608)&amp;"|"&amp;LEN(IF(Raw!C608="","",Raw!C608))&amp;":"&amp;IF(Raw!C608="","",Raw!C608)&amp;"|"&amp;LEN(IF(Raw!D608="","",Raw!D608))&amp;":"&amp;IF(Raw!D608="","",Raw!D608)&amp;"|"&amp;LEN(IF(Raw!E608="","",Raw!E608))&amp;":"&amp;IF(Raw!E608="","",Raw!E608)&amp;"|"&amp;LEN(IF(Raw!F608="","",Raw!F608))&amp;":"&amp;IF(Raw!F608="","",Raw!F608)&amp;"|"&amp;LEN(IF(Raw!G608="","",Raw!G608))&amp;":"&amp;IF(Raw!G608="","",Raw!G608)</f>
        <v>6:L00602|6:T00301|10:2026-01-31|3:P-H|4:Home|4:sale|6:322.08</v>
      </c>
      <c r="Q608" s="1">
        <f>1</f>
        <v>1</v>
      </c>
      <c r="R608" s="1" t="b">
        <f>FALSE</f>
        <v>0</v>
      </c>
      <c r="S608" s="1">
        <f>1</f>
        <v>1</v>
      </c>
      <c r="T608" s="1" t="str">
        <f>IF(AND(Raw!A608="",Raw!B608="",Raw!C608="",Raw!D608="",Raw!E608="",Raw!F608="",Raw!G608=""),"UNUSED",IF(A608="","missing line ID",IF(B608="","missing transaction ID",IF(G608="",IF(C608="","missing date","invalid date"),IF(I608="","unknown product",IF(J608="","conflicting category",IF(NOT(OR(EXACT(K608,"sale"),EXACT(K608,"refund"))),"unknown event",IF(OR(N608="",NOT(O608)),"invalid amount",IF(OR(AND(K608="sale",N608&lt;=0),AND(K608="refund",N608&gt;=0)),"invalid sign","")))))))))</f>
        <v/>
      </c>
      <c r="U608" s="1" t="str">
        <f t="shared" si="77"/>
        <v>INCLUDED</v>
      </c>
      <c r="V608" s="1" t="str">
        <f t="shared" si="78"/>
        <v>2026-01</v>
      </c>
      <c r="W608" s="1">
        <f>IF(AND(U608="INCLUDED",X608&gt;0,EXACT(A608,'AI output'!A608)),1,0)</f>
        <v>1</v>
      </c>
      <c r="X608" s="1">
        <f>608</f>
        <v>608</v>
      </c>
      <c r="Y608" s="1">
        <f>IF(AND(U608="INCLUDED",W608=1),--(NOT(EXACT(A608,'AI output'!A608)))+--(NOT(EXACT(B608,'AI output'!B608)))+--(NOT(EXACT(TEXT(G608,"yyyy-mm-dd"),'AI output'!C608)))+--(NOT(EXACT(H608,'AI output'!D608)))+--(NOT(EXACT(J608,'AI output'!E608)))+--(NOT(EXACT(K608,'AI output'!F608)))+--(N608&lt;&gt;'AI output'!L608)+--(NOT('AI output'!M608)),0)</f>
        <v>0</v>
      </c>
      <c r="Z608" s="1">
        <f t="shared" si="79"/>
        <v>0</v>
      </c>
      <c r="AA608" s="1">
        <f>--EXACT(A608,"L00602")</f>
        <v>1</v>
      </c>
    </row>
    <row r="609" spans="1:27" ht="18.95" customHeight="1">
      <c r="A609" s="1" t="str">
        <f>IF(Raw!A609="","",Raw!A609)</f>
        <v>L00603</v>
      </c>
      <c r="B609" s="1" t="str">
        <f>IF(Raw!B609="","",Raw!B609)</f>
        <v>T00302</v>
      </c>
      <c r="C609" s="1" t="str">
        <f>IF(Raw!C609="","",Raw!C609)</f>
        <v>2026-02-07</v>
      </c>
      <c r="D609" s="1">
        <f t="shared" si="72"/>
        <v>2026</v>
      </c>
      <c r="E609" s="1">
        <f>IFERROR(IF(AND(LEN(C609)=10,MID(C609,5,1)="-",MID(C609,8,1)="-"),VALUE(MID(C609,6,2)),IF(AND(LEN(C609)=11,MID(C609,3,1)="-",MID(C609,7,1)="-"),MATCH(UPPER(MID(C609,4,3)),Guide!$D$7:$D$18,0),0)),0)</f>
        <v>2</v>
      </c>
      <c r="F609" s="1">
        <f t="shared" si="73"/>
        <v>7</v>
      </c>
      <c r="G609" s="9">
        <f t="shared" si="74"/>
        <v>46060</v>
      </c>
      <c r="H609" s="1" t="str">
        <f>IF(Raw!D609="","",Raw!D609)</f>
        <v>P-O</v>
      </c>
      <c r="I609" s="1" t="str">
        <f>IFERROR(IF(EXACT(H609,INDEX(Guide!$A$7:$A$9,MATCH(SUBSTITUTE(SUBSTITUTE(SUBSTITUTE(H609,"~","~~"),"*","~*"),"?","~?"),Guide!$A$7:$A$9,0))),INDEX(Guide!$B$7:$B$9,MATCH(SUBSTITUTE(SUBSTITUTE(SUBSTITUTE(H609,"~","~~"),"*","~*"),"?","~?"),Guide!$A$7:$A$9,0)),""),"")</f>
        <v>Office</v>
      </c>
      <c r="J609" s="1" t="str">
        <f>IF(TRIM(Raw!E609)="",I609,IF(UPPER(TRIM(Raw!E609))=UPPER(I609),I609,""))</f>
        <v>Office</v>
      </c>
      <c r="K609" s="1" t="str">
        <f>IF(Raw!F609="","",Raw!F609)</f>
        <v>sale</v>
      </c>
      <c r="L609" s="1" t="str">
        <f>IF(LEFT(TRIM(Raw!G609),2)="-$","-"&amp;MID(TRIM(Raw!G609),3,99),IF(LEFT(TRIM(Raw!G609),1)="$",MID(TRIM(Raw!G609),2,99),TRIM(Raw!G609)))</f>
        <v>538.65</v>
      </c>
      <c r="M609" s="1">
        <f t="shared" si="75"/>
        <v>538.65</v>
      </c>
      <c r="N609" s="10">
        <f t="shared" si="76"/>
        <v>53865</v>
      </c>
      <c r="O609" s="1" t="b">
        <f>IFERROR(IF(ISNUMBER(Raw!G609),TRUE,OR(EXACT(L609,TEXT(M609,"0.00")),EXACT(L609,TEXT(M609,"#,##0.00")))),FALSE)</f>
        <v>1</v>
      </c>
      <c r="P609" s="1" t="str">
        <f>LEN(IF(Raw!A609="","",Raw!A609))&amp;":"&amp;IF(Raw!A609="","",Raw!A609)&amp;"|"&amp;LEN(IF(Raw!B609="","",Raw!B609))&amp;":"&amp;IF(Raw!B609="","",Raw!B609)&amp;"|"&amp;LEN(IF(Raw!C609="","",Raw!C609))&amp;":"&amp;IF(Raw!C609="","",Raw!C609)&amp;"|"&amp;LEN(IF(Raw!D609="","",Raw!D609))&amp;":"&amp;IF(Raw!D609="","",Raw!D609)&amp;"|"&amp;LEN(IF(Raw!E609="","",Raw!E609))&amp;":"&amp;IF(Raw!E609="","",Raw!E609)&amp;"|"&amp;LEN(IF(Raw!F609="","",Raw!F609))&amp;":"&amp;IF(Raw!F609="","",Raw!F609)&amp;"|"&amp;LEN(IF(Raw!G609="","",Raw!G609))&amp;":"&amp;IF(Raw!G609="","",Raw!G609)</f>
        <v>6:L00603|6:T00302|10:2026-02-07|3:P-O|6:Office|4:sale|6:538.65</v>
      </c>
      <c r="Q609" s="1">
        <f>1</f>
        <v>1</v>
      </c>
      <c r="R609" s="1" t="b">
        <f>FALSE</f>
        <v>0</v>
      </c>
      <c r="S609" s="1">
        <f>1</f>
        <v>1</v>
      </c>
      <c r="T609" s="1" t="str">
        <f>IF(AND(Raw!A609="",Raw!B609="",Raw!C609="",Raw!D609="",Raw!E609="",Raw!F609="",Raw!G609=""),"UNUSED",IF(A609="","missing line ID",IF(B609="","missing transaction ID",IF(G609="",IF(C609="","missing date","invalid date"),IF(I609="","unknown product",IF(J609="","conflicting category",IF(NOT(OR(EXACT(K609,"sale"),EXACT(K609,"refund"))),"unknown event",IF(OR(N609="",NOT(O609)),"invalid amount",IF(OR(AND(K609="sale",N609&lt;=0),AND(K609="refund",N609&gt;=0)),"invalid sign","")))))))))</f>
        <v/>
      </c>
      <c r="U609" s="1" t="str">
        <f t="shared" si="77"/>
        <v>INCLUDED</v>
      </c>
      <c r="V609" s="1" t="str">
        <f t="shared" si="78"/>
        <v>2026-02</v>
      </c>
      <c r="W609" s="1">
        <f>IF(AND(U609="INCLUDED",X609&gt;0,EXACT(A609,'AI output'!A609)),1,0)</f>
        <v>1</v>
      </c>
      <c r="X609" s="1">
        <f>609</f>
        <v>609</v>
      </c>
      <c r="Y609" s="1">
        <f>IF(AND(U609="INCLUDED",W609=1),--(NOT(EXACT(A609,'AI output'!A609)))+--(NOT(EXACT(B609,'AI output'!B609)))+--(NOT(EXACT(TEXT(G609,"yyyy-mm-dd"),'AI output'!C609)))+--(NOT(EXACT(H609,'AI output'!D609)))+--(NOT(EXACT(J609,'AI output'!E609)))+--(NOT(EXACT(K609,'AI output'!F609)))+--(N609&lt;&gt;'AI output'!L609)+--(NOT('AI output'!M609)),0)</f>
        <v>0</v>
      </c>
      <c r="Z609" s="1">
        <f t="shared" si="79"/>
        <v>0</v>
      </c>
      <c r="AA609" s="1">
        <f>--EXACT(A609,"L00603")</f>
        <v>1</v>
      </c>
    </row>
    <row r="610" spans="1:27" ht="18.95" customHeight="1">
      <c r="A610" s="1" t="str">
        <f>IF(Raw!A610="","",Raw!A610)</f>
        <v>L00604</v>
      </c>
      <c r="B610" s="1" t="str">
        <f>IF(Raw!B610="","",Raw!B610)</f>
        <v>T00302</v>
      </c>
      <c r="C610" s="1" t="str">
        <f>IF(Raw!C610="","",Raw!C610)</f>
        <v>2026-02-07</v>
      </c>
      <c r="D610" s="1">
        <f t="shared" si="72"/>
        <v>2026</v>
      </c>
      <c r="E610" s="1">
        <f>IFERROR(IF(AND(LEN(C610)=10,MID(C610,5,1)="-",MID(C610,8,1)="-"),VALUE(MID(C610,6,2)),IF(AND(LEN(C610)=11,MID(C610,3,1)="-",MID(C610,7,1)="-"),MATCH(UPPER(MID(C610,4,3)),Guide!$D$7:$D$18,0),0)),0)</f>
        <v>2</v>
      </c>
      <c r="F610" s="1">
        <f t="shared" si="73"/>
        <v>7</v>
      </c>
      <c r="G610" s="9">
        <f t="shared" si="74"/>
        <v>46060</v>
      </c>
      <c r="H610" s="1" t="str">
        <f>IF(Raw!D610="","",Raw!D610)</f>
        <v>P-A</v>
      </c>
      <c r="I610" s="1" t="str">
        <f>IFERROR(IF(EXACT(H610,INDEX(Guide!$A$7:$A$9,MATCH(SUBSTITUTE(SUBSTITUTE(SUBSTITUTE(H610,"~","~~"),"*","~*"),"?","~?"),Guide!$A$7:$A$9,0))),INDEX(Guide!$B$7:$B$9,MATCH(SUBSTITUTE(SUBSTITUTE(SUBSTITUTE(H610,"~","~~"),"*","~*"),"?","~?"),Guide!$A$7:$A$9,0)),""),"")</f>
        <v>Accessories</v>
      </c>
      <c r="J610" s="1" t="str">
        <f>IF(TRIM(Raw!E610)="",I610,IF(UPPER(TRIM(Raw!E610))=UPPER(I610),I610,""))</f>
        <v>Accessories</v>
      </c>
      <c r="K610" s="1" t="str">
        <f>IF(Raw!F610="","",Raw!F610)</f>
        <v>sale</v>
      </c>
      <c r="L610" s="1" t="str">
        <f>IF(LEFT(TRIM(Raw!G610),2)="-$","-"&amp;MID(TRIM(Raw!G610),3,99),IF(LEFT(TRIM(Raw!G610),1)="$",MID(TRIM(Raw!G610),2,99),TRIM(Raw!G610)))</f>
        <v>216.20</v>
      </c>
      <c r="M610" s="1">
        <f t="shared" si="75"/>
        <v>216.2</v>
      </c>
      <c r="N610" s="10">
        <f t="shared" si="76"/>
        <v>21620</v>
      </c>
      <c r="O610" s="1" t="b">
        <f>IFERROR(IF(ISNUMBER(Raw!G610),TRUE,OR(EXACT(L610,TEXT(M610,"0.00")),EXACT(L610,TEXT(M610,"#,##0.00")))),FALSE)</f>
        <v>1</v>
      </c>
      <c r="P610" s="1" t="str">
        <f>LEN(IF(Raw!A610="","",Raw!A610))&amp;":"&amp;IF(Raw!A610="","",Raw!A610)&amp;"|"&amp;LEN(IF(Raw!B610="","",Raw!B610))&amp;":"&amp;IF(Raw!B610="","",Raw!B610)&amp;"|"&amp;LEN(IF(Raw!C610="","",Raw!C610))&amp;":"&amp;IF(Raw!C610="","",Raw!C610)&amp;"|"&amp;LEN(IF(Raw!D610="","",Raw!D610))&amp;":"&amp;IF(Raw!D610="","",Raw!D610)&amp;"|"&amp;LEN(IF(Raw!E610="","",Raw!E610))&amp;":"&amp;IF(Raw!E610="","",Raw!E610)&amp;"|"&amp;LEN(IF(Raw!F610="","",Raw!F610))&amp;":"&amp;IF(Raw!F610="","",Raw!F610)&amp;"|"&amp;LEN(IF(Raw!G610="","",Raw!G610))&amp;":"&amp;IF(Raw!G610="","",Raw!G610)</f>
        <v>6:L00604|6:T00302|10:2026-02-07|3:P-A|11:Accessories|4:sale|6:216.20</v>
      </c>
      <c r="Q610" s="1">
        <f>1</f>
        <v>1</v>
      </c>
      <c r="R610" s="1" t="b">
        <f>FALSE</f>
        <v>0</v>
      </c>
      <c r="S610" s="1">
        <f>1</f>
        <v>1</v>
      </c>
      <c r="T610" s="1" t="str">
        <f>IF(AND(Raw!A610="",Raw!B610="",Raw!C610="",Raw!D610="",Raw!E610="",Raw!F610="",Raw!G610=""),"UNUSED",IF(A610="","missing line ID",IF(B610="","missing transaction ID",IF(G610="",IF(C610="","missing date","invalid date"),IF(I610="","unknown product",IF(J610="","conflicting category",IF(NOT(OR(EXACT(K610,"sale"),EXACT(K610,"refund"))),"unknown event",IF(OR(N610="",NOT(O610)),"invalid amount",IF(OR(AND(K610="sale",N610&lt;=0),AND(K610="refund",N610&gt;=0)),"invalid sign","")))))))))</f>
        <v/>
      </c>
      <c r="U610" s="1" t="str">
        <f t="shared" si="77"/>
        <v>INCLUDED</v>
      </c>
      <c r="V610" s="1" t="str">
        <f t="shared" si="78"/>
        <v>2026-02</v>
      </c>
      <c r="W610" s="1">
        <f>IF(AND(U610="INCLUDED",X610&gt;0,EXACT(A610,'AI output'!A610)),1,0)</f>
        <v>1</v>
      </c>
      <c r="X610" s="1">
        <f>610</f>
        <v>610</v>
      </c>
      <c r="Y610" s="1">
        <f>IF(AND(U610="INCLUDED",W610=1),--(NOT(EXACT(A610,'AI output'!A610)))+--(NOT(EXACT(B610,'AI output'!B610)))+--(NOT(EXACT(TEXT(G610,"yyyy-mm-dd"),'AI output'!C610)))+--(NOT(EXACT(H610,'AI output'!D610)))+--(NOT(EXACT(J610,'AI output'!E610)))+--(NOT(EXACT(K610,'AI output'!F610)))+--(N610&lt;&gt;'AI output'!L610)+--(NOT('AI output'!M610)),0)</f>
        <v>0</v>
      </c>
      <c r="Z610" s="1">
        <f t="shared" si="79"/>
        <v>0</v>
      </c>
      <c r="AA610" s="1">
        <f>--EXACT(A610,"L00604")</f>
        <v>1</v>
      </c>
    </row>
    <row r="611" spans="1:27" ht="18.95" customHeight="1">
      <c r="A611" s="1" t="str">
        <f>IF(Raw!A611="","",Raw!A611)</f>
        <v>L00605</v>
      </c>
      <c r="B611" s="1" t="str">
        <f>IF(Raw!B611="","",Raw!B611)</f>
        <v>T00303</v>
      </c>
      <c r="C611" s="1" t="str">
        <f>IF(Raw!C611="","",Raw!C611)</f>
        <v>2026-02-14</v>
      </c>
      <c r="D611" s="1">
        <f t="shared" si="72"/>
        <v>2026</v>
      </c>
      <c r="E611" s="1">
        <f>IFERROR(IF(AND(LEN(C611)=10,MID(C611,5,1)="-",MID(C611,8,1)="-"),VALUE(MID(C611,6,2)),IF(AND(LEN(C611)=11,MID(C611,3,1)="-",MID(C611,7,1)="-"),MATCH(UPPER(MID(C611,4,3)),Guide!$D$7:$D$18,0),0)),0)</f>
        <v>2</v>
      </c>
      <c r="F611" s="1">
        <f t="shared" si="73"/>
        <v>14</v>
      </c>
      <c r="G611" s="9">
        <f t="shared" si="74"/>
        <v>46067</v>
      </c>
      <c r="H611" s="1" t="str">
        <f>IF(Raw!D611="","",Raw!D611)</f>
        <v>P-H</v>
      </c>
      <c r="I611" s="1" t="str">
        <f>IFERROR(IF(EXACT(H611,INDEX(Guide!$A$7:$A$9,MATCH(SUBSTITUTE(SUBSTITUTE(SUBSTITUTE(H611,"~","~~"),"*","~*"),"?","~?"),Guide!$A$7:$A$9,0))),INDEX(Guide!$B$7:$B$9,MATCH(SUBSTITUTE(SUBSTITUTE(SUBSTITUTE(H611,"~","~~"),"*","~*"),"?","~?"),Guide!$A$7:$A$9,0)),""),"")</f>
        <v>Home</v>
      </c>
      <c r="J611" s="1" t="str">
        <f>IF(TRIM(Raw!E611)="",I611,IF(UPPER(TRIM(Raw!E611))=UPPER(I611),I611,""))</f>
        <v>Home</v>
      </c>
      <c r="K611" s="1" t="str">
        <f>IF(Raw!F611="","",Raw!F611)</f>
        <v>sale</v>
      </c>
      <c r="L611" s="1" t="str">
        <f>IF(LEFT(TRIM(Raw!G611),2)="-$","-"&amp;MID(TRIM(Raw!G611),3,99),IF(LEFT(TRIM(Raw!G611),1)="$",MID(TRIM(Raw!G611),2,99),TRIM(Raw!G611)))</f>
        <v>433.88</v>
      </c>
      <c r="M611" s="1">
        <f t="shared" si="75"/>
        <v>433.88</v>
      </c>
      <c r="N611" s="10">
        <f t="shared" si="76"/>
        <v>43388</v>
      </c>
      <c r="O611" s="1" t="b">
        <f>IFERROR(IF(ISNUMBER(Raw!G611),TRUE,OR(EXACT(L611,TEXT(M611,"0.00")),EXACT(L611,TEXT(M611,"#,##0.00")))),FALSE)</f>
        <v>1</v>
      </c>
      <c r="P611" s="1" t="str">
        <f>LEN(IF(Raw!A611="","",Raw!A611))&amp;":"&amp;IF(Raw!A611="","",Raw!A611)&amp;"|"&amp;LEN(IF(Raw!B611="","",Raw!B611))&amp;":"&amp;IF(Raw!B611="","",Raw!B611)&amp;"|"&amp;LEN(IF(Raw!C611="","",Raw!C611))&amp;":"&amp;IF(Raw!C611="","",Raw!C611)&amp;"|"&amp;LEN(IF(Raw!D611="","",Raw!D611))&amp;":"&amp;IF(Raw!D611="","",Raw!D611)&amp;"|"&amp;LEN(IF(Raw!E611="","",Raw!E611))&amp;":"&amp;IF(Raw!E611="","",Raw!E611)&amp;"|"&amp;LEN(IF(Raw!F611="","",Raw!F611))&amp;":"&amp;IF(Raw!F611="","",Raw!F611)&amp;"|"&amp;LEN(IF(Raw!G611="","",Raw!G611))&amp;":"&amp;IF(Raw!G611="","",Raw!G611)</f>
        <v>6:L00605|6:T00303|10:2026-02-14|3:P-H|4:Home|4:sale|6:433.88</v>
      </c>
      <c r="Q611" s="1">
        <f>1</f>
        <v>1</v>
      </c>
      <c r="R611" s="1" t="b">
        <f>FALSE</f>
        <v>0</v>
      </c>
      <c r="S611" s="1">
        <f>1</f>
        <v>1</v>
      </c>
      <c r="T611" s="1" t="str">
        <f>IF(AND(Raw!A611="",Raw!B611="",Raw!C611="",Raw!D611="",Raw!E611="",Raw!F611="",Raw!G611=""),"UNUSED",IF(A611="","missing line ID",IF(B611="","missing transaction ID",IF(G611="",IF(C611="","missing date","invalid date"),IF(I611="","unknown product",IF(J611="","conflicting category",IF(NOT(OR(EXACT(K611,"sale"),EXACT(K611,"refund"))),"unknown event",IF(OR(N611="",NOT(O611)),"invalid amount",IF(OR(AND(K611="sale",N611&lt;=0),AND(K611="refund",N611&gt;=0)),"invalid sign","")))))))))</f>
        <v/>
      </c>
      <c r="U611" s="1" t="str">
        <f t="shared" si="77"/>
        <v>INCLUDED</v>
      </c>
      <c r="V611" s="1" t="str">
        <f t="shared" si="78"/>
        <v>2026-02</v>
      </c>
      <c r="W611" s="1">
        <f>IF(AND(U611="INCLUDED",X611&gt;0,EXACT(A611,'AI output'!A611)),1,0)</f>
        <v>1</v>
      </c>
      <c r="X611" s="1">
        <f>611</f>
        <v>611</v>
      </c>
      <c r="Y611" s="1">
        <f>IF(AND(U611="INCLUDED",W611=1),--(NOT(EXACT(A611,'AI output'!A611)))+--(NOT(EXACT(B611,'AI output'!B611)))+--(NOT(EXACT(TEXT(G611,"yyyy-mm-dd"),'AI output'!C611)))+--(NOT(EXACT(H611,'AI output'!D611)))+--(NOT(EXACT(J611,'AI output'!E611)))+--(NOT(EXACT(K611,'AI output'!F611)))+--(N611&lt;&gt;'AI output'!L611)+--(NOT('AI output'!M611)),0)</f>
        <v>0</v>
      </c>
      <c r="Z611" s="1">
        <f t="shared" si="79"/>
        <v>0</v>
      </c>
      <c r="AA611" s="1">
        <f>--EXACT(A611,"L00605")</f>
        <v>1</v>
      </c>
    </row>
    <row r="612" spans="1:27" ht="18.95" customHeight="1">
      <c r="A612" s="1" t="str">
        <f>IF(Raw!A612="","",Raw!A612)</f>
        <v>L00606</v>
      </c>
      <c r="B612" s="1" t="str">
        <f>IF(Raw!B612="","",Raw!B612)</f>
        <v>T00303</v>
      </c>
      <c r="C612" s="1" t="str">
        <f>IF(Raw!C612="","",Raw!C612)</f>
        <v>2026-02-14</v>
      </c>
      <c r="D612" s="1">
        <f t="shared" si="72"/>
        <v>2026</v>
      </c>
      <c r="E612" s="1">
        <f>IFERROR(IF(AND(LEN(C612)=10,MID(C612,5,1)="-",MID(C612,8,1)="-"),VALUE(MID(C612,6,2)),IF(AND(LEN(C612)=11,MID(C612,3,1)="-",MID(C612,7,1)="-"),MATCH(UPPER(MID(C612,4,3)),Guide!$D$7:$D$18,0),0)),0)</f>
        <v>2</v>
      </c>
      <c r="F612" s="1">
        <f t="shared" si="73"/>
        <v>14</v>
      </c>
      <c r="G612" s="9">
        <f t="shared" si="74"/>
        <v>46067</v>
      </c>
      <c r="H612" s="1" t="str">
        <f>IF(Raw!D612="","",Raw!D612)</f>
        <v>P-O</v>
      </c>
      <c r="I612" s="1" t="str">
        <f>IFERROR(IF(EXACT(H612,INDEX(Guide!$A$7:$A$9,MATCH(SUBSTITUTE(SUBSTITUTE(SUBSTITUTE(H612,"~","~~"),"*","~*"),"?","~?"),Guide!$A$7:$A$9,0))),INDEX(Guide!$B$7:$B$9,MATCH(SUBSTITUTE(SUBSTITUTE(SUBSTITUTE(H612,"~","~~"),"*","~*"),"?","~?"),Guide!$A$7:$A$9,0)),""),"")</f>
        <v>Office</v>
      </c>
      <c r="J612" s="1" t="str">
        <f>IF(TRIM(Raw!E612)="",I612,IF(UPPER(TRIM(Raw!E612))=UPPER(I612),I612,""))</f>
        <v>Office</v>
      </c>
      <c r="K612" s="1" t="str">
        <f>IF(Raw!F612="","",Raw!F612)</f>
        <v>sale</v>
      </c>
      <c r="L612" s="1" t="str">
        <f>IF(LEFT(TRIM(Raw!G612),2)="-$","-"&amp;MID(TRIM(Raw!G612),3,99),IF(LEFT(TRIM(Raw!G612),1)="$",MID(TRIM(Raw!G612),2,99),TRIM(Raw!G612)))</f>
        <v>108.84</v>
      </c>
      <c r="M612" s="1">
        <f t="shared" si="75"/>
        <v>108.84</v>
      </c>
      <c r="N612" s="10">
        <f t="shared" si="76"/>
        <v>10884</v>
      </c>
      <c r="O612" s="1" t="b">
        <f>IFERROR(IF(ISNUMBER(Raw!G612),TRUE,OR(EXACT(L612,TEXT(M612,"0.00")),EXACT(L612,TEXT(M612,"#,##0.00")))),FALSE)</f>
        <v>1</v>
      </c>
      <c r="P612" s="1" t="str">
        <f>LEN(IF(Raw!A612="","",Raw!A612))&amp;":"&amp;IF(Raw!A612="","",Raw!A612)&amp;"|"&amp;LEN(IF(Raw!B612="","",Raw!B612))&amp;":"&amp;IF(Raw!B612="","",Raw!B612)&amp;"|"&amp;LEN(IF(Raw!C612="","",Raw!C612))&amp;":"&amp;IF(Raw!C612="","",Raw!C612)&amp;"|"&amp;LEN(IF(Raw!D612="","",Raw!D612))&amp;":"&amp;IF(Raw!D612="","",Raw!D612)&amp;"|"&amp;LEN(IF(Raw!E612="","",Raw!E612))&amp;":"&amp;IF(Raw!E612="","",Raw!E612)&amp;"|"&amp;LEN(IF(Raw!F612="","",Raw!F612))&amp;":"&amp;IF(Raw!F612="","",Raw!F612)&amp;"|"&amp;LEN(IF(Raw!G612="","",Raw!G612))&amp;":"&amp;IF(Raw!G612="","",Raw!G612)</f>
        <v>6:L00606|6:T00303|10:2026-02-14|3:P-O|6:Office|4:sale|6:108.84</v>
      </c>
      <c r="Q612" s="1">
        <f>1</f>
        <v>1</v>
      </c>
      <c r="R612" s="1" t="b">
        <f>FALSE</f>
        <v>0</v>
      </c>
      <c r="S612" s="1">
        <f>1</f>
        <v>1</v>
      </c>
      <c r="T612" s="1" t="str">
        <f>IF(AND(Raw!A612="",Raw!B612="",Raw!C612="",Raw!D612="",Raw!E612="",Raw!F612="",Raw!G612=""),"UNUSED",IF(A612="","missing line ID",IF(B612="","missing transaction ID",IF(G612="",IF(C612="","missing date","invalid date"),IF(I612="","unknown product",IF(J612="","conflicting category",IF(NOT(OR(EXACT(K612,"sale"),EXACT(K612,"refund"))),"unknown event",IF(OR(N612="",NOT(O612)),"invalid amount",IF(OR(AND(K612="sale",N612&lt;=0),AND(K612="refund",N612&gt;=0)),"invalid sign","")))))))))</f>
        <v/>
      </c>
      <c r="U612" s="1" t="str">
        <f t="shared" si="77"/>
        <v>INCLUDED</v>
      </c>
      <c r="V612" s="1" t="str">
        <f t="shared" si="78"/>
        <v>2026-02</v>
      </c>
      <c r="W612" s="1">
        <f>IF(AND(U612="INCLUDED",X612&gt;0,EXACT(A612,'AI output'!A612)),1,0)</f>
        <v>1</v>
      </c>
      <c r="X612" s="1">
        <f>612</f>
        <v>612</v>
      </c>
      <c r="Y612" s="1">
        <f>IF(AND(U612="INCLUDED",W612=1),--(NOT(EXACT(A612,'AI output'!A612)))+--(NOT(EXACT(B612,'AI output'!B612)))+--(NOT(EXACT(TEXT(G612,"yyyy-mm-dd"),'AI output'!C612)))+--(NOT(EXACT(H612,'AI output'!D612)))+--(NOT(EXACT(J612,'AI output'!E612)))+--(NOT(EXACT(K612,'AI output'!F612)))+--(N612&lt;&gt;'AI output'!L612)+--(NOT('AI output'!M612)),0)</f>
        <v>0</v>
      </c>
      <c r="Z612" s="1">
        <f t="shared" si="79"/>
        <v>0</v>
      </c>
      <c r="AA612" s="1">
        <f>--EXACT(A612,"L00606")</f>
        <v>1</v>
      </c>
    </row>
    <row r="613" spans="1:27" ht="18.95" customHeight="1">
      <c r="A613" s="1" t="str">
        <f>IF(Raw!A613="","",Raw!A613)</f>
        <v>L00607</v>
      </c>
      <c r="B613" s="1" t="str">
        <f>IF(Raw!B613="","",Raw!B613)</f>
        <v>T00304</v>
      </c>
      <c r="C613" s="1" t="str">
        <f>IF(Raw!C613="","",Raw!C613)</f>
        <v>2026-02-21</v>
      </c>
      <c r="D613" s="1">
        <f t="shared" si="72"/>
        <v>2026</v>
      </c>
      <c r="E613" s="1">
        <f>IFERROR(IF(AND(LEN(C613)=10,MID(C613,5,1)="-",MID(C613,8,1)="-"),VALUE(MID(C613,6,2)),IF(AND(LEN(C613)=11,MID(C613,3,1)="-",MID(C613,7,1)="-"),MATCH(UPPER(MID(C613,4,3)),Guide!$D$7:$D$18,0),0)),0)</f>
        <v>2</v>
      </c>
      <c r="F613" s="1">
        <f t="shared" si="73"/>
        <v>21</v>
      </c>
      <c r="G613" s="9">
        <f t="shared" si="74"/>
        <v>46074</v>
      </c>
      <c r="H613" s="1" t="str">
        <f>IF(Raw!D613="","",Raw!D613)</f>
        <v>P-A</v>
      </c>
      <c r="I613" s="1" t="str">
        <f>IFERROR(IF(EXACT(H613,INDEX(Guide!$A$7:$A$9,MATCH(SUBSTITUTE(SUBSTITUTE(SUBSTITUTE(H613,"~","~~"),"*","~*"),"?","~?"),Guide!$A$7:$A$9,0))),INDEX(Guide!$B$7:$B$9,MATCH(SUBSTITUTE(SUBSTITUTE(SUBSTITUTE(H613,"~","~~"),"*","~*"),"?","~?"),Guide!$A$7:$A$9,0)),""),"")</f>
        <v>Accessories</v>
      </c>
      <c r="J613" s="1" t="str">
        <f>IF(TRIM(Raw!E613)="",I613,IF(UPPER(TRIM(Raw!E613))=UPPER(I613),I613,""))</f>
        <v>Accessories</v>
      </c>
      <c r="K613" s="1" t="str">
        <f>IF(Raw!F613="","",Raw!F613)</f>
        <v>sale</v>
      </c>
      <c r="L613" s="1" t="str">
        <f>IF(LEFT(TRIM(Raw!G613),2)="-$","-"&amp;MID(TRIM(Raw!G613),3,99),IF(LEFT(TRIM(Raw!G613),1)="$",MID(TRIM(Raw!G613),2,99),TRIM(Raw!G613)))</f>
        <v>327.63</v>
      </c>
      <c r="M613" s="1">
        <f t="shared" si="75"/>
        <v>327.63</v>
      </c>
      <c r="N613" s="10">
        <f t="shared" si="76"/>
        <v>32763</v>
      </c>
      <c r="O613" s="1" t="b">
        <f>IFERROR(IF(ISNUMBER(Raw!G613),TRUE,OR(EXACT(L613,TEXT(M613,"0.00")),EXACT(L613,TEXT(M613,"#,##0.00")))),FALSE)</f>
        <v>1</v>
      </c>
      <c r="P613" s="1" t="str">
        <f>LEN(IF(Raw!A613="","",Raw!A613))&amp;":"&amp;IF(Raw!A613="","",Raw!A613)&amp;"|"&amp;LEN(IF(Raw!B613="","",Raw!B613))&amp;":"&amp;IF(Raw!B613="","",Raw!B613)&amp;"|"&amp;LEN(IF(Raw!C613="","",Raw!C613))&amp;":"&amp;IF(Raw!C613="","",Raw!C613)&amp;"|"&amp;LEN(IF(Raw!D613="","",Raw!D613))&amp;":"&amp;IF(Raw!D613="","",Raw!D613)&amp;"|"&amp;LEN(IF(Raw!E613="","",Raw!E613))&amp;":"&amp;IF(Raw!E613="","",Raw!E613)&amp;"|"&amp;LEN(IF(Raw!F613="","",Raw!F613))&amp;":"&amp;IF(Raw!F613="","",Raw!F613)&amp;"|"&amp;LEN(IF(Raw!G613="","",Raw!G613))&amp;":"&amp;IF(Raw!G613="","",Raw!G613)</f>
        <v>6:L00607|6:T00304|10:2026-02-21|3:P-A|11:Accessories|4:sale|6:327.63</v>
      </c>
      <c r="Q613" s="1">
        <f>1</f>
        <v>1</v>
      </c>
      <c r="R613" s="1" t="b">
        <f>FALSE</f>
        <v>0</v>
      </c>
      <c r="S613" s="1">
        <f>1</f>
        <v>1</v>
      </c>
      <c r="T613" s="1" t="str">
        <f>IF(AND(Raw!A613="",Raw!B613="",Raw!C613="",Raw!D613="",Raw!E613="",Raw!F613="",Raw!G613=""),"UNUSED",IF(A613="","missing line ID",IF(B613="","missing transaction ID",IF(G613="",IF(C613="","missing date","invalid date"),IF(I613="","unknown product",IF(J613="","conflicting category",IF(NOT(OR(EXACT(K613,"sale"),EXACT(K613,"refund"))),"unknown event",IF(OR(N613="",NOT(O613)),"invalid amount",IF(OR(AND(K613="sale",N613&lt;=0),AND(K613="refund",N613&gt;=0)),"invalid sign","")))))))))</f>
        <v/>
      </c>
      <c r="U613" s="1" t="str">
        <f t="shared" si="77"/>
        <v>INCLUDED</v>
      </c>
      <c r="V613" s="1" t="str">
        <f t="shared" si="78"/>
        <v>2026-02</v>
      </c>
      <c r="W613" s="1">
        <f>IF(AND(U613="INCLUDED",X613&gt;0,EXACT(A613,'AI output'!A613)),1,0)</f>
        <v>1</v>
      </c>
      <c r="X613" s="1">
        <f>613</f>
        <v>613</v>
      </c>
      <c r="Y613" s="1">
        <f>IF(AND(U613="INCLUDED",W613=1),--(NOT(EXACT(A613,'AI output'!A613)))+--(NOT(EXACT(B613,'AI output'!B613)))+--(NOT(EXACT(TEXT(G613,"yyyy-mm-dd"),'AI output'!C613)))+--(NOT(EXACT(H613,'AI output'!D613)))+--(NOT(EXACT(J613,'AI output'!E613)))+--(NOT(EXACT(K613,'AI output'!F613)))+--(N613&lt;&gt;'AI output'!L613)+--(NOT('AI output'!M613)),0)</f>
        <v>0</v>
      </c>
      <c r="Z613" s="1">
        <f t="shared" si="79"/>
        <v>0</v>
      </c>
      <c r="AA613" s="1">
        <f>--EXACT(A613,"L00607")</f>
        <v>1</v>
      </c>
    </row>
    <row r="614" spans="1:27" ht="18.95" customHeight="1">
      <c r="A614" s="1" t="str">
        <f>IF(Raw!A614="","",Raw!A614)</f>
        <v>L00608</v>
      </c>
      <c r="B614" s="1" t="str">
        <f>IF(Raw!B614="","",Raw!B614)</f>
        <v>T00304</v>
      </c>
      <c r="C614" s="1" t="str">
        <f>IF(Raw!C614="","",Raw!C614)</f>
        <v>2026-02-21</v>
      </c>
      <c r="D614" s="1">
        <f t="shared" si="72"/>
        <v>2026</v>
      </c>
      <c r="E614" s="1">
        <f>IFERROR(IF(AND(LEN(C614)=10,MID(C614,5,1)="-",MID(C614,8,1)="-"),VALUE(MID(C614,6,2)),IF(AND(LEN(C614)=11,MID(C614,3,1)="-",MID(C614,7,1)="-"),MATCH(UPPER(MID(C614,4,3)),Guide!$D$7:$D$18,0),0)),0)</f>
        <v>2</v>
      </c>
      <c r="F614" s="1">
        <f t="shared" si="73"/>
        <v>21</v>
      </c>
      <c r="G614" s="9">
        <f t="shared" si="74"/>
        <v>46074</v>
      </c>
      <c r="H614" s="1" t="str">
        <f>IF(Raw!D614="","",Raw!D614)</f>
        <v>P-H</v>
      </c>
      <c r="I614" s="1" t="str">
        <f>IFERROR(IF(EXACT(H614,INDEX(Guide!$A$7:$A$9,MATCH(SUBSTITUTE(SUBSTITUTE(SUBSTITUTE(H614,"~","~~"),"*","~*"),"?","~?"),Guide!$A$7:$A$9,0))),INDEX(Guide!$B$7:$B$9,MATCH(SUBSTITUTE(SUBSTITUTE(SUBSTITUTE(H614,"~","~~"),"*","~*"),"?","~?"),Guide!$A$7:$A$9,0)),""),"")</f>
        <v>Home</v>
      </c>
      <c r="J614" s="1" t="str">
        <f>IF(TRIM(Raw!E614)="",I614,IF(UPPER(TRIM(Raw!E614))=UPPER(I614),I614,""))</f>
        <v>Home</v>
      </c>
      <c r="K614" s="1" t="str">
        <f>IF(Raw!F614="","",Raw!F614)</f>
        <v>sale</v>
      </c>
      <c r="L614" s="1" t="str">
        <f>IF(LEFT(TRIM(Raw!G614),2)="-$","-"&amp;MID(TRIM(Raw!G614),3,99),IF(LEFT(TRIM(Raw!G614),1)="$",MID(TRIM(Raw!G614),2,99),TRIM(Raw!G614)))</f>
        <v>547.90</v>
      </c>
      <c r="M614" s="1">
        <f t="shared" si="75"/>
        <v>547.9</v>
      </c>
      <c r="N614" s="10">
        <f t="shared" si="76"/>
        <v>54790</v>
      </c>
      <c r="O614" s="1" t="b">
        <f>IFERROR(IF(ISNUMBER(Raw!G614),TRUE,OR(EXACT(L614,TEXT(M614,"0.00")),EXACT(L614,TEXT(M614,"#,##0.00")))),FALSE)</f>
        <v>1</v>
      </c>
      <c r="P614" s="1" t="str">
        <f>LEN(IF(Raw!A614="","",Raw!A614))&amp;":"&amp;IF(Raw!A614="","",Raw!A614)&amp;"|"&amp;LEN(IF(Raw!B614="","",Raw!B614))&amp;":"&amp;IF(Raw!B614="","",Raw!B614)&amp;"|"&amp;LEN(IF(Raw!C614="","",Raw!C614))&amp;":"&amp;IF(Raw!C614="","",Raw!C614)&amp;"|"&amp;LEN(IF(Raw!D614="","",Raw!D614))&amp;":"&amp;IF(Raw!D614="","",Raw!D614)&amp;"|"&amp;LEN(IF(Raw!E614="","",Raw!E614))&amp;":"&amp;IF(Raw!E614="","",Raw!E614)&amp;"|"&amp;LEN(IF(Raw!F614="","",Raw!F614))&amp;":"&amp;IF(Raw!F614="","",Raw!F614)&amp;"|"&amp;LEN(IF(Raw!G614="","",Raw!G614))&amp;":"&amp;IF(Raw!G614="","",Raw!G614)</f>
        <v>6:L00608|6:T00304|10:2026-02-21|3:P-H|4:Home|4:sale|6:547.90</v>
      </c>
      <c r="Q614" s="1">
        <f>1</f>
        <v>1</v>
      </c>
      <c r="R614" s="1" t="b">
        <f>FALSE</f>
        <v>0</v>
      </c>
      <c r="S614" s="1">
        <f>1</f>
        <v>1</v>
      </c>
      <c r="T614" s="1" t="str">
        <f>IF(AND(Raw!A614="",Raw!B614="",Raw!C614="",Raw!D614="",Raw!E614="",Raw!F614="",Raw!G614=""),"UNUSED",IF(A614="","missing line ID",IF(B614="","missing transaction ID",IF(G614="",IF(C614="","missing date","invalid date"),IF(I614="","unknown product",IF(J614="","conflicting category",IF(NOT(OR(EXACT(K614,"sale"),EXACT(K614,"refund"))),"unknown event",IF(OR(N614="",NOT(O614)),"invalid amount",IF(OR(AND(K614="sale",N614&lt;=0),AND(K614="refund",N614&gt;=0)),"invalid sign","")))))))))</f>
        <v/>
      </c>
      <c r="U614" s="1" t="str">
        <f t="shared" si="77"/>
        <v>INCLUDED</v>
      </c>
      <c r="V614" s="1" t="str">
        <f t="shared" si="78"/>
        <v>2026-02</v>
      </c>
      <c r="W614" s="1">
        <f>IF(AND(U614="INCLUDED",X614&gt;0,EXACT(A614,'AI output'!A614)),1,0)</f>
        <v>1</v>
      </c>
      <c r="X614" s="1">
        <f>614</f>
        <v>614</v>
      </c>
      <c r="Y614" s="1">
        <f>IF(AND(U614="INCLUDED",W614=1),--(NOT(EXACT(A614,'AI output'!A614)))+--(NOT(EXACT(B614,'AI output'!B614)))+--(NOT(EXACT(TEXT(G614,"yyyy-mm-dd"),'AI output'!C614)))+--(NOT(EXACT(H614,'AI output'!D614)))+--(NOT(EXACT(J614,'AI output'!E614)))+--(NOT(EXACT(K614,'AI output'!F614)))+--(N614&lt;&gt;'AI output'!L614)+--(NOT('AI output'!M614)),0)</f>
        <v>0</v>
      </c>
      <c r="Z614" s="1">
        <f t="shared" si="79"/>
        <v>0</v>
      </c>
      <c r="AA614" s="1">
        <f>--EXACT(A614,"L00608")</f>
        <v>1</v>
      </c>
    </row>
    <row r="615" spans="1:27" ht="18.95" customHeight="1">
      <c r="A615" s="1" t="str">
        <f>IF(Raw!A615="","",Raw!A615)</f>
        <v>L00609</v>
      </c>
      <c r="B615" s="1" t="str">
        <f>IF(Raw!B615="","",Raw!B615)</f>
        <v>T00305</v>
      </c>
      <c r="C615" s="1" t="str">
        <f>IF(Raw!C615="","",Raw!C615)</f>
        <v>2026-02-28</v>
      </c>
      <c r="D615" s="1">
        <f t="shared" si="72"/>
        <v>2026</v>
      </c>
      <c r="E615" s="1">
        <f>IFERROR(IF(AND(LEN(C615)=10,MID(C615,5,1)="-",MID(C615,8,1)="-"),VALUE(MID(C615,6,2)),IF(AND(LEN(C615)=11,MID(C615,3,1)="-",MID(C615,7,1)="-"),MATCH(UPPER(MID(C615,4,3)),Guide!$D$7:$D$18,0),0)),0)</f>
        <v>2</v>
      </c>
      <c r="F615" s="1">
        <f t="shared" si="73"/>
        <v>28</v>
      </c>
      <c r="G615" s="9">
        <f t="shared" si="74"/>
        <v>46081</v>
      </c>
      <c r="H615" s="1" t="str">
        <f>IF(Raw!D615="","",Raw!D615)</f>
        <v>P-O</v>
      </c>
      <c r="I615" s="1" t="str">
        <f>IFERROR(IF(EXACT(H615,INDEX(Guide!$A$7:$A$9,MATCH(SUBSTITUTE(SUBSTITUTE(SUBSTITUTE(H615,"~","~~"),"*","~*"),"?","~?"),Guide!$A$7:$A$9,0))),INDEX(Guide!$B$7:$B$9,MATCH(SUBSTITUTE(SUBSTITUTE(SUBSTITUTE(H615,"~","~~"),"*","~*"),"?","~?"),Guide!$A$7:$A$9,0)),""),"")</f>
        <v>Office</v>
      </c>
      <c r="J615" s="1" t="str">
        <f>IF(TRIM(Raw!E615)="",I615,IF(UPPER(TRIM(Raw!E615))=UPPER(I615),I615,""))</f>
        <v>Office</v>
      </c>
      <c r="K615" s="1" t="str">
        <f>IF(Raw!F615="","",Raw!F615)</f>
        <v>sale</v>
      </c>
      <c r="L615" s="1" t="str">
        <f>IF(LEFT(TRIM(Raw!G615),2)="-$","-"&amp;MID(TRIM(Raw!G615),3,99),IF(LEFT(TRIM(Raw!G615),1)="$",MID(TRIM(Raw!G615),2,99),TRIM(Raw!G615)))</f>
        <v>219.90</v>
      </c>
      <c r="M615" s="1">
        <f t="shared" si="75"/>
        <v>219.9</v>
      </c>
      <c r="N615" s="10">
        <f t="shared" si="76"/>
        <v>21990</v>
      </c>
      <c r="O615" s="1" t="b">
        <f>IFERROR(IF(ISNUMBER(Raw!G615),TRUE,OR(EXACT(L615,TEXT(M615,"0.00")),EXACT(L615,TEXT(M615,"#,##0.00")))),FALSE)</f>
        <v>1</v>
      </c>
      <c r="P615" s="1" t="str">
        <f>LEN(IF(Raw!A615="","",Raw!A615))&amp;":"&amp;IF(Raw!A615="","",Raw!A615)&amp;"|"&amp;LEN(IF(Raw!B615="","",Raw!B615))&amp;":"&amp;IF(Raw!B615="","",Raw!B615)&amp;"|"&amp;LEN(IF(Raw!C615="","",Raw!C615))&amp;":"&amp;IF(Raw!C615="","",Raw!C615)&amp;"|"&amp;LEN(IF(Raw!D615="","",Raw!D615))&amp;":"&amp;IF(Raw!D615="","",Raw!D615)&amp;"|"&amp;LEN(IF(Raw!E615="","",Raw!E615))&amp;":"&amp;IF(Raw!E615="","",Raw!E615)&amp;"|"&amp;LEN(IF(Raw!F615="","",Raw!F615))&amp;":"&amp;IF(Raw!F615="","",Raw!F615)&amp;"|"&amp;LEN(IF(Raw!G615="","",Raw!G615))&amp;":"&amp;IF(Raw!G615="","",Raw!G615)</f>
        <v>6:L00609|6:T00305|10:2026-02-28|3:P-O|6:Office|4:sale|6:219.90</v>
      </c>
      <c r="Q615" s="1">
        <f>1</f>
        <v>1</v>
      </c>
      <c r="R615" s="1" t="b">
        <f>FALSE</f>
        <v>0</v>
      </c>
      <c r="S615" s="1">
        <f>1</f>
        <v>1</v>
      </c>
      <c r="T615" s="1" t="str">
        <f>IF(AND(Raw!A615="",Raw!B615="",Raw!C615="",Raw!D615="",Raw!E615="",Raw!F615="",Raw!G615=""),"UNUSED",IF(A615="","missing line ID",IF(B615="","missing transaction ID",IF(G615="",IF(C615="","missing date","invalid date"),IF(I615="","unknown product",IF(J615="","conflicting category",IF(NOT(OR(EXACT(K615,"sale"),EXACT(K615,"refund"))),"unknown event",IF(OR(N615="",NOT(O615)),"invalid amount",IF(OR(AND(K615="sale",N615&lt;=0),AND(K615="refund",N615&gt;=0)),"invalid sign","")))))))))</f>
        <v/>
      </c>
      <c r="U615" s="1" t="str">
        <f t="shared" si="77"/>
        <v>INCLUDED</v>
      </c>
      <c r="V615" s="1" t="str">
        <f t="shared" si="78"/>
        <v>2026-02</v>
      </c>
      <c r="W615" s="1">
        <f>IF(AND(U615="INCLUDED",X615&gt;0,EXACT(A615,'AI output'!A615)),1,0)</f>
        <v>1</v>
      </c>
      <c r="X615" s="1">
        <f>615</f>
        <v>615</v>
      </c>
      <c r="Y615" s="1">
        <f>IF(AND(U615="INCLUDED",W615=1),--(NOT(EXACT(A615,'AI output'!A615)))+--(NOT(EXACT(B615,'AI output'!B615)))+--(NOT(EXACT(TEXT(G615,"yyyy-mm-dd"),'AI output'!C615)))+--(NOT(EXACT(H615,'AI output'!D615)))+--(NOT(EXACT(J615,'AI output'!E615)))+--(NOT(EXACT(K615,'AI output'!F615)))+--(N615&lt;&gt;'AI output'!L615)+--(NOT('AI output'!M615)),0)</f>
        <v>0</v>
      </c>
      <c r="Z615" s="1">
        <f t="shared" si="79"/>
        <v>0</v>
      </c>
      <c r="AA615" s="1">
        <f>--EXACT(A615,"L00609")</f>
        <v>1</v>
      </c>
    </row>
    <row r="616" spans="1:27" ht="18.95" customHeight="1">
      <c r="A616" s="1" t="str">
        <f>IF(Raw!A616="","",Raw!A616)</f>
        <v>L00610</v>
      </c>
      <c r="B616" s="1" t="str">
        <f>IF(Raw!B616="","",Raw!B616)</f>
        <v>T00305</v>
      </c>
      <c r="C616" s="1" t="str">
        <f>IF(Raw!C616="","",Raw!C616)</f>
        <v>2026-02-28</v>
      </c>
      <c r="D616" s="1">
        <f t="shared" si="72"/>
        <v>2026</v>
      </c>
      <c r="E616" s="1">
        <f>IFERROR(IF(AND(LEN(C616)=10,MID(C616,5,1)="-",MID(C616,8,1)="-"),VALUE(MID(C616,6,2)),IF(AND(LEN(C616)=11,MID(C616,3,1)="-",MID(C616,7,1)="-"),MATCH(UPPER(MID(C616,4,3)),Guide!$D$7:$D$18,0),0)),0)</f>
        <v>2</v>
      </c>
      <c r="F616" s="1">
        <f t="shared" si="73"/>
        <v>28</v>
      </c>
      <c r="G616" s="9">
        <f t="shared" si="74"/>
        <v>46081</v>
      </c>
      <c r="H616" s="1" t="str">
        <f>IF(Raw!D616="","",Raw!D616)</f>
        <v>P-A</v>
      </c>
      <c r="I616" s="1" t="str">
        <f>IFERROR(IF(EXACT(H616,INDEX(Guide!$A$7:$A$9,MATCH(SUBSTITUTE(SUBSTITUTE(SUBSTITUTE(H616,"~","~~"),"*","~*"),"?","~?"),Guide!$A$7:$A$9,0))),INDEX(Guide!$B$7:$B$9,MATCH(SUBSTITUTE(SUBSTITUTE(SUBSTITUTE(H616,"~","~~"),"*","~*"),"?","~?"),Guide!$A$7:$A$9,0)),""),"")</f>
        <v>Accessories</v>
      </c>
      <c r="J616" s="1" t="str">
        <f>IF(TRIM(Raw!E616)="",I616,IF(UPPER(TRIM(Raw!E616))=UPPER(I616),I616,""))</f>
        <v>Accessories</v>
      </c>
      <c r="K616" s="1" t="str">
        <f>IF(Raw!F616="","",Raw!F616)</f>
        <v>sale</v>
      </c>
      <c r="L616" s="1" t="str">
        <f>IF(LEFT(TRIM(Raw!G616),2)="-$","-"&amp;MID(TRIM(Raw!G616),3,99),IF(LEFT(TRIM(Raw!G616),1)="$",MID(TRIM(Raw!G616),2,99),TRIM(Raw!G616)))</f>
        <v>441.28</v>
      </c>
      <c r="M616" s="1">
        <f t="shared" si="75"/>
        <v>441.28</v>
      </c>
      <c r="N616" s="10">
        <f t="shared" si="76"/>
        <v>44128</v>
      </c>
      <c r="O616" s="1" t="b">
        <f>IFERROR(IF(ISNUMBER(Raw!G616),TRUE,OR(EXACT(L616,TEXT(M616,"0.00")),EXACT(L616,TEXT(M616,"#,##0.00")))),FALSE)</f>
        <v>1</v>
      </c>
      <c r="P616" s="1" t="str">
        <f>LEN(IF(Raw!A616="","",Raw!A616))&amp;":"&amp;IF(Raw!A616="","",Raw!A616)&amp;"|"&amp;LEN(IF(Raw!B616="","",Raw!B616))&amp;":"&amp;IF(Raw!B616="","",Raw!B616)&amp;"|"&amp;LEN(IF(Raw!C616="","",Raw!C616))&amp;":"&amp;IF(Raw!C616="","",Raw!C616)&amp;"|"&amp;LEN(IF(Raw!D616="","",Raw!D616))&amp;":"&amp;IF(Raw!D616="","",Raw!D616)&amp;"|"&amp;LEN(IF(Raw!E616="","",Raw!E616))&amp;":"&amp;IF(Raw!E616="","",Raw!E616)&amp;"|"&amp;LEN(IF(Raw!F616="","",Raw!F616))&amp;":"&amp;IF(Raw!F616="","",Raw!F616)&amp;"|"&amp;LEN(IF(Raw!G616="","",Raw!G616))&amp;":"&amp;IF(Raw!G616="","",Raw!G616)</f>
        <v>6:L00610|6:T00305|10:2026-02-28|3:P-A|11:Accessories|4:sale|6:441.28</v>
      </c>
      <c r="Q616" s="1">
        <f>1</f>
        <v>1</v>
      </c>
      <c r="R616" s="1" t="b">
        <f>FALSE</f>
        <v>0</v>
      </c>
      <c r="S616" s="1">
        <f>1</f>
        <v>1</v>
      </c>
      <c r="T616" s="1" t="str">
        <f>IF(AND(Raw!A616="",Raw!B616="",Raw!C616="",Raw!D616="",Raw!E616="",Raw!F616="",Raw!G616=""),"UNUSED",IF(A616="","missing line ID",IF(B616="","missing transaction ID",IF(G616="",IF(C616="","missing date","invalid date"),IF(I616="","unknown product",IF(J616="","conflicting category",IF(NOT(OR(EXACT(K616,"sale"),EXACT(K616,"refund"))),"unknown event",IF(OR(N616="",NOT(O616)),"invalid amount",IF(OR(AND(K616="sale",N616&lt;=0),AND(K616="refund",N616&gt;=0)),"invalid sign","")))))))))</f>
        <v/>
      </c>
      <c r="U616" s="1" t="str">
        <f t="shared" si="77"/>
        <v>INCLUDED</v>
      </c>
      <c r="V616" s="1" t="str">
        <f t="shared" si="78"/>
        <v>2026-02</v>
      </c>
      <c r="W616" s="1">
        <f>IF(AND(U616="INCLUDED",X616&gt;0,EXACT(A616,'AI output'!A616)),1,0)</f>
        <v>1</v>
      </c>
      <c r="X616" s="1">
        <f>616</f>
        <v>616</v>
      </c>
      <c r="Y616" s="1">
        <f>IF(AND(U616="INCLUDED",W616=1),--(NOT(EXACT(A616,'AI output'!A616)))+--(NOT(EXACT(B616,'AI output'!B616)))+--(NOT(EXACT(TEXT(G616,"yyyy-mm-dd"),'AI output'!C616)))+--(NOT(EXACT(H616,'AI output'!D616)))+--(NOT(EXACT(J616,'AI output'!E616)))+--(NOT(EXACT(K616,'AI output'!F616)))+--(N616&lt;&gt;'AI output'!L616)+--(NOT('AI output'!M616)),0)</f>
        <v>0</v>
      </c>
      <c r="Z616" s="1">
        <f t="shared" si="79"/>
        <v>0</v>
      </c>
      <c r="AA616" s="1">
        <f>--EXACT(A616,"L00610")</f>
        <v>1</v>
      </c>
    </row>
    <row r="617" spans="1:27" ht="18.95" customHeight="1">
      <c r="A617" s="1" t="str">
        <f>IF(Raw!A617="","",Raw!A617)</f>
        <v>L00611</v>
      </c>
      <c r="B617" s="1" t="str">
        <f>IF(Raw!B617="","",Raw!B617)</f>
        <v>T00306</v>
      </c>
      <c r="C617" s="1" t="str">
        <f>IF(Raw!C617="","",Raw!C617)</f>
        <v>2026-03-07</v>
      </c>
      <c r="D617" s="1">
        <f t="shared" si="72"/>
        <v>2026</v>
      </c>
      <c r="E617" s="1">
        <f>IFERROR(IF(AND(LEN(C617)=10,MID(C617,5,1)="-",MID(C617,8,1)="-"),VALUE(MID(C617,6,2)),IF(AND(LEN(C617)=11,MID(C617,3,1)="-",MID(C617,7,1)="-"),MATCH(UPPER(MID(C617,4,3)),Guide!$D$7:$D$18,0),0)),0)</f>
        <v>3</v>
      </c>
      <c r="F617" s="1">
        <f t="shared" si="73"/>
        <v>7</v>
      </c>
      <c r="G617" s="9">
        <f t="shared" si="74"/>
        <v>46088</v>
      </c>
      <c r="H617" s="1" t="str">
        <f>IF(Raw!D617="","",Raw!D617)</f>
        <v>P-H</v>
      </c>
      <c r="I617" s="1" t="str">
        <f>IFERROR(IF(EXACT(H617,INDEX(Guide!$A$7:$A$9,MATCH(SUBSTITUTE(SUBSTITUTE(SUBSTITUTE(H617,"~","~~"),"*","~*"),"?","~?"),Guide!$A$7:$A$9,0))),INDEX(Guide!$B$7:$B$9,MATCH(SUBSTITUTE(SUBSTITUTE(SUBSTITUTE(H617,"~","~~"),"*","~*"),"?","~?"),Guide!$A$7:$A$9,0)),""),"")</f>
        <v>Home</v>
      </c>
      <c r="J617" s="1" t="str">
        <f>IF(TRIM(Raw!E617)="",I617,IF(UPPER(TRIM(Raw!E617))=UPPER(I617),I617,""))</f>
        <v>Home</v>
      </c>
      <c r="K617" s="1" t="str">
        <f>IF(Raw!F617="","",Raw!F617)</f>
        <v>sale</v>
      </c>
      <c r="L617" s="1" t="str">
        <f>IF(LEFT(TRIM(Raw!G617),2)="-$","-"&amp;MID(TRIM(Raw!G617),3,99),IF(LEFT(TRIM(Raw!G617),1)="$",MID(TRIM(Raw!G617),2,99),TRIM(Raw!G617)))</f>
        <v>110.69</v>
      </c>
      <c r="M617" s="1">
        <f t="shared" si="75"/>
        <v>110.69</v>
      </c>
      <c r="N617" s="10">
        <f t="shared" si="76"/>
        <v>11069</v>
      </c>
      <c r="O617" s="1" t="b">
        <f>IFERROR(IF(ISNUMBER(Raw!G617),TRUE,OR(EXACT(L617,TEXT(M617,"0.00")),EXACT(L617,TEXT(M617,"#,##0.00")))),FALSE)</f>
        <v>1</v>
      </c>
      <c r="P617" s="1" t="str">
        <f>LEN(IF(Raw!A617="","",Raw!A617))&amp;":"&amp;IF(Raw!A617="","",Raw!A617)&amp;"|"&amp;LEN(IF(Raw!B617="","",Raw!B617))&amp;":"&amp;IF(Raw!B617="","",Raw!B617)&amp;"|"&amp;LEN(IF(Raw!C617="","",Raw!C617))&amp;":"&amp;IF(Raw!C617="","",Raw!C617)&amp;"|"&amp;LEN(IF(Raw!D617="","",Raw!D617))&amp;":"&amp;IF(Raw!D617="","",Raw!D617)&amp;"|"&amp;LEN(IF(Raw!E617="","",Raw!E617))&amp;":"&amp;IF(Raw!E617="","",Raw!E617)&amp;"|"&amp;LEN(IF(Raw!F617="","",Raw!F617))&amp;":"&amp;IF(Raw!F617="","",Raw!F617)&amp;"|"&amp;LEN(IF(Raw!G617="","",Raw!G617))&amp;":"&amp;IF(Raw!G617="","",Raw!G617)</f>
        <v>6:L00611|6:T00306|10:2026-03-07|3:P-H|4:Home|4:sale|6:110.69</v>
      </c>
      <c r="Q617" s="1">
        <f>1</f>
        <v>1</v>
      </c>
      <c r="R617" s="1" t="b">
        <f>FALSE</f>
        <v>0</v>
      </c>
      <c r="S617" s="1">
        <f>1</f>
        <v>1</v>
      </c>
      <c r="T617" s="1" t="str">
        <f>IF(AND(Raw!A617="",Raw!B617="",Raw!C617="",Raw!D617="",Raw!E617="",Raw!F617="",Raw!G617=""),"UNUSED",IF(A617="","missing line ID",IF(B617="","missing transaction ID",IF(G617="",IF(C617="","missing date","invalid date"),IF(I617="","unknown product",IF(J617="","conflicting category",IF(NOT(OR(EXACT(K617,"sale"),EXACT(K617,"refund"))),"unknown event",IF(OR(N617="",NOT(O617)),"invalid amount",IF(OR(AND(K617="sale",N617&lt;=0),AND(K617="refund",N617&gt;=0)),"invalid sign","")))))))))</f>
        <v/>
      </c>
      <c r="U617" s="1" t="str">
        <f t="shared" si="77"/>
        <v>INCLUDED</v>
      </c>
      <c r="V617" s="1" t="str">
        <f t="shared" si="78"/>
        <v>2026-03</v>
      </c>
      <c r="W617" s="1">
        <f>IF(AND(U617="INCLUDED",X617&gt;0,EXACT(A617,'AI output'!A617)),1,0)</f>
        <v>1</v>
      </c>
      <c r="X617" s="1">
        <f>617</f>
        <v>617</v>
      </c>
      <c r="Y617" s="1">
        <f>IF(AND(U617="INCLUDED",W617=1),--(NOT(EXACT(A617,'AI output'!A617)))+--(NOT(EXACT(B617,'AI output'!B617)))+--(NOT(EXACT(TEXT(G617,"yyyy-mm-dd"),'AI output'!C617)))+--(NOT(EXACT(H617,'AI output'!D617)))+--(NOT(EXACT(J617,'AI output'!E617)))+--(NOT(EXACT(K617,'AI output'!F617)))+--(N617&lt;&gt;'AI output'!L617)+--(NOT('AI output'!M617)),0)</f>
        <v>0</v>
      </c>
      <c r="Z617" s="1">
        <f t="shared" si="79"/>
        <v>0</v>
      </c>
      <c r="AA617" s="1">
        <f>--EXACT(A617,"L00611")</f>
        <v>1</v>
      </c>
    </row>
    <row r="618" spans="1:27" ht="18.95" customHeight="1">
      <c r="A618" s="1" t="str">
        <f>IF(Raw!A618="","",Raw!A618)</f>
        <v>L00612</v>
      </c>
      <c r="B618" s="1" t="str">
        <f>IF(Raw!B618="","",Raw!B618)</f>
        <v>T00306</v>
      </c>
      <c r="C618" s="1" t="str">
        <f>IF(Raw!C618="","",Raw!C618)</f>
        <v>2026-03-07</v>
      </c>
      <c r="D618" s="1">
        <f t="shared" si="72"/>
        <v>2026</v>
      </c>
      <c r="E618" s="1">
        <f>IFERROR(IF(AND(LEN(C618)=10,MID(C618,5,1)="-",MID(C618,8,1)="-"),VALUE(MID(C618,6,2)),IF(AND(LEN(C618)=11,MID(C618,3,1)="-",MID(C618,7,1)="-"),MATCH(UPPER(MID(C618,4,3)),Guide!$D$7:$D$18,0),0)),0)</f>
        <v>3</v>
      </c>
      <c r="F618" s="1">
        <f t="shared" si="73"/>
        <v>7</v>
      </c>
      <c r="G618" s="9">
        <f t="shared" si="74"/>
        <v>46088</v>
      </c>
      <c r="H618" s="1" t="str">
        <f>IF(Raw!D618="","",Raw!D618)</f>
        <v>P-O</v>
      </c>
      <c r="I618" s="1" t="str">
        <f>IFERROR(IF(EXACT(H618,INDEX(Guide!$A$7:$A$9,MATCH(SUBSTITUTE(SUBSTITUTE(SUBSTITUTE(H618,"~","~~"),"*","~*"),"?","~?"),Guide!$A$7:$A$9,0))),INDEX(Guide!$B$7:$B$9,MATCH(SUBSTITUTE(SUBSTITUTE(SUBSTITUTE(H618,"~","~~"),"*","~*"),"?","~?"),Guide!$A$7:$A$9,0)),""),"")</f>
        <v>Office</v>
      </c>
      <c r="J618" s="1" t="str">
        <f>IF(TRIM(Raw!E618)="",I618,IF(UPPER(TRIM(Raw!E618))=UPPER(I618),I618,""))</f>
        <v>Office</v>
      </c>
      <c r="K618" s="1" t="str">
        <f>IF(Raw!F618="","",Raw!F618)</f>
        <v>sale</v>
      </c>
      <c r="L618" s="1" t="str">
        <f>IF(LEFT(TRIM(Raw!G618),2)="-$","-"&amp;MID(TRIM(Raw!G618),3,99),IF(LEFT(TRIM(Raw!G618),1)="$",MID(TRIM(Raw!G618),2,99),TRIM(Raw!G618)))</f>
        <v>333.18</v>
      </c>
      <c r="M618" s="1">
        <f t="shared" si="75"/>
        <v>333.18</v>
      </c>
      <c r="N618" s="10">
        <f t="shared" si="76"/>
        <v>33318</v>
      </c>
      <c r="O618" s="1" t="b">
        <f>IFERROR(IF(ISNUMBER(Raw!G618),TRUE,OR(EXACT(L618,TEXT(M618,"0.00")),EXACT(L618,TEXT(M618,"#,##0.00")))),FALSE)</f>
        <v>1</v>
      </c>
      <c r="P618" s="1" t="str">
        <f>LEN(IF(Raw!A618="","",Raw!A618))&amp;":"&amp;IF(Raw!A618="","",Raw!A618)&amp;"|"&amp;LEN(IF(Raw!B618="","",Raw!B618))&amp;":"&amp;IF(Raw!B618="","",Raw!B618)&amp;"|"&amp;LEN(IF(Raw!C618="","",Raw!C618))&amp;":"&amp;IF(Raw!C618="","",Raw!C618)&amp;"|"&amp;LEN(IF(Raw!D618="","",Raw!D618))&amp;":"&amp;IF(Raw!D618="","",Raw!D618)&amp;"|"&amp;LEN(IF(Raw!E618="","",Raw!E618))&amp;":"&amp;IF(Raw!E618="","",Raw!E618)&amp;"|"&amp;LEN(IF(Raw!F618="","",Raw!F618))&amp;":"&amp;IF(Raw!F618="","",Raw!F618)&amp;"|"&amp;LEN(IF(Raw!G618="","",Raw!G618))&amp;":"&amp;IF(Raw!G618="","",Raw!G618)</f>
        <v>6:L00612|6:T00306|10:2026-03-07|3:P-O|10:  office  |4:sale|6:333.18</v>
      </c>
      <c r="Q618" s="1">
        <f>1</f>
        <v>1</v>
      </c>
      <c r="R618" s="1" t="b">
        <f>FALSE</f>
        <v>0</v>
      </c>
      <c r="S618" s="1">
        <f>1</f>
        <v>1</v>
      </c>
      <c r="T618" s="1" t="str">
        <f>IF(AND(Raw!A618="",Raw!B618="",Raw!C618="",Raw!D618="",Raw!E618="",Raw!F618="",Raw!G618=""),"UNUSED",IF(A618="","missing line ID",IF(B618="","missing transaction ID",IF(G618="",IF(C618="","missing date","invalid date"),IF(I618="","unknown product",IF(J618="","conflicting category",IF(NOT(OR(EXACT(K618,"sale"),EXACT(K618,"refund"))),"unknown event",IF(OR(N618="",NOT(O618)),"invalid amount",IF(OR(AND(K618="sale",N618&lt;=0),AND(K618="refund",N618&gt;=0)),"invalid sign","")))))))))</f>
        <v/>
      </c>
      <c r="U618" s="1" t="str">
        <f t="shared" si="77"/>
        <v>INCLUDED</v>
      </c>
      <c r="V618" s="1" t="str">
        <f t="shared" si="78"/>
        <v>2026-03</v>
      </c>
      <c r="W618" s="1">
        <f>IF(AND(U618="INCLUDED",X618&gt;0,EXACT(A618,'AI output'!A618)),1,0)</f>
        <v>1</v>
      </c>
      <c r="X618" s="1">
        <f>618</f>
        <v>618</v>
      </c>
      <c r="Y618" s="1">
        <f>IF(AND(U618="INCLUDED",W618=1),--(NOT(EXACT(A618,'AI output'!A618)))+--(NOT(EXACT(B618,'AI output'!B618)))+--(NOT(EXACT(TEXT(G618,"yyyy-mm-dd"),'AI output'!C618)))+--(NOT(EXACT(H618,'AI output'!D618)))+--(NOT(EXACT(J618,'AI output'!E618)))+--(NOT(EXACT(K618,'AI output'!F618)))+--(N618&lt;&gt;'AI output'!L618)+--(NOT('AI output'!M618)),0)</f>
        <v>0</v>
      </c>
      <c r="Z618" s="1">
        <f t="shared" si="79"/>
        <v>0</v>
      </c>
      <c r="AA618" s="1">
        <f>--EXACT(A618,"L00612")</f>
        <v>1</v>
      </c>
    </row>
    <row r="619" spans="1:27" ht="18.95" customHeight="1">
      <c r="A619" s="1" t="str">
        <f>IF(Raw!A619="","",Raw!A619)</f>
        <v>L00613</v>
      </c>
      <c r="B619" s="1" t="str">
        <f>IF(Raw!B619="","",Raw!B619)</f>
        <v>T00307</v>
      </c>
      <c r="C619" s="1" t="str">
        <f>IF(Raw!C619="","",Raw!C619)</f>
        <v>2026-03-14</v>
      </c>
      <c r="D619" s="1">
        <f t="shared" si="72"/>
        <v>2026</v>
      </c>
      <c r="E619" s="1">
        <f>IFERROR(IF(AND(LEN(C619)=10,MID(C619,5,1)="-",MID(C619,8,1)="-"),VALUE(MID(C619,6,2)),IF(AND(LEN(C619)=11,MID(C619,3,1)="-",MID(C619,7,1)="-"),MATCH(UPPER(MID(C619,4,3)),Guide!$D$7:$D$18,0),0)),0)</f>
        <v>3</v>
      </c>
      <c r="F619" s="1">
        <f t="shared" si="73"/>
        <v>14</v>
      </c>
      <c r="G619" s="9">
        <f t="shared" si="74"/>
        <v>46095</v>
      </c>
      <c r="H619" s="1" t="str">
        <f>IF(Raw!D619="","",Raw!D619)</f>
        <v>P-A</v>
      </c>
      <c r="I619" s="1" t="str">
        <f>IFERROR(IF(EXACT(H619,INDEX(Guide!$A$7:$A$9,MATCH(SUBSTITUTE(SUBSTITUTE(SUBSTITUTE(H619,"~","~~"),"*","~*"),"?","~?"),Guide!$A$7:$A$9,0))),INDEX(Guide!$B$7:$B$9,MATCH(SUBSTITUTE(SUBSTITUTE(SUBSTITUTE(H619,"~","~~"),"*","~*"),"?","~?"),Guide!$A$7:$A$9,0)),""),"")</f>
        <v>Accessories</v>
      </c>
      <c r="J619" s="1" t="str">
        <f>IF(TRIM(Raw!E619)="",I619,IF(UPPER(TRIM(Raw!E619))=UPPER(I619),I619,""))</f>
        <v>Accessories</v>
      </c>
      <c r="K619" s="1" t="str">
        <f>IF(Raw!F619="","",Raw!F619)</f>
        <v>sale</v>
      </c>
      <c r="L619" s="1" t="str">
        <f>IF(LEFT(TRIM(Raw!G619),2)="-$","-"&amp;MID(TRIM(Raw!G619),3,99),IF(LEFT(TRIM(Raw!G619),1)="$",MID(TRIM(Raw!G619),2,99),TRIM(Raw!G619)))</f>
        <v>557.15</v>
      </c>
      <c r="M619" s="1">
        <f t="shared" si="75"/>
        <v>557.15</v>
      </c>
      <c r="N619" s="10">
        <f t="shared" si="76"/>
        <v>55715</v>
      </c>
      <c r="O619" s="1" t="b">
        <f>IFERROR(IF(ISNUMBER(Raw!G619),TRUE,OR(EXACT(L619,TEXT(M619,"0.00")),EXACT(L619,TEXT(M619,"#,##0.00")))),FALSE)</f>
        <v>1</v>
      </c>
      <c r="P619" s="1" t="str">
        <f>LEN(IF(Raw!A619="","",Raw!A619))&amp;":"&amp;IF(Raw!A619="","",Raw!A619)&amp;"|"&amp;LEN(IF(Raw!B619="","",Raw!B619))&amp;":"&amp;IF(Raw!B619="","",Raw!B619)&amp;"|"&amp;LEN(IF(Raw!C619="","",Raw!C619))&amp;":"&amp;IF(Raw!C619="","",Raw!C619)&amp;"|"&amp;LEN(IF(Raw!D619="","",Raw!D619))&amp;":"&amp;IF(Raw!D619="","",Raw!D619)&amp;"|"&amp;LEN(IF(Raw!E619="","",Raw!E619))&amp;":"&amp;IF(Raw!E619="","",Raw!E619)&amp;"|"&amp;LEN(IF(Raw!F619="","",Raw!F619))&amp;":"&amp;IF(Raw!F619="","",Raw!F619)&amp;"|"&amp;LEN(IF(Raw!G619="","",Raw!G619))&amp;":"&amp;IF(Raw!G619="","",Raw!G619)</f>
        <v>6:L00613|6:T00307|10:2026-03-14|3:P-A|11:Accessories|4:sale|6:557.15</v>
      </c>
      <c r="Q619" s="1">
        <f>1</f>
        <v>1</v>
      </c>
      <c r="R619" s="1" t="b">
        <f>FALSE</f>
        <v>0</v>
      </c>
      <c r="S619" s="1">
        <f>1</f>
        <v>1</v>
      </c>
      <c r="T619" s="1" t="str">
        <f>IF(AND(Raw!A619="",Raw!B619="",Raw!C619="",Raw!D619="",Raw!E619="",Raw!F619="",Raw!G619=""),"UNUSED",IF(A619="","missing line ID",IF(B619="","missing transaction ID",IF(G619="",IF(C619="","missing date","invalid date"),IF(I619="","unknown product",IF(J619="","conflicting category",IF(NOT(OR(EXACT(K619,"sale"),EXACT(K619,"refund"))),"unknown event",IF(OR(N619="",NOT(O619)),"invalid amount",IF(OR(AND(K619="sale",N619&lt;=0),AND(K619="refund",N619&gt;=0)),"invalid sign","")))))))))</f>
        <v/>
      </c>
      <c r="U619" s="1" t="str">
        <f t="shared" si="77"/>
        <v>INCLUDED</v>
      </c>
      <c r="V619" s="1" t="str">
        <f t="shared" si="78"/>
        <v>2026-03</v>
      </c>
      <c r="W619" s="1">
        <f>IF(AND(U619="INCLUDED",X619&gt;0,EXACT(A619,'AI output'!A619)),1,0)</f>
        <v>1</v>
      </c>
      <c r="X619" s="1">
        <f>619</f>
        <v>619</v>
      </c>
      <c r="Y619" s="1">
        <f>IF(AND(U619="INCLUDED",W619=1),--(NOT(EXACT(A619,'AI output'!A619)))+--(NOT(EXACT(B619,'AI output'!B619)))+--(NOT(EXACT(TEXT(G619,"yyyy-mm-dd"),'AI output'!C619)))+--(NOT(EXACT(H619,'AI output'!D619)))+--(NOT(EXACT(J619,'AI output'!E619)))+--(NOT(EXACT(K619,'AI output'!F619)))+--(N619&lt;&gt;'AI output'!L619)+--(NOT('AI output'!M619)),0)</f>
        <v>0</v>
      </c>
      <c r="Z619" s="1">
        <f t="shared" si="79"/>
        <v>0</v>
      </c>
      <c r="AA619" s="1">
        <f>--EXACT(A619,"L00613")</f>
        <v>1</v>
      </c>
    </row>
    <row r="620" spans="1:27" ht="18.95" customHeight="1">
      <c r="A620" s="1" t="str">
        <f>IF(Raw!A620="","",Raw!A620)</f>
        <v>L00614</v>
      </c>
      <c r="B620" s="1" t="str">
        <f>IF(Raw!B620="","",Raw!B620)</f>
        <v>T00307</v>
      </c>
      <c r="C620" s="1" t="str">
        <f>IF(Raw!C620="","",Raw!C620)</f>
        <v>2026-03-14</v>
      </c>
      <c r="D620" s="1">
        <f t="shared" si="72"/>
        <v>2026</v>
      </c>
      <c r="E620" s="1">
        <f>IFERROR(IF(AND(LEN(C620)=10,MID(C620,5,1)="-",MID(C620,8,1)="-"),VALUE(MID(C620,6,2)),IF(AND(LEN(C620)=11,MID(C620,3,1)="-",MID(C620,7,1)="-"),MATCH(UPPER(MID(C620,4,3)),Guide!$D$7:$D$18,0),0)),0)</f>
        <v>3</v>
      </c>
      <c r="F620" s="1">
        <f t="shared" si="73"/>
        <v>14</v>
      </c>
      <c r="G620" s="9">
        <f t="shared" si="74"/>
        <v>46095</v>
      </c>
      <c r="H620" s="1" t="str">
        <f>IF(Raw!D620="","",Raw!D620)</f>
        <v>P-H</v>
      </c>
      <c r="I620" s="1" t="str">
        <f>IFERROR(IF(EXACT(H620,INDEX(Guide!$A$7:$A$9,MATCH(SUBSTITUTE(SUBSTITUTE(SUBSTITUTE(H620,"~","~~"),"*","~*"),"?","~?"),Guide!$A$7:$A$9,0))),INDEX(Guide!$B$7:$B$9,MATCH(SUBSTITUTE(SUBSTITUTE(SUBSTITUTE(H620,"~","~~"),"*","~*"),"?","~?"),Guide!$A$7:$A$9,0)),""),"")</f>
        <v>Home</v>
      </c>
      <c r="J620" s="1" t="str">
        <f>IF(TRIM(Raw!E620)="",I620,IF(UPPER(TRIM(Raw!E620))=UPPER(I620),I620,""))</f>
        <v>Home</v>
      </c>
      <c r="K620" s="1" t="str">
        <f>IF(Raw!F620="","",Raw!F620)</f>
        <v>sale</v>
      </c>
      <c r="L620" s="1" t="str">
        <f>IF(LEFT(TRIM(Raw!G620),2)="-$","-"&amp;MID(TRIM(Raw!G620),3,99),IF(LEFT(TRIM(Raw!G620),1)="$",MID(TRIM(Raw!G620),2,99),TRIM(Raw!G620)))</f>
        <v>223.60</v>
      </c>
      <c r="M620" s="1">
        <f t="shared" si="75"/>
        <v>223.6</v>
      </c>
      <c r="N620" s="10">
        <f t="shared" si="76"/>
        <v>22360</v>
      </c>
      <c r="O620" s="1" t="b">
        <f>IFERROR(IF(ISNUMBER(Raw!G620),TRUE,OR(EXACT(L620,TEXT(M620,"0.00")),EXACT(L620,TEXT(M620,"#,##0.00")))),FALSE)</f>
        <v>1</v>
      </c>
      <c r="P620" s="1" t="str">
        <f>LEN(IF(Raw!A620="","",Raw!A620))&amp;":"&amp;IF(Raw!A620="","",Raw!A620)&amp;"|"&amp;LEN(IF(Raw!B620="","",Raw!B620))&amp;":"&amp;IF(Raw!B620="","",Raw!B620)&amp;"|"&amp;LEN(IF(Raw!C620="","",Raw!C620))&amp;":"&amp;IF(Raw!C620="","",Raw!C620)&amp;"|"&amp;LEN(IF(Raw!D620="","",Raw!D620))&amp;":"&amp;IF(Raw!D620="","",Raw!D620)&amp;"|"&amp;LEN(IF(Raw!E620="","",Raw!E620))&amp;":"&amp;IF(Raw!E620="","",Raw!E620)&amp;"|"&amp;LEN(IF(Raw!F620="","",Raw!F620))&amp;":"&amp;IF(Raw!F620="","",Raw!F620)&amp;"|"&amp;LEN(IF(Raw!G620="","",Raw!G620))&amp;":"&amp;IF(Raw!G620="","",Raw!G620)</f>
        <v>6:L00614|6:T00307|10:2026-03-14|3:P-H|4:Home|4:sale|6:223.60</v>
      </c>
      <c r="Q620" s="1">
        <f>1</f>
        <v>1</v>
      </c>
      <c r="R620" s="1" t="b">
        <f>FALSE</f>
        <v>0</v>
      </c>
      <c r="S620" s="1">
        <f>1</f>
        <v>1</v>
      </c>
      <c r="T620" s="1" t="str">
        <f>IF(AND(Raw!A620="",Raw!B620="",Raw!C620="",Raw!D620="",Raw!E620="",Raw!F620="",Raw!G620=""),"UNUSED",IF(A620="","missing line ID",IF(B620="","missing transaction ID",IF(G620="",IF(C620="","missing date","invalid date"),IF(I620="","unknown product",IF(J620="","conflicting category",IF(NOT(OR(EXACT(K620,"sale"),EXACT(K620,"refund"))),"unknown event",IF(OR(N620="",NOT(O620)),"invalid amount",IF(OR(AND(K620="sale",N620&lt;=0),AND(K620="refund",N620&gt;=0)),"invalid sign","")))))))))</f>
        <v/>
      </c>
      <c r="U620" s="1" t="str">
        <f t="shared" si="77"/>
        <v>INCLUDED</v>
      </c>
      <c r="V620" s="1" t="str">
        <f t="shared" si="78"/>
        <v>2026-03</v>
      </c>
      <c r="W620" s="1">
        <f>IF(AND(U620="INCLUDED",X620&gt;0,EXACT(A620,'AI output'!A620)),1,0)</f>
        <v>1</v>
      </c>
      <c r="X620" s="1">
        <f>620</f>
        <v>620</v>
      </c>
      <c r="Y620" s="1">
        <f>IF(AND(U620="INCLUDED",W620=1),--(NOT(EXACT(A620,'AI output'!A620)))+--(NOT(EXACT(B620,'AI output'!B620)))+--(NOT(EXACT(TEXT(G620,"yyyy-mm-dd"),'AI output'!C620)))+--(NOT(EXACT(H620,'AI output'!D620)))+--(NOT(EXACT(J620,'AI output'!E620)))+--(NOT(EXACT(K620,'AI output'!F620)))+--(N620&lt;&gt;'AI output'!L620)+--(NOT('AI output'!M620)),0)</f>
        <v>0</v>
      </c>
      <c r="Z620" s="1">
        <f t="shared" si="79"/>
        <v>0</v>
      </c>
      <c r="AA620" s="1">
        <f>--EXACT(A620,"L00614")</f>
        <v>1</v>
      </c>
    </row>
    <row r="621" spans="1:27" ht="18.95" customHeight="1">
      <c r="A621" s="1" t="str">
        <f>IF(Raw!A621="","",Raw!A621)</f>
        <v>L00615</v>
      </c>
      <c r="B621" s="1" t="str">
        <f>IF(Raw!B621="","",Raw!B621)</f>
        <v>T00308</v>
      </c>
      <c r="C621" s="1" t="str">
        <f>IF(Raw!C621="","",Raw!C621)</f>
        <v>2026-03-21</v>
      </c>
      <c r="D621" s="1">
        <f t="shared" si="72"/>
        <v>2026</v>
      </c>
      <c r="E621" s="1">
        <f>IFERROR(IF(AND(LEN(C621)=10,MID(C621,5,1)="-",MID(C621,8,1)="-"),VALUE(MID(C621,6,2)),IF(AND(LEN(C621)=11,MID(C621,3,1)="-",MID(C621,7,1)="-"),MATCH(UPPER(MID(C621,4,3)),Guide!$D$7:$D$18,0),0)),0)</f>
        <v>3</v>
      </c>
      <c r="F621" s="1">
        <f t="shared" si="73"/>
        <v>21</v>
      </c>
      <c r="G621" s="9">
        <f t="shared" si="74"/>
        <v>46102</v>
      </c>
      <c r="H621" s="1" t="str">
        <f>IF(Raw!D621="","",Raw!D621)</f>
        <v>P-O</v>
      </c>
      <c r="I621" s="1" t="str">
        <f>IFERROR(IF(EXACT(H621,INDEX(Guide!$A$7:$A$9,MATCH(SUBSTITUTE(SUBSTITUTE(SUBSTITUTE(H621,"~","~~"),"*","~*"),"?","~?"),Guide!$A$7:$A$9,0))),INDEX(Guide!$B$7:$B$9,MATCH(SUBSTITUTE(SUBSTITUTE(SUBSTITUTE(H621,"~","~~"),"*","~*"),"?","~?"),Guide!$A$7:$A$9,0)),""),"")</f>
        <v>Office</v>
      </c>
      <c r="J621" s="1" t="str">
        <f>IF(TRIM(Raw!E621)="",I621,IF(UPPER(TRIM(Raw!E621))=UPPER(I621),I621,""))</f>
        <v>Office</v>
      </c>
      <c r="K621" s="1" t="str">
        <f>IF(Raw!F621="","",Raw!F621)</f>
        <v>sale</v>
      </c>
      <c r="L621" s="1" t="str">
        <f>IF(LEFT(TRIM(Raw!G621),2)="-$","-"&amp;MID(TRIM(Raw!G621),3,99),IF(LEFT(TRIM(Raw!G621),1)="$",MID(TRIM(Raw!G621),2,99),TRIM(Raw!G621)))</f>
        <v>448.68</v>
      </c>
      <c r="M621" s="1">
        <f t="shared" si="75"/>
        <v>448.68</v>
      </c>
      <c r="N621" s="10">
        <f t="shared" si="76"/>
        <v>44868</v>
      </c>
      <c r="O621" s="1" t="b">
        <f>IFERROR(IF(ISNUMBER(Raw!G621),TRUE,OR(EXACT(L621,TEXT(M621,"0.00")),EXACT(L621,TEXT(M621,"#,##0.00")))),FALSE)</f>
        <v>1</v>
      </c>
      <c r="P621" s="1" t="str">
        <f>LEN(IF(Raw!A621="","",Raw!A621))&amp;":"&amp;IF(Raw!A621="","",Raw!A621)&amp;"|"&amp;LEN(IF(Raw!B621="","",Raw!B621))&amp;":"&amp;IF(Raw!B621="","",Raw!B621)&amp;"|"&amp;LEN(IF(Raw!C621="","",Raw!C621))&amp;":"&amp;IF(Raw!C621="","",Raw!C621)&amp;"|"&amp;LEN(IF(Raw!D621="","",Raw!D621))&amp;":"&amp;IF(Raw!D621="","",Raw!D621)&amp;"|"&amp;LEN(IF(Raw!E621="","",Raw!E621))&amp;":"&amp;IF(Raw!E621="","",Raw!E621)&amp;"|"&amp;LEN(IF(Raw!F621="","",Raw!F621))&amp;":"&amp;IF(Raw!F621="","",Raw!F621)&amp;"|"&amp;LEN(IF(Raw!G621="","",Raw!G621))&amp;":"&amp;IF(Raw!G621="","",Raw!G621)</f>
        <v>6:L00615|6:T00308|10:2026-03-21|3:P-O|6:Office|4:sale|6:448.68</v>
      </c>
      <c r="Q621" s="1">
        <f>1</f>
        <v>1</v>
      </c>
      <c r="R621" s="1" t="b">
        <f>FALSE</f>
        <v>0</v>
      </c>
      <c r="S621" s="1">
        <f>1</f>
        <v>1</v>
      </c>
      <c r="T621" s="1" t="str">
        <f>IF(AND(Raw!A621="",Raw!B621="",Raw!C621="",Raw!D621="",Raw!E621="",Raw!F621="",Raw!G621=""),"UNUSED",IF(A621="","missing line ID",IF(B621="","missing transaction ID",IF(G621="",IF(C621="","missing date","invalid date"),IF(I621="","unknown product",IF(J621="","conflicting category",IF(NOT(OR(EXACT(K621,"sale"),EXACT(K621,"refund"))),"unknown event",IF(OR(N621="",NOT(O621)),"invalid amount",IF(OR(AND(K621="sale",N621&lt;=0),AND(K621="refund",N621&gt;=0)),"invalid sign","")))))))))</f>
        <v/>
      </c>
      <c r="U621" s="1" t="str">
        <f t="shared" si="77"/>
        <v>INCLUDED</v>
      </c>
      <c r="V621" s="1" t="str">
        <f t="shared" si="78"/>
        <v>2026-03</v>
      </c>
      <c r="W621" s="1">
        <f>IF(AND(U621="INCLUDED",X621&gt;0,EXACT(A621,'AI output'!A621)),1,0)</f>
        <v>1</v>
      </c>
      <c r="X621" s="1">
        <f>621</f>
        <v>621</v>
      </c>
      <c r="Y621" s="1">
        <f>IF(AND(U621="INCLUDED",W621=1),--(NOT(EXACT(A621,'AI output'!A621)))+--(NOT(EXACT(B621,'AI output'!B621)))+--(NOT(EXACT(TEXT(G621,"yyyy-mm-dd"),'AI output'!C621)))+--(NOT(EXACT(H621,'AI output'!D621)))+--(NOT(EXACT(J621,'AI output'!E621)))+--(NOT(EXACT(K621,'AI output'!F621)))+--(N621&lt;&gt;'AI output'!L621)+--(NOT('AI output'!M621)),0)</f>
        <v>0</v>
      </c>
      <c r="Z621" s="1">
        <f t="shared" si="79"/>
        <v>0</v>
      </c>
      <c r="AA621" s="1">
        <f>--EXACT(A621,"L00615")</f>
        <v>1</v>
      </c>
    </row>
    <row r="622" spans="1:27" ht="18.95" customHeight="1">
      <c r="A622" s="1" t="str">
        <f>IF(Raw!A622="","",Raw!A622)</f>
        <v>L00616</v>
      </c>
      <c r="B622" s="1" t="str">
        <f>IF(Raw!B622="","",Raw!B622)</f>
        <v>T00308</v>
      </c>
      <c r="C622" s="1" t="str">
        <f>IF(Raw!C622="","",Raw!C622)</f>
        <v>2026-03-21</v>
      </c>
      <c r="D622" s="1">
        <f t="shared" si="72"/>
        <v>2026</v>
      </c>
      <c r="E622" s="1">
        <f>IFERROR(IF(AND(LEN(C622)=10,MID(C622,5,1)="-",MID(C622,8,1)="-"),VALUE(MID(C622,6,2)),IF(AND(LEN(C622)=11,MID(C622,3,1)="-",MID(C622,7,1)="-"),MATCH(UPPER(MID(C622,4,3)),Guide!$D$7:$D$18,0),0)),0)</f>
        <v>3</v>
      </c>
      <c r="F622" s="1">
        <f t="shared" si="73"/>
        <v>21</v>
      </c>
      <c r="G622" s="9">
        <f t="shared" si="74"/>
        <v>46102</v>
      </c>
      <c r="H622" s="1" t="str">
        <f>IF(Raw!D622="","",Raw!D622)</f>
        <v>P-A</v>
      </c>
      <c r="I622" s="1" t="str">
        <f>IFERROR(IF(EXACT(H622,INDEX(Guide!$A$7:$A$9,MATCH(SUBSTITUTE(SUBSTITUTE(SUBSTITUTE(H622,"~","~~"),"*","~*"),"?","~?"),Guide!$A$7:$A$9,0))),INDEX(Guide!$B$7:$B$9,MATCH(SUBSTITUTE(SUBSTITUTE(SUBSTITUTE(H622,"~","~~"),"*","~*"),"?","~?"),Guide!$A$7:$A$9,0)),""),"")</f>
        <v>Accessories</v>
      </c>
      <c r="J622" s="1" t="str">
        <f>IF(TRIM(Raw!E622)="",I622,IF(UPPER(TRIM(Raw!E622))=UPPER(I622),I622,""))</f>
        <v>Accessories</v>
      </c>
      <c r="K622" s="1" t="str">
        <f>IF(Raw!F622="","",Raw!F622)</f>
        <v>sale</v>
      </c>
      <c r="L622" s="1" t="str">
        <f>IF(LEFT(TRIM(Raw!G622),2)="-$","-"&amp;MID(TRIM(Raw!G622),3,99),IF(LEFT(TRIM(Raw!G622),1)="$",MID(TRIM(Raw!G622),2,99),TRIM(Raw!G622)))</f>
        <v>112.54</v>
      </c>
      <c r="M622" s="1">
        <f t="shared" si="75"/>
        <v>112.54</v>
      </c>
      <c r="N622" s="10">
        <f t="shared" si="76"/>
        <v>11254</v>
      </c>
      <c r="O622" s="1" t="b">
        <f>IFERROR(IF(ISNUMBER(Raw!G622),TRUE,OR(EXACT(L622,TEXT(M622,"0.00")),EXACT(L622,TEXT(M622,"#,##0.00")))),FALSE)</f>
        <v>1</v>
      </c>
      <c r="P622" s="1" t="str">
        <f>LEN(IF(Raw!A622="","",Raw!A622))&amp;":"&amp;IF(Raw!A622="","",Raw!A622)&amp;"|"&amp;LEN(IF(Raw!B622="","",Raw!B622))&amp;":"&amp;IF(Raw!B622="","",Raw!B622)&amp;"|"&amp;LEN(IF(Raw!C622="","",Raw!C622))&amp;":"&amp;IF(Raw!C622="","",Raw!C622)&amp;"|"&amp;LEN(IF(Raw!D622="","",Raw!D622))&amp;":"&amp;IF(Raw!D622="","",Raw!D622)&amp;"|"&amp;LEN(IF(Raw!E622="","",Raw!E622))&amp;":"&amp;IF(Raw!E622="","",Raw!E622)&amp;"|"&amp;LEN(IF(Raw!F622="","",Raw!F622))&amp;":"&amp;IF(Raw!F622="","",Raw!F622)&amp;"|"&amp;LEN(IF(Raw!G622="","",Raw!G622))&amp;":"&amp;IF(Raw!G622="","",Raw!G622)</f>
        <v>6:L00616|6:T00308|10:2026-03-21|3:P-A|11:Accessories|4:sale|6:112.54</v>
      </c>
      <c r="Q622" s="1">
        <f>1</f>
        <v>1</v>
      </c>
      <c r="R622" s="1" t="b">
        <f>FALSE</f>
        <v>0</v>
      </c>
      <c r="S622" s="1">
        <f>1</f>
        <v>1</v>
      </c>
      <c r="T622" s="1" t="str">
        <f>IF(AND(Raw!A622="",Raw!B622="",Raw!C622="",Raw!D622="",Raw!E622="",Raw!F622="",Raw!G622=""),"UNUSED",IF(A622="","missing line ID",IF(B622="","missing transaction ID",IF(G622="",IF(C622="","missing date","invalid date"),IF(I622="","unknown product",IF(J622="","conflicting category",IF(NOT(OR(EXACT(K622,"sale"),EXACT(K622,"refund"))),"unknown event",IF(OR(N622="",NOT(O622)),"invalid amount",IF(OR(AND(K622="sale",N622&lt;=0),AND(K622="refund",N622&gt;=0)),"invalid sign","")))))))))</f>
        <v/>
      </c>
      <c r="U622" s="1" t="str">
        <f t="shared" si="77"/>
        <v>INCLUDED</v>
      </c>
      <c r="V622" s="1" t="str">
        <f t="shared" si="78"/>
        <v>2026-03</v>
      </c>
      <c r="W622" s="1">
        <f>IF(AND(U622="INCLUDED",X622&gt;0,EXACT(A622,'AI output'!A622)),1,0)</f>
        <v>1</v>
      </c>
      <c r="X622" s="1">
        <f>622</f>
        <v>622</v>
      </c>
      <c r="Y622" s="1">
        <f>IF(AND(U622="INCLUDED",W622=1),--(NOT(EXACT(A622,'AI output'!A622)))+--(NOT(EXACT(B622,'AI output'!B622)))+--(NOT(EXACT(TEXT(G622,"yyyy-mm-dd"),'AI output'!C622)))+--(NOT(EXACT(H622,'AI output'!D622)))+--(NOT(EXACT(J622,'AI output'!E622)))+--(NOT(EXACT(K622,'AI output'!F622)))+--(N622&lt;&gt;'AI output'!L622)+--(NOT('AI output'!M622)),0)</f>
        <v>0</v>
      </c>
      <c r="Z622" s="1">
        <f t="shared" si="79"/>
        <v>0</v>
      </c>
      <c r="AA622" s="1">
        <f>--EXACT(A622,"L00616")</f>
        <v>1</v>
      </c>
    </row>
    <row r="623" spans="1:27" ht="18.95" customHeight="1">
      <c r="A623" s="1" t="str">
        <f>IF(Raw!A623="","",Raw!A623)</f>
        <v>L00617</v>
      </c>
      <c r="B623" s="1" t="str">
        <f>IF(Raw!B623="","",Raw!B623)</f>
        <v>T00309</v>
      </c>
      <c r="C623" s="1" t="str">
        <f>IF(Raw!C623="","",Raw!C623)</f>
        <v>2026-03-28</v>
      </c>
      <c r="D623" s="1">
        <f t="shared" si="72"/>
        <v>2026</v>
      </c>
      <c r="E623" s="1">
        <f>IFERROR(IF(AND(LEN(C623)=10,MID(C623,5,1)="-",MID(C623,8,1)="-"),VALUE(MID(C623,6,2)),IF(AND(LEN(C623)=11,MID(C623,3,1)="-",MID(C623,7,1)="-"),MATCH(UPPER(MID(C623,4,3)),Guide!$D$7:$D$18,0),0)),0)</f>
        <v>3</v>
      </c>
      <c r="F623" s="1">
        <f t="shared" si="73"/>
        <v>28</v>
      </c>
      <c r="G623" s="9">
        <f t="shared" si="74"/>
        <v>46109</v>
      </c>
      <c r="H623" s="1" t="str">
        <f>IF(Raw!D623="","",Raw!D623)</f>
        <v>P-H</v>
      </c>
      <c r="I623" s="1" t="str">
        <f>IFERROR(IF(EXACT(H623,INDEX(Guide!$A$7:$A$9,MATCH(SUBSTITUTE(SUBSTITUTE(SUBSTITUTE(H623,"~","~~"),"*","~*"),"?","~?"),Guide!$A$7:$A$9,0))),INDEX(Guide!$B$7:$B$9,MATCH(SUBSTITUTE(SUBSTITUTE(SUBSTITUTE(H623,"~","~~"),"*","~*"),"?","~?"),Guide!$A$7:$A$9,0)),""),"")</f>
        <v>Home</v>
      </c>
      <c r="J623" s="1" t="str">
        <f>IF(TRIM(Raw!E623)="",I623,IF(UPPER(TRIM(Raw!E623))=UPPER(I623),I623,""))</f>
        <v>Home</v>
      </c>
      <c r="K623" s="1" t="str">
        <f>IF(Raw!F623="","",Raw!F623)</f>
        <v>sale</v>
      </c>
      <c r="L623" s="1" t="str">
        <f>IF(LEFT(TRIM(Raw!G623),2)="-$","-"&amp;MID(TRIM(Raw!G623),3,99),IF(LEFT(TRIM(Raw!G623),1)="$",MID(TRIM(Raw!G623),2,99),TRIM(Raw!G623)))</f>
        <v>338.73</v>
      </c>
      <c r="M623" s="1">
        <f t="shared" si="75"/>
        <v>338.73</v>
      </c>
      <c r="N623" s="10">
        <f t="shared" si="76"/>
        <v>33873</v>
      </c>
      <c r="O623" s="1" t="b">
        <f>IFERROR(IF(ISNUMBER(Raw!G623),TRUE,OR(EXACT(L623,TEXT(M623,"0.00")),EXACT(L623,TEXT(M623,"#,##0.00")))),FALSE)</f>
        <v>1</v>
      </c>
      <c r="P623" s="1" t="str">
        <f>LEN(IF(Raw!A623="","",Raw!A623))&amp;":"&amp;IF(Raw!A623="","",Raw!A623)&amp;"|"&amp;LEN(IF(Raw!B623="","",Raw!B623))&amp;":"&amp;IF(Raw!B623="","",Raw!B623)&amp;"|"&amp;LEN(IF(Raw!C623="","",Raw!C623))&amp;":"&amp;IF(Raw!C623="","",Raw!C623)&amp;"|"&amp;LEN(IF(Raw!D623="","",Raw!D623))&amp;":"&amp;IF(Raw!D623="","",Raw!D623)&amp;"|"&amp;LEN(IF(Raw!E623="","",Raw!E623))&amp;":"&amp;IF(Raw!E623="","",Raw!E623)&amp;"|"&amp;LEN(IF(Raw!F623="","",Raw!F623))&amp;":"&amp;IF(Raw!F623="","",Raw!F623)&amp;"|"&amp;LEN(IF(Raw!G623="","",Raw!G623))&amp;":"&amp;IF(Raw!G623="","",Raw!G623)</f>
        <v>6:L00617|6:T00309|10:2026-03-28|3:P-H|4:Home|4:sale|6:338.73</v>
      </c>
      <c r="Q623" s="1">
        <f>1</f>
        <v>1</v>
      </c>
      <c r="R623" s="1" t="b">
        <f>FALSE</f>
        <v>0</v>
      </c>
      <c r="S623" s="1">
        <f>1</f>
        <v>1</v>
      </c>
      <c r="T623" s="1" t="str">
        <f>IF(AND(Raw!A623="",Raw!B623="",Raw!C623="",Raw!D623="",Raw!E623="",Raw!F623="",Raw!G623=""),"UNUSED",IF(A623="","missing line ID",IF(B623="","missing transaction ID",IF(G623="",IF(C623="","missing date","invalid date"),IF(I623="","unknown product",IF(J623="","conflicting category",IF(NOT(OR(EXACT(K623,"sale"),EXACT(K623,"refund"))),"unknown event",IF(OR(N623="",NOT(O623)),"invalid amount",IF(OR(AND(K623="sale",N623&lt;=0),AND(K623="refund",N623&gt;=0)),"invalid sign","")))))))))</f>
        <v/>
      </c>
      <c r="U623" s="1" t="str">
        <f t="shared" si="77"/>
        <v>INCLUDED</v>
      </c>
      <c r="V623" s="1" t="str">
        <f t="shared" si="78"/>
        <v>2026-03</v>
      </c>
      <c r="W623" s="1">
        <f>IF(AND(U623="INCLUDED",X623&gt;0,EXACT(A623,'AI output'!A623)),1,0)</f>
        <v>1</v>
      </c>
      <c r="X623" s="1">
        <f>623</f>
        <v>623</v>
      </c>
      <c r="Y623" s="1">
        <f>IF(AND(U623="INCLUDED",W623=1),--(NOT(EXACT(A623,'AI output'!A623)))+--(NOT(EXACT(B623,'AI output'!B623)))+--(NOT(EXACT(TEXT(G623,"yyyy-mm-dd"),'AI output'!C623)))+--(NOT(EXACT(H623,'AI output'!D623)))+--(NOT(EXACT(J623,'AI output'!E623)))+--(NOT(EXACT(K623,'AI output'!F623)))+--(N623&lt;&gt;'AI output'!L623)+--(NOT('AI output'!M623)),0)</f>
        <v>0</v>
      </c>
      <c r="Z623" s="1">
        <f t="shared" si="79"/>
        <v>0</v>
      </c>
      <c r="AA623" s="1">
        <f>--EXACT(A623,"L00617")</f>
        <v>1</v>
      </c>
    </row>
    <row r="624" spans="1:27" ht="18.95" customHeight="1">
      <c r="A624" s="1" t="str">
        <f>IF(Raw!A624="","",Raw!A624)</f>
        <v>L00618</v>
      </c>
      <c r="B624" s="1" t="str">
        <f>IF(Raw!B624="","",Raw!B624)</f>
        <v>T00309</v>
      </c>
      <c r="C624" s="1" t="str">
        <f>IF(Raw!C624="","",Raw!C624)</f>
        <v>2026-03-28</v>
      </c>
      <c r="D624" s="1">
        <f t="shared" si="72"/>
        <v>2026</v>
      </c>
      <c r="E624" s="1">
        <f>IFERROR(IF(AND(LEN(C624)=10,MID(C624,5,1)="-",MID(C624,8,1)="-"),VALUE(MID(C624,6,2)),IF(AND(LEN(C624)=11,MID(C624,3,1)="-",MID(C624,7,1)="-"),MATCH(UPPER(MID(C624,4,3)),Guide!$D$7:$D$18,0),0)),0)</f>
        <v>3</v>
      </c>
      <c r="F624" s="1">
        <f t="shared" si="73"/>
        <v>28</v>
      </c>
      <c r="G624" s="9">
        <f t="shared" si="74"/>
        <v>46109</v>
      </c>
      <c r="H624" s="1" t="str">
        <f>IF(Raw!D624="","",Raw!D624)</f>
        <v>P-O</v>
      </c>
      <c r="I624" s="1" t="str">
        <f>IFERROR(IF(EXACT(H624,INDEX(Guide!$A$7:$A$9,MATCH(SUBSTITUTE(SUBSTITUTE(SUBSTITUTE(H624,"~","~~"),"*","~*"),"?","~?"),Guide!$A$7:$A$9,0))),INDEX(Guide!$B$7:$B$9,MATCH(SUBSTITUTE(SUBSTITUTE(SUBSTITUTE(H624,"~","~~"),"*","~*"),"?","~?"),Guide!$A$7:$A$9,0)),""),"")</f>
        <v>Office</v>
      </c>
      <c r="J624" s="1" t="str">
        <f>IF(TRIM(Raw!E624)="",I624,IF(UPPER(TRIM(Raw!E624))=UPPER(I624),I624,""))</f>
        <v>Office</v>
      </c>
      <c r="K624" s="1" t="str">
        <f>IF(Raw!F624="","",Raw!F624)</f>
        <v>sale</v>
      </c>
      <c r="L624" s="1" t="str">
        <f>IF(LEFT(TRIM(Raw!G624),2)="-$","-"&amp;MID(TRIM(Raw!G624),3,99),IF(LEFT(TRIM(Raw!G624),1)="$",MID(TRIM(Raw!G624),2,99),TRIM(Raw!G624)))</f>
        <v>566.40</v>
      </c>
      <c r="M624" s="1">
        <f t="shared" si="75"/>
        <v>566.4</v>
      </c>
      <c r="N624" s="10">
        <f t="shared" si="76"/>
        <v>56640</v>
      </c>
      <c r="O624" s="1" t="b">
        <f>IFERROR(IF(ISNUMBER(Raw!G624),TRUE,OR(EXACT(L624,TEXT(M624,"0.00")),EXACT(L624,TEXT(M624,"#,##0.00")))),FALSE)</f>
        <v>1</v>
      </c>
      <c r="P624" s="1" t="str">
        <f>LEN(IF(Raw!A624="","",Raw!A624))&amp;":"&amp;IF(Raw!A624="","",Raw!A624)&amp;"|"&amp;LEN(IF(Raw!B624="","",Raw!B624))&amp;":"&amp;IF(Raw!B624="","",Raw!B624)&amp;"|"&amp;LEN(IF(Raw!C624="","",Raw!C624))&amp;":"&amp;IF(Raw!C624="","",Raw!C624)&amp;"|"&amp;LEN(IF(Raw!D624="","",Raw!D624))&amp;":"&amp;IF(Raw!D624="","",Raw!D624)&amp;"|"&amp;LEN(IF(Raw!E624="","",Raw!E624))&amp;":"&amp;IF(Raw!E624="","",Raw!E624)&amp;"|"&amp;LEN(IF(Raw!F624="","",Raw!F624))&amp;":"&amp;IF(Raw!F624="","",Raw!F624)&amp;"|"&amp;LEN(IF(Raw!G624="","",Raw!G624))&amp;":"&amp;IF(Raw!G624="","",Raw!G624)</f>
        <v>6:L00618|6:T00309|10:2026-03-28|3:P-O|6:Office|4:sale|6:566.40</v>
      </c>
      <c r="Q624" s="1">
        <f>1</f>
        <v>1</v>
      </c>
      <c r="R624" s="1" t="b">
        <f>FALSE</f>
        <v>0</v>
      </c>
      <c r="S624" s="1">
        <f>1</f>
        <v>1</v>
      </c>
      <c r="T624" s="1" t="str">
        <f>IF(AND(Raw!A624="",Raw!B624="",Raw!C624="",Raw!D624="",Raw!E624="",Raw!F624="",Raw!G624=""),"UNUSED",IF(A624="","missing line ID",IF(B624="","missing transaction ID",IF(G624="",IF(C624="","missing date","invalid date"),IF(I624="","unknown product",IF(J624="","conflicting category",IF(NOT(OR(EXACT(K624,"sale"),EXACT(K624,"refund"))),"unknown event",IF(OR(N624="",NOT(O624)),"invalid amount",IF(OR(AND(K624="sale",N624&lt;=0),AND(K624="refund",N624&gt;=0)),"invalid sign","")))))))))</f>
        <v/>
      </c>
      <c r="U624" s="1" t="str">
        <f t="shared" si="77"/>
        <v>INCLUDED</v>
      </c>
      <c r="V624" s="1" t="str">
        <f t="shared" si="78"/>
        <v>2026-03</v>
      </c>
      <c r="W624" s="1">
        <f>IF(AND(U624="INCLUDED",X624&gt;0,EXACT(A624,'AI output'!A624)),1,0)</f>
        <v>1</v>
      </c>
      <c r="X624" s="1">
        <f>624</f>
        <v>624</v>
      </c>
      <c r="Y624" s="1">
        <f>IF(AND(U624="INCLUDED",W624=1),--(NOT(EXACT(A624,'AI output'!A624)))+--(NOT(EXACT(B624,'AI output'!B624)))+--(NOT(EXACT(TEXT(G624,"yyyy-mm-dd"),'AI output'!C624)))+--(NOT(EXACT(H624,'AI output'!D624)))+--(NOT(EXACT(J624,'AI output'!E624)))+--(NOT(EXACT(K624,'AI output'!F624)))+--(N624&lt;&gt;'AI output'!L624)+--(NOT('AI output'!M624)),0)</f>
        <v>0</v>
      </c>
      <c r="Z624" s="1">
        <f t="shared" si="79"/>
        <v>0</v>
      </c>
      <c r="AA624" s="1">
        <f>--EXACT(A624,"L00618")</f>
        <v>1</v>
      </c>
    </row>
    <row r="625" spans="1:27" ht="18.95" customHeight="1">
      <c r="A625" s="1" t="str">
        <f>IF(Raw!A625="","",Raw!A625)</f>
        <v>L00619</v>
      </c>
      <c r="B625" s="1" t="str">
        <f>IF(Raw!B625="","",Raw!B625)</f>
        <v>T00310</v>
      </c>
      <c r="C625" s="1" t="str">
        <f>IF(Raw!C625="","",Raw!C625)</f>
        <v>2026-01-04</v>
      </c>
      <c r="D625" s="1">
        <f t="shared" si="72"/>
        <v>2026</v>
      </c>
      <c r="E625" s="1">
        <f>IFERROR(IF(AND(LEN(C625)=10,MID(C625,5,1)="-",MID(C625,8,1)="-"),VALUE(MID(C625,6,2)),IF(AND(LEN(C625)=11,MID(C625,3,1)="-",MID(C625,7,1)="-"),MATCH(UPPER(MID(C625,4,3)),Guide!$D$7:$D$18,0),0)),0)</f>
        <v>1</v>
      </c>
      <c r="F625" s="1">
        <f t="shared" si="73"/>
        <v>4</v>
      </c>
      <c r="G625" s="9">
        <f t="shared" si="74"/>
        <v>46026</v>
      </c>
      <c r="H625" s="1" t="str">
        <f>IF(Raw!D625="","",Raw!D625)</f>
        <v>P-A</v>
      </c>
      <c r="I625" s="1" t="str">
        <f>IFERROR(IF(EXACT(H625,INDEX(Guide!$A$7:$A$9,MATCH(SUBSTITUTE(SUBSTITUTE(SUBSTITUTE(H625,"~","~~"),"*","~*"),"?","~?"),Guide!$A$7:$A$9,0))),INDEX(Guide!$B$7:$B$9,MATCH(SUBSTITUTE(SUBSTITUTE(SUBSTITUTE(H625,"~","~~"),"*","~*"),"?","~?"),Guide!$A$7:$A$9,0)),""),"")</f>
        <v>Accessories</v>
      </c>
      <c r="J625" s="1" t="str">
        <f>IF(TRIM(Raw!E625)="",I625,IF(UPPER(TRIM(Raw!E625))=UPPER(I625),I625,""))</f>
        <v>Accessories</v>
      </c>
      <c r="K625" s="1" t="str">
        <f>IF(Raw!F625="","",Raw!F625)</f>
        <v>sale</v>
      </c>
      <c r="L625" s="1" t="str">
        <f>IF(LEFT(TRIM(Raw!G625),2)="-$","-"&amp;MID(TRIM(Raw!G625),3,99),IF(LEFT(TRIM(Raw!G625),1)="$",MID(TRIM(Raw!G625),2,99),TRIM(Raw!G625)))</f>
        <v>227.30</v>
      </c>
      <c r="M625" s="1">
        <f t="shared" si="75"/>
        <v>227.3</v>
      </c>
      <c r="N625" s="10">
        <f t="shared" si="76"/>
        <v>22730</v>
      </c>
      <c r="O625" s="1" t="b">
        <f>IFERROR(IF(ISNUMBER(Raw!G625),TRUE,OR(EXACT(L625,TEXT(M625,"0.00")),EXACT(L625,TEXT(M625,"#,##0.00")))),FALSE)</f>
        <v>1</v>
      </c>
      <c r="P625" s="1" t="str">
        <f>LEN(IF(Raw!A625="","",Raw!A625))&amp;":"&amp;IF(Raw!A625="","",Raw!A625)&amp;"|"&amp;LEN(IF(Raw!B625="","",Raw!B625))&amp;":"&amp;IF(Raw!B625="","",Raw!B625)&amp;"|"&amp;LEN(IF(Raw!C625="","",Raw!C625))&amp;":"&amp;IF(Raw!C625="","",Raw!C625)&amp;"|"&amp;LEN(IF(Raw!D625="","",Raw!D625))&amp;":"&amp;IF(Raw!D625="","",Raw!D625)&amp;"|"&amp;LEN(IF(Raw!E625="","",Raw!E625))&amp;":"&amp;IF(Raw!E625="","",Raw!E625)&amp;"|"&amp;LEN(IF(Raw!F625="","",Raw!F625))&amp;":"&amp;IF(Raw!F625="","",Raw!F625)&amp;"|"&amp;LEN(IF(Raw!G625="","",Raw!G625))&amp;":"&amp;IF(Raw!G625="","",Raw!G625)</f>
        <v>6:L00619|6:T00310|10:2026-01-04|3:P-A|11:Accessories|4:sale|6:227.30</v>
      </c>
      <c r="Q625" s="1">
        <f>1</f>
        <v>1</v>
      </c>
      <c r="R625" s="1" t="b">
        <f>FALSE</f>
        <v>0</v>
      </c>
      <c r="S625" s="1">
        <f>1</f>
        <v>1</v>
      </c>
      <c r="T625" s="1" t="str">
        <f>IF(AND(Raw!A625="",Raw!B625="",Raw!C625="",Raw!D625="",Raw!E625="",Raw!F625="",Raw!G625=""),"UNUSED",IF(A625="","missing line ID",IF(B625="","missing transaction ID",IF(G625="",IF(C625="","missing date","invalid date"),IF(I625="","unknown product",IF(J625="","conflicting category",IF(NOT(OR(EXACT(K625,"sale"),EXACT(K625,"refund"))),"unknown event",IF(OR(N625="",NOT(O625)),"invalid amount",IF(OR(AND(K625="sale",N625&lt;=0),AND(K625="refund",N625&gt;=0)),"invalid sign","")))))))))</f>
        <v/>
      </c>
      <c r="U625" s="1" t="str">
        <f t="shared" si="77"/>
        <v>INCLUDED</v>
      </c>
      <c r="V625" s="1" t="str">
        <f t="shared" si="78"/>
        <v>2026-01</v>
      </c>
      <c r="W625" s="1">
        <f>IF(AND(U625="INCLUDED",X625&gt;0,EXACT(A625,'AI output'!A625)),1,0)</f>
        <v>1</v>
      </c>
      <c r="X625" s="1">
        <f>625</f>
        <v>625</v>
      </c>
      <c r="Y625" s="1">
        <f>IF(AND(U625="INCLUDED",W625=1),--(NOT(EXACT(A625,'AI output'!A625)))+--(NOT(EXACT(B625,'AI output'!B625)))+--(NOT(EXACT(TEXT(G625,"yyyy-mm-dd"),'AI output'!C625)))+--(NOT(EXACT(H625,'AI output'!D625)))+--(NOT(EXACT(J625,'AI output'!E625)))+--(NOT(EXACT(K625,'AI output'!F625)))+--(N625&lt;&gt;'AI output'!L625)+--(NOT('AI output'!M625)),0)</f>
        <v>0</v>
      </c>
      <c r="Z625" s="1">
        <f t="shared" si="79"/>
        <v>0</v>
      </c>
      <c r="AA625" s="1">
        <f>--EXACT(A625,"L00619")</f>
        <v>1</v>
      </c>
    </row>
    <row r="626" spans="1:27" ht="18.95" customHeight="1">
      <c r="A626" s="1" t="str">
        <f>IF(Raw!A626="","",Raw!A626)</f>
        <v>L00620</v>
      </c>
      <c r="B626" s="1" t="str">
        <f>IF(Raw!B626="","",Raw!B626)</f>
        <v>T00310</v>
      </c>
      <c r="C626" s="1" t="str">
        <f>IF(Raw!C626="","",Raw!C626)</f>
        <v>2026-01-04</v>
      </c>
      <c r="D626" s="1">
        <f t="shared" si="72"/>
        <v>2026</v>
      </c>
      <c r="E626" s="1">
        <f>IFERROR(IF(AND(LEN(C626)=10,MID(C626,5,1)="-",MID(C626,8,1)="-"),VALUE(MID(C626,6,2)),IF(AND(LEN(C626)=11,MID(C626,3,1)="-",MID(C626,7,1)="-"),MATCH(UPPER(MID(C626,4,3)),Guide!$D$7:$D$18,0),0)),0)</f>
        <v>1</v>
      </c>
      <c r="F626" s="1">
        <f t="shared" si="73"/>
        <v>4</v>
      </c>
      <c r="G626" s="9">
        <f t="shared" si="74"/>
        <v>46026</v>
      </c>
      <c r="H626" s="1" t="str">
        <f>IF(Raw!D626="","",Raw!D626)</f>
        <v>P-H</v>
      </c>
      <c r="I626" s="1" t="str">
        <f>IFERROR(IF(EXACT(H626,INDEX(Guide!$A$7:$A$9,MATCH(SUBSTITUTE(SUBSTITUTE(SUBSTITUTE(H626,"~","~~"),"*","~*"),"?","~?"),Guide!$A$7:$A$9,0))),INDEX(Guide!$B$7:$B$9,MATCH(SUBSTITUTE(SUBSTITUTE(SUBSTITUTE(H626,"~","~~"),"*","~*"),"?","~?"),Guide!$A$7:$A$9,0)),""),"")</f>
        <v>Home</v>
      </c>
      <c r="J626" s="1" t="str">
        <f>IF(TRIM(Raw!E626)="",I626,IF(UPPER(TRIM(Raw!E626))=UPPER(I626),I626,""))</f>
        <v>Home</v>
      </c>
      <c r="K626" s="1" t="str">
        <f>IF(Raw!F626="","",Raw!F626)</f>
        <v>sale</v>
      </c>
      <c r="L626" s="1" t="str">
        <f>IF(LEFT(TRIM(Raw!G626),2)="-$","-"&amp;MID(TRIM(Raw!G626),3,99),IF(LEFT(TRIM(Raw!G626),1)="$",MID(TRIM(Raw!G626),2,99),TRIM(Raw!G626)))</f>
        <v>456.08</v>
      </c>
      <c r="M626" s="1">
        <f t="shared" si="75"/>
        <v>456.08</v>
      </c>
      <c r="N626" s="10">
        <f t="shared" si="76"/>
        <v>45608</v>
      </c>
      <c r="O626" s="1" t="b">
        <f>IFERROR(IF(ISNUMBER(Raw!G626),TRUE,OR(EXACT(L626,TEXT(M626,"0.00")),EXACT(L626,TEXT(M626,"#,##0.00")))),FALSE)</f>
        <v>1</v>
      </c>
      <c r="P626" s="1" t="str">
        <f>LEN(IF(Raw!A626="","",Raw!A626))&amp;":"&amp;IF(Raw!A626="","",Raw!A626)&amp;"|"&amp;LEN(IF(Raw!B626="","",Raw!B626))&amp;":"&amp;IF(Raw!B626="","",Raw!B626)&amp;"|"&amp;LEN(IF(Raw!C626="","",Raw!C626))&amp;":"&amp;IF(Raw!C626="","",Raw!C626)&amp;"|"&amp;LEN(IF(Raw!D626="","",Raw!D626))&amp;":"&amp;IF(Raw!D626="","",Raw!D626)&amp;"|"&amp;LEN(IF(Raw!E626="","",Raw!E626))&amp;":"&amp;IF(Raw!E626="","",Raw!E626)&amp;"|"&amp;LEN(IF(Raw!F626="","",Raw!F626))&amp;":"&amp;IF(Raw!F626="","",Raw!F626)&amp;"|"&amp;LEN(IF(Raw!G626="","",Raw!G626))&amp;":"&amp;IF(Raw!G626="","",Raw!G626)</f>
        <v>6:L00620|6:T00310|10:2026-01-04|3:P-H|4:Home|4:sale|6:456.08</v>
      </c>
      <c r="Q626" s="1">
        <f>1</f>
        <v>1</v>
      </c>
      <c r="R626" s="1" t="b">
        <f>FALSE</f>
        <v>0</v>
      </c>
      <c r="S626" s="1">
        <f>1</f>
        <v>1</v>
      </c>
      <c r="T626" s="1" t="str">
        <f>IF(AND(Raw!A626="",Raw!B626="",Raw!C626="",Raw!D626="",Raw!E626="",Raw!F626="",Raw!G626=""),"UNUSED",IF(A626="","missing line ID",IF(B626="","missing transaction ID",IF(G626="",IF(C626="","missing date","invalid date"),IF(I626="","unknown product",IF(J626="","conflicting category",IF(NOT(OR(EXACT(K626,"sale"),EXACT(K626,"refund"))),"unknown event",IF(OR(N626="",NOT(O626)),"invalid amount",IF(OR(AND(K626="sale",N626&lt;=0),AND(K626="refund",N626&gt;=0)),"invalid sign","")))))))))</f>
        <v/>
      </c>
      <c r="U626" s="1" t="str">
        <f t="shared" si="77"/>
        <v>INCLUDED</v>
      </c>
      <c r="V626" s="1" t="str">
        <f t="shared" si="78"/>
        <v>2026-01</v>
      </c>
      <c r="W626" s="1">
        <f>IF(AND(U626="INCLUDED",X626&gt;0,EXACT(A626,'AI output'!A626)),1,0)</f>
        <v>1</v>
      </c>
      <c r="X626" s="1">
        <f>626</f>
        <v>626</v>
      </c>
      <c r="Y626" s="1">
        <f>IF(AND(U626="INCLUDED",W626=1),--(NOT(EXACT(A626,'AI output'!A626)))+--(NOT(EXACT(B626,'AI output'!B626)))+--(NOT(EXACT(TEXT(G626,"yyyy-mm-dd"),'AI output'!C626)))+--(NOT(EXACT(H626,'AI output'!D626)))+--(NOT(EXACT(J626,'AI output'!E626)))+--(NOT(EXACT(K626,'AI output'!F626)))+--(N626&lt;&gt;'AI output'!L626)+--(NOT('AI output'!M626)),0)</f>
        <v>0</v>
      </c>
      <c r="Z626" s="1">
        <f t="shared" si="79"/>
        <v>0</v>
      </c>
      <c r="AA626" s="1">
        <f>--EXACT(A626,"L00620")</f>
        <v>1</v>
      </c>
    </row>
    <row r="627" spans="1:27" ht="18.95" customHeight="1">
      <c r="A627" s="1" t="str">
        <f>IF(Raw!A627="","",Raw!A627)</f>
        <v>L00621</v>
      </c>
      <c r="B627" s="1" t="str">
        <f>IF(Raw!B627="","",Raw!B627)</f>
        <v>T00311</v>
      </c>
      <c r="C627" s="1" t="str">
        <f>IF(Raw!C627="","",Raw!C627)</f>
        <v>2026-01-11</v>
      </c>
      <c r="D627" s="1">
        <f t="shared" si="72"/>
        <v>2026</v>
      </c>
      <c r="E627" s="1">
        <f>IFERROR(IF(AND(LEN(C627)=10,MID(C627,5,1)="-",MID(C627,8,1)="-"),VALUE(MID(C627,6,2)),IF(AND(LEN(C627)=11,MID(C627,3,1)="-",MID(C627,7,1)="-"),MATCH(UPPER(MID(C627,4,3)),Guide!$D$7:$D$18,0),0)),0)</f>
        <v>1</v>
      </c>
      <c r="F627" s="1">
        <f t="shared" si="73"/>
        <v>11</v>
      </c>
      <c r="G627" s="9">
        <f t="shared" si="74"/>
        <v>46033</v>
      </c>
      <c r="H627" s="1" t="str">
        <f>IF(Raw!D627="","",Raw!D627)</f>
        <v>P-O</v>
      </c>
      <c r="I627" s="1" t="str">
        <f>IFERROR(IF(EXACT(H627,INDEX(Guide!$A$7:$A$9,MATCH(SUBSTITUTE(SUBSTITUTE(SUBSTITUTE(H627,"~","~~"),"*","~*"),"?","~?"),Guide!$A$7:$A$9,0))),INDEX(Guide!$B$7:$B$9,MATCH(SUBSTITUTE(SUBSTITUTE(SUBSTITUTE(H627,"~","~~"),"*","~*"),"?","~?"),Guide!$A$7:$A$9,0)),""),"")</f>
        <v>Office</v>
      </c>
      <c r="J627" s="1" t="str">
        <f>IF(TRIM(Raw!E627)="",I627,IF(UPPER(TRIM(Raw!E627))=UPPER(I627),I627,""))</f>
        <v>Office</v>
      </c>
      <c r="K627" s="1" t="str">
        <f>IF(Raw!F627="","",Raw!F627)</f>
        <v>sale</v>
      </c>
      <c r="L627" s="1" t="str">
        <f>IF(LEFT(TRIM(Raw!G627),2)="-$","-"&amp;MID(TRIM(Raw!G627),3,99),IF(LEFT(TRIM(Raw!G627),1)="$",MID(TRIM(Raw!G627),2,99),TRIM(Raw!G627)))</f>
        <v>114.39</v>
      </c>
      <c r="M627" s="1">
        <f t="shared" si="75"/>
        <v>114.39</v>
      </c>
      <c r="N627" s="10">
        <f t="shared" si="76"/>
        <v>11439</v>
      </c>
      <c r="O627" s="1" t="b">
        <f>IFERROR(IF(ISNUMBER(Raw!G627),TRUE,OR(EXACT(L627,TEXT(M627,"0.00")),EXACT(L627,TEXT(M627,"#,##0.00")))),FALSE)</f>
        <v>1</v>
      </c>
      <c r="P627" s="1" t="str">
        <f>LEN(IF(Raw!A627="","",Raw!A627))&amp;":"&amp;IF(Raw!A627="","",Raw!A627)&amp;"|"&amp;LEN(IF(Raw!B627="","",Raw!B627))&amp;":"&amp;IF(Raw!B627="","",Raw!B627)&amp;"|"&amp;LEN(IF(Raw!C627="","",Raw!C627))&amp;":"&amp;IF(Raw!C627="","",Raw!C627)&amp;"|"&amp;LEN(IF(Raw!D627="","",Raw!D627))&amp;":"&amp;IF(Raw!D627="","",Raw!D627)&amp;"|"&amp;LEN(IF(Raw!E627="","",Raw!E627))&amp;":"&amp;IF(Raw!E627="","",Raw!E627)&amp;"|"&amp;LEN(IF(Raw!F627="","",Raw!F627))&amp;":"&amp;IF(Raw!F627="","",Raw!F627)&amp;"|"&amp;LEN(IF(Raw!G627="","",Raw!G627))&amp;":"&amp;IF(Raw!G627="","",Raw!G627)</f>
        <v>6:L00621|6:T00311|10:2026-01-11|3:P-O|6:Office|4:sale|6:114.39</v>
      </c>
      <c r="Q627" s="1">
        <f>2</f>
        <v>2</v>
      </c>
      <c r="R627" s="1" t="b">
        <f>OR(NOT(EXACT(P627,P1994)))</f>
        <v>0</v>
      </c>
      <c r="S627" s="1">
        <f>1</f>
        <v>1</v>
      </c>
      <c r="T627" s="1" t="str">
        <f>IF(AND(Raw!A627="",Raw!B627="",Raw!C627="",Raw!D627="",Raw!E627="",Raw!F627="",Raw!G627=""),"UNUSED",IF(A627="","missing line ID",IF(B627="","missing transaction ID",IF(G627="",IF(C627="","missing date","invalid date"),IF(I627="","unknown product",IF(J627="","conflicting category",IF(NOT(OR(EXACT(K627,"sale"),EXACT(K627,"refund"))),"unknown event",IF(OR(N627="",NOT(O627)),"invalid amount",IF(OR(AND(K627="sale",N627&lt;=0),AND(K627="refund",N627&gt;=0)),"invalid sign","")))))))))</f>
        <v/>
      </c>
      <c r="U627" s="1" t="str">
        <f t="shared" si="77"/>
        <v>INCLUDED</v>
      </c>
      <c r="V627" s="1" t="str">
        <f t="shared" si="78"/>
        <v>2026-01</v>
      </c>
      <c r="W627" s="1">
        <f>IF(AND(U627="INCLUDED",X627&gt;0,EXACT(A627,'AI output'!A627)),1,0)</f>
        <v>1</v>
      </c>
      <c r="X627" s="1">
        <f>627</f>
        <v>627</v>
      </c>
      <c r="Y627" s="1">
        <f>IF(AND(U627="INCLUDED",W627=1),--(NOT(EXACT(A627,'AI output'!A627)))+--(NOT(EXACT(B627,'AI output'!B627)))+--(NOT(EXACT(TEXT(G627,"yyyy-mm-dd"),'AI output'!C627)))+--(NOT(EXACT(H627,'AI output'!D627)))+--(NOT(EXACT(J627,'AI output'!E627)))+--(NOT(EXACT(K627,'AI output'!F627)))+--(N627&lt;&gt;'AI output'!L627)+--(NOT('AI output'!M627)),0)</f>
        <v>0</v>
      </c>
      <c r="Z627" s="1">
        <f t="shared" si="79"/>
        <v>0</v>
      </c>
      <c r="AA627" s="1">
        <f>--EXACT(A627,"L00621")</f>
        <v>1</v>
      </c>
    </row>
    <row r="628" spans="1:27" ht="18.95" customHeight="1">
      <c r="A628" s="1" t="str">
        <f>IF(Raw!A628="","",Raw!A628)</f>
        <v>L00622</v>
      </c>
      <c r="B628" s="1" t="str">
        <f>IF(Raw!B628="","",Raw!B628)</f>
        <v>T00311</v>
      </c>
      <c r="C628" s="1" t="str">
        <f>IF(Raw!C628="","",Raw!C628)</f>
        <v>2026-01-11</v>
      </c>
      <c r="D628" s="1">
        <f t="shared" si="72"/>
        <v>2026</v>
      </c>
      <c r="E628" s="1">
        <f>IFERROR(IF(AND(LEN(C628)=10,MID(C628,5,1)="-",MID(C628,8,1)="-"),VALUE(MID(C628,6,2)),IF(AND(LEN(C628)=11,MID(C628,3,1)="-",MID(C628,7,1)="-"),MATCH(UPPER(MID(C628,4,3)),Guide!$D$7:$D$18,0),0)),0)</f>
        <v>1</v>
      </c>
      <c r="F628" s="1">
        <f t="shared" si="73"/>
        <v>11</v>
      </c>
      <c r="G628" s="9">
        <f t="shared" si="74"/>
        <v>46033</v>
      </c>
      <c r="H628" s="1" t="str">
        <f>IF(Raw!D628="","",Raw!D628)</f>
        <v>P-A</v>
      </c>
      <c r="I628" s="1" t="str">
        <f>IFERROR(IF(EXACT(H628,INDEX(Guide!$A$7:$A$9,MATCH(SUBSTITUTE(SUBSTITUTE(SUBSTITUTE(H628,"~","~~"),"*","~*"),"?","~?"),Guide!$A$7:$A$9,0))),INDEX(Guide!$B$7:$B$9,MATCH(SUBSTITUTE(SUBSTITUTE(SUBSTITUTE(H628,"~","~~"),"*","~*"),"?","~?"),Guide!$A$7:$A$9,0)),""),"")</f>
        <v>Accessories</v>
      </c>
      <c r="J628" s="1" t="str">
        <f>IF(TRIM(Raw!E628)="",I628,IF(UPPER(TRIM(Raw!E628))=UPPER(I628),I628,""))</f>
        <v>Accessories</v>
      </c>
      <c r="K628" s="1" t="str">
        <f>IF(Raw!F628="","",Raw!F628)</f>
        <v>refund</v>
      </c>
      <c r="L628" s="1" t="str">
        <f>IF(LEFT(TRIM(Raw!G628),2)="-$","-"&amp;MID(TRIM(Raw!G628),3,99),IF(LEFT(TRIM(Raw!G628),1)="$",MID(TRIM(Raw!G628),2,99),TRIM(Raw!G628)))</f>
        <v>-344.28</v>
      </c>
      <c r="M628" s="1">
        <f t="shared" si="75"/>
        <v>-344.28</v>
      </c>
      <c r="N628" s="10">
        <f t="shared" si="76"/>
        <v>-34428</v>
      </c>
      <c r="O628" s="1" t="b">
        <f>IFERROR(IF(ISNUMBER(Raw!G628),TRUE,OR(EXACT(L628,TEXT(M628,"0.00")),EXACT(L628,TEXT(M628,"#,##0.00")))),FALSE)</f>
        <v>1</v>
      </c>
      <c r="P628" s="1" t="str">
        <f>LEN(IF(Raw!A628="","",Raw!A628))&amp;":"&amp;IF(Raw!A628="","",Raw!A628)&amp;"|"&amp;LEN(IF(Raw!B628="","",Raw!B628))&amp;":"&amp;IF(Raw!B628="","",Raw!B628)&amp;"|"&amp;LEN(IF(Raw!C628="","",Raw!C628))&amp;":"&amp;IF(Raw!C628="","",Raw!C628)&amp;"|"&amp;LEN(IF(Raw!D628="","",Raw!D628))&amp;":"&amp;IF(Raw!D628="","",Raw!D628)&amp;"|"&amp;LEN(IF(Raw!E628="","",Raw!E628))&amp;":"&amp;IF(Raw!E628="","",Raw!E628)&amp;"|"&amp;LEN(IF(Raw!F628="","",Raw!F628))&amp;":"&amp;IF(Raw!F628="","",Raw!F628)&amp;"|"&amp;LEN(IF(Raw!G628="","",Raw!G628))&amp;":"&amp;IF(Raw!G628="","",Raw!G628)</f>
        <v>6:L00622|6:T00311|10:2026-01-11|3:P-A|11:Accessories|6:refund|7:-344.28</v>
      </c>
      <c r="Q628" s="1">
        <f>1</f>
        <v>1</v>
      </c>
      <c r="R628" s="1" t="b">
        <f>FALSE</f>
        <v>0</v>
      </c>
      <c r="S628" s="1">
        <f>1</f>
        <v>1</v>
      </c>
      <c r="T628" s="1" t="str">
        <f>IF(AND(Raw!A628="",Raw!B628="",Raw!C628="",Raw!D628="",Raw!E628="",Raw!F628="",Raw!G628=""),"UNUSED",IF(A628="","missing line ID",IF(B628="","missing transaction ID",IF(G628="",IF(C628="","missing date","invalid date"),IF(I628="","unknown product",IF(J628="","conflicting category",IF(NOT(OR(EXACT(K628,"sale"),EXACT(K628,"refund"))),"unknown event",IF(OR(N628="",NOT(O628)),"invalid amount",IF(OR(AND(K628="sale",N628&lt;=0),AND(K628="refund",N628&gt;=0)),"invalid sign","")))))))))</f>
        <v/>
      </c>
      <c r="U628" s="1" t="str">
        <f t="shared" si="77"/>
        <v>INCLUDED</v>
      </c>
      <c r="V628" s="1" t="str">
        <f t="shared" si="78"/>
        <v>2026-01</v>
      </c>
      <c r="W628" s="1">
        <f>IF(AND(U628="INCLUDED",X628&gt;0,EXACT(A628,'AI output'!A628)),1,0)</f>
        <v>1</v>
      </c>
      <c r="X628" s="1">
        <f>628</f>
        <v>628</v>
      </c>
      <c r="Y628" s="1">
        <f>IF(AND(U628="INCLUDED",W628=1),--(NOT(EXACT(A628,'AI output'!A628)))+--(NOT(EXACT(B628,'AI output'!B628)))+--(NOT(EXACT(TEXT(G628,"yyyy-mm-dd"),'AI output'!C628)))+--(NOT(EXACT(H628,'AI output'!D628)))+--(NOT(EXACT(J628,'AI output'!E628)))+--(NOT(EXACT(K628,'AI output'!F628)))+--(N628&lt;&gt;'AI output'!L628)+--(NOT('AI output'!M628)),0)</f>
        <v>0</v>
      </c>
      <c r="Z628" s="1">
        <f t="shared" si="79"/>
        <v>0</v>
      </c>
      <c r="AA628" s="1">
        <f>--EXACT(A628,"L00622")</f>
        <v>1</v>
      </c>
    </row>
    <row r="629" spans="1:27" ht="18.95" customHeight="1">
      <c r="A629" s="1" t="str">
        <f>IF(Raw!A629="","",Raw!A629)</f>
        <v>L00623</v>
      </c>
      <c r="B629" s="1" t="str">
        <f>IF(Raw!B629="","",Raw!B629)</f>
        <v>T00312</v>
      </c>
      <c r="C629" s="1" t="str">
        <f>IF(Raw!C629="","",Raw!C629)</f>
        <v>2026-01-18</v>
      </c>
      <c r="D629" s="1">
        <f t="shared" si="72"/>
        <v>2026</v>
      </c>
      <c r="E629" s="1">
        <f>IFERROR(IF(AND(LEN(C629)=10,MID(C629,5,1)="-",MID(C629,8,1)="-"),VALUE(MID(C629,6,2)),IF(AND(LEN(C629)=11,MID(C629,3,1)="-",MID(C629,7,1)="-"),MATCH(UPPER(MID(C629,4,3)),Guide!$D$7:$D$18,0),0)),0)</f>
        <v>1</v>
      </c>
      <c r="F629" s="1">
        <f t="shared" si="73"/>
        <v>18</v>
      </c>
      <c r="G629" s="9">
        <f t="shared" si="74"/>
        <v>46040</v>
      </c>
      <c r="H629" s="1" t="str">
        <f>IF(Raw!D629="","",Raw!D629)</f>
        <v>P-H</v>
      </c>
      <c r="I629" s="1" t="str">
        <f>IFERROR(IF(EXACT(H629,INDEX(Guide!$A$7:$A$9,MATCH(SUBSTITUTE(SUBSTITUTE(SUBSTITUTE(H629,"~","~~"),"*","~*"),"?","~?"),Guide!$A$7:$A$9,0))),INDEX(Guide!$B$7:$B$9,MATCH(SUBSTITUTE(SUBSTITUTE(SUBSTITUTE(H629,"~","~~"),"*","~*"),"?","~?"),Guide!$A$7:$A$9,0)),""),"")</f>
        <v>Home</v>
      </c>
      <c r="J629" s="1" t="str">
        <f>IF(TRIM(Raw!E629)="",I629,IF(UPPER(TRIM(Raw!E629))=UPPER(I629),I629,""))</f>
        <v>Home</v>
      </c>
      <c r="K629" s="1" t="str">
        <f>IF(Raw!F629="","",Raw!F629)</f>
        <v>sale</v>
      </c>
      <c r="L629" s="1" t="str">
        <f>IF(LEFT(TRIM(Raw!G629),2)="-$","-"&amp;MID(TRIM(Raw!G629),3,99),IF(LEFT(TRIM(Raw!G629),1)="$",MID(TRIM(Raw!G629),2,99),TRIM(Raw!G629)))</f>
        <v>575.65</v>
      </c>
      <c r="M629" s="1">
        <f t="shared" si="75"/>
        <v>575.65</v>
      </c>
      <c r="N629" s="10">
        <f t="shared" si="76"/>
        <v>57565</v>
      </c>
      <c r="O629" s="1" t="b">
        <f>IFERROR(IF(ISNUMBER(Raw!G629),TRUE,OR(EXACT(L629,TEXT(M629,"0.00")),EXACT(L629,TEXT(M629,"#,##0.00")))),FALSE)</f>
        <v>1</v>
      </c>
      <c r="P629" s="1" t="str">
        <f>LEN(IF(Raw!A629="","",Raw!A629))&amp;":"&amp;IF(Raw!A629="","",Raw!A629)&amp;"|"&amp;LEN(IF(Raw!B629="","",Raw!B629))&amp;":"&amp;IF(Raw!B629="","",Raw!B629)&amp;"|"&amp;LEN(IF(Raw!C629="","",Raw!C629))&amp;":"&amp;IF(Raw!C629="","",Raw!C629)&amp;"|"&amp;LEN(IF(Raw!D629="","",Raw!D629))&amp;":"&amp;IF(Raw!D629="","",Raw!D629)&amp;"|"&amp;LEN(IF(Raw!E629="","",Raw!E629))&amp;":"&amp;IF(Raw!E629="","",Raw!E629)&amp;"|"&amp;LEN(IF(Raw!F629="","",Raw!F629))&amp;":"&amp;IF(Raw!F629="","",Raw!F629)&amp;"|"&amp;LEN(IF(Raw!G629="","",Raw!G629))&amp;":"&amp;IF(Raw!G629="","",Raw!G629)</f>
        <v>6:L00623|6:T00312|10:2026-01-18|3:P-H|4:Home|4:sale|6:575.65</v>
      </c>
      <c r="Q629" s="1">
        <f>1</f>
        <v>1</v>
      </c>
      <c r="R629" s="1" t="b">
        <f>FALSE</f>
        <v>0</v>
      </c>
      <c r="S629" s="1">
        <f>1</f>
        <v>1</v>
      </c>
      <c r="T629" s="1" t="str">
        <f>IF(AND(Raw!A629="",Raw!B629="",Raw!C629="",Raw!D629="",Raw!E629="",Raw!F629="",Raw!G629=""),"UNUSED",IF(A629="","missing line ID",IF(B629="","missing transaction ID",IF(G629="",IF(C629="","missing date","invalid date"),IF(I629="","unknown product",IF(J629="","conflicting category",IF(NOT(OR(EXACT(K629,"sale"),EXACT(K629,"refund"))),"unknown event",IF(OR(N629="",NOT(O629)),"invalid amount",IF(OR(AND(K629="sale",N629&lt;=0),AND(K629="refund",N629&gt;=0)),"invalid sign","")))))))))</f>
        <v/>
      </c>
      <c r="U629" s="1" t="str">
        <f t="shared" si="77"/>
        <v>INCLUDED</v>
      </c>
      <c r="V629" s="1" t="str">
        <f t="shared" si="78"/>
        <v>2026-01</v>
      </c>
      <c r="W629" s="1">
        <f>IF(AND(U629="INCLUDED",X629&gt;0,EXACT(A629,'AI output'!A629)),1,0)</f>
        <v>1</v>
      </c>
      <c r="X629" s="1">
        <f>629</f>
        <v>629</v>
      </c>
      <c r="Y629" s="1">
        <f>IF(AND(U629="INCLUDED",W629=1),--(NOT(EXACT(A629,'AI output'!A629)))+--(NOT(EXACT(B629,'AI output'!B629)))+--(NOT(EXACT(TEXT(G629,"yyyy-mm-dd"),'AI output'!C629)))+--(NOT(EXACT(H629,'AI output'!D629)))+--(NOT(EXACT(J629,'AI output'!E629)))+--(NOT(EXACT(K629,'AI output'!F629)))+--(N629&lt;&gt;'AI output'!L629)+--(NOT('AI output'!M629)),0)</f>
        <v>0</v>
      </c>
      <c r="Z629" s="1">
        <f t="shared" si="79"/>
        <v>0</v>
      </c>
      <c r="AA629" s="1">
        <f>--EXACT(A629,"L00623")</f>
        <v>1</v>
      </c>
    </row>
    <row r="630" spans="1:27" ht="18.95" customHeight="1">
      <c r="A630" s="1" t="str">
        <f>IF(Raw!A630="","",Raw!A630)</f>
        <v>L00624</v>
      </c>
      <c r="B630" s="1" t="str">
        <f>IF(Raw!B630="","",Raw!B630)</f>
        <v>T00312</v>
      </c>
      <c r="C630" s="1" t="str">
        <f>IF(Raw!C630="","",Raw!C630)</f>
        <v>2026-01-18</v>
      </c>
      <c r="D630" s="1">
        <f t="shared" si="72"/>
        <v>2026</v>
      </c>
      <c r="E630" s="1">
        <f>IFERROR(IF(AND(LEN(C630)=10,MID(C630,5,1)="-",MID(C630,8,1)="-"),VALUE(MID(C630,6,2)),IF(AND(LEN(C630)=11,MID(C630,3,1)="-",MID(C630,7,1)="-"),MATCH(UPPER(MID(C630,4,3)),Guide!$D$7:$D$18,0),0)),0)</f>
        <v>1</v>
      </c>
      <c r="F630" s="1">
        <f t="shared" si="73"/>
        <v>18</v>
      </c>
      <c r="G630" s="9">
        <f t="shared" si="74"/>
        <v>46040</v>
      </c>
      <c r="H630" s="1" t="str">
        <f>IF(Raw!D630="","",Raw!D630)</f>
        <v>P-O</v>
      </c>
      <c r="I630" s="1" t="str">
        <f>IFERROR(IF(EXACT(H630,INDEX(Guide!$A$7:$A$9,MATCH(SUBSTITUTE(SUBSTITUTE(SUBSTITUTE(H630,"~","~~"),"*","~*"),"?","~?"),Guide!$A$7:$A$9,0))),INDEX(Guide!$B$7:$B$9,MATCH(SUBSTITUTE(SUBSTITUTE(SUBSTITUTE(H630,"~","~~"),"*","~*"),"?","~?"),Guide!$A$7:$A$9,0)),""),"")</f>
        <v>Office</v>
      </c>
      <c r="J630" s="1" t="str">
        <f>IF(TRIM(Raw!E630)="",I630,IF(UPPER(TRIM(Raw!E630))=UPPER(I630),I630,""))</f>
        <v>Office</v>
      </c>
      <c r="K630" s="1" t="str">
        <f>IF(Raw!F630="","",Raw!F630)</f>
        <v>sale</v>
      </c>
      <c r="L630" s="1" t="str">
        <f>IF(LEFT(TRIM(Raw!G630),2)="-$","-"&amp;MID(TRIM(Raw!G630),3,99),IF(LEFT(TRIM(Raw!G630),1)="$",MID(TRIM(Raw!G630),2,99),TRIM(Raw!G630)))</f>
        <v>231.00</v>
      </c>
      <c r="M630" s="1">
        <f t="shared" si="75"/>
        <v>231</v>
      </c>
      <c r="N630" s="10">
        <f t="shared" si="76"/>
        <v>23100</v>
      </c>
      <c r="O630" s="1" t="b">
        <f>IFERROR(IF(ISNUMBER(Raw!G630),TRUE,OR(EXACT(L630,TEXT(M630,"0.00")),EXACT(L630,TEXT(M630,"#,##0.00")))),FALSE)</f>
        <v>1</v>
      </c>
      <c r="P630" s="1" t="str">
        <f>LEN(IF(Raw!A630="","",Raw!A630))&amp;":"&amp;IF(Raw!A630="","",Raw!A630)&amp;"|"&amp;LEN(IF(Raw!B630="","",Raw!B630))&amp;":"&amp;IF(Raw!B630="","",Raw!B630)&amp;"|"&amp;LEN(IF(Raw!C630="","",Raw!C630))&amp;":"&amp;IF(Raw!C630="","",Raw!C630)&amp;"|"&amp;LEN(IF(Raw!D630="","",Raw!D630))&amp;":"&amp;IF(Raw!D630="","",Raw!D630)&amp;"|"&amp;LEN(IF(Raw!E630="","",Raw!E630))&amp;":"&amp;IF(Raw!E630="","",Raw!E630)&amp;"|"&amp;LEN(IF(Raw!F630="","",Raw!F630))&amp;":"&amp;IF(Raw!F630="","",Raw!F630)&amp;"|"&amp;LEN(IF(Raw!G630="","",Raw!G630))&amp;":"&amp;IF(Raw!G630="","",Raw!G630)</f>
        <v>6:L00624|6:T00312|10:2026-01-18|3:P-O|6:Office|4:sale|6:231.00</v>
      </c>
      <c r="Q630" s="1">
        <f>1</f>
        <v>1</v>
      </c>
      <c r="R630" s="1" t="b">
        <f>FALSE</f>
        <v>0</v>
      </c>
      <c r="S630" s="1">
        <f>1</f>
        <v>1</v>
      </c>
      <c r="T630" s="1" t="str">
        <f>IF(AND(Raw!A630="",Raw!B630="",Raw!C630="",Raw!D630="",Raw!E630="",Raw!F630="",Raw!G630=""),"UNUSED",IF(A630="","missing line ID",IF(B630="","missing transaction ID",IF(G630="",IF(C630="","missing date","invalid date"),IF(I630="","unknown product",IF(J630="","conflicting category",IF(NOT(OR(EXACT(K630,"sale"),EXACT(K630,"refund"))),"unknown event",IF(OR(N630="",NOT(O630)),"invalid amount",IF(OR(AND(K630="sale",N630&lt;=0),AND(K630="refund",N630&gt;=0)),"invalid sign","")))))))))</f>
        <v/>
      </c>
      <c r="U630" s="1" t="str">
        <f t="shared" si="77"/>
        <v>INCLUDED</v>
      </c>
      <c r="V630" s="1" t="str">
        <f t="shared" si="78"/>
        <v>2026-01</v>
      </c>
      <c r="W630" s="1">
        <f>IF(AND(U630="INCLUDED",X630&gt;0,EXACT(A630,'AI output'!A630)),1,0)</f>
        <v>1</v>
      </c>
      <c r="X630" s="1">
        <f>630</f>
        <v>630</v>
      </c>
      <c r="Y630" s="1">
        <f>IF(AND(U630="INCLUDED",W630=1),--(NOT(EXACT(A630,'AI output'!A630)))+--(NOT(EXACT(B630,'AI output'!B630)))+--(NOT(EXACT(TEXT(G630,"yyyy-mm-dd"),'AI output'!C630)))+--(NOT(EXACT(H630,'AI output'!D630)))+--(NOT(EXACT(J630,'AI output'!E630)))+--(NOT(EXACT(K630,'AI output'!F630)))+--(N630&lt;&gt;'AI output'!L630)+--(NOT('AI output'!M630)),0)</f>
        <v>0</v>
      </c>
      <c r="Z630" s="1">
        <f t="shared" si="79"/>
        <v>0</v>
      </c>
      <c r="AA630" s="1">
        <f>--EXACT(A630,"L00624")</f>
        <v>1</v>
      </c>
    </row>
    <row r="631" spans="1:27" ht="18.95" customHeight="1">
      <c r="A631" s="1" t="str">
        <f>IF(Raw!A631="","",Raw!A631)</f>
        <v>L00625</v>
      </c>
      <c r="B631" s="1" t="str">
        <f>IF(Raw!B631="","",Raw!B631)</f>
        <v>T00313</v>
      </c>
      <c r="C631" s="1" t="str">
        <f>IF(Raw!C631="","",Raw!C631)</f>
        <v>2026-01-25</v>
      </c>
      <c r="D631" s="1">
        <f t="shared" si="72"/>
        <v>2026</v>
      </c>
      <c r="E631" s="1">
        <f>IFERROR(IF(AND(LEN(C631)=10,MID(C631,5,1)="-",MID(C631,8,1)="-"),VALUE(MID(C631,6,2)),IF(AND(LEN(C631)=11,MID(C631,3,1)="-",MID(C631,7,1)="-"),MATCH(UPPER(MID(C631,4,3)),Guide!$D$7:$D$18,0),0)),0)</f>
        <v>1</v>
      </c>
      <c r="F631" s="1">
        <f t="shared" si="73"/>
        <v>25</v>
      </c>
      <c r="G631" s="9">
        <f t="shared" si="74"/>
        <v>46047</v>
      </c>
      <c r="H631" s="1" t="str">
        <f>IF(Raw!D631="","",Raw!D631)</f>
        <v>P-A</v>
      </c>
      <c r="I631" s="1" t="str">
        <f>IFERROR(IF(EXACT(H631,INDEX(Guide!$A$7:$A$9,MATCH(SUBSTITUTE(SUBSTITUTE(SUBSTITUTE(H631,"~","~~"),"*","~*"),"?","~?"),Guide!$A$7:$A$9,0))),INDEX(Guide!$B$7:$B$9,MATCH(SUBSTITUTE(SUBSTITUTE(SUBSTITUTE(H631,"~","~~"),"*","~*"),"?","~?"),Guide!$A$7:$A$9,0)),""),"")</f>
        <v>Accessories</v>
      </c>
      <c r="J631" s="1" t="str">
        <f>IF(TRIM(Raw!E631)="",I631,IF(UPPER(TRIM(Raw!E631))=UPPER(I631),I631,""))</f>
        <v>Accessories</v>
      </c>
      <c r="K631" s="1" t="str">
        <f>IF(Raw!F631="","",Raw!F631)</f>
        <v>sale</v>
      </c>
      <c r="L631" s="1" t="str">
        <f>IF(LEFT(TRIM(Raw!G631),2)="-$","-"&amp;MID(TRIM(Raw!G631),3,99),IF(LEFT(TRIM(Raw!G631),1)="$",MID(TRIM(Raw!G631),2,99),TRIM(Raw!G631)))</f>
        <v>463.48</v>
      </c>
      <c r="M631" s="1">
        <f t="shared" si="75"/>
        <v>463.48</v>
      </c>
      <c r="N631" s="10">
        <f t="shared" si="76"/>
        <v>46348</v>
      </c>
      <c r="O631" s="1" t="b">
        <f>IFERROR(IF(ISNUMBER(Raw!G631),TRUE,OR(EXACT(L631,TEXT(M631,"0.00")),EXACT(L631,TEXT(M631,"#,##0.00")))),FALSE)</f>
        <v>1</v>
      </c>
      <c r="P631" s="1" t="str">
        <f>LEN(IF(Raw!A631="","",Raw!A631))&amp;":"&amp;IF(Raw!A631="","",Raw!A631)&amp;"|"&amp;LEN(IF(Raw!B631="","",Raw!B631))&amp;":"&amp;IF(Raw!B631="","",Raw!B631)&amp;"|"&amp;LEN(IF(Raw!C631="","",Raw!C631))&amp;":"&amp;IF(Raw!C631="","",Raw!C631)&amp;"|"&amp;LEN(IF(Raw!D631="","",Raw!D631))&amp;":"&amp;IF(Raw!D631="","",Raw!D631)&amp;"|"&amp;LEN(IF(Raw!E631="","",Raw!E631))&amp;":"&amp;IF(Raw!E631="","",Raw!E631)&amp;"|"&amp;LEN(IF(Raw!F631="","",Raw!F631))&amp;":"&amp;IF(Raw!F631="","",Raw!F631)&amp;"|"&amp;LEN(IF(Raw!G631="","",Raw!G631))&amp;":"&amp;IF(Raw!G631="","",Raw!G631)</f>
        <v>6:L00625|6:T00313|10:2026-01-25|3:P-A|11:Accessories|4:sale|6:463.48</v>
      </c>
      <c r="Q631" s="1">
        <f>1</f>
        <v>1</v>
      </c>
      <c r="R631" s="1" t="b">
        <f>FALSE</f>
        <v>0</v>
      </c>
      <c r="S631" s="1">
        <f>1</f>
        <v>1</v>
      </c>
      <c r="T631" s="1" t="str">
        <f>IF(AND(Raw!A631="",Raw!B631="",Raw!C631="",Raw!D631="",Raw!E631="",Raw!F631="",Raw!G631=""),"UNUSED",IF(A631="","missing line ID",IF(B631="","missing transaction ID",IF(G631="",IF(C631="","missing date","invalid date"),IF(I631="","unknown product",IF(J631="","conflicting category",IF(NOT(OR(EXACT(K631,"sale"),EXACT(K631,"refund"))),"unknown event",IF(OR(N631="",NOT(O631)),"invalid amount",IF(OR(AND(K631="sale",N631&lt;=0),AND(K631="refund",N631&gt;=0)),"invalid sign","")))))))))</f>
        <v/>
      </c>
      <c r="U631" s="1" t="str">
        <f t="shared" si="77"/>
        <v>INCLUDED</v>
      </c>
      <c r="V631" s="1" t="str">
        <f t="shared" si="78"/>
        <v>2026-01</v>
      </c>
      <c r="W631" s="1">
        <f>IF(AND(U631="INCLUDED",X631&gt;0,EXACT(A631,'AI output'!A631)),1,0)</f>
        <v>1</v>
      </c>
      <c r="X631" s="1">
        <f>631</f>
        <v>631</v>
      </c>
      <c r="Y631" s="1">
        <f>IF(AND(U631="INCLUDED",W631=1),--(NOT(EXACT(A631,'AI output'!A631)))+--(NOT(EXACT(B631,'AI output'!B631)))+--(NOT(EXACT(TEXT(G631,"yyyy-mm-dd"),'AI output'!C631)))+--(NOT(EXACT(H631,'AI output'!D631)))+--(NOT(EXACT(J631,'AI output'!E631)))+--(NOT(EXACT(K631,'AI output'!F631)))+--(N631&lt;&gt;'AI output'!L631)+--(NOT('AI output'!M631)),0)</f>
        <v>0</v>
      </c>
      <c r="Z631" s="1">
        <f t="shared" si="79"/>
        <v>0</v>
      </c>
      <c r="AA631" s="1">
        <f>--EXACT(A631,"L00625")</f>
        <v>1</v>
      </c>
    </row>
    <row r="632" spans="1:27" ht="18.95" customHeight="1">
      <c r="A632" s="1" t="str">
        <f>IF(Raw!A632="","",Raw!A632)</f>
        <v>L00626</v>
      </c>
      <c r="B632" s="1" t="str">
        <f>IF(Raw!B632="","",Raw!B632)</f>
        <v>T00313</v>
      </c>
      <c r="C632" s="1" t="str">
        <f>IF(Raw!C632="","",Raw!C632)</f>
        <v>2026-01-25</v>
      </c>
      <c r="D632" s="1">
        <f t="shared" si="72"/>
        <v>2026</v>
      </c>
      <c r="E632" s="1">
        <f>IFERROR(IF(AND(LEN(C632)=10,MID(C632,5,1)="-",MID(C632,8,1)="-"),VALUE(MID(C632,6,2)),IF(AND(LEN(C632)=11,MID(C632,3,1)="-",MID(C632,7,1)="-"),MATCH(UPPER(MID(C632,4,3)),Guide!$D$7:$D$18,0),0)),0)</f>
        <v>1</v>
      </c>
      <c r="F632" s="1">
        <f t="shared" si="73"/>
        <v>25</v>
      </c>
      <c r="G632" s="9">
        <f t="shared" si="74"/>
        <v>46047</v>
      </c>
      <c r="H632" s="1" t="str">
        <f>IF(Raw!D632="","",Raw!D632)</f>
        <v>P-H</v>
      </c>
      <c r="I632" s="1" t="str">
        <f>IFERROR(IF(EXACT(H632,INDEX(Guide!$A$7:$A$9,MATCH(SUBSTITUTE(SUBSTITUTE(SUBSTITUTE(H632,"~","~~"),"*","~*"),"?","~?"),Guide!$A$7:$A$9,0))),INDEX(Guide!$B$7:$B$9,MATCH(SUBSTITUTE(SUBSTITUTE(SUBSTITUTE(H632,"~","~~"),"*","~*"),"?","~?"),Guide!$A$7:$A$9,0)),""),"")</f>
        <v>Home</v>
      </c>
      <c r="J632" s="1" t="str">
        <f>IF(TRIM(Raw!E632)="",I632,IF(UPPER(TRIM(Raw!E632))=UPPER(I632),I632,""))</f>
        <v>Home</v>
      </c>
      <c r="K632" s="1" t="str">
        <f>IF(Raw!F632="","",Raw!F632)</f>
        <v>sale</v>
      </c>
      <c r="L632" s="1" t="str">
        <f>IF(LEFT(TRIM(Raw!G632),2)="-$","-"&amp;MID(TRIM(Raw!G632),3,99),IF(LEFT(TRIM(Raw!G632),1)="$",MID(TRIM(Raw!G632),2,99),TRIM(Raw!G632)))</f>
        <v>116.24</v>
      </c>
      <c r="M632" s="1">
        <f t="shared" si="75"/>
        <v>116.24</v>
      </c>
      <c r="N632" s="10">
        <f t="shared" si="76"/>
        <v>11624</v>
      </c>
      <c r="O632" s="1" t="b">
        <f>IFERROR(IF(ISNUMBER(Raw!G632),TRUE,OR(EXACT(L632,TEXT(M632,"0.00")),EXACT(L632,TEXT(M632,"#,##0.00")))),FALSE)</f>
        <v>1</v>
      </c>
      <c r="P632" s="1" t="str">
        <f>LEN(IF(Raw!A632="","",Raw!A632))&amp;":"&amp;IF(Raw!A632="","",Raw!A632)&amp;"|"&amp;LEN(IF(Raw!B632="","",Raw!B632))&amp;":"&amp;IF(Raw!B632="","",Raw!B632)&amp;"|"&amp;LEN(IF(Raw!C632="","",Raw!C632))&amp;":"&amp;IF(Raw!C632="","",Raw!C632)&amp;"|"&amp;LEN(IF(Raw!D632="","",Raw!D632))&amp;":"&amp;IF(Raw!D632="","",Raw!D632)&amp;"|"&amp;LEN(IF(Raw!E632="","",Raw!E632))&amp;":"&amp;IF(Raw!E632="","",Raw!E632)&amp;"|"&amp;LEN(IF(Raw!F632="","",Raw!F632))&amp;":"&amp;IF(Raw!F632="","",Raw!F632)&amp;"|"&amp;LEN(IF(Raw!G632="","",Raw!G632))&amp;":"&amp;IF(Raw!G632="","",Raw!G632)</f>
        <v>6:L00626|6:T00313|10:2026-01-25|3:P-H|4:Home|4:sale|6:116.24</v>
      </c>
      <c r="Q632" s="1">
        <f>1</f>
        <v>1</v>
      </c>
      <c r="R632" s="1" t="b">
        <f>FALSE</f>
        <v>0</v>
      </c>
      <c r="S632" s="1">
        <f>1</f>
        <v>1</v>
      </c>
      <c r="T632" s="1" t="str">
        <f>IF(AND(Raw!A632="",Raw!B632="",Raw!C632="",Raw!D632="",Raw!E632="",Raw!F632="",Raw!G632=""),"UNUSED",IF(A632="","missing line ID",IF(B632="","missing transaction ID",IF(G632="",IF(C632="","missing date","invalid date"),IF(I632="","unknown product",IF(J632="","conflicting category",IF(NOT(OR(EXACT(K632,"sale"),EXACT(K632,"refund"))),"unknown event",IF(OR(N632="",NOT(O632)),"invalid amount",IF(OR(AND(K632="sale",N632&lt;=0),AND(K632="refund",N632&gt;=0)),"invalid sign","")))))))))</f>
        <v/>
      </c>
      <c r="U632" s="1" t="str">
        <f t="shared" si="77"/>
        <v>INCLUDED</v>
      </c>
      <c r="V632" s="1" t="str">
        <f t="shared" si="78"/>
        <v>2026-01</v>
      </c>
      <c r="W632" s="1">
        <f>IF(AND(U632="INCLUDED",X632&gt;0,EXACT(A632,'AI output'!A632)),1,0)</f>
        <v>1</v>
      </c>
      <c r="X632" s="1">
        <f>632</f>
        <v>632</v>
      </c>
      <c r="Y632" s="1">
        <f>IF(AND(U632="INCLUDED",W632=1),--(NOT(EXACT(A632,'AI output'!A632)))+--(NOT(EXACT(B632,'AI output'!B632)))+--(NOT(EXACT(TEXT(G632,"yyyy-mm-dd"),'AI output'!C632)))+--(NOT(EXACT(H632,'AI output'!D632)))+--(NOT(EXACT(J632,'AI output'!E632)))+--(NOT(EXACT(K632,'AI output'!F632)))+--(N632&lt;&gt;'AI output'!L632)+--(NOT('AI output'!M632)),0)</f>
        <v>0</v>
      </c>
      <c r="Z632" s="1">
        <f t="shared" si="79"/>
        <v>0</v>
      </c>
      <c r="AA632" s="1">
        <f>--EXACT(A632,"L00626")</f>
        <v>1</v>
      </c>
    </row>
    <row r="633" spans="1:27" ht="18.95" customHeight="1">
      <c r="A633" s="1" t="str">
        <f>IF(Raw!A633="","",Raw!A633)</f>
        <v>L00627</v>
      </c>
      <c r="B633" s="1" t="str">
        <f>IF(Raw!B633="","",Raw!B633)</f>
        <v>T00314</v>
      </c>
      <c r="C633" s="1" t="str">
        <f>IF(Raw!C633="","",Raw!C633)</f>
        <v>2026-02-01</v>
      </c>
      <c r="D633" s="1">
        <f t="shared" si="72"/>
        <v>2026</v>
      </c>
      <c r="E633" s="1">
        <f>IFERROR(IF(AND(LEN(C633)=10,MID(C633,5,1)="-",MID(C633,8,1)="-"),VALUE(MID(C633,6,2)),IF(AND(LEN(C633)=11,MID(C633,3,1)="-",MID(C633,7,1)="-"),MATCH(UPPER(MID(C633,4,3)),Guide!$D$7:$D$18,0),0)),0)</f>
        <v>2</v>
      </c>
      <c r="F633" s="1">
        <f t="shared" si="73"/>
        <v>1</v>
      </c>
      <c r="G633" s="9">
        <f t="shared" si="74"/>
        <v>46054</v>
      </c>
      <c r="H633" s="1" t="str">
        <f>IF(Raw!D633="","",Raw!D633)</f>
        <v>P-O</v>
      </c>
      <c r="I633" s="1" t="str">
        <f>IFERROR(IF(EXACT(H633,INDEX(Guide!$A$7:$A$9,MATCH(SUBSTITUTE(SUBSTITUTE(SUBSTITUTE(H633,"~","~~"),"*","~*"),"?","~?"),Guide!$A$7:$A$9,0))),INDEX(Guide!$B$7:$B$9,MATCH(SUBSTITUTE(SUBSTITUTE(SUBSTITUTE(H633,"~","~~"),"*","~*"),"?","~?"),Guide!$A$7:$A$9,0)),""),"")</f>
        <v>Office</v>
      </c>
      <c r="J633" s="1" t="str">
        <f>IF(TRIM(Raw!E633)="",I633,IF(UPPER(TRIM(Raw!E633))=UPPER(I633),I633,""))</f>
        <v>Office</v>
      </c>
      <c r="K633" s="1" t="str">
        <f>IF(Raw!F633="","",Raw!F633)</f>
        <v>sale</v>
      </c>
      <c r="L633" s="1" t="str">
        <f>IF(LEFT(TRIM(Raw!G633),2)="-$","-"&amp;MID(TRIM(Raw!G633),3,99),IF(LEFT(TRIM(Raw!G633),1)="$",MID(TRIM(Raw!G633),2,99),TRIM(Raw!G633)))</f>
        <v>349.83</v>
      </c>
      <c r="M633" s="1">
        <f t="shared" si="75"/>
        <v>349.83</v>
      </c>
      <c r="N633" s="10">
        <f t="shared" si="76"/>
        <v>34983</v>
      </c>
      <c r="O633" s="1" t="b">
        <f>IFERROR(IF(ISNUMBER(Raw!G633),TRUE,OR(EXACT(L633,TEXT(M633,"0.00")),EXACT(L633,TEXT(M633,"#,##0.00")))),FALSE)</f>
        <v>1</v>
      </c>
      <c r="P633" s="1" t="str">
        <f>LEN(IF(Raw!A633="","",Raw!A633))&amp;":"&amp;IF(Raw!A633="","",Raw!A633)&amp;"|"&amp;LEN(IF(Raw!B633="","",Raw!B633))&amp;":"&amp;IF(Raw!B633="","",Raw!B633)&amp;"|"&amp;LEN(IF(Raw!C633="","",Raw!C633))&amp;":"&amp;IF(Raw!C633="","",Raw!C633)&amp;"|"&amp;LEN(IF(Raw!D633="","",Raw!D633))&amp;":"&amp;IF(Raw!D633="","",Raw!D633)&amp;"|"&amp;LEN(IF(Raw!E633="","",Raw!E633))&amp;":"&amp;IF(Raw!E633="","",Raw!E633)&amp;"|"&amp;LEN(IF(Raw!F633="","",Raw!F633))&amp;":"&amp;IF(Raw!F633="","",Raw!F633)&amp;"|"&amp;LEN(IF(Raw!G633="","",Raw!G633))&amp;":"&amp;IF(Raw!G633="","",Raw!G633)</f>
        <v>6:L00627|6:T00314|10:2026-02-01|3:P-O|6:Office|4:sale|6:349.83</v>
      </c>
      <c r="Q633" s="1">
        <f>1</f>
        <v>1</v>
      </c>
      <c r="R633" s="1" t="b">
        <f>FALSE</f>
        <v>0</v>
      </c>
      <c r="S633" s="1">
        <f>1</f>
        <v>1</v>
      </c>
      <c r="T633" s="1" t="str">
        <f>IF(AND(Raw!A633="",Raw!B633="",Raw!C633="",Raw!D633="",Raw!E633="",Raw!F633="",Raw!G633=""),"UNUSED",IF(A633="","missing line ID",IF(B633="","missing transaction ID",IF(G633="",IF(C633="","missing date","invalid date"),IF(I633="","unknown product",IF(J633="","conflicting category",IF(NOT(OR(EXACT(K633,"sale"),EXACT(K633,"refund"))),"unknown event",IF(OR(N633="",NOT(O633)),"invalid amount",IF(OR(AND(K633="sale",N633&lt;=0),AND(K633="refund",N633&gt;=0)),"invalid sign","")))))))))</f>
        <v/>
      </c>
      <c r="U633" s="1" t="str">
        <f t="shared" si="77"/>
        <v>INCLUDED</v>
      </c>
      <c r="V633" s="1" t="str">
        <f t="shared" si="78"/>
        <v>2026-02</v>
      </c>
      <c r="W633" s="1">
        <f>IF(AND(U633="INCLUDED",X633&gt;0,EXACT(A633,'AI output'!A633)),1,0)</f>
        <v>1</v>
      </c>
      <c r="X633" s="1">
        <f>633</f>
        <v>633</v>
      </c>
      <c r="Y633" s="1">
        <f>IF(AND(U633="INCLUDED",W633=1),--(NOT(EXACT(A633,'AI output'!A633)))+--(NOT(EXACT(B633,'AI output'!B633)))+--(NOT(EXACT(TEXT(G633,"yyyy-mm-dd"),'AI output'!C633)))+--(NOT(EXACT(H633,'AI output'!D633)))+--(NOT(EXACT(J633,'AI output'!E633)))+--(NOT(EXACT(K633,'AI output'!F633)))+--(N633&lt;&gt;'AI output'!L633)+--(NOT('AI output'!M633)),0)</f>
        <v>0</v>
      </c>
      <c r="Z633" s="1">
        <f t="shared" si="79"/>
        <v>0</v>
      </c>
      <c r="AA633" s="1">
        <f>--EXACT(A633,"L00627")</f>
        <v>1</v>
      </c>
    </row>
    <row r="634" spans="1:27" ht="18.95" customHeight="1">
      <c r="A634" s="1" t="str">
        <f>IF(Raw!A634="","",Raw!A634)</f>
        <v>L00628</v>
      </c>
      <c r="B634" s="1" t="str">
        <f>IF(Raw!B634="","",Raw!B634)</f>
        <v>T00314</v>
      </c>
      <c r="C634" s="1" t="str">
        <f>IF(Raw!C634="","",Raw!C634)</f>
        <v>2026-02-01</v>
      </c>
      <c r="D634" s="1">
        <f t="shared" si="72"/>
        <v>2026</v>
      </c>
      <c r="E634" s="1">
        <f>IFERROR(IF(AND(LEN(C634)=10,MID(C634,5,1)="-",MID(C634,8,1)="-"),VALUE(MID(C634,6,2)),IF(AND(LEN(C634)=11,MID(C634,3,1)="-",MID(C634,7,1)="-"),MATCH(UPPER(MID(C634,4,3)),Guide!$D$7:$D$18,0),0)),0)</f>
        <v>2</v>
      </c>
      <c r="F634" s="1">
        <f t="shared" si="73"/>
        <v>1</v>
      </c>
      <c r="G634" s="9">
        <f t="shared" si="74"/>
        <v>46054</v>
      </c>
      <c r="H634" s="1" t="str">
        <f>IF(Raw!D634="","",Raw!D634)</f>
        <v>P-A</v>
      </c>
      <c r="I634" s="1" t="str">
        <f>IFERROR(IF(EXACT(H634,INDEX(Guide!$A$7:$A$9,MATCH(SUBSTITUTE(SUBSTITUTE(SUBSTITUTE(H634,"~","~~"),"*","~*"),"?","~?"),Guide!$A$7:$A$9,0))),INDEX(Guide!$B$7:$B$9,MATCH(SUBSTITUTE(SUBSTITUTE(SUBSTITUTE(H634,"~","~~"),"*","~*"),"?","~?"),Guide!$A$7:$A$9,0)),""),"")</f>
        <v>Accessories</v>
      </c>
      <c r="J634" s="1" t="str">
        <f>IF(TRIM(Raw!E634)="",I634,IF(UPPER(TRIM(Raw!E634))=UPPER(I634),I634,""))</f>
        <v>Accessories</v>
      </c>
      <c r="K634" s="1" t="str">
        <f>IF(Raw!F634="","",Raw!F634)</f>
        <v>sale</v>
      </c>
      <c r="L634" s="1" t="str">
        <f>IF(LEFT(TRIM(Raw!G634),2)="-$","-"&amp;MID(TRIM(Raw!G634),3,99),IF(LEFT(TRIM(Raw!G634),1)="$",MID(TRIM(Raw!G634),2,99),TRIM(Raw!G634)))</f>
        <v>584.90</v>
      </c>
      <c r="M634" s="1">
        <f t="shared" si="75"/>
        <v>584.9</v>
      </c>
      <c r="N634" s="10">
        <f t="shared" si="76"/>
        <v>58490</v>
      </c>
      <c r="O634" s="1" t="b">
        <f>IFERROR(IF(ISNUMBER(Raw!G634),TRUE,OR(EXACT(L634,TEXT(M634,"0.00")),EXACT(L634,TEXT(M634,"#,##0.00")))),FALSE)</f>
        <v>1</v>
      </c>
      <c r="P634" s="1" t="str">
        <f>LEN(IF(Raw!A634="","",Raw!A634))&amp;":"&amp;IF(Raw!A634="","",Raw!A634)&amp;"|"&amp;LEN(IF(Raw!B634="","",Raw!B634))&amp;":"&amp;IF(Raw!B634="","",Raw!B634)&amp;"|"&amp;LEN(IF(Raw!C634="","",Raw!C634))&amp;":"&amp;IF(Raw!C634="","",Raw!C634)&amp;"|"&amp;LEN(IF(Raw!D634="","",Raw!D634))&amp;":"&amp;IF(Raw!D634="","",Raw!D634)&amp;"|"&amp;LEN(IF(Raw!E634="","",Raw!E634))&amp;":"&amp;IF(Raw!E634="","",Raw!E634)&amp;"|"&amp;LEN(IF(Raw!F634="","",Raw!F634))&amp;":"&amp;IF(Raw!F634="","",Raw!F634)&amp;"|"&amp;LEN(IF(Raw!G634="","",Raw!G634))&amp;":"&amp;IF(Raw!G634="","",Raw!G634)</f>
        <v>6:L00628|6:T00314|10:2026-02-01|3:P-A|11:Accessories|4:sale|6:584.90</v>
      </c>
      <c r="Q634" s="1">
        <f>1</f>
        <v>1</v>
      </c>
      <c r="R634" s="1" t="b">
        <f>FALSE</f>
        <v>0</v>
      </c>
      <c r="S634" s="1">
        <f>1</f>
        <v>1</v>
      </c>
      <c r="T634" s="1" t="str">
        <f>IF(AND(Raw!A634="",Raw!B634="",Raw!C634="",Raw!D634="",Raw!E634="",Raw!F634="",Raw!G634=""),"UNUSED",IF(A634="","missing line ID",IF(B634="","missing transaction ID",IF(G634="",IF(C634="","missing date","invalid date"),IF(I634="","unknown product",IF(J634="","conflicting category",IF(NOT(OR(EXACT(K634,"sale"),EXACT(K634,"refund"))),"unknown event",IF(OR(N634="",NOT(O634)),"invalid amount",IF(OR(AND(K634="sale",N634&lt;=0),AND(K634="refund",N634&gt;=0)),"invalid sign","")))))))))</f>
        <v/>
      </c>
      <c r="U634" s="1" t="str">
        <f t="shared" si="77"/>
        <v>INCLUDED</v>
      </c>
      <c r="V634" s="1" t="str">
        <f t="shared" si="78"/>
        <v>2026-02</v>
      </c>
      <c r="W634" s="1">
        <f>IF(AND(U634="INCLUDED",X634&gt;0,EXACT(A634,'AI output'!A634)),1,0)</f>
        <v>1</v>
      </c>
      <c r="X634" s="1">
        <f>634</f>
        <v>634</v>
      </c>
      <c r="Y634" s="1">
        <f>IF(AND(U634="INCLUDED",W634=1),--(NOT(EXACT(A634,'AI output'!A634)))+--(NOT(EXACT(B634,'AI output'!B634)))+--(NOT(EXACT(TEXT(G634,"yyyy-mm-dd"),'AI output'!C634)))+--(NOT(EXACT(H634,'AI output'!D634)))+--(NOT(EXACT(J634,'AI output'!E634)))+--(NOT(EXACT(K634,'AI output'!F634)))+--(N634&lt;&gt;'AI output'!L634)+--(NOT('AI output'!M634)),0)</f>
        <v>0</v>
      </c>
      <c r="Z634" s="1">
        <f t="shared" si="79"/>
        <v>0</v>
      </c>
      <c r="AA634" s="1">
        <f>--EXACT(A634,"L00628")</f>
        <v>1</v>
      </c>
    </row>
    <row r="635" spans="1:27" ht="18.95" customHeight="1">
      <c r="A635" s="1" t="str">
        <f>IF(Raw!A635="","",Raw!A635)</f>
        <v>L00629</v>
      </c>
      <c r="B635" s="1" t="str">
        <f>IF(Raw!B635="","",Raw!B635)</f>
        <v>T00315</v>
      </c>
      <c r="C635" s="1" t="str">
        <f>IF(Raw!C635="","",Raw!C635)</f>
        <v>2026-02-08</v>
      </c>
      <c r="D635" s="1">
        <f t="shared" si="72"/>
        <v>2026</v>
      </c>
      <c r="E635" s="1">
        <f>IFERROR(IF(AND(LEN(C635)=10,MID(C635,5,1)="-",MID(C635,8,1)="-"),VALUE(MID(C635,6,2)),IF(AND(LEN(C635)=11,MID(C635,3,1)="-",MID(C635,7,1)="-"),MATCH(UPPER(MID(C635,4,3)),Guide!$D$7:$D$18,0),0)),0)</f>
        <v>2</v>
      </c>
      <c r="F635" s="1">
        <f t="shared" si="73"/>
        <v>8</v>
      </c>
      <c r="G635" s="9">
        <f t="shared" si="74"/>
        <v>46061</v>
      </c>
      <c r="H635" s="1" t="str">
        <f>IF(Raw!D635="","",Raw!D635)</f>
        <v>P-H</v>
      </c>
      <c r="I635" s="1" t="str">
        <f>IFERROR(IF(EXACT(H635,INDEX(Guide!$A$7:$A$9,MATCH(SUBSTITUTE(SUBSTITUTE(SUBSTITUTE(H635,"~","~~"),"*","~*"),"?","~?"),Guide!$A$7:$A$9,0))),INDEX(Guide!$B$7:$B$9,MATCH(SUBSTITUTE(SUBSTITUTE(SUBSTITUTE(H635,"~","~~"),"*","~*"),"?","~?"),Guide!$A$7:$A$9,0)),""),"")</f>
        <v>Home</v>
      </c>
      <c r="J635" s="1" t="str">
        <f>IF(TRIM(Raw!E635)="",I635,IF(UPPER(TRIM(Raw!E635))=UPPER(I635),I635,""))</f>
        <v>Home</v>
      </c>
      <c r="K635" s="1" t="str">
        <f>IF(Raw!F635="","",Raw!F635)</f>
        <v>sale</v>
      </c>
      <c r="L635" s="1" t="str">
        <f>IF(LEFT(TRIM(Raw!G635),2)="-$","-"&amp;MID(TRIM(Raw!G635),3,99),IF(LEFT(TRIM(Raw!G635),1)="$",MID(TRIM(Raw!G635),2,99),TRIM(Raw!G635)))</f>
        <v>234.70</v>
      </c>
      <c r="M635" s="1">
        <f t="shared" si="75"/>
        <v>234.7</v>
      </c>
      <c r="N635" s="10">
        <f t="shared" si="76"/>
        <v>23470</v>
      </c>
      <c r="O635" s="1" t="b">
        <f>IFERROR(IF(ISNUMBER(Raw!G635),TRUE,OR(EXACT(L635,TEXT(M635,"0.00")),EXACT(L635,TEXT(M635,"#,##0.00")))),FALSE)</f>
        <v>1</v>
      </c>
      <c r="P635" s="1" t="str">
        <f>LEN(IF(Raw!A635="","",Raw!A635))&amp;":"&amp;IF(Raw!A635="","",Raw!A635)&amp;"|"&amp;LEN(IF(Raw!B635="","",Raw!B635))&amp;":"&amp;IF(Raw!B635="","",Raw!B635)&amp;"|"&amp;LEN(IF(Raw!C635="","",Raw!C635))&amp;":"&amp;IF(Raw!C635="","",Raw!C635)&amp;"|"&amp;LEN(IF(Raw!D635="","",Raw!D635))&amp;":"&amp;IF(Raw!D635="","",Raw!D635)&amp;"|"&amp;LEN(IF(Raw!E635="","",Raw!E635))&amp;":"&amp;IF(Raw!E635="","",Raw!E635)&amp;"|"&amp;LEN(IF(Raw!F635="","",Raw!F635))&amp;":"&amp;IF(Raw!F635="","",Raw!F635)&amp;"|"&amp;LEN(IF(Raw!G635="","",Raw!G635))&amp;":"&amp;IF(Raw!G635="","",Raw!G635)</f>
        <v>6:L00629|6:T00315|10:2026-02-08|3:P-H|4:Home|4:sale|6:234.70</v>
      </c>
      <c r="Q635" s="1">
        <f>1</f>
        <v>1</v>
      </c>
      <c r="R635" s="1" t="b">
        <f>FALSE</f>
        <v>0</v>
      </c>
      <c r="S635" s="1">
        <f>1</f>
        <v>1</v>
      </c>
      <c r="T635" s="1" t="str">
        <f>IF(AND(Raw!A635="",Raw!B635="",Raw!C635="",Raw!D635="",Raw!E635="",Raw!F635="",Raw!G635=""),"UNUSED",IF(A635="","missing line ID",IF(B635="","missing transaction ID",IF(G635="",IF(C635="","missing date","invalid date"),IF(I635="","unknown product",IF(J635="","conflicting category",IF(NOT(OR(EXACT(K635,"sale"),EXACT(K635,"refund"))),"unknown event",IF(OR(N635="",NOT(O635)),"invalid amount",IF(OR(AND(K635="sale",N635&lt;=0),AND(K635="refund",N635&gt;=0)),"invalid sign","")))))))))</f>
        <v/>
      </c>
      <c r="U635" s="1" t="str">
        <f t="shared" si="77"/>
        <v>INCLUDED</v>
      </c>
      <c r="V635" s="1" t="str">
        <f t="shared" si="78"/>
        <v>2026-02</v>
      </c>
      <c r="W635" s="1">
        <f>IF(AND(U635="INCLUDED",X635&gt;0,EXACT(A635,'AI output'!A635)),1,0)</f>
        <v>1</v>
      </c>
      <c r="X635" s="1">
        <f>635</f>
        <v>635</v>
      </c>
      <c r="Y635" s="1">
        <f>IF(AND(U635="INCLUDED",W635=1),--(NOT(EXACT(A635,'AI output'!A635)))+--(NOT(EXACT(B635,'AI output'!B635)))+--(NOT(EXACT(TEXT(G635,"yyyy-mm-dd"),'AI output'!C635)))+--(NOT(EXACT(H635,'AI output'!D635)))+--(NOT(EXACT(J635,'AI output'!E635)))+--(NOT(EXACT(K635,'AI output'!F635)))+--(N635&lt;&gt;'AI output'!L635)+--(NOT('AI output'!M635)),0)</f>
        <v>0</v>
      </c>
      <c r="Z635" s="1">
        <f t="shared" si="79"/>
        <v>0</v>
      </c>
      <c r="AA635" s="1">
        <f>--EXACT(A635,"L00629")</f>
        <v>1</v>
      </c>
    </row>
    <row r="636" spans="1:27" ht="18.95" customHeight="1">
      <c r="A636" s="1" t="str">
        <f>IF(Raw!A636="","",Raw!A636)</f>
        <v>L00630</v>
      </c>
      <c r="B636" s="1" t="str">
        <f>IF(Raw!B636="","",Raw!B636)</f>
        <v>T00315</v>
      </c>
      <c r="C636" s="1" t="str">
        <f>IF(Raw!C636="","",Raw!C636)</f>
        <v>2026-02-08</v>
      </c>
      <c r="D636" s="1">
        <f t="shared" si="72"/>
        <v>2026</v>
      </c>
      <c r="E636" s="1">
        <f>IFERROR(IF(AND(LEN(C636)=10,MID(C636,5,1)="-",MID(C636,8,1)="-"),VALUE(MID(C636,6,2)),IF(AND(LEN(C636)=11,MID(C636,3,1)="-",MID(C636,7,1)="-"),MATCH(UPPER(MID(C636,4,3)),Guide!$D$7:$D$18,0),0)),0)</f>
        <v>2</v>
      </c>
      <c r="F636" s="1">
        <f t="shared" si="73"/>
        <v>8</v>
      </c>
      <c r="G636" s="9">
        <f t="shared" si="74"/>
        <v>46061</v>
      </c>
      <c r="H636" s="1" t="str">
        <f>IF(Raw!D636="","",Raw!D636)</f>
        <v>P-O</v>
      </c>
      <c r="I636" s="1" t="str">
        <f>IFERROR(IF(EXACT(H636,INDEX(Guide!$A$7:$A$9,MATCH(SUBSTITUTE(SUBSTITUTE(SUBSTITUTE(H636,"~","~~"),"*","~*"),"?","~?"),Guide!$A$7:$A$9,0))),INDEX(Guide!$B$7:$B$9,MATCH(SUBSTITUTE(SUBSTITUTE(SUBSTITUTE(H636,"~","~~"),"*","~*"),"?","~?"),Guide!$A$7:$A$9,0)),""),"")</f>
        <v>Office</v>
      </c>
      <c r="J636" s="1" t="str">
        <f>IF(TRIM(Raw!E636)="",I636,IF(UPPER(TRIM(Raw!E636))=UPPER(I636),I636,""))</f>
        <v>Office</v>
      </c>
      <c r="K636" s="1" t="str">
        <f>IF(Raw!F636="","",Raw!F636)</f>
        <v>sale</v>
      </c>
      <c r="L636" s="1" t="str">
        <f>IF(LEFT(TRIM(Raw!G636),2)="-$","-"&amp;MID(TRIM(Raw!G636),3,99),IF(LEFT(TRIM(Raw!G636),1)="$",MID(TRIM(Raw!G636),2,99),TRIM(Raw!G636)))</f>
        <v>470.88</v>
      </c>
      <c r="M636" s="1">
        <f t="shared" si="75"/>
        <v>470.88</v>
      </c>
      <c r="N636" s="10">
        <f t="shared" si="76"/>
        <v>47088</v>
      </c>
      <c r="O636" s="1" t="b">
        <f>IFERROR(IF(ISNUMBER(Raw!G636),TRUE,OR(EXACT(L636,TEXT(M636,"0.00")),EXACT(L636,TEXT(M636,"#,##0.00")))),FALSE)</f>
        <v>1</v>
      </c>
      <c r="P636" s="1" t="str">
        <f>LEN(IF(Raw!A636="","",Raw!A636))&amp;":"&amp;IF(Raw!A636="","",Raw!A636)&amp;"|"&amp;LEN(IF(Raw!B636="","",Raw!B636))&amp;":"&amp;IF(Raw!B636="","",Raw!B636)&amp;"|"&amp;LEN(IF(Raw!C636="","",Raw!C636))&amp;":"&amp;IF(Raw!C636="","",Raw!C636)&amp;"|"&amp;LEN(IF(Raw!D636="","",Raw!D636))&amp;":"&amp;IF(Raw!D636="","",Raw!D636)&amp;"|"&amp;LEN(IF(Raw!E636="","",Raw!E636))&amp;":"&amp;IF(Raw!E636="","",Raw!E636)&amp;"|"&amp;LEN(IF(Raw!F636="","",Raw!F636))&amp;":"&amp;IF(Raw!F636="","",Raw!F636)&amp;"|"&amp;LEN(IF(Raw!G636="","",Raw!G636))&amp;":"&amp;IF(Raw!G636="","",Raw!G636)</f>
        <v>6:L00630|6:T00315|10:2026-02-08|3:P-O|6:Office|4:sale|6:470.88</v>
      </c>
      <c r="Q636" s="1">
        <f>1</f>
        <v>1</v>
      </c>
      <c r="R636" s="1" t="b">
        <f>FALSE</f>
        <v>0</v>
      </c>
      <c r="S636" s="1">
        <f>1</f>
        <v>1</v>
      </c>
      <c r="T636" s="1" t="str">
        <f>IF(AND(Raw!A636="",Raw!B636="",Raw!C636="",Raw!D636="",Raw!E636="",Raw!F636="",Raw!G636=""),"UNUSED",IF(A636="","missing line ID",IF(B636="","missing transaction ID",IF(G636="",IF(C636="","missing date","invalid date"),IF(I636="","unknown product",IF(J636="","conflicting category",IF(NOT(OR(EXACT(K636,"sale"),EXACT(K636,"refund"))),"unknown event",IF(OR(N636="",NOT(O636)),"invalid amount",IF(OR(AND(K636="sale",N636&lt;=0),AND(K636="refund",N636&gt;=0)),"invalid sign","")))))))))</f>
        <v/>
      </c>
      <c r="U636" s="1" t="str">
        <f t="shared" si="77"/>
        <v>INCLUDED</v>
      </c>
      <c r="V636" s="1" t="str">
        <f t="shared" si="78"/>
        <v>2026-02</v>
      </c>
      <c r="W636" s="1">
        <f>IF(AND(U636="INCLUDED",X636&gt;0,EXACT(A636,'AI output'!A636)),1,0)</f>
        <v>1</v>
      </c>
      <c r="X636" s="1">
        <f>636</f>
        <v>636</v>
      </c>
      <c r="Y636" s="1">
        <f>IF(AND(U636="INCLUDED",W636=1),--(NOT(EXACT(A636,'AI output'!A636)))+--(NOT(EXACT(B636,'AI output'!B636)))+--(NOT(EXACT(TEXT(G636,"yyyy-mm-dd"),'AI output'!C636)))+--(NOT(EXACT(H636,'AI output'!D636)))+--(NOT(EXACT(J636,'AI output'!E636)))+--(NOT(EXACT(K636,'AI output'!F636)))+--(N636&lt;&gt;'AI output'!L636)+--(NOT('AI output'!M636)),0)</f>
        <v>0</v>
      </c>
      <c r="Z636" s="1">
        <f t="shared" si="79"/>
        <v>0</v>
      </c>
      <c r="AA636" s="1">
        <f>--EXACT(A636,"L00630")</f>
        <v>1</v>
      </c>
    </row>
    <row r="637" spans="1:27" ht="18.95" customHeight="1">
      <c r="A637" s="1" t="str">
        <f>IF(Raw!A637="","",Raw!A637)</f>
        <v>L00631</v>
      </c>
      <c r="B637" s="1" t="str">
        <f>IF(Raw!B637="","",Raw!B637)</f>
        <v>T00316</v>
      </c>
      <c r="C637" s="1" t="str">
        <f>IF(Raw!C637="","",Raw!C637)</f>
        <v>2026-02-15</v>
      </c>
      <c r="D637" s="1">
        <f t="shared" si="72"/>
        <v>2026</v>
      </c>
      <c r="E637" s="1">
        <f>IFERROR(IF(AND(LEN(C637)=10,MID(C637,5,1)="-",MID(C637,8,1)="-"),VALUE(MID(C637,6,2)),IF(AND(LEN(C637)=11,MID(C637,3,1)="-",MID(C637,7,1)="-"),MATCH(UPPER(MID(C637,4,3)),Guide!$D$7:$D$18,0),0)),0)</f>
        <v>2</v>
      </c>
      <c r="F637" s="1">
        <f t="shared" si="73"/>
        <v>15</v>
      </c>
      <c r="G637" s="9">
        <f t="shared" si="74"/>
        <v>46068</v>
      </c>
      <c r="H637" s="1" t="str">
        <f>IF(Raw!D637="","",Raw!D637)</f>
        <v>P-A</v>
      </c>
      <c r="I637" s="1" t="str">
        <f>IFERROR(IF(EXACT(H637,INDEX(Guide!$A$7:$A$9,MATCH(SUBSTITUTE(SUBSTITUTE(SUBSTITUTE(H637,"~","~~"),"*","~*"),"?","~?"),Guide!$A$7:$A$9,0))),INDEX(Guide!$B$7:$B$9,MATCH(SUBSTITUTE(SUBSTITUTE(SUBSTITUTE(H637,"~","~~"),"*","~*"),"?","~?"),Guide!$A$7:$A$9,0)),""),"")</f>
        <v>Accessories</v>
      </c>
      <c r="J637" s="1" t="str">
        <f>IF(TRIM(Raw!E637)="",I637,IF(UPPER(TRIM(Raw!E637))=UPPER(I637),I637,""))</f>
        <v>Accessories</v>
      </c>
      <c r="K637" s="1" t="str">
        <f>IF(Raw!F637="","",Raw!F637)</f>
        <v>sale</v>
      </c>
      <c r="L637" s="1" t="str">
        <f>IF(LEFT(TRIM(Raw!G637),2)="-$","-"&amp;MID(TRIM(Raw!G637),3,99),IF(LEFT(TRIM(Raw!G637),1)="$",MID(TRIM(Raw!G637),2,99),TRIM(Raw!G637)))</f>
        <v>118.09</v>
      </c>
      <c r="M637" s="1">
        <f t="shared" si="75"/>
        <v>118.09</v>
      </c>
      <c r="N637" s="10">
        <f t="shared" si="76"/>
        <v>11809</v>
      </c>
      <c r="O637" s="1" t="b">
        <f>IFERROR(IF(ISNUMBER(Raw!G637),TRUE,OR(EXACT(L637,TEXT(M637,"0.00")),EXACT(L637,TEXT(M637,"#,##0.00")))),FALSE)</f>
        <v>1</v>
      </c>
      <c r="P637" s="1" t="str">
        <f>LEN(IF(Raw!A637="","",Raw!A637))&amp;":"&amp;IF(Raw!A637="","",Raw!A637)&amp;"|"&amp;LEN(IF(Raw!B637="","",Raw!B637))&amp;":"&amp;IF(Raw!B637="","",Raw!B637)&amp;"|"&amp;LEN(IF(Raw!C637="","",Raw!C637))&amp;":"&amp;IF(Raw!C637="","",Raw!C637)&amp;"|"&amp;LEN(IF(Raw!D637="","",Raw!D637))&amp;":"&amp;IF(Raw!D637="","",Raw!D637)&amp;"|"&amp;LEN(IF(Raw!E637="","",Raw!E637))&amp;":"&amp;IF(Raw!E637="","",Raw!E637)&amp;"|"&amp;LEN(IF(Raw!F637="","",Raw!F637))&amp;":"&amp;IF(Raw!F637="","",Raw!F637)&amp;"|"&amp;LEN(IF(Raw!G637="","",Raw!G637))&amp;":"&amp;IF(Raw!G637="","",Raw!G637)</f>
        <v>6:L00631|6:T00316|10:2026-02-15|3:P-A|11:Accessories|4:sale|6:118.09</v>
      </c>
      <c r="Q637" s="1">
        <f>1</f>
        <v>1</v>
      </c>
      <c r="R637" s="1" t="b">
        <f>FALSE</f>
        <v>0</v>
      </c>
      <c r="S637" s="1">
        <f>1</f>
        <v>1</v>
      </c>
      <c r="T637" s="1" t="str">
        <f>IF(AND(Raw!A637="",Raw!B637="",Raw!C637="",Raw!D637="",Raw!E637="",Raw!F637="",Raw!G637=""),"UNUSED",IF(A637="","missing line ID",IF(B637="","missing transaction ID",IF(G637="",IF(C637="","missing date","invalid date"),IF(I637="","unknown product",IF(J637="","conflicting category",IF(NOT(OR(EXACT(K637,"sale"),EXACT(K637,"refund"))),"unknown event",IF(OR(N637="",NOT(O637)),"invalid amount",IF(OR(AND(K637="sale",N637&lt;=0),AND(K637="refund",N637&gt;=0)),"invalid sign","")))))))))</f>
        <v/>
      </c>
      <c r="U637" s="1" t="str">
        <f t="shared" si="77"/>
        <v>INCLUDED</v>
      </c>
      <c r="V637" s="1" t="str">
        <f t="shared" si="78"/>
        <v>2026-02</v>
      </c>
      <c r="W637" s="1">
        <f>IF(AND(U637="INCLUDED",X637&gt;0,EXACT(A637,'AI output'!A637)),1,0)</f>
        <v>1</v>
      </c>
      <c r="X637" s="1">
        <f>637</f>
        <v>637</v>
      </c>
      <c r="Y637" s="1">
        <f>IF(AND(U637="INCLUDED",W637=1),--(NOT(EXACT(A637,'AI output'!A637)))+--(NOT(EXACT(B637,'AI output'!B637)))+--(NOT(EXACT(TEXT(G637,"yyyy-mm-dd"),'AI output'!C637)))+--(NOT(EXACT(H637,'AI output'!D637)))+--(NOT(EXACT(J637,'AI output'!E637)))+--(NOT(EXACT(K637,'AI output'!F637)))+--(N637&lt;&gt;'AI output'!L637)+--(NOT('AI output'!M637)),0)</f>
        <v>0</v>
      </c>
      <c r="Z637" s="1">
        <f t="shared" si="79"/>
        <v>0</v>
      </c>
      <c r="AA637" s="1">
        <f>--EXACT(A637,"L00631")</f>
        <v>1</v>
      </c>
    </row>
    <row r="638" spans="1:27" ht="18.95" customHeight="1">
      <c r="A638" s="1" t="str">
        <f>IF(Raw!A638="","",Raw!A638)</f>
        <v>L00632</v>
      </c>
      <c r="B638" s="1" t="str">
        <f>IF(Raw!B638="","",Raw!B638)</f>
        <v>T00316</v>
      </c>
      <c r="C638" s="1" t="str">
        <f>IF(Raw!C638="","",Raw!C638)</f>
        <v>2026-02-15</v>
      </c>
      <c r="D638" s="1">
        <f t="shared" si="72"/>
        <v>2026</v>
      </c>
      <c r="E638" s="1">
        <f>IFERROR(IF(AND(LEN(C638)=10,MID(C638,5,1)="-",MID(C638,8,1)="-"),VALUE(MID(C638,6,2)),IF(AND(LEN(C638)=11,MID(C638,3,1)="-",MID(C638,7,1)="-"),MATCH(UPPER(MID(C638,4,3)),Guide!$D$7:$D$18,0),0)),0)</f>
        <v>2</v>
      </c>
      <c r="F638" s="1">
        <f t="shared" si="73"/>
        <v>15</v>
      </c>
      <c r="G638" s="9">
        <f t="shared" si="74"/>
        <v>46068</v>
      </c>
      <c r="H638" s="1" t="str">
        <f>IF(Raw!D638="","",Raw!D638)</f>
        <v>P-H</v>
      </c>
      <c r="I638" s="1" t="str">
        <f>IFERROR(IF(EXACT(H638,INDEX(Guide!$A$7:$A$9,MATCH(SUBSTITUTE(SUBSTITUTE(SUBSTITUTE(H638,"~","~~"),"*","~*"),"?","~?"),Guide!$A$7:$A$9,0))),INDEX(Guide!$B$7:$B$9,MATCH(SUBSTITUTE(SUBSTITUTE(SUBSTITUTE(H638,"~","~~"),"*","~*"),"?","~?"),Guide!$A$7:$A$9,0)),""),"")</f>
        <v>Home</v>
      </c>
      <c r="J638" s="1" t="str">
        <f>IF(TRIM(Raw!E638)="",I638,IF(UPPER(TRIM(Raw!E638))=UPPER(I638),I638,""))</f>
        <v>Home</v>
      </c>
      <c r="K638" s="1" t="str">
        <f>IF(Raw!F638="","",Raw!F638)</f>
        <v>sale</v>
      </c>
      <c r="L638" s="1" t="str">
        <f>IF(LEFT(TRIM(Raw!G638),2)="-$","-"&amp;MID(TRIM(Raw!G638),3,99),IF(LEFT(TRIM(Raw!G638),1)="$",MID(TRIM(Raw!G638),2,99),TRIM(Raw!G638)))</f>
        <v>355.38</v>
      </c>
      <c r="M638" s="1">
        <f t="shared" si="75"/>
        <v>355.38</v>
      </c>
      <c r="N638" s="10">
        <f t="shared" si="76"/>
        <v>35538</v>
      </c>
      <c r="O638" s="1" t="b">
        <f>IFERROR(IF(ISNUMBER(Raw!G638),TRUE,OR(EXACT(L638,TEXT(M638,"0.00")),EXACT(L638,TEXT(M638,"#,##0.00")))),FALSE)</f>
        <v>1</v>
      </c>
      <c r="P638" s="1" t="str">
        <f>LEN(IF(Raw!A638="","",Raw!A638))&amp;":"&amp;IF(Raw!A638="","",Raw!A638)&amp;"|"&amp;LEN(IF(Raw!B638="","",Raw!B638))&amp;":"&amp;IF(Raw!B638="","",Raw!B638)&amp;"|"&amp;LEN(IF(Raw!C638="","",Raw!C638))&amp;":"&amp;IF(Raw!C638="","",Raw!C638)&amp;"|"&amp;LEN(IF(Raw!D638="","",Raw!D638))&amp;":"&amp;IF(Raw!D638="","",Raw!D638)&amp;"|"&amp;LEN(IF(Raw!E638="","",Raw!E638))&amp;":"&amp;IF(Raw!E638="","",Raw!E638)&amp;"|"&amp;LEN(IF(Raw!F638="","",Raw!F638))&amp;":"&amp;IF(Raw!F638="","",Raw!F638)&amp;"|"&amp;LEN(IF(Raw!G638="","",Raw!G638))&amp;":"&amp;IF(Raw!G638="","",Raw!G638)</f>
        <v>6:L00632|6:T00316|10:2026-02-15|3:P-H|4:Home|4:sale|6:355.38</v>
      </c>
      <c r="Q638" s="1">
        <f>1</f>
        <v>1</v>
      </c>
      <c r="R638" s="1" t="b">
        <f>FALSE</f>
        <v>0</v>
      </c>
      <c r="S638" s="1">
        <f>1</f>
        <v>1</v>
      </c>
      <c r="T638" s="1" t="str">
        <f>IF(AND(Raw!A638="",Raw!B638="",Raw!C638="",Raw!D638="",Raw!E638="",Raw!F638="",Raw!G638=""),"UNUSED",IF(A638="","missing line ID",IF(B638="","missing transaction ID",IF(G638="",IF(C638="","missing date","invalid date"),IF(I638="","unknown product",IF(J638="","conflicting category",IF(NOT(OR(EXACT(K638,"sale"),EXACT(K638,"refund"))),"unknown event",IF(OR(N638="",NOT(O638)),"invalid amount",IF(OR(AND(K638="sale",N638&lt;=0),AND(K638="refund",N638&gt;=0)),"invalid sign","")))))))))</f>
        <v/>
      </c>
      <c r="U638" s="1" t="str">
        <f t="shared" si="77"/>
        <v>INCLUDED</v>
      </c>
      <c r="V638" s="1" t="str">
        <f t="shared" si="78"/>
        <v>2026-02</v>
      </c>
      <c r="W638" s="1">
        <f>IF(AND(U638="INCLUDED",X638&gt;0,EXACT(A638,'AI output'!A638)),1,0)</f>
        <v>1</v>
      </c>
      <c r="X638" s="1">
        <f>638</f>
        <v>638</v>
      </c>
      <c r="Y638" s="1">
        <f>IF(AND(U638="INCLUDED",W638=1),--(NOT(EXACT(A638,'AI output'!A638)))+--(NOT(EXACT(B638,'AI output'!B638)))+--(NOT(EXACT(TEXT(G638,"yyyy-mm-dd"),'AI output'!C638)))+--(NOT(EXACT(H638,'AI output'!D638)))+--(NOT(EXACT(J638,'AI output'!E638)))+--(NOT(EXACT(K638,'AI output'!F638)))+--(N638&lt;&gt;'AI output'!L638)+--(NOT('AI output'!M638)),0)</f>
        <v>0</v>
      </c>
      <c r="Z638" s="1">
        <f t="shared" si="79"/>
        <v>0</v>
      </c>
      <c r="AA638" s="1">
        <f>--EXACT(A638,"L00632")</f>
        <v>1</v>
      </c>
    </row>
    <row r="639" spans="1:27" ht="18.95" customHeight="1">
      <c r="A639" s="1" t="str">
        <f>IF(Raw!A639="","",Raw!A639)</f>
        <v>L00633</v>
      </c>
      <c r="B639" s="1" t="str">
        <f>IF(Raw!B639="","",Raw!B639)</f>
        <v>T00317</v>
      </c>
      <c r="C639" s="1" t="str">
        <f>IF(Raw!C639="","",Raw!C639)</f>
        <v>2026-02-22</v>
      </c>
      <c r="D639" s="1">
        <f t="shared" si="72"/>
        <v>2026</v>
      </c>
      <c r="E639" s="1">
        <f>IFERROR(IF(AND(LEN(C639)=10,MID(C639,5,1)="-",MID(C639,8,1)="-"),VALUE(MID(C639,6,2)),IF(AND(LEN(C639)=11,MID(C639,3,1)="-",MID(C639,7,1)="-"),MATCH(UPPER(MID(C639,4,3)),Guide!$D$7:$D$18,0),0)),0)</f>
        <v>2</v>
      </c>
      <c r="F639" s="1">
        <f t="shared" si="73"/>
        <v>22</v>
      </c>
      <c r="G639" s="9">
        <f t="shared" si="74"/>
        <v>46075</v>
      </c>
      <c r="H639" s="1" t="str">
        <f>IF(Raw!D639="","",Raw!D639)</f>
        <v>P-O</v>
      </c>
      <c r="I639" s="1" t="str">
        <f>IFERROR(IF(EXACT(H639,INDEX(Guide!$A$7:$A$9,MATCH(SUBSTITUTE(SUBSTITUTE(SUBSTITUTE(H639,"~","~~"),"*","~*"),"?","~?"),Guide!$A$7:$A$9,0))),INDEX(Guide!$B$7:$B$9,MATCH(SUBSTITUTE(SUBSTITUTE(SUBSTITUTE(H639,"~","~~"),"*","~*"),"?","~?"),Guide!$A$7:$A$9,0)),""),"")</f>
        <v>Office</v>
      </c>
      <c r="J639" s="1" t="str">
        <f>IF(TRIM(Raw!E639)="",I639,IF(UPPER(TRIM(Raw!E639))=UPPER(I639),I639,""))</f>
        <v>Office</v>
      </c>
      <c r="K639" s="1" t="str">
        <f>IF(Raw!F639="","",Raw!F639)</f>
        <v>sale</v>
      </c>
      <c r="L639" s="1" t="str">
        <f>IF(LEFT(TRIM(Raw!G639),2)="-$","-"&amp;MID(TRIM(Raw!G639),3,99),IF(LEFT(TRIM(Raw!G639),1)="$",MID(TRIM(Raw!G639),2,99),TRIM(Raw!G639)))</f>
        <v>594.15</v>
      </c>
      <c r="M639" s="1">
        <f t="shared" si="75"/>
        <v>594.15</v>
      </c>
      <c r="N639" s="10">
        <f t="shared" si="76"/>
        <v>59415</v>
      </c>
      <c r="O639" s="1" t="b">
        <f>IFERROR(IF(ISNUMBER(Raw!G639),TRUE,OR(EXACT(L639,TEXT(M639,"0.00")),EXACT(L639,TEXT(M639,"#,##0.00")))),FALSE)</f>
        <v>1</v>
      </c>
      <c r="P639" s="1" t="str">
        <f>LEN(IF(Raw!A639="","",Raw!A639))&amp;":"&amp;IF(Raw!A639="","",Raw!A639)&amp;"|"&amp;LEN(IF(Raw!B639="","",Raw!B639))&amp;":"&amp;IF(Raw!B639="","",Raw!B639)&amp;"|"&amp;LEN(IF(Raw!C639="","",Raw!C639))&amp;":"&amp;IF(Raw!C639="","",Raw!C639)&amp;"|"&amp;LEN(IF(Raw!D639="","",Raw!D639))&amp;":"&amp;IF(Raw!D639="","",Raw!D639)&amp;"|"&amp;LEN(IF(Raw!E639="","",Raw!E639))&amp;":"&amp;IF(Raw!E639="","",Raw!E639)&amp;"|"&amp;LEN(IF(Raw!F639="","",Raw!F639))&amp;":"&amp;IF(Raw!F639="","",Raw!F639)&amp;"|"&amp;LEN(IF(Raw!G639="","",Raw!G639))&amp;":"&amp;IF(Raw!G639="","",Raw!G639)</f>
        <v>6:L00633|6:T00317|10:2026-02-22|3:P-O|6:Office|4:sale|6:594.15</v>
      </c>
      <c r="Q639" s="1">
        <f>1</f>
        <v>1</v>
      </c>
      <c r="R639" s="1" t="b">
        <f>FALSE</f>
        <v>0</v>
      </c>
      <c r="S639" s="1">
        <f>1</f>
        <v>1</v>
      </c>
      <c r="T639" s="1" t="str">
        <f>IF(AND(Raw!A639="",Raw!B639="",Raw!C639="",Raw!D639="",Raw!E639="",Raw!F639="",Raw!G639=""),"UNUSED",IF(A639="","missing line ID",IF(B639="","missing transaction ID",IF(G639="",IF(C639="","missing date","invalid date"),IF(I639="","unknown product",IF(J639="","conflicting category",IF(NOT(OR(EXACT(K639,"sale"),EXACT(K639,"refund"))),"unknown event",IF(OR(N639="",NOT(O639)),"invalid amount",IF(OR(AND(K639="sale",N639&lt;=0),AND(K639="refund",N639&gt;=0)),"invalid sign","")))))))))</f>
        <v/>
      </c>
      <c r="U639" s="1" t="str">
        <f t="shared" si="77"/>
        <v>INCLUDED</v>
      </c>
      <c r="V639" s="1" t="str">
        <f t="shared" si="78"/>
        <v>2026-02</v>
      </c>
      <c r="W639" s="1">
        <f>IF(AND(U639="INCLUDED",X639&gt;0,EXACT(A639,'AI output'!A639)),1,0)</f>
        <v>1</v>
      </c>
      <c r="X639" s="1">
        <f>639</f>
        <v>639</v>
      </c>
      <c r="Y639" s="1">
        <f>IF(AND(U639="INCLUDED",W639=1),--(NOT(EXACT(A639,'AI output'!A639)))+--(NOT(EXACT(B639,'AI output'!B639)))+--(NOT(EXACT(TEXT(G639,"yyyy-mm-dd"),'AI output'!C639)))+--(NOT(EXACT(H639,'AI output'!D639)))+--(NOT(EXACT(J639,'AI output'!E639)))+--(NOT(EXACT(K639,'AI output'!F639)))+--(N639&lt;&gt;'AI output'!L639)+--(NOT('AI output'!M639)),0)</f>
        <v>0</v>
      </c>
      <c r="Z639" s="1">
        <f t="shared" si="79"/>
        <v>0</v>
      </c>
      <c r="AA639" s="1">
        <f>--EXACT(A639,"L00633")</f>
        <v>1</v>
      </c>
    </row>
    <row r="640" spans="1:27" ht="18.95" customHeight="1">
      <c r="A640" s="1" t="str">
        <f>IF(Raw!A640="","",Raw!A640)</f>
        <v>L00634</v>
      </c>
      <c r="B640" s="1" t="str">
        <f>IF(Raw!B640="","",Raw!B640)</f>
        <v>T00317</v>
      </c>
      <c r="C640" s="1" t="str">
        <f>IF(Raw!C640="","",Raw!C640)</f>
        <v>2026-02-22</v>
      </c>
      <c r="D640" s="1">
        <f t="shared" si="72"/>
        <v>2026</v>
      </c>
      <c r="E640" s="1">
        <f>IFERROR(IF(AND(LEN(C640)=10,MID(C640,5,1)="-",MID(C640,8,1)="-"),VALUE(MID(C640,6,2)),IF(AND(LEN(C640)=11,MID(C640,3,1)="-",MID(C640,7,1)="-"),MATCH(UPPER(MID(C640,4,3)),Guide!$D$7:$D$18,0),0)),0)</f>
        <v>2</v>
      </c>
      <c r="F640" s="1">
        <f t="shared" si="73"/>
        <v>22</v>
      </c>
      <c r="G640" s="9">
        <f t="shared" si="74"/>
        <v>46075</v>
      </c>
      <c r="H640" s="1" t="str">
        <f>IF(Raw!D640="","",Raw!D640)</f>
        <v>P-A</v>
      </c>
      <c r="I640" s="1" t="str">
        <f>IFERROR(IF(EXACT(H640,INDEX(Guide!$A$7:$A$9,MATCH(SUBSTITUTE(SUBSTITUTE(SUBSTITUTE(H640,"~","~~"),"*","~*"),"?","~?"),Guide!$A$7:$A$9,0))),INDEX(Guide!$B$7:$B$9,MATCH(SUBSTITUTE(SUBSTITUTE(SUBSTITUTE(H640,"~","~~"),"*","~*"),"?","~?"),Guide!$A$7:$A$9,0)),""),"")</f>
        <v>Accessories</v>
      </c>
      <c r="J640" s="1" t="str">
        <f>IF(TRIM(Raw!E640)="",I640,IF(UPPER(TRIM(Raw!E640))=UPPER(I640),I640,""))</f>
        <v>Accessories</v>
      </c>
      <c r="K640" s="1" t="str">
        <f>IF(Raw!F640="","",Raw!F640)</f>
        <v>sale</v>
      </c>
      <c r="L640" s="1" t="str">
        <f>IF(LEFT(TRIM(Raw!G640),2)="-$","-"&amp;MID(TRIM(Raw!G640),3,99),IF(LEFT(TRIM(Raw!G640),1)="$",MID(TRIM(Raw!G640),2,99),TRIM(Raw!G640)))</f>
        <v>238.40</v>
      </c>
      <c r="M640" s="1">
        <f t="shared" si="75"/>
        <v>238.4</v>
      </c>
      <c r="N640" s="10">
        <f t="shared" si="76"/>
        <v>23840</v>
      </c>
      <c r="O640" s="1" t="b">
        <f>IFERROR(IF(ISNUMBER(Raw!G640),TRUE,OR(EXACT(L640,TEXT(M640,"0.00")),EXACT(L640,TEXT(M640,"#,##0.00")))),FALSE)</f>
        <v>1</v>
      </c>
      <c r="P640" s="1" t="str">
        <f>LEN(IF(Raw!A640="","",Raw!A640))&amp;":"&amp;IF(Raw!A640="","",Raw!A640)&amp;"|"&amp;LEN(IF(Raw!B640="","",Raw!B640))&amp;":"&amp;IF(Raw!B640="","",Raw!B640)&amp;"|"&amp;LEN(IF(Raw!C640="","",Raw!C640))&amp;":"&amp;IF(Raw!C640="","",Raw!C640)&amp;"|"&amp;LEN(IF(Raw!D640="","",Raw!D640))&amp;":"&amp;IF(Raw!D640="","",Raw!D640)&amp;"|"&amp;LEN(IF(Raw!E640="","",Raw!E640))&amp;":"&amp;IF(Raw!E640="","",Raw!E640)&amp;"|"&amp;LEN(IF(Raw!F640="","",Raw!F640))&amp;":"&amp;IF(Raw!F640="","",Raw!F640)&amp;"|"&amp;LEN(IF(Raw!G640="","",Raw!G640))&amp;":"&amp;IF(Raw!G640="","",Raw!G640)</f>
        <v>6:L00634|6:T00317|10:2026-02-22|3:P-A|11:Accessories|4:sale|6:238.40</v>
      </c>
      <c r="Q640" s="1">
        <f>1</f>
        <v>1</v>
      </c>
      <c r="R640" s="1" t="b">
        <f>FALSE</f>
        <v>0</v>
      </c>
      <c r="S640" s="1">
        <f>1</f>
        <v>1</v>
      </c>
      <c r="T640" s="1" t="str">
        <f>IF(AND(Raw!A640="",Raw!B640="",Raw!C640="",Raw!D640="",Raw!E640="",Raw!F640="",Raw!G640=""),"UNUSED",IF(A640="","missing line ID",IF(B640="","missing transaction ID",IF(G640="",IF(C640="","missing date","invalid date"),IF(I640="","unknown product",IF(J640="","conflicting category",IF(NOT(OR(EXACT(K640,"sale"),EXACT(K640,"refund"))),"unknown event",IF(OR(N640="",NOT(O640)),"invalid amount",IF(OR(AND(K640="sale",N640&lt;=0),AND(K640="refund",N640&gt;=0)),"invalid sign","")))))))))</f>
        <v/>
      </c>
      <c r="U640" s="1" t="str">
        <f t="shared" si="77"/>
        <v>INCLUDED</v>
      </c>
      <c r="V640" s="1" t="str">
        <f t="shared" si="78"/>
        <v>2026-02</v>
      </c>
      <c r="W640" s="1">
        <f>IF(AND(U640="INCLUDED",X640&gt;0,EXACT(A640,'AI output'!A640)),1,0)</f>
        <v>1</v>
      </c>
      <c r="X640" s="1">
        <f>640</f>
        <v>640</v>
      </c>
      <c r="Y640" s="1">
        <f>IF(AND(U640="INCLUDED",W640=1),--(NOT(EXACT(A640,'AI output'!A640)))+--(NOT(EXACT(B640,'AI output'!B640)))+--(NOT(EXACT(TEXT(G640,"yyyy-mm-dd"),'AI output'!C640)))+--(NOT(EXACT(H640,'AI output'!D640)))+--(NOT(EXACT(J640,'AI output'!E640)))+--(NOT(EXACT(K640,'AI output'!F640)))+--(N640&lt;&gt;'AI output'!L640)+--(NOT('AI output'!M640)),0)</f>
        <v>0</v>
      </c>
      <c r="Z640" s="1">
        <f t="shared" si="79"/>
        <v>0</v>
      </c>
      <c r="AA640" s="1">
        <f>--EXACT(A640,"L00634")</f>
        <v>1</v>
      </c>
    </row>
    <row r="641" spans="1:27" ht="18.95" customHeight="1">
      <c r="A641" s="1" t="str">
        <f>IF(Raw!A641="","",Raw!A641)</f>
        <v>L00635</v>
      </c>
      <c r="B641" s="1" t="str">
        <f>IF(Raw!B641="","",Raw!B641)</f>
        <v>T00318</v>
      </c>
      <c r="C641" s="1" t="str">
        <f>IF(Raw!C641="","",Raw!C641)</f>
        <v>2026-03-01</v>
      </c>
      <c r="D641" s="1">
        <f t="shared" si="72"/>
        <v>2026</v>
      </c>
      <c r="E641" s="1">
        <f>IFERROR(IF(AND(LEN(C641)=10,MID(C641,5,1)="-",MID(C641,8,1)="-"),VALUE(MID(C641,6,2)),IF(AND(LEN(C641)=11,MID(C641,3,1)="-",MID(C641,7,1)="-"),MATCH(UPPER(MID(C641,4,3)),Guide!$D$7:$D$18,0),0)),0)</f>
        <v>3</v>
      </c>
      <c r="F641" s="1">
        <f t="shared" si="73"/>
        <v>1</v>
      </c>
      <c r="G641" s="9">
        <f t="shared" si="74"/>
        <v>46082</v>
      </c>
      <c r="H641" s="1" t="str">
        <f>IF(Raw!D641="","",Raw!D641)</f>
        <v>P-H</v>
      </c>
      <c r="I641" s="1" t="str">
        <f>IFERROR(IF(EXACT(H641,INDEX(Guide!$A$7:$A$9,MATCH(SUBSTITUTE(SUBSTITUTE(SUBSTITUTE(H641,"~","~~"),"*","~*"),"?","~?"),Guide!$A$7:$A$9,0))),INDEX(Guide!$B$7:$B$9,MATCH(SUBSTITUTE(SUBSTITUTE(SUBSTITUTE(H641,"~","~~"),"*","~*"),"?","~?"),Guide!$A$7:$A$9,0)),""),"")</f>
        <v>Home</v>
      </c>
      <c r="J641" s="1" t="str">
        <f>IF(TRIM(Raw!E641)="",I641,IF(UPPER(TRIM(Raw!E641))=UPPER(I641),I641,""))</f>
        <v>Home</v>
      </c>
      <c r="K641" s="1" t="str">
        <f>IF(Raw!F641="","",Raw!F641)</f>
        <v>sale</v>
      </c>
      <c r="L641" s="1" t="str">
        <f>IF(LEFT(TRIM(Raw!G641),2)="-$","-"&amp;MID(TRIM(Raw!G641),3,99),IF(LEFT(TRIM(Raw!G641),1)="$",MID(TRIM(Raw!G641),2,99),TRIM(Raw!G641)))</f>
        <v>478.28</v>
      </c>
      <c r="M641" s="1">
        <f t="shared" si="75"/>
        <v>478.28</v>
      </c>
      <c r="N641" s="10">
        <f t="shared" si="76"/>
        <v>47828</v>
      </c>
      <c r="O641" s="1" t="b">
        <f>IFERROR(IF(ISNUMBER(Raw!G641),TRUE,OR(EXACT(L641,TEXT(M641,"0.00")),EXACT(L641,TEXT(M641,"#,##0.00")))),FALSE)</f>
        <v>1</v>
      </c>
      <c r="P641" s="1" t="str">
        <f>LEN(IF(Raw!A641="","",Raw!A641))&amp;":"&amp;IF(Raw!A641="","",Raw!A641)&amp;"|"&amp;LEN(IF(Raw!B641="","",Raw!B641))&amp;":"&amp;IF(Raw!B641="","",Raw!B641)&amp;"|"&amp;LEN(IF(Raw!C641="","",Raw!C641))&amp;":"&amp;IF(Raw!C641="","",Raw!C641)&amp;"|"&amp;LEN(IF(Raw!D641="","",Raw!D641))&amp;":"&amp;IF(Raw!D641="","",Raw!D641)&amp;"|"&amp;LEN(IF(Raw!E641="","",Raw!E641))&amp;":"&amp;IF(Raw!E641="","",Raw!E641)&amp;"|"&amp;LEN(IF(Raw!F641="","",Raw!F641))&amp;":"&amp;IF(Raw!F641="","",Raw!F641)&amp;"|"&amp;LEN(IF(Raw!G641="","",Raw!G641))&amp;":"&amp;IF(Raw!G641="","",Raw!G641)</f>
        <v>6:L00635|6:T00318|10:2026-03-01|3:P-H|4:Home|4:sale|6:478.28</v>
      </c>
      <c r="Q641" s="1">
        <f>1</f>
        <v>1</v>
      </c>
      <c r="R641" s="1" t="b">
        <f>FALSE</f>
        <v>0</v>
      </c>
      <c r="S641" s="1">
        <f>1</f>
        <v>1</v>
      </c>
      <c r="T641" s="1" t="str">
        <f>IF(AND(Raw!A641="",Raw!B641="",Raw!C641="",Raw!D641="",Raw!E641="",Raw!F641="",Raw!G641=""),"UNUSED",IF(A641="","missing line ID",IF(B641="","missing transaction ID",IF(G641="",IF(C641="","missing date","invalid date"),IF(I641="","unknown product",IF(J641="","conflicting category",IF(NOT(OR(EXACT(K641,"sale"),EXACT(K641,"refund"))),"unknown event",IF(OR(N641="",NOT(O641)),"invalid amount",IF(OR(AND(K641="sale",N641&lt;=0),AND(K641="refund",N641&gt;=0)),"invalid sign","")))))))))</f>
        <v/>
      </c>
      <c r="U641" s="1" t="str">
        <f t="shared" si="77"/>
        <v>INCLUDED</v>
      </c>
      <c r="V641" s="1" t="str">
        <f t="shared" si="78"/>
        <v>2026-03</v>
      </c>
      <c r="W641" s="1">
        <f>IF(AND(U641="INCLUDED",X641&gt;0,EXACT(A641,'AI output'!A641)),1,0)</f>
        <v>1</v>
      </c>
      <c r="X641" s="1">
        <f>641</f>
        <v>641</v>
      </c>
      <c r="Y641" s="1">
        <f>IF(AND(U641="INCLUDED",W641=1),--(NOT(EXACT(A641,'AI output'!A641)))+--(NOT(EXACT(B641,'AI output'!B641)))+--(NOT(EXACT(TEXT(G641,"yyyy-mm-dd"),'AI output'!C641)))+--(NOT(EXACT(H641,'AI output'!D641)))+--(NOT(EXACT(J641,'AI output'!E641)))+--(NOT(EXACT(K641,'AI output'!F641)))+--(N641&lt;&gt;'AI output'!L641)+--(NOT('AI output'!M641)),0)</f>
        <v>0</v>
      </c>
      <c r="Z641" s="1">
        <f t="shared" si="79"/>
        <v>0</v>
      </c>
      <c r="AA641" s="1">
        <f>--EXACT(A641,"L00635")</f>
        <v>1</v>
      </c>
    </row>
    <row r="642" spans="1:27" ht="18.95" customHeight="1">
      <c r="A642" s="1" t="str">
        <f>IF(Raw!A642="","",Raw!A642)</f>
        <v>L00636</v>
      </c>
      <c r="B642" s="1" t="str">
        <f>IF(Raw!B642="","",Raw!B642)</f>
        <v>T00318</v>
      </c>
      <c r="C642" s="1" t="str">
        <f>IF(Raw!C642="","",Raw!C642)</f>
        <v>2026-03-01</v>
      </c>
      <c r="D642" s="1">
        <f t="shared" si="72"/>
        <v>2026</v>
      </c>
      <c r="E642" s="1">
        <f>IFERROR(IF(AND(LEN(C642)=10,MID(C642,5,1)="-",MID(C642,8,1)="-"),VALUE(MID(C642,6,2)),IF(AND(LEN(C642)=11,MID(C642,3,1)="-",MID(C642,7,1)="-"),MATCH(UPPER(MID(C642,4,3)),Guide!$D$7:$D$18,0),0)),0)</f>
        <v>3</v>
      </c>
      <c r="F642" s="1">
        <f t="shared" si="73"/>
        <v>1</v>
      </c>
      <c r="G642" s="9">
        <f t="shared" si="74"/>
        <v>46082</v>
      </c>
      <c r="H642" s="1" t="str">
        <f>IF(Raw!D642="","",Raw!D642)</f>
        <v>P-O</v>
      </c>
      <c r="I642" s="1" t="str">
        <f>IFERROR(IF(EXACT(H642,INDEX(Guide!$A$7:$A$9,MATCH(SUBSTITUTE(SUBSTITUTE(SUBSTITUTE(H642,"~","~~"),"*","~*"),"?","~?"),Guide!$A$7:$A$9,0))),INDEX(Guide!$B$7:$B$9,MATCH(SUBSTITUTE(SUBSTITUTE(SUBSTITUTE(H642,"~","~~"),"*","~*"),"?","~?"),Guide!$A$7:$A$9,0)),""),"")</f>
        <v>Office</v>
      </c>
      <c r="J642" s="1" t="str">
        <f>IF(TRIM(Raw!E642)="",I642,IF(UPPER(TRIM(Raw!E642))=UPPER(I642),I642,""))</f>
        <v>Office</v>
      </c>
      <c r="K642" s="1" t="str">
        <f>IF(Raw!F642="","",Raw!F642)</f>
        <v>sale</v>
      </c>
      <c r="L642" s="1" t="str">
        <f>IF(LEFT(TRIM(Raw!G642),2)="-$","-"&amp;MID(TRIM(Raw!G642),3,99),IF(LEFT(TRIM(Raw!G642),1)="$",MID(TRIM(Raw!G642),2,99),TRIM(Raw!G642)))</f>
        <v>119.94</v>
      </c>
      <c r="M642" s="1">
        <f t="shared" si="75"/>
        <v>119.94</v>
      </c>
      <c r="N642" s="10">
        <f t="shared" si="76"/>
        <v>11994</v>
      </c>
      <c r="O642" s="1" t="b">
        <f>IFERROR(IF(ISNUMBER(Raw!G642),TRUE,OR(EXACT(L642,TEXT(M642,"0.00")),EXACT(L642,TEXT(M642,"#,##0.00")))),FALSE)</f>
        <v>1</v>
      </c>
      <c r="P642" s="1" t="str">
        <f>LEN(IF(Raw!A642="","",Raw!A642))&amp;":"&amp;IF(Raw!A642="","",Raw!A642)&amp;"|"&amp;LEN(IF(Raw!B642="","",Raw!B642))&amp;":"&amp;IF(Raw!B642="","",Raw!B642)&amp;"|"&amp;LEN(IF(Raw!C642="","",Raw!C642))&amp;":"&amp;IF(Raw!C642="","",Raw!C642)&amp;"|"&amp;LEN(IF(Raw!D642="","",Raw!D642))&amp;":"&amp;IF(Raw!D642="","",Raw!D642)&amp;"|"&amp;LEN(IF(Raw!E642="","",Raw!E642))&amp;":"&amp;IF(Raw!E642="","",Raw!E642)&amp;"|"&amp;LEN(IF(Raw!F642="","",Raw!F642))&amp;":"&amp;IF(Raw!F642="","",Raw!F642)&amp;"|"&amp;LEN(IF(Raw!G642="","",Raw!G642))&amp;":"&amp;IF(Raw!G642="","",Raw!G642)</f>
        <v>6:L00636|6:T00318|10:2026-03-01|3:P-O|6:Office|4:sale|6:119.94</v>
      </c>
      <c r="Q642" s="1">
        <f>1</f>
        <v>1</v>
      </c>
      <c r="R642" s="1" t="b">
        <f>FALSE</f>
        <v>0</v>
      </c>
      <c r="S642" s="1">
        <f>1</f>
        <v>1</v>
      </c>
      <c r="T642" s="1" t="str">
        <f>IF(AND(Raw!A642="",Raw!B642="",Raw!C642="",Raw!D642="",Raw!E642="",Raw!F642="",Raw!G642=""),"UNUSED",IF(A642="","missing line ID",IF(B642="","missing transaction ID",IF(G642="",IF(C642="","missing date","invalid date"),IF(I642="","unknown product",IF(J642="","conflicting category",IF(NOT(OR(EXACT(K642,"sale"),EXACT(K642,"refund"))),"unknown event",IF(OR(N642="",NOT(O642)),"invalid amount",IF(OR(AND(K642="sale",N642&lt;=0),AND(K642="refund",N642&gt;=0)),"invalid sign","")))))))))</f>
        <v/>
      </c>
      <c r="U642" s="1" t="str">
        <f t="shared" si="77"/>
        <v>INCLUDED</v>
      </c>
      <c r="V642" s="1" t="str">
        <f t="shared" si="78"/>
        <v>2026-03</v>
      </c>
      <c r="W642" s="1">
        <f>IF(AND(U642="INCLUDED",X642&gt;0,EXACT(A642,'AI output'!A642)),1,0)</f>
        <v>1</v>
      </c>
      <c r="X642" s="1">
        <f>642</f>
        <v>642</v>
      </c>
      <c r="Y642" s="1">
        <f>IF(AND(U642="INCLUDED",W642=1),--(NOT(EXACT(A642,'AI output'!A642)))+--(NOT(EXACT(B642,'AI output'!B642)))+--(NOT(EXACT(TEXT(G642,"yyyy-mm-dd"),'AI output'!C642)))+--(NOT(EXACT(H642,'AI output'!D642)))+--(NOT(EXACT(J642,'AI output'!E642)))+--(NOT(EXACT(K642,'AI output'!F642)))+--(N642&lt;&gt;'AI output'!L642)+--(NOT('AI output'!M642)),0)</f>
        <v>0</v>
      </c>
      <c r="Z642" s="1">
        <f t="shared" si="79"/>
        <v>0</v>
      </c>
      <c r="AA642" s="1">
        <f>--EXACT(A642,"L00636")</f>
        <v>1</v>
      </c>
    </row>
    <row r="643" spans="1:27" ht="18.95" customHeight="1">
      <c r="A643" s="1" t="str">
        <f>IF(Raw!A643="","",Raw!A643)</f>
        <v>L00637</v>
      </c>
      <c r="B643" s="1" t="str">
        <f>IF(Raw!B643="","",Raw!B643)</f>
        <v>T00319</v>
      </c>
      <c r="C643" s="1" t="str">
        <f>IF(Raw!C643="","",Raw!C643)</f>
        <v>2026-03-08</v>
      </c>
      <c r="D643" s="1">
        <f t="shared" si="72"/>
        <v>2026</v>
      </c>
      <c r="E643" s="1">
        <f>IFERROR(IF(AND(LEN(C643)=10,MID(C643,5,1)="-",MID(C643,8,1)="-"),VALUE(MID(C643,6,2)),IF(AND(LEN(C643)=11,MID(C643,3,1)="-",MID(C643,7,1)="-"),MATCH(UPPER(MID(C643,4,3)),Guide!$D$7:$D$18,0),0)),0)</f>
        <v>3</v>
      </c>
      <c r="F643" s="1">
        <f t="shared" si="73"/>
        <v>8</v>
      </c>
      <c r="G643" s="9">
        <f t="shared" si="74"/>
        <v>46089</v>
      </c>
      <c r="H643" s="1" t="str">
        <f>IF(Raw!D643="","",Raw!D643)</f>
        <v>P-A</v>
      </c>
      <c r="I643" s="1" t="str">
        <f>IFERROR(IF(EXACT(H643,INDEX(Guide!$A$7:$A$9,MATCH(SUBSTITUTE(SUBSTITUTE(SUBSTITUTE(H643,"~","~~"),"*","~*"),"?","~?"),Guide!$A$7:$A$9,0))),INDEX(Guide!$B$7:$B$9,MATCH(SUBSTITUTE(SUBSTITUTE(SUBSTITUTE(H643,"~","~~"),"*","~*"),"?","~?"),Guide!$A$7:$A$9,0)),""),"")</f>
        <v>Accessories</v>
      </c>
      <c r="J643" s="1" t="str">
        <f>IF(TRIM(Raw!E643)="",I643,IF(UPPER(TRIM(Raw!E643))=UPPER(I643),I643,""))</f>
        <v>Accessories</v>
      </c>
      <c r="K643" s="1" t="str">
        <f>IF(Raw!F643="","",Raw!F643)</f>
        <v>sale</v>
      </c>
      <c r="L643" s="1" t="str">
        <f>IF(LEFT(TRIM(Raw!G643),2)="-$","-"&amp;MID(TRIM(Raw!G643),3,99),IF(LEFT(TRIM(Raw!G643),1)="$",MID(TRIM(Raw!G643),2,99),TRIM(Raw!G643)))</f>
        <v>360.93</v>
      </c>
      <c r="M643" s="1">
        <f t="shared" si="75"/>
        <v>360.93</v>
      </c>
      <c r="N643" s="10">
        <f t="shared" si="76"/>
        <v>36093</v>
      </c>
      <c r="O643" s="1" t="b">
        <f>IFERROR(IF(ISNUMBER(Raw!G643),TRUE,OR(EXACT(L643,TEXT(M643,"0.00")),EXACT(L643,TEXT(M643,"#,##0.00")))),FALSE)</f>
        <v>1</v>
      </c>
      <c r="P643" s="1" t="str">
        <f>LEN(IF(Raw!A643="","",Raw!A643))&amp;":"&amp;IF(Raw!A643="","",Raw!A643)&amp;"|"&amp;LEN(IF(Raw!B643="","",Raw!B643))&amp;":"&amp;IF(Raw!B643="","",Raw!B643)&amp;"|"&amp;LEN(IF(Raw!C643="","",Raw!C643))&amp;":"&amp;IF(Raw!C643="","",Raw!C643)&amp;"|"&amp;LEN(IF(Raw!D643="","",Raw!D643))&amp;":"&amp;IF(Raw!D643="","",Raw!D643)&amp;"|"&amp;LEN(IF(Raw!E643="","",Raw!E643))&amp;":"&amp;IF(Raw!E643="","",Raw!E643)&amp;"|"&amp;LEN(IF(Raw!F643="","",Raw!F643))&amp;":"&amp;IF(Raw!F643="","",Raw!F643)&amp;"|"&amp;LEN(IF(Raw!G643="","",Raw!G643))&amp;":"&amp;IF(Raw!G643="","",Raw!G643)</f>
        <v>6:L00637|6:T00319|10:2026-03-08|3:P-A|11:Accessories|4:sale|6:360.93</v>
      </c>
      <c r="Q643" s="1">
        <f>1</f>
        <v>1</v>
      </c>
      <c r="R643" s="1" t="b">
        <f>FALSE</f>
        <v>0</v>
      </c>
      <c r="S643" s="1">
        <f>1</f>
        <v>1</v>
      </c>
      <c r="T643" s="1" t="str">
        <f>IF(AND(Raw!A643="",Raw!B643="",Raw!C643="",Raw!D643="",Raw!E643="",Raw!F643="",Raw!G643=""),"UNUSED",IF(A643="","missing line ID",IF(B643="","missing transaction ID",IF(G643="",IF(C643="","missing date","invalid date"),IF(I643="","unknown product",IF(J643="","conflicting category",IF(NOT(OR(EXACT(K643,"sale"),EXACT(K643,"refund"))),"unknown event",IF(OR(N643="",NOT(O643)),"invalid amount",IF(OR(AND(K643="sale",N643&lt;=0),AND(K643="refund",N643&gt;=0)),"invalid sign","")))))))))</f>
        <v/>
      </c>
      <c r="U643" s="1" t="str">
        <f t="shared" si="77"/>
        <v>INCLUDED</v>
      </c>
      <c r="V643" s="1" t="str">
        <f t="shared" si="78"/>
        <v>2026-03</v>
      </c>
      <c r="W643" s="1">
        <f>IF(AND(U643="INCLUDED",X643&gt;0,EXACT(A643,'AI output'!A643)),1,0)</f>
        <v>1</v>
      </c>
      <c r="X643" s="1">
        <f>643</f>
        <v>643</v>
      </c>
      <c r="Y643" s="1">
        <f>IF(AND(U643="INCLUDED",W643=1),--(NOT(EXACT(A643,'AI output'!A643)))+--(NOT(EXACT(B643,'AI output'!B643)))+--(NOT(EXACT(TEXT(G643,"yyyy-mm-dd"),'AI output'!C643)))+--(NOT(EXACT(H643,'AI output'!D643)))+--(NOT(EXACT(J643,'AI output'!E643)))+--(NOT(EXACT(K643,'AI output'!F643)))+--(N643&lt;&gt;'AI output'!L643)+--(NOT('AI output'!M643)),0)</f>
        <v>0</v>
      </c>
      <c r="Z643" s="1">
        <f t="shared" si="79"/>
        <v>0</v>
      </c>
      <c r="AA643" s="1">
        <f>--EXACT(A643,"L00637")</f>
        <v>1</v>
      </c>
    </row>
    <row r="644" spans="1:27" ht="18.95" customHeight="1">
      <c r="A644" s="1" t="str">
        <f>IF(Raw!A644="","",Raw!A644)</f>
        <v>L00638</v>
      </c>
      <c r="B644" s="1" t="str">
        <f>IF(Raw!B644="","",Raw!B644)</f>
        <v>T00319</v>
      </c>
      <c r="C644" s="1" t="str">
        <f>IF(Raw!C644="","",Raw!C644)</f>
        <v>2026-03-08</v>
      </c>
      <c r="D644" s="1">
        <f t="shared" si="72"/>
        <v>2026</v>
      </c>
      <c r="E644" s="1">
        <f>IFERROR(IF(AND(LEN(C644)=10,MID(C644,5,1)="-",MID(C644,8,1)="-"),VALUE(MID(C644,6,2)),IF(AND(LEN(C644)=11,MID(C644,3,1)="-",MID(C644,7,1)="-"),MATCH(UPPER(MID(C644,4,3)),Guide!$D$7:$D$18,0),0)),0)</f>
        <v>3</v>
      </c>
      <c r="F644" s="1">
        <f t="shared" si="73"/>
        <v>8</v>
      </c>
      <c r="G644" s="9">
        <f t="shared" si="74"/>
        <v>46089</v>
      </c>
      <c r="H644" s="1" t="str">
        <f>IF(Raw!D644="","",Raw!D644)</f>
        <v>P-H</v>
      </c>
      <c r="I644" s="1" t="str">
        <f>IFERROR(IF(EXACT(H644,INDEX(Guide!$A$7:$A$9,MATCH(SUBSTITUTE(SUBSTITUTE(SUBSTITUTE(H644,"~","~~"),"*","~*"),"?","~?"),Guide!$A$7:$A$9,0))),INDEX(Guide!$B$7:$B$9,MATCH(SUBSTITUTE(SUBSTITUTE(SUBSTITUTE(H644,"~","~~"),"*","~*"),"?","~?"),Guide!$A$7:$A$9,0)),""),"")</f>
        <v>Home</v>
      </c>
      <c r="J644" s="1" t="str">
        <f>IF(TRIM(Raw!E644)="",I644,IF(UPPER(TRIM(Raw!E644))=UPPER(I644),I644,""))</f>
        <v>Home</v>
      </c>
      <c r="K644" s="1" t="str">
        <f>IF(Raw!F644="","",Raw!F644)</f>
        <v>sale</v>
      </c>
      <c r="L644" s="1" t="str">
        <f>IF(LEFT(TRIM(Raw!G644),2)="-$","-"&amp;MID(TRIM(Raw!G644),3,99),IF(LEFT(TRIM(Raw!G644),1)="$",MID(TRIM(Raw!G644),2,99),TRIM(Raw!G644)))</f>
        <v>603.40</v>
      </c>
      <c r="M644" s="1">
        <f t="shared" si="75"/>
        <v>603.4</v>
      </c>
      <c r="N644" s="10">
        <f t="shared" si="76"/>
        <v>60340</v>
      </c>
      <c r="O644" s="1" t="b">
        <f>IFERROR(IF(ISNUMBER(Raw!G644),TRUE,OR(EXACT(L644,TEXT(M644,"0.00")),EXACT(L644,TEXT(M644,"#,##0.00")))),FALSE)</f>
        <v>1</v>
      </c>
      <c r="P644" s="1" t="str">
        <f>LEN(IF(Raw!A644="","",Raw!A644))&amp;":"&amp;IF(Raw!A644="","",Raw!A644)&amp;"|"&amp;LEN(IF(Raw!B644="","",Raw!B644))&amp;":"&amp;IF(Raw!B644="","",Raw!B644)&amp;"|"&amp;LEN(IF(Raw!C644="","",Raw!C644))&amp;":"&amp;IF(Raw!C644="","",Raw!C644)&amp;"|"&amp;LEN(IF(Raw!D644="","",Raw!D644))&amp;":"&amp;IF(Raw!D644="","",Raw!D644)&amp;"|"&amp;LEN(IF(Raw!E644="","",Raw!E644))&amp;":"&amp;IF(Raw!E644="","",Raw!E644)&amp;"|"&amp;LEN(IF(Raw!F644="","",Raw!F644))&amp;":"&amp;IF(Raw!F644="","",Raw!F644)&amp;"|"&amp;LEN(IF(Raw!G644="","",Raw!G644))&amp;":"&amp;IF(Raw!G644="","",Raw!G644)</f>
        <v>6:L00638|6:T00319|10:2026-03-08|3:P-H|4:Home|4:sale|6:603.40</v>
      </c>
      <c r="Q644" s="1">
        <f>1</f>
        <v>1</v>
      </c>
      <c r="R644" s="1" t="b">
        <f>FALSE</f>
        <v>0</v>
      </c>
      <c r="S644" s="1">
        <f>1</f>
        <v>1</v>
      </c>
      <c r="T644" s="1" t="str">
        <f>IF(AND(Raw!A644="",Raw!B644="",Raw!C644="",Raw!D644="",Raw!E644="",Raw!F644="",Raw!G644=""),"UNUSED",IF(A644="","missing line ID",IF(B644="","missing transaction ID",IF(G644="",IF(C644="","missing date","invalid date"),IF(I644="","unknown product",IF(J644="","conflicting category",IF(NOT(OR(EXACT(K644,"sale"),EXACT(K644,"refund"))),"unknown event",IF(OR(N644="",NOT(O644)),"invalid amount",IF(OR(AND(K644="sale",N644&lt;=0),AND(K644="refund",N644&gt;=0)),"invalid sign","")))))))))</f>
        <v/>
      </c>
      <c r="U644" s="1" t="str">
        <f t="shared" si="77"/>
        <v>INCLUDED</v>
      </c>
      <c r="V644" s="1" t="str">
        <f t="shared" si="78"/>
        <v>2026-03</v>
      </c>
      <c r="W644" s="1">
        <f>IF(AND(U644="INCLUDED",X644&gt;0,EXACT(A644,'AI output'!A644)),1,0)</f>
        <v>1</v>
      </c>
      <c r="X644" s="1">
        <f>644</f>
        <v>644</v>
      </c>
      <c r="Y644" s="1">
        <f>IF(AND(U644="INCLUDED",W644=1),--(NOT(EXACT(A644,'AI output'!A644)))+--(NOT(EXACT(B644,'AI output'!B644)))+--(NOT(EXACT(TEXT(G644,"yyyy-mm-dd"),'AI output'!C644)))+--(NOT(EXACT(H644,'AI output'!D644)))+--(NOT(EXACT(J644,'AI output'!E644)))+--(NOT(EXACT(K644,'AI output'!F644)))+--(N644&lt;&gt;'AI output'!L644)+--(NOT('AI output'!M644)),0)</f>
        <v>0</v>
      </c>
      <c r="Z644" s="1">
        <f t="shared" si="79"/>
        <v>0</v>
      </c>
      <c r="AA644" s="1">
        <f>--EXACT(A644,"L00638")</f>
        <v>1</v>
      </c>
    </row>
    <row r="645" spans="1:27" ht="18.95" customHeight="1">
      <c r="A645" s="1" t="str">
        <f>IF(Raw!A645="","",Raw!A645)</f>
        <v>L00639</v>
      </c>
      <c r="B645" s="1" t="str">
        <f>IF(Raw!B645="","",Raw!B645)</f>
        <v>T00320</v>
      </c>
      <c r="C645" s="1" t="str">
        <f>IF(Raw!C645="","",Raw!C645)</f>
        <v>2026-03-15</v>
      </c>
      <c r="D645" s="1">
        <f t="shared" si="72"/>
        <v>2026</v>
      </c>
      <c r="E645" s="1">
        <f>IFERROR(IF(AND(LEN(C645)=10,MID(C645,5,1)="-",MID(C645,8,1)="-"),VALUE(MID(C645,6,2)),IF(AND(LEN(C645)=11,MID(C645,3,1)="-",MID(C645,7,1)="-"),MATCH(UPPER(MID(C645,4,3)),Guide!$D$7:$D$18,0),0)),0)</f>
        <v>3</v>
      </c>
      <c r="F645" s="1">
        <f t="shared" si="73"/>
        <v>15</v>
      </c>
      <c r="G645" s="9">
        <f t="shared" si="74"/>
        <v>46096</v>
      </c>
      <c r="H645" s="1" t="str">
        <f>IF(Raw!D645="","",Raw!D645)</f>
        <v>P-O</v>
      </c>
      <c r="I645" s="1" t="str">
        <f>IFERROR(IF(EXACT(H645,INDEX(Guide!$A$7:$A$9,MATCH(SUBSTITUTE(SUBSTITUTE(SUBSTITUTE(H645,"~","~~"),"*","~*"),"?","~?"),Guide!$A$7:$A$9,0))),INDEX(Guide!$B$7:$B$9,MATCH(SUBSTITUTE(SUBSTITUTE(SUBSTITUTE(H645,"~","~~"),"*","~*"),"?","~?"),Guide!$A$7:$A$9,0)),""),"")</f>
        <v>Office</v>
      </c>
      <c r="J645" s="1" t="str">
        <f>IF(TRIM(Raw!E645)="",I645,IF(UPPER(TRIM(Raw!E645))=UPPER(I645),I645,""))</f>
        <v>Office</v>
      </c>
      <c r="K645" s="1" t="str">
        <f>IF(Raw!F645="","",Raw!F645)</f>
        <v>sale</v>
      </c>
      <c r="L645" s="1" t="str">
        <f>IF(LEFT(TRIM(Raw!G645),2)="-$","-"&amp;MID(TRIM(Raw!G645),3,99),IF(LEFT(TRIM(Raw!G645),1)="$",MID(TRIM(Raw!G645),2,99),TRIM(Raw!G645)))</f>
        <v>242.10</v>
      </c>
      <c r="M645" s="1">
        <f t="shared" si="75"/>
        <v>242.1</v>
      </c>
      <c r="N645" s="10">
        <f t="shared" si="76"/>
        <v>24210</v>
      </c>
      <c r="O645" s="1" t="b">
        <f>IFERROR(IF(ISNUMBER(Raw!G645),TRUE,OR(EXACT(L645,TEXT(M645,"0.00")),EXACT(L645,TEXT(M645,"#,##0.00")))),FALSE)</f>
        <v>1</v>
      </c>
      <c r="P645" s="1" t="str">
        <f>LEN(IF(Raw!A645="","",Raw!A645))&amp;":"&amp;IF(Raw!A645="","",Raw!A645)&amp;"|"&amp;LEN(IF(Raw!B645="","",Raw!B645))&amp;":"&amp;IF(Raw!B645="","",Raw!B645)&amp;"|"&amp;LEN(IF(Raw!C645="","",Raw!C645))&amp;":"&amp;IF(Raw!C645="","",Raw!C645)&amp;"|"&amp;LEN(IF(Raw!D645="","",Raw!D645))&amp;":"&amp;IF(Raw!D645="","",Raw!D645)&amp;"|"&amp;LEN(IF(Raw!E645="","",Raw!E645))&amp;":"&amp;IF(Raw!E645="","",Raw!E645)&amp;"|"&amp;LEN(IF(Raw!F645="","",Raw!F645))&amp;":"&amp;IF(Raw!F645="","",Raw!F645)&amp;"|"&amp;LEN(IF(Raw!G645="","",Raw!G645))&amp;":"&amp;IF(Raw!G645="","",Raw!G645)</f>
        <v>6:L00639|6:T00320|10:2026-03-15|3:P-O|6:Office|4:sale|6:242.10</v>
      </c>
      <c r="Q645" s="1">
        <f>1</f>
        <v>1</v>
      </c>
      <c r="R645" s="1" t="b">
        <f>FALSE</f>
        <v>0</v>
      </c>
      <c r="S645" s="1">
        <f>1</f>
        <v>1</v>
      </c>
      <c r="T645" s="1" t="str">
        <f>IF(AND(Raw!A645="",Raw!B645="",Raw!C645="",Raw!D645="",Raw!E645="",Raw!F645="",Raw!G645=""),"UNUSED",IF(A645="","missing line ID",IF(B645="","missing transaction ID",IF(G645="",IF(C645="","missing date","invalid date"),IF(I645="","unknown product",IF(J645="","conflicting category",IF(NOT(OR(EXACT(K645,"sale"),EXACT(K645,"refund"))),"unknown event",IF(OR(N645="",NOT(O645)),"invalid amount",IF(OR(AND(K645="sale",N645&lt;=0),AND(K645="refund",N645&gt;=0)),"invalid sign","")))))))))</f>
        <v/>
      </c>
      <c r="U645" s="1" t="str">
        <f t="shared" si="77"/>
        <v>INCLUDED</v>
      </c>
      <c r="V645" s="1" t="str">
        <f t="shared" si="78"/>
        <v>2026-03</v>
      </c>
      <c r="W645" s="1">
        <f>IF(AND(U645="INCLUDED",X645&gt;0,EXACT(A645,'AI output'!A645)),1,0)</f>
        <v>1</v>
      </c>
      <c r="X645" s="1">
        <f>645</f>
        <v>645</v>
      </c>
      <c r="Y645" s="1">
        <f>IF(AND(U645="INCLUDED",W645=1),--(NOT(EXACT(A645,'AI output'!A645)))+--(NOT(EXACT(B645,'AI output'!B645)))+--(NOT(EXACT(TEXT(G645,"yyyy-mm-dd"),'AI output'!C645)))+--(NOT(EXACT(H645,'AI output'!D645)))+--(NOT(EXACT(J645,'AI output'!E645)))+--(NOT(EXACT(K645,'AI output'!F645)))+--(N645&lt;&gt;'AI output'!L645)+--(NOT('AI output'!M645)),0)</f>
        <v>0</v>
      </c>
      <c r="Z645" s="1">
        <f t="shared" si="79"/>
        <v>0</v>
      </c>
      <c r="AA645" s="1">
        <f>--EXACT(A645,"L00639")</f>
        <v>1</v>
      </c>
    </row>
    <row r="646" spans="1:27" ht="18.95" customHeight="1">
      <c r="A646" s="1" t="str">
        <f>IF(Raw!A646="","",Raw!A646)</f>
        <v>L00640</v>
      </c>
      <c r="B646" s="1" t="str">
        <f>IF(Raw!B646="","",Raw!B646)</f>
        <v>T00320</v>
      </c>
      <c r="C646" s="1" t="str">
        <f>IF(Raw!C646="","",Raw!C646)</f>
        <v>2026-03-15</v>
      </c>
      <c r="D646" s="1">
        <f t="shared" si="72"/>
        <v>2026</v>
      </c>
      <c r="E646" s="1">
        <f>IFERROR(IF(AND(LEN(C646)=10,MID(C646,5,1)="-",MID(C646,8,1)="-"),VALUE(MID(C646,6,2)),IF(AND(LEN(C646)=11,MID(C646,3,1)="-",MID(C646,7,1)="-"),MATCH(UPPER(MID(C646,4,3)),Guide!$D$7:$D$18,0),0)),0)</f>
        <v>3</v>
      </c>
      <c r="F646" s="1">
        <f t="shared" si="73"/>
        <v>15</v>
      </c>
      <c r="G646" s="9">
        <f t="shared" si="74"/>
        <v>46096</v>
      </c>
      <c r="H646" s="1" t="str">
        <f>IF(Raw!D646="","",Raw!D646)</f>
        <v>P-A</v>
      </c>
      <c r="I646" s="1" t="str">
        <f>IFERROR(IF(EXACT(H646,INDEX(Guide!$A$7:$A$9,MATCH(SUBSTITUTE(SUBSTITUTE(SUBSTITUTE(H646,"~","~~"),"*","~*"),"?","~?"),Guide!$A$7:$A$9,0))),INDEX(Guide!$B$7:$B$9,MATCH(SUBSTITUTE(SUBSTITUTE(SUBSTITUTE(H646,"~","~~"),"*","~*"),"?","~?"),Guide!$A$7:$A$9,0)),""),"")</f>
        <v>Accessories</v>
      </c>
      <c r="J646" s="1" t="str">
        <f>IF(TRIM(Raw!E646)="",I646,IF(UPPER(TRIM(Raw!E646))=UPPER(I646),I646,""))</f>
        <v>Accessories</v>
      </c>
      <c r="K646" s="1" t="str">
        <f>IF(Raw!F646="","",Raw!F646)</f>
        <v>sale</v>
      </c>
      <c r="L646" s="1" t="str">
        <f>IF(LEFT(TRIM(Raw!G646),2)="-$","-"&amp;MID(TRIM(Raw!G646),3,99),IF(LEFT(TRIM(Raw!G646),1)="$",MID(TRIM(Raw!G646),2,99),TRIM(Raw!G646)))</f>
        <v>485.68</v>
      </c>
      <c r="M646" s="1">
        <f t="shared" si="75"/>
        <v>485.68</v>
      </c>
      <c r="N646" s="10">
        <f t="shared" si="76"/>
        <v>48568</v>
      </c>
      <c r="O646" s="1" t="b">
        <f>IFERROR(IF(ISNUMBER(Raw!G646),TRUE,OR(EXACT(L646,TEXT(M646,"0.00")),EXACT(L646,TEXT(M646,"#,##0.00")))),FALSE)</f>
        <v>1</v>
      </c>
      <c r="P646" s="1" t="str">
        <f>LEN(IF(Raw!A646="","",Raw!A646))&amp;":"&amp;IF(Raw!A646="","",Raw!A646)&amp;"|"&amp;LEN(IF(Raw!B646="","",Raw!B646))&amp;":"&amp;IF(Raw!B646="","",Raw!B646)&amp;"|"&amp;LEN(IF(Raw!C646="","",Raw!C646))&amp;":"&amp;IF(Raw!C646="","",Raw!C646)&amp;"|"&amp;LEN(IF(Raw!D646="","",Raw!D646))&amp;":"&amp;IF(Raw!D646="","",Raw!D646)&amp;"|"&amp;LEN(IF(Raw!E646="","",Raw!E646))&amp;":"&amp;IF(Raw!E646="","",Raw!E646)&amp;"|"&amp;LEN(IF(Raw!F646="","",Raw!F646))&amp;":"&amp;IF(Raw!F646="","",Raw!F646)&amp;"|"&amp;LEN(IF(Raw!G646="","",Raw!G646))&amp;":"&amp;IF(Raw!G646="","",Raw!G646)</f>
        <v>6:L00640|6:T00320|10:2026-03-15|3:P-A|11:Accessories|4:sale|6:485.68</v>
      </c>
      <c r="Q646" s="1">
        <f>1</f>
        <v>1</v>
      </c>
      <c r="R646" s="1" t="b">
        <f>FALSE</f>
        <v>0</v>
      </c>
      <c r="S646" s="1">
        <f>1</f>
        <v>1</v>
      </c>
      <c r="T646" s="1" t="str">
        <f>IF(AND(Raw!A646="",Raw!B646="",Raw!C646="",Raw!D646="",Raw!E646="",Raw!F646="",Raw!G646=""),"UNUSED",IF(A646="","missing line ID",IF(B646="","missing transaction ID",IF(G646="",IF(C646="","missing date","invalid date"),IF(I646="","unknown product",IF(J646="","conflicting category",IF(NOT(OR(EXACT(K646,"sale"),EXACT(K646,"refund"))),"unknown event",IF(OR(N646="",NOT(O646)),"invalid amount",IF(OR(AND(K646="sale",N646&lt;=0),AND(K646="refund",N646&gt;=0)),"invalid sign","")))))))))</f>
        <v/>
      </c>
      <c r="U646" s="1" t="str">
        <f t="shared" si="77"/>
        <v>INCLUDED</v>
      </c>
      <c r="V646" s="1" t="str">
        <f t="shared" si="78"/>
        <v>2026-03</v>
      </c>
      <c r="W646" s="1">
        <f>IF(AND(U646="INCLUDED",X646&gt;0,EXACT(A646,'AI output'!A646)),1,0)</f>
        <v>1</v>
      </c>
      <c r="X646" s="1">
        <f>646</f>
        <v>646</v>
      </c>
      <c r="Y646" s="1">
        <f>IF(AND(U646="INCLUDED",W646=1),--(NOT(EXACT(A646,'AI output'!A646)))+--(NOT(EXACT(B646,'AI output'!B646)))+--(NOT(EXACT(TEXT(G646,"yyyy-mm-dd"),'AI output'!C646)))+--(NOT(EXACT(H646,'AI output'!D646)))+--(NOT(EXACT(J646,'AI output'!E646)))+--(NOT(EXACT(K646,'AI output'!F646)))+--(N646&lt;&gt;'AI output'!L646)+--(NOT('AI output'!M646)),0)</f>
        <v>0</v>
      </c>
      <c r="Z646" s="1">
        <f t="shared" si="79"/>
        <v>0</v>
      </c>
      <c r="AA646" s="1">
        <f>--EXACT(A646,"L00640")</f>
        <v>1</v>
      </c>
    </row>
    <row r="647" spans="1:27" ht="18.95" customHeight="1">
      <c r="A647" s="1" t="str">
        <f>IF(Raw!A647="","",Raw!A647)</f>
        <v>L00641</v>
      </c>
      <c r="B647" s="1" t="str">
        <f>IF(Raw!B647="","",Raw!B647)</f>
        <v>T00321</v>
      </c>
      <c r="C647" s="1" t="str">
        <f>IF(Raw!C647="","",Raw!C647)</f>
        <v>2026-03-22</v>
      </c>
      <c r="D647" s="1">
        <f t="shared" ref="D647:D710" si="80">IFERROR(IF(AND(LEN(C647)=10,MID(C647,5,1)="-",MID(C647,8,1)="-"),VALUE(LEFT(C647,4)),IF(AND(LEN(C647)=11,MID(C647,3,1)="-",MID(C647,7,1)="-"),VALUE(RIGHT(C647,4)),0)),0)</f>
        <v>2026</v>
      </c>
      <c r="E647" s="1">
        <f>IFERROR(IF(AND(LEN(C647)=10,MID(C647,5,1)="-",MID(C647,8,1)="-"),VALUE(MID(C647,6,2)),IF(AND(LEN(C647)=11,MID(C647,3,1)="-",MID(C647,7,1)="-"),MATCH(UPPER(MID(C647,4,3)),Guide!$D$7:$D$18,0),0)),0)</f>
        <v>3</v>
      </c>
      <c r="F647" s="1">
        <f t="shared" ref="F647:F710" si="81">IFERROR(IF(AND(LEN(C647)=10,MID(C647,5,1)="-",MID(C647,8,1)="-"),VALUE(RIGHT(C647,2)),IF(AND(LEN(C647)=11,MID(C647,3,1)="-",MID(C647,7,1)="-"),VALUE(LEFT(C647,2)),0)),0)</f>
        <v>22</v>
      </c>
      <c r="G647" s="9">
        <f t="shared" ref="G647:G710" si="82">IFERROR(IF(AND(D647&gt;=1900,D647&lt;=9999,YEAR(DATE(D647,E647,F647))=D647,MONTH(DATE(D647,E647,F647))=E647,DAY(DATE(D647,E647,F647))=F647),DATE(D647,E647,F647),""),"")</f>
        <v>46103</v>
      </c>
      <c r="H647" s="1" t="str">
        <f>IF(Raw!D647="","",Raw!D647)</f>
        <v>P-H</v>
      </c>
      <c r="I647" s="1" t="str">
        <f>IFERROR(IF(EXACT(H647,INDEX(Guide!$A$7:$A$9,MATCH(SUBSTITUTE(SUBSTITUTE(SUBSTITUTE(H647,"~","~~"),"*","~*"),"?","~?"),Guide!$A$7:$A$9,0))),INDEX(Guide!$B$7:$B$9,MATCH(SUBSTITUTE(SUBSTITUTE(SUBSTITUTE(H647,"~","~~"),"*","~*"),"?","~?"),Guide!$A$7:$A$9,0)),""),"")</f>
        <v>Home</v>
      </c>
      <c r="J647" s="1" t="str">
        <f>IF(TRIM(Raw!E647)="",I647,IF(UPPER(TRIM(Raw!E647))=UPPER(I647),I647,""))</f>
        <v>Home</v>
      </c>
      <c r="K647" s="1" t="str">
        <f>IF(Raw!F647="","",Raw!F647)</f>
        <v>sale</v>
      </c>
      <c r="L647" s="1" t="str">
        <f>IF(LEFT(TRIM(Raw!G647),2)="-$","-"&amp;MID(TRIM(Raw!G647),3,99),IF(LEFT(TRIM(Raw!G647),1)="$",MID(TRIM(Raw!G647),2,99),TRIM(Raw!G647)))</f>
        <v>121.79</v>
      </c>
      <c r="M647" s="1">
        <f t="shared" ref="M647:M710" si="83">IFERROR(VALUE(L647),"")</f>
        <v>121.79</v>
      </c>
      <c r="N647" s="10">
        <f t="shared" ref="N647:N710" si="84">IF(AND(ISNUMBER(M647),ABS(M647*100-ROUND(M647*100,0))&lt;0.0000001),ROUND(M647*100,0),"")</f>
        <v>12179</v>
      </c>
      <c r="O647" s="1" t="b">
        <f>IFERROR(IF(ISNUMBER(Raw!G647),TRUE,OR(EXACT(L647,TEXT(M647,"0.00")),EXACT(L647,TEXT(M647,"#,##0.00")))),FALSE)</f>
        <v>1</v>
      </c>
      <c r="P647" s="1" t="str">
        <f>LEN(IF(Raw!A647="","",Raw!A647))&amp;":"&amp;IF(Raw!A647="","",Raw!A647)&amp;"|"&amp;LEN(IF(Raw!B647="","",Raw!B647))&amp;":"&amp;IF(Raw!B647="","",Raw!B647)&amp;"|"&amp;LEN(IF(Raw!C647="","",Raw!C647))&amp;":"&amp;IF(Raw!C647="","",Raw!C647)&amp;"|"&amp;LEN(IF(Raw!D647="","",Raw!D647))&amp;":"&amp;IF(Raw!D647="","",Raw!D647)&amp;"|"&amp;LEN(IF(Raw!E647="","",Raw!E647))&amp;":"&amp;IF(Raw!E647="","",Raw!E647)&amp;"|"&amp;LEN(IF(Raw!F647="","",Raw!F647))&amp;":"&amp;IF(Raw!F647="","",Raw!F647)&amp;"|"&amp;LEN(IF(Raw!G647="","",Raw!G647))&amp;":"&amp;IF(Raw!G647="","",Raw!G647)</f>
        <v>6:L00641|6:T00321|10:2026-03-22|3:P-H|4:Home|4:sale|7:$121.79</v>
      </c>
      <c r="Q647" s="1">
        <f>1</f>
        <v>1</v>
      </c>
      <c r="R647" s="1" t="b">
        <f>FALSE</f>
        <v>0</v>
      </c>
      <c r="S647" s="1">
        <f>1</f>
        <v>1</v>
      </c>
      <c r="T647" s="1" t="str">
        <f>IF(AND(Raw!A647="",Raw!B647="",Raw!C647="",Raw!D647="",Raw!E647="",Raw!F647="",Raw!G647=""),"UNUSED",IF(A647="","missing line ID",IF(B647="","missing transaction ID",IF(G647="",IF(C647="","missing date","invalid date"),IF(I647="","unknown product",IF(J647="","conflicting category",IF(NOT(OR(EXACT(K647,"sale"),EXACT(K647,"refund"))),"unknown event",IF(OR(N647="",NOT(O647)),"invalid amount",IF(OR(AND(K647="sale",N647&lt;=0),AND(K647="refund",N647&gt;=0)),"invalid sign","")))))))))</f>
        <v/>
      </c>
      <c r="U647" s="1" t="str">
        <f t="shared" ref="U647:U710" si="85">IF(T647="UNUSED","UNUSED",IF(R647,"QUARANTINE",IF(S647&gt;1,"DUPLICATE",IF(T647&lt;&gt;"","QUARANTINE","INCLUDED"))))</f>
        <v>INCLUDED</v>
      </c>
      <c r="V647" s="1" t="str">
        <f t="shared" ref="V647:V710" si="86">IF(G647="","",TEXT(G647,"yyyy-mm"))</f>
        <v>2026-03</v>
      </c>
      <c r="W647" s="1">
        <f>IF(AND(U647="INCLUDED",X647&gt;0,EXACT(A647,'AI output'!A647)),1,0)</f>
        <v>1</v>
      </c>
      <c r="X647" s="1">
        <f>647</f>
        <v>647</v>
      </c>
      <c r="Y647" s="1">
        <f>IF(AND(U647="INCLUDED",W647=1),--(NOT(EXACT(A647,'AI output'!A647)))+--(NOT(EXACT(B647,'AI output'!B647)))+--(NOT(EXACT(TEXT(G647,"yyyy-mm-dd"),'AI output'!C647)))+--(NOT(EXACT(H647,'AI output'!D647)))+--(NOT(EXACT(J647,'AI output'!E647)))+--(NOT(EXACT(K647,'AI output'!F647)))+--(N647&lt;&gt;'AI output'!L647)+--(NOT('AI output'!M647)),0)</f>
        <v>0</v>
      </c>
      <c r="Z647" s="1">
        <f t="shared" ref="Z647:Z710" si="87">IF(U647="INCLUDED",IF(OR(W647&lt;&gt;1,Y647&lt;&gt;0),1,0),0)</f>
        <v>0</v>
      </c>
      <c r="AA647" s="1">
        <f>--EXACT(A647,"L00641")</f>
        <v>1</v>
      </c>
    </row>
    <row r="648" spans="1:27" ht="18.95" customHeight="1">
      <c r="A648" s="1" t="str">
        <f>IF(Raw!A648="","",Raw!A648)</f>
        <v>L00642</v>
      </c>
      <c r="B648" s="1" t="str">
        <f>IF(Raw!B648="","",Raw!B648)</f>
        <v>T00321</v>
      </c>
      <c r="C648" s="1" t="str">
        <f>IF(Raw!C648="","",Raw!C648)</f>
        <v>2026-03-22</v>
      </c>
      <c r="D648" s="1">
        <f t="shared" si="80"/>
        <v>2026</v>
      </c>
      <c r="E648" s="1">
        <f>IFERROR(IF(AND(LEN(C648)=10,MID(C648,5,1)="-",MID(C648,8,1)="-"),VALUE(MID(C648,6,2)),IF(AND(LEN(C648)=11,MID(C648,3,1)="-",MID(C648,7,1)="-"),MATCH(UPPER(MID(C648,4,3)),Guide!$D$7:$D$18,0),0)),0)</f>
        <v>3</v>
      </c>
      <c r="F648" s="1">
        <f t="shared" si="81"/>
        <v>22</v>
      </c>
      <c r="G648" s="9">
        <f t="shared" si="82"/>
        <v>46103</v>
      </c>
      <c r="H648" s="1" t="str">
        <f>IF(Raw!D648="","",Raw!D648)</f>
        <v>P-O</v>
      </c>
      <c r="I648" s="1" t="str">
        <f>IFERROR(IF(EXACT(H648,INDEX(Guide!$A$7:$A$9,MATCH(SUBSTITUTE(SUBSTITUTE(SUBSTITUTE(H648,"~","~~"),"*","~*"),"?","~?"),Guide!$A$7:$A$9,0))),INDEX(Guide!$B$7:$B$9,MATCH(SUBSTITUTE(SUBSTITUTE(SUBSTITUTE(H648,"~","~~"),"*","~*"),"?","~?"),Guide!$A$7:$A$9,0)),""),"")</f>
        <v>Office</v>
      </c>
      <c r="J648" s="1" t="str">
        <f>IF(TRIM(Raw!E648)="",I648,IF(UPPER(TRIM(Raw!E648))=UPPER(I648),I648,""))</f>
        <v>Office</v>
      </c>
      <c r="K648" s="1" t="str">
        <f>IF(Raw!F648="","",Raw!F648)</f>
        <v>sale</v>
      </c>
      <c r="L648" s="1" t="str">
        <f>IF(LEFT(TRIM(Raw!G648),2)="-$","-"&amp;MID(TRIM(Raw!G648),3,99),IF(LEFT(TRIM(Raw!G648),1)="$",MID(TRIM(Raw!G648),2,99),TRIM(Raw!G648)))</f>
        <v>366.48</v>
      </c>
      <c r="M648" s="1">
        <f t="shared" si="83"/>
        <v>366.48</v>
      </c>
      <c r="N648" s="10">
        <f t="shared" si="84"/>
        <v>36648</v>
      </c>
      <c r="O648" s="1" t="b">
        <f>IFERROR(IF(ISNUMBER(Raw!G648),TRUE,OR(EXACT(L648,TEXT(M648,"0.00")),EXACT(L648,TEXT(M648,"#,##0.00")))),FALSE)</f>
        <v>1</v>
      </c>
      <c r="P648" s="1" t="str">
        <f>LEN(IF(Raw!A648="","",Raw!A648))&amp;":"&amp;IF(Raw!A648="","",Raw!A648)&amp;"|"&amp;LEN(IF(Raw!B648="","",Raw!B648))&amp;":"&amp;IF(Raw!B648="","",Raw!B648)&amp;"|"&amp;LEN(IF(Raw!C648="","",Raw!C648))&amp;":"&amp;IF(Raw!C648="","",Raw!C648)&amp;"|"&amp;LEN(IF(Raw!D648="","",Raw!D648))&amp;":"&amp;IF(Raw!D648="","",Raw!D648)&amp;"|"&amp;LEN(IF(Raw!E648="","",Raw!E648))&amp;":"&amp;IF(Raw!E648="","",Raw!E648)&amp;"|"&amp;LEN(IF(Raw!F648="","",Raw!F648))&amp;":"&amp;IF(Raw!F648="","",Raw!F648)&amp;"|"&amp;LEN(IF(Raw!G648="","",Raw!G648))&amp;":"&amp;IF(Raw!G648="","",Raw!G648)</f>
        <v>6:L00642|6:T00321|10:2026-03-22|3:P-O|6:Office|4:sale|6:366.48</v>
      </c>
      <c r="Q648" s="1">
        <f>1</f>
        <v>1</v>
      </c>
      <c r="R648" s="1" t="b">
        <f>FALSE</f>
        <v>0</v>
      </c>
      <c r="S648" s="1">
        <f>1</f>
        <v>1</v>
      </c>
      <c r="T648" s="1" t="str">
        <f>IF(AND(Raw!A648="",Raw!B648="",Raw!C648="",Raw!D648="",Raw!E648="",Raw!F648="",Raw!G648=""),"UNUSED",IF(A648="","missing line ID",IF(B648="","missing transaction ID",IF(G648="",IF(C648="","missing date","invalid date"),IF(I648="","unknown product",IF(J648="","conflicting category",IF(NOT(OR(EXACT(K648,"sale"),EXACT(K648,"refund"))),"unknown event",IF(OR(N648="",NOT(O648)),"invalid amount",IF(OR(AND(K648="sale",N648&lt;=0),AND(K648="refund",N648&gt;=0)),"invalid sign","")))))))))</f>
        <v/>
      </c>
      <c r="U648" s="1" t="str">
        <f t="shared" si="85"/>
        <v>INCLUDED</v>
      </c>
      <c r="V648" s="1" t="str">
        <f t="shared" si="86"/>
        <v>2026-03</v>
      </c>
      <c r="W648" s="1">
        <f>IF(AND(U648="INCLUDED",X648&gt;0,EXACT(A648,'AI output'!A648)),1,0)</f>
        <v>1</v>
      </c>
      <c r="X648" s="1">
        <f>648</f>
        <v>648</v>
      </c>
      <c r="Y648" s="1">
        <f>IF(AND(U648="INCLUDED",W648=1),--(NOT(EXACT(A648,'AI output'!A648)))+--(NOT(EXACT(B648,'AI output'!B648)))+--(NOT(EXACT(TEXT(G648,"yyyy-mm-dd"),'AI output'!C648)))+--(NOT(EXACT(H648,'AI output'!D648)))+--(NOT(EXACT(J648,'AI output'!E648)))+--(NOT(EXACT(K648,'AI output'!F648)))+--(N648&lt;&gt;'AI output'!L648)+--(NOT('AI output'!M648)),0)</f>
        <v>0</v>
      </c>
      <c r="Z648" s="1">
        <f t="shared" si="87"/>
        <v>0</v>
      </c>
      <c r="AA648" s="1">
        <f>--EXACT(A648,"L00642")</f>
        <v>1</v>
      </c>
    </row>
    <row r="649" spans="1:27" ht="18.95" customHeight="1">
      <c r="A649" s="1" t="str">
        <f>IF(Raw!A649="","",Raw!A649)</f>
        <v>L00643</v>
      </c>
      <c r="B649" s="1" t="str">
        <f>IF(Raw!B649="","",Raw!B649)</f>
        <v>T00322</v>
      </c>
      <c r="C649" s="1" t="str">
        <f>IF(Raw!C649="","",Raw!C649)</f>
        <v>2026-03-29</v>
      </c>
      <c r="D649" s="1">
        <f t="shared" si="80"/>
        <v>2026</v>
      </c>
      <c r="E649" s="1">
        <f>IFERROR(IF(AND(LEN(C649)=10,MID(C649,5,1)="-",MID(C649,8,1)="-"),VALUE(MID(C649,6,2)),IF(AND(LEN(C649)=11,MID(C649,3,1)="-",MID(C649,7,1)="-"),MATCH(UPPER(MID(C649,4,3)),Guide!$D$7:$D$18,0),0)),0)</f>
        <v>3</v>
      </c>
      <c r="F649" s="1">
        <f t="shared" si="81"/>
        <v>29</v>
      </c>
      <c r="G649" s="9">
        <f t="shared" si="82"/>
        <v>46110</v>
      </c>
      <c r="H649" s="1" t="str">
        <f>IF(Raw!D649="","",Raw!D649)</f>
        <v>P-A</v>
      </c>
      <c r="I649" s="1" t="str">
        <f>IFERROR(IF(EXACT(H649,INDEX(Guide!$A$7:$A$9,MATCH(SUBSTITUTE(SUBSTITUTE(SUBSTITUTE(H649,"~","~~"),"*","~*"),"?","~?"),Guide!$A$7:$A$9,0))),INDEX(Guide!$B$7:$B$9,MATCH(SUBSTITUTE(SUBSTITUTE(SUBSTITUTE(H649,"~","~~"),"*","~*"),"?","~?"),Guide!$A$7:$A$9,0)),""),"")</f>
        <v>Accessories</v>
      </c>
      <c r="J649" s="1" t="str">
        <f>IF(TRIM(Raw!E649)="",I649,IF(UPPER(TRIM(Raw!E649))=UPPER(I649),I649,""))</f>
        <v>Accessories</v>
      </c>
      <c r="K649" s="1" t="str">
        <f>IF(Raw!F649="","",Raw!F649)</f>
        <v>sale</v>
      </c>
      <c r="L649" s="1" t="str">
        <f>IF(LEFT(TRIM(Raw!G649),2)="-$","-"&amp;MID(TRIM(Raw!G649),3,99),IF(LEFT(TRIM(Raw!G649),1)="$",MID(TRIM(Raw!G649),2,99),TRIM(Raw!G649)))</f>
        <v>612.65</v>
      </c>
      <c r="M649" s="1">
        <f t="shared" si="83"/>
        <v>612.65</v>
      </c>
      <c r="N649" s="10">
        <f t="shared" si="84"/>
        <v>61265</v>
      </c>
      <c r="O649" s="1" t="b">
        <f>IFERROR(IF(ISNUMBER(Raw!G649),TRUE,OR(EXACT(L649,TEXT(M649,"0.00")),EXACT(L649,TEXT(M649,"#,##0.00")))),FALSE)</f>
        <v>1</v>
      </c>
      <c r="P649" s="1" t="str">
        <f>LEN(IF(Raw!A649="","",Raw!A649))&amp;":"&amp;IF(Raw!A649="","",Raw!A649)&amp;"|"&amp;LEN(IF(Raw!B649="","",Raw!B649))&amp;":"&amp;IF(Raw!B649="","",Raw!B649)&amp;"|"&amp;LEN(IF(Raw!C649="","",Raw!C649))&amp;":"&amp;IF(Raw!C649="","",Raw!C649)&amp;"|"&amp;LEN(IF(Raw!D649="","",Raw!D649))&amp;":"&amp;IF(Raw!D649="","",Raw!D649)&amp;"|"&amp;LEN(IF(Raw!E649="","",Raw!E649))&amp;":"&amp;IF(Raw!E649="","",Raw!E649)&amp;"|"&amp;LEN(IF(Raw!F649="","",Raw!F649))&amp;":"&amp;IF(Raw!F649="","",Raw!F649)&amp;"|"&amp;LEN(IF(Raw!G649="","",Raw!G649))&amp;":"&amp;IF(Raw!G649="","",Raw!G649)</f>
        <v>6:L00643|6:T00322|10:2026-03-29|3:P-A|11:Accessories|4:sale|6:612.65</v>
      </c>
      <c r="Q649" s="1">
        <f>1</f>
        <v>1</v>
      </c>
      <c r="R649" s="1" t="b">
        <f>FALSE</f>
        <v>0</v>
      </c>
      <c r="S649" s="1">
        <f>1</f>
        <v>1</v>
      </c>
      <c r="T649" s="1" t="str">
        <f>IF(AND(Raw!A649="",Raw!B649="",Raw!C649="",Raw!D649="",Raw!E649="",Raw!F649="",Raw!G649=""),"UNUSED",IF(A649="","missing line ID",IF(B649="","missing transaction ID",IF(G649="",IF(C649="","missing date","invalid date"),IF(I649="","unknown product",IF(J649="","conflicting category",IF(NOT(OR(EXACT(K649,"sale"),EXACT(K649,"refund"))),"unknown event",IF(OR(N649="",NOT(O649)),"invalid amount",IF(OR(AND(K649="sale",N649&lt;=0),AND(K649="refund",N649&gt;=0)),"invalid sign","")))))))))</f>
        <v/>
      </c>
      <c r="U649" s="1" t="str">
        <f t="shared" si="85"/>
        <v>INCLUDED</v>
      </c>
      <c r="V649" s="1" t="str">
        <f t="shared" si="86"/>
        <v>2026-03</v>
      </c>
      <c r="W649" s="1">
        <f>IF(AND(U649="INCLUDED",X649&gt;0,EXACT(A649,'AI output'!A649)),1,0)</f>
        <v>1</v>
      </c>
      <c r="X649" s="1">
        <f>649</f>
        <v>649</v>
      </c>
      <c r="Y649" s="1">
        <f>IF(AND(U649="INCLUDED",W649=1),--(NOT(EXACT(A649,'AI output'!A649)))+--(NOT(EXACT(B649,'AI output'!B649)))+--(NOT(EXACT(TEXT(G649,"yyyy-mm-dd"),'AI output'!C649)))+--(NOT(EXACT(H649,'AI output'!D649)))+--(NOT(EXACT(J649,'AI output'!E649)))+--(NOT(EXACT(K649,'AI output'!F649)))+--(N649&lt;&gt;'AI output'!L649)+--(NOT('AI output'!M649)),0)</f>
        <v>0</v>
      </c>
      <c r="Z649" s="1">
        <f t="shared" si="87"/>
        <v>0</v>
      </c>
      <c r="AA649" s="1">
        <f>--EXACT(A649,"L00643")</f>
        <v>1</v>
      </c>
    </row>
    <row r="650" spans="1:27" ht="18.95" customHeight="1">
      <c r="A650" s="1" t="str">
        <f>IF(Raw!A650="","",Raw!A650)</f>
        <v>L00644</v>
      </c>
      <c r="B650" s="1" t="str">
        <f>IF(Raw!B650="","",Raw!B650)</f>
        <v>T00322</v>
      </c>
      <c r="C650" s="1" t="str">
        <f>IF(Raw!C650="","",Raw!C650)</f>
        <v>2026-03-29</v>
      </c>
      <c r="D650" s="1">
        <f t="shared" si="80"/>
        <v>2026</v>
      </c>
      <c r="E650" s="1">
        <f>IFERROR(IF(AND(LEN(C650)=10,MID(C650,5,1)="-",MID(C650,8,1)="-"),VALUE(MID(C650,6,2)),IF(AND(LEN(C650)=11,MID(C650,3,1)="-",MID(C650,7,1)="-"),MATCH(UPPER(MID(C650,4,3)),Guide!$D$7:$D$18,0),0)),0)</f>
        <v>3</v>
      </c>
      <c r="F650" s="1">
        <f t="shared" si="81"/>
        <v>29</v>
      </c>
      <c r="G650" s="9">
        <f t="shared" si="82"/>
        <v>46110</v>
      </c>
      <c r="H650" s="1" t="str">
        <f>IF(Raw!D650="","",Raw!D650)</f>
        <v>P-H</v>
      </c>
      <c r="I650" s="1" t="str">
        <f>IFERROR(IF(EXACT(H650,INDEX(Guide!$A$7:$A$9,MATCH(SUBSTITUTE(SUBSTITUTE(SUBSTITUTE(H650,"~","~~"),"*","~*"),"?","~?"),Guide!$A$7:$A$9,0))),INDEX(Guide!$B$7:$B$9,MATCH(SUBSTITUTE(SUBSTITUTE(SUBSTITUTE(H650,"~","~~"),"*","~*"),"?","~?"),Guide!$A$7:$A$9,0)),""),"")</f>
        <v>Home</v>
      </c>
      <c r="J650" s="1" t="str">
        <f>IF(TRIM(Raw!E650)="",I650,IF(UPPER(TRIM(Raw!E650))=UPPER(I650),I650,""))</f>
        <v>Home</v>
      </c>
      <c r="K650" s="1" t="str">
        <f>IF(Raw!F650="","",Raw!F650)</f>
        <v>sale</v>
      </c>
      <c r="L650" s="1" t="str">
        <f>IF(LEFT(TRIM(Raw!G650),2)="-$","-"&amp;MID(TRIM(Raw!G650),3,99),IF(LEFT(TRIM(Raw!G650),1)="$",MID(TRIM(Raw!G650),2,99),TRIM(Raw!G650)))</f>
        <v>245.80</v>
      </c>
      <c r="M650" s="1">
        <f t="shared" si="83"/>
        <v>245.8</v>
      </c>
      <c r="N650" s="10">
        <f t="shared" si="84"/>
        <v>24580</v>
      </c>
      <c r="O650" s="1" t="b">
        <f>IFERROR(IF(ISNUMBER(Raw!G650),TRUE,OR(EXACT(L650,TEXT(M650,"0.00")),EXACT(L650,TEXT(M650,"#,##0.00")))),FALSE)</f>
        <v>1</v>
      </c>
      <c r="P650" s="1" t="str">
        <f>LEN(IF(Raw!A650="","",Raw!A650))&amp;":"&amp;IF(Raw!A650="","",Raw!A650)&amp;"|"&amp;LEN(IF(Raw!B650="","",Raw!B650))&amp;":"&amp;IF(Raw!B650="","",Raw!B650)&amp;"|"&amp;LEN(IF(Raw!C650="","",Raw!C650))&amp;":"&amp;IF(Raw!C650="","",Raw!C650)&amp;"|"&amp;LEN(IF(Raw!D650="","",Raw!D650))&amp;":"&amp;IF(Raw!D650="","",Raw!D650)&amp;"|"&amp;LEN(IF(Raw!E650="","",Raw!E650))&amp;":"&amp;IF(Raw!E650="","",Raw!E650)&amp;"|"&amp;LEN(IF(Raw!F650="","",Raw!F650))&amp;":"&amp;IF(Raw!F650="","",Raw!F650)&amp;"|"&amp;LEN(IF(Raw!G650="","",Raw!G650))&amp;":"&amp;IF(Raw!G650="","",Raw!G650)</f>
        <v>6:L00644|6:T00322|10:2026-03-29|3:P-H|4:Home|4:sale|6:245.80</v>
      </c>
      <c r="Q650" s="1">
        <f>1</f>
        <v>1</v>
      </c>
      <c r="R650" s="1" t="b">
        <f>FALSE</f>
        <v>0</v>
      </c>
      <c r="S650" s="1">
        <f>1</f>
        <v>1</v>
      </c>
      <c r="T650" s="1" t="str">
        <f>IF(AND(Raw!A650="",Raw!B650="",Raw!C650="",Raw!D650="",Raw!E650="",Raw!F650="",Raw!G650=""),"UNUSED",IF(A650="","missing line ID",IF(B650="","missing transaction ID",IF(G650="",IF(C650="","missing date","invalid date"),IF(I650="","unknown product",IF(J650="","conflicting category",IF(NOT(OR(EXACT(K650,"sale"),EXACT(K650,"refund"))),"unknown event",IF(OR(N650="",NOT(O650)),"invalid amount",IF(OR(AND(K650="sale",N650&lt;=0),AND(K650="refund",N650&gt;=0)),"invalid sign","")))))))))</f>
        <v/>
      </c>
      <c r="U650" s="1" t="str">
        <f t="shared" si="85"/>
        <v>INCLUDED</v>
      </c>
      <c r="V650" s="1" t="str">
        <f t="shared" si="86"/>
        <v>2026-03</v>
      </c>
      <c r="W650" s="1">
        <f>IF(AND(U650="INCLUDED",X650&gt;0,EXACT(A650,'AI output'!A650)),1,0)</f>
        <v>1</v>
      </c>
      <c r="X650" s="1">
        <f>650</f>
        <v>650</v>
      </c>
      <c r="Y650" s="1">
        <f>IF(AND(U650="INCLUDED",W650=1),--(NOT(EXACT(A650,'AI output'!A650)))+--(NOT(EXACT(B650,'AI output'!B650)))+--(NOT(EXACT(TEXT(G650,"yyyy-mm-dd"),'AI output'!C650)))+--(NOT(EXACT(H650,'AI output'!D650)))+--(NOT(EXACT(J650,'AI output'!E650)))+--(NOT(EXACT(K650,'AI output'!F650)))+--(N650&lt;&gt;'AI output'!L650)+--(NOT('AI output'!M650)),0)</f>
        <v>0</v>
      </c>
      <c r="Z650" s="1">
        <f t="shared" si="87"/>
        <v>0</v>
      </c>
      <c r="AA650" s="1">
        <f>--EXACT(A650,"L00644")</f>
        <v>1</v>
      </c>
    </row>
    <row r="651" spans="1:27" ht="18.95" customHeight="1">
      <c r="A651" s="1" t="str">
        <f>IF(Raw!A651="","",Raw!A651)</f>
        <v>L00645</v>
      </c>
      <c r="B651" s="1" t="str">
        <f>IF(Raw!B651="","",Raw!B651)</f>
        <v>T00323</v>
      </c>
      <c r="C651" s="1" t="str">
        <f>IF(Raw!C651="","",Raw!C651)</f>
        <v>2026-01-05</v>
      </c>
      <c r="D651" s="1">
        <f t="shared" si="80"/>
        <v>2026</v>
      </c>
      <c r="E651" s="1">
        <f>IFERROR(IF(AND(LEN(C651)=10,MID(C651,5,1)="-",MID(C651,8,1)="-"),VALUE(MID(C651,6,2)),IF(AND(LEN(C651)=11,MID(C651,3,1)="-",MID(C651,7,1)="-"),MATCH(UPPER(MID(C651,4,3)),Guide!$D$7:$D$18,0),0)),0)</f>
        <v>1</v>
      </c>
      <c r="F651" s="1">
        <f t="shared" si="81"/>
        <v>5</v>
      </c>
      <c r="G651" s="9">
        <f t="shared" si="82"/>
        <v>46027</v>
      </c>
      <c r="H651" s="1" t="str">
        <f>IF(Raw!D651="","",Raw!D651)</f>
        <v>P-O</v>
      </c>
      <c r="I651" s="1" t="str">
        <f>IFERROR(IF(EXACT(H651,INDEX(Guide!$A$7:$A$9,MATCH(SUBSTITUTE(SUBSTITUTE(SUBSTITUTE(H651,"~","~~"),"*","~*"),"?","~?"),Guide!$A$7:$A$9,0))),INDEX(Guide!$B$7:$B$9,MATCH(SUBSTITUTE(SUBSTITUTE(SUBSTITUTE(H651,"~","~~"),"*","~*"),"?","~?"),Guide!$A$7:$A$9,0)),""),"")</f>
        <v>Office</v>
      </c>
      <c r="J651" s="1" t="str">
        <f>IF(TRIM(Raw!E651)="",I651,IF(UPPER(TRIM(Raw!E651))=UPPER(I651),I651,""))</f>
        <v>Office</v>
      </c>
      <c r="K651" s="1" t="str">
        <f>IF(Raw!F651="","",Raw!F651)</f>
        <v>refund</v>
      </c>
      <c r="L651" s="1" t="str">
        <f>IF(LEFT(TRIM(Raw!G651),2)="-$","-"&amp;MID(TRIM(Raw!G651),3,99),IF(LEFT(TRIM(Raw!G651),1)="$",MID(TRIM(Raw!G651),2,99),TRIM(Raw!G651)))</f>
        <v>-493.08</v>
      </c>
      <c r="M651" s="1">
        <f t="shared" si="83"/>
        <v>-493.08</v>
      </c>
      <c r="N651" s="10">
        <f t="shared" si="84"/>
        <v>-49308</v>
      </c>
      <c r="O651" s="1" t="b">
        <f>IFERROR(IF(ISNUMBER(Raw!G651),TRUE,OR(EXACT(L651,TEXT(M651,"0.00")),EXACT(L651,TEXT(M651,"#,##0.00")))),FALSE)</f>
        <v>1</v>
      </c>
      <c r="P651" s="1" t="str">
        <f>LEN(IF(Raw!A651="","",Raw!A651))&amp;":"&amp;IF(Raw!A651="","",Raw!A651)&amp;"|"&amp;LEN(IF(Raw!B651="","",Raw!B651))&amp;":"&amp;IF(Raw!B651="","",Raw!B651)&amp;"|"&amp;LEN(IF(Raw!C651="","",Raw!C651))&amp;":"&amp;IF(Raw!C651="","",Raw!C651)&amp;"|"&amp;LEN(IF(Raw!D651="","",Raw!D651))&amp;":"&amp;IF(Raw!D651="","",Raw!D651)&amp;"|"&amp;LEN(IF(Raw!E651="","",Raw!E651))&amp;":"&amp;IF(Raw!E651="","",Raw!E651)&amp;"|"&amp;LEN(IF(Raw!F651="","",Raw!F651))&amp;":"&amp;IF(Raw!F651="","",Raw!F651)&amp;"|"&amp;LEN(IF(Raw!G651="","",Raw!G651))&amp;":"&amp;IF(Raw!G651="","",Raw!G651)</f>
        <v>6:L00645|6:T00323|10:2026-01-05|3:P-O|6:Office|6:refund|7:-493.08</v>
      </c>
      <c r="Q651" s="1">
        <f>1</f>
        <v>1</v>
      </c>
      <c r="R651" s="1" t="b">
        <f>FALSE</f>
        <v>0</v>
      </c>
      <c r="S651" s="1">
        <f>1</f>
        <v>1</v>
      </c>
      <c r="T651" s="1" t="str">
        <f>IF(AND(Raw!A651="",Raw!B651="",Raw!C651="",Raw!D651="",Raw!E651="",Raw!F651="",Raw!G651=""),"UNUSED",IF(A651="","missing line ID",IF(B651="","missing transaction ID",IF(G651="",IF(C651="","missing date","invalid date"),IF(I651="","unknown product",IF(J651="","conflicting category",IF(NOT(OR(EXACT(K651,"sale"),EXACT(K651,"refund"))),"unknown event",IF(OR(N651="",NOT(O651)),"invalid amount",IF(OR(AND(K651="sale",N651&lt;=0),AND(K651="refund",N651&gt;=0)),"invalid sign","")))))))))</f>
        <v/>
      </c>
      <c r="U651" s="1" t="str">
        <f t="shared" si="85"/>
        <v>INCLUDED</v>
      </c>
      <c r="V651" s="1" t="str">
        <f t="shared" si="86"/>
        <v>2026-01</v>
      </c>
      <c r="W651" s="1">
        <f>IF(AND(U651="INCLUDED",X651&gt;0,EXACT(A651,'AI output'!A651)),1,0)</f>
        <v>1</v>
      </c>
      <c r="X651" s="1">
        <f>651</f>
        <v>651</v>
      </c>
      <c r="Y651" s="1">
        <f>IF(AND(U651="INCLUDED",W651=1),--(NOT(EXACT(A651,'AI output'!A651)))+--(NOT(EXACT(B651,'AI output'!B651)))+--(NOT(EXACT(TEXT(G651,"yyyy-mm-dd"),'AI output'!C651)))+--(NOT(EXACT(H651,'AI output'!D651)))+--(NOT(EXACT(J651,'AI output'!E651)))+--(NOT(EXACT(K651,'AI output'!F651)))+--(N651&lt;&gt;'AI output'!L651)+--(NOT('AI output'!M651)),0)</f>
        <v>0</v>
      </c>
      <c r="Z651" s="1">
        <f t="shared" si="87"/>
        <v>0</v>
      </c>
      <c r="AA651" s="1">
        <f>--EXACT(A651,"L00645")</f>
        <v>1</v>
      </c>
    </row>
    <row r="652" spans="1:27" ht="18.95" customHeight="1">
      <c r="A652" s="1" t="str">
        <f>IF(Raw!A652="","",Raw!A652)</f>
        <v>L00646</v>
      </c>
      <c r="B652" s="1" t="str">
        <f>IF(Raw!B652="","",Raw!B652)</f>
        <v>T00323</v>
      </c>
      <c r="C652" s="1" t="str">
        <f>IF(Raw!C652="","",Raw!C652)</f>
        <v>2026-01-05</v>
      </c>
      <c r="D652" s="1">
        <f t="shared" si="80"/>
        <v>2026</v>
      </c>
      <c r="E652" s="1">
        <f>IFERROR(IF(AND(LEN(C652)=10,MID(C652,5,1)="-",MID(C652,8,1)="-"),VALUE(MID(C652,6,2)),IF(AND(LEN(C652)=11,MID(C652,3,1)="-",MID(C652,7,1)="-"),MATCH(UPPER(MID(C652,4,3)),Guide!$D$7:$D$18,0),0)),0)</f>
        <v>1</v>
      </c>
      <c r="F652" s="1">
        <f t="shared" si="81"/>
        <v>5</v>
      </c>
      <c r="G652" s="9">
        <f t="shared" si="82"/>
        <v>46027</v>
      </c>
      <c r="H652" s="1" t="str">
        <f>IF(Raw!D652="","",Raw!D652)</f>
        <v>P-A</v>
      </c>
      <c r="I652" s="1" t="str">
        <f>IFERROR(IF(EXACT(H652,INDEX(Guide!$A$7:$A$9,MATCH(SUBSTITUTE(SUBSTITUTE(SUBSTITUTE(H652,"~","~~"),"*","~*"),"?","~?"),Guide!$A$7:$A$9,0))),INDEX(Guide!$B$7:$B$9,MATCH(SUBSTITUTE(SUBSTITUTE(SUBSTITUTE(H652,"~","~~"),"*","~*"),"?","~?"),Guide!$A$7:$A$9,0)),""),"")</f>
        <v>Accessories</v>
      </c>
      <c r="J652" s="1" t="str">
        <f>IF(TRIM(Raw!E652)="",I652,IF(UPPER(TRIM(Raw!E652))=UPPER(I652),I652,""))</f>
        <v>Accessories</v>
      </c>
      <c r="K652" s="1" t="str">
        <f>IF(Raw!F652="","",Raw!F652)</f>
        <v>sale</v>
      </c>
      <c r="L652" s="1" t="str">
        <f>IF(LEFT(TRIM(Raw!G652),2)="-$","-"&amp;MID(TRIM(Raw!G652),3,99),IF(LEFT(TRIM(Raw!G652),1)="$",MID(TRIM(Raw!G652),2,99),TRIM(Raw!G652)))</f>
        <v>123.64</v>
      </c>
      <c r="M652" s="1">
        <f t="shared" si="83"/>
        <v>123.64</v>
      </c>
      <c r="N652" s="10">
        <f t="shared" si="84"/>
        <v>12364</v>
      </c>
      <c r="O652" s="1" t="b">
        <f>IFERROR(IF(ISNUMBER(Raw!G652),TRUE,OR(EXACT(L652,TEXT(M652,"0.00")),EXACT(L652,TEXT(M652,"#,##0.00")))),FALSE)</f>
        <v>1</v>
      </c>
      <c r="P652" s="1" t="str">
        <f>LEN(IF(Raw!A652="","",Raw!A652))&amp;":"&amp;IF(Raw!A652="","",Raw!A652)&amp;"|"&amp;LEN(IF(Raw!B652="","",Raw!B652))&amp;":"&amp;IF(Raw!B652="","",Raw!B652)&amp;"|"&amp;LEN(IF(Raw!C652="","",Raw!C652))&amp;":"&amp;IF(Raw!C652="","",Raw!C652)&amp;"|"&amp;LEN(IF(Raw!D652="","",Raw!D652))&amp;":"&amp;IF(Raw!D652="","",Raw!D652)&amp;"|"&amp;LEN(IF(Raw!E652="","",Raw!E652))&amp;":"&amp;IF(Raw!E652="","",Raw!E652)&amp;"|"&amp;LEN(IF(Raw!F652="","",Raw!F652))&amp;":"&amp;IF(Raw!F652="","",Raw!F652)&amp;"|"&amp;LEN(IF(Raw!G652="","",Raw!G652))&amp;":"&amp;IF(Raw!G652="","",Raw!G652)</f>
        <v>6:L00646|6:T00323|10:2026-01-05|3:P-A|11:Accessories|4:sale|6:123.64</v>
      </c>
      <c r="Q652" s="1">
        <f>1</f>
        <v>1</v>
      </c>
      <c r="R652" s="1" t="b">
        <f>FALSE</f>
        <v>0</v>
      </c>
      <c r="S652" s="1">
        <f>1</f>
        <v>1</v>
      </c>
      <c r="T652" s="1" t="str">
        <f>IF(AND(Raw!A652="",Raw!B652="",Raw!C652="",Raw!D652="",Raw!E652="",Raw!F652="",Raw!G652=""),"UNUSED",IF(A652="","missing line ID",IF(B652="","missing transaction ID",IF(G652="",IF(C652="","missing date","invalid date"),IF(I652="","unknown product",IF(J652="","conflicting category",IF(NOT(OR(EXACT(K652,"sale"),EXACT(K652,"refund"))),"unknown event",IF(OR(N652="",NOT(O652)),"invalid amount",IF(OR(AND(K652="sale",N652&lt;=0),AND(K652="refund",N652&gt;=0)),"invalid sign","")))))))))</f>
        <v/>
      </c>
      <c r="U652" s="1" t="str">
        <f t="shared" si="85"/>
        <v>INCLUDED</v>
      </c>
      <c r="V652" s="1" t="str">
        <f t="shared" si="86"/>
        <v>2026-01</v>
      </c>
      <c r="W652" s="1">
        <f>IF(AND(U652="INCLUDED",X652&gt;0,EXACT(A652,'AI output'!A652)),1,0)</f>
        <v>1</v>
      </c>
      <c r="X652" s="1">
        <f>652</f>
        <v>652</v>
      </c>
      <c r="Y652" s="1">
        <f>IF(AND(U652="INCLUDED",W652=1),--(NOT(EXACT(A652,'AI output'!A652)))+--(NOT(EXACT(B652,'AI output'!B652)))+--(NOT(EXACT(TEXT(G652,"yyyy-mm-dd"),'AI output'!C652)))+--(NOT(EXACT(H652,'AI output'!D652)))+--(NOT(EXACT(J652,'AI output'!E652)))+--(NOT(EXACT(K652,'AI output'!F652)))+--(N652&lt;&gt;'AI output'!L652)+--(NOT('AI output'!M652)),0)</f>
        <v>0</v>
      </c>
      <c r="Z652" s="1">
        <f t="shared" si="87"/>
        <v>0</v>
      </c>
      <c r="AA652" s="1">
        <f>--EXACT(A652,"L00646")</f>
        <v>1</v>
      </c>
    </row>
    <row r="653" spans="1:27" ht="18.95" customHeight="1">
      <c r="A653" s="1" t="str">
        <f>IF(Raw!A653="","",Raw!A653)</f>
        <v>L00647</v>
      </c>
      <c r="B653" s="1" t="str">
        <f>IF(Raw!B653="","",Raw!B653)</f>
        <v>T00324</v>
      </c>
      <c r="C653" s="1" t="str">
        <f>IF(Raw!C653="","",Raw!C653)</f>
        <v>2026-01-12</v>
      </c>
      <c r="D653" s="1">
        <f t="shared" si="80"/>
        <v>2026</v>
      </c>
      <c r="E653" s="1">
        <f>IFERROR(IF(AND(LEN(C653)=10,MID(C653,5,1)="-",MID(C653,8,1)="-"),VALUE(MID(C653,6,2)),IF(AND(LEN(C653)=11,MID(C653,3,1)="-",MID(C653,7,1)="-"),MATCH(UPPER(MID(C653,4,3)),Guide!$D$7:$D$18,0),0)),0)</f>
        <v>1</v>
      </c>
      <c r="F653" s="1">
        <f t="shared" si="81"/>
        <v>12</v>
      </c>
      <c r="G653" s="9">
        <f t="shared" si="82"/>
        <v>46034</v>
      </c>
      <c r="H653" s="1" t="str">
        <f>IF(Raw!D653="","",Raw!D653)</f>
        <v>P-H</v>
      </c>
      <c r="I653" s="1" t="str">
        <f>IFERROR(IF(EXACT(H653,INDEX(Guide!$A$7:$A$9,MATCH(SUBSTITUTE(SUBSTITUTE(SUBSTITUTE(H653,"~","~~"),"*","~*"),"?","~?"),Guide!$A$7:$A$9,0))),INDEX(Guide!$B$7:$B$9,MATCH(SUBSTITUTE(SUBSTITUTE(SUBSTITUTE(H653,"~","~~"),"*","~*"),"?","~?"),Guide!$A$7:$A$9,0)),""),"")</f>
        <v>Home</v>
      </c>
      <c r="J653" s="1" t="str">
        <f>IF(TRIM(Raw!E653)="",I653,IF(UPPER(TRIM(Raw!E653))=UPPER(I653),I653,""))</f>
        <v>Home</v>
      </c>
      <c r="K653" s="1" t="str">
        <f>IF(Raw!F653="","",Raw!F653)</f>
        <v>sale</v>
      </c>
      <c r="L653" s="1" t="str">
        <f>IF(LEFT(TRIM(Raw!G653),2)="-$","-"&amp;MID(TRIM(Raw!G653),3,99),IF(LEFT(TRIM(Raw!G653),1)="$",MID(TRIM(Raw!G653),2,99),TRIM(Raw!G653)))</f>
        <v>372.03</v>
      </c>
      <c r="M653" s="1">
        <f t="shared" si="83"/>
        <v>372.03</v>
      </c>
      <c r="N653" s="10">
        <f t="shared" si="84"/>
        <v>37203</v>
      </c>
      <c r="O653" s="1" t="b">
        <f>IFERROR(IF(ISNUMBER(Raw!G653),TRUE,OR(EXACT(L653,TEXT(M653,"0.00")),EXACT(L653,TEXT(M653,"#,##0.00")))),FALSE)</f>
        <v>1</v>
      </c>
      <c r="P653" s="1" t="str">
        <f>LEN(IF(Raw!A653="","",Raw!A653))&amp;":"&amp;IF(Raw!A653="","",Raw!A653)&amp;"|"&amp;LEN(IF(Raw!B653="","",Raw!B653))&amp;":"&amp;IF(Raw!B653="","",Raw!B653)&amp;"|"&amp;LEN(IF(Raw!C653="","",Raw!C653))&amp;":"&amp;IF(Raw!C653="","",Raw!C653)&amp;"|"&amp;LEN(IF(Raw!D653="","",Raw!D653))&amp;":"&amp;IF(Raw!D653="","",Raw!D653)&amp;"|"&amp;LEN(IF(Raw!E653="","",Raw!E653))&amp;":"&amp;IF(Raw!E653="","",Raw!E653)&amp;"|"&amp;LEN(IF(Raw!F653="","",Raw!F653))&amp;":"&amp;IF(Raw!F653="","",Raw!F653)&amp;"|"&amp;LEN(IF(Raw!G653="","",Raw!G653))&amp;":"&amp;IF(Raw!G653="","",Raw!G653)</f>
        <v>6:L00647|6:T00324|10:2026-01-12|3:P-H|4:Home|4:sale|6:372.03</v>
      </c>
      <c r="Q653" s="1">
        <f>1</f>
        <v>1</v>
      </c>
      <c r="R653" s="1" t="b">
        <f>FALSE</f>
        <v>0</v>
      </c>
      <c r="S653" s="1">
        <f>1</f>
        <v>1</v>
      </c>
      <c r="T653" s="1" t="str">
        <f>IF(AND(Raw!A653="",Raw!B653="",Raw!C653="",Raw!D653="",Raw!E653="",Raw!F653="",Raw!G653=""),"UNUSED",IF(A653="","missing line ID",IF(B653="","missing transaction ID",IF(G653="",IF(C653="","missing date","invalid date"),IF(I653="","unknown product",IF(J653="","conflicting category",IF(NOT(OR(EXACT(K653,"sale"),EXACT(K653,"refund"))),"unknown event",IF(OR(N653="",NOT(O653)),"invalid amount",IF(OR(AND(K653="sale",N653&lt;=0),AND(K653="refund",N653&gt;=0)),"invalid sign","")))))))))</f>
        <v/>
      </c>
      <c r="U653" s="1" t="str">
        <f t="shared" si="85"/>
        <v>INCLUDED</v>
      </c>
      <c r="V653" s="1" t="str">
        <f t="shared" si="86"/>
        <v>2026-01</v>
      </c>
      <c r="W653" s="1">
        <f>IF(AND(U653="INCLUDED",X653&gt;0,EXACT(A653,'AI output'!A653)),1,0)</f>
        <v>1</v>
      </c>
      <c r="X653" s="1">
        <f>653</f>
        <v>653</v>
      </c>
      <c r="Y653" s="1">
        <f>IF(AND(U653="INCLUDED",W653=1),--(NOT(EXACT(A653,'AI output'!A653)))+--(NOT(EXACT(B653,'AI output'!B653)))+--(NOT(EXACT(TEXT(G653,"yyyy-mm-dd"),'AI output'!C653)))+--(NOT(EXACT(H653,'AI output'!D653)))+--(NOT(EXACT(J653,'AI output'!E653)))+--(NOT(EXACT(K653,'AI output'!F653)))+--(N653&lt;&gt;'AI output'!L653)+--(NOT('AI output'!M653)),0)</f>
        <v>0</v>
      </c>
      <c r="Z653" s="1">
        <f t="shared" si="87"/>
        <v>0</v>
      </c>
      <c r="AA653" s="1">
        <f>--EXACT(A653,"L00647")</f>
        <v>1</v>
      </c>
    </row>
    <row r="654" spans="1:27" ht="18.95" customHeight="1">
      <c r="A654" s="1" t="str">
        <f>IF(Raw!A654="","",Raw!A654)</f>
        <v>L00648</v>
      </c>
      <c r="B654" s="1" t="str">
        <f>IF(Raw!B654="","",Raw!B654)</f>
        <v>T00324</v>
      </c>
      <c r="C654" s="1" t="str">
        <f>IF(Raw!C654="","",Raw!C654)</f>
        <v>2026-01-12</v>
      </c>
      <c r="D654" s="1">
        <f t="shared" si="80"/>
        <v>2026</v>
      </c>
      <c r="E654" s="1">
        <f>IFERROR(IF(AND(LEN(C654)=10,MID(C654,5,1)="-",MID(C654,8,1)="-"),VALUE(MID(C654,6,2)),IF(AND(LEN(C654)=11,MID(C654,3,1)="-",MID(C654,7,1)="-"),MATCH(UPPER(MID(C654,4,3)),Guide!$D$7:$D$18,0),0)),0)</f>
        <v>1</v>
      </c>
      <c r="F654" s="1">
        <f t="shared" si="81"/>
        <v>12</v>
      </c>
      <c r="G654" s="9">
        <f t="shared" si="82"/>
        <v>46034</v>
      </c>
      <c r="H654" s="1" t="str">
        <f>IF(Raw!D654="","",Raw!D654)</f>
        <v>P-O</v>
      </c>
      <c r="I654" s="1" t="str">
        <f>IFERROR(IF(EXACT(H654,INDEX(Guide!$A$7:$A$9,MATCH(SUBSTITUTE(SUBSTITUTE(SUBSTITUTE(H654,"~","~~"),"*","~*"),"?","~?"),Guide!$A$7:$A$9,0))),INDEX(Guide!$B$7:$B$9,MATCH(SUBSTITUTE(SUBSTITUTE(SUBSTITUTE(H654,"~","~~"),"*","~*"),"?","~?"),Guide!$A$7:$A$9,0)),""),"")</f>
        <v>Office</v>
      </c>
      <c r="J654" s="1" t="str">
        <f>IF(TRIM(Raw!E654)="",I654,IF(UPPER(TRIM(Raw!E654))=UPPER(I654),I654,""))</f>
        <v>Office</v>
      </c>
      <c r="K654" s="1" t="str">
        <f>IF(Raw!F654="","",Raw!F654)</f>
        <v>sale</v>
      </c>
      <c r="L654" s="1" t="str">
        <f>IF(LEFT(TRIM(Raw!G654),2)="-$","-"&amp;MID(TRIM(Raw!G654),3,99),IF(LEFT(TRIM(Raw!G654),1)="$",MID(TRIM(Raw!G654),2,99),TRIM(Raw!G654)))</f>
        <v>621.90</v>
      </c>
      <c r="M654" s="1">
        <f t="shared" si="83"/>
        <v>621.9</v>
      </c>
      <c r="N654" s="10">
        <f t="shared" si="84"/>
        <v>62190</v>
      </c>
      <c r="O654" s="1" t="b">
        <f>IFERROR(IF(ISNUMBER(Raw!G654),TRUE,OR(EXACT(L654,TEXT(M654,"0.00")),EXACT(L654,TEXT(M654,"#,##0.00")))),FALSE)</f>
        <v>1</v>
      </c>
      <c r="P654" s="1" t="str">
        <f>LEN(IF(Raw!A654="","",Raw!A654))&amp;":"&amp;IF(Raw!A654="","",Raw!A654)&amp;"|"&amp;LEN(IF(Raw!B654="","",Raw!B654))&amp;":"&amp;IF(Raw!B654="","",Raw!B654)&amp;"|"&amp;LEN(IF(Raw!C654="","",Raw!C654))&amp;":"&amp;IF(Raw!C654="","",Raw!C654)&amp;"|"&amp;LEN(IF(Raw!D654="","",Raw!D654))&amp;":"&amp;IF(Raw!D654="","",Raw!D654)&amp;"|"&amp;LEN(IF(Raw!E654="","",Raw!E654))&amp;":"&amp;IF(Raw!E654="","",Raw!E654)&amp;"|"&amp;LEN(IF(Raw!F654="","",Raw!F654))&amp;":"&amp;IF(Raw!F654="","",Raw!F654)&amp;"|"&amp;LEN(IF(Raw!G654="","",Raw!G654))&amp;":"&amp;IF(Raw!G654="","",Raw!G654)</f>
        <v>6:L00648|6:T00324|10:2026-01-12|3:P-O|6:Office|4:sale|6:621.90</v>
      </c>
      <c r="Q654" s="1">
        <f>1</f>
        <v>1</v>
      </c>
      <c r="R654" s="1" t="b">
        <f>FALSE</f>
        <v>0</v>
      </c>
      <c r="S654" s="1">
        <f>1</f>
        <v>1</v>
      </c>
      <c r="T654" s="1" t="str">
        <f>IF(AND(Raw!A654="",Raw!B654="",Raw!C654="",Raw!D654="",Raw!E654="",Raw!F654="",Raw!G654=""),"UNUSED",IF(A654="","missing line ID",IF(B654="","missing transaction ID",IF(G654="",IF(C654="","missing date","invalid date"),IF(I654="","unknown product",IF(J654="","conflicting category",IF(NOT(OR(EXACT(K654,"sale"),EXACT(K654,"refund"))),"unknown event",IF(OR(N654="",NOT(O654)),"invalid amount",IF(OR(AND(K654="sale",N654&lt;=0),AND(K654="refund",N654&gt;=0)),"invalid sign","")))))))))</f>
        <v/>
      </c>
      <c r="U654" s="1" t="str">
        <f t="shared" si="85"/>
        <v>INCLUDED</v>
      </c>
      <c r="V654" s="1" t="str">
        <f t="shared" si="86"/>
        <v>2026-01</v>
      </c>
      <c r="W654" s="1">
        <f>IF(AND(U654="INCLUDED",X654&gt;0,EXACT(A654,'AI output'!A654)),1,0)</f>
        <v>1</v>
      </c>
      <c r="X654" s="1">
        <f>654</f>
        <v>654</v>
      </c>
      <c r="Y654" s="1">
        <f>IF(AND(U654="INCLUDED",W654=1),--(NOT(EXACT(A654,'AI output'!A654)))+--(NOT(EXACT(B654,'AI output'!B654)))+--(NOT(EXACT(TEXT(G654,"yyyy-mm-dd"),'AI output'!C654)))+--(NOT(EXACT(H654,'AI output'!D654)))+--(NOT(EXACT(J654,'AI output'!E654)))+--(NOT(EXACT(K654,'AI output'!F654)))+--(N654&lt;&gt;'AI output'!L654)+--(NOT('AI output'!M654)),0)</f>
        <v>0</v>
      </c>
      <c r="Z654" s="1">
        <f t="shared" si="87"/>
        <v>0</v>
      </c>
      <c r="AA654" s="1">
        <f>--EXACT(A654,"L00648")</f>
        <v>1</v>
      </c>
    </row>
    <row r="655" spans="1:27" ht="18.95" customHeight="1">
      <c r="A655" s="1" t="str">
        <f>IF(Raw!A655="","",Raw!A655)</f>
        <v>L00649</v>
      </c>
      <c r="B655" s="1" t="str">
        <f>IF(Raw!B655="","",Raw!B655)</f>
        <v>T00325</v>
      </c>
      <c r="C655" s="1" t="str">
        <f>IF(Raw!C655="","",Raw!C655)</f>
        <v>2026-01-19</v>
      </c>
      <c r="D655" s="1">
        <f t="shared" si="80"/>
        <v>2026</v>
      </c>
      <c r="E655" s="1">
        <f>IFERROR(IF(AND(LEN(C655)=10,MID(C655,5,1)="-",MID(C655,8,1)="-"),VALUE(MID(C655,6,2)),IF(AND(LEN(C655)=11,MID(C655,3,1)="-",MID(C655,7,1)="-"),MATCH(UPPER(MID(C655,4,3)),Guide!$D$7:$D$18,0),0)),0)</f>
        <v>1</v>
      </c>
      <c r="F655" s="1">
        <f t="shared" si="81"/>
        <v>19</v>
      </c>
      <c r="G655" s="9">
        <f t="shared" si="82"/>
        <v>46041</v>
      </c>
      <c r="H655" s="1" t="str">
        <f>IF(Raw!D655="","",Raw!D655)</f>
        <v>P-A</v>
      </c>
      <c r="I655" s="1" t="str">
        <f>IFERROR(IF(EXACT(H655,INDEX(Guide!$A$7:$A$9,MATCH(SUBSTITUTE(SUBSTITUTE(SUBSTITUTE(H655,"~","~~"),"*","~*"),"?","~?"),Guide!$A$7:$A$9,0))),INDEX(Guide!$B$7:$B$9,MATCH(SUBSTITUTE(SUBSTITUTE(SUBSTITUTE(H655,"~","~~"),"*","~*"),"?","~?"),Guide!$A$7:$A$9,0)),""),"")</f>
        <v>Accessories</v>
      </c>
      <c r="J655" s="1" t="str">
        <f>IF(TRIM(Raw!E655)="",I655,IF(UPPER(TRIM(Raw!E655))=UPPER(I655),I655,""))</f>
        <v>Accessories</v>
      </c>
      <c r="K655" s="1" t="str">
        <f>IF(Raw!F655="","",Raw!F655)</f>
        <v>sale</v>
      </c>
      <c r="L655" s="1" t="str">
        <f>IF(LEFT(TRIM(Raw!G655),2)="-$","-"&amp;MID(TRIM(Raw!G655),3,99),IF(LEFT(TRIM(Raw!G655),1)="$",MID(TRIM(Raw!G655),2,99),TRIM(Raw!G655)))</f>
        <v>249.50</v>
      </c>
      <c r="M655" s="1">
        <f t="shared" si="83"/>
        <v>249.5</v>
      </c>
      <c r="N655" s="10">
        <f t="shared" si="84"/>
        <v>24950</v>
      </c>
      <c r="O655" s="1" t="b">
        <f>IFERROR(IF(ISNUMBER(Raw!G655),TRUE,OR(EXACT(L655,TEXT(M655,"0.00")),EXACT(L655,TEXT(M655,"#,##0.00")))),FALSE)</f>
        <v>1</v>
      </c>
      <c r="P655" s="1" t="str">
        <f>LEN(IF(Raw!A655="","",Raw!A655))&amp;":"&amp;IF(Raw!A655="","",Raw!A655)&amp;"|"&amp;LEN(IF(Raw!B655="","",Raw!B655))&amp;":"&amp;IF(Raw!B655="","",Raw!B655)&amp;"|"&amp;LEN(IF(Raw!C655="","",Raw!C655))&amp;":"&amp;IF(Raw!C655="","",Raw!C655)&amp;"|"&amp;LEN(IF(Raw!D655="","",Raw!D655))&amp;":"&amp;IF(Raw!D655="","",Raw!D655)&amp;"|"&amp;LEN(IF(Raw!E655="","",Raw!E655))&amp;":"&amp;IF(Raw!E655="","",Raw!E655)&amp;"|"&amp;LEN(IF(Raw!F655="","",Raw!F655))&amp;":"&amp;IF(Raw!F655="","",Raw!F655)&amp;"|"&amp;LEN(IF(Raw!G655="","",Raw!G655))&amp;":"&amp;IF(Raw!G655="","",Raw!G655)</f>
        <v>6:L00649|6:T00325|10:2026-01-19|3:P-A|11:Accessories|4:sale|6:249.50</v>
      </c>
      <c r="Q655" s="1">
        <f>1</f>
        <v>1</v>
      </c>
      <c r="R655" s="1" t="b">
        <f>FALSE</f>
        <v>0</v>
      </c>
      <c r="S655" s="1">
        <f>1</f>
        <v>1</v>
      </c>
      <c r="T655" s="1" t="str">
        <f>IF(AND(Raw!A655="",Raw!B655="",Raw!C655="",Raw!D655="",Raw!E655="",Raw!F655="",Raw!G655=""),"UNUSED",IF(A655="","missing line ID",IF(B655="","missing transaction ID",IF(G655="",IF(C655="","missing date","invalid date"),IF(I655="","unknown product",IF(J655="","conflicting category",IF(NOT(OR(EXACT(K655,"sale"),EXACT(K655,"refund"))),"unknown event",IF(OR(N655="",NOT(O655)),"invalid amount",IF(OR(AND(K655="sale",N655&lt;=0),AND(K655="refund",N655&gt;=0)),"invalid sign","")))))))))</f>
        <v/>
      </c>
      <c r="U655" s="1" t="str">
        <f t="shared" si="85"/>
        <v>INCLUDED</v>
      </c>
      <c r="V655" s="1" t="str">
        <f t="shared" si="86"/>
        <v>2026-01</v>
      </c>
      <c r="W655" s="1">
        <f>IF(AND(U655="INCLUDED",X655&gt;0,EXACT(A655,'AI output'!A655)),1,0)</f>
        <v>1</v>
      </c>
      <c r="X655" s="1">
        <f>655</f>
        <v>655</v>
      </c>
      <c r="Y655" s="1">
        <f>IF(AND(U655="INCLUDED",W655=1),--(NOT(EXACT(A655,'AI output'!A655)))+--(NOT(EXACT(B655,'AI output'!B655)))+--(NOT(EXACT(TEXT(G655,"yyyy-mm-dd"),'AI output'!C655)))+--(NOT(EXACT(H655,'AI output'!D655)))+--(NOT(EXACT(J655,'AI output'!E655)))+--(NOT(EXACT(K655,'AI output'!F655)))+--(N655&lt;&gt;'AI output'!L655)+--(NOT('AI output'!M655)),0)</f>
        <v>0</v>
      </c>
      <c r="Z655" s="1">
        <f t="shared" si="87"/>
        <v>0</v>
      </c>
      <c r="AA655" s="1">
        <f>--EXACT(A655,"L00649")</f>
        <v>1</v>
      </c>
    </row>
    <row r="656" spans="1:27" ht="18.95" customHeight="1">
      <c r="A656" s="1" t="str">
        <f>IF(Raw!A656="","",Raw!A656)</f>
        <v>L00650</v>
      </c>
      <c r="B656" s="1" t="str">
        <f>IF(Raw!B656="","",Raw!B656)</f>
        <v>T00325</v>
      </c>
      <c r="C656" s="1" t="str">
        <f>IF(Raw!C656="","",Raw!C656)</f>
        <v>2026-01-19</v>
      </c>
      <c r="D656" s="1">
        <f t="shared" si="80"/>
        <v>2026</v>
      </c>
      <c r="E656" s="1">
        <f>IFERROR(IF(AND(LEN(C656)=10,MID(C656,5,1)="-",MID(C656,8,1)="-"),VALUE(MID(C656,6,2)),IF(AND(LEN(C656)=11,MID(C656,3,1)="-",MID(C656,7,1)="-"),MATCH(UPPER(MID(C656,4,3)),Guide!$D$7:$D$18,0),0)),0)</f>
        <v>1</v>
      </c>
      <c r="F656" s="1">
        <f t="shared" si="81"/>
        <v>19</v>
      </c>
      <c r="G656" s="9">
        <f t="shared" si="82"/>
        <v>46041</v>
      </c>
      <c r="H656" s="1" t="str">
        <f>IF(Raw!D656="","",Raw!D656)</f>
        <v>P-H</v>
      </c>
      <c r="I656" s="1" t="str">
        <f>IFERROR(IF(EXACT(H656,INDEX(Guide!$A$7:$A$9,MATCH(SUBSTITUTE(SUBSTITUTE(SUBSTITUTE(H656,"~","~~"),"*","~*"),"?","~?"),Guide!$A$7:$A$9,0))),INDEX(Guide!$B$7:$B$9,MATCH(SUBSTITUTE(SUBSTITUTE(SUBSTITUTE(H656,"~","~~"),"*","~*"),"?","~?"),Guide!$A$7:$A$9,0)),""),"")</f>
        <v>Home</v>
      </c>
      <c r="J656" s="1" t="str">
        <f>IF(TRIM(Raw!E656)="",I656,IF(UPPER(TRIM(Raw!E656))=UPPER(I656),I656,""))</f>
        <v>Home</v>
      </c>
      <c r="K656" s="1" t="str">
        <f>IF(Raw!F656="","",Raw!F656)</f>
        <v>sale</v>
      </c>
      <c r="L656" s="1" t="str">
        <f>IF(LEFT(TRIM(Raw!G656),2)="-$","-"&amp;MID(TRIM(Raw!G656),3,99),IF(LEFT(TRIM(Raw!G656),1)="$",MID(TRIM(Raw!G656),2,99),TRIM(Raw!G656)))</f>
        <v>20.48</v>
      </c>
      <c r="M656" s="1">
        <f t="shared" si="83"/>
        <v>20.48</v>
      </c>
      <c r="N656" s="10">
        <f t="shared" si="84"/>
        <v>2048</v>
      </c>
      <c r="O656" s="1" t="b">
        <f>IFERROR(IF(ISNUMBER(Raw!G656),TRUE,OR(EXACT(L656,TEXT(M656,"0.00")),EXACT(L656,TEXT(M656,"#,##0.00")))),FALSE)</f>
        <v>1</v>
      </c>
      <c r="P656" s="1" t="str">
        <f>LEN(IF(Raw!A656="","",Raw!A656))&amp;":"&amp;IF(Raw!A656="","",Raw!A656)&amp;"|"&amp;LEN(IF(Raw!B656="","",Raw!B656))&amp;":"&amp;IF(Raw!B656="","",Raw!B656)&amp;"|"&amp;LEN(IF(Raw!C656="","",Raw!C656))&amp;":"&amp;IF(Raw!C656="","",Raw!C656)&amp;"|"&amp;LEN(IF(Raw!D656="","",Raw!D656))&amp;":"&amp;IF(Raw!D656="","",Raw!D656)&amp;"|"&amp;LEN(IF(Raw!E656="","",Raw!E656))&amp;":"&amp;IF(Raw!E656="","",Raw!E656)&amp;"|"&amp;LEN(IF(Raw!F656="","",Raw!F656))&amp;":"&amp;IF(Raw!F656="","",Raw!F656)&amp;"|"&amp;LEN(IF(Raw!G656="","",Raw!G656))&amp;":"&amp;IF(Raw!G656="","",Raw!G656)</f>
        <v>6:L00650|6:T00325|10:2026-01-19|3:P-H|4:Home|4:sale|5:20.48</v>
      </c>
      <c r="Q656" s="1">
        <f>1</f>
        <v>1</v>
      </c>
      <c r="R656" s="1" t="b">
        <f>FALSE</f>
        <v>0</v>
      </c>
      <c r="S656" s="1">
        <f>1</f>
        <v>1</v>
      </c>
      <c r="T656" s="1" t="str">
        <f>IF(AND(Raw!A656="",Raw!B656="",Raw!C656="",Raw!D656="",Raw!E656="",Raw!F656="",Raw!G656=""),"UNUSED",IF(A656="","missing line ID",IF(B656="","missing transaction ID",IF(G656="",IF(C656="","missing date","invalid date"),IF(I656="","unknown product",IF(J656="","conflicting category",IF(NOT(OR(EXACT(K656,"sale"),EXACT(K656,"refund"))),"unknown event",IF(OR(N656="",NOT(O656)),"invalid amount",IF(OR(AND(K656="sale",N656&lt;=0),AND(K656="refund",N656&gt;=0)),"invalid sign","")))))))))</f>
        <v/>
      </c>
      <c r="U656" s="1" t="str">
        <f t="shared" si="85"/>
        <v>INCLUDED</v>
      </c>
      <c r="V656" s="1" t="str">
        <f t="shared" si="86"/>
        <v>2026-01</v>
      </c>
      <c r="W656" s="1">
        <f>IF(AND(U656="INCLUDED",X656&gt;0,EXACT(A656,'AI output'!A656)),1,0)</f>
        <v>1</v>
      </c>
      <c r="X656" s="1">
        <f>656</f>
        <v>656</v>
      </c>
      <c r="Y656" s="1">
        <f>IF(AND(U656="INCLUDED",W656=1),--(NOT(EXACT(A656,'AI output'!A656)))+--(NOT(EXACT(B656,'AI output'!B656)))+--(NOT(EXACT(TEXT(G656,"yyyy-mm-dd"),'AI output'!C656)))+--(NOT(EXACT(H656,'AI output'!D656)))+--(NOT(EXACT(J656,'AI output'!E656)))+--(NOT(EXACT(K656,'AI output'!F656)))+--(N656&lt;&gt;'AI output'!L656)+--(NOT('AI output'!M656)),0)</f>
        <v>0</v>
      </c>
      <c r="Z656" s="1">
        <f t="shared" si="87"/>
        <v>0</v>
      </c>
      <c r="AA656" s="1">
        <f>--EXACT(A656,"L00650")</f>
        <v>1</v>
      </c>
    </row>
    <row r="657" spans="1:27" ht="18.95" customHeight="1">
      <c r="A657" s="1" t="str">
        <f>IF(Raw!A657="","",Raw!A657)</f>
        <v>L00651</v>
      </c>
      <c r="B657" s="1" t="str">
        <f>IF(Raw!B657="","",Raw!B657)</f>
        <v>T00326</v>
      </c>
      <c r="C657" s="1" t="str">
        <f>IF(Raw!C657="","",Raw!C657)</f>
        <v>2026-01-26</v>
      </c>
      <c r="D657" s="1">
        <f t="shared" si="80"/>
        <v>2026</v>
      </c>
      <c r="E657" s="1">
        <f>IFERROR(IF(AND(LEN(C657)=10,MID(C657,5,1)="-",MID(C657,8,1)="-"),VALUE(MID(C657,6,2)),IF(AND(LEN(C657)=11,MID(C657,3,1)="-",MID(C657,7,1)="-"),MATCH(UPPER(MID(C657,4,3)),Guide!$D$7:$D$18,0),0)),0)</f>
        <v>1</v>
      </c>
      <c r="F657" s="1">
        <f t="shared" si="81"/>
        <v>26</v>
      </c>
      <c r="G657" s="9">
        <f t="shared" si="82"/>
        <v>46048</v>
      </c>
      <c r="H657" s="1" t="str">
        <f>IF(Raw!D657="","",Raw!D657)</f>
        <v>P-O</v>
      </c>
      <c r="I657" s="1" t="str">
        <f>IFERROR(IF(EXACT(H657,INDEX(Guide!$A$7:$A$9,MATCH(SUBSTITUTE(SUBSTITUTE(SUBSTITUTE(H657,"~","~~"),"*","~*"),"?","~?"),Guide!$A$7:$A$9,0))),INDEX(Guide!$B$7:$B$9,MATCH(SUBSTITUTE(SUBSTITUTE(SUBSTITUTE(H657,"~","~~"),"*","~*"),"?","~?"),Guide!$A$7:$A$9,0)),""),"")</f>
        <v>Office</v>
      </c>
      <c r="J657" s="1" t="str">
        <f>IF(TRIM(Raw!E657)="",I657,IF(UPPER(TRIM(Raw!E657))=UPPER(I657),I657,""))</f>
        <v>Office</v>
      </c>
      <c r="K657" s="1" t="str">
        <f>IF(Raw!F657="","",Raw!F657)</f>
        <v>sale</v>
      </c>
      <c r="L657" s="1" t="str">
        <f>IF(LEFT(TRIM(Raw!G657),2)="-$","-"&amp;MID(TRIM(Raw!G657),3,99),IF(LEFT(TRIM(Raw!G657),1)="$",MID(TRIM(Raw!G657),2,99),TRIM(Raw!G657)))</f>
        <v>5.49</v>
      </c>
      <c r="M657" s="1">
        <f t="shared" si="83"/>
        <v>5.49</v>
      </c>
      <c r="N657" s="10">
        <f t="shared" si="84"/>
        <v>549</v>
      </c>
      <c r="O657" s="1" t="b">
        <f>IFERROR(IF(ISNUMBER(Raw!G657),TRUE,OR(EXACT(L657,TEXT(M657,"0.00")),EXACT(L657,TEXT(M657,"#,##0.00")))),FALSE)</f>
        <v>1</v>
      </c>
      <c r="P657" s="1" t="str">
        <f>LEN(IF(Raw!A657="","",Raw!A657))&amp;":"&amp;IF(Raw!A657="","",Raw!A657)&amp;"|"&amp;LEN(IF(Raw!B657="","",Raw!B657))&amp;":"&amp;IF(Raw!B657="","",Raw!B657)&amp;"|"&amp;LEN(IF(Raw!C657="","",Raw!C657))&amp;":"&amp;IF(Raw!C657="","",Raw!C657)&amp;"|"&amp;LEN(IF(Raw!D657="","",Raw!D657))&amp;":"&amp;IF(Raw!D657="","",Raw!D657)&amp;"|"&amp;LEN(IF(Raw!E657="","",Raw!E657))&amp;":"&amp;IF(Raw!E657="","",Raw!E657)&amp;"|"&amp;LEN(IF(Raw!F657="","",Raw!F657))&amp;":"&amp;IF(Raw!F657="","",Raw!F657)&amp;"|"&amp;LEN(IF(Raw!G657="","",Raw!G657))&amp;":"&amp;IF(Raw!G657="","",Raw!G657)</f>
        <v>6:L00651|6:T00326|10:2026-01-26|3:P-O|6:Office|4:sale|4:5.49</v>
      </c>
      <c r="Q657" s="1">
        <f>1</f>
        <v>1</v>
      </c>
      <c r="R657" s="1" t="b">
        <f>FALSE</f>
        <v>0</v>
      </c>
      <c r="S657" s="1">
        <f>1</f>
        <v>1</v>
      </c>
      <c r="T657" s="1" t="str">
        <f>IF(AND(Raw!A657="",Raw!B657="",Raw!C657="",Raw!D657="",Raw!E657="",Raw!F657="",Raw!G657=""),"UNUSED",IF(A657="","missing line ID",IF(B657="","missing transaction ID",IF(G657="",IF(C657="","missing date","invalid date"),IF(I657="","unknown product",IF(J657="","conflicting category",IF(NOT(OR(EXACT(K657,"sale"),EXACT(K657,"refund"))),"unknown event",IF(OR(N657="",NOT(O657)),"invalid amount",IF(OR(AND(K657="sale",N657&lt;=0),AND(K657="refund",N657&gt;=0)),"invalid sign","")))))))))</f>
        <v/>
      </c>
      <c r="U657" s="1" t="str">
        <f t="shared" si="85"/>
        <v>INCLUDED</v>
      </c>
      <c r="V657" s="1" t="str">
        <f t="shared" si="86"/>
        <v>2026-01</v>
      </c>
      <c r="W657" s="1">
        <f>IF(AND(U657="INCLUDED",X657&gt;0,EXACT(A657,'AI output'!A657)),1,0)</f>
        <v>1</v>
      </c>
      <c r="X657" s="1">
        <f>657</f>
        <v>657</v>
      </c>
      <c r="Y657" s="1">
        <f>IF(AND(U657="INCLUDED",W657=1),--(NOT(EXACT(A657,'AI output'!A657)))+--(NOT(EXACT(B657,'AI output'!B657)))+--(NOT(EXACT(TEXT(G657,"yyyy-mm-dd"),'AI output'!C657)))+--(NOT(EXACT(H657,'AI output'!D657)))+--(NOT(EXACT(J657,'AI output'!E657)))+--(NOT(EXACT(K657,'AI output'!F657)))+--(N657&lt;&gt;'AI output'!L657)+--(NOT('AI output'!M657)),0)</f>
        <v>0</v>
      </c>
      <c r="Z657" s="1">
        <f t="shared" si="87"/>
        <v>0</v>
      </c>
      <c r="AA657" s="1">
        <f>--EXACT(A657,"L00651")</f>
        <v>1</v>
      </c>
    </row>
    <row r="658" spans="1:27" ht="18.95" customHeight="1">
      <c r="A658" s="1" t="str">
        <f>IF(Raw!A658="","",Raw!A658)</f>
        <v>L00652</v>
      </c>
      <c r="B658" s="1" t="str">
        <f>IF(Raw!B658="","",Raw!B658)</f>
        <v>T00326</v>
      </c>
      <c r="C658" s="1" t="str">
        <f>IF(Raw!C658="","",Raw!C658)</f>
        <v>2026-01-26</v>
      </c>
      <c r="D658" s="1">
        <f t="shared" si="80"/>
        <v>2026</v>
      </c>
      <c r="E658" s="1">
        <f>IFERROR(IF(AND(LEN(C658)=10,MID(C658,5,1)="-",MID(C658,8,1)="-"),VALUE(MID(C658,6,2)),IF(AND(LEN(C658)=11,MID(C658,3,1)="-",MID(C658,7,1)="-"),MATCH(UPPER(MID(C658,4,3)),Guide!$D$7:$D$18,0),0)),0)</f>
        <v>1</v>
      </c>
      <c r="F658" s="1">
        <f t="shared" si="81"/>
        <v>26</v>
      </c>
      <c r="G658" s="9">
        <f t="shared" si="82"/>
        <v>46048</v>
      </c>
      <c r="H658" s="1" t="str">
        <f>IF(Raw!D658="","",Raw!D658)</f>
        <v>P-A</v>
      </c>
      <c r="I658" s="1" t="str">
        <f>IFERROR(IF(EXACT(H658,INDEX(Guide!$A$7:$A$9,MATCH(SUBSTITUTE(SUBSTITUTE(SUBSTITUTE(H658,"~","~~"),"*","~*"),"?","~?"),Guide!$A$7:$A$9,0))),INDEX(Guide!$B$7:$B$9,MATCH(SUBSTITUTE(SUBSTITUTE(SUBSTITUTE(H658,"~","~~"),"*","~*"),"?","~?"),Guide!$A$7:$A$9,0)),""),"")</f>
        <v>Accessories</v>
      </c>
      <c r="J658" s="1" t="str">
        <f>IF(TRIM(Raw!E658)="",I658,IF(UPPER(TRIM(Raw!E658))=UPPER(I658),I658,""))</f>
        <v>Accessories</v>
      </c>
      <c r="K658" s="1" t="str">
        <f>IF(Raw!F658="","",Raw!F658)</f>
        <v>sale</v>
      </c>
      <c r="L658" s="1" t="str">
        <f>IF(LEFT(TRIM(Raw!G658),2)="-$","-"&amp;MID(TRIM(Raw!G658),3,99),IF(LEFT(TRIM(Raw!G658),1)="$",MID(TRIM(Raw!G658),2,99),TRIM(Raw!G658)))</f>
        <v>17.58</v>
      </c>
      <c r="M658" s="1">
        <f t="shared" si="83"/>
        <v>17.579999999999998</v>
      </c>
      <c r="N658" s="10">
        <f t="shared" si="84"/>
        <v>1758</v>
      </c>
      <c r="O658" s="1" t="b">
        <f>IFERROR(IF(ISNUMBER(Raw!G658),TRUE,OR(EXACT(L658,TEXT(M658,"0.00")),EXACT(L658,TEXT(M658,"#,##0.00")))),FALSE)</f>
        <v>1</v>
      </c>
      <c r="P658" s="1" t="str">
        <f>LEN(IF(Raw!A658="","",Raw!A658))&amp;":"&amp;IF(Raw!A658="","",Raw!A658)&amp;"|"&amp;LEN(IF(Raw!B658="","",Raw!B658))&amp;":"&amp;IF(Raw!B658="","",Raw!B658)&amp;"|"&amp;LEN(IF(Raw!C658="","",Raw!C658))&amp;":"&amp;IF(Raw!C658="","",Raw!C658)&amp;"|"&amp;LEN(IF(Raw!D658="","",Raw!D658))&amp;":"&amp;IF(Raw!D658="","",Raw!D658)&amp;"|"&amp;LEN(IF(Raw!E658="","",Raw!E658))&amp;":"&amp;IF(Raw!E658="","",Raw!E658)&amp;"|"&amp;LEN(IF(Raw!F658="","",Raw!F658))&amp;":"&amp;IF(Raw!F658="","",Raw!F658)&amp;"|"&amp;LEN(IF(Raw!G658="","",Raw!G658))&amp;":"&amp;IF(Raw!G658="","",Raw!G658)</f>
        <v>6:L00652|6:T00326|10:2026-01-26|3:P-A|11:Accessories|4:sale|5:17.58</v>
      </c>
      <c r="Q658" s="1">
        <f>1</f>
        <v>1</v>
      </c>
      <c r="R658" s="1" t="b">
        <f>FALSE</f>
        <v>0</v>
      </c>
      <c r="S658" s="1">
        <f>1</f>
        <v>1</v>
      </c>
      <c r="T658" s="1" t="str">
        <f>IF(AND(Raw!A658="",Raw!B658="",Raw!C658="",Raw!D658="",Raw!E658="",Raw!F658="",Raw!G658=""),"UNUSED",IF(A658="","missing line ID",IF(B658="","missing transaction ID",IF(G658="",IF(C658="","missing date","invalid date"),IF(I658="","unknown product",IF(J658="","conflicting category",IF(NOT(OR(EXACT(K658,"sale"),EXACT(K658,"refund"))),"unknown event",IF(OR(N658="",NOT(O658)),"invalid amount",IF(OR(AND(K658="sale",N658&lt;=0),AND(K658="refund",N658&gt;=0)),"invalid sign","")))))))))</f>
        <v/>
      </c>
      <c r="U658" s="1" t="str">
        <f t="shared" si="85"/>
        <v>INCLUDED</v>
      </c>
      <c r="V658" s="1" t="str">
        <f t="shared" si="86"/>
        <v>2026-01</v>
      </c>
      <c r="W658" s="1">
        <f>IF(AND(U658="INCLUDED",X658&gt;0,EXACT(A658,'AI output'!A658)),1,0)</f>
        <v>1</v>
      </c>
      <c r="X658" s="1">
        <f>658</f>
        <v>658</v>
      </c>
      <c r="Y658" s="1">
        <f>IF(AND(U658="INCLUDED",W658=1),--(NOT(EXACT(A658,'AI output'!A658)))+--(NOT(EXACT(B658,'AI output'!B658)))+--(NOT(EXACT(TEXT(G658,"yyyy-mm-dd"),'AI output'!C658)))+--(NOT(EXACT(H658,'AI output'!D658)))+--(NOT(EXACT(J658,'AI output'!E658)))+--(NOT(EXACT(K658,'AI output'!F658)))+--(N658&lt;&gt;'AI output'!L658)+--(NOT('AI output'!M658)),0)</f>
        <v>0</v>
      </c>
      <c r="Z658" s="1">
        <f t="shared" si="87"/>
        <v>0</v>
      </c>
      <c r="AA658" s="1">
        <f>--EXACT(A658,"L00652")</f>
        <v>1</v>
      </c>
    </row>
    <row r="659" spans="1:27" ht="18.95" customHeight="1">
      <c r="A659" s="1" t="str">
        <f>IF(Raw!A659="","",Raw!A659)</f>
        <v>L00653</v>
      </c>
      <c r="B659" s="1" t="str">
        <f>IF(Raw!B659="","",Raw!B659)</f>
        <v>T00327</v>
      </c>
      <c r="C659" s="1" t="str">
        <f>IF(Raw!C659="","",Raw!C659)</f>
        <v>2026-02-02</v>
      </c>
      <c r="D659" s="1">
        <f t="shared" si="80"/>
        <v>2026</v>
      </c>
      <c r="E659" s="1">
        <f>IFERROR(IF(AND(LEN(C659)=10,MID(C659,5,1)="-",MID(C659,8,1)="-"),VALUE(MID(C659,6,2)),IF(AND(LEN(C659)=11,MID(C659,3,1)="-",MID(C659,7,1)="-"),MATCH(UPPER(MID(C659,4,3)),Guide!$D$7:$D$18,0),0)),0)</f>
        <v>2</v>
      </c>
      <c r="F659" s="1">
        <f t="shared" si="81"/>
        <v>2</v>
      </c>
      <c r="G659" s="9">
        <f t="shared" si="82"/>
        <v>46055</v>
      </c>
      <c r="H659" s="1" t="str">
        <f>IF(Raw!D659="","",Raw!D659)</f>
        <v>P-H</v>
      </c>
      <c r="I659" s="1" t="str">
        <f>IFERROR(IF(EXACT(H659,INDEX(Guide!$A$7:$A$9,MATCH(SUBSTITUTE(SUBSTITUTE(SUBSTITUTE(H659,"~","~~"),"*","~*"),"?","~?"),Guide!$A$7:$A$9,0))),INDEX(Guide!$B$7:$B$9,MATCH(SUBSTITUTE(SUBSTITUTE(SUBSTITUTE(H659,"~","~~"),"*","~*"),"?","~?"),Guide!$A$7:$A$9,0)),""),"")</f>
        <v>Home</v>
      </c>
      <c r="J659" s="1" t="str">
        <f>IF(TRIM(Raw!E659)="",I659,IF(UPPER(TRIM(Raw!E659))=UPPER(I659),I659,""))</f>
        <v>Home</v>
      </c>
      <c r="K659" s="1" t="str">
        <f>IF(Raw!F659="","",Raw!F659)</f>
        <v>sale</v>
      </c>
      <c r="L659" s="1" t="str">
        <f>IF(LEFT(TRIM(Raw!G659),2)="-$","-"&amp;MID(TRIM(Raw!G659),3,99),IF(LEFT(TRIM(Raw!G659),1)="$",MID(TRIM(Raw!G659),2,99),TRIM(Raw!G659)))</f>
        <v>31.15</v>
      </c>
      <c r="M659" s="1">
        <f t="shared" si="83"/>
        <v>31.15</v>
      </c>
      <c r="N659" s="10">
        <f t="shared" si="84"/>
        <v>3115</v>
      </c>
      <c r="O659" s="1" t="b">
        <f>IFERROR(IF(ISNUMBER(Raw!G659),TRUE,OR(EXACT(L659,TEXT(M659,"0.00")),EXACT(L659,TEXT(M659,"#,##0.00")))),FALSE)</f>
        <v>1</v>
      </c>
      <c r="P659" s="1" t="str">
        <f>LEN(IF(Raw!A659="","",Raw!A659))&amp;":"&amp;IF(Raw!A659="","",Raw!A659)&amp;"|"&amp;LEN(IF(Raw!B659="","",Raw!B659))&amp;":"&amp;IF(Raw!B659="","",Raw!B659)&amp;"|"&amp;LEN(IF(Raw!C659="","",Raw!C659))&amp;":"&amp;IF(Raw!C659="","",Raw!C659)&amp;"|"&amp;LEN(IF(Raw!D659="","",Raw!D659))&amp;":"&amp;IF(Raw!D659="","",Raw!D659)&amp;"|"&amp;LEN(IF(Raw!E659="","",Raw!E659))&amp;":"&amp;IF(Raw!E659="","",Raw!E659)&amp;"|"&amp;LEN(IF(Raw!F659="","",Raw!F659))&amp;":"&amp;IF(Raw!F659="","",Raw!F659)&amp;"|"&amp;LEN(IF(Raw!G659="","",Raw!G659))&amp;":"&amp;IF(Raw!G659="","",Raw!G659)</f>
        <v>6:L00653|6:T00327|10:2026-02-02|3:P-H|4:Home|4:sale|5:31.15</v>
      </c>
      <c r="Q659" s="1">
        <f>1</f>
        <v>1</v>
      </c>
      <c r="R659" s="1" t="b">
        <f>FALSE</f>
        <v>0</v>
      </c>
      <c r="S659" s="1">
        <f>1</f>
        <v>1</v>
      </c>
      <c r="T659" s="1" t="str">
        <f>IF(AND(Raw!A659="",Raw!B659="",Raw!C659="",Raw!D659="",Raw!E659="",Raw!F659="",Raw!G659=""),"UNUSED",IF(A659="","missing line ID",IF(B659="","missing transaction ID",IF(G659="",IF(C659="","missing date","invalid date"),IF(I659="","unknown product",IF(J659="","conflicting category",IF(NOT(OR(EXACT(K659,"sale"),EXACT(K659,"refund"))),"unknown event",IF(OR(N659="",NOT(O659)),"invalid amount",IF(OR(AND(K659="sale",N659&lt;=0),AND(K659="refund",N659&gt;=0)),"invalid sign","")))))))))</f>
        <v/>
      </c>
      <c r="U659" s="1" t="str">
        <f t="shared" si="85"/>
        <v>INCLUDED</v>
      </c>
      <c r="V659" s="1" t="str">
        <f t="shared" si="86"/>
        <v>2026-02</v>
      </c>
      <c r="W659" s="1">
        <f>IF(AND(U659="INCLUDED",X659&gt;0,EXACT(A659,'AI output'!A659)),1,0)</f>
        <v>1</v>
      </c>
      <c r="X659" s="1">
        <f>659</f>
        <v>659</v>
      </c>
      <c r="Y659" s="1">
        <f>IF(AND(U659="INCLUDED",W659=1),--(NOT(EXACT(A659,'AI output'!A659)))+--(NOT(EXACT(B659,'AI output'!B659)))+--(NOT(EXACT(TEXT(G659,"yyyy-mm-dd"),'AI output'!C659)))+--(NOT(EXACT(H659,'AI output'!D659)))+--(NOT(EXACT(J659,'AI output'!E659)))+--(NOT(EXACT(K659,'AI output'!F659)))+--(N659&lt;&gt;'AI output'!L659)+--(NOT('AI output'!M659)),0)</f>
        <v>0</v>
      </c>
      <c r="Z659" s="1">
        <f t="shared" si="87"/>
        <v>0</v>
      </c>
      <c r="AA659" s="1">
        <f>--EXACT(A659,"L00653")</f>
        <v>1</v>
      </c>
    </row>
    <row r="660" spans="1:27" ht="18.95" customHeight="1">
      <c r="A660" s="1" t="str">
        <f>IF(Raw!A660="","",Raw!A660)</f>
        <v>L00654</v>
      </c>
      <c r="B660" s="1" t="str">
        <f>IF(Raw!B660="","",Raw!B660)</f>
        <v>T00327</v>
      </c>
      <c r="C660" s="1" t="str">
        <f>IF(Raw!C660="","",Raw!C660)</f>
        <v>2026-02-02</v>
      </c>
      <c r="D660" s="1">
        <f t="shared" si="80"/>
        <v>2026</v>
      </c>
      <c r="E660" s="1">
        <f>IFERROR(IF(AND(LEN(C660)=10,MID(C660,5,1)="-",MID(C660,8,1)="-"),VALUE(MID(C660,6,2)),IF(AND(LEN(C660)=11,MID(C660,3,1)="-",MID(C660,7,1)="-"),MATCH(UPPER(MID(C660,4,3)),Guide!$D$7:$D$18,0),0)),0)</f>
        <v>2</v>
      </c>
      <c r="F660" s="1">
        <f t="shared" si="81"/>
        <v>2</v>
      </c>
      <c r="G660" s="9">
        <f t="shared" si="82"/>
        <v>46055</v>
      </c>
      <c r="H660" s="1" t="str">
        <f>IF(Raw!D660="","",Raw!D660)</f>
        <v>P-O</v>
      </c>
      <c r="I660" s="1" t="str">
        <f>IFERROR(IF(EXACT(H660,INDEX(Guide!$A$7:$A$9,MATCH(SUBSTITUTE(SUBSTITUTE(SUBSTITUTE(H660,"~","~~"),"*","~*"),"?","~?"),Guide!$A$7:$A$9,0))),INDEX(Guide!$B$7:$B$9,MATCH(SUBSTITUTE(SUBSTITUTE(SUBSTITUTE(H660,"~","~~"),"*","~*"),"?","~?"),Guide!$A$7:$A$9,0)),""),"")</f>
        <v>Office</v>
      </c>
      <c r="J660" s="1" t="str">
        <f>IF(TRIM(Raw!E660)="",I660,IF(UPPER(TRIM(Raw!E660))=UPPER(I660),I660,""))</f>
        <v>Office</v>
      </c>
      <c r="K660" s="1" t="str">
        <f>IF(Raw!F660="","",Raw!F660)</f>
        <v>sale</v>
      </c>
      <c r="L660" s="1" t="str">
        <f>IF(LEFT(TRIM(Raw!G660),2)="-$","-"&amp;MID(TRIM(Raw!G660),3,99),IF(LEFT(TRIM(Raw!G660),1)="$",MID(TRIM(Raw!G660),2,99),TRIM(Raw!G660)))</f>
        <v>13.20</v>
      </c>
      <c r="M660" s="1">
        <f t="shared" si="83"/>
        <v>13.2</v>
      </c>
      <c r="N660" s="10">
        <f t="shared" si="84"/>
        <v>1320</v>
      </c>
      <c r="O660" s="1" t="b">
        <f>IFERROR(IF(ISNUMBER(Raw!G660),TRUE,OR(EXACT(L660,TEXT(M660,"0.00")),EXACT(L660,TEXT(M660,"#,##0.00")))),FALSE)</f>
        <v>1</v>
      </c>
      <c r="P660" s="1" t="str">
        <f>LEN(IF(Raw!A660="","",Raw!A660))&amp;":"&amp;IF(Raw!A660="","",Raw!A660)&amp;"|"&amp;LEN(IF(Raw!B660="","",Raw!B660))&amp;":"&amp;IF(Raw!B660="","",Raw!B660)&amp;"|"&amp;LEN(IF(Raw!C660="","",Raw!C660))&amp;":"&amp;IF(Raw!C660="","",Raw!C660)&amp;"|"&amp;LEN(IF(Raw!D660="","",Raw!D660))&amp;":"&amp;IF(Raw!D660="","",Raw!D660)&amp;"|"&amp;LEN(IF(Raw!E660="","",Raw!E660))&amp;":"&amp;IF(Raw!E660="","",Raw!E660)&amp;"|"&amp;LEN(IF(Raw!F660="","",Raw!F660))&amp;":"&amp;IF(Raw!F660="","",Raw!F660)&amp;"|"&amp;LEN(IF(Raw!G660="","",Raw!G660))&amp;":"&amp;IF(Raw!G660="","",Raw!G660)</f>
        <v>6:L00654|6:T00327|10:2026-02-02|3:P-O|6:Office|4:sale|5:13.20</v>
      </c>
      <c r="Q660" s="1">
        <f>1</f>
        <v>1</v>
      </c>
      <c r="R660" s="1" t="b">
        <f>FALSE</f>
        <v>0</v>
      </c>
      <c r="S660" s="1">
        <f>1</f>
        <v>1</v>
      </c>
      <c r="T660" s="1" t="str">
        <f>IF(AND(Raw!A660="",Raw!B660="",Raw!C660="",Raw!D660="",Raw!E660="",Raw!F660="",Raw!G660=""),"UNUSED",IF(A660="","missing line ID",IF(B660="","missing transaction ID",IF(G660="",IF(C660="","missing date","invalid date"),IF(I660="","unknown product",IF(J660="","conflicting category",IF(NOT(OR(EXACT(K660,"sale"),EXACT(K660,"refund"))),"unknown event",IF(OR(N660="",NOT(O660)),"invalid amount",IF(OR(AND(K660="sale",N660&lt;=0),AND(K660="refund",N660&gt;=0)),"invalid sign","")))))))))</f>
        <v/>
      </c>
      <c r="U660" s="1" t="str">
        <f t="shared" si="85"/>
        <v>INCLUDED</v>
      </c>
      <c r="V660" s="1" t="str">
        <f t="shared" si="86"/>
        <v>2026-02</v>
      </c>
      <c r="W660" s="1">
        <f>IF(AND(U660="INCLUDED",X660&gt;0,EXACT(A660,'AI output'!A660)),1,0)</f>
        <v>1</v>
      </c>
      <c r="X660" s="1">
        <f>660</f>
        <v>660</v>
      </c>
      <c r="Y660" s="1">
        <f>IF(AND(U660="INCLUDED",W660=1),--(NOT(EXACT(A660,'AI output'!A660)))+--(NOT(EXACT(B660,'AI output'!B660)))+--(NOT(EXACT(TEXT(G660,"yyyy-mm-dd"),'AI output'!C660)))+--(NOT(EXACT(H660,'AI output'!D660)))+--(NOT(EXACT(J660,'AI output'!E660)))+--(NOT(EXACT(K660,'AI output'!F660)))+--(N660&lt;&gt;'AI output'!L660)+--(NOT('AI output'!M660)),0)</f>
        <v>0</v>
      </c>
      <c r="Z660" s="1">
        <f t="shared" si="87"/>
        <v>0</v>
      </c>
      <c r="AA660" s="1">
        <f>--EXACT(A660,"L00654")</f>
        <v>1</v>
      </c>
    </row>
    <row r="661" spans="1:27" ht="18.95" customHeight="1">
      <c r="A661" s="1" t="str">
        <f>IF(Raw!A661="","",Raw!A661)</f>
        <v>L00655</v>
      </c>
      <c r="B661" s="1" t="str">
        <f>IF(Raw!B661="","",Raw!B661)</f>
        <v>T00328</v>
      </c>
      <c r="C661" s="1" t="str">
        <f>IF(Raw!C661="","",Raw!C661)</f>
        <v>2026-02-09</v>
      </c>
      <c r="D661" s="1">
        <f t="shared" si="80"/>
        <v>2026</v>
      </c>
      <c r="E661" s="1">
        <f>IFERROR(IF(AND(LEN(C661)=10,MID(C661,5,1)="-",MID(C661,8,1)="-"),VALUE(MID(C661,6,2)),IF(AND(LEN(C661)=11,MID(C661,3,1)="-",MID(C661,7,1)="-"),MATCH(UPPER(MID(C661,4,3)),Guide!$D$7:$D$18,0),0)),0)</f>
        <v>2</v>
      </c>
      <c r="F661" s="1">
        <f t="shared" si="81"/>
        <v>9</v>
      </c>
      <c r="G661" s="9">
        <f t="shared" si="82"/>
        <v>46062</v>
      </c>
      <c r="H661" s="1" t="str">
        <f>IF(Raw!D661="","",Raw!D661)</f>
        <v>P-A</v>
      </c>
      <c r="I661" s="1" t="str">
        <f>IFERROR(IF(EXACT(H661,INDEX(Guide!$A$7:$A$9,MATCH(SUBSTITUTE(SUBSTITUTE(SUBSTITUTE(H661,"~","~~"),"*","~*"),"?","~?"),Guide!$A$7:$A$9,0))),INDEX(Guide!$B$7:$B$9,MATCH(SUBSTITUTE(SUBSTITUTE(SUBSTITUTE(H661,"~","~~"),"*","~*"),"?","~?"),Guide!$A$7:$A$9,0)),""),"")</f>
        <v>Accessories</v>
      </c>
      <c r="J661" s="1" t="str">
        <f>IF(TRIM(Raw!E661)="",I661,IF(UPPER(TRIM(Raw!E661))=UPPER(I661),I661,""))</f>
        <v>Accessories</v>
      </c>
      <c r="K661" s="1" t="str">
        <f>IF(Raw!F661="","",Raw!F661)</f>
        <v>sale</v>
      </c>
      <c r="L661" s="1" t="str">
        <f>IF(LEFT(TRIM(Raw!G661),2)="-$","-"&amp;MID(TRIM(Raw!G661),3,99),IF(LEFT(TRIM(Raw!G661),1)="$",MID(TRIM(Raw!G661),2,99),TRIM(Raw!G661)))</f>
        <v>27.88</v>
      </c>
      <c r="M661" s="1">
        <f t="shared" si="83"/>
        <v>27.88</v>
      </c>
      <c r="N661" s="10">
        <f t="shared" si="84"/>
        <v>2788</v>
      </c>
      <c r="O661" s="1" t="b">
        <f>IFERROR(IF(ISNUMBER(Raw!G661),TRUE,OR(EXACT(L661,TEXT(M661,"0.00")),EXACT(L661,TEXT(M661,"#,##0.00")))),FALSE)</f>
        <v>1</v>
      </c>
      <c r="P661" s="1" t="str">
        <f>LEN(IF(Raw!A661="","",Raw!A661))&amp;":"&amp;IF(Raw!A661="","",Raw!A661)&amp;"|"&amp;LEN(IF(Raw!B661="","",Raw!B661))&amp;":"&amp;IF(Raw!B661="","",Raw!B661)&amp;"|"&amp;LEN(IF(Raw!C661="","",Raw!C661))&amp;":"&amp;IF(Raw!C661="","",Raw!C661)&amp;"|"&amp;LEN(IF(Raw!D661="","",Raw!D661))&amp;":"&amp;IF(Raw!D661="","",Raw!D661)&amp;"|"&amp;LEN(IF(Raw!E661="","",Raw!E661))&amp;":"&amp;IF(Raw!E661="","",Raw!E661)&amp;"|"&amp;LEN(IF(Raw!F661="","",Raw!F661))&amp;":"&amp;IF(Raw!F661="","",Raw!F661)&amp;"|"&amp;LEN(IF(Raw!G661="","",Raw!G661))&amp;":"&amp;IF(Raw!G661="","",Raw!G661)</f>
        <v>6:L00655|6:T00328|10:2026-02-09|3:P-A|11:Accessories|4:sale|5:27.88</v>
      </c>
      <c r="Q661" s="1">
        <f>1</f>
        <v>1</v>
      </c>
      <c r="R661" s="1" t="b">
        <f>FALSE</f>
        <v>0</v>
      </c>
      <c r="S661" s="1">
        <f>1</f>
        <v>1</v>
      </c>
      <c r="T661" s="1" t="str">
        <f>IF(AND(Raw!A661="",Raw!B661="",Raw!C661="",Raw!D661="",Raw!E661="",Raw!F661="",Raw!G661=""),"UNUSED",IF(A661="","missing line ID",IF(B661="","missing transaction ID",IF(G661="",IF(C661="","missing date","invalid date"),IF(I661="","unknown product",IF(J661="","conflicting category",IF(NOT(OR(EXACT(K661,"sale"),EXACT(K661,"refund"))),"unknown event",IF(OR(N661="",NOT(O661)),"invalid amount",IF(OR(AND(K661="sale",N661&lt;=0),AND(K661="refund",N661&gt;=0)),"invalid sign","")))))))))</f>
        <v/>
      </c>
      <c r="U661" s="1" t="str">
        <f t="shared" si="85"/>
        <v>INCLUDED</v>
      </c>
      <c r="V661" s="1" t="str">
        <f t="shared" si="86"/>
        <v>2026-02</v>
      </c>
      <c r="W661" s="1">
        <f>IF(AND(U661="INCLUDED",X661&gt;0,EXACT(A661,'AI output'!A661)),1,0)</f>
        <v>1</v>
      </c>
      <c r="X661" s="1">
        <f>661</f>
        <v>661</v>
      </c>
      <c r="Y661" s="1">
        <f>IF(AND(U661="INCLUDED",W661=1),--(NOT(EXACT(A661,'AI output'!A661)))+--(NOT(EXACT(B661,'AI output'!B661)))+--(NOT(EXACT(TEXT(G661,"yyyy-mm-dd"),'AI output'!C661)))+--(NOT(EXACT(H661,'AI output'!D661)))+--(NOT(EXACT(J661,'AI output'!E661)))+--(NOT(EXACT(K661,'AI output'!F661)))+--(N661&lt;&gt;'AI output'!L661)+--(NOT('AI output'!M661)),0)</f>
        <v>0</v>
      </c>
      <c r="Z661" s="1">
        <f t="shared" si="87"/>
        <v>0</v>
      </c>
      <c r="AA661" s="1">
        <f>--EXACT(A661,"L00655")</f>
        <v>1</v>
      </c>
    </row>
    <row r="662" spans="1:27" ht="18.95" customHeight="1">
      <c r="A662" s="1" t="str">
        <f>IF(Raw!A662="","",Raw!A662)</f>
        <v>L00656</v>
      </c>
      <c r="B662" s="1" t="str">
        <f>IF(Raw!B662="","",Raw!B662)</f>
        <v>T00328</v>
      </c>
      <c r="C662" s="1" t="str">
        <f>IF(Raw!C662="","",Raw!C662)</f>
        <v>2026-02-09</v>
      </c>
      <c r="D662" s="1">
        <f t="shared" si="80"/>
        <v>2026</v>
      </c>
      <c r="E662" s="1">
        <f>IFERROR(IF(AND(LEN(C662)=10,MID(C662,5,1)="-",MID(C662,8,1)="-"),VALUE(MID(C662,6,2)),IF(AND(LEN(C662)=11,MID(C662,3,1)="-",MID(C662,7,1)="-"),MATCH(UPPER(MID(C662,4,3)),Guide!$D$7:$D$18,0),0)),0)</f>
        <v>2</v>
      </c>
      <c r="F662" s="1">
        <f t="shared" si="81"/>
        <v>9</v>
      </c>
      <c r="G662" s="9">
        <f t="shared" si="82"/>
        <v>46062</v>
      </c>
      <c r="H662" s="1" t="str">
        <f>IF(Raw!D662="","",Raw!D662)</f>
        <v>P-H</v>
      </c>
      <c r="I662" s="1" t="str">
        <f>IFERROR(IF(EXACT(H662,INDEX(Guide!$A$7:$A$9,MATCH(SUBSTITUTE(SUBSTITUTE(SUBSTITUTE(H662,"~","~~"),"*","~*"),"?","~?"),Guide!$A$7:$A$9,0))),INDEX(Guide!$B$7:$B$9,MATCH(SUBSTITUTE(SUBSTITUTE(SUBSTITUTE(H662,"~","~~"),"*","~*"),"?","~?"),Guide!$A$7:$A$9,0)),""),"")</f>
        <v>Home</v>
      </c>
      <c r="J662" s="1" t="str">
        <f>IF(TRIM(Raw!E662)="",I662,IF(UPPER(TRIM(Raw!E662))=UPPER(I662),I662,""))</f>
        <v>Home</v>
      </c>
      <c r="K662" s="1" t="str">
        <f>IF(Raw!F662="","",Raw!F662)</f>
        <v>sale</v>
      </c>
      <c r="L662" s="1" t="str">
        <f>IF(LEFT(TRIM(Raw!G662),2)="-$","-"&amp;MID(TRIM(Raw!G662),3,99),IF(LEFT(TRIM(Raw!G662),1)="$",MID(TRIM(Raw!G662),2,99),TRIM(Raw!G662)))</f>
        <v>7.34</v>
      </c>
      <c r="M662" s="1">
        <f t="shared" si="83"/>
        <v>7.34</v>
      </c>
      <c r="N662" s="10">
        <f t="shared" si="84"/>
        <v>734</v>
      </c>
      <c r="O662" s="1" t="b">
        <f>IFERROR(IF(ISNUMBER(Raw!G662),TRUE,OR(EXACT(L662,TEXT(M662,"0.00")),EXACT(L662,TEXT(M662,"#,##0.00")))),FALSE)</f>
        <v>1</v>
      </c>
      <c r="P662" s="1" t="str">
        <f>LEN(IF(Raw!A662="","",Raw!A662))&amp;":"&amp;IF(Raw!A662="","",Raw!A662)&amp;"|"&amp;LEN(IF(Raw!B662="","",Raw!B662))&amp;":"&amp;IF(Raw!B662="","",Raw!B662)&amp;"|"&amp;LEN(IF(Raw!C662="","",Raw!C662))&amp;":"&amp;IF(Raw!C662="","",Raw!C662)&amp;"|"&amp;LEN(IF(Raw!D662="","",Raw!D662))&amp;":"&amp;IF(Raw!D662="","",Raw!D662)&amp;"|"&amp;LEN(IF(Raw!E662="","",Raw!E662))&amp;":"&amp;IF(Raw!E662="","",Raw!E662)&amp;"|"&amp;LEN(IF(Raw!F662="","",Raw!F662))&amp;":"&amp;IF(Raw!F662="","",Raw!F662)&amp;"|"&amp;LEN(IF(Raw!G662="","",Raw!G662))&amp;":"&amp;IF(Raw!G662="","",Raw!G662)</f>
        <v>6:L00656|6:T00328|10:2026-02-09|3:P-H|4:Home|4:sale|4:7.34</v>
      </c>
      <c r="Q662" s="1">
        <f>1</f>
        <v>1</v>
      </c>
      <c r="R662" s="1" t="b">
        <f>FALSE</f>
        <v>0</v>
      </c>
      <c r="S662" s="1">
        <f>1</f>
        <v>1</v>
      </c>
      <c r="T662" s="1" t="str">
        <f>IF(AND(Raw!A662="",Raw!B662="",Raw!C662="",Raw!D662="",Raw!E662="",Raw!F662="",Raw!G662=""),"UNUSED",IF(A662="","missing line ID",IF(B662="","missing transaction ID",IF(G662="",IF(C662="","missing date","invalid date"),IF(I662="","unknown product",IF(J662="","conflicting category",IF(NOT(OR(EXACT(K662,"sale"),EXACT(K662,"refund"))),"unknown event",IF(OR(N662="",NOT(O662)),"invalid amount",IF(OR(AND(K662="sale",N662&lt;=0),AND(K662="refund",N662&gt;=0)),"invalid sign","")))))))))</f>
        <v/>
      </c>
      <c r="U662" s="1" t="str">
        <f t="shared" si="85"/>
        <v>INCLUDED</v>
      </c>
      <c r="V662" s="1" t="str">
        <f t="shared" si="86"/>
        <v>2026-02</v>
      </c>
      <c r="W662" s="1">
        <f>IF(AND(U662="INCLUDED",X662&gt;0,EXACT(A662,'AI output'!A662)),1,0)</f>
        <v>1</v>
      </c>
      <c r="X662" s="1">
        <f>662</f>
        <v>662</v>
      </c>
      <c r="Y662" s="1">
        <f>IF(AND(U662="INCLUDED",W662=1),--(NOT(EXACT(A662,'AI output'!A662)))+--(NOT(EXACT(B662,'AI output'!B662)))+--(NOT(EXACT(TEXT(G662,"yyyy-mm-dd"),'AI output'!C662)))+--(NOT(EXACT(H662,'AI output'!D662)))+--(NOT(EXACT(J662,'AI output'!E662)))+--(NOT(EXACT(K662,'AI output'!F662)))+--(N662&lt;&gt;'AI output'!L662)+--(NOT('AI output'!M662)),0)</f>
        <v>0</v>
      </c>
      <c r="Z662" s="1">
        <f t="shared" si="87"/>
        <v>0</v>
      </c>
      <c r="AA662" s="1">
        <f>--EXACT(A662,"L00656")</f>
        <v>1</v>
      </c>
    </row>
    <row r="663" spans="1:27" ht="18.95" customHeight="1">
      <c r="A663" s="1" t="str">
        <f>IF(Raw!A663="","",Raw!A663)</f>
        <v>L00657</v>
      </c>
      <c r="B663" s="1" t="str">
        <f>IF(Raw!B663="","",Raw!B663)</f>
        <v>T00329</v>
      </c>
      <c r="C663" s="1" t="str">
        <f>IF(Raw!C663="","",Raw!C663)</f>
        <v>2026-02-16</v>
      </c>
      <c r="D663" s="1">
        <f t="shared" si="80"/>
        <v>2026</v>
      </c>
      <c r="E663" s="1">
        <f>IFERROR(IF(AND(LEN(C663)=10,MID(C663,5,1)="-",MID(C663,8,1)="-"),VALUE(MID(C663,6,2)),IF(AND(LEN(C663)=11,MID(C663,3,1)="-",MID(C663,7,1)="-"),MATCH(UPPER(MID(C663,4,3)),Guide!$D$7:$D$18,0),0)),0)</f>
        <v>2</v>
      </c>
      <c r="F663" s="1">
        <f t="shared" si="81"/>
        <v>16</v>
      </c>
      <c r="G663" s="9">
        <f t="shared" si="82"/>
        <v>46069</v>
      </c>
      <c r="H663" s="1" t="str">
        <f>IF(Raw!D663="","",Raw!D663)</f>
        <v>P-O</v>
      </c>
      <c r="I663" s="1" t="str">
        <f>IFERROR(IF(EXACT(H663,INDEX(Guide!$A$7:$A$9,MATCH(SUBSTITUTE(SUBSTITUTE(SUBSTITUTE(H663,"~","~~"),"*","~*"),"?","~?"),Guide!$A$7:$A$9,0))),INDEX(Guide!$B$7:$B$9,MATCH(SUBSTITUTE(SUBSTITUTE(SUBSTITUTE(H663,"~","~~"),"*","~*"),"?","~?"),Guide!$A$7:$A$9,0)),""),"")</f>
        <v>Office</v>
      </c>
      <c r="J663" s="1" t="str">
        <f>IF(TRIM(Raw!E663)="",I663,IF(UPPER(TRIM(Raw!E663))=UPPER(I663),I663,""))</f>
        <v>Office</v>
      </c>
      <c r="K663" s="1" t="str">
        <f>IF(Raw!F663="","",Raw!F663)</f>
        <v>sale</v>
      </c>
      <c r="L663" s="1" t="str">
        <f>IF(LEFT(TRIM(Raw!G663),2)="-$","-"&amp;MID(TRIM(Raw!G663),3,99),IF(LEFT(TRIM(Raw!G663),1)="$",MID(TRIM(Raw!G663),2,99),TRIM(Raw!G663)))</f>
        <v>23.13</v>
      </c>
      <c r="M663" s="1">
        <f t="shared" si="83"/>
        <v>23.13</v>
      </c>
      <c r="N663" s="10">
        <f t="shared" si="84"/>
        <v>2313</v>
      </c>
      <c r="O663" s="1" t="b">
        <f>IFERROR(IF(ISNUMBER(Raw!G663),TRUE,OR(EXACT(L663,TEXT(M663,"0.00")),EXACT(L663,TEXT(M663,"#,##0.00")))),FALSE)</f>
        <v>1</v>
      </c>
      <c r="P663" s="1" t="str">
        <f>LEN(IF(Raw!A663="","",Raw!A663))&amp;":"&amp;IF(Raw!A663="","",Raw!A663)&amp;"|"&amp;LEN(IF(Raw!B663="","",Raw!B663))&amp;":"&amp;IF(Raw!B663="","",Raw!B663)&amp;"|"&amp;LEN(IF(Raw!C663="","",Raw!C663))&amp;":"&amp;IF(Raw!C663="","",Raw!C663)&amp;"|"&amp;LEN(IF(Raw!D663="","",Raw!D663))&amp;":"&amp;IF(Raw!D663="","",Raw!D663)&amp;"|"&amp;LEN(IF(Raw!E663="","",Raw!E663))&amp;":"&amp;IF(Raw!E663="","",Raw!E663)&amp;"|"&amp;LEN(IF(Raw!F663="","",Raw!F663))&amp;":"&amp;IF(Raw!F663="","",Raw!F663)&amp;"|"&amp;LEN(IF(Raw!G663="","",Raw!G663))&amp;":"&amp;IF(Raw!G663="","",Raw!G663)</f>
        <v>6:L00657|6:T00329|10:2026-02-16|3:P-O|6:Office|4:sale|5:23.13</v>
      </c>
      <c r="Q663" s="1">
        <f>1</f>
        <v>1</v>
      </c>
      <c r="R663" s="1" t="b">
        <f>FALSE</f>
        <v>0</v>
      </c>
      <c r="S663" s="1">
        <f>1</f>
        <v>1</v>
      </c>
      <c r="T663" s="1" t="str">
        <f>IF(AND(Raw!A663="",Raw!B663="",Raw!C663="",Raw!D663="",Raw!E663="",Raw!F663="",Raw!G663=""),"UNUSED",IF(A663="","missing line ID",IF(B663="","missing transaction ID",IF(G663="",IF(C663="","missing date","invalid date"),IF(I663="","unknown product",IF(J663="","conflicting category",IF(NOT(OR(EXACT(K663,"sale"),EXACT(K663,"refund"))),"unknown event",IF(OR(N663="",NOT(O663)),"invalid amount",IF(OR(AND(K663="sale",N663&lt;=0),AND(K663="refund",N663&gt;=0)),"invalid sign","")))))))))</f>
        <v/>
      </c>
      <c r="U663" s="1" t="str">
        <f t="shared" si="85"/>
        <v>INCLUDED</v>
      </c>
      <c r="V663" s="1" t="str">
        <f t="shared" si="86"/>
        <v>2026-02</v>
      </c>
      <c r="W663" s="1">
        <f>IF(AND(U663="INCLUDED",X663&gt;0,EXACT(A663,'AI output'!A663)),1,0)</f>
        <v>1</v>
      </c>
      <c r="X663" s="1">
        <f>663</f>
        <v>663</v>
      </c>
      <c r="Y663" s="1">
        <f>IF(AND(U663="INCLUDED",W663=1),--(NOT(EXACT(A663,'AI output'!A663)))+--(NOT(EXACT(B663,'AI output'!B663)))+--(NOT(EXACT(TEXT(G663,"yyyy-mm-dd"),'AI output'!C663)))+--(NOT(EXACT(H663,'AI output'!D663)))+--(NOT(EXACT(J663,'AI output'!E663)))+--(NOT(EXACT(K663,'AI output'!F663)))+--(N663&lt;&gt;'AI output'!L663)+--(NOT('AI output'!M663)),0)</f>
        <v>0</v>
      </c>
      <c r="Z663" s="1">
        <f t="shared" si="87"/>
        <v>0</v>
      </c>
      <c r="AA663" s="1">
        <f>--EXACT(A663,"L00657")</f>
        <v>1</v>
      </c>
    </row>
    <row r="664" spans="1:27" ht="18.95" customHeight="1">
      <c r="A664" s="1" t="str">
        <f>IF(Raw!A664="","",Raw!A664)</f>
        <v>L00658</v>
      </c>
      <c r="B664" s="1" t="str">
        <f>IF(Raw!B664="","",Raw!B664)</f>
        <v>T00329</v>
      </c>
      <c r="C664" s="1" t="str">
        <f>IF(Raw!C664="","",Raw!C664)</f>
        <v>2026-02-16</v>
      </c>
      <c r="D664" s="1">
        <f t="shared" si="80"/>
        <v>2026</v>
      </c>
      <c r="E664" s="1">
        <f>IFERROR(IF(AND(LEN(C664)=10,MID(C664,5,1)="-",MID(C664,8,1)="-"),VALUE(MID(C664,6,2)),IF(AND(LEN(C664)=11,MID(C664,3,1)="-",MID(C664,7,1)="-"),MATCH(UPPER(MID(C664,4,3)),Guide!$D$7:$D$18,0),0)),0)</f>
        <v>2</v>
      </c>
      <c r="F664" s="1">
        <f t="shared" si="81"/>
        <v>16</v>
      </c>
      <c r="G664" s="9">
        <f t="shared" si="82"/>
        <v>46069</v>
      </c>
      <c r="H664" s="1" t="str">
        <f>IF(Raw!D664="","",Raw!D664)</f>
        <v>P-A</v>
      </c>
      <c r="I664" s="1" t="str">
        <f>IFERROR(IF(EXACT(H664,INDEX(Guide!$A$7:$A$9,MATCH(SUBSTITUTE(SUBSTITUTE(SUBSTITUTE(H664,"~","~~"),"*","~*"),"?","~?"),Guide!$A$7:$A$9,0))),INDEX(Guide!$B$7:$B$9,MATCH(SUBSTITUTE(SUBSTITUTE(SUBSTITUTE(H664,"~","~~"),"*","~*"),"?","~?"),Guide!$A$7:$A$9,0)),""),"")</f>
        <v>Accessories</v>
      </c>
      <c r="J664" s="1" t="str">
        <f>IF(TRIM(Raw!E664)="",I664,IF(UPPER(TRIM(Raw!E664))=UPPER(I664),I664,""))</f>
        <v>Accessories</v>
      </c>
      <c r="K664" s="1" t="str">
        <f>IF(Raw!F664="","",Raw!F664)</f>
        <v>sale</v>
      </c>
      <c r="L664" s="1" t="str">
        <f>IF(LEFT(TRIM(Raw!G664),2)="-$","-"&amp;MID(TRIM(Raw!G664),3,99),IF(LEFT(TRIM(Raw!G664),1)="$",MID(TRIM(Raw!G664),2,99),TRIM(Raw!G664)))</f>
        <v>40.40</v>
      </c>
      <c r="M664" s="1">
        <f t="shared" si="83"/>
        <v>40.4</v>
      </c>
      <c r="N664" s="10">
        <f t="shared" si="84"/>
        <v>4040</v>
      </c>
      <c r="O664" s="1" t="b">
        <f>IFERROR(IF(ISNUMBER(Raw!G664),TRUE,OR(EXACT(L664,TEXT(M664,"0.00")),EXACT(L664,TEXT(M664,"#,##0.00")))),FALSE)</f>
        <v>1</v>
      </c>
      <c r="P664" s="1" t="str">
        <f>LEN(IF(Raw!A664="","",Raw!A664))&amp;":"&amp;IF(Raw!A664="","",Raw!A664)&amp;"|"&amp;LEN(IF(Raw!B664="","",Raw!B664))&amp;":"&amp;IF(Raw!B664="","",Raw!B664)&amp;"|"&amp;LEN(IF(Raw!C664="","",Raw!C664))&amp;":"&amp;IF(Raw!C664="","",Raw!C664)&amp;"|"&amp;LEN(IF(Raw!D664="","",Raw!D664))&amp;":"&amp;IF(Raw!D664="","",Raw!D664)&amp;"|"&amp;LEN(IF(Raw!E664="","",Raw!E664))&amp;":"&amp;IF(Raw!E664="","",Raw!E664)&amp;"|"&amp;LEN(IF(Raw!F664="","",Raw!F664))&amp;":"&amp;IF(Raw!F664="","",Raw!F664)&amp;"|"&amp;LEN(IF(Raw!G664="","",Raw!G664))&amp;":"&amp;IF(Raw!G664="","",Raw!G664)</f>
        <v>6:L00658|6:T00329|10:2026-02-16|3:P-A|11:Accessories|4:sale|5:40.40</v>
      </c>
      <c r="Q664" s="1">
        <f>1</f>
        <v>1</v>
      </c>
      <c r="R664" s="1" t="b">
        <f>FALSE</f>
        <v>0</v>
      </c>
      <c r="S664" s="1">
        <f>1</f>
        <v>1</v>
      </c>
      <c r="T664" s="1" t="str">
        <f>IF(AND(Raw!A664="",Raw!B664="",Raw!C664="",Raw!D664="",Raw!E664="",Raw!F664="",Raw!G664=""),"UNUSED",IF(A664="","missing line ID",IF(B664="","missing transaction ID",IF(G664="",IF(C664="","missing date","invalid date"),IF(I664="","unknown product",IF(J664="","conflicting category",IF(NOT(OR(EXACT(K664,"sale"),EXACT(K664,"refund"))),"unknown event",IF(OR(N664="",NOT(O664)),"invalid amount",IF(OR(AND(K664="sale",N664&lt;=0),AND(K664="refund",N664&gt;=0)),"invalid sign","")))))))))</f>
        <v/>
      </c>
      <c r="U664" s="1" t="str">
        <f t="shared" si="85"/>
        <v>INCLUDED</v>
      </c>
      <c r="V664" s="1" t="str">
        <f t="shared" si="86"/>
        <v>2026-02</v>
      </c>
      <c r="W664" s="1">
        <f>IF(AND(U664="INCLUDED",X664&gt;0,EXACT(A664,'AI output'!A664)),1,0)</f>
        <v>1</v>
      </c>
      <c r="X664" s="1">
        <f>664</f>
        <v>664</v>
      </c>
      <c r="Y664" s="1">
        <f>IF(AND(U664="INCLUDED",W664=1),--(NOT(EXACT(A664,'AI output'!A664)))+--(NOT(EXACT(B664,'AI output'!B664)))+--(NOT(EXACT(TEXT(G664,"yyyy-mm-dd"),'AI output'!C664)))+--(NOT(EXACT(H664,'AI output'!D664)))+--(NOT(EXACT(J664,'AI output'!E664)))+--(NOT(EXACT(K664,'AI output'!F664)))+--(N664&lt;&gt;'AI output'!L664)+--(NOT('AI output'!M664)),0)</f>
        <v>0</v>
      </c>
      <c r="Z664" s="1">
        <f t="shared" si="87"/>
        <v>0</v>
      </c>
      <c r="AA664" s="1">
        <f>--EXACT(A664,"L00658")</f>
        <v>1</v>
      </c>
    </row>
    <row r="665" spans="1:27" ht="18.95" customHeight="1">
      <c r="A665" s="1" t="str">
        <f>IF(Raw!A665="","",Raw!A665)</f>
        <v>L00659</v>
      </c>
      <c r="B665" s="1" t="str">
        <f>IF(Raw!B665="","",Raw!B665)</f>
        <v>T00330</v>
      </c>
      <c r="C665" s="1" t="str">
        <f>IF(Raw!C665="","",Raw!C665)</f>
        <v>2026-02-23</v>
      </c>
      <c r="D665" s="1">
        <f t="shared" si="80"/>
        <v>2026</v>
      </c>
      <c r="E665" s="1">
        <f>IFERROR(IF(AND(LEN(C665)=10,MID(C665,5,1)="-",MID(C665,8,1)="-"),VALUE(MID(C665,6,2)),IF(AND(LEN(C665)=11,MID(C665,3,1)="-",MID(C665,7,1)="-"),MATCH(UPPER(MID(C665,4,3)),Guide!$D$7:$D$18,0),0)),0)</f>
        <v>2</v>
      </c>
      <c r="F665" s="1">
        <f t="shared" si="81"/>
        <v>23</v>
      </c>
      <c r="G665" s="9">
        <f t="shared" si="82"/>
        <v>46076</v>
      </c>
      <c r="H665" s="1" t="str">
        <f>IF(Raw!D665="","",Raw!D665)</f>
        <v>P-H</v>
      </c>
      <c r="I665" s="1" t="str">
        <f>IFERROR(IF(EXACT(H665,INDEX(Guide!$A$7:$A$9,MATCH(SUBSTITUTE(SUBSTITUTE(SUBSTITUTE(H665,"~","~~"),"*","~*"),"?","~?"),Guide!$A$7:$A$9,0))),INDEX(Guide!$B$7:$B$9,MATCH(SUBSTITUTE(SUBSTITUTE(SUBSTITUTE(H665,"~","~~"),"*","~*"),"?","~?"),Guide!$A$7:$A$9,0)),""),"")</f>
        <v>Home</v>
      </c>
      <c r="J665" s="1" t="str">
        <f>IF(TRIM(Raw!E665)="",I665,IF(UPPER(TRIM(Raw!E665))=UPPER(I665),I665,""))</f>
        <v>Home</v>
      </c>
      <c r="K665" s="1" t="str">
        <f>IF(Raw!F665="","",Raw!F665)</f>
        <v>sale</v>
      </c>
      <c r="L665" s="1" t="str">
        <f>IF(LEFT(TRIM(Raw!G665),2)="-$","-"&amp;MID(TRIM(Raw!G665),3,99),IF(LEFT(TRIM(Raw!G665),1)="$",MID(TRIM(Raw!G665),2,99),TRIM(Raw!G665)))</f>
        <v>16.90</v>
      </c>
      <c r="M665" s="1">
        <f t="shared" si="83"/>
        <v>16.899999999999999</v>
      </c>
      <c r="N665" s="10">
        <f t="shared" si="84"/>
        <v>1690</v>
      </c>
      <c r="O665" s="1" t="b">
        <f>IFERROR(IF(ISNUMBER(Raw!G665),TRUE,OR(EXACT(L665,TEXT(M665,"0.00")),EXACT(L665,TEXT(M665,"#,##0.00")))),FALSE)</f>
        <v>1</v>
      </c>
      <c r="P665" s="1" t="str">
        <f>LEN(IF(Raw!A665="","",Raw!A665))&amp;":"&amp;IF(Raw!A665="","",Raw!A665)&amp;"|"&amp;LEN(IF(Raw!B665="","",Raw!B665))&amp;":"&amp;IF(Raw!B665="","",Raw!B665)&amp;"|"&amp;LEN(IF(Raw!C665="","",Raw!C665))&amp;":"&amp;IF(Raw!C665="","",Raw!C665)&amp;"|"&amp;LEN(IF(Raw!D665="","",Raw!D665))&amp;":"&amp;IF(Raw!D665="","",Raw!D665)&amp;"|"&amp;LEN(IF(Raw!E665="","",Raw!E665))&amp;":"&amp;IF(Raw!E665="","",Raw!E665)&amp;"|"&amp;LEN(IF(Raw!F665="","",Raw!F665))&amp;":"&amp;IF(Raw!F665="","",Raw!F665)&amp;"|"&amp;LEN(IF(Raw!G665="","",Raw!G665))&amp;":"&amp;IF(Raw!G665="","",Raw!G665)</f>
        <v>6:L00659|6:T00330|10:2026-02-23|3:P-H|4:Home|4:sale|5:16.90</v>
      </c>
      <c r="Q665" s="1">
        <f>1</f>
        <v>1</v>
      </c>
      <c r="R665" s="1" t="b">
        <f>FALSE</f>
        <v>0</v>
      </c>
      <c r="S665" s="1">
        <f>1</f>
        <v>1</v>
      </c>
      <c r="T665" s="1" t="str">
        <f>IF(AND(Raw!A665="",Raw!B665="",Raw!C665="",Raw!D665="",Raw!E665="",Raw!F665="",Raw!G665=""),"UNUSED",IF(A665="","missing line ID",IF(B665="","missing transaction ID",IF(G665="",IF(C665="","missing date","invalid date"),IF(I665="","unknown product",IF(J665="","conflicting category",IF(NOT(OR(EXACT(K665,"sale"),EXACT(K665,"refund"))),"unknown event",IF(OR(N665="",NOT(O665)),"invalid amount",IF(OR(AND(K665="sale",N665&lt;=0),AND(K665="refund",N665&gt;=0)),"invalid sign","")))))))))</f>
        <v/>
      </c>
      <c r="U665" s="1" t="str">
        <f t="shared" si="85"/>
        <v>INCLUDED</v>
      </c>
      <c r="V665" s="1" t="str">
        <f t="shared" si="86"/>
        <v>2026-02</v>
      </c>
      <c r="W665" s="1">
        <f>IF(AND(U665="INCLUDED",X665&gt;0,EXACT(A665,'AI output'!A665)),1,0)</f>
        <v>1</v>
      </c>
      <c r="X665" s="1">
        <f>665</f>
        <v>665</v>
      </c>
      <c r="Y665" s="1">
        <f>IF(AND(U665="INCLUDED",W665=1),--(NOT(EXACT(A665,'AI output'!A665)))+--(NOT(EXACT(B665,'AI output'!B665)))+--(NOT(EXACT(TEXT(G665,"yyyy-mm-dd"),'AI output'!C665)))+--(NOT(EXACT(H665,'AI output'!D665)))+--(NOT(EXACT(J665,'AI output'!E665)))+--(NOT(EXACT(K665,'AI output'!F665)))+--(N665&lt;&gt;'AI output'!L665)+--(NOT('AI output'!M665)),0)</f>
        <v>0</v>
      </c>
      <c r="Z665" s="1">
        <f t="shared" si="87"/>
        <v>0</v>
      </c>
      <c r="AA665" s="1">
        <f>--EXACT(A665,"L00659")</f>
        <v>1</v>
      </c>
    </row>
    <row r="666" spans="1:27" ht="18.95" customHeight="1">
      <c r="A666" s="1" t="str">
        <f>IF(Raw!A666="","",Raw!A666)</f>
        <v>L00660</v>
      </c>
      <c r="B666" s="1" t="str">
        <f>IF(Raw!B666="","",Raw!B666)</f>
        <v>T00330</v>
      </c>
      <c r="C666" s="1" t="str">
        <f>IF(Raw!C666="","",Raw!C666)</f>
        <v>2026-02-23</v>
      </c>
      <c r="D666" s="1">
        <f t="shared" si="80"/>
        <v>2026</v>
      </c>
      <c r="E666" s="1">
        <f>IFERROR(IF(AND(LEN(C666)=10,MID(C666,5,1)="-",MID(C666,8,1)="-"),VALUE(MID(C666,6,2)),IF(AND(LEN(C666)=11,MID(C666,3,1)="-",MID(C666,7,1)="-"),MATCH(UPPER(MID(C666,4,3)),Guide!$D$7:$D$18,0),0)),0)</f>
        <v>2</v>
      </c>
      <c r="F666" s="1">
        <f t="shared" si="81"/>
        <v>23</v>
      </c>
      <c r="G666" s="9">
        <f t="shared" si="82"/>
        <v>46076</v>
      </c>
      <c r="H666" s="1" t="str">
        <f>IF(Raw!D666="","",Raw!D666)</f>
        <v>P-O</v>
      </c>
      <c r="I666" s="1" t="str">
        <f>IFERROR(IF(EXACT(H666,INDEX(Guide!$A$7:$A$9,MATCH(SUBSTITUTE(SUBSTITUTE(SUBSTITUTE(H666,"~","~~"),"*","~*"),"?","~?"),Guide!$A$7:$A$9,0))),INDEX(Guide!$B$7:$B$9,MATCH(SUBSTITUTE(SUBSTITUTE(SUBSTITUTE(H666,"~","~~"),"*","~*"),"?","~?"),Guide!$A$7:$A$9,0)),""),"")</f>
        <v>Office</v>
      </c>
      <c r="J666" s="1" t="str">
        <f>IF(TRIM(Raw!E666)="",I666,IF(UPPER(TRIM(Raw!E666))=UPPER(I666),I666,""))</f>
        <v>Office</v>
      </c>
      <c r="K666" s="1" t="str">
        <f>IF(Raw!F666="","",Raw!F666)</f>
        <v>sale</v>
      </c>
      <c r="L666" s="1" t="str">
        <f>IF(LEFT(TRIM(Raw!G666),2)="-$","-"&amp;MID(TRIM(Raw!G666),3,99),IF(LEFT(TRIM(Raw!G666),1)="$",MID(TRIM(Raw!G666),2,99),TRIM(Raw!G666)))</f>
        <v>35.28</v>
      </c>
      <c r="M666" s="1">
        <f t="shared" si="83"/>
        <v>35.28</v>
      </c>
      <c r="N666" s="10">
        <f t="shared" si="84"/>
        <v>3528</v>
      </c>
      <c r="O666" s="1" t="b">
        <f>IFERROR(IF(ISNUMBER(Raw!G666),TRUE,OR(EXACT(L666,TEXT(M666,"0.00")),EXACT(L666,TEXT(M666,"#,##0.00")))),FALSE)</f>
        <v>1</v>
      </c>
      <c r="P666" s="1" t="str">
        <f>LEN(IF(Raw!A666="","",Raw!A666))&amp;":"&amp;IF(Raw!A666="","",Raw!A666)&amp;"|"&amp;LEN(IF(Raw!B666="","",Raw!B666))&amp;":"&amp;IF(Raw!B666="","",Raw!B666)&amp;"|"&amp;LEN(IF(Raw!C666="","",Raw!C666))&amp;":"&amp;IF(Raw!C666="","",Raw!C666)&amp;"|"&amp;LEN(IF(Raw!D666="","",Raw!D666))&amp;":"&amp;IF(Raw!D666="","",Raw!D666)&amp;"|"&amp;LEN(IF(Raw!E666="","",Raw!E666))&amp;":"&amp;IF(Raw!E666="","",Raw!E666)&amp;"|"&amp;LEN(IF(Raw!F666="","",Raw!F666))&amp;":"&amp;IF(Raw!F666="","",Raw!F666)&amp;"|"&amp;LEN(IF(Raw!G666="","",Raw!G666))&amp;":"&amp;IF(Raw!G666="","",Raw!G666)</f>
        <v>6:L00660|6:T00330|10:2026-02-23|3:P-O|6:Office|4:sale|5:35.28</v>
      </c>
      <c r="Q666" s="1">
        <f>1</f>
        <v>1</v>
      </c>
      <c r="R666" s="1" t="b">
        <f>FALSE</f>
        <v>0</v>
      </c>
      <c r="S666" s="1">
        <f>1</f>
        <v>1</v>
      </c>
      <c r="T666" s="1" t="str">
        <f>IF(AND(Raw!A666="",Raw!B666="",Raw!C666="",Raw!D666="",Raw!E666="",Raw!F666="",Raw!G666=""),"UNUSED",IF(A666="","missing line ID",IF(B666="","missing transaction ID",IF(G666="",IF(C666="","missing date","invalid date"),IF(I666="","unknown product",IF(J666="","conflicting category",IF(NOT(OR(EXACT(K666,"sale"),EXACT(K666,"refund"))),"unknown event",IF(OR(N666="",NOT(O666)),"invalid amount",IF(OR(AND(K666="sale",N666&lt;=0),AND(K666="refund",N666&gt;=0)),"invalid sign","")))))))))</f>
        <v/>
      </c>
      <c r="U666" s="1" t="str">
        <f t="shared" si="85"/>
        <v>INCLUDED</v>
      </c>
      <c r="V666" s="1" t="str">
        <f t="shared" si="86"/>
        <v>2026-02</v>
      </c>
      <c r="W666" s="1">
        <f>IF(AND(U666="INCLUDED",X666&gt;0,EXACT(A666,'AI output'!A666)),1,0)</f>
        <v>1</v>
      </c>
      <c r="X666" s="1">
        <f>666</f>
        <v>666</v>
      </c>
      <c r="Y666" s="1">
        <f>IF(AND(U666="INCLUDED",W666=1),--(NOT(EXACT(A666,'AI output'!A666)))+--(NOT(EXACT(B666,'AI output'!B666)))+--(NOT(EXACT(TEXT(G666,"yyyy-mm-dd"),'AI output'!C666)))+--(NOT(EXACT(H666,'AI output'!D666)))+--(NOT(EXACT(J666,'AI output'!E666)))+--(NOT(EXACT(K666,'AI output'!F666)))+--(N666&lt;&gt;'AI output'!L666)+--(NOT('AI output'!M666)),0)</f>
        <v>0</v>
      </c>
      <c r="Z666" s="1">
        <f t="shared" si="87"/>
        <v>0</v>
      </c>
      <c r="AA666" s="1">
        <f>--EXACT(A666,"L00660")</f>
        <v>1</v>
      </c>
    </row>
    <row r="667" spans="1:27" ht="18.95" customHeight="1">
      <c r="A667" s="1" t="str">
        <f>IF(Raw!A667="","",Raw!A667)</f>
        <v>L00661</v>
      </c>
      <c r="B667" s="1" t="str">
        <f>IF(Raw!B667="","",Raw!B667)</f>
        <v>T00331</v>
      </c>
      <c r="C667" s="1" t="str">
        <f>IF(Raw!C667="","",Raw!C667)</f>
        <v>2026-03-02</v>
      </c>
      <c r="D667" s="1">
        <f t="shared" si="80"/>
        <v>2026</v>
      </c>
      <c r="E667" s="1">
        <f>IFERROR(IF(AND(LEN(C667)=10,MID(C667,5,1)="-",MID(C667,8,1)="-"),VALUE(MID(C667,6,2)),IF(AND(LEN(C667)=11,MID(C667,3,1)="-",MID(C667,7,1)="-"),MATCH(UPPER(MID(C667,4,3)),Guide!$D$7:$D$18,0),0)),0)</f>
        <v>3</v>
      </c>
      <c r="F667" s="1">
        <f t="shared" si="81"/>
        <v>2</v>
      </c>
      <c r="G667" s="9">
        <f t="shared" si="82"/>
        <v>46083</v>
      </c>
      <c r="H667" s="1" t="str">
        <f>IF(Raw!D667="","",Raw!D667)</f>
        <v>P-A</v>
      </c>
      <c r="I667" s="1" t="str">
        <f>IFERROR(IF(EXACT(H667,INDEX(Guide!$A$7:$A$9,MATCH(SUBSTITUTE(SUBSTITUTE(SUBSTITUTE(H667,"~","~~"),"*","~*"),"?","~?"),Guide!$A$7:$A$9,0))),INDEX(Guide!$B$7:$B$9,MATCH(SUBSTITUTE(SUBSTITUTE(SUBSTITUTE(H667,"~","~~"),"*","~*"),"?","~?"),Guide!$A$7:$A$9,0)),""),"")</f>
        <v>Accessories</v>
      </c>
      <c r="J667" s="1" t="str">
        <f>IF(TRIM(Raw!E667)="",I667,IF(UPPER(TRIM(Raw!E667))=UPPER(I667),I667,""))</f>
        <v>Accessories</v>
      </c>
      <c r="K667" s="1" t="str">
        <f>IF(Raw!F667="","",Raw!F667)</f>
        <v>sale</v>
      </c>
      <c r="L667" s="1" t="str">
        <f>IF(LEFT(TRIM(Raw!G667),2)="-$","-"&amp;MID(TRIM(Raw!G667),3,99),IF(LEFT(TRIM(Raw!G667),1)="$",MID(TRIM(Raw!G667),2,99),TRIM(Raw!G667)))</f>
        <v>9.19</v>
      </c>
      <c r="M667" s="1">
        <f t="shared" si="83"/>
        <v>9.19</v>
      </c>
      <c r="N667" s="10">
        <f t="shared" si="84"/>
        <v>919</v>
      </c>
      <c r="O667" s="1" t="b">
        <f>IFERROR(IF(ISNUMBER(Raw!G667),TRUE,OR(EXACT(L667,TEXT(M667,"0.00")),EXACT(L667,TEXT(M667,"#,##0.00")))),FALSE)</f>
        <v>1</v>
      </c>
      <c r="P667" s="1" t="str">
        <f>LEN(IF(Raw!A667="","",Raw!A667))&amp;":"&amp;IF(Raw!A667="","",Raw!A667)&amp;"|"&amp;LEN(IF(Raw!B667="","",Raw!B667))&amp;":"&amp;IF(Raw!B667="","",Raw!B667)&amp;"|"&amp;LEN(IF(Raw!C667="","",Raw!C667))&amp;":"&amp;IF(Raw!C667="","",Raw!C667)&amp;"|"&amp;LEN(IF(Raw!D667="","",Raw!D667))&amp;":"&amp;IF(Raw!D667="","",Raw!D667)&amp;"|"&amp;LEN(IF(Raw!E667="","",Raw!E667))&amp;":"&amp;IF(Raw!E667="","",Raw!E667)&amp;"|"&amp;LEN(IF(Raw!F667="","",Raw!F667))&amp;":"&amp;IF(Raw!F667="","",Raw!F667)&amp;"|"&amp;LEN(IF(Raw!G667="","",Raw!G667))&amp;":"&amp;IF(Raw!G667="","",Raw!G667)</f>
        <v>6:L00661|6:T00331|10:2026-03-02|3:P-A|11:Accessories|4:sale|4:9.19</v>
      </c>
      <c r="Q667" s="1">
        <f>1</f>
        <v>1</v>
      </c>
      <c r="R667" s="1" t="b">
        <f>FALSE</f>
        <v>0</v>
      </c>
      <c r="S667" s="1">
        <f>1</f>
        <v>1</v>
      </c>
      <c r="T667" s="1" t="str">
        <f>IF(AND(Raw!A667="",Raw!B667="",Raw!C667="",Raw!D667="",Raw!E667="",Raw!F667="",Raw!G667=""),"UNUSED",IF(A667="","missing line ID",IF(B667="","missing transaction ID",IF(G667="",IF(C667="","missing date","invalid date"),IF(I667="","unknown product",IF(J667="","conflicting category",IF(NOT(OR(EXACT(K667,"sale"),EXACT(K667,"refund"))),"unknown event",IF(OR(N667="",NOT(O667)),"invalid amount",IF(OR(AND(K667="sale",N667&lt;=0),AND(K667="refund",N667&gt;=0)),"invalid sign","")))))))))</f>
        <v/>
      </c>
      <c r="U667" s="1" t="str">
        <f t="shared" si="85"/>
        <v>INCLUDED</v>
      </c>
      <c r="V667" s="1" t="str">
        <f t="shared" si="86"/>
        <v>2026-03</v>
      </c>
      <c r="W667" s="1">
        <f>IF(AND(U667="INCLUDED",X667&gt;0,EXACT(A667,'AI output'!A667)),1,0)</f>
        <v>1</v>
      </c>
      <c r="X667" s="1">
        <f>667</f>
        <v>667</v>
      </c>
      <c r="Y667" s="1">
        <f>IF(AND(U667="INCLUDED",W667=1),--(NOT(EXACT(A667,'AI output'!A667)))+--(NOT(EXACT(B667,'AI output'!B667)))+--(NOT(EXACT(TEXT(G667,"yyyy-mm-dd"),'AI output'!C667)))+--(NOT(EXACT(H667,'AI output'!D667)))+--(NOT(EXACT(J667,'AI output'!E667)))+--(NOT(EXACT(K667,'AI output'!F667)))+--(N667&lt;&gt;'AI output'!L667)+--(NOT('AI output'!M667)),0)</f>
        <v>0</v>
      </c>
      <c r="Z667" s="1">
        <f t="shared" si="87"/>
        <v>0</v>
      </c>
      <c r="AA667" s="1">
        <f>--EXACT(A667,"L00661")</f>
        <v>1</v>
      </c>
    </row>
    <row r="668" spans="1:27" ht="18.95" customHeight="1">
      <c r="A668" s="1" t="str">
        <f>IF(Raw!A668="","",Raw!A668)</f>
        <v>L00662</v>
      </c>
      <c r="B668" s="1" t="str">
        <f>IF(Raw!B668="","",Raw!B668)</f>
        <v>T00331</v>
      </c>
      <c r="C668" s="1" t="str">
        <f>IF(Raw!C668="","",Raw!C668)</f>
        <v>2026-03-02</v>
      </c>
      <c r="D668" s="1">
        <f t="shared" si="80"/>
        <v>2026</v>
      </c>
      <c r="E668" s="1">
        <f>IFERROR(IF(AND(LEN(C668)=10,MID(C668,5,1)="-",MID(C668,8,1)="-"),VALUE(MID(C668,6,2)),IF(AND(LEN(C668)=11,MID(C668,3,1)="-",MID(C668,7,1)="-"),MATCH(UPPER(MID(C668,4,3)),Guide!$D$7:$D$18,0),0)),0)</f>
        <v>3</v>
      </c>
      <c r="F668" s="1">
        <f t="shared" si="81"/>
        <v>2</v>
      </c>
      <c r="G668" s="9">
        <f t="shared" si="82"/>
        <v>46083</v>
      </c>
      <c r="H668" s="1" t="str">
        <f>IF(Raw!D668="","",Raw!D668)</f>
        <v>P-H</v>
      </c>
      <c r="I668" s="1" t="str">
        <f>IFERROR(IF(EXACT(H668,INDEX(Guide!$A$7:$A$9,MATCH(SUBSTITUTE(SUBSTITUTE(SUBSTITUTE(H668,"~","~~"),"*","~*"),"?","~?"),Guide!$A$7:$A$9,0))),INDEX(Guide!$B$7:$B$9,MATCH(SUBSTITUTE(SUBSTITUTE(SUBSTITUTE(H668,"~","~~"),"*","~*"),"?","~?"),Guide!$A$7:$A$9,0)),""),"")</f>
        <v>Home</v>
      </c>
      <c r="J668" s="1" t="str">
        <f>IF(TRIM(Raw!E668)="",I668,IF(UPPER(TRIM(Raw!E668))=UPPER(I668),I668,""))</f>
        <v>Home</v>
      </c>
      <c r="K668" s="1" t="str">
        <f>IF(Raw!F668="","",Raw!F668)</f>
        <v>sale</v>
      </c>
      <c r="L668" s="1" t="str">
        <f>IF(LEFT(TRIM(Raw!G668),2)="-$","-"&amp;MID(TRIM(Raw!G668),3,99),IF(LEFT(TRIM(Raw!G668),1)="$",MID(TRIM(Raw!G668),2,99),TRIM(Raw!G668)))</f>
        <v>28.68</v>
      </c>
      <c r="M668" s="1">
        <f t="shared" si="83"/>
        <v>28.68</v>
      </c>
      <c r="N668" s="10">
        <f t="shared" si="84"/>
        <v>2868</v>
      </c>
      <c r="O668" s="1" t="b">
        <f>IFERROR(IF(ISNUMBER(Raw!G668),TRUE,OR(EXACT(L668,TEXT(M668,"0.00")),EXACT(L668,TEXT(M668,"#,##0.00")))),FALSE)</f>
        <v>1</v>
      </c>
      <c r="P668" s="1" t="str">
        <f>LEN(IF(Raw!A668="","",Raw!A668))&amp;":"&amp;IF(Raw!A668="","",Raw!A668)&amp;"|"&amp;LEN(IF(Raw!B668="","",Raw!B668))&amp;":"&amp;IF(Raw!B668="","",Raw!B668)&amp;"|"&amp;LEN(IF(Raw!C668="","",Raw!C668))&amp;":"&amp;IF(Raw!C668="","",Raw!C668)&amp;"|"&amp;LEN(IF(Raw!D668="","",Raw!D668))&amp;":"&amp;IF(Raw!D668="","",Raw!D668)&amp;"|"&amp;LEN(IF(Raw!E668="","",Raw!E668))&amp;":"&amp;IF(Raw!E668="","",Raw!E668)&amp;"|"&amp;LEN(IF(Raw!F668="","",Raw!F668))&amp;":"&amp;IF(Raw!F668="","",Raw!F668)&amp;"|"&amp;LEN(IF(Raw!G668="","",Raw!G668))&amp;":"&amp;IF(Raw!G668="","",Raw!G668)</f>
        <v>6:L00662|6:T00331|10:2026-03-02|3:P-H|4:Home|4:sale|5:28.68</v>
      </c>
      <c r="Q668" s="1">
        <f>1</f>
        <v>1</v>
      </c>
      <c r="R668" s="1" t="b">
        <f>FALSE</f>
        <v>0</v>
      </c>
      <c r="S668" s="1">
        <f>1</f>
        <v>1</v>
      </c>
      <c r="T668" s="1" t="str">
        <f>IF(AND(Raw!A668="",Raw!B668="",Raw!C668="",Raw!D668="",Raw!E668="",Raw!F668="",Raw!G668=""),"UNUSED",IF(A668="","missing line ID",IF(B668="","missing transaction ID",IF(G668="",IF(C668="","missing date","invalid date"),IF(I668="","unknown product",IF(J668="","conflicting category",IF(NOT(OR(EXACT(K668,"sale"),EXACT(K668,"refund"))),"unknown event",IF(OR(N668="",NOT(O668)),"invalid amount",IF(OR(AND(K668="sale",N668&lt;=0),AND(K668="refund",N668&gt;=0)),"invalid sign","")))))))))</f>
        <v/>
      </c>
      <c r="U668" s="1" t="str">
        <f t="shared" si="85"/>
        <v>INCLUDED</v>
      </c>
      <c r="V668" s="1" t="str">
        <f t="shared" si="86"/>
        <v>2026-03</v>
      </c>
      <c r="W668" s="1">
        <f>IF(AND(U668="INCLUDED",X668&gt;0,EXACT(A668,'AI output'!A668)),1,0)</f>
        <v>1</v>
      </c>
      <c r="X668" s="1">
        <f>668</f>
        <v>668</v>
      </c>
      <c r="Y668" s="1">
        <f>IF(AND(U668="INCLUDED",W668=1),--(NOT(EXACT(A668,'AI output'!A668)))+--(NOT(EXACT(B668,'AI output'!B668)))+--(NOT(EXACT(TEXT(G668,"yyyy-mm-dd"),'AI output'!C668)))+--(NOT(EXACT(H668,'AI output'!D668)))+--(NOT(EXACT(J668,'AI output'!E668)))+--(NOT(EXACT(K668,'AI output'!F668)))+--(N668&lt;&gt;'AI output'!L668)+--(NOT('AI output'!M668)),0)</f>
        <v>0</v>
      </c>
      <c r="Z668" s="1">
        <f t="shared" si="87"/>
        <v>0</v>
      </c>
      <c r="AA668" s="1">
        <f>--EXACT(A668,"L00662")</f>
        <v>1</v>
      </c>
    </row>
    <row r="669" spans="1:27" ht="18.95" customHeight="1">
      <c r="A669" s="1" t="str">
        <f>IF(Raw!A669="","",Raw!A669)</f>
        <v>L00663</v>
      </c>
      <c r="B669" s="1" t="str">
        <f>IF(Raw!B669="","",Raw!B669)</f>
        <v>T00332</v>
      </c>
      <c r="C669" s="1" t="str">
        <f>IF(Raw!C669="","",Raw!C669)</f>
        <v>2026-03-09</v>
      </c>
      <c r="D669" s="1">
        <f t="shared" si="80"/>
        <v>2026</v>
      </c>
      <c r="E669" s="1">
        <f>IFERROR(IF(AND(LEN(C669)=10,MID(C669,5,1)="-",MID(C669,8,1)="-"),VALUE(MID(C669,6,2)),IF(AND(LEN(C669)=11,MID(C669,3,1)="-",MID(C669,7,1)="-"),MATCH(UPPER(MID(C669,4,3)),Guide!$D$7:$D$18,0),0)),0)</f>
        <v>3</v>
      </c>
      <c r="F669" s="1">
        <f t="shared" si="81"/>
        <v>9</v>
      </c>
      <c r="G669" s="9">
        <f t="shared" si="82"/>
        <v>46090</v>
      </c>
      <c r="H669" s="1" t="str">
        <f>IF(Raw!D669="","",Raw!D669)</f>
        <v>P-O</v>
      </c>
      <c r="I669" s="1" t="str">
        <f>IFERROR(IF(EXACT(H669,INDEX(Guide!$A$7:$A$9,MATCH(SUBSTITUTE(SUBSTITUTE(SUBSTITUTE(H669,"~","~~"),"*","~*"),"?","~?"),Guide!$A$7:$A$9,0))),INDEX(Guide!$B$7:$B$9,MATCH(SUBSTITUTE(SUBSTITUTE(SUBSTITUTE(H669,"~","~~"),"*","~*"),"?","~?"),Guide!$A$7:$A$9,0)),""),"")</f>
        <v>Office</v>
      </c>
      <c r="J669" s="1" t="str">
        <f>IF(TRIM(Raw!E669)="",I669,IF(UPPER(TRIM(Raw!E669))=UPPER(I669),I669,""))</f>
        <v>Office</v>
      </c>
      <c r="K669" s="1" t="str">
        <f>IF(Raw!F669="","",Raw!F669)</f>
        <v>sale</v>
      </c>
      <c r="L669" s="1" t="str">
        <f>IF(LEFT(TRIM(Raw!G669),2)="-$","-"&amp;MID(TRIM(Raw!G669),3,99),IF(LEFT(TRIM(Raw!G669),1)="$",MID(TRIM(Raw!G669),2,99),TRIM(Raw!G669)))</f>
        <v>49.65</v>
      </c>
      <c r="M669" s="1">
        <f t="shared" si="83"/>
        <v>49.65</v>
      </c>
      <c r="N669" s="10">
        <f t="shared" si="84"/>
        <v>4965</v>
      </c>
      <c r="O669" s="1" t="b">
        <f>IFERROR(IF(ISNUMBER(Raw!G669),TRUE,OR(EXACT(L669,TEXT(M669,"0.00")),EXACT(L669,TEXT(M669,"#,##0.00")))),FALSE)</f>
        <v>1</v>
      </c>
      <c r="P669" s="1" t="str">
        <f>LEN(IF(Raw!A669="","",Raw!A669))&amp;":"&amp;IF(Raw!A669="","",Raw!A669)&amp;"|"&amp;LEN(IF(Raw!B669="","",Raw!B669))&amp;":"&amp;IF(Raw!B669="","",Raw!B669)&amp;"|"&amp;LEN(IF(Raw!C669="","",Raw!C669))&amp;":"&amp;IF(Raw!C669="","",Raw!C669)&amp;"|"&amp;LEN(IF(Raw!D669="","",Raw!D669))&amp;":"&amp;IF(Raw!D669="","",Raw!D669)&amp;"|"&amp;LEN(IF(Raw!E669="","",Raw!E669))&amp;":"&amp;IF(Raw!E669="","",Raw!E669)&amp;"|"&amp;LEN(IF(Raw!F669="","",Raw!F669))&amp;":"&amp;IF(Raw!F669="","",Raw!F669)&amp;"|"&amp;LEN(IF(Raw!G669="","",Raw!G669))&amp;":"&amp;IF(Raw!G669="","",Raw!G669)</f>
        <v>6:L00663|6:T00332|10:2026-03-09|3:P-O|6:Office|4:sale|5:49.65</v>
      </c>
      <c r="Q669" s="1">
        <f>1</f>
        <v>1</v>
      </c>
      <c r="R669" s="1" t="b">
        <f>FALSE</f>
        <v>0</v>
      </c>
      <c r="S669" s="1">
        <f>1</f>
        <v>1</v>
      </c>
      <c r="T669" s="1" t="str">
        <f>IF(AND(Raw!A669="",Raw!B669="",Raw!C669="",Raw!D669="",Raw!E669="",Raw!F669="",Raw!G669=""),"UNUSED",IF(A669="","missing line ID",IF(B669="","missing transaction ID",IF(G669="",IF(C669="","missing date","invalid date"),IF(I669="","unknown product",IF(J669="","conflicting category",IF(NOT(OR(EXACT(K669,"sale"),EXACT(K669,"refund"))),"unknown event",IF(OR(N669="",NOT(O669)),"invalid amount",IF(OR(AND(K669="sale",N669&lt;=0),AND(K669="refund",N669&gt;=0)),"invalid sign","")))))))))</f>
        <v/>
      </c>
      <c r="U669" s="1" t="str">
        <f t="shared" si="85"/>
        <v>INCLUDED</v>
      </c>
      <c r="V669" s="1" t="str">
        <f t="shared" si="86"/>
        <v>2026-03</v>
      </c>
      <c r="W669" s="1">
        <f>IF(AND(U669="INCLUDED",X669&gt;0,EXACT(A669,'AI output'!A669)),1,0)</f>
        <v>1</v>
      </c>
      <c r="X669" s="1">
        <f>669</f>
        <v>669</v>
      </c>
      <c r="Y669" s="1">
        <f>IF(AND(U669="INCLUDED",W669=1),--(NOT(EXACT(A669,'AI output'!A669)))+--(NOT(EXACT(B669,'AI output'!B669)))+--(NOT(EXACT(TEXT(G669,"yyyy-mm-dd"),'AI output'!C669)))+--(NOT(EXACT(H669,'AI output'!D669)))+--(NOT(EXACT(J669,'AI output'!E669)))+--(NOT(EXACT(K669,'AI output'!F669)))+--(N669&lt;&gt;'AI output'!L669)+--(NOT('AI output'!M669)),0)</f>
        <v>0</v>
      </c>
      <c r="Z669" s="1">
        <f t="shared" si="87"/>
        <v>0</v>
      </c>
      <c r="AA669" s="1">
        <f>--EXACT(A669,"L00663")</f>
        <v>1</v>
      </c>
    </row>
    <row r="670" spans="1:27" ht="18.95" customHeight="1">
      <c r="A670" s="1" t="str">
        <f>IF(Raw!A670="","",Raw!A670)</f>
        <v>L00664</v>
      </c>
      <c r="B670" s="1" t="str">
        <f>IF(Raw!B670="","",Raw!B670)</f>
        <v>T00332</v>
      </c>
      <c r="C670" s="1" t="str">
        <f>IF(Raw!C670="","",Raw!C670)</f>
        <v>2026-03-09</v>
      </c>
      <c r="D670" s="1">
        <f t="shared" si="80"/>
        <v>2026</v>
      </c>
      <c r="E670" s="1">
        <f>IFERROR(IF(AND(LEN(C670)=10,MID(C670,5,1)="-",MID(C670,8,1)="-"),VALUE(MID(C670,6,2)),IF(AND(LEN(C670)=11,MID(C670,3,1)="-",MID(C670,7,1)="-"),MATCH(UPPER(MID(C670,4,3)),Guide!$D$7:$D$18,0),0)),0)</f>
        <v>3</v>
      </c>
      <c r="F670" s="1">
        <f t="shared" si="81"/>
        <v>9</v>
      </c>
      <c r="G670" s="9">
        <f t="shared" si="82"/>
        <v>46090</v>
      </c>
      <c r="H670" s="1" t="str">
        <f>IF(Raw!D670="","",Raw!D670)</f>
        <v>P-A</v>
      </c>
      <c r="I670" s="1" t="str">
        <f>IFERROR(IF(EXACT(H670,INDEX(Guide!$A$7:$A$9,MATCH(SUBSTITUTE(SUBSTITUTE(SUBSTITUTE(H670,"~","~~"),"*","~*"),"?","~?"),Guide!$A$7:$A$9,0))),INDEX(Guide!$B$7:$B$9,MATCH(SUBSTITUTE(SUBSTITUTE(SUBSTITUTE(H670,"~","~~"),"*","~*"),"?","~?"),Guide!$A$7:$A$9,0)),""),"")</f>
        <v>Accessories</v>
      </c>
      <c r="J670" s="1" t="str">
        <f>IF(TRIM(Raw!E670)="",I670,IF(UPPER(TRIM(Raw!E670))=UPPER(I670),I670,""))</f>
        <v>Accessories</v>
      </c>
      <c r="K670" s="1" t="str">
        <f>IF(Raw!F670="","",Raw!F670)</f>
        <v>sale</v>
      </c>
      <c r="L670" s="1" t="str">
        <f>IF(LEFT(TRIM(Raw!G670),2)="-$","-"&amp;MID(TRIM(Raw!G670),3,99),IF(LEFT(TRIM(Raw!G670),1)="$",MID(TRIM(Raw!G670),2,99),TRIM(Raw!G670)))</f>
        <v>20.60</v>
      </c>
      <c r="M670" s="1">
        <f t="shared" si="83"/>
        <v>20.6</v>
      </c>
      <c r="N670" s="10">
        <f t="shared" si="84"/>
        <v>2060</v>
      </c>
      <c r="O670" s="1" t="b">
        <f>IFERROR(IF(ISNUMBER(Raw!G670),TRUE,OR(EXACT(L670,TEXT(M670,"0.00")),EXACT(L670,TEXT(M670,"#,##0.00")))),FALSE)</f>
        <v>1</v>
      </c>
      <c r="P670" s="1" t="str">
        <f>LEN(IF(Raw!A670="","",Raw!A670))&amp;":"&amp;IF(Raw!A670="","",Raw!A670)&amp;"|"&amp;LEN(IF(Raw!B670="","",Raw!B670))&amp;":"&amp;IF(Raw!B670="","",Raw!B670)&amp;"|"&amp;LEN(IF(Raw!C670="","",Raw!C670))&amp;":"&amp;IF(Raw!C670="","",Raw!C670)&amp;"|"&amp;LEN(IF(Raw!D670="","",Raw!D670))&amp;":"&amp;IF(Raw!D670="","",Raw!D670)&amp;"|"&amp;LEN(IF(Raw!E670="","",Raw!E670))&amp;":"&amp;IF(Raw!E670="","",Raw!E670)&amp;"|"&amp;LEN(IF(Raw!F670="","",Raw!F670))&amp;":"&amp;IF(Raw!F670="","",Raw!F670)&amp;"|"&amp;LEN(IF(Raw!G670="","",Raw!G670))&amp;":"&amp;IF(Raw!G670="","",Raw!G670)</f>
        <v>6:L00664|6:T00332|10:2026-03-09|3:P-A|11:Accessories|4:sale|5:20.60</v>
      </c>
      <c r="Q670" s="1">
        <f>1</f>
        <v>1</v>
      </c>
      <c r="R670" s="1" t="b">
        <f>FALSE</f>
        <v>0</v>
      </c>
      <c r="S670" s="1">
        <f>1</f>
        <v>1</v>
      </c>
      <c r="T670" s="1" t="str">
        <f>IF(AND(Raw!A670="",Raw!B670="",Raw!C670="",Raw!D670="",Raw!E670="",Raw!F670="",Raw!G670=""),"UNUSED",IF(A670="","missing line ID",IF(B670="","missing transaction ID",IF(G670="",IF(C670="","missing date","invalid date"),IF(I670="","unknown product",IF(J670="","conflicting category",IF(NOT(OR(EXACT(K670,"sale"),EXACT(K670,"refund"))),"unknown event",IF(OR(N670="",NOT(O670)),"invalid amount",IF(OR(AND(K670="sale",N670&lt;=0),AND(K670="refund",N670&gt;=0)),"invalid sign","")))))))))</f>
        <v/>
      </c>
      <c r="U670" s="1" t="str">
        <f t="shared" si="85"/>
        <v>INCLUDED</v>
      </c>
      <c r="V670" s="1" t="str">
        <f t="shared" si="86"/>
        <v>2026-03</v>
      </c>
      <c r="W670" s="1">
        <f>IF(AND(U670="INCLUDED",X670&gt;0,EXACT(A670,'AI output'!A670)),1,0)</f>
        <v>1</v>
      </c>
      <c r="X670" s="1">
        <f>670</f>
        <v>670</v>
      </c>
      <c r="Y670" s="1">
        <f>IF(AND(U670="INCLUDED",W670=1),--(NOT(EXACT(A670,'AI output'!A670)))+--(NOT(EXACT(B670,'AI output'!B670)))+--(NOT(EXACT(TEXT(G670,"yyyy-mm-dd"),'AI output'!C670)))+--(NOT(EXACT(H670,'AI output'!D670)))+--(NOT(EXACT(J670,'AI output'!E670)))+--(NOT(EXACT(K670,'AI output'!F670)))+--(N670&lt;&gt;'AI output'!L670)+--(NOT('AI output'!M670)),0)</f>
        <v>0</v>
      </c>
      <c r="Z670" s="1">
        <f t="shared" si="87"/>
        <v>0</v>
      </c>
      <c r="AA670" s="1">
        <f>--EXACT(A670,"L00664")</f>
        <v>1</v>
      </c>
    </row>
    <row r="671" spans="1:27" ht="18.95" customHeight="1">
      <c r="A671" s="1" t="str">
        <f>IF(Raw!A671="","",Raw!A671)</f>
        <v>L00665</v>
      </c>
      <c r="B671" s="1" t="str">
        <f>IF(Raw!B671="","",Raw!B671)</f>
        <v>T00333</v>
      </c>
      <c r="C671" s="1" t="str">
        <f>IF(Raw!C671="","",Raw!C671)</f>
        <v>2026-03-16</v>
      </c>
      <c r="D671" s="1">
        <f t="shared" si="80"/>
        <v>2026</v>
      </c>
      <c r="E671" s="1">
        <f>IFERROR(IF(AND(LEN(C671)=10,MID(C671,5,1)="-",MID(C671,8,1)="-"),VALUE(MID(C671,6,2)),IF(AND(LEN(C671)=11,MID(C671,3,1)="-",MID(C671,7,1)="-"),MATCH(UPPER(MID(C671,4,3)),Guide!$D$7:$D$18,0),0)),0)</f>
        <v>3</v>
      </c>
      <c r="F671" s="1">
        <f t="shared" si="81"/>
        <v>16</v>
      </c>
      <c r="G671" s="9">
        <f t="shared" si="82"/>
        <v>46097</v>
      </c>
      <c r="H671" s="1" t="str">
        <f>IF(Raw!D671="","",Raw!D671)</f>
        <v>P-H</v>
      </c>
      <c r="I671" s="1" t="str">
        <f>IFERROR(IF(EXACT(H671,INDEX(Guide!$A$7:$A$9,MATCH(SUBSTITUTE(SUBSTITUTE(SUBSTITUTE(H671,"~","~~"),"*","~*"),"?","~?"),Guide!$A$7:$A$9,0))),INDEX(Guide!$B$7:$B$9,MATCH(SUBSTITUTE(SUBSTITUTE(SUBSTITUTE(H671,"~","~~"),"*","~*"),"?","~?"),Guide!$A$7:$A$9,0)),""),"")</f>
        <v>Home</v>
      </c>
      <c r="J671" s="1" t="str">
        <f>IF(TRIM(Raw!E671)="",I671,IF(UPPER(TRIM(Raw!E671))=UPPER(I671),I671,""))</f>
        <v>Home</v>
      </c>
      <c r="K671" s="1" t="str">
        <f>IF(Raw!F671="","",Raw!F671)</f>
        <v>sale</v>
      </c>
      <c r="L671" s="1" t="str">
        <f>IF(LEFT(TRIM(Raw!G671),2)="-$","-"&amp;MID(TRIM(Raw!G671),3,99),IF(LEFT(TRIM(Raw!G671),1)="$",MID(TRIM(Raw!G671),2,99),TRIM(Raw!G671)))</f>
        <v>42.68</v>
      </c>
      <c r="M671" s="1">
        <f t="shared" si="83"/>
        <v>42.68</v>
      </c>
      <c r="N671" s="10">
        <f t="shared" si="84"/>
        <v>4268</v>
      </c>
      <c r="O671" s="1" t="b">
        <f>IFERROR(IF(ISNUMBER(Raw!G671),TRUE,OR(EXACT(L671,TEXT(M671,"0.00")),EXACT(L671,TEXT(M671,"#,##0.00")))),FALSE)</f>
        <v>1</v>
      </c>
      <c r="P671" s="1" t="str">
        <f>LEN(IF(Raw!A671="","",Raw!A671))&amp;":"&amp;IF(Raw!A671="","",Raw!A671)&amp;"|"&amp;LEN(IF(Raw!B671="","",Raw!B671))&amp;":"&amp;IF(Raw!B671="","",Raw!B671)&amp;"|"&amp;LEN(IF(Raw!C671="","",Raw!C671))&amp;":"&amp;IF(Raw!C671="","",Raw!C671)&amp;"|"&amp;LEN(IF(Raw!D671="","",Raw!D671))&amp;":"&amp;IF(Raw!D671="","",Raw!D671)&amp;"|"&amp;LEN(IF(Raw!E671="","",Raw!E671))&amp;":"&amp;IF(Raw!E671="","",Raw!E671)&amp;"|"&amp;LEN(IF(Raw!F671="","",Raw!F671))&amp;":"&amp;IF(Raw!F671="","",Raw!F671)&amp;"|"&amp;LEN(IF(Raw!G671="","",Raw!G671))&amp;":"&amp;IF(Raw!G671="","",Raw!G671)</f>
        <v>6:L00665|6:T00333|10:2026-03-16|3:P-H|4:Home|4:sale|5:42.68</v>
      </c>
      <c r="Q671" s="1">
        <f>1</f>
        <v>1</v>
      </c>
      <c r="R671" s="1" t="b">
        <f>FALSE</f>
        <v>0</v>
      </c>
      <c r="S671" s="1">
        <f>1</f>
        <v>1</v>
      </c>
      <c r="T671" s="1" t="str">
        <f>IF(AND(Raw!A671="",Raw!B671="",Raw!C671="",Raw!D671="",Raw!E671="",Raw!F671="",Raw!G671=""),"UNUSED",IF(A671="","missing line ID",IF(B671="","missing transaction ID",IF(G671="",IF(C671="","missing date","invalid date"),IF(I671="","unknown product",IF(J671="","conflicting category",IF(NOT(OR(EXACT(K671,"sale"),EXACT(K671,"refund"))),"unknown event",IF(OR(N671="",NOT(O671)),"invalid amount",IF(OR(AND(K671="sale",N671&lt;=0),AND(K671="refund",N671&gt;=0)),"invalid sign","")))))))))</f>
        <v/>
      </c>
      <c r="U671" s="1" t="str">
        <f t="shared" si="85"/>
        <v>INCLUDED</v>
      </c>
      <c r="V671" s="1" t="str">
        <f t="shared" si="86"/>
        <v>2026-03</v>
      </c>
      <c r="W671" s="1">
        <f>IF(AND(U671="INCLUDED",X671&gt;0,EXACT(A671,'AI output'!A671)),1,0)</f>
        <v>1</v>
      </c>
      <c r="X671" s="1">
        <f>671</f>
        <v>671</v>
      </c>
      <c r="Y671" s="1">
        <f>IF(AND(U671="INCLUDED",W671=1),--(NOT(EXACT(A671,'AI output'!A671)))+--(NOT(EXACT(B671,'AI output'!B671)))+--(NOT(EXACT(TEXT(G671,"yyyy-mm-dd"),'AI output'!C671)))+--(NOT(EXACT(H671,'AI output'!D671)))+--(NOT(EXACT(J671,'AI output'!E671)))+--(NOT(EXACT(K671,'AI output'!F671)))+--(N671&lt;&gt;'AI output'!L671)+--(NOT('AI output'!M671)),0)</f>
        <v>0</v>
      </c>
      <c r="Z671" s="1">
        <f t="shared" si="87"/>
        <v>0</v>
      </c>
      <c r="AA671" s="1">
        <f>--EXACT(A671,"L00665")</f>
        <v>1</v>
      </c>
    </row>
    <row r="672" spans="1:27" ht="18.95" customHeight="1">
      <c r="A672" s="1" t="str">
        <f>IF(Raw!A672="","",Raw!A672)</f>
        <v>L00666</v>
      </c>
      <c r="B672" s="1" t="str">
        <f>IF(Raw!B672="","",Raw!B672)</f>
        <v>T00333</v>
      </c>
      <c r="C672" s="1" t="str">
        <f>IF(Raw!C672="","",Raw!C672)</f>
        <v>2026-03-16</v>
      </c>
      <c r="D672" s="1">
        <f t="shared" si="80"/>
        <v>2026</v>
      </c>
      <c r="E672" s="1">
        <f>IFERROR(IF(AND(LEN(C672)=10,MID(C672,5,1)="-",MID(C672,8,1)="-"),VALUE(MID(C672,6,2)),IF(AND(LEN(C672)=11,MID(C672,3,1)="-",MID(C672,7,1)="-"),MATCH(UPPER(MID(C672,4,3)),Guide!$D$7:$D$18,0),0)),0)</f>
        <v>3</v>
      </c>
      <c r="F672" s="1">
        <f t="shared" si="81"/>
        <v>16</v>
      </c>
      <c r="G672" s="9">
        <f t="shared" si="82"/>
        <v>46097</v>
      </c>
      <c r="H672" s="1" t="str">
        <f>IF(Raw!D672="","",Raw!D672)</f>
        <v>P-O</v>
      </c>
      <c r="I672" s="1" t="str">
        <f>IFERROR(IF(EXACT(H672,INDEX(Guide!$A$7:$A$9,MATCH(SUBSTITUTE(SUBSTITUTE(SUBSTITUTE(H672,"~","~~"),"*","~*"),"?","~?"),Guide!$A$7:$A$9,0))),INDEX(Guide!$B$7:$B$9,MATCH(SUBSTITUTE(SUBSTITUTE(SUBSTITUTE(H672,"~","~~"),"*","~*"),"?","~?"),Guide!$A$7:$A$9,0)),""),"")</f>
        <v>Office</v>
      </c>
      <c r="J672" s="1" t="str">
        <f>IF(TRIM(Raw!E672)="",I672,IF(UPPER(TRIM(Raw!E672))=UPPER(I672),I672,""))</f>
        <v>Office</v>
      </c>
      <c r="K672" s="1" t="str">
        <f>IF(Raw!F672="","",Raw!F672)</f>
        <v>sale</v>
      </c>
      <c r="L672" s="1" t="str">
        <f>IF(LEFT(TRIM(Raw!G672),2)="-$","-"&amp;MID(TRIM(Raw!G672),3,99),IF(LEFT(TRIM(Raw!G672),1)="$",MID(TRIM(Raw!G672),2,99),TRIM(Raw!G672)))</f>
        <v>11.04</v>
      </c>
      <c r="M672" s="1">
        <f t="shared" si="83"/>
        <v>11.04</v>
      </c>
      <c r="N672" s="10">
        <f t="shared" si="84"/>
        <v>1104</v>
      </c>
      <c r="O672" s="1" t="b">
        <f>IFERROR(IF(ISNUMBER(Raw!G672),TRUE,OR(EXACT(L672,TEXT(M672,"0.00")),EXACT(L672,TEXT(M672,"#,##0.00")))),FALSE)</f>
        <v>1</v>
      </c>
      <c r="P672" s="1" t="str">
        <f>LEN(IF(Raw!A672="","",Raw!A672))&amp;":"&amp;IF(Raw!A672="","",Raw!A672)&amp;"|"&amp;LEN(IF(Raw!B672="","",Raw!B672))&amp;":"&amp;IF(Raw!B672="","",Raw!B672)&amp;"|"&amp;LEN(IF(Raw!C672="","",Raw!C672))&amp;":"&amp;IF(Raw!C672="","",Raw!C672)&amp;"|"&amp;LEN(IF(Raw!D672="","",Raw!D672))&amp;":"&amp;IF(Raw!D672="","",Raw!D672)&amp;"|"&amp;LEN(IF(Raw!E672="","",Raw!E672))&amp;":"&amp;IF(Raw!E672="","",Raw!E672)&amp;"|"&amp;LEN(IF(Raw!F672="","",Raw!F672))&amp;":"&amp;IF(Raw!F672="","",Raw!F672)&amp;"|"&amp;LEN(IF(Raw!G672="","",Raw!G672))&amp;":"&amp;IF(Raw!G672="","",Raw!G672)</f>
        <v>6:L00666|6:T00333|10:2026-03-16|3:P-O|6:Office|4:sale|5:11.04</v>
      </c>
      <c r="Q672" s="1">
        <f>1</f>
        <v>1</v>
      </c>
      <c r="R672" s="1" t="b">
        <f>FALSE</f>
        <v>0</v>
      </c>
      <c r="S672" s="1">
        <f>1</f>
        <v>1</v>
      </c>
      <c r="T672" s="1" t="str">
        <f>IF(AND(Raw!A672="",Raw!B672="",Raw!C672="",Raw!D672="",Raw!E672="",Raw!F672="",Raw!G672=""),"UNUSED",IF(A672="","missing line ID",IF(B672="","missing transaction ID",IF(G672="",IF(C672="","missing date","invalid date"),IF(I672="","unknown product",IF(J672="","conflicting category",IF(NOT(OR(EXACT(K672,"sale"),EXACT(K672,"refund"))),"unknown event",IF(OR(N672="",NOT(O672)),"invalid amount",IF(OR(AND(K672="sale",N672&lt;=0),AND(K672="refund",N672&gt;=0)),"invalid sign","")))))))))</f>
        <v/>
      </c>
      <c r="U672" s="1" t="str">
        <f t="shared" si="85"/>
        <v>INCLUDED</v>
      </c>
      <c r="V672" s="1" t="str">
        <f t="shared" si="86"/>
        <v>2026-03</v>
      </c>
      <c r="W672" s="1">
        <f>IF(AND(U672="INCLUDED",X672&gt;0,EXACT(A672,'AI output'!A672)),1,0)</f>
        <v>1</v>
      </c>
      <c r="X672" s="1">
        <f>672</f>
        <v>672</v>
      </c>
      <c r="Y672" s="1">
        <f>IF(AND(U672="INCLUDED",W672=1),--(NOT(EXACT(A672,'AI output'!A672)))+--(NOT(EXACT(B672,'AI output'!B672)))+--(NOT(EXACT(TEXT(G672,"yyyy-mm-dd"),'AI output'!C672)))+--(NOT(EXACT(H672,'AI output'!D672)))+--(NOT(EXACT(J672,'AI output'!E672)))+--(NOT(EXACT(K672,'AI output'!F672)))+--(N672&lt;&gt;'AI output'!L672)+--(NOT('AI output'!M672)),0)</f>
        <v>0</v>
      </c>
      <c r="Z672" s="1">
        <f t="shared" si="87"/>
        <v>0</v>
      </c>
      <c r="AA672" s="1">
        <f>--EXACT(A672,"L00666")</f>
        <v>1</v>
      </c>
    </row>
    <row r="673" spans="1:27" ht="18.95" customHeight="1">
      <c r="A673" s="1" t="str">
        <f>IF(Raw!A673="","",Raw!A673)</f>
        <v>L00667</v>
      </c>
      <c r="B673" s="1" t="str">
        <f>IF(Raw!B673="","",Raw!B673)</f>
        <v>T00334</v>
      </c>
      <c r="C673" s="1" t="str">
        <f>IF(Raw!C673="","",Raw!C673)</f>
        <v>2026-03-23</v>
      </c>
      <c r="D673" s="1">
        <f t="shared" si="80"/>
        <v>2026</v>
      </c>
      <c r="E673" s="1">
        <f>IFERROR(IF(AND(LEN(C673)=10,MID(C673,5,1)="-",MID(C673,8,1)="-"),VALUE(MID(C673,6,2)),IF(AND(LEN(C673)=11,MID(C673,3,1)="-",MID(C673,7,1)="-"),MATCH(UPPER(MID(C673,4,3)),Guide!$D$7:$D$18,0),0)),0)</f>
        <v>3</v>
      </c>
      <c r="F673" s="1">
        <f t="shared" si="81"/>
        <v>23</v>
      </c>
      <c r="G673" s="9">
        <f t="shared" si="82"/>
        <v>46104</v>
      </c>
      <c r="H673" s="1" t="str">
        <f>IF(Raw!D673="","",Raw!D673)</f>
        <v>P-A</v>
      </c>
      <c r="I673" s="1" t="str">
        <f>IFERROR(IF(EXACT(H673,INDEX(Guide!$A$7:$A$9,MATCH(SUBSTITUTE(SUBSTITUTE(SUBSTITUTE(H673,"~","~~"),"*","~*"),"?","~?"),Guide!$A$7:$A$9,0))),INDEX(Guide!$B$7:$B$9,MATCH(SUBSTITUTE(SUBSTITUTE(SUBSTITUTE(H673,"~","~~"),"*","~*"),"?","~?"),Guide!$A$7:$A$9,0)),""),"")</f>
        <v>Accessories</v>
      </c>
      <c r="J673" s="1" t="str">
        <f>IF(TRIM(Raw!E673)="",I673,IF(UPPER(TRIM(Raw!E673))=UPPER(I673),I673,""))</f>
        <v>Accessories</v>
      </c>
      <c r="K673" s="1" t="str">
        <f>IF(Raw!F673="","",Raw!F673)</f>
        <v>sale</v>
      </c>
      <c r="L673" s="1" t="str">
        <f>IF(LEFT(TRIM(Raw!G673),2)="-$","-"&amp;MID(TRIM(Raw!G673),3,99),IF(LEFT(TRIM(Raw!G673),1)="$",MID(TRIM(Raw!G673),2,99),TRIM(Raw!G673)))</f>
        <v>34.23</v>
      </c>
      <c r="M673" s="1">
        <f t="shared" si="83"/>
        <v>34.229999999999997</v>
      </c>
      <c r="N673" s="10">
        <f t="shared" si="84"/>
        <v>3423</v>
      </c>
      <c r="O673" s="1" t="b">
        <f>IFERROR(IF(ISNUMBER(Raw!G673),TRUE,OR(EXACT(L673,TEXT(M673,"0.00")),EXACT(L673,TEXT(M673,"#,##0.00")))),FALSE)</f>
        <v>1</v>
      </c>
      <c r="P673" s="1" t="str">
        <f>LEN(IF(Raw!A673="","",Raw!A673))&amp;":"&amp;IF(Raw!A673="","",Raw!A673)&amp;"|"&amp;LEN(IF(Raw!B673="","",Raw!B673))&amp;":"&amp;IF(Raw!B673="","",Raw!B673)&amp;"|"&amp;LEN(IF(Raw!C673="","",Raw!C673))&amp;":"&amp;IF(Raw!C673="","",Raw!C673)&amp;"|"&amp;LEN(IF(Raw!D673="","",Raw!D673))&amp;":"&amp;IF(Raw!D673="","",Raw!D673)&amp;"|"&amp;LEN(IF(Raw!E673="","",Raw!E673))&amp;":"&amp;IF(Raw!E673="","",Raw!E673)&amp;"|"&amp;LEN(IF(Raw!F673="","",Raw!F673))&amp;":"&amp;IF(Raw!F673="","",Raw!F673)&amp;"|"&amp;LEN(IF(Raw!G673="","",Raw!G673))&amp;":"&amp;IF(Raw!G673="","",Raw!G673)</f>
        <v>6:L00667|6:T00334|10:2026-03-23|3:P-A|11:Accessories|4:sale|5:34.23</v>
      </c>
      <c r="Q673" s="1">
        <f>1</f>
        <v>1</v>
      </c>
      <c r="R673" s="1" t="b">
        <f>FALSE</f>
        <v>0</v>
      </c>
      <c r="S673" s="1">
        <f>1</f>
        <v>1</v>
      </c>
      <c r="T673" s="1" t="str">
        <f>IF(AND(Raw!A673="",Raw!B673="",Raw!C673="",Raw!D673="",Raw!E673="",Raw!F673="",Raw!G673=""),"UNUSED",IF(A673="","missing line ID",IF(B673="","missing transaction ID",IF(G673="",IF(C673="","missing date","invalid date"),IF(I673="","unknown product",IF(J673="","conflicting category",IF(NOT(OR(EXACT(K673,"sale"),EXACT(K673,"refund"))),"unknown event",IF(OR(N673="",NOT(O673)),"invalid amount",IF(OR(AND(K673="sale",N673&lt;=0),AND(K673="refund",N673&gt;=0)),"invalid sign","")))))))))</f>
        <v/>
      </c>
      <c r="U673" s="1" t="str">
        <f t="shared" si="85"/>
        <v>INCLUDED</v>
      </c>
      <c r="V673" s="1" t="str">
        <f t="shared" si="86"/>
        <v>2026-03</v>
      </c>
      <c r="W673" s="1">
        <f>IF(AND(U673="INCLUDED",X673&gt;0,EXACT(A673,'AI output'!A673)),1,0)</f>
        <v>1</v>
      </c>
      <c r="X673" s="1">
        <f>673</f>
        <v>673</v>
      </c>
      <c r="Y673" s="1">
        <f>IF(AND(U673="INCLUDED",W673=1),--(NOT(EXACT(A673,'AI output'!A673)))+--(NOT(EXACT(B673,'AI output'!B673)))+--(NOT(EXACT(TEXT(G673,"yyyy-mm-dd"),'AI output'!C673)))+--(NOT(EXACT(H673,'AI output'!D673)))+--(NOT(EXACT(J673,'AI output'!E673)))+--(NOT(EXACT(K673,'AI output'!F673)))+--(N673&lt;&gt;'AI output'!L673)+--(NOT('AI output'!M673)),0)</f>
        <v>0</v>
      </c>
      <c r="Z673" s="1">
        <f t="shared" si="87"/>
        <v>0</v>
      </c>
      <c r="AA673" s="1">
        <f>--EXACT(A673,"L00667")</f>
        <v>1</v>
      </c>
    </row>
    <row r="674" spans="1:27" ht="18.95" customHeight="1">
      <c r="A674" s="1" t="str">
        <f>IF(Raw!A674="","",Raw!A674)</f>
        <v>L00668</v>
      </c>
      <c r="B674" s="1" t="str">
        <f>IF(Raw!B674="","",Raw!B674)</f>
        <v>T00334</v>
      </c>
      <c r="C674" s="1" t="str">
        <f>IF(Raw!C674="","",Raw!C674)</f>
        <v>2026-03-23</v>
      </c>
      <c r="D674" s="1">
        <f t="shared" si="80"/>
        <v>2026</v>
      </c>
      <c r="E674" s="1">
        <f>IFERROR(IF(AND(LEN(C674)=10,MID(C674,5,1)="-",MID(C674,8,1)="-"),VALUE(MID(C674,6,2)),IF(AND(LEN(C674)=11,MID(C674,3,1)="-",MID(C674,7,1)="-"),MATCH(UPPER(MID(C674,4,3)),Guide!$D$7:$D$18,0),0)),0)</f>
        <v>3</v>
      </c>
      <c r="F674" s="1">
        <f t="shared" si="81"/>
        <v>23</v>
      </c>
      <c r="G674" s="9">
        <f t="shared" si="82"/>
        <v>46104</v>
      </c>
      <c r="H674" s="1" t="str">
        <f>IF(Raw!D674="","",Raw!D674)</f>
        <v>P-H</v>
      </c>
      <c r="I674" s="1" t="str">
        <f>IFERROR(IF(EXACT(H674,INDEX(Guide!$A$7:$A$9,MATCH(SUBSTITUTE(SUBSTITUTE(SUBSTITUTE(H674,"~","~~"),"*","~*"),"?","~?"),Guide!$A$7:$A$9,0))),INDEX(Guide!$B$7:$B$9,MATCH(SUBSTITUTE(SUBSTITUTE(SUBSTITUTE(H674,"~","~~"),"*","~*"),"?","~?"),Guide!$A$7:$A$9,0)),""),"")</f>
        <v>Home</v>
      </c>
      <c r="J674" s="1" t="str">
        <f>IF(TRIM(Raw!E674)="",I674,IF(UPPER(TRIM(Raw!E674))=UPPER(I674),I674,""))</f>
        <v>Home</v>
      </c>
      <c r="K674" s="1" t="str">
        <f>IF(Raw!F674="","",Raw!F674)</f>
        <v>refund</v>
      </c>
      <c r="L674" s="1" t="str">
        <f>IF(LEFT(TRIM(Raw!G674),2)="-$","-"&amp;MID(TRIM(Raw!G674),3,99),IF(LEFT(TRIM(Raw!G674),1)="$",MID(TRIM(Raw!G674),2,99),TRIM(Raw!G674)))</f>
        <v>-58.90</v>
      </c>
      <c r="M674" s="1">
        <f t="shared" si="83"/>
        <v>-58.9</v>
      </c>
      <c r="N674" s="10">
        <f t="shared" si="84"/>
        <v>-5890</v>
      </c>
      <c r="O674" s="1" t="b">
        <f>IFERROR(IF(ISNUMBER(Raw!G674),TRUE,OR(EXACT(L674,TEXT(M674,"0.00")),EXACT(L674,TEXT(M674,"#,##0.00")))),FALSE)</f>
        <v>1</v>
      </c>
      <c r="P674" s="1" t="str">
        <f>LEN(IF(Raw!A674="","",Raw!A674))&amp;":"&amp;IF(Raw!A674="","",Raw!A674)&amp;"|"&amp;LEN(IF(Raw!B674="","",Raw!B674))&amp;":"&amp;IF(Raw!B674="","",Raw!B674)&amp;"|"&amp;LEN(IF(Raw!C674="","",Raw!C674))&amp;":"&amp;IF(Raw!C674="","",Raw!C674)&amp;"|"&amp;LEN(IF(Raw!D674="","",Raw!D674))&amp;":"&amp;IF(Raw!D674="","",Raw!D674)&amp;"|"&amp;LEN(IF(Raw!E674="","",Raw!E674))&amp;":"&amp;IF(Raw!E674="","",Raw!E674)&amp;"|"&amp;LEN(IF(Raw!F674="","",Raw!F674))&amp;":"&amp;IF(Raw!F674="","",Raw!F674)&amp;"|"&amp;LEN(IF(Raw!G674="","",Raw!G674))&amp;":"&amp;IF(Raw!G674="","",Raw!G674)</f>
        <v>6:L00668|6:T00334|10:2026-03-23|3:P-H|4:Home|6:refund|6:-58.90</v>
      </c>
      <c r="Q674" s="1">
        <f>1</f>
        <v>1</v>
      </c>
      <c r="R674" s="1" t="b">
        <f>FALSE</f>
        <v>0</v>
      </c>
      <c r="S674" s="1">
        <f>1</f>
        <v>1</v>
      </c>
      <c r="T674" s="1" t="str">
        <f>IF(AND(Raw!A674="",Raw!B674="",Raw!C674="",Raw!D674="",Raw!E674="",Raw!F674="",Raw!G674=""),"UNUSED",IF(A674="","missing line ID",IF(B674="","missing transaction ID",IF(G674="",IF(C674="","missing date","invalid date"),IF(I674="","unknown product",IF(J674="","conflicting category",IF(NOT(OR(EXACT(K674,"sale"),EXACT(K674,"refund"))),"unknown event",IF(OR(N674="",NOT(O674)),"invalid amount",IF(OR(AND(K674="sale",N674&lt;=0),AND(K674="refund",N674&gt;=0)),"invalid sign","")))))))))</f>
        <v/>
      </c>
      <c r="U674" s="1" t="str">
        <f t="shared" si="85"/>
        <v>INCLUDED</v>
      </c>
      <c r="V674" s="1" t="str">
        <f t="shared" si="86"/>
        <v>2026-03</v>
      </c>
      <c r="W674" s="1">
        <f>IF(AND(U674="INCLUDED",X674&gt;0,EXACT(A674,'AI output'!A674)),1,0)</f>
        <v>1</v>
      </c>
      <c r="X674" s="1">
        <f>674</f>
        <v>674</v>
      </c>
      <c r="Y674" s="1">
        <f>IF(AND(U674="INCLUDED",W674=1),--(NOT(EXACT(A674,'AI output'!A674)))+--(NOT(EXACT(B674,'AI output'!B674)))+--(NOT(EXACT(TEXT(G674,"yyyy-mm-dd"),'AI output'!C674)))+--(NOT(EXACT(H674,'AI output'!D674)))+--(NOT(EXACT(J674,'AI output'!E674)))+--(NOT(EXACT(K674,'AI output'!F674)))+--(N674&lt;&gt;'AI output'!L674)+--(NOT('AI output'!M674)),0)</f>
        <v>0</v>
      </c>
      <c r="Z674" s="1">
        <f t="shared" si="87"/>
        <v>0</v>
      </c>
      <c r="AA674" s="1">
        <f>--EXACT(A674,"L00668")</f>
        <v>1</v>
      </c>
    </row>
    <row r="675" spans="1:27" ht="18.95" customHeight="1">
      <c r="A675" s="1" t="str">
        <f>IF(Raw!A675="","",Raw!A675)</f>
        <v>L00669</v>
      </c>
      <c r="B675" s="1" t="str">
        <f>IF(Raw!B675="","",Raw!B675)</f>
        <v>T00335</v>
      </c>
      <c r="C675" s="1" t="str">
        <f>IF(Raw!C675="","",Raw!C675)</f>
        <v>2026-03-30</v>
      </c>
      <c r="D675" s="1">
        <f t="shared" si="80"/>
        <v>2026</v>
      </c>
      <c r="E675" s="1">
        <f>IFERROR(IF(AND(LEN(C675)=10,MID(C675,5,1)="-",MID(C675,8,1)="-"),VALUE(MID(C675,6,2)),IF(AND(LEN(C675)=11,MID(C675,3,1)="-",MID(C675,7,1)="-"),MATCH(UPPER(MID(C675,4,3)),Guide!$D$7:$D$18,0),0)),0)</f>
        <v>3</v>
      </c>
      <c r="F675" s="1">
        <f t="shared" si="81"/>
        <v>30</v>
      </c>
      <c r="G675" s="9">
        <f t="shared" si="82"/>
        <v>46111</v>
      </c>
      <c r="H675" s="1" t="str">
        <f>IF(Raw!D675="","",Raw!D675)</f>
        <v>P-O</v>
      </c>
      <c r="I675" s="1" t="str">
        <f>IFERROR(IF(EXACT(H675,INDEX(Guide!$A$7:$A$9,MATCH(SUBSTITUTE(SUBSTITUTE(SUBSTITUTE(H675,"~","~~"),"*","~*"),"?","~?"),Guide!$A$7:$A$9,0))),INDEX(Guide!$B$7:$B$9,MATCH(SUBSTITUTE(SUBSTITUTE(SUBSTITUTE(H675,"~","~~"),"*","~*"),"?","~?"),Guide!$A$7:$A$9,0)),""),"")</f>
        <v>Office</v>
      </c>
      <c r="J675" s="1" t="str">
        <f>IF(TRIM(Raw!E675)="",I675,IF(UPPER(TRIM(Raw!E675))=UPPER(I675),I675,""))</f>
        <v>Office</v>
      </c>
      <c r="K675" s="1" t="str">
        <f>IF(Raw!F675="","",Raw!F675)</f>
        <v>sale</v>
      </c>
      <c r="L675" s="1" t="str">
        <f>IF(LEFT(TRIM(Raw!G675),2)="-$","-"&amp;MID(TRIM(Raw!G675),3,99),IF(LEFT(TRIM(Raw!G675),1)="$",MID(TRIM(Raw!G675),2,99),TRIM(Raw!G675)))</f>
        <v>24.30</v>
      </c>
      <c r="M675" s="1">
        <f t="shared" si="83"/>
        <v>24.3</v>
      </c>
      <c r="N675" s="10">
        <f t="shared" si="84"/>
        <v>2430</v>
      </c>
      <c r="O675" s="1" t="b">
        <f>IFERROR(IF(ISNUMBER(Raw!G675),TRUE,OR(EXACT(L675,TEXT(M675,"0.00")),EXACT(L675,TEXT(M675,"#,##0.00")))),FALSE)</f>
        <v>1</v>
      </c>
      <c r="P675" s="1" t="str">
        <f>LEN(IF(Raw!A675="","",Raw!A675))&amp;":"&amp;IF(Raw!A675="","",Raw!A675)&amp;"|"&amp;LEN(IF(Raw!B675="","",Raw!B675))&amp;":"&amp;IF(Raw!B675="","",Raw!B675)&amp;"|"&amp;LEN(IF(Raw!C675="","",Raw!C675))&amp;":"&amp;IF(Raw!C675="","",Raw!C675)&amp;"|"&amp;LEN(IF(Raw!D675="","",Raw!D675))&amp;":"&amp;IF(Raw!D675="","",Raw!D675)&amp;"|"&amp;LEN(IF(Raw!E675="","",Raw!E675))&amp;":"&amp;IF(Raw!E675="","",Raw!E675)&amp;"|"&amp;LEN(IF(Raw!F675="","",Raw!F675))&amp;":"&amp;IF(Raw!F675="","",Raw!F675)&amp;"|"&amp;LEN(IF(Raw!G675="","",Raw!G675))&amp;":"&amp;IF(Raw!G675="","",Raw!G675)</f>
        <v>6:L00669|6:T00335|10:2026-03-30|3:P-O|6:Office|4:sale|5:24.30</v>
      </c>
      <c r="Q675" s="1">
        <f>1</f>
        <v>1</v>
      </c>
      <c r="R675" s="1" t="b">
        <f>FALSE</f>
        <v>0</v>
      </c>
      <c r="S675" s="1">
        <f>1</f>
        <v>1</v>
      </c>
      <c r="T675" s="1" t="str">
        <f>IF(AND(Raw!A675="",Raw!B675="",Raw!C675="",Raw!D675="",Raw!E675="",Raw!F675="",Raw!G675=""),"UNUSED",IF(A675="","missing line ID",IF(B675="","missing transaction ID",IF(G675="",IF(C675="","missing date","invalid date"),IF(I675="","unknown product",IF(J675="","conflicting category",IF(NOT(OR(EXACT(K675,"sale"),EXACT(K675,"refund"))),"unknown event",IF(OR(N675="",NOT(O675)),"invalid amount",IF(OR(AND(K675="sale",N675&lt;=0),AND(K675="refund",N675&gt;=0)),"invalid sign","")))))))))</f>
        <v/>
      </c>
      <c r="U675" s="1" t="str">
        <f t="shared" si="85"/>
        <v>INCLUDED</v>
      </c>
      <c r="V675" s="1" t="str">
        <f t="shared" si="86"/>
        <v>2026-03</v>
      </c>
      <c r="W675" s="1">
        <f>IF(AND(U675="INCLUDED",X675&gt;0,EXACT(A675,'AI output'!A675)),1,0)</f>
        <v>1</v>
      </c>
      <c r="X675" s="1">
        <f>675</f>
        <v>675</v>
      </c>
      <c r="Y675" s="1">
        <f>IF(AND(U675="INCLUDED",W675=1),--(NOT(EXACT(A675,'AI output'!A675)))+--(NOT(EXACT(B675,'AI output'!B675)))+--(NOT(EXACT(TEXT(G675,"yyyy-mm-dd"),'AI output'!C675)))+--(NOT(EXACT(H675,'AI output'!D675)))+--(NOT(EXACT(J675,'AI output'!E675)))+--(NOT(EXACT(K675,'AI output'!F675)))+--(N675&lt;&gt;'AI output'!L675)+--(NOT('AI output'!M675)),0)</f>
        <v>0</v>
      </c>
      <c r="Z675" s="1">
        <f t="shared" si="87"/>
        <v>0</v>
      </c>
      <c r="AA675" s="1">
        <f>--EXACT(A675,"L00669")</f>
        <v>1</v>
      </c>
    </row>
    <row r="676" spans="1:27" ht="18.95" customHeight="1">
      <c r="A676" s="1" t="str">
        <f>IF(Raw!A676="","",Raw!A676)</f>
        <v>L00670</v>
      </c>
      <c r="B676" s="1" t="str">
        <f>IF(Raw!B676="","",Raw!B676)</f>
        <v>T00335</v>
      </c>
      <c r="C676" s="1" t="str">
        <f>IF(Raw!C676="","",Raw!C676)</f>
        <v>2026-03-30</v>
      </c>
      <c r="D676" s="1">
        <f t="shared" si="80"/>
        <v>2026</v>
      </c>
      <c r="E676" s="1">
        <f>IFERROR(IF(AND(LEN(C676)=10,MID(C676,5,1)="-",MID(C676,8,1)="-"),VALUE(MID(C676,6,2)),IF(AND(LEN(C676)=11,MID(C676,3,1)="-",MID(C676,7,1)="-"),MATCH(UPPER(MID(C676,4,3)),Guide!$D$7:$D$18,0),0)),0)</f>
        <v>3</v>
      </c>
      <c r="F676" s="1">
        <f t="shared" si="81"/>
        <v>30</v>
      </c>
      <c r="G676" s="9">
        <f t="shared" si="82"/>
        <v>46111</v>
      </c>
      <c r="H676" s="1" t="str">
        <f>IF(Raw!D676="","",Raw!D676)</f>
        <v>P-A</v>
      </c>
      <c r="I676" s="1" t="str">
        <f>IFERROR(IF(EXACT(H676,INDEX(Guide!$A$7:$A$9,MATCH(SUBSTITUTE(SUBSTITUTE(SUBSTITUTE(H676,"~","~~"),"*","~*"),"?","~?"),Guide!$A$7:$A$9,0))),INDEX(Guide!$B$7:$B$9,MATCH(SUBSTITUTE(SUBSTITUTE(SUBSTITUTE(H676,"~","~~"),"*","~*"),"?","~?"),Guide!$A$7:$A$9,0)),""),"")</f>
        <v>Accessories</v>
      </c>
      <c r="J676" s="1" t="str">
        <f>IF(TRIM(Raw!E676)="",I676,IF(UPPER(TRIM(Raw!E676))=UPPER(I676),I676,""))</f>
        <v>Accessories</v>
      </c>
      <c r="K676" s="1" t="str">
        <f>IF(Raw!F676="","",Raw!F676)</f>
        <v>sale</v>
      </c>
      <c r="L676" s="1" t="str">
        <f>IF(LEFT(TRIM(Raw!G676),2)="-$","-"&amp;MID(TRIM(Raw!G676),3,99),IF(LEFT(TRIM(Raw!G676),1)="$",MID(TRIM(Raw!G676),2,99),TRIM(Raw!G676)))</f>
        <v>50.08</v>
      </c>
      <c r="M676" s="1">
        <f t="shared" si="83"/>
        <v>50.08</v>
      </c>
      <c r="N676" s="10">
        <f t="shared" si="84"/>
        <v>5008</v>
      </c>
      <c r="O676" s="1" t="b">
        <f>IFERROR(IF(ISNUMBER(Raw!G676),TRUE,OR(EXACT(L676,TEXT(M676,"0.00")),EXACT(L676,TEXT(M676,"#,##0.00")))),FALSE)</f>
        <v>1</v>
      </c>
      <c r="P676" s="1" t="str">
        <f>LEN(IF(Raw!A676="","",Raw!A676))&amp;":"&amp;IF(Raw!A676="","",Raw!A676)&amp;"|"&amp;LEN(IF(Raw!B676="","",Raw!B676))&amp;":"&amp;IF(Raw!B676="","",Raw!B676)&amp;"|"&amp;LEN(IF(Raw!C676="","",Raw!C676))&amp;":"&amp;IF(Raw!C676="","",Raw!C676)&amp;"|"&amp;LEN(IF(Raw!D676="","",Raw!D676))&amp;":"&amp;IF(Raw!D676="","",Raw!D676)&amp;"|"&amp;LEN(IF(Raw!E676="","",Raw!E676))&amp;":"&amp;IF(Raw!E676="","",Raw!E676)&amp;"|"&amp;LEN(IF(Raw!F676="","",Raw!F676))&amp;":"&amp;IF(Raw!F676="","",Raw!F676)&amp;"|"&amp;LEN(IF(Raw!G676="","",Raw!G676))&amp;":"&amp;IF(Raw!G676="","",Raw!G676)</f>
        <v>6:L00670|6:T00335|10:2026-03-30|3:P-A|11:Accessories|4:sale|5:50.08</v>
      </c>
      <c r="Q676" s="1">
        <f>1</f>
        <v>1</v>
      </c>
      <c r="R676" s="1" t="b">
        <f>FALSE</f>
        <v>0</v>
      </c>
      <c r="S676" s="1">
        <f>1</f>
        <v>1</v>
      </c>
      <c r="T676" s="1" t="str">
        <f>IF(AND(Raw!A676="",Raw!B676="",Raw!C676="",Raw!D676="",Raw!E676="",Raw!F676="",Raw!G676=""),"UNUSED",IF(A676="","missing line ID",IF(B676="","missing transaction ID",IF(G676="",IF(C676="","missing date","invalid date"),IF(I676="","unknown product",IF(J676="","conflicting category",IF(NOT(OR(EXACT(K676,"sale"),EXACT(K676,"refund"))),"unknown event",IF(OR(N676="",NOT(O676)),"invalid amount",IF(OR(AND(K676="sale",N676&lt;=0),AND(K676="refund",N676&gt;=0)),"invalid sign","")))))))))</f>
        <v/>
      </c>
      <c r="U676" s="1" t="str">
        <f t="shared" si="85"/>
        <v>INCLUDED</v>
      </c>
      <c r="V676" s="1" t="str">
        <f t="shared" si="86"/>
        <v>2026-03</v>
      </c>
      <c r="W676" s="1">
        <f>IF(AND(U676="INCLUDED",X676&gt;0,EXACT(A676,'AI output'!A676)),1,0)</f>
        <v>1</v>
      </c>
      <c r="X676" s="1">
        <f>676</f>
        <v>676</v>
      </c>
      <c r="Y676" s="1">
        <f>IF(AND(U676="INCLUDED",W676=1),--(NOT(EXACT(A676,'AI output'!A676)))+--(NOT(EXACT(B676,'AI output'!B676)))+--(NOT(EXACT(TEXT(G676,"yyyy-mm-dd"),'AI output'!C676)))+--(NOT(EXACT(H676,'AI output'!D676)))+--(NOT(EXACT(J676,'AI output'!E676)))+--(NOT(EXACT(K676,'AI output'!F676)))+--(N676&lt;&gt;'AI output'!L676)+--(NOT('AI output'!M676)),0)</f>
        <v>0</v>
      </c>
      <c r="Z676" s="1">
        <f t="shared" si="87"/>
        <v>0</v>
      </c>
      <c r="AA676" s="1">
        <f>--EXACT(A676,"L00670")</f>
        <v>1</v>
      </c>
    </row>
    <row r="677" spans="1:27" ht="18.95" customHeight="1">
      <c r="A677" s="1" t="str">
        <f>IF(Raw!A677="","",Raw!A677)</f>
        <v>L00671</v>
      </c>
      <c r="B677" s="1" t="str">
        <f>IF(Raw!B677="","",Raw!B677)</f>
        <v>T00336</v>
      </c>
      <c r="C677" s="1" t="str">
        <f>IF(Raw!C677="","",Raw!C677)</f>
        <v>2026-01-06</v>
      </c>
      <c r="D677" s="1">
        <f t="shared" si="80"/>
        <v>2026</v>
      </c>
      <c r="E677" s="1">
        <f>IFERROR(IF(AND(LEN(C677)=10,MID(C677,5,1)="-",MID(C677,8,1)="-"),VALUE(MID(C677,6,2)),IF(AND(LEN(C677)=11,MID(C677,3,1)="-",MID(C677,7,1)="-"),MATCH(UPPER(MID(C677,4,3)),Guide!$D$7:$D$18,0),0)),0)</f>
        <v>1</v>
      </c>
      <c r="F677" s="1">
        <f t="shared" si="81"/>
        <v>6</v>
      </c>
      <c r="G677" s="9">
        <f t="shared" si="82"/>
        <v>46028</v>
      </c>
      <c r="H677" s="1" t="str">
        <f>IF(Raw!D677="","",Raw!D677)</f>
        <v>P-H</v>
      </c>
      <c r="I677" s="1" t="str">
        <f>IFERROR(IF(EXACT(H677,INDEX(Guide!$A$7:$A$9,MATCH(SUBSTITUTE(SUBSTITUTE(SUBSTITUTE(H677,"~","~~"),"*","~*"),"?","~?"),Guide!$A$7:$A$9,0))),INDEX(Guide!$B$7:$B$9,MATCH(SUBSTITUTE(SUBSTITUTE(SUBSTITUTE(H677,"~","~~"),"*","~*"),"?","~?"),Guide!$A$7:$A$9,0)),""),"")</f>
        <v>Home</v>
      </c>
      <c r="J677" s="1" t="str">
        <f>IF(TRIM(Raw!E677)="",I677,IF(UPPER(TRIM(Raw!E677))=UPPER(I677),I677,""))</f>
        <v>Home</v>
      </c>
      <c r="K677" s="1" t="str">
        <f>IF(Raw!F677="","",Raw!F677)</f>
        <v>sale</v>
      </c>
      <c r="L677" s="1" t="str">
        <f>IF(LEFT(TRIM(Raw!G677),2)="-$","-"&amp;MID(TRIM(Raw!G677),3,99),IF(LEFT(TRIM(Raw!G677),1)="$",MID(TRIM(Raw!G677),2,99),TRIM(Raw!G677)))</f>
        <v>12.89</v>
      </c>
      <c r="M677" s="1">
        <f t="shared" si="83"/>
        <v>12.89</v>
      </c>
      <c r="N677" s="10">
        <f t="shared" si="84"/>
        <v>1289</v>
      </c>
      <c r="O677" s="1" t="b">
        <f>IFERROR(IF(ISNUMBER(Raw!G677),TRUE,OR(EXACT(L677,TEXT(M677,"0.00")),EXACT(L677,TEXT(M677,"#,##0.00")))),FALSE)</f>
        <v>1</v>
      </c>
      <c r="P677" s="1" t="str">
        <f>LEN(IF(Raw!A677="","",Raw!A677))&amp;":"&amp;IF(Raw!A677="","",Raw!A677)&amp;"|"&amp;LEN(IF(Raw!B677="","",Raw!B677))&amp;":"&amp;IF(Raw!B677="","",Raw!B677)&amp;"|"&amp;LEN(IF(Raw!C677="","",Raw!C677))&amp;":"&amp;IF(Raw!C677="","",Raw!C677)&amp;"|"&amp;LEN(IF(Raw!D677="","",Raw!D677))&amp;":"&amp;IF(Raw!D677="","",Raw!D677)&amp;"|"&amp;LEN(IF(Raw!E677="","",Raw!E677))&amp;":"&amp;IF(Raw!E677="","",Raw!E677)&amp;"|"&amp;LEN(IF(Raw!F677="","",Raw!F677))&amp;":"&amp;IF(Raw!F677="","",Raw!F677)&amp;"|"&amp;LEN(IF(Raw!G677="","",Raw!G677))&amp;":"&amp;IF(Raw!G677="","",Raw!G677)</f>
        <v>6:L00671|6:T00336|10:2026-01-06|3:P-H|4:Home|4:sale|5:12.89</v>
      </c>
      <c r="Q677" s="1">
        <f>1</f>
        <v>1</v>
      </c>
      <c r="R677" s="1" t="b">
        <f>FALSE</f>
        <v>0</v>
      </c>
      <c r="S677" s="1">
        <f>1</f>
        <v>1</v>
      </c>
      <c r="T677" s="1" t="str">
        <f>IF(AND(Raw!A677="",Raw!B677="",Raw!C677="",Raw!D677="",Raw!E677="",Raw!F677="",Raw!G677=""),"UNUSED",IF(A677="","missing line ID",IF(B677="","missing transaction ID",IF(G677="",IF(C677="","missing date","invalid date"),IF(I677="","unknown product",IF(J677="","conflicting category",IF(NOT(OR(EXACT(K677,"sale"),EXACT(K677,"refund"))),"unknown event",IF(OR(N677="",NOT(O677)),"invalid amount",IF(OR(AND(K677="sale",N677&lt;=0),AND(K677="refund",N677&gt;=0)),"invalid sign","")))))))))</f>
        <v/>
      </c>
      <c r="U677" s="1" t="str">
        <f t="shared" si="85"/>
        <v>INCLUDED</v>
      </c>
      <c r="V677" s="1" t="str">
        <f t="shared" si="86"/>
        <v>2026-01</v>
      </c>
      <c r="W677" s="1">
        <f>IF(AND(U677="INCLUDED",X677&gt;0,EXACT(A677,'AI output'!A677)),1,0)</f>
        <v>1</v>
      </c>
      <c r="X677" s="1">
        <f>677</f>
        <v>677</v>
      </c>
      <c r="Y677" s="1">
        <f>IF(AND(U677="INCLUDED",W677=1),--(NOT(EXACT(A677,'AI output'!A677)))+--(NOT(EXACT(B677,'AI output'!B677)))+--(NOT(EXACT(TEXT(G677,"yyyy-mm-dd"),'AI output'!C677)))+--(NOT(EXACT(H677,'AI output'!D677)))+--(NOT(EXACT(J677,'AI output'!E677)))+--(NOT(EXACT(K677,'AI output'!F677)))+--(N677&lt;&gt;'AI output'!L677)+--(NOT('AI output'!M677)),0)</f>
        <v>0</v>
      </c>
      <c r="Z677" s="1">
        <f t="shared" si="87"/>
        <v>0</v>
      </c>
      <c r="AA677" s="1">
        <f>--EXACT(A677,"L00671")</f>
        <v>1</v>
      </c>
    </row>
    <row r="678" spans="1:27" ht="18.95" customHeight="1">
      <c r="A678" s="1" t="str">
        <f>IF(Raw!A678="","",Raw!A678)</f>
        <v>L00672</v>
      </c>
      <c r="B678" s="1" t="str">
        <f>IF(Raw!B678="","",Raw!B678)</f>
        <v>T00336</v>
      </c>
      <c r="C678" s="1" t="str">
        <f>IF(Raw!C678="","",Raw!C678)</f>
        <v>2026-01-06</v>
      </c>
      <c r="D678" s="1">
        <f t="shared" si="80"/>
        <v>2026</v>
      </c>
      <c r="E678" s="1">
        <f>IFERROR(IF(AND(LEN(C678)=10,MID(C678,5,1)="-",MID(C678,8,1)="-"),VALUE(MID(C678,6,2)),IF(AND(LEN(C678)=11,MID(C678,3,1)="-",MID(C678,7,1)="-"),MATCH(UPPER(MID(C678,4,3)),Guide!$D$7:$D$18,0),0)),0)</f>
        <v>1</v>
      </c>
      <c r="F678" s="1">
        <f t="shared" si="81"/>
        <v>6</v>
      </c>
      <c r="G678" s="9">
        <f t="shared" si="82"/>
        <v>46028</v>
      </c>
      <c r="H678" s="1" t="str">
        <f>IF(Raw!D678="","",Raw!D678)</f>
        <v>P-O</v>
      </c>
      <c r="I678" s="1" t="str">
        <f>IFERROR(IF(EXACT(H678,INDEX(Guide!$A$7:$A$9,MATCH(SUBSTITUTE(SUBSTITUTE(SUBSTITUTE(H678,"~","~~"),"*","~*"),"?","~?"),Guide!$A$7:$A$9,0))),INDEX(Guide!$B$7:$B$9,MATCH(SUBSTITUTE(SUBSTITUTE(SUBSTITUTE(H678,"~","~~"),"*","~*"),"?","~?"),Guide!$A$7:$A$9,0)),""),"")</f>
        <v>Office</v>
      </c>
      <c r="J678" s="1" t="str">
        <f>IF(TRIM(Raw!E678)="",I678,IF(UPPER(TRIM(Raw!E678))=UPPER(I678),I678,""))</f>
        <v>Office</v>
      </c>
      <c r="K678" s="1" t="str">
        <f>IF(Raw!F678="","",Raw!F678)</f>
        <v>sale</v>
      </c>
      <c r="L678" s="1" t="str">
        <f>IF(LEFT(TRIM(Raw!G678),2)="-$","-"&amp;MID(TRIM(Raw!G678),3,99),IF(LEFT(TRIM(Raw!G678),1)="$",MID(TRIM(Raw!G678),2,99),TRIM(Raw!G678)))</f>
        <v>39.78</v>
      </c>
      <c r="M678" s="1">
        <f t="shared" si="83"/>
        <v>39.78</v>
      </c>
      <c r="N678" s="10">
        <f t="shared" si="84"/>
        <v>3978</v>
      </c>
      <c r="O678" s="1" t="b">
        <f>IFERROR(IF(ISNUMBER(Raw!G678),TRUE,OR(EXACT(L678,TEXT(M678,"0.00")),EXACT(L678,TEXT(M678,"#,##0.00")))),FALSE)</f>
        <v>1</v>
      </c>
      <c r="P678" s="1" t="str">
        <f>LEN(IF(Raw!A678="","",Raw!A678))&amp;":"&amp;IF(Raw!A678="","",Raw!A678)&amp;"|"&amp;LEN(IF(Raw!B678="","",Raw!B678))&amp;":"&amp;IF(Raw!B678="","",Raw!B678)&amp;"|"&amp;LEN(IF(Raw!C678="","",Raw!C678))&amp;":"&amp;IF(Raw!C678="","",Raw!C678)&amp;"|"&amp;LEN(IF(Raw!D678="","",Raw!D678))&amp;":"&amp;IF(Raw!D678="","",Raw!D678)&amp;"|"&amp;LEN(IF(Raw!E678="","",Raw!E678))&amp;":"&amp;IF(Raw!E678="","",Raw!E678)&amp;"|"&amp;LEN(IF(Raw!F678="","",Raw!F678))&amp;":"&amp;IF(Raw!F678="","",Raw!F678)&amp;"|"&amp;LEN(IF(Raw!G678="","",Raw!G678))&amp;":"&amp;IF(Raw!G678="","",Raw!G678)</f>
        <v>6:L00672|6:T00336|10:2026-01-06|3:P-O|6:Office|4:sale|5:39.78</v>
      </c>
      <c r="Q678" s="1">
        <f>1</f>
        <v>1</v>
      </c>
      <c r="R678" s="1" t="b">
        <f>FALSE</f>
        <v>0</v>
      </c>
      <c r="S678" s="1">
        <f>1</f>
        <v>1</v>
      </c>
      <c r="T678" s="1" t="str">
        <f>IF(AND(Raw!A678="",Raw!B678="",Raw!C678="",Raw!D678="",Raw!E678="",Raw!F678="",Raw!G678=""),"UNUSED",IF(A678="","missing line ID",IF(B678="","missing transaction ID",IF(G678="",IF(C678="","missing date","invalid date"),IF(I678="","unknown product",IF(J678="","conflicting category",IF(NOT(OR(EXACT(K678,"sale"),EXACT(K678,"refund"))),"unknown event",IF(OR(N678="",NOT(O678)),"invalid amount",IF(OR(AND(K678="sale",N678&lt;=0),AND(K678="refund",N678&gt;=0)),"invalid sign","")))))))))</f>
        <v/>
      </c>
      <c r="U678" s="1" t="str">
        <f t="shared" si="85"/>
        <v>INCLUDED</v>
      </c>
      <c r="V678" s="1" t="str">
        <f t="shared" si="86"/>
        <v>2026-01</v>
      </c>
      <c r="W678" s="1">
        <f>IF(AND(U678="INCLUDED",X678&gt;0,EXACT(A678,'AI output'!A678)),1,0)</f>
        <v>1</v>
      </c>
      <c r="X678" s="1">
        <f>678</f>
        <v>678</v>
      </c>
      <c r="Y678" s="1">
        <f>IF(AND(U678="INCLUDED",W678=1),--(NOT(EXACT(A678,'AI output'!A678)))+--(NOT(EXACT(B678,'AI output'!B678)))+--(NOT(EXACT(TEXT(G678,"yyyy-mm-dd"),'AI output'!C678)))+--(NOT(EXACT(H678,'AI output'!D678)))+--(NOT(EXACT(J678,'AI output'!E678)))+--(NOT(EXACT(K678,'AI output'!F678)))+--(N678&lt;&gt;'AI output'!L678)+--(NOT('AI output'!M678)),0)</f>
        <v>0</v>
      </c>
      <c r="Z678" s="1">
        <f t="shared" si="87"/>
        <v>0</v>
      </c>
      <c r="AA678" s="1">
        <f>--EXACT(A678,"L00672")</f>
        <v>1</v>
      </c>
    </row>
    <row r="679" spans="1:27" ht="18.95" customHeight="1">
      <c r="A679" s="1" t="str">
        <f>IF(Raw!A679="","",Raw!A679)</f>
        <v>L00673</v>
      </c>
      <c r="B679" s="1" t="str">
        <f>IF(Raw!B679="","",Raw!B679)</f>
        <v>T00337</v>
      </c>
      <c r="C679" s="1" t="str">
        <f>IF(Raw!C679="","",Raw!C679)</f>
        <v>2026-01-13</v>
      </c>
      <c r="D679" s="1">
        <f t="shared" si="80"/>
        <v>2026</v>
      </c>
      <c r="E679" s="1">
        <f>IFERROR(IF(AND(LEN(C679)=10,MID(C679,5,1)="-",MID(C679,8,1)="-"),VALUE(MID(C679,6,2)),IF(AND(LEN(C679)=11,MID(C679,3,1)="-",MID(C679,7,1)="-"),MATCH(UPPER(MID(C679,4,3)),Guide!$D$7:$D$18,0),0)),0)</f>
        <v>1</v>
      </c>
      <c r="F679" s="1">
        <f t="shared" si="81"/>
        <v>13</v>
      </c>
      <c r="G679" s="9">
        <f t="shared" si="82"/>
        <v>46035</v>
      </c>
      <c r="H679" s="1" t="str">
        <f>IF(Raw!D679="","",Raw!D679)</f>
        <v>P-A</v>
      </c>
      <c r="I679" s="1" t="str">
        <f>IFERROR(IF(EXACT(H679,INDEX(Guide!$A$7:$A$9,MATCH(SUBSTITUTE(SUBSTITUTE(SUBSTITUTE(H679,"~","~~"),"*","~*"),"?","~?"),Guide!$A$7:$A$9,0))),INDEX(Guide!$B$7:$B$9,MATCH(SUBSTITUTE(SUBSTITUTE(SUBSTITUTE(H679,"~","~~"),"*","~*"),"?","~?"),Guide!$A$7:$A$9,0)),""),"")</f>
        <v>Accessories</v>
      </c>
      <c r="J679" s="1" t="str">
        <f>IF(TRIM(Raw!E679)="",I679,IF(UPPER(TRIM(Raw!E679))=UPPER(I679),I679,""))</f>
        <v>Accessories</v>
      </c>
      <c r="K679" s="1" t="str">
        <f>IF(Raw!F679="","",Raw!F679)</f>
        <v>sale</v>
      </c>
      <c r="L679" s="1" t="str">
        <f>IF(LEFT(TRIM(Raw!G679),2)="-$","-"&amp;MID(TRIM(Raw!G679),3,99),IF(LEFT(TRIM(Raw!G679),1)="$",MID(TRIM(Raw!G679),2,99),TRIM(Raw!G679)))</f>
        <v>68.15</v>
      </c>
      <c r="M679" s="1">
        <f t="shared" si="83"/>
        <v>68.150000000000006</v>
      </c>
      <c r="N679" s="10">
        <f t="shared" si="84"/>
        <v>6815</v>
      </c>
      <c r="O679" s="1" t="b">
        <f>IFERROR(IF(ISNUMBER(Raw!G679),TRUE,OR(EXACT(L679,TEXT(M679,"0.00")),EXACT(L679,TEXT(M679,"#,##0.00")))),FALSE)</f>
        <v>1</v>
      </c>
      <c r="P679" s="1" t="str">
        <f>LEN(IF(Raw!A679="","",Raw!A679))&amp;":"&amp;IF(Raw!A679="","",Raw!A679)&amp;"|"&amp;LEN(IF(Raw!B679="","",Raw!B679))&amp;":"&amp;IF(Raw!B679="","",Raw!B679)&amp;"|"&amp;LEN(IF(Raw!C679="","",Raw!C679))&amp;":"&amp;IF(Raw!C679="","",Raw!C679)&amp;"|"&amp;LEN(IF(Raw!D679="","",Raw!D679))&amp;":"&amp;IF(Raw!D679="","",Raw!D679)&amp;"|"&amp;LEN(IF(Raw!E679="","",Raw!E679))&amp;":"&amp;IF(Raw!E679="","",Raw!E679)&amp;"|"&amp;LEN(IF(Raw!F679="","",Raw!F679))&amp;":"&amp;IF(Raw!F679="","",Raw!F679)&amp;"|"&amp;LEN(IF(Raw!G679="","",Raw!G679))&amp;":"&amp;IF(Raw!G679="","",Raw!G679)</f>
        <v>6:L00673|6:T00337|10:2026-01-13|3:P-A|11:Accessories|4:sale|5:68.15</v>
      </c>
      <c r="Q679" s="1">
        <f>1</f>
        <v>1</v>
      </c>
      <c r="R679" s="1" t="b">
        <f>FALSE</f>
        <v>0</v>
      </c>
      <c r="S679" s="1">
        <f>1</f>
        <v>1</v>
      </c>
      <c r="T679" s="1" t="str">
        <f>IF(AND(Raw!A679="",Raw!B679="",Raw!C679="",Raw!D679="",Raw!E679="",Raw!F679="",Raw!G679=""),"UNUSED",IF(A679="","missing line ID",IF(B679="","missing transaction ID",IF(G679="",IF(C679="","missing date","invalid date"),IF(I679="","unknown product",IF(J679="","conflicting category",IF(NOT(OR(EXACT(K679,"sale"),EXACT(K679,"refund"))),"unknown event",IF(OR(N679="",NOT(O679)),"invalid amount",IF(OR(AND(K679="sale",N679&lt;=0),AND(K679="refund",N679&gt;=0)),"invalid sign","")))))))))</f>
        <v/>
      </c>
      <c r="U679" s="1" t="str">
        <f t="shared" si="85"/>
        <v>INCLUDED</v>
      </c>
      <c r="V679" s="1" t="str">
        <f t="shared" si="86"/>
        <v>2026-01</v>
      </c>
      <c r="W679" s="1">
        <f>IF(AND(U679="INCLUDED",X679&gt;0,EXACT(A679,'AI output'!A679)),1,0)</f>
        <v>1</v>
      </c>
      <c r="X679" s="1">
        <f>679</f>
        <v>679</v>
      </c>
      <c r="Y679" s="1">
        <f>IF(AND(U679="INCLUDED",W679=1),--(NOT(EXACT(A679,'AI output'!A679)))+--(NOT(EXACT(B679,'AI output'!B679)))+--(NOT(EXACT(TEXT(G679,"yyyy-mm-dd"),'AI output'!C679)))+--(NOT(EXACT(H679,'AI output'!D679)))+--(NOT(EXACT(J679,'AI output'!E679)))+--(NOT(EXACT(K679,'AI output'!F679)))+--(N679&lt;&gt;'AI output'!L679)+--(NOT('AI output'!M679)),0)</f>
        <v>0</v>
      </c>
      <c r="Z679" s="1">
        <f t="shared" si="87"/>
        <v>0</v>
      </c>
      <c r="AA679" s="1">
        <f>--EXACT(A679,"L00673")</f>
        <v>1</v>
      </c>
    </row>
    <row r="680" spans="1:27" ht="18.95" customHeight="1">
      <c r="A680" s="1" t="str">
        <f>IF(Raw!A680="","",Raw!A680)</f>
        <v>L00674</v>
      </c>
      <c r="B680" s="1" t="str">
        <f>IF(Raw!B680="","",Raw!B680)</f>
        <v>T00337</v>
      </c>
      <c r="C680" s="1" t="str">
        <f>IF(Raw!C680="","",Raw!C680)</f>
        <v>2026-01-13</v>
      </c>
      <c r="D680" s="1">
        <f t="shared" si="80"/>
        <v>2026</v>
      </c>
      <c r="E680" s="1">
        <f>IFERROR(IF(AND(LEN(C680)=10,MID(C680,5,1)="-",MID(C680,8,1)="-"),VALUE(MID(C680,6,2)),IF(AND(LEN(C680)=11,MID(C680,3,1)="-",MID(C680,7,1)="-"),MATCH(UPPER(MID(C680,4,3)),Guide!$D$7:$D$18,0),0)),0)</f>
        <v>1</v>
      </c>
      <c r="F680" s="1">
        <f t="shared" si="81"/>
        <v>13</v>
      </c>
      <c r="G680" s="9">
        <f t="shared" si="82"/>
        <v>46035</v>
      </c>
      <c r="H680" s="1" t="str">
        <f>IF(Raw!D680="","",Raw!D680)</f>
        <v>P-H</v>
      </c>
      <c r="I680" s="1" t="str">
        <f>IFERROR(IF(EXACT(H680,INDEX(Guide!$A$7:$A$9,MATCH(SUBSTITUTE(SUBSTITUTE(SUBSTITUTE(H680,"~","~~"),"*","~*"),"?","~?"),Guide!$A$7:$A$9,0))),INDEX(Guide!$B$7:$B$9,MATCH(SUBSTITUTE(SUBSTITUTE(SUBSTITUTE(H680,"~","~~"),"*","~*"),"?","~?"),Guide!$A$7:$A$9,0)),""),"")</f>
        <v>Home</v>
      </c>
      <c r="J680" s="1" t="str">
        <f>IF(TRIM(Raw!E680)="",I680,IF(UPPER(TRIM(Raw!E680))=UPPER(I680),I680,""))</f>
        <v>Home</v>
      </c>
      <c r="K680" s="1" t="str">
        <f>IF(Raw!F680="","",Raw!F680)</f>
        <v>sale</v>
      </c>
      <c r="L680" s="1" t="str">
        <f>IF(LEFT(TRIM(Raw!G680),2)="-$","-"&amp;MID(TRIM(Raw!G680),3,99),IF(LEFT(TRIM(Raw!G680),1)="$",MID(TRIM(Raw!G680),2,99),TRIM(Raw!G680)))</f>
        <v>28.00</v>
      </c>
      <c r="M680" s="1">
        <f t="shared" si="83"/>
        <v>28</v>
      </c>
      <c r="N680" s="10">
        <f t="shared" si="84"/>
        <v>2800</v>
      </c>
      <c r="O680" s="1" t="b">
        <f>IFERROR(IF(ISNUMBER(Raw!G680),TRUE,OR(EXACT(L680,TEXT(M680,"0.00")),EXACT(L680,TEXT(M680,"#,##0.00")))),FALSE)</f>
        <v>1</v>
      </c>
      <c r="P680" s="1" t="str">
        <f>LEN(IF(Raw!A680="","",Raw!A680))&amp;":"&amp;IF(Raw!A680="","",Raw!A680)&amp;"|"&amp;LEN(IF(Raw!B680="","",Raw!B680))&amp;":"&amp;IF(Raw!B680="","",Raw!B680)&amp;"|"&amp;LEN(IF(Raw!C680="","",Raw!C680))&amp;":"&amp;IF(Raw!C680="","",Raw!C680)&amp;"|"&amp;LEN(IF(Raw!D680="","",Raw!D680))&amp;":"&amp;IF(Raw!D680="","",Raw!D680)&amp;"|"&amp;LEN(IF(Raw!E680="","",Raw!E680))&amp;":"&amp;IF(Raw!E680="","",Raw!E680)&amp;"|"&amp;LEN(IF(Raw!F680="","",Raw!F680))&amp;":"&amp;IF(Raw!F680="","",Raw!F680)&amp;"|"&amp;LEN(IF(Raw!G680="","",Raw!G680))&amp;":"&amp;IF(Raw!G680="","",Raw!G680)</f>
        <v>6:L00674|6:T00337|10:2026-01-13|3:P-H|4:Home|4:sale|5:28.00</v>
      </c>
      <c r="Q680" s="1">
        <f>1</f>
        <v>1</v>
      </c>
      <c r="R680" s="1" t="b">
        <f>FALSE</f>
        <v>0</v>
      </c>
      <c r="S680" s="1">
        <f>1</f>
        <v>1</v>
      </c>
      <c r="T680" s="1" t="str">
        <f>IF(AND(Raw!A680="",Raw!B680="",Raw!C680="",Raw!D680="",Raw!E680="",Raw!F680="",Raw!G680=""),"UNUSED",IF(A680="","missing line ID",IF(B680="","missing transaction ID",IF(G680="",IF(C680="","missing date","invalid date"),IF(I680="","unknown product",IF(J680="","conflicting category",IF(NOT(OR(EXACT(K680,"sale"),EXACT(K680,"refund"))),"unknown event",IF(OR(N680="",NOT(O680)),"invalid amount",IF(OR(AND(K680="sale",N680&lt;=0),AND(K680="refund",N680&gt;=0)),"invalid sign","")))))))))</f>
        <v/>
      </c>
      <c r="U680" s="1" t="str">
        <f t="shared" si="85"/>
        <v>INCLUDED</v>
      </c>
      <c r="V680" s="1" t="str">
        <f t="shared" si="86"/>
        <v>2026-01</v>
      </c>
      <c r="W680" s="1">
        <f>IF(AND(U680="INCLUDED",X680&gt;0,EXACT(A680,'AI output'!A680)),1,0)</f>
        <v>1</v>
      </c>
      <c r="X680" s="1">
        <f>680</f>
        <v>680</v>
      </c>
      <c r="Y680" s="1">
        <f>IF(AND(U680="INCLUDED",W680=1),--(NOT(EXACT(A680,'AI output'!A680)))+--(NOT(EXACT(B680,'AI output'!B680)))+--(NOT(EXACT(TEXT(G680,"yyyy-mm-dd"),'AI output'!C680)))+--(NOT(EXACT(H680,'AI output'!D680)))+--(NOT(EXACT(J680,'AI output'!E680)))+--(NOT(EXACT(K680,'AI output'!F680)))+--(N680&lt;&gt;'AI output'!L680)+--(NOT('AI output'!M680)),0)</f>
        <v>0</v>
      </c>
      <c r="Z680" s="1">
        <f t="shared" si="87"/>
        <v>0</v>
      </c>
      <c r="AA680" s="1">
        <f>--EXACT(A680,"L00674")</f>
        <v>1</v>
      </c>
    </row>
    <row r="681" spans="1:27" ht="18.95" customHeight="1">
      <c r="A681" s="1" t="str">
        <f>IF(Raw!A681="","",Raw!A681)</f>
        <v>L00675</v>
      </c>
      <c r="B681" s="1" t="str">
        <f>IF(Raw!B681="","",Raw!B681)</f>
        <v>T00338</v>
      </c>
      <c r="C681" s="1" t="str">
        <f>IF(Raw!C681="","",Raw!C681)</f>
        <v>2026-01-20</v>
      </c>
      <c r="D681" s="1">
        <f t="shared" si="80"/>
        <v>2026</v>
      </c>
      <c r="E681" s="1">
        <f>IFERROR(IF(AND(LEN(C681)=10,MID(C681,5,1)="-",MID(C681,8,1)="-"),VALUE(MID(C681,6,2)),IF(AND(LEN(C681)=11,MID(C681,3,1)="-",MID(C681,7,1)="-"),MATCH(UPPER(MID(C681,4,3)),Guide!$D$7:$D$18,0),0)),0)</f>
        <v>1</v>
      </c>
      <c r="F681" s="1">
        <f t="shared" si="81"/>
        <v>20</v>
      </c>
      <c r="G681" s="9">
        <f t="shared" si="82"/>
        <v>46042</v>
      </c>
      <c r="H681" s="1" t="str">
        <f>IF(Raw!D681="","",Raw!D681)</f>
        <v>P-O</v>
      </c>
      <c r="I681" s="1" t="str">
        <f>IFERROR(IF(EXACT(H681,INDEX(Guide!$A$7:$A$9,MATCH(SUBSTITUTE(SUBSTITUTE(SUBSTITUTE(H681,"~","~~"),"*","~*"),"?","~?"),Guide!$A$7:$A$9,0))),INDEX(Guide!$B$7:$B$9,MATCH(SUBSTITUTE(SUBSTITUTE(SUBSTITUTE(H681,"~","~~"),"*","~*"),"?","~?"),Guide!$A$7:$A$9,0)),""),"")</f>
        <v>Office</v>
      </c>
      <c r="J681" s="1" t="str">
        <f>IF(TRIM(Raw!E681)="",I681,IF(UPPER(TRIM(Raw!E681))=UPPER(I681),I681,""))</f>
        <v>Office</v>
      </c>
      <c r="K681" s="1" t="str">
        <f>IF(Raw!F681="","",Raw!F681)</f>
        <v>sale</v>
      </c>
      <c r="L681" s="1" t="str">
        <f>IF(LEFT(TRIM(Raw!G681),2)="-$","-"&amp;MID(TRIM(Raw!G681),3,99),IF(LEFT(TRIM(Raw!G681),1)="$",MID(TRIM(Raw!G681),2,99),TRIM(Raw!G681)))</f>
        <v>57.48</v>
      </c>
      <c r="M681" s="1">
        <f t="shared" si="83"/>
        <v>57.48</v>
      </c>
      <c r="N681" s="10">
        <f t="shared" si="84"/>
        <v>5748</v>
      </c>
      <c r="O681" s="1" t="b">
        <f>IFERROR(IF(ISNUMBER(Raw!G681),TRUE,OR(EXACT(L681,TEXT(M681,"0.00")),EXACT(L681,TEXT(M681,"#,##0.00")))),FALSE)</f>
        <v>1</v>
      </c>
      <c r="P681" s="1" t="str">
        <f>LEN(IF(Raw!A681="","",Raw!A681))&amp;":"&amp;IF(Raw!A681="","",Raw!A681)&amp;"|"&amp;LEN(IF(Raw!B681="","",Raw!B681))&amp;":"&amp;IF(Raw!B681="","",Raw!B681)&amp;"|"&amp;LEN(IF(Raw!C681="","",Raw!C681))&amp;":"&amp;IF(Raw!C681="","",Raw!C681)&amp;"|"&amp;LEN(IF(Raw!D681="","",Raw!D681))&amp;":"&amp;IF(Raw!D681="","",Raw!D681)&amp;"|"&amp;LEN(IF(Raw!E681="","",Raw!E681))&amp;":"&amp;IF(Raw!E681="","",Raw!E681)&amp;"|"&amp;LEN(IF(Raw!F681="","",Raw!F681))&amp;":"&amp;IF(Raw!F681="","",Raw!F681)&amp;"|"&amp;LEN(IF(Raw!G681="","",Raw!G681))&amp;":"&amp;IF(Raw!G681="","",Raw!G681)</f>
        <v>6:L00675|6:T00338|10:2026-01-20|3:P-O|10:  office  |4:sale|5:57.48</v>
      </c>
      <c r="Q681" s="1">
        <f>1</f>
        <v>1</v>
      </c>
      <c r="R681" s="1" t="b">
        <f>FALSE</f>
        <v>0</v>
      </c>
      <c r="S681" s="1">
        <f>1</f>
        <v>1</v>
      </c>
      <c r="T681" s="1" t="str">
        <f>IF(AND(Raw!A681="",Raw!B681="",Raw!C681="",Raw!D681="",Raw!E681="",Raw!F681="",Raw!G681=""),"UNUSED",IF(A681="","missing line ID",IF(B681="","missing transaction ID",IF(G681="",IF(C681="","missing date","invalid date"),IF(I681="","unknown product",IF(J681="","conflicting category",IF(NOT(OR(EXACT(K681,"sale"),EXACT(K681,"refund"))),"unknown event",IF(OR(N681="",NOT(O681)),"invalid amount",IF(OR(AND(K681="sale",N681&lt;=0),AND(K681="refund",N681&gt;=0)),"invalid sign","")))))))))</f>
        <v/>
      </c>
      <c r="U681" s="1" t="str">
        <f t="shared" si="85"/>
        <v>INCLUDED</v>
      </c>
      <c r="V681" s="1" t="str">
        <f t="shared" si="86"/>
        <v>2026-01</v>
      </c>
      <c r="W681" s="1">
        <f>IF(AND(U681="INCLUDED",X681&gt;0,EXACT(A681,'AI output'!A681)),1,0)</f>
        <v>1</v>
      </c>
      <c r="X681" s="1">
        <f>681</f>
        <v>681</v>
      </c>
      <c r="Y681" s="1">
        <f>IF(AND(U681="INCLUDED",W681=1),--(NOT(EXACT(A681,'AI output'!A681)))+--(NOT(EXACT(B681,'AI output'!B681)))+--(NOT(EXACT(TEXT(G681,"yyyy-mm-dd"),'AI output'!C681)))+--(NOT(EXACT(H681,'AI output'!D681)))+--(NOT(EXACT(J681,'AI output'!E681)))+--(NOT(EXACT(K681,'AI output'!F681)))+--(N681&lt;&gt;'AI output'!L681)+--(NOT('AI output'!M681)),0)</f>
        <v>0</v>
      </c>
      <c r="Z681" s="1">
        <f t="shared" si="87"/>
        <v>0</v>
      </c>
      <c r="AA681" s="1">
        <f>--EXACT(A681,"L00675")</f>
        <v>1</v>
      </c>
    </row>
    <row r="682" spans="1:27" ht="18.95" customHeight="1">
      <c r="A682" s="1" t="str">
        <f>IF(Raw!A682="","",Raw!A682)</f>
        <v>L00676</v>
      </c>
      <c r="B682" s="1" t="str">
        <f>IF(Raw!B682="","",Raw!B682)</f>
        <v>T00338</v>
      </c>
      <c r="C682" s="1" t="str">
        <f>IF(Raw!C682="","",Raw!C682)</f>
        <v>2026-01-20</v>
      </c>
      <c r="D682" s="1">
        <f t="shared" si="80"/>
        <v>2026</v>
      </c>
      <c r="E682" s="1">
        <f>IFERROR(IF(AND(LEN(C682)=10,MID(C682,5,1)="-",MID(C682,8,1)="-"),VALUE(MID(C682,6,2)),IF(AND(LEN(C682)=11,MID(C682,3,1)="-",MID(C682,7,1)="-"),MATCH(UPPER(MID(C682,4,3)),Guide!$D$7:$D$18,0),0)),0)</f>
        <v>1</v>
      </c>
      <c r="F682" s="1">
        <f t="shared" si="81"/>
        <v>20</v>
      </c>
      <c r="G682" s="9">
        <f t="shared" si="82"/>
        <v>46042</v>
      </c>
      <c r="H682" s="1" t="str">
        <f>IF(Raw!D682="","",Raw!D682)</f>
        <v>P-A</v>
      </c>
      <c r="I682" s="1" t="str">
        <f>IFERROR(IF(EXACT(H682,INDEX(Guide!$A$7:$A$9,MATCH(SUBSTITUTE(SUBSTITUTE(SUBSTITUTE(H682,"~","~~"),"*","~*"),"?","~?"),Guide!$A$7:$A$9,0))),INDEX(Guide!$B$7:$B$9,MATCH(SUBSTITUTE(SUBSTITUTE(SUBSTITUTE(H682,"~","~~"),"*","~*"),"?","~?"),Guide!$A$7:$A$9,0)),""),"")</f>
        <v>Accessories</v>
      </c>
      <c r="J682" s="1" t="str">
        <f>IF(TRIM(Raw!E682)="",I682,IF(UPPER(TRIM(Raw!E682))=UPPER(I682),I682,""))</f>
        <v>Accessories</v>
      </c>
      <c r="K682" s="1" t="str">
        <f>IF(Raw!F682="","",Raw!F682)</f>
        <v>sale</v>
      </c>
      <c r="L682" s="1" t="str">
        <f>IF(LEFT(TRIM(Raw!G682),2)="-$","-"&amp;MID(TRIM(Raw!G682),3,99),IF(LEFT(TRIM(Raw!G682),1)="$",MID(TRIM(Raw!G682),2,99),TRIM(Raw!G682)))</f>
        <v>14.74</v>
      </c>
      <c r="M682" s="1">
        <f t="shared" si="83"/>
        <v>14.74</v>
      </c>
      <c r="N682" s="10">
        <f t="shared" si="84"/>
        <v>1474</v>
      </c>
      <c r="O682" s="1" t="b">
        <f>IFERROR(IF(ISNUMBER(Raw!G682),TRUE,OR(EXACT(L682,TEXT(M682,"0.00")),EXACT(L682,TEXT(M682,"#,##0.00")))),FALSE)</f>
        <v>1</v>
      </c>
      <c r="P682" s="1" t="str">
        <f>LEN(IF(Raw!A682="","",Raw!A682))&amp;":"&amp;IF(Raw!A682="","",Raw!A682)&amp;"|"&amp;LEN(IF(Raw!B682="","",Raw!B682))&amp;":"&amp;IF(Raw!B682="","",Raw!B682)&amp;"|"&amp;LEN(IF(Raw!C682="","",Raw!C682))&amp;":"&amp;IF(Raw!C682="","",Raw!C682)&amp;"|"&amp;LEN(IF(Raw!D682="","",Raw!D682))&amp;":"&amp;IF(Raw!D682="","",Raw!D682)&amp;"|"&amp;LEN(IF(Raw!E682="","",Raw!E682))&amp;":"&amp;IF(Raw!E682="","",Raw!E682)&amp;"|"&amp;LEN(IF(Raw!F682="","",Raw!F682))&amp;":"&amp;IF(Raw!F682="","",Raw!F682)&amp;"|"&amp;LEN(IF(Raw!G682="","",Raw!G682))&amp;":"&amp;IF(Raw!G682="","",Raw!G682)</f>
        <v>6:L00676|6:T00338|10:2026-01-20|3:P-A|11:Accessories|4:sale|5:14.74</v>
      </c>
      <c r="Q682" s="1">
        <f>1</f>
        <v>1</v>
      </c>
      <c r="R682" s="1" t="b">
        <f>FALSE</f>
        <v>0</v>
      </c>
      <c r="S682" s="1">
        <f>1</f>
        <v>1</v>
      </c>
      <c r="T682" s="1" t="str">
        <f>IF(AND(Raw!A682="",Raw!B682="",Raw!C682="",Raw!D682="",Raw!E682="",Raw!F682="",Raw!G682=""),"UNUSED",IF(A682="","missing line ID",IF(B682="","missing transaction ID",IF(G682="",IF(C682="","missing date","invalid date"),IF(I682="","unknown product",IF(J682="","conflicting category",IF(NOT(OR(EXACT(K682,"sale"),EXACT(K682,"refund"))),"unknown event",IF(OR(N682="",NOT(O682)),"invalid amount",IF(OR(AND(K682="sale",N682&lt;=0),AND(K682="refund",N682&gt;=0)),"invalid sign","")))))))))</f>
        <v/>
      </c>
      <c r="U682" s="1" t="str">
        <f t="shared" si="85"/>
        <v>INCLUDED</v>
      </c>
      <c r="V682" s="1" t="str">
        <f t="shared" si="86"/>
        <v>2026-01</v>
      </c>
      <c r="W682" s="1">
        <f>IF(AND(U682="INCLUDED",X682&gt;0,EXACT(A682,'AI output'!A682)),1,0)</f>
        <v>1</v>
      </c>
      <c r="X682" s="1">
        <f>682</f>
        <v>682</v>
      </c>
      <c r="Y682" s="1">
        <f>IF(AND(U682="INCLUDED",W682=1),--(NOT(EXACT(A682,'AI output'!A682)))+--(NOT(EXACT(B682,'AI output'!B682)))+--(NOT(EXACT(TEXT(G682,"yyyy-mm-dd"),'AI output'!C682)))+--(NOT(EXACT(H682,'AI output'!D682)))+--(NOT(EXACT(J682,'AI output'!E682)))+--(NOT(EXACT(K682,'AI output'!F682)))+--(N682&lt;&gt;'AI output'!L682)+--(NOT('AI output'!M682)),0)</f>
        <v>0</v>
      </c>
      <c r="Z682" s="1">
        <f t="shared" si="87"/>
        <v>0</v>
      </c>
      <c r="AA682" s="1">
        <f>--EXACT(A682,"L00676")</f>
        <v>1</v>
      </c>
    </row>
    <row r="683" spans="1:27" ht="18.95" customHeight="1">
      <c r="A683" s="1" t="str">
        <f>IF(Raw!A683="","",Raw!A683)</f>
        <v>L00677</v>
      </c>
      <c r="B683" s="1" t="str">
        <f>IF(Raw!B683="","",Raw!B683)</f>
        <v>T00339</v>
      </c>
      <c r="C683" s="1" t="str">
        <f>IF(Raw!C683="","",Raw!C683)</f>
        <v>2026-01-27</v>
      </c>
      <c r="D683" s="1">
        <f t="shared" si="80"/>
        <v>2026</v>
      </c>
      <c r="E683" s="1">
        <f>IFERROR(IF(AND(LEN(C683)=10,MID(C683,5,1)="-",MID(C683,8,1)="-"),VALUE(MID(C683,6,2)),IF(AND(LEN(C683)=11,MID(C683,3,1)="-",MID(C683,7,1)="-"),MATCH(UPPER(MID(C683,4,3)),Guide!$D$7:$D$18,0),0)),0)</f>
        <v>1</v>
      </c>
      <c r="F683" s="1">
        <f t="shared" si="81"/>
        <v>27</v>
      </c>
      <c r="G683" s="9">
        <f t="shared" si="82"/>
        <v>46049</v>
      </c>
      <c r="H683" s="1" t="str">
        <f>IF(Raw!D683="","",Raw!D683)</f>
        <v>P-H</v>
      </c>
      <c r="I683" s="1" t="str">
        <f>IFERROR(IF(EXACT(H683,INDEX(Guide!$A$7:$A$9,MATCH(SUBSTITUTE(SUBSTITUTE(SUBSTITUTE(H683,"~","~~"),"*","~*"),"?","~?"),Guide!$A$7:$A$9,0))),INDEX(Guide!$B$7:$B$9,MATCH(SUBSTITUTE(SUBSTITUTE(SUBSTITUTE(H683,"~","~~"),"*","~*"),"?","~?"),Guide!$A$7:$A$9,0)),""),"")</f>
        <v>Home</v>
      </c>
      <c r="J683" s="1" t="str">
        <f>IF(TRIM(Raw!E683)="",I683,IF(UPPER(TRIM(Raw!E683))=UPPER(I683),I683,""))</f>
        <v>Home</v>
      </c>
      <c r="K683" s="1" t="str">
        <f>IF(Raw!F683="","",Raw!F683)</f>
        <v>sale</v>
      </c>
      <c r="L683" s="1" t="str">
        <f>IF(LEFT(TRIM(Raw!G683),2)="-$","-"&amp;MID(TRIM(Raw!G683),3,99),IF(LEFT(TRIM(Raw!G683),1)="$",MID(TRIM(Raw!G683),2,99),TRIM(Raw!G683)))</f>
        <v>45.33</v>
      </c>
      <c r="M683" s="1">
        <f t="shared" si="83"/>
        <v>45.33</v>
      </c>
      <c r="N683" s="10">
        <f t="shared" si="84"/>
        <v>4533</v>
      </c>
      <c r="O683" s="1" t="b">
        <f>IFERROR(IF(ISNUMBER(Raw!G683),TRUE,OR(EXACT(L683,TEXT(M683,"0.00")),EXACT(L683,TEXT(M683,"#,##0.00")))),FALSE)</f>
        <v>1</v>
      </c>
      <c r="P683" s="1" t="str">
        <f>LEN(IF(Raw!A683="","",Raw!A683))&amp;":"&amp;IF(Raw!A683="","",Raw!A683)&amp;"|"&amp;LEN(IF(Raw!B683="","",Raw!B683))&amp;":"&amp;IF(Raw!B683="","",Raw!B683)&amp;"|"&amp;LEN(IF(Raw!C683="","",Raw!C683))&amp;":"&amp;IF(Raw!C683="","",Raw!C683)&amp;"|"&amp;LEN(IF(Raw!D683="","",Raw!D683))&amp;":"&amp;IF(Raw!D683="","",Raw!D683)&amp;"|"&amp;LEN(IF(Raw!E683="","",Raw!E683))&amp;":"&amp;IF(Raw!E683="","",Raw!E683)&amp;"|"&amp;LEN(IF(Raw!F683="","",Raw!F683))&amp;":"&amp;IF(Raw!F683="","",Raw!F683)&amp;"|"&amp;LEN(IF(Raw!G683="","",Raw!G683))&amp;":"&amp;IF(Raw!G683="","",Raw!G683)</f>
        <v>6:L00677|6:T00339|10:2026-01-27|3:P-H|4:Home|4:sale|5:45.33</v>
      </c>
      <c r="Q683" s="1">
        <f>1</f>
        <v>1</v>
      </c>
      <c r="R683" s="1" t="b">
        <f>FALSE</f>
        <v>0</v>
      </c>
      <c r="S683" s="1">
        <f>1</f>
        <v>1</v>
      </c>
      <c r="T683" s="1" t="str">
        <f>IF(AND(Raw!A683="",Raw!B683="",Raw!C683="",Raw!D683="",Raw!E683="",Raw!F683="",Raw!G683=""),"UNUSED",IF(A683="","missing line ID",IF(B683="","missing transaction ID",IF(G683="",IF(C683="","missing date","invalid date"),IF(I683="","unknown product",IF(J683="","conflicting category",IF(NOT(OR(EXACT(K683,"sale"),EXACT(K683,"refund"))),"unknown event",IF(OR(N683="",NOT(O683)),"invalid amount",IF(OR(AND(K683="sale",N683&lt;=0),AND(K683="refund",N683&gt;=0)),"invalid sign","")))))))))</f>
        <v/>
      </c>
      <c r="U683" s="1" t="str">
        <f t="shared" si="85"/>
        <v>INCLUDED</v>
      </c>
      <c r="V683" s="1" t="str">
        <f t="shared" si="86"/>
        <v>2026-01</v>
      </c>
      <c r="W683" s="1">
        <f>IF(AND(U683="INCLUDED",X683&gt;0,EXACT(A683,'AI output'!A683)),1,0)</f>
        <v>1</v>
      </c>
      <c r="X683" s="1">
        <f>683</f>
        <v>683</v>
      </c>
      <c r="Y683" s="1">
        <f>IF(AND(U683="INCLUDED",W683=1),--(NOT(EXACT(A683,'AI output'!A683)))+--(NOT(EXACT(B683,'AI output'!B683)))+--(NOT(EXACT(TEXT(G683,"yyyy-mm-dd"),'AI output'!C683)))+--(NOT(EXACT(H683,'AI output'!D683)))+--(NOT(EXACT(J683,'AI output'!E683)))+--(NOT(EXACT(K683,'AI output'!F683)))+--(N683&lt;&gt;'AI output'!L683)+--(NOT('AI output'!M683)),0)</f>
        <v>0</v>
      </c>
      <c r="Z683" s="1">
        <f t="shared" si="87"/>
        <v>0</v>
      </c>
      <c r="AA683" s="1">
        <f>--EXACT(A683,"L00677")</f>
        <v>1</v>
      </c>
    </row>
    <row r="684" spans="1:27" ht="18.95" customHeight="1">
      <c r="A684" s="1" t="str">
        <f>IF(Raw!A684="","",Raw!A684)</f>
        <v>L00678</v>
      </c>
      <c r="B684" s="1" t="str">
        <f>IF(Raw!B684="","",Raw!B684)</f>
        <v>T00339</v>
      </c>
      <c r="C684" s="1" t="str">
        <f>IF(Raw!C684="","",Raw!C684)</f>
        <v>2026-01-27</v>
      </c>
      <c r="D684" s="1">
        <f t="shared" si="80"/>
        <v>2026</v>
      </c>
      <c r="E684" s="1">
        <f>IFERROR(IF(AND(LEN(C684)=10,MID(C684,5,1)="-",MID(C684,8,1)="-"),VALUE(MID(C684,6,2)),IF(AND(LEN(C684)=11,MID(C684,3,1)="-",MID(C684,7,1)="-"),MATCH(UPPER(MID(C684,4,3)),Guide!$D$7:$D$18,0),0)),0)</f>
        <v>1</v>
      </c>
      <c r="F684" s="1">
        <f t="shared" si="81"/>
        <v>27</v>
      </c>
      <c r="G684" s="9">
        <f t="shared" si="82"/>
        <v>46049</v>
      </c>
      <c r="H684" s="1" t="str">
        <f>IF(Raw!D684="","",Raw!D684)</f>
        <v>P-O</v>
      </c>
      <c r="I684" s="1" t="str">
        <f>IFERROR(IF(EXACT(H684,INDEX(Guide!$A$7:$A$9,MATCH(SUBSTITUTE(SUBSTITUTE(SUBSTITUTE(H684,"~","~~"),"*","~*"),"?","~?"),Guide!$A$7:$A$9,0))),INDEX(Guide!$B$7:$B$9,MATCH(SUBSTITUTE(SUBSTITUTE(SUBSTITUTE(H684,"~","~~"),"*","~*"),"?","~?"),Guide!$A$7:$A$9,0)),""),"")</f>
        <v>Office</v>
      </c>
      <c r="J684" s="1" t="str">
        <f>IF(TRIM(Raw!E684)="",I684,IF(UPPER(TRIM(Raw!E684))=UPPER(I684),I684,""))</f>
        <v>Office</v>
      </c>
      <c r="K684" s="1" t="str">
        <f>IF(Raw!F684="","",Raw!F684)</f>
        <v>sale</v>
      </c>
      <c r="L684" s="1" t="str">
        <f>IF(LEFT(TRIM(Raw!G684),2)="-$","-"&amp;MID(TRIM(Raw!G684),3,99),IF(LEFT(TRIM(Raw!G684),1)="$",MID(TRIM(Raw!G684),2,99),TRIM(Raw!G684)))</f>
        <v>77.40</v>
      </c>
      <c r="M684" s="1">
        <f t="shared" si="83"/>
        <v>77.400000000000006</v>
      </c>
      <c r="N684" s="10">
        <f t="shared" si="84"/>
        <v>7740</v>
      </c>
      <c r="O684" s="1" t="b">
        <f>IFERROR(IF(ISNUMBER(Raw!G684),TRUE,OR(EXACT(L684,TEXT(M684,"0.00")),EXACT(L684,TEXT(M684,"#,##0.00")))),FALSE)</f>
        <v>1</v>
      </c>
      <c r="P684" s="1" t="str">
        <f>LEN(IF(Raw!A684="","",Raw!A684))&amp;":"&amp;IF(Raw!A684="","",Raw!A684)&amp;"|"&amp;LEN(IF(Raw!B684="","",Raw!B684))&amp;":"&amp;IF(Raw!B684="","",Raw!B684)&amp;"|"&amp;LEN(IF(Raw!C684="","",Raw!C684))&amp;":"&amp;IF(Raw!C684="","",Raw!C684)&amp;"|"&amp;LEN(IF(Raw!D684="","",Raw!D684))&amp;":"&amp;IF(Raw!D684="","",Raw!D684)&amp;"|"&amp;LEN(IF(Raw!E684="","",Raw!E684))&amp;":"&amp;IF(Raw!E684="","",Raw!E684)&amp;"|"&amp;LEN(IF(Raw!F684="","",Raw!F684))&amp;":"&amp;IF(Raw!F684="","",Raw!F684)&amp;"|"&amp;LEN(IF(Raw!G684="","",Raw!G684))&amp;":"&amp;IF(Raw!G684="","",Raw!G684)</f>
        <v>6:L00678|6:T00339|10:2026-01-27|3:P-O|6:Office|4:sale|5:77.40</v>
      </c>
      <c r="Q684" s="1">
        <f>1</f>
        <v>1</v>
      </c>
      <c r="R684" s="1" t="b">
        <f>FALSE</f>
        <v>0</v>
      </c>
      <c r="S684" s="1">
        <f>1</f>
        <v>1</v>
      </c>
      <c r="T684" s="1" t="str">
        <f>IF(AND(Raw!A684="",Raw!B684="",Raw!C684="",Raw!D684="",Raw!E684="",Raw!F684="",Raw!G684=""),"UNUSED",IF(A684="","missing line ID",IF(B684="","missing transaction ID",IF(G684="",IF(C684="","missing date","invalid date"),IF(I684="","unknown product",IF(J684="","conflicting category",IF(NOT(OR(EXACT(K684,"sale"),EXACT(K684,"refund"))),"unknown event",IF(OR(N684="",NOT(O684)),"invalid amount",IF(OR(AND(K684="sale",N684&lt;=0),AND(K684="refund",N684&gt;=0)),"invalid sign","")))))))))</f>
        <v/>
      </c>
      <c r="U684" s="1" t="str">
        <f t="shared" si="85"/>
        <v>INCLUDED</v>
      </c>
      <c r="V684" s="1" t="str">
        <f t="shared" si="86"/>
        <v>2026-01</v>
      </c>
      <c r="W684" s="1">
        <f>IF(AND(U684="INCLUDED",X684&gt;0,EXACT(A684,'AI output'!A684)),1,0)</f>
        <v>1</v>
      </c>
      <c r="X684" s="1">
        <f>684</f>
        <v>684</v>
      </c>
      <c r="Y684" s="1">
        <f>IF(AND(U684="INCLUDED",W684=1),--(NOT(EXACT(A684,'AI output'!A684)))+--(NOT(EXACT(B684,'AI output'!B684)))+--(NOT(EXACT(TEXT(G684,"yyyy-mm-dd"),'AI output'!C684)))+--(NOT(EXACT(H684,'AI output'!D684)))+--(NOT(EXACT(J684,'AI output'!E684)))+--(NOT(EXACT(K684,'AI output'!F684)))+--(N684&lt;&gt;'AI output'!L684)+--(NOT('AI output'!M684)),0)</f>
        <v>0</v>
      </c>
      <c r="Z684" s="1">
        <f t="shared" si="87"/>
        <v>0</v>
      </c>
      <c r="AA684" s="1">
        <f>--EXACT(A684,"L00678")</f>
        <v>1</v>
      </c>
    </row>
    <row r="685" spans="1:27" ht="18.95" customHeight="1">
      <c r="A685" s="1" t="str">
        <f>IF(Raw!A685="","",Raw!A685)</f>
        <v>L00679</v>
      </c>
      <c r="B685" s="1" t="str">
        <f>IF(Raw!B685="","",Raw!B685)</f>
        <v>T00340</v>
      </c>
      <c r="C685" s="1" t="str">
        <f>IF(Raw!C685="","",Raw!C685)</f>
        <v>2026-02-03</v>
      </c>
      <c r="D685" s="1">
        <f t="shared" si="80"/>
        <v>2026</v>
      </c>
      <c r="E685" s="1">
        <f>IFERROR(IF(AND(LEN(C685)=10,MID(C685,5,1)="-",MID(C685,8,1)="-"),VALUE(MID(C685,6,2)),IF(AND(LEN(C685)=11,MID(C685,3,1)="-",MID(C685,7,1)="-"),MATCH(UPPER(MID(C685,4,3)),Guide!$D$7:$D$18,0),0)),0)</f>
        <v>2</v>
      </c>
      <c r="F685" s="1">
        <f t="shared" si="81"/>
        <v>3</v>
      </c>
      <c r="G685" s="9">
        <f t="shared" si="82"/>
        <v>46056</v>
      </c>
      <c r="H685" s="1" t="str">
        <f>IF(Raw!D685="","",Raw!D685)</f>
        <v>P-A</v>
      </c>
      <c r="I685" s="1" t="str">
        <f>IFERROR(IF(EXACT(H685,INDEX(Guide!$A$7:$A$9,MATCH(SUBSTITUTE(SUBSTITUTE(SUBSTITUTE(H685,"~","~~"),"*","~*"),"?","~?"),Guide!$A$7:$A$9,0))),INDEX(Guide!$B$7:$B$9,MATCH(SUBSTITUTE(SUBSTITUTE(SUBSTITUTE(H685,"~","~~"),"*","~*"),"?","~?"),Guide!$A$7:$A$9,0)),""),"")</f>
        <v>Accessories</v>
      </c>
      <c r="J685" s="1" t="str">
        <f>IF(TRIM(Raw!E685)="",I685,IF(UPPER(TRIM(Raw!E685))=UPPER(I685),I685,""))</f>
        <v>Accessories</v>
      </c>
      <c r="K685" s="1" t="str">
        <f>IF(Raw!F685="","",Raw!F685)</f>
        <v>sale</v>
      </c>
      <c r="L685" s="1" t="str">
        <f>IF(LEFT(TRIM(Raw!G685),2)="-$","-"&amp;MID(TRIM(Raw!G685),3,99),IF(LEFT(TRIM(Raw!G685),1)="$",MID(TRIM(Raw!G685),2,99),TRIM(Raw!G685)))</f>
        <v>31.70</v>
      </c>
      <c r="M685" s="1">
        <f t="shared" si="83"/>
        <v>31.7</v>
      </c>
      <c r="N685" s="10">
        <f t="shared" si="84"/>
        <v>3170</v>
      </c>
      <c r="O685" s="1" t="b">
        <f>IFERROR(IF(ISNUMBER(Raw!G685),TRUE,OR(EXACT(L685,TEXT(M685,"0.00")),EXACT(L685,TEXT(M685,"#,##0.00")))),FALSE)</f>
        <v>1</v>
      </c>
      <c r="P685" s="1" t="str">
        <f>LEN(IF(Raw!A685="","",Raw!A685))&amp;":"&amp;IF(Raw!A685="","",Raw!A685)&amp;"|"&amp;LEN(IF(Raw!B685="","",Raw!B685))&amp;":"&amp;IF(Raw!B685="","",Raw!B685)&amp;"|"&amp;LEN(IF(Raw!C685="","",Raw!C685))&amp;":"&amp;IF(Raw!C685="","",Raw!C685)&amp;"|"&amp;LEN(IF(Raw!D685="","",Raw!D685))&amp;":"&amp;IF(Raw!D685="","",Raw!D685)&amp;"|"&amp;LEN(IF(Raw!E685="","",Raw!E685))&amp;":"&amp;IF(Raw!E685="","",Raw!E685)&amp;"|"&amp;LEN(IF(Raw!F685="","",Raw!F685))&amp;":"&amp;IF(Raw!F685="","",Raw!F685)&amp;"|"&amp;LEN(IF(Raw!G685="","",Raw!G685))&amp;":"&amp;IF(Raw!G685="","",Raw!G685)</f>
        <v>6:L00679|6:T00340|10:2026-02-03|3:P-A|11:Accessories|4:sale|5:31.70</v>
      </c>
      <c r="Q685" s="1">
        <f>1</f>
        <v>1</v>
      </c>
      <c r="R685" s="1" t="b">
        <f>FALSE</f>
        <v>0</v>
      </c>
      <c r="S685" s="1">
        <f>1</f>
        <v>1</v>
      </c>
      <c r="T685" s="1" t="str">
        <f>IF(AND(Raw!A685="",Raw!B685="",Raw!C685="",Raw!D685="",Raw!E685="",Raw!F685="",Raw!G685=""),"UNUSED",IF(A685="","missing line ID",IF(B685="","missing transaction ID",IF(G685="",IF(C685="","missing date","invalid date"),IF(I685="","unknown product",IF(J685="","conflicting category",IF(NOT(OR(EXACT(K685,"sale"),EXACT(K685,"refund"))),"unknown event",IF(OR(N685="",NOT(O685)),"invalid amount",IF(OR(AND(K685="sale",N685&lt;=0),AND(K685="refund",N685&gt;=0)),"invalid sign","")))))))))</f>
        <v/>
      </c>
      <c r="U685" s="1" t="str">
        <f t="shared" si="85"/>
        <v>INCLUDED</v>
      </c>
      <c r="V685" s="1" t="str">
        <f t="shared" si="86"/>
        <v>2026-02</v>
      </c>
      <c r="W685" s="1">
        <f>IF(AND(U685="INCLUDED",X685&gt;0,EXACT(A685,'AI output'!A685)),1,0)</f>
        <v>1</v>
      </c>
      <c r="X685" s="1">
        <f>685</f>
        <v>685</v>
      </c>
      <c r="Y685" s="1">
        <f>IF(AND(U685="INCLUDED",W685=1),--(NOT(EXACT(A685,'AI output'!A685)))+--(NOT(EXACT(B685,'AI output'!B685)))+--(NOT(EXACT(TEXT(G685,"yyyy-mm-dd"),'AI output'!C685)))+--(NOT(EXACT(H685,'AI output'!D685)))+--(NOT(EXACT(J685,'AI output'!E685)))+--(NOT(EXACT(K685,'AI output'!F685)))+--(N685&lt;&gt;'AI output'!L685)+--(NOT('AI output'!M685)),0)</f>
        <v>0</v>
      </c>
      <c r="Z685" s="1">
        <f t="shared" si="87"/>
        <v>0</v>
      </c>
      <c r="AA685" s="1">
        <f>--EXACT(A685,"L00679")</f>
        <v>1</v>
      </c>
    </row>
    <row r="686" spans="1:27" ht="18.95" customHeight="1">
      <c r="A686" s="1" t="str">
        <f>IF(Raw!A686="","",Raw!A686)</f>
        <v>L00680</v>
      </c>
      <c r="B686" s="1" t="str">
        <f>IF(Raw!B686="","",Raw!B686)</f>
        <v>T00340</v>
      </c>
      <c r="C686" s="1" t="str">
        <f>IF(Raw!C686="","",Raw!C686)</f>
        <v>2026-02-03</v>
      </c>
      <c r="D686" s="1">
        <f t="shared" si="80"/>
        <v>2026</v>
      </c>
      <c r="E686" s="1">
        <f>IFERROR(IF(AND(LEN(C686)=10,MID(C686,5,1)="-",MID(C686,8,1)="-"),VALUE(MID(C686,6,2)),IF(AND(LEN(C686)=11,MID(C686,3,1)="-",MID(C686,7,1)="-"),MATCH(UPPER(MID(C686,4,3)),Guide!$D$7:$D$18,0),0)),0)</f>
        <v>2</v>
      </c>
      <c r="F686" s="1">
        <f t="shared" si="81"/>
        <v>3</v>
      </c>
      <c r="G686" s="9">
        <f t="shared" si="82"/>
        <v>46056</v>
      </c>
      <c r="H686" s="1" t="str">
        <f>IF(Raw!D686="","",Raw!D686)</f>
        <v>P-H</v>
      </c>
      <c r="I686" s="1" t="str">
        <f>IFERROR(IF(EXACT(H686,INDEX(Guide!$A$7:$A$9,MATCH(SUBSTITUTE(SUBSTITUTE(SUBSTITUTE(H686,"~","~~"),"*","~*"),"?","~?"),Guide!$A$7:$A$9,0))),INDEX(Guide!$B$7:$B$9,MATCH(SUBSTITUTE(SUBSTITUTE(SUBSTITUTE(H686,"~","~~"),"*","~*"),"?","~?"),Guide!$A$7:$A$9,0)),""),"")</f>
        <v>Home</v>
      </c>
      <c r="J686" s="1" t="str">
        <f>IF(TRIM(Raw!E686)="",I686,IF(UPPER(TRIM(Raw!E686))=UPPER(I686),I686,""))</f>
        <v>Home</v>
      </c>
      <c r="K686" s="1" t="str">
        <f>IF(Raw!F686="","",Raw!F686)</f>
        <v>sale</v>
      </c>
      <c r="L686" s="1" t="str">
        <f>IF(LEFT(TRIM(Raw!G686),2)="-$","-"&amp;MID(TRIM(Raw!G686),3,99),IF(LEFT(TRIM(Raw!G686),1)="$",MID(TRIM(Raw!G686),2,99),TRIM(Raw!G686)))</f>
        <v>64.88</v>
      </c>
      <c r="M686" s="1">
        <f t="shared" si="83"/>
        <v>64.88</v>
      </c>
      <c r="N686" s="10">
        <f t="shared" si="84"/>
        <v>6488</v>
      </c>
      <c r="O686" s="1" t="b">
        <f>IFERROR(IF(ISNUMBER(Raw!G686),TRUE,OR(EXACT(L686,TEXT(M686,"0.00")),EXACT(L686,TEXT(M686,"#,##0.00")))),FALSE)</f>
        <v>1</v>
      </c>
      <c r="P686" s="1" t="str">
        <f>LEN(IF(Raw!A686="","",Raw!A686))&amp;":"&amp;IF(Raw!A686="","",Raw!A686)&amp;"|"&amp;LEN(IF(Raw!B686="","",Raw!B686))&amp;":"&amp;IF(Raw!B686="","",Raw!B686)&amp;"|"&amp;LEN(IF(Raw!C686="","",Raw!C686))&amp;":"&amp;IF(Raw!C686="","",Raw!C686)&amp;"|"&amp;LEN(IF(Raw!D686="","",Raw!D686))&amp;":"&amp;IF(Raw!D686="","",Raw!D686)&amp;"|"&amp;LEN(IF(Raw!E686="","",Raw!E686))&amp;":"&amp;IF(Raw!E686="","",Raw!E686)&amp;"|"&amp;LEN(IF(Raw!F686="","",Raw!F686))&amp;":"&amp;IF(Raw!F686="","",Raw!F686)&amp;"|"&amp;LEN(IF(Raw!G686="","",Raw!G686))&amp;":"&amp;IF(Raw!G686="","",Raw!G686)</f>
        <v>6:L00680|6:T00340|10:2026-02-03|3:P-H|4:Home|4:sale|5:64.88</v>
      </c>
      <c r="Q686" s="1">
        <f>1</f>
        <v>1</v>
      </c>
      <c r="R686" s="1" t="b">
        <f>FALSE</f>
        <v>0</v>
      </c>
      <c r="S686" s="1">
        <f>1</f>
        <v>1</v>
      </c>
      <c r="T686" s="1" t="str">
        <f>IF(AND(Raw!A686="",Raw!B686="",Raw!C686="",Raw!D686="",Raw!E686="",Raw!F686="",Raw!G686=""),"UNUSED",IF(A686="","missing line ID",IF(B686="","missing transaction ID",IF(G686="",IF(C686="","missing date","invalid date"),IF(I686="","unknown product",IF(J686="","conflicting category",IF(NOT(OR(EXACT(K686,"sale"),EXACT(K686,"refund"))),"unknown event",IF(OR(N686="",NOT(O686)),"invalid amount",IF(OR(AND(K686="sale",N686&lt;=0),AND(K686="refund",N686&gt;=0)),"invalid sign","")))))))))</f>
        <v/>
      </c>
      <c r="U686" s="1" t="str">
        <f t="shared" si="85"/>
        <v>INCLUDED</v>
      </c>
      <c r="V686" s="1" t="str">
        <f t="shared" si="86"/>
        <v>2026-02</v>
      </c>
      <c r="W686" s="1">
        <f>IF(AND(U686="INCLUDED",X686&gt;0,EXACT(A686,'AI output'!A686)),1,0)</f>
        <v>1</v>
      </c>
      <c r="X686" s="1">
        <f>686</f>
        <v>686</v>
      </c>
      <c r="Y686" s="1">
        <f>IF(AND(U686="INCLUDED",W686=1),--(NOT(EXACT(A686,'AI output'!A686)))+--(NOT(EXACT(B686,'AI output'!B686)))+--(NOT(EXACT(TEXT(G686,"yyyy-mm-dd"),'AI output'!C686)))+--(NOT(EXACT(H686,'AI output'!D686)))+--(NOT(EXACT(J686,'AI output'!E686)))+--(NOT(EXACT(K686,'AI output'!F686)))+--(N686&lt;&gt;'AI output'!L686)+--(NOT('AI output'!M686)),0)</f>
        <v>0</v>
      </c>
      <c r="Z686" s="1">
        <f t="shared" si="87"/>
        <v>0</v>
      </c>
      <c r="AA686" s="1">
        <f>--EXACT(A686,"L00680")</f>
        <v>1</v>
      </c>
    </row>
    <row r="687" spans="1:27" ht="18.95" customHeight="1">
      <c r="A687" s="1" t="str">
        <f>IF(Raw!A687="","",Raw!A687)</f>
        <v>L00681</v>
      </c>
      <c r="B687" s="1" t="str">
        <f>IF(Raw!B687="","",Raw!B687)</f>
        <v>T00341</v>
      </c>
      <c r="C687" s="1" t="str">
        <f>IF(Raw!C687="","",Raw!C687)</f>
        <v>2026-02-10</v>
      </c>
      <c r="D687" s="1">
        <f t="shared" si="80"/>
        <v>2026</v>
      </c>
      <c r="E687" s="1">
        <f>IFERROR(IF(AND(LEN(C687)=10,MID(C687,5,1)="-",MID(C687,8,1)="-"),VALUE(MID(C687,6,2)),IF(AND(LEN(C687)=11,MID(C687,3,1)="-",MID(C687,7,1)="-"),MATCH(UPPER(MID(C687,4,3)),Guide!$D$7:$D$18,0),0)),0)</f>
        <v>2</v>
      </c>
      <c r="F687" s="1">
        <f t="shared" si="81"/>
        <v>10</v>
      </c>
      <c r="G687" s="9">
        <f t="shared" si="82"/>
        <v>46063</v>
      </c>
      <c r="H687" s="1" t="str">
        <f>IF(Raw!D687="","",Raw!D687)</f>
        <v>P-O</v>
      </c>
      <c r="I687" s="1" t="str">
        <f>IFERROR(IF(EXACT(H687,INDEX(Guide!$A$7:$A$9,MATCH(SUBSTITUTE(SUBSTITUTE(SUBSTITUTE(H687,"~","~~"),"*","~*"),"?","~?"),Guide!$A$7:$A$9,0))),INDEX(Guide!$B$7:$B$9,MATCH(SUBSTITUTE(SUBSTITUTE(SUBSTITUTE(H687,"~","~~"),"*","~*"),"?","~?"),Guide!$A$7:$A$9,0)),""),"")</f>
        <v>Office</v>
      </c>
      <c r="J687" s="1" t="str">
        <f>IF(TRIM(Raw!E687)="",I687,IF(UPPER(TRIM(Raw!E687))=UPPER(I687),I687,""))</f>
        <v>Office</v>
      </c>
      <c r="K687" s="1" t="str">
        <f>IF(Raw!F687="","",Raw!F687)</f>
        <v>sale</v>
      </c>
      <c r="L687" s="1" t="str">
        <f>IF(LEFT(TRIM(Raw!G687),2)="-$","-"&amp;MID(TRIM(Raw!G687),3,99),IF(LEFT(TRIM(Raw!G687),1)="$",MID(TRIM(Raw!G687),2,99),TRIM(Raw!G687)))</f>
        <v>16.59</v>
      </c>
      <c r="M687" s="1">
        <f t="shared" si="83"/>
        <v>16.59</v>
      </c>
      <c r="N687" s="10">
        <f t="shared" si="84"/>
        <v>1659</v>
      </c>
      <c r="O687" s="1" t="b">
        <f>IFERROR(IF(ISNUMBER(Raw!G687),TRUE,OR(EXACT(L687,TEXT(M687,"0.00")),EXACT(L687,TEXT(M687,"#,##0.00")))),FALSE)</f>
        <v>1</v>
      </c>
      <c r="P687" s="1" t="str">
        <f>LEN(IF(Raw!A687="","",Raw!A687))&amp;":"&amp;IF(Raw!A687="","",Raw!A687)&amp;"|"&amp;LEN(IF(Raw!B687="","",Raw!B687))&amp;":"&amp;IF(Raw!B687="","",Raw!B687)&amp;"|"&amp;LEN(IF(Raw!C687="","",Raw!C687))&amp;":"&amp;IF(Raw!C687="","",Raw!C687)&amp;"|"&amp;LEN(IF(Raw!D687="","",Raw!D687))&amp;":"&amp;IF(Raw!D687="","",Raw!D687)&amp;"|"&amp;LEN(IF(Raw!E687="","",Raw!E687))&amp;":"&amp;IF(Raw!E687="","",Raw!E687)&amp;"|"&amp;LEN(IF(Raw!F687="","",Raw!F687))&amp;":"&amp;IF(Raw!F687="","",Raw!F687)&amp;"|"&amp;LEN(IF(Raw!G687="","",Raw!G687))&amp;":"&amp;IF(Raw!G687="","",Raw!G687)</f>
        <v>6:L00681|6:T00341|10:2026-02-10|3:P-O|6:Office|4:sale|5:16.59</v>
      </c>
      <c r="Q687" s="1">
        <f>1</f>
        <v>1</v>
      </c>
      <c r="R687" s="1" t="b">
        <f>FALSE</f>
        <v>0</v>
      </c>
      <c r="S687" s="1">
        <f>1</f>
        <v>1</v>
      </c>
      <c r="T687" s="1" t="str">
        <f>IF(AND(Raw!A687="",Raw!B687="",Raw!C687="",Raw!D687="",Raw!E687="",Raw!F687="",Raw!G687=""),"UNUSED",IF(A687="","missing line ID",IF(B687="","missing transaction ID",IF(G687="",IF(C687="","missing date","invalid date"),IF(I687="","unknown product",IF(J687="","conflicting category",IF(NOT(OR(EXACT(K687,"sale"),EXACT(K687,"refund"))),"unknown event",IF(OR(N687="",NOT(O687)),"invalid amount",IF(OR(AND(K687="sale",N687&lt;=0),AND(K687="refund",N687&gt;=0)),"invalid sign","")))))))))</f>
        <v/>
      </c>
      <c r="U687" s="1" t="str">
        <f t="shared" si="85"/>
        <v>INCLUDED</v>
      </c>
      <c r="V687" s="1" t="str">
        <f t="shared" si="86"/>
        <v>2026-02</v>
      </c>
      <c r="W687" s="1">
        <f>IF(AND(U687="INCLUDED",X687&gt;0,EXACT(A687,'AI output'!A687)),1,0)</f>
        <v>1</v>
      </c>
      <c r="X687" s="1">
        <f>687</f>
        <v>687</v>
      </c>
      <c r="Y687" s="1">
        <f>IF(AND(U687="INCLUDED",W687=1),--(NOT(EXACT(A687,'AI output'!A687)))+--(NOT(EXACT(B687,'AI output'!B687)))+--(NOT(EXACT(TEXT(G687,"yyyy-mm-dd"),'AI output'!C687)))+--(NOT(EXACT(H687,'AI output'!D687)))+--(NOT(EXACT(J687,'AI output'!E687)))+--(NOT(EXACT(K687,'AI output'!F687)))+--(N687&lt;&gt;'AI output'!L687)+--(NOT('AI output'!M687)),0)</f>
        <v>0</v>
      </c>
      <c r="Z687" s="1">
        <f t="shared" si="87"/>
        <v>0</v>
      </c>
      <c r="AA687" s="1">
        <f>--EXACT(A687,"L00681")</f>
        <v>1</v>
      </c>
    </row>
    <row r="688" spans="1:27" ht="18.95" customHeight="1">
      <c r="A688" s="1" t="str">
        <f>IF(Raw!A688="","",Raw!A688)</f>
        <v>L00682</v>
      </c>
      <c r="B688" s="1" t="str">
        <f>IF(Raw!B688="","",Raw!B688)</f>
        <v>T00341</v>
      </c>
      <c r="C688" s="1" t="str">
        <f>IF(Raw!C688="","",Raw!C688)</f>
        <v>2026-02-10</v>
      </c>
      <c r="D688" s="1">
        <f t="shared" si="80"/>
        <v>2026</v>
      </c>
      <c r="E688" s="1">
        <f>IFERROR(IF(AND(LEN(C688)=10,MID(C688,5,1)="-",MID(C688,8,1)="-"),VALUE(MID(C688,6,2)),IF(AND(LEN(C688)=11,MID(C688,3,1)="-",MID(C688,7,1)="-"),MATCH(UPPER(MID(C688,4,3)),Guide!$D$7:$D$18,0),0)),0)</f>
        <v>2</v>
      </c>
      <c r="F688" s="1">
        <f t="shared" si="81"/>
        <v>10</v>
      </c>
      <c r="G688" s="9">
        <f t="shared" si="82"/>
        <v>46063</v>
      </c>
      <c r="H688" s="1" t="str">
        <f>IF(Raw!D688="","",Raw!D688)</f>
        <v>P-A</v>
      </c>
      <c r="I688" s="1" t="str">
        <f>IFERROR(IF(EXACT(H688,INDEX(Guide!$A$7:$A$9,MATCH(SUBSTITUTE(SUBSTITUTE(SUBSTITUTE(H688,"~","~~"),"*","~*"),"?","~?"),Guide!$A$7:$A$9,0))),INDEX(Guide!$B$7:$B$9,MATCH(SUBSTITUTE(SUBSTITUTE(SUBSTITUTE(H688,"~","~~"),"*","~*"),"?","~?"),Guide!$A$7:$A$9,0)),""),"")</f>
        <v>Accessories</v>
      </c>
      <c r="J688" s="1" t="str">
        <f>IF(TRIM(Raw!E688)="",I688,IF(UPPER(TRIM(Raw!E688))=UPPER(I688),I688,""))</f>
        <v>Accessories</v>
      </c>
      <c r="K688" s="1" t="str">
        <f>IF(Raw!F688="","",Raw!F688)</f>
        <v>sale</v>
      </c>
      <c r="L688" s="1" t="str">
        <f>IF(LEFT(TRIM(Raw!G688),2)="-$","-"&amp;MID(TRIM(Raw!G688),3,99),IF(LEFT(TRIM(Raw!G688),1)="$",MID(TRIM(Raw!G688),2,99),TRIM(Raw!G688)))</f>
        <v>50.88</v>
      </c>
      <c r="M688" s="1">
        <f t="shared" si="83"/>
        <v>50.88</v>
      </c>
      <c r="N688" s="10">
        <f t="shared" si="84"/>
        <v>5088</v>
      </c>
      <c r="O688" s="1" t="b">
        <f>IFERROR(IF(ISNUMBER(Raw!G688),TRUE,OR(EXACT(L688,TEXT(M688,"0.00")),EXACT(L688,TEXT(M688,"#,##0.00")))),FALSE)</f>
        <v>1</v>
      </c>
      <c r="P688" s="1" t="str">
        <f>LEN(IF(Raw!A688="","",Raw!A688))&amp;":"&amp;IF(Raw!A688="","",Raw!A688)&amp;"|"&amp;LEN(IF(Raw!B688="","",Raw!B688))&amp;":"&amp;IF(Raw!B688="","",Raw!B688)&amp;"|"&amp;LEN(IF(Raw!C688="","",Raw!C688))&amp;":"&amp;IF(Raw!C688="","",Raw!C688)&amp;"|"&amp;LEN(IF(Raw!D688="","",Raw!D688))&amp;":"&amp;IF(Raw!D688="","",Raw!D688)&amp;"|"&amp;LEN(IF(Raw!E688="","",Raw!E688))&amp;":"&amp;IF(Raw!E688="","",Raw!E688)&amp;"|"&amp;LEN(IF(Raw!F688="","",Raw!F688))&amp;":"&amp;IF(Raw!F688="","",Raw!F688)&amp;"|"&amp;LEN(IF(Raw!G688="","",Raw!G688))&amp;":"&amp;IF(Raw!G688="","",Raw!G688)</f>
        <v>6:L00682|6:T00341|10:2026-02-10|3:P-A|11:Accessories|4:sale|5:50.88</v>
      </c>
      <c r="Q688" s="1">
        <f>1</f>
        <v>1</v>
      </c>
      <c r="R688" s="1" t="b">
        <f>FALSE</f>
        <v>0</v>
      </c>
      <c r="S688" s="1">
        <f>1</f>
        <v>1</v>
      </c>
      <c r="T688" s="1" t="str">
        <f>IF(AND(Raw!A688="",Raw!B688="",Raw!C688="",Raw!D688="",Raw!E688="",Raw!F688="",Raw!G688=""),"UNUSED",IF(A688="","missing line ID",IF(B688="","missing transaction ID",IF(G688="",IF(C688="","missing date","invalid date"),IF(I688="","unknown product",IF(J688="","conflicting category",IF(NOT(OR(EXACT(K688,"sale"),EXACT(K688,"refund"))),"unknown event",IF(OR(N688="",NOT(O688)),"invalid amount",IF(OR(AND(K688="sale",N688&lt;=0),AND(K688="refund",N688&gt;=0)),"invalid sign","")))))))))</f>
        <v/>
      </c>
      <c r="U688" s="1" t="str">
        <f t="shared" si="85"/>
        <v>INCLUDED</v>
      </c>
      <c r="V688" s="1" t="str">
        <f t="shared" si="86"/>
        <v>2026-02</v>
      </c>
      <c r="W688" s="1">
        <f>IF(AND(U688="INCLUDED",X688&gt;0,EXACT(A688,'AI output'!A688)),1,0)</f>
        <v>1</v>
      </c>
      <c r="X688" s="1">
        <f>688</f>
        <v>688</v>
      </c>
      <c r="Y688" s="1">
        <f>IF(AND(U688="INCLUDED",W688=1),--(NOT(EXACT(A688,'AI output'!A688)))+--(NOT(EXACT(B688,'AI output'!B688)))+--(NOT(EXACT(TEXT(G688,"yyyy-mm-dd"),'AI output'!C688)))+--(NOT(EXACT(H688,'AI output'!D688)))+--(NOT(EXACT(J688,'AI output'!E688)))+--(NOT(EXACT(K688,'AI output'!F688)))+--(N688&lt;&gt;'AI output'!L688)+--(NOT('AI output'!M688)),0)</f>
        <v>0</v>
      </c>
      <c r="Z688" s="1">
        <f t="shared" si="87"/>
        <v>0</v>
      </c>
      <c r="AA688" s="1">
        <f>--EXACT(A688,"L00682")</f>
        <v>1</v>
      </c>
    </row>
    <row r="689" spans="1:27" ht="18.95" customHeight="1">
      <c r="A689" s="1" t="str">
        <f>IF(Raw!A689="","",Raw!A689)</f>
        <v>L00683</v>
      </c>
      <c r="B689" s="1" t="str">
        <f>IF(Raw!B689="","",Raw!B689)</f>
        <v>T00342</v>
      </c>
      <c r="C689" s="1" t="str">
        <f>IF(Raw!C689="","",Raw!C689)</f>
        <v>2026-02-17</v>
      </c>
      <c r="D689" s="1">
        <f t="shared" si="80"/>
        <v>2026</v>
      </c>
      <c r="E689" s="1">
        <f>IFERROR(IF(AND(LEN(C689)=10,MID(C689,5,1)="-",MID(C689,8,1)="-"),VALUE(MID(C689,6,2)),IF(AND(LEN(C689)=11,MID(C689,3,1)="-",MID(C689,7,1)="-"),MATCH(UPPER(MID(C689,4,3)),Guide!$D$7:$D$18,0),0)),0)</f>
        <v>2</v>
      </c>
      <c r="F689" s="1">
        <f t="shared" si="81"/>
        <v>17</v>
      </c>
      <c r="G689" s="9">
        <f t="shared" si="82"/>
        <v>46070</v>
      </c>
      <c r="H689" s="1" t="str">
        <f>IF(Raw!D689="","",Raw!D689)</f>
        <v>P-H</v>
      </c>
      <c r="I689" s="1" t="str">
        <f>IFERROR(IF(EXACT(H689,INDEX(Guide!$A$7:$A$9,MATCH(SUBSTITUTE(SUBSTITUTE(SUBSTITUTE(H689,"~","~~"),"*","~*"),"?","~?"),Guide!$A$7:$A$9,0))),INDEX(Guide!$B$7:$B$9,MATCH(SUBSTITUTE(SUBSTITUTE(SUBSTITUTE(H689,"~","~~"),"*","~*"),"?","~?"),Guide!$A$7:$A$9,0)),""),"")</f>
        <v>Home</v>
      </c>
      <c r="J689" s="1" t="str">
        <f>IF(TRIM(Raw!E689)="",I689,IF(UPPER(TRIM(Raw!E689))=UPPER(I689),I689,""))</f>
        <v>Home</v>
      </c>
      <c r="K689" s="1" t="str">
        <f>IF(Raw!F689="","",Raw!F689)</f>
        <v>sale</v>
      </c>
      <c r="L689" s="1" t="str">
        <f>IF(LEFT(TRIM(Raw!G689),2)="-$","-"&amp;MID(TRIM(Raw!G689),3,99),IF(LEFT(TRIM(Raw!G689),1)="$",MID(TRIM(Raw!G689),2,99),TRIM(Raw!G689)))</f>
        <v>86.65</v>
      </c>
      <c r="M689" s="1">
        <f t="shared" si="83"/>
        <v>86.65</v>
      </c>
      <c r="N689" s="10">
        <f t="shared" si="84"/>
        <v>8665</v>
      </c>
      <c r="O689" s="1" t="b">
        <f>IFERROR(IF(ISNUMBER(Raw!G689),TRUE,OR(EXACT(L689,TEXT(M689,"0.00")),EXACT(L689,TEXT(M689,"#,##0.00")))),FALSE)</f>
        <v>1</v>
      </c>
      <c r="P689" s="1" t="str">
        <f>LEN(IF(Raw!A689="","",Raw!A689))&amp;":"&amp;IF(Raw!A689="","",Raw!A689)&amp;"|"&amp;LEN(IF(Raw!B689="","",Raw!B689))&amp;":"&amp;IF(Raw!B689="","",Raw!B689)&amp;"|"&amp;LEN(IF(Raw!C689="","",Raw!C689))&amp;":"&amp;IF(Raw!C689="","",Raw!C689)&amp;"|"&amp;LEN(IF(Raw!D689="","",Raw!D689))&amp;":"&amp;IF(Raw!D689="","",Raw!D689)&amp;"|"&amp;LEN(IF(Raw!E689="","",Raw!E689))&amp;":"&amp;IF(Raw!E689="","",Raw!E689)&amp;"|"&amp;LEN(IF(Raw!F689="","",Raw!F689))&amp;":"&amp;IF(Raw!F689="","",Raw!F689)&amp;"|"&amp;LEN(IF(Raw!G689="","",Raw!G689))&amp;":"&amp;IF(Raw!G689="","",Raw!G689)</f>
        <v>6:L00683|6:T00342|10:2026-02-17|3:P-H|4:Home|4:sale|5:86.65</v>
      </c>
      <c r="Q689" s="1">
        <f>1</f>
        <v>1</v>
      </c>
      <c r="R689" s="1" t="b">
        <f>FALSE</f>
        <v>0</v>
      </c>
      <c r="S689" s="1">
        <f>1</f>
        <v>1</v>
      </c>
      <c r="T689" s="1" t="str">
        <f>IF(AND(Raw!A689="",Raw!B689="",Raw!C689="",Raw!D689="",Raw!E689="",Raw!F689="",Raw!G689=""),"UNUSED",IF(A689="","missing line ID",IF(B689="","missing transaction ID",IF(G689="",IF(C689="","missing date","invalid date"),IF(I689="","unknown product",IF(J689="","conflicting category",IF(NOT(OR(EXACT(K689,"sale"),EXACT(K689,"refund"))),"unknown event",IF(OR(N689="",NOT(O689)),"invalid amount",IF(OR(AND(K689="sale",N689&lt;=0),AND(K689="refund",N689&gt;=0)),"invalid sign","")))))))))</f>
        <v/>
      </c>
      <c r="U689" s="1" t="str">
        <f t="shared" si="85"/>
        <v>INCLUDED</v>
      </c>
      <c r="V689" s="1" t="str">
        <f t="shared" si="86"/>
        <v>2026-02</v>
      </c>
      <c r="W689" s="1">
        <f>IF(AND(U689="INCLUDED",X689&gt;0,EXACT(A689,'AI output'!A689)),1,0)</f>
        <v>1</v>
      </c>
      <c r="X689" s="1">
        <f>689</f>
        <v>689</v>
      </c>
      <c r="Y689" s="1">
        <f>IF(AND(U689="INCLUDED",W689=1),--(NOT(EXACT(A689,'AI output'!A689)))+--(NOT(EXACT(B689,'AI output'!B689)))+--(NOT(EXACT(TEXT(G689,"yyyy-mm-dd"),'AI output'!C689)))+--(NOT(EXACT(H689,'AI output'!D689)))+--(NOT(EXACT(J689,'AI output'!E689)))+--(NOT(EXACT(K689,'AI output'!F689)))+--(N689&lt;&gt;'AI output'!L689)+--(NOT('AI output'!M689)),0)</f>
        <v>0</v>
      </c>
      <c r="Z689" s="1">
        <f t="shared" si="87"/>
        <v>0</v>
      </c>
      <c r="AA689" s="1">
        <f>--EXACT(A689,"L00683")</f>
        <v>1</v>
      </c>
    </row>
    <row r="690" spans="1:27" ht="18.95" customHeight="1">
      <c r="A690" s="1" t="str">
        <f>IF(Raw!A690="","",Raw!A690)</f>
        <v>L00684</v>
      </c>
      <c r="B690" s="1" t="str">
        <f>IF(Raw!B690="","",Raw!B690)</f>
        <v>T00342</v>
      </c>
      <c r="C690" s="1" t="str">
        <f>IF(Raw!C690="","",Raw!C690)</f>
        <v>2026-02-17</v>
      </c>
      <c r="D690" s="1">
        <f t="shared" si="80"/>
        <v>2026</v>
      </c>
      <c r="E690" s="1">
        <f>IFERROR(IF(AND(LEN(C690)=10,MID(C690,5,1)="-",MID(C690,8,1)="-"),VALUE(MID(C690,6,2)),IF(AND(LEN(C690)=11,MID(C690,3,1)="-",MID(C690,7,1)="-"),MATCH(UPPER(MID(C690,4,3)),Guide!$D$7:$D$18,0),0)),0)</f>
        <v>2</v>
      </c>
      <c r="F690" s="1">
        <f t="shared" si="81"/>
        <v>17</v>
      </c>
      <c r="G690" s="9">
        <f t="shared" si="82"/>
        <v>46070</v>
      </c>
      <c r="H690" s="1" t="str">
        <f>IF(Raw!D690="","",Raw!D690)</f>
        <v>P-O</v>
      </c>
      <c r="I690" s="1" t="str">
        <f>IFERROR(IF(EXACT(H690,INDEX(Guide!$A$7:$A$9,MATCH(SUBSTITUTE(SUBSTITUTE(SUBSTITUTE(H690,"~","~~"),"*","~*"),"?","~?"),Guide!$A$7:$A$9,0))),INDEX(Guide!$B$7:$B$9,MATCH(SUBSTITUTE(SUBSTITUTE(SUBSTITUTE(H690,"~","~~"),"*","~*"),"?","~?"),Guide!$A$7:$A$9,0)),""),"")</f>
        <v>Office</v>
      </c>
      <c r="J690" s="1" t="str">
        <f>IF(TRIM(Raw!E690)="",I690,IF(UPPER(TRIM(Raw!E690))=UPPER(I690),I690,""))</f>
        <v>Office</v>
      </c>
      <c r="K690" s="1" t="str">
        <f>IF(Raw!F690="","",Raw!F690)</f>
        <v>sale</v>
      </c>
      <c r="L690" s="1" t="str">
        <f>IF(LEFT(TRIM(Raw!G690),2)="-$","-"&amp;MID(TRIM(Raw!G690),3,99),IF(LEFT(TRIM(Raw!G690),1)="$",MID(TRIM(Raw!G690),2,99),TRIM(Raw!G690)))</f>
        <v>35.40</v>
      </c>
      <c r="M690" s="1">
        <f t="shared" si="83"/>
        <v>35.4</v>
      </c>
      <c r="N690" s="10">
        <f t="shared" si="84"/>
        <v>3540</v>
      </c>
      <c r="O690" s="1" t="b">
        <f>IFERROR(IF(ISNUMBER(Raw!G690),TRUE,OR(EXACT(L690,TEXT(M690,"0.00")),EXACT(L690,TEXT(M690,"#,##0.00")))),FALSE)</f>
        <v>1</v>
      </c>
      <c r="P690" s="1" t="str">
        <f>LEN(IF(Raw!A690="","",Raw!A690))&amp;":"&amp;IF(Raw!A690="","",Raw!A690)&amp;"|"&amp;LEN(IF(Raw!B690="","",Raw!B690))&amp;":"&amp;IF(Raw!B690="","",Raw!B690)&amp;"|"&amp;LEN(IF(Raw!C690="","",Raw!C690))&amp;":"&amp;IF(Raw!C690="","",Raw!C690)&amp;"|"&amp;LEN(IF(Raw!D690="","",Raw!D690))&amp;":"&amp;IF(Raw!D690="","",Raw!D690)&amp;"|"&amp;LEN(IF(Raw!E690="","",Raw!E690))&amp;":"&amp;IF(Raw!E690="","",Raw!E690)&amp;"|"&amp;LEN(IF(Raw!F690="","",Raw!F690))&amp;":"&amp;IF(Raw!F690="","",Raw!F690)&amp;"|"&amp;LEN(IF(Raw!G690="","",Raw!G690))&amp;":"&amp;IF(Raw!G690="","",Raw!G690)</f>
        <v>6:L00684|6:T00342|10:2026-02-17|3:P-O|6:Office|4:sale|5:35.40</v>
      </c>
      <c r="Q690" s="1">
        <f>1</f>
        <v>1</v>
      </c>
      <c r="R690" s="1" t="b">
        <f>FALSE</f>
        <v>0</v>
      </c>
      <c r="S690" s="1">
        <f>1</f>
        <v>1</v>
      </c>
      <c r="T690" s="1" t="str">
        <f>IF(AND(Raw!A690="",Raw!B690="",Raw!C690="",Raw!D690="",Raw!E690="",Raw!F690="",Raw!G690=""),"UNUSED",IF(A690="","missing line ID",IF(B690="","missing transaction ID",IF(G690="",IF(C690="","missing date","invalid date"),IF(I690="","unknown product",IF(J690="","conflicting category",IF(NOT(OR(EXACT(K690,"sale"),EXACT(K690,"refund"))),"unknown event",IF(OR(N690="",NOT(O690)),"invalid amount",IF(OR(AND(K690="sale",N690&lt;=0),AND(K690="refund",N690&gt;=0)),"invalid sign","")))))))))</f>
        <v/>
      </c>
      <c r="U690" s="1" t="str">
        <f t="shared" si="85"/>
        <v>INCLUDED</v>
      </c>
      <c r="V690" s="1" t="str">
        <f t="shared" si="86"/>
        <v>2026-02</v>
      </c>
      <c r="W690" s="1">
        <f>IF(AND(U690="INCLUDED",X690&gt;0,EXACT(A690,'AI output'!A690)),1,0)</f>
        <v>1</v>
      </c>
      <c r="X690" s="1">
        <f>690</f>
        <v>690</v>
      </c>
      <c r="Y690" s="1">
        <f>IF(AND(U690="INCLUDED",W690=1),--(NOT(EXACT(A690,'AI output'!A690)))+--(NOT(EXACT(B690,'AI output'!B690)))+--(NOT(EXACT(TEXT(G690,"yyyy-mm-dd"),'AI output'!C690)))+--(NOT(EXACT(H690,'AI output'!D690)))+--(NOT(EXACT(J690,'AI output'!E690)))+--(NOT(EXACT(K690,'AI output'!F690)))+--(N690&lt;&gt;'AI output'!L690)+--(NOT('AI output'!M690)),0)</f>
        <v>0</v>
      </c>
      <c r="Z690" s="1">
        <f t="shared" si="87"/>
        <v>0</v>
      </c>
      <c r="AA690" s="1">
        <f>--EXACT(A690,"L00684")</f>
        <v>1</v>
      </c>
    </row>
    <row r="691" spans="1:27" ht="18.95" customHeight="1">
      <c r="A691" s="1" t="str">
        <f>IF(Raw!A691="","",Raw!A691)</f>
        <v>L00685</v>
      </c>
      <c r="B691" s="1" t="str">
        <f>IF(Raw!B691="","",Raw!B691)</f>
        <v>T00343</v>
      </c>
      <c r="C691" s="1" t="str">
        <f>IF(Raw!C691="","",Raw!C691)</f>
        <v>2026-02-24</v>
      </c>
      <c r="D691" s="1">
        <f t="shared" si="80"/>
        <v>2026</v>
      </c>
      <c r="E691" s="1">
        <f>IFERROR(IF(AND(LEN(C691)=10,MID(C691,5,1)="-",MID(C691,8,1)="-"),VALUE(MID(C691,6,2)),IF(AND(LEN(C691)=11,MID(C691,3,1)="-",MID(C691,7,1)="-"),MATCH(UPPER(MID(C691,4,3)),Guide!$D$7:$D$18,0),0)),0)</f>
        <v>2</v>
      </c>
      <c r="F691" s="1">
        <f t="shared" si="81"/>
        <v>24</v>
      </c>
      <c r="G691" s="9">
        <f t="shared" si="82"/>
        <v>46077</v>
      </c>
      <c r="H691" s="1" t="str">
        <f>IF(Raw!D691="","",Raw!D691)</f>
        <v>P-A</v>
      </c>
      <c r="I691" s="1" t="str">
        <f>IFERROR(IF(EXACT(H691,INDEX(Guide!$A$7:$A$9,MATCH(SUBSTITUTE(SUBSTITUTE(SUBSTITUTE(H691,"~","~~"),"*","~*"),"?","~?"),Guide!$A$7:$A$9,0))),INDEX(Guide!$B$7:$B$9,MATCH(SUBSTITUTE(SUBSTITUTE(SUBSTITUTE(H691,"~","~~"),"*","~*"),"?","~?"),Guide!$A$7:$A$9,0)),""),"")</f>
        <v>Accessories</v>
      </c>
      <c r="J691" s="1" t="str">
        <f>IF(TRIM(Raw!E691)="",I691,IF(UPPER(TRIM(Raw!E691))=UPPER(I691),I691,""))</f>
        <v>Accessories</v>
      </c>
      <c r="K691" s="1" t="str">
        <f>IF(Raw!F691="","",Raw!F691)</f>
        <v>sale</v>
      </c>
      <c r="L691" s="1" t="str">
        <f>IF(LEFT(TRIM(Raw!G691),2)="-$","-"&amp;MID(TRIM(Raw!G691),3,99),IF(LEFT(TRIM(Raw!G691),1)="$",MID(TRIM(Raw!G691),2,99),TRIM(Raw!G691)))</f>
        <v>72.28</v>
      </c>
      <c r="M691" s="1">
        <f t="shared" si="83"/>
        <v>72.28</v>
      </c>
      <c r="N691" s="10">
        <f t="shared" si="84"/>
        <v>7228</v>
      </c>
      <c r="O691" s="1" t="b">
        <f>IFERROR(IF(ISNUMBER(Raw!G691),TRUE,OR(EXACT(L691,TEXT(M691,"0.00")),EXACT(L691,TEXT(M691,"#,##0.00")))),FALSE)</f>
        <v>1</v>
      </c>
      <c r="P691" s="1" t="str">
        <f>LEN(IF(Raw!A691="","",Raw!A691))&amp;":"&amp;IF(Raw!A691="","",Raw!A691)&amp;"|"&amp;LEN(IF(Raw!B691="","",Raw!B691))&amp;":"&amp;IF(Raw!B691="","",Raw!B691)&amp;"|"&amp;LEN(IF(Raw!C691="","",Raw!C691))&amp;":"&amp;IF(Raw!C691="","",Raw!C691)&amp;"|"&amp;LEN(IF(Raw!D691="","",Raw!D691))&amp;":"&amp;IF(Raw!D691="","",Raw!D691)&amp;"|"&amp;LEN(IF(Raw!E691="","",Raw!E691))&amp;":"&amp;IF(Raw!E691="","",Raw!E691)&amp;"|"&amp;LEN(IF(Raw!F691="","",Raw!F691))&amp;":"&amp;IF(Raw!F691="","",Raw!F691)&amp;"|"&amp;LEN(IF(Raw!G691="","",Raw!G691))&amp;":"&amp;IF(Raw!G691="","",Raw!G691)</f>
        <v>6:L00685|6:T00343|10:2026-02-24|3:P-A|11:Accessories|4:sale|5:72.28</v>
      </c>
      <c r="Q691" s="1">
        <f>1</f>
        <v>1</v>
      </c>
      <c r="R691" s="1" t="b">
        <f>FALSE</f>
        <v>0</v>
      </c>
      <c r="S691" s="1">
        <f>1</f>
        <v>1</v>
      </c>
      <c r="T691" s="1" t="str">
        <f>IF(AND(Raw!A691="",Raw!B691="",Raw!C691="",Raw!D691="",Raw!E691="",Raw!F691="",Raw!G691=""),"UNUSED",IF(A691="","missing line ID",IF(B691="","missing transaction ID",IF(G691="",IF(C691="","missing date","invalid date"),IF(I691="","unknown product",IF(J691="","conflicting category",IF(NOT(OR(EXACT(K691,"sale"),EXACT(K691,"refund"))),"unknown event",IF(OR(N691="",NOT(O691)),"invalid amount",IF(OR(AND(K691="sale",N691&lt;=0),AND(K691="refund",N691&gt;=0)),"invalid sign","")))))))))</f>
        <v/>
      </c>
      <c r="U691" s="1" t="str">
        <f t="shared" si="85"/>
        <v>INCLUDED</v>
      </c>
      <c r="V691" s="1" t="str">
        <f t="shared" si="86"/>
        <v>2026-02</v>
      </c>
      <c r="W691" s="1">
        <f>IF(AND(U691="INCLUDED",X691&gt;0,EXACT(A691,'AI output'!A691)),1,0)</f>
        <v>1</v>
      </c>
      <c r="X691" s="1">
        <f>691</f>
        <v>691</v>
      </c>
      <c r="Y691" s="1">
        <f>IF(AND(U691="INCLUDED",W691=1),--(NOT(EXACT(A691,'AI output'!A691)))+--(NOT(EXACT(B691,'AI output'!B691)))+--(NOT(EXACT(TEXT(G691,"yyyy-mm-dd"),'AI output'!C691)))+--(NOT(EXACT(H691,'AI output'!D691)))+--(NOT(EXACT(J691,'AI output'!E691)))+--(NOT(EXACT(K691,'AI output'!F691)))+--(N691&lt;&gt;'AI output'!L691)+--(NOT('AI output'!M691)),0)</f>
        <v>0</v>
      </c>
      <c r="Z691" s="1">
        <f t="shared" si="87"/>
        <v>0</v>
      </c>
      <c r="AA691" s="1">
        <f>--EXACT(A691,"L00685")</f>
        <v>1</v>
      </c>
    </row>
    <row r="692" spans="1:27" ht="18.95" customHeight="1">
      <c r="A692" s="1" t="str">
        <f>IF(Raw!A692="","",Raw!A692)</f>
        <v>L00686</v>
      </c>
      <c r="B692" s="1" t="str">
        <f>IF(Raw!B692="","",Raw!B692)</f>
        <v>T00343</v>
      </c>
      <c r="C692" s="1" t="str">
        <f>IF(Raw!C692="","",Raw!C692)</f>
        <v>2026-02-24</v>
      </c>
      <c r="D692" s="1">
        <f t="shared" si="80"/>
        <v>2026</v>
      </c>
      <c r="E692" s="1">
        <f>IFERROR(IF(AND(LEN(C692)=10,MID(C692,5,1)="-",MID(C692,8,1)="-"),VALUE(MID(C692,6,2)),IF(AND(LEN(C692)=11,MID(C692,3,1)="-",MID(C692,7,1)="-"),MATCH(UPPER(MID(C692,4,3)),Guide!$D$7:$D$18,0),0)),0)</f>
        <v>2</v>
      </c>
      <c r="F692" s="1">
        <f t="shared" si="81"/>
        <v>24</v>
      </c>
      <c r="G692" s="9">
        <f t="shared" si="82"/>
        <v>46077</v>
      </c>
      <c r="H692" s="1" t="str">
        <f>IF(Raw!D692="","",Raw!D692)</f>
        <v>P-H</v>
      </c>
      <c r="I692" s="1" t="str">
        <f>IFERROR(IF(EXACT(H692,INDEX(Guide!$A$7:$A$9,MATCH(SUBSTITUTE(SUBSTITUTE(SUBSTITUTE(H692,"~","~~"),"*","~*"),"?","~?"),Guide!$A$7:$A$9,0))),INDEX(Guide!$B$7:$B$9,MATCH(SUBSTITUTE(SUBSTITUTE(SUBSTITUTE(H692,"~","~~"),"*","~*"),"?","~?"),Guide!$A$7:$A$9,0)),""),"")</f>
        <v>Home</v>
      </c>
      <c r="J692" s="1" t="str">
        <f>IF(TRIM(Raw!E692)="",I692,IF(UPPER(TRIM(Raw!E692))=UPPER(I692),I692,""))</f>
        <v>Home</v>
      </c>
      <c r="K692" s="1" t="str">
        <f>IF(Raw!F692="","",Raw!F692)</f>
        <v>sale</v>
      </c>
      <c r="L692" s="1" t="str">
        <f>IF(LEFT(TRIM(Raw!G692),2)="-$","-"&amp;MID(TRIM(Raw!G692),3,99),IF(LEFT(TRIM(Raw!G692),1)="$",MID(TRIM(Raw!G692),2,99),TRIM(Raw!G692)))</f>
        <v>18.44</v>
      </c>
      <c r="M692" s="1">
        <f t="shared" si="83"/>
        <v>18.440000000000001</v>
      </c>
      <c r="N692" s="10">
        <f t="shared" si="84"/>
        <v>1844</v>
      </c>
      <c r="O692" s="1" t="b">
        <f>IFERROR(IF(ISNUMBER(Raw!G692),TRUE,OR(EXACT(L692,TEXT(M692,"0.00")),EXACT(L692,TEXT(M692,"#,##0.00")))),FALSE)</f>
        <v>1</v>
      </c>
      <c r="P692" s="1" t="str">
        <f>LEN(IF(Raw!A692="","",Raw!A692))&amp;":"&amp;IF(Raw!A692="","",Raw!A692)&amp;"|"&amp;LEN(IF(Raw!B692="","",Raw!B692))&amp;":"&amp;IF(Raw!B692="","",Raw!B692)&amp;"|"&amp;LEN(IF(Raw!C692="","",Raw!C692))&amp;":"&amp;IF(Raw!C692="","",Raw!C692)&amp;"|"&amp;LEN(IF(Raw!D692="","",Raw!D692))&amp;":"&amp;IF(Raw!D692="","",Raw!D692)&amp;"|"&amp;LEN(IF(Raw!E692="","",Raw!E692))&amp;":"&amp;IF(Raw!E692="","",Raw!E692)&amp;"|"&amp;LEN(IF(Raw!F692="","",Raw!F692))&amp;":"&amp;IF(Raw!F692="","",Raw!F692)&amp;"|"&amp;LEN(IF(Raw!G692="","",Raw!G692))&amp;":"&amp;IF(Raw!G692="","",Raw!G692)</f>
        <v>6:L00686|6:T00343|10:2026-02-24|3:P-H|4:Home|4:sale|5:18.44</v>
      </c>
      <c r="Q692" s="1">
        <f>1</f>
        <v>1</v>
      </c>
      <c r="R692" s="1" t="b">
        <f>FALSE</f>
        <v>0</v>
      </c>
      <c r="S692" s="1">
        <f>1</f>
        <v>1</v>
      </c>
      <c r="T692" s="1" t="str">
        <f>IF(AND(Raw!A692="",Raw!B692="",Raw!C692="",Raw!D692="",Raw!E692="",Raw!F692="",Raw!G692=""),"UNUSED",IF(A692="","missing line ID",IF(B692="","missing transaction ID",IF(G692="",IF(C692="","missing date","invalid date"),IF(I692="","unknown product",IF(J692="","conflicting category",IF(NOT(OR(EXACT(K692,"sale"),EXACT(K692,"refund"))),"unknown event",IF(OR(N692="",NOT(O692)),"invalid amount",IF(OR(AND(K692="sale",N692&lt;=0),AND(K692="refund",N692&gt;=0)),"invalid sign","")))))))))</f>
        <v/>
      </c>
      <c r="U692" s="1" t="str">
        <f t="shared" si="85"/>
        <v>INCLUDED</v>
      </c>
      <c r="V692" s="1" t="str">
        <f t="shared" si="86"/>
        <v>2026-02</v>
      </c>
      <c r="W692" s="1">
        <f>IF(AND(U692="INCLUDED",X692&gt;0,EXACT(A692,'AI output'!A692)),1,0)</f>
        <v>1</v>
      </c>
      <c r="X692" s="1">
        <f>692</f>
        <v>692</v>
      </c>
      <c r="Y692" s="1">
        <f>IF(AND(U692="INCLUDED",W692=1),--(NOT(EXACT(A692,'AI output'!A692)))+--(NOT(EXACT(B692,'AI output'!B692)))+--(NOT(EXACT(TEXT(G692,"yyyy-mm-dd"),'AI output'!C692)))+--(NOT(EXACT(H692,'AI output'!D692)))+--(NOT(EXACT(J692,'AI output'!E692)))+--(NOT(EXACT(K692,'AI output'!F692)))+--(N692&lt;&gt;'AI output'!L692)+--(NOT('AI output'!M692)),0)</f>
        <v>0</v>
      </c>
      <c r="Z692" s="1">
        <f t="shared" si="87"/>
        <v>0</v>
      </c>
      <c r="AA692" s="1">
        <f>--EXACT(A692,"L00686")</f>
        <v>1</v>
      </c>
    </row>
    <row r="693" spans="1:27" ht="18.95" customHeight="1">
      <c r="A693" s="1" t="str">
        <f>IF(Raw!A693="","",Raw!A693)</f>
        <v>L00687</v>
      </c>
      <c r="B693" s="1" t="str">
        <f>IF(Raw!B693="","",Raw!B693)</f>
        <v>T00344</v>
      </c>
      <c r="C693" s="1" t="str">
        <f>IF(Raw!C693="","",Raw!C693)</f>
        <v>2026-03-03</v>
      </c>
      <c r="D693" s="1">
        <f t="shared" si="80"/>
        <v>2026</v>
      </c>
      <c r="E693" s="1">
        <f>IFERROR(IF(AND(LEN(C693)=10,MID(C693,5,1)="-",MID(C693,8,1)="-"),VALUE(MID(C693,6,2)),IF(AND(LEN(C693)=11,MID(C693,3,1)="-",MID(C693,7,1)="-"),MATCH(UPPER(MID(C693,4,3)),Guide!$D$7:$D$18,0),0)),0)</f>
        <v>3</v>
      </c>
      <c r="F693" s="1">
        <f t="shared" si="81"/>
        <v>3</v>
      </c>
      <c r="G693" s="9">
        <f t="shared" si="82"/>
        <v>46084</v>
      </c>
      <c r="H693" s="1" t="str">
        <f>IF(Raw!D693="","",Raw!D693)</f>
        <v>P-O</v>
      </c>
      <c r="I693" s="1" t="str">
        <f>IFERROR(IF(EXACT(H693,INDEX(Guide!$A$7:$A$9,MATCH(SUBSTITUTE(SUBSTITUTE(SUBSTITUTE(H693,"~","~~"),"*","~*"),"?","~?"),Guide!$A$7:$A$9,0))),INDEX(Guide!$B$7:$B$9,MATCH(SUBSTITUTE(SUBSTITUTE(SUBSTITUTE(H693,"~","~~"),"*","~*"),"?","~?"),Guide!$A$7:$A$9,0)),""),"")</f>
        <v>Office</v>
      </c>
      <c r="J693" s="1" t="str">
        <f>IF(TRIM(Raw!E693)="",I693,IF(UPPER(TRIM(Raw!E693))=UPPER(I693),I693,""))</f>
        <v>Office</v>
      </c>
      <c r="K693" s="1" t="str">
        <f>IF(Raw!F693="","",Raw!F693)</f>
        <v>sale</v>
      </c>
      <c r="L693" s="1" t="str">
        <f>IF(LEFT(TRIM(Raw!G693),2)="-$","-"&amp;MID(TRIM(Raw!G693),3,99),IF(LEFT(TRIM(Raw!G693),1)="$",MID(TRIM(Raw!G693),2,99),TRIM(Raw!G693)))</f>
        <v>56.43</v>
      </c>
      <c r="M693" s="1">
        <f t="shared" si="83"/>
        <v>56.43</v>
      </c>
      <c r="N693" s="10">
        <f t="shared" si="84"/>
        <v>5643</v>
      </c>
      <c r="O693" s="1" t="b">
        <f>IFERROR(IF(ISNUMBER(Raw!G693),TRUE,OR(EXACT(L693,TEXT(M693,"0.00")),EXACT(L693,TEXT(M693,"#,##0.00")))),FALSE)</f>
        <v>1</v>
      </c>
      <c r="P693" s="1" t="str">
        <f>LEN(IF(Raw!A693="","",Raw!A693))&amp;":"&amp;IF(Raw!A693="","",Raw!A693)&amp;"|"&amp;LEN(IF(Raw!B693="","",Raw!B693))&amp;":"&amp;IF(Raw!B693="","",Raw!B693)&amp;"|"&amp;LEN(IF(Raw!C693="","",Raw!C693))&amp;":"&amp;IF(Raw!C693="","",Raw!C693)&amp;"|"&amp;LEN(IF(Raw!D693="","",Raw!D693))&amp;":"&amp;IF(Raw!D693="","",Raw!D693)&amp;"|"&amp;LEN(IF(Raw!E693="","",Raw!E693))&amp;":"&amp;IF(Raw!E693="","",Raw!E693)&amp;"|"&amp;LEN(IF(Raw!F693="","",Raw!F693))&amp;":"&amp;IF(Raw!F693="","",Raw!F693)&amp;"|"&amp;LEN(IF(Raw!G693="","",Raw!G693))&amp;":"&amp;IF(Raw!G693="","",Raw!G693)</f>
        <v>6:L00687|6:T00344|10:2026-03-03|3:P-O|6:Office|4:sale|5:56.43</v>
      </c>
      <c r="Q693" s="1">
        <f>1</f>
        <v>1</v>
      </c>
      <c r="R693" s="1" t="b">
        <f>FALSE</f>
        <v>0</v>
      </c>
      <c r="S693" s="1">
        <f>1</f>
        <v>1</v>
      </c>
      <c r="T693" s="1" t="str">
        <f>IF(AND(Raw!A693="",Raw!B693="",Raw!C693="",Raw!D693="",Raw!E693="",Raw!F693="",Raw!G693=""),"UNUSED",IF(A693="","missing line ID",IF(B693="","missing transaction ID",IF(G693="",IF(C693="","missing date","invalid date"),IF(I693="","unknown product",IF(J693="","conflicting category",IF(NOT(OR(EXACT(K693,"sale"),EXACT(K693,"refund"))),"unknown event",IF(OR(N693="",NOT(O693)),"invalid amount",IF(OR(AND(K693="sale",N693&lt;=0),AND(K693="refund",N693&gt;=0)),"invalid sign","")))))))))</f>
        <v/>
      </c>
      <c r="U693" s="1" t="str">
        <f t="shared" si="85"/>
        <v>INCLUDED</v>
      </c>
      <c r="V693" s="1" t="str">
        <f t="shared" si="86"/>
        <v>2026-03</v>
      </c>
      <c r="W693" s="1">
        <f>IF(AND(U693="INCLUDED",X693&gt;0,EXACT(A693,'AI output'!A693)),1,0)</f>
        <v>1</v>
      </c>
      <c r="X693" s="1">
        <f>693</f>
        <v>693</v>
      </c>
      <c r="Y693" s="1">
        <f>IF(AND(U693="INCLUDED",W693=1),--(NOT(EXACT(A693,'AI output'!A693)))+--(NOT(EXACT(B693,'AI output'!B693)))+--(NOT(EXACT(TEXT(G693,"yyyy-mm-dd"),'AI output'!C693)))+--(NOT(EXACT(H693,'AI output'!D693)))+--(NOT(EXACT(J693,'AI output'!E693)))+--(NOT(EXACT(K693,'AI output'!F693)))+--(N693&lt;&gt;'AI output'!L693)+--(NOT('AI output'!M693)),0)</f>
        <v>0</v>
      </c>
      <c r="Z693" s="1">
        <f t="shared" si="87"/>
        <v>0</v>
      </c>
      <c r="AA693" s="1">
        <f>--EXACT(A693,"L00687")</f>
        <v>1</v>
      </c>
    </row>
    <row r="694" spans="1:27" ht="18.95" customHeight="1">
      <c r="A694" s="1" t="str">
        <f>IF(Raw!A694="","",Raw!A694)</f>
        <v>L00688</v>
      </c>
      <c r="B694" s="1" t="str">
        <f>IF(Raw!B694="","",Raw!B694)</f>
        <v>T00344</v>
      </c>
      <c r="C694" s="1" t="str">
        <f>IF(Raw!C694="","",Raw!C694)</f>
        <v>2026-03-03</v>
      </c>
      <c r="D694" s="1">
        <f t="shared" si="80"/>
        <v>2026</v>
      </c>
      <c r="E694" s="1">
        <f>IFERROR(IF(AND(LEN(C694)=10,MID(C694,5,1)="-",MID(C694,8,1)="-"),VALUE(MID(C694,6,2)),IF(AND(LEN(C694)=11,MID(C694,3,1)="-",MID(C694,7,1)="-"),MATCH(UPPER(MID(C694,4,3)),Guide!$D$7:$D$18,0),0)),0)</f>
        <v>3</v>
      </c>
      <c r="F694" s="1">
        <f t="shared" si="81"/>
        <v>3</v>
      </c>
      <c r="G694" s="9">
        <f t="shared" si="82"/>
        <v>46084</v>
      </c>
      <c r="H694" s="1" t="str">
        <f>IF(Raw!D694="","",Raw!D694)</f>
        <v>P-A</v>
      </c>
      <c r="I694" s="1" t="str">
        <f>IFERROR(IF(EXACT(H694,INDEX(Guide!$A$7:$A$9,MATCH(SUBSTITUTE(SUBSTITUTE(SUBSTITUTE(H694,"~","~~"),"*","~*"),"?","~?"),Guide!$A$7:$A$9,0))),INDEX(Guide!$B$7:$B$9,MATCH(SUBSTITUTE(SUBSTITUTE(SUBSTITUTE(H694,"~","~~"),"*","~*"),"?","~?"),Guide!$A$7:$A$9,0)),""),"")</f>
        <v>Accessories</v>
      </c>
      <c r="J694" s="1" t="str">
        <f>IF(TRIM(Raw!E694)="",I694,IF(UPPER(TRIM(Raw!E694))=UPPER(I694),I694,""))</f>
        <v>Accessories</v>
      </c>
      <c r="K694" s="1" t="str">
        <f>IF(Raw!F694="","",Raw!F694)</f>
        <v>sale</v>
      </c>
      <c r="L694" s="1" t="str">
        <f>IF(LEFT(TRIM(Raw!G694),2)="-$","-"&amp;MID(TRIM(Raw!G694),3,99),IF(LEFT(TRIM(Raw!G694),1)="$",MID(TRIM(Raw!G694),2,99),TRIM(Raw!G694)))</f>
        <v>95.90</v>
      </c>
      <c r="M694" s="1">
        <f t="shared" si="83"/>
        <v>95.9</v>
      </c>
      <c r="N694" s="10">
        <f t="shared" si="84"/>
        <v>9590</v>
      </c>
      <c r="O694" s="1" t="b">
        <f>IFERROR(IF(ISNUMBER(Raw!G694),TRUE,OR(EXACT(L694,TEXT(M694,"0.00")),EXACT(L694,TEXT(M694,"#,##0.00")))),FALSE)</f>
        <v>1</v>
      </c>
      <c r="P694" s="1" t="str">
        <f>LEN(IF(Raw!A694="","",Raw!A694))&amp;":"&amp;IF(Raw!A694="","",Raw!A694)&amp;"|"&amp;LEN(IF(Raw!B694="","",Raw!B694))&amp;":"&amp;IF(Raw!B694="","",Raw!B694)&amp;"|"&amp;LEN(IF(Raw!C694="","",Raw!C694))&amp;":"&amp;IF(Raw!C694="","",Raw!C694)&amp;"|"&amp;LEN(IF(Raw!D694="","",Raw!D694))&amp;":"&amp;IF(Raw!D694="","",Raw!D694)&amp;"|"&amp;LEN(IF(Raw!E694="","",Raw!E694))&amp;":"&amp;IF(Raw!E694="","",Raw!E694)&amp;"|"&amp;LEN(IF(Raw!F694="","",Raw!F694))&amp;":"&amp;IF(Raw!F694="","",Raw!F694)&amp;"|"&amp;LEN(IF(Raw!G694="","",Raw!G694))&amp;":"&amp;IF(Raw!G694="","",Raw!G694)</f>
        <v>6:L00688|6:T00344|10:2026-03-03|3:P-A|11:Accessories|4:sale|5:95.90</v>
      </c>
      <c r="Q694" s="1">
        <f>1</f>
        <v>1</v>
      </c>
      <c r="R694" s="1" t="b">
        <f>FALSE</f>
        <v>0</v>
      </c>
      <c r="S694" s="1">
        <f>1</f>
        <v>1</v>
      </c>
      <c r="T694" s="1" t="str">
        <f>IF(AND(Raw!A694="",Raw!B694="",Raw!C694="",Raw!D694="",Raw!E694="",Raw!F694="",Raw!G694=""),"UNUSED",IF(A694="","missing line ID",IF(B694="","missing transaction ID",IF(G694="",IF(C694="","missing date","invalid date"),IF(I694="","unknown product",IF(J694="","conflicting category",IF(NOT(OR(EXACT(K694,"sale"),EXACT(K694,"refund"))),"unknown event",IF(OR(N694="",NOT(O694)),"invalid amount",IF(OR(AND(K694="sale",N694&lt;=0),AND(K694="refund",N694&gt;=0)),"invalid sign","")))))))))</f>
        <v/>
      </c>
      <c r="U694" s="1" t="str">
        <f t="shared" si="85"/>
        <v>INCLUDED</v>
      </c>
      <c r="V694" s="1" t="str">
        <f t="shared" si="86"/>
        <v>2026-03</v>
      </c>
      <c r="W694" s="1">
        <f>IF(AND(U694="INCLUDED",X694&gt;0,EXACT(A694,'AI output'!A694)),1,0)</f>
        <v>1</v>
      </c>
      <c r="X694" s="1">
        <f>694</f>
        <v>694</v>
      </c>
      <c r="Y694" s="1">
        <f>IF(AND(U694="INCLUDED",W694=1),--(NOT(EXACT(A694,'AI output'!A694)))+--(NOT(EXACT(B694,'AI output'!B694)))+--(NOT(EXACT(TEXT(G694,"yyyy-mm-dd"),'AI output'!C694)))+--(NOT(EXACT(H694,'AI output'!D694)))+--(NOT(EXACT(J694,'AI output'!E694)))+--(NOT(EXACT(K694,'AI output'!F694)))+--(N694&lt;&gt;'AI output'!L694)+--(NOT('AI output'!M694)),0)</f>
        <v>0</v>
      </c>
      <c r="Z694" s="1">
        <f t="shared" si="87"/>
        <v>0</v>
      </c>
      <c r="AA694" s="1">
        <f>--EXACT(A694,"L00688")</f>
        <v>1</v>
      </c>
    </row>
    <row r="695" spans="1:27" ht="18.95" customHeight="1">
      <c r="A695" s="1" t="str">
        <f>IF(Raw!A695="","",Raw!A695)</f>
        <v>L00689</v>
      </c>
      <c r="B695" s="1" t="str">
        <f>IF(Raw!B695="","",Raw!B695)</f>
        <v>T00345</v>
      </c>
      <c r="C695" s="1" t="str">
        <f>IF(Raw!C695="","",Raw!C695)</f>
        <v>2026-03-10</v>
      </c>
      <c r="D695" s="1">
        <f t="shared" si="80"/>
        <v>2026</v>
      </c>
      <c r="E695" s="1">
        <f>IFERROR(IF(AND(LEN(C695)=10,MID(C695,5,1)="-",MID(C695,8,1)="-"),VALUE(MID(C695,6,2)),IF(AND(LEN(C695)=11,MID(C695,3,1)="-",MID(C695,7,1)="-"),MATCH(UPPER(MID(C695,4,3)),Guide!$D$7:$D$18,0),0)),0)</f>
        <v>3</v>
      </c>
      <c r="F695" s="1">
        <f t="shared" si="81"/>
        <v>10</v>
      </c>
      <c r="G695" s="9">
        <f t="shared" si="82"/>
        <v>46091</v>
      </c>
      <c r="H695" s="1" t="str">
        <f>IF(Raw!D695="","",Raw!D695)</f>
        <v>P-H</v>
      </c>
      <c r="I695" s="1" t="str">
        <f>IFERROR(IF(EXACT(H695,INDEX(Guide!$A$7:$A$9,MATCH(SUBSTITUTE(SUBSTITUTE(SUBSTITUTE(H695,"~","~~"),"*","~*"),"?","~?"),Guide!$A$7:$A$9,0))),INDEX(Guide!$B$7:$B$9,MATCH(SUBSTITUTE(SUBSTITUTE(SUBSTITUTE(H695,"~","~~"),"*","~*"),"?","~?"),Guide!$A$7:$A$9,0)),""),"")</f>
        <v>Home</v>
      </c>
      <c r="J695" s="1" t="str">
        <f>IF(TRIM(Raw!E695)="",I695,IF(UPPER(TRIM(Raw!E695))=UPPER(I695),I695,""))</f>
        <v>Home</v>
      </c>
      <c r="K695" s="1" t="str">
        <f>IF(Raw!F695="","",Raw!F695)</f>
        <v>sale</v>
      </c>
      <c r="L695" s="1" t="str">
        <f>IF(LEFT(TRIM(Raw!G695),2)="-$","-"&amp;MID(TRIM(Raw!G695),3,99),IF(LEFT(TRIM(Raw!G695),1)="$",MID(TRIM(Raw!G695),2,99),TRIM(Raw!G695)))</f>
        <v>39.10</v>
      </c>
      <c r="M695" s="1">
        <f t="shared" si="83"/>
        <v>39.1</v>
      </c>
      <c r="N695" s="10">
        <f t="shared" si="84"/>
        <v>3910</v>
      </c>
      <c r="O695" s="1" t="b">
        <f>IFERROR(IF(ISNUMBER(Raw!G695),TRUE,OR(EXACT(L695,TEXT(M695,"0.00")),EXACT(L695,TEXT(M695,"#,##0.00")))),FALSE)</f>
        <v>1</v>
      </c>
      <c r="P695" s="1" t="str">
        <f>LEN(IF(Raw!A695="","",Raw!A695))&amp;":"&amp;IF(Raw!A695="","",Raw!A695)&amp;"|"&amp;LEN(IF(Raw!B695="","",Raw!B695))&amp;":"&amp;IF(Raw!B695="","",Raw!B695)&amp;"|"&amp;LEN(IF(Raw!C695="","",Raw!C695))&amp;":"&amp;IF(Raw!C695="","",Raw!C695)&amp;"|"&amp;LEN(IF(Raw!D695="","",Raw!D695))&amp;":"&amp;IF(Raw!D695="","",Raw!D695)&amp;"|"&amp;LEN(IF(Raw!E695="","",Raw!E695))&amp;":"&amp;IF(Raw!E695="","",Raw!E695)&amp;"|"&amp;LEN(IF(Raw!F695="","",Raw!F695))&amp;":"&amp;IF(Raw!F695="","",Raw!F695)&amp;"|"&amp;LEN(IF(Raw!G695="","",Raw!G695))&amp;":"&amp;IF(Raw!G695="","",Raw!G695)</f>
        <v>6:L00689|6:T00345|10:2026-03-10|3:P-H|4:Home|4:sale|5:39.10</v>
      </c>
      <c r="Q695" s="1">
        <f>1</f>
        <v>1</v>
      </c>
      <c r="R695" s="1" t="b">
        <f>FALSE</f>
        <v>0</v>
      </c>
      <c r="S695" s="1">
        <f>1</f>
        <v>1</v>
      </c>
      <c r="T695" s="1" t="str">
        <f>IF(AND(Raw!A695="",Raw!B695="",Raw!C695="",Raw!D695="",Raw!E695="",Raw!F695="",Raw!G695=""),"UNUSED",IF(A695="","missing line ID",IF(B695="","missing transaction ID",IF(G695="",IF(C695="","missing date","invalid date"),IF(I695="","unknown product",IF(J695="","conflicting category",IF(NOT(OR(EXACT(K695,"sale"),EXACT(K695,"refund"))),"unknown event",IF(OR(N695="",NOT(O695)),"invalid amount",IF(OR(AND(K695="sale",N695&lt;=0),AND(K695="refund",N695&gt;=0)),"invalid sign","")))))))))</f>
        <v/>
      </c>
      <c r="U695" s="1" t="str">
        <f t="shared" si="85"/>
        <v>INCLUDED</v>
      </c>
      <c r="V695" s="1" t="str">
        <f t="shared" si="86"/>
        <v>2026-03</v>
      </c>
      <c r="W695" s="1">
        <f>IF(AND(U695="INCLUDED",X695&gt;0,EXACT(A695,'AI output'!A695)),1,0)</f>
        <v>1</v>
      </c>
      <c r="X695" s="1">
        <f>695</f>
        <v>695</v>
      </c>
      <c r="Y695" s="1">
        <f>IF(AND(U695="INCLUDED",W695=1),--(NOT(EXACT(A695,'AI output'!A695)))+--(NOT(EXACT(B695,'AI output'!B695)))+--(NOT(EXACT(TEXT(G695,"yyyy-mm-dd"),'AI output'!C695)))+--(NOT(EXACT(H695,'AI output'!D695)))+--(NOT(EXACT(J695,'AI output'!E695)))+--(NOT(EXACT(K695,'AI output'!F695)))+--(N695&lt;&gt;'AI output'!L695)+--(NOT('AI output'!M695)),0)</f>
        <v>0</v>
      </c>
      <c r="Z695" s="1">
        <f t="shared" si="87"/>
        <v>0</v>
      </c>
      <c r="AA695" s="1">
        <f>--EXACT(A695,"L00689")</f>
        <v>1</v>
      </c>
    </row>
    <row r="696" spans="1:27" ht="18.95" customHeight="1">
      <c r="A696" s="1" t="str">
        <f>IF(Raw!A696="","",Raw!A696)</f>
        <v>L00690</v>
      </c>
      <c r="B696" s="1" t="str">
        <f>IF(Raw!B696="","",Raw!B696)</f>
        <v>T00345</v>
      </c>
      <c r="C696" s="1" t="str">
        <f>IF(Raw!C696="","",Raw!C696)</f>
        <v>2026-03-10</v>
      </c>
      <c r="D696" s="1">
        <f t="shared" si="80"/>
        <v>2026</v>
      </c>
      <c r="E696" s="1">
        <f>IFERROR(IF(AND(LEN(C696)=10,MID(C696,5,1)="-",MID(C696,8,1)="-"),VALUE(MID(C696,6,2)),IF(AND(LEN(C696)=11,MID(C696,3,1)="-",MID(C696,7,1)="-"),MATCH(UPPER(MID(C696,4,3)),Guide!$D$7:$D$18,0),0)),0)</f>
        <v>3</v>
      </c>
      <c r="F696" s="1">
        <f t="shared" si="81"/>
        <v>10</v>
      </c>
      <c r="G696" s="9">
        <f t="shared" si="82"/>
        <v>46091</v>
      </c>
      <c r="H696" s="1" t="str">
        <f>IF(Raw!D696="","",Raw!D696)</f>
        <v>P-O</v>
      </c>
      <c r="I696" s="1" t="str">
        <f>IFERROR(IF(EXACT(H696,INDEX(Guide!$A$7:$A$9,MATCH(SUBSTITUTE(SUBSTITUTE(SUBSTITUTE(H696,"~","~~"),"*","~*"),"?","~?"),Guide!$A$7:$A$9,0))),INDEX(Guide!$B$7:$B$9,MATCH(SUBSTITUTE(SUBSTITUTE(SUBSTITUTE(H696,"~","~~"),"*","~*"),"?","~?"),Guide!$A$7:$A$9,0)),""),"")</f>
        <v>Office</v>
      </c>
      <c r="J696" s="1" t="str">
        <f>IF(TRIM(Raw!E696)="",I696,IF(UPPER(TRIM(Raw!E696))=UPPER(I696),I696,""))</f>
        <v>Office</v>
      </c>
      <c r="K696" s="1" t="str">
        <f>IF(Raw!F696="","",Raw!F696)</f>
        <v>sale</v>
      </c>
      <c r="L696" s="1" t="str">
        <f>IF(LEFT(TRIM(Raw!G696),2)="-$","-"&amp;MID(TRIM(Raw!G696),3,99),IF(LEFT(TRIM(Raw!G696),1)="$",MID(TRIM(Raw!G696),2,99),TRIM(Raw!G696)))</f>
        <v>79.68</v>
      </c>
      <c r="M696" s="1">
        <f t="shared" si="83"/>
        <v>79.680000000000007</v>
      </c>
      <c r="N696" s="10">
        <f t="shared" si="84"/>
        <v>7968</v>
      </c>
      <c r="O696" s="1" t="b">
        <f>IFERROR(IF(ISNUMBER(Raw!G696),TRUE,OR(EXACT(L696,TEXT(M696,"0.00")),EXACT(L696,TEXT(M696,"#,##0.00")))),FALSE)</f>
        <v>1</v>
      </c>
      <c r="P696" s="1" t="str">
        <f>LEN(IF(Raw!A696="","",Raw!A696))&amp;":"&amp;IF(Raw!A696="","",Raw!A696)&amp;"|"&amp;LEN(IF(Raw!B696="","",Raw!B696))&amp;":"&amp;IF(Raw!B696="","",Raw!B696)&amp;"|"&amp;LEN(IF(Raw!C696="","",Raw!C696))&amp;":"&amp;IF(Raw!C696="","",Raw!C696)&amp;"|"&amp;LEN(IF(Raw!D696="","",Raw!D696))&amp;":"&amp;IF(Raw!D696="","",Raw!D696)&amp;"|"&amp;LEN(IF(Raw!E696="","",Raw!E696))&amp;":"&amp;IF(Raw!E696="","",Raw!E696)&amp;"|"&amp;LEN(IF(Raw!F696="","",Raw!F696))&amp;":"&amp;IF(Raw!F696="","",Raw!F696)&amp;"|"&amp;LEN(IF(Raw!G696="","",Raw!G696))&amp;":"&amp;IF(Raw!G696="","",Raw!G696)</f>
        <v>6:L00690|6:T00345|10:2026-03-10|3:P-O|6:Office|4:sale|5:79.68</v>
      </c>
      <c r="Q696" s="1">
        <f>1</f>
        <v>1</v>
      </c>
      <c r="R696" s="1" t="b">
        <f>FALSE</f>
        <v>0</v>
      </c>
      <c r="S696" s="1">
        <f>1</f>
        <v>1</v>
      </c>
      <c r="T696" s="1" t="str">
        <f>IF(AND(Raw!A696="",Raw!B696="",Raw!C696="",Raw!D696="",Raw!E696="",Raw!F696="",Raw!G696=""),"UNUSED",IF(A696="","missing line ID",IF(B696="","missing transaction ID",IF(G696="",IF(C696="","missing date","invalid date"),IF(I696="","unknown product",IF(J696="","conflicting category",IF(NOT(OR(EXACT(K696,"sale"),EXACT(K696,"refund"))),"unknown event",IF(OR(N696="",NOT(O696)),"invalid amount",IF(OR(AND(K696="sale",N696&lt;=0),AND(K696="refund",N696&gt;=0)),"invalid sign","")))))))))</f>
        <v/>
      </c>
      <c r="U696" s="1" t="str">
        <f t="shared" si="85"/>
        <v>INCLUDED</v>
      </c>
      <c r="V696" s="1" t="str">
        <f t="shared" si="86"/>
        <v>2026-03</v>
      </c>
      <c r="W696" s="1">
        <f>IF(AND(U696="INCLUDED",X696&gt;0,EXACT(A696,'AI output'!A696)),1,0)</f>
        <v>1</v>
      </c>
      <c r="X696" s="1">
        <f>696</f>
        <v>696</v>
      </c>
      <c r="Y696" s="1">
        <f>IF(AND(U696="INCLUDED",W696=1),--(NOT(EXACT(A696,'AI output'!A696)))+--(NOT(EXACT(B696,'AI output'!B696)))+--(NOT(EXACT(TEXT(G696,"yyyy-mm-dd"),'AI output'!C696)))+--(NOT(EXACT(H696,'AI output'!D696)))+--(NOT(EXACT(J696,'AI output'!E696)))+--(NOT(EXACT(K696,'AI output'!F696)))+--(N696&lt;&gt;'AI output'!L696)+--(NOT('AI output'!M696)),0)</f>
        <v>0</v>
      </c>
      <c r="Z696" s="1">
        <f t="shared" si="87"/>
        <v>0</v>
      </c>
      <c r="AA696" s="1">
        <f>--EXACT(A696,"L00690")</f>
        <v>1</v>
      </c>
    </row>
    <row r="697" spans="1:27" ht="18.95" customHeight="1">
      <c r="A697" s="1" t="str">
        <f>IF(Raw!A697="","",Raw!A697)</f>
        <v>L00691</v>
      </c>
      <c r="B697" s="1" t="str">
        <f>IF(Raw!B697="","",Raw!B697)</f>
        <v>T00346</v>
      </c>
      <c r="C697" s="1" t="str">
        <f>IF(Raw!C697="","",Raw!C697)</f>
        <v>2026-03-17</v>
      </c>
      <c r="D697" s="1">
        <f t="shared" si="80"/>
        <v>2026</v>
      </c>
      <c r="E697" s="1">
        <f>IFERROR(IF(AND(LEN(C697)=10,MID(C697,5,1)="-",MID(C697,8,1)="-"),VALUE(MID(C697,6,2)),IF(AND(LEN(C697)=11,MID(C697,3,1)="-",MID(C697,7,1)="-"),MATCH(UPPER(MID(C697,4,3)),Guide!$D$7:$D$18,0),0)),0)</f>
        <v>3</v>
      </c>
      <c r="F697" s="1">
        <f t="shared" si="81"/>
        <v>17</v>
      </c>
      <c r="G697" s="9">
        <f t="shared" si="82"/>
        <v>46098</v>
      </c>
      <c r="H697" s="1" t="str">
        <f>IF(Raw!D697="","",Raw!D697)</f>
        <v>P-A</v>
      </c>
      <c r="I697" s="1" t="str">
        <f>IFERROR(IF(EXACT(H697,INDEX(Guide!$A$7:$A$9,MATCH(SUBSTITUTE(SUBSTITUTE(SUBSTITUTE(H697,"~","~~"),"*","~*"),"?","~?"),Guide!$A$7:$A$9,0))),INDEX(Guide!$B$7:$B$9,MATCH(SUBSTITUTE(SUBSTITUTE(SUBSTITUTE(H697,"~","~~"),"*","~*"),"?","~?"),Guide!$A$7:$A$9,0)),""),"")</f>
        <v>Accessories</v>
      </c>
      <c r="J697" s="1" t="str">
        <f>IF(TRIM(Raw!E697)="",I697,IF(UPPER(TRIM(Raw!E697))=UPPER(I697),I697,""))</f>
        <v>Accessories</v>
      </c>
      <c r="K697" s="1" t="str">
        <f>IF(Raw!F697="","",Raw!F697)</f>
        <v>refund</v>
      </c>
      <c r="L697" s="1" t="str">
        <f>IF(LEFT(TRIM(Raw!G697),2)="-$","-"&amp;MID(TRIM(Raw!G697),3,99),IF(LEFT(TRIM(Raw!G697),1)="$",MID(TRIM(Raw!G697),2,99),TRIM(Raw!G697)))</f>
        <v>-20.29</v>
      </c>
      <c r="M697" s="1">
        <f t="shared" si="83"/>
        <v>-20.29</v>
      </c>
      <c r="N697" s="10">
        <f t="shared" si="84"/>
        <v>-2029</v>
      </c>
      <c r="O697" s="1" t="b">
        <f>IFERROR(IF(ISNUMBER(Raw!G697),TRUE,OR(EXACT(L697,TEXT(M697,"0.00")),EXACT(L697,TEXT(M697,"#,##0.00")))),FALSE)</f>
        <v>1</v>
      </c>
      <c r="P697" s="1" t="str">
        <f>LEN(IF(Raw!A697="","",Raw!A697))&amp;":"&amp;IF(Raw!A697="","",Raw!A697)&amp;"|"&amp;LEN(IF(Raw!B697="","",Raw!B697))&amp;":"&amp;IF(Raw!B697="","",Raw!B697)&amp;"|"&amp;LEN(IF(Raw!C697="","",Raw!C697))&amp;":"&amp;IF(Raw!C697="","",Raw!C697)&amp;"|"&amp;LEN(IF(Raw!D697="","",Raw!D697))&amp;":"&amp;IF(Raw!D697="","",Raw!D697)&amp;"|"&amp;LEN(IF(Raw!E697="","",Raw!E697))&amp;":"&amp;IF(Raw!E697="","",Raw!E697)&amp;"|"&amp;LEN(IF(Raw!F697="","",Raw!F697))&amp;":"&amp;IF(Raw!F697="","",Raw!F697)&amp;"|"&amp;LEN(IF(Raw!G697="","",Raw!G697))&amp;":"&amp;IF(Raw!G697="","",Raw!G697)</f>
        <v>6:L00691|6:T00346|10:2026-03-17|3:P-A|11:Accessories|6:refund|6:-20.29</v>
      </c>
      <c r="Q697" s="1">
        <f>1</f>
        <v>1</v>
      </c>
      <c r="R697" s="1" t="b">
        <f>FALSE</f>
        <v>0</v>
      </c>
      <c r="S697" s="1">
        <f>1</f>
        <v>1</v>
      </c>
      <c r="T697" s="1" t="str">
        <f>IF(AND(Raw!A697="",Raw!B697="",Raw!C697="",Raw!D697="",Raw!E697="",Raw!F697="",Raw!G697=""),"UNUSED",IF(A697="","missing line ID",IF(B697="","missing transaction ID",IF(G697="",IF(C697="","missing date","invalid date"),IF(I697="","unknown product",IF(J697="","conflicting category",IF(NOT(OR(EXACT(K697,"sale"),EXACT(K697,"refund"))),"unknown event",IF(OR(N697="",NOT(O697)),"invalid amount",IF(OR(AND(K697="sale",N697&lt;=0),AND(K697="refund",N697&gt;=0)),"invalid sign","")))))))))</f>
        <v/>
      </c>
      <c r="U697" s="1" t="str">
        <f t="shared" si="85"/>
        <v>INCLUDED</v>
      </c>
      <c r="V697" s="1" t="str">
        <f t="shared" si="86"/>
        <v>2026-03</v>
      </c>
      <c r="W697" s="1">
        <f>IF(AND(U697="INCLUDED",X697&gt;0,EXACT(A697,'AI output'!A697)),1,0)</f>
        <v>1</v>
      </c>
      <c r="X697" s="1">
        <f>697</f>
        <v>697</v>
      </c>
      <c r="Y697" s="1">
        <f>IF(AND(U697="INCLUDED",W697=1),--(NOT(EXACT(A697,'AI output'!A697)))+--(NOT(EXACT(B697,'AI output'!B697)))+--(NOT(EXACT(TEXT(G697,"yyyy-mm-dd"),'AI output'!C697)))+--(NOT(EXACT(H697,'AI output'!D697)))+--(NOT(EXACT(J697,'AI output'!E697)))+--(NOT(EXACT(K697,'AI output'!F697)))+--(N697&lt;&gt;'AI output'!L697)+--(NOT('AI output'!M697)),0)</f>
        <v>0</v>
      </c>
      <c r="Z697" s="1">
        <f t="shared" si="87"/>
        <v>0</v>
      </c>
      <c r="AA697" s="1">
        <f>--EXACT(A697,"L00691")</f>
        <v>1</v>
      </c>
    </row>
    <row r="698" spans="1:27" ht="18.95" customHeight="1">
      <c r="A698" s="1" t="str">
        <f>IF(Raw!A698="","",Raw!A698)</f>
        <v>L00692</v>
      </c>
      <c r="B698" s="1" t="str">
        <f>IF(Raw!B698="","",Raw!B698)</f>
        <v>T00346</v>
      </c>
      <c r="C698" s="1" t="str">
        <f>IF(Raw!C698="","",Raw!C698)</f>
        <v>2026-03-17</v>
      </c>
      <c r="D698" s="1">
        <f t="shared" si="80"/>
        <v>2026</v>
      </c>
      <c r="E698" s="1">
        <f>IFERROR(IF(AND(LEN(C698)=10,MID(C698,5,1)="-",MID(C698,8,1)="-"),VALUE(MID(C698,6,2)),IF(AND(LEN(C698)=11,MID(C698,3,1)="-",MID(C698,7,1)="-"),MATCH(UPPER(MID(C698,4,3)),Guide!$D$7:$D$18,0),0)),0)</f>
        <v>3</v>
      </c>
      <c r="F698" s="1">
        <f t="shared" si="81"/>
        <v>17</v>
      </c>
      <c r="G698" s="9">
        <f t="shared" si="82"/>
        <v>46098</v>
      </c>
      <c r="H698" s="1" t="str">
        <f>IF(Raw!D698="","",Raw!D698)</f>
        <v>P-H</v>
      </c>
      <c r="I698" s="1" t="str">
        <f>IFERROR(IF(EXACT(H698,INDEX(Guide!$A$7:$A$9,MATCH(SUBSTITUTE(SUBSTITUTE(SUBSTITUTE(H698,"~","~~"),"*","~*"),"?","~?"),Guide!$A$7:$A$9,0))),INDEX(Guide!$B$7:$B$9,MATCH(SUBSTITUTE(SUBSTITUTE(SUBSTITUTE(H698,"~","~~"),"*","~*"),"?","~?"),Guide!$A$7:$A$9,0)),""),"")</f>
        <v>Home</v>
      </c>
      <c r="J698" s="1" t="str">
        <f>IF(TRIM(Raw!E698)="",I698,IF(UPPER(TRIM(Raw!E698))=UPPER(I698),I698,""))</f>
        <v>Home</v>
      </c>
      <c r="K698" s="1" t="str">
        <f>IF(Raw!F698="","",Raw!F698)</f>
        <v>sale</v>
      </c>
      <c r="L698" s="1" t="str">
        <f>IF(LEFT(TRIM(Raw!G698),2)="-$","-"&amp;MID(TRIM(Raw!G698),3,99),IF(LEFT(TRIM(Raw!G698),1)="$",MID(TRIM(Raw!G698),2,99),TRIM(Raw!G698)))</f>
        <v>61.98</v>
      </c>
      <c r="M698" s="1">
        <f t="shared" si="83"/>
        <v>61.98</v>
      </c>
      <c r="N698" s="10">
        <f t="shared" si="84"/>
        <v>6198</v>
      </c>
      <c r="O698" s="1" t="b">
        <f>IFERROR(IF(ISNUMBER(Raw!G698),TRUE,OR(EXACT(L698,TEXT(M698,"0.00")),EXACT(L698,TEXT(M698,"#,##0.00")))),FALSE)</f>
        <v>1</v>
      </c>
      <c r="P698" s="1" t="str">
        <f>LEN(IF(Raw!A698="","",Raw!A698))&amp;":"&amp;IF(Raw!A698="","",Raw!A698)&amp;"|"&amp;LEN(IF(Raw!B698="","",Raw!B698))&amp;":"&amp;IF(Raw!B698="","",Raw!B698)&amp;"|"&amp;LEN(IF(Raw!C698="","",Raw!C698))&amp;":"&amp;IF(Raw!C698="","",Raw!C698)&amp;"|"&amp;LEN(IF(Raw!D698="","",Raw!D698))&amp;":"&amp;IF(Raw!D698="","",Raw!D698)&amp;"|"&amp;LEN(IF(Raw!E698="","",Raw!E698))&amp;":"&amp;IF(Raw!E698="","",Raw!E698)&amp;"|"&amp;LEN(IF(Raw!F698="","",Raw!F698))&amp;":"&amp;IF(Raw!F698="","",Raw!F698)&amp;"|"&amp;LEN(IF(Raw!G698="","",Raw!G698))&amp;":"&amp;IF(Raw!G698="","",Raw!G698)</f>
        <v>6:L00692|6:T00346|10:2026-03-17|3:P-H|4:Home|4:sale|5:61.98</v>
      </c>
      <c r="Q698" s="1">
        <f>1</f>
        <v>1</v>
      </c>
      <c r="R698" s="1" t="b">
        <f>FALSE</f>
        <v>0</v>
      </c>
      <c r="S698" s="1">
        <f>1</f>
        <v>1</v>
      </c>
      <c r="T698" s="1" t="str">
        <f>IF(AND(Raw!A698="",Raw!B698="",Raw!C698="",Raw!D698="",Raw!E698="",Raw!F698="",Raw!G698=""),"UNUSED",IF(A698="","missing line ID",IF(B698="","missing transaction ID",IF(G698="",IF(C698="","missing date","invalid date"),IF(I698="","unknown product",IF(J698="","conflicting category",IF(NOT(OR(EXACT(K698,"sale"),EXACT(K698,"refund"))),"unknown event",IF(OR(N698="",NOT(O698)),"invalid amount",IF(OR(AND(K698="sale",N698&lt;=0),AND(K698="refund",N698&gt;=0)),"invalid sign","")))))))))</f>
        <v/>
      </c>
      <c r="U698" s="1" t="str">
        <f t="shared" si="85"/>
        <v>INCLUDED</v>
      </c>
      <c r="V698" s="1" t="str">
        <f t="shared" si="86"/>
        <v>2026-03</v>
      </c>
      <c r="W698" s="1">
        <f>IF(AND(U698="INCLUDED",X698&gt;0,EXACT(A698,'AI output'!A698)),1,0)</f>
        <v>1</v>
      </c>
      <c r="X698" s="1">
        <f>698</f>
        <v>698</v>
      </c>
      <c r="Y698" s="1">
        <f>IF(AND(U698="INCLUDED",W698=1),--(NOT(EXACT(A698,'AI output'!A698)))+--(NOT(EXACT(B698,'AI output'!B698)))+--(NOT(EXACT(TEXT(G698,"yyyy-mm-dd"),'AI output'!C698)))+--(NOT(EXACT(H698,'AI output'!D698)))+--(NOT(EXACT(J698,'AI output'!E698)))+--(NOT(EXACT(K698,'AI output'!F698)))+--(N698&lt;&gt;'AI output'!L698)+--(NOT('AI output'!M698)),0)</f>
        <v>0</v>
      </c>
      <c r="Z698" s="1">
        <f t="shared" si="87"/>
        <v>0</v>
      </c>
      <c r="AA698" s="1">
        <f>--EXACT(A698,"L00692")</f>
        <v>1</v>
      </c>
    </row>
    <row r="699" spans="1:27" ht="18.95" customHeight="1">
      <c r="A699" s="1" t="str">
        <f>IF(Raw!A699="","",Raw!A699)</f>
        <v>L00693</v>
      </c>
      <c r="B699" s="1" t="str">
        <f>IF(Raw!B699="","",Raw!B699)</f>
        <v>T00347</v>
      </c>
      <c r="C699" s="1" t="str">
        <f>IF(Raw!C699="","",Raw!C699)</f>
        <v>2026-03-24</v>
      </c>
      <c r="D699" s="1">
        <f t="shared" si="80"/>
        <v>2026</v>
      </c>
      <c r="E699" s="1">
        <f>IFERROR(IF(AND(LEN(C699)=10,MID(C699,5,1)="-",MID(C699,8,1)="-"),VALUE(MID(C699,6,2)),IF(AND(LEN(C699)=11,MID(C699,3,1)="-",MID(C699,7,1)="-"),MATCH(UPPER(MID(C699,4,3)),Guide!$D$7:$D$18,0),0)),0)</f>
        <v>3</v>
      </c>
      <c r="F699" s="1">
        <f t="shared" si="81"/>
        <v>24</v>
      </c>
      <c r="G699" s="9">
        <f t="shared" si="82"/>
        <v>46105</v>
      </c>
      <c r="H699" s="1" t="str">
        <f>IF(Raw!D699="","",Raw!D699)</f>
        <v>P-O</v>
      </c>
      <c r="I699" s="1" t="str">
        <f>IFERROR(IF(EXACT(H699,INDEX(Guide!$A$7:$A$9,MATCH(SUBSTITUTE(SUBSTITUTE(SUBSTITUTE(H699,"~","~~"),"*","~*"),"?","~?"),Guide!$A$7:$A$9,0))),INDEX(Guide!$B$7:$B$9,MATCH(SUBSTITUTE(SUBSTITUTE(SUBSTITUTE(H699,"~","~~"),"*","~*"),"?","~?"),Guide!$A$7:$A$9,0)),""),"")</f>
        <v>Office</v>
      </c>
      <c r="J699" s="1" t="str">
        <f>IF(TRIM(Raw!E699)="",I699,IF(UPPER(TRIM(Raw!E699))=UPPER(I699),I699,""))</f>
        <v>Office</v>
      </c>
      <c r="K699" s="1" t="str">
        <f>IF(Raw!F699="","",Raw!F699)</f>
        <v>sale</v>
      </c>
      <c r="L699" s="1" t="str">
        <f>IF(LEFT(TRIM(Raw!G699),2)="-$","-"&amp;MID(TRIM(Raw!G699),3,99),IF(LEFT(TRIM(Raw!G699),1)="$",MID(TRIM(Raw!G699),2,99),TRIM(Raw!G699)))</f>
        <v>105.15</v>
      </c>
      <c r="M699" s="1">
        <f t="shared" si="83"/>
        <v>105.15</v>
      </c>
      <c r="N699" s="10">
        <f t="shared" si="84"/>
        <v>10515</v>
      </c>
      <c r="O699" s="1" t="b">
        <f>IFERROR(IF(ISNUMBER(Raw!G699),TRUE,OR(EXACT(L699,TEXT(M699,"0.00")),EXACT(L699,TEXT(M699,"#,##0.00")))),FALSE)</f>
        <v>1</v>
      </c>
      <c r="P699" s="1" t="str">
        <f>LEN(IF(Raw!A699="","",Raw!A699))&amp;":"&amp;IF(Raw!A699="","",Raw!A699)&amp;"|"&amp;LEN(IF(Raw!B699="","",Raw!B699))&amp;":"&amp;IF(Raw!B699="","",Raw!B699)&amp;"|"&amp;LEN(IF(Raw!C699="","",Raw!C699))&amp;":"&amp;IF(Raw!C699="","",Raw!C699)&amp;"|"&amp;LEN(IF(Raw!D699="","",Raw!D699))&amp;":"&amp;IF(Raw!D699="","",Raw!D699)&amp;"|"&amp;LEN(IF(Raw!E699="","",Raw!E699))&amp;":"&amp;IF(Raw!E699="","",Raw!E699)&amp;"|"&amp;LEN(IF(Raw!F699="","",Raw!F699))&amp;":"&amp;IF(Raw!F699="","",Raw!F699)&amp;"|"&amp;LEN(IF(Raw!G699="","",Raw!G699))&amp;":"&amp;IF(Raw!G699="","",Raw!G699)</f>
        <v>6:L00693|6:T00347|10:2026-03-24|3:P-O|6:Office|4:sale|6:105.15</v>
      </c>
      <c r="Q699" s="1">
        <f>1</f>
        <v>1</v>
      </c>
      <c r="R699" s="1" t="b">
        <f>FALSE</f>
        <v>0</v>
      </c>
      <c r="S699" s="1">
        <f>1</f>
        <v>1</v>
      </c>
      <c r="T699" s="1" t="str">
        <f>IF(AND(Raw!A699="",Raw!B699="",Raw!C699="",Raw!D699="",Raw!E699="",Raw!F699="",Raw!G699=""),"UNUSED",IF(A699="","missing line ID",IF(B699="","missing transaction ID",IF(G699="",IF(C699="","missing date","invalid date"),IF(I699="","unknown product",IF(J699="","conflicting category",IF(NOT(OR(EXACT(K699,"sale"),EXACT(K699,"refund"))),"unknown event",IF(OR(N699="",NOT(O699)),"invalid amount",IF(OR(AND(K699="sale",N699&lt;=0),AND(K699="refund",N699&gt;=0)),"invalid sign","")))))))))</f>
        <v/>
      </c>
      <c r="U699" s="1" t="str">
        <f t="shared" si="85"/>
        <v>INCLUDED</v>
      </c>
      <c r="V699" s="1" t="str">
        <f t="shared" si="86"/>
        <v>2026-03</v>
      </c>
      <c r="W699" s="1">
        <f>IF(AND(U699="INCLUDED",X699&gt;0,EXACT(A699,'AI output'!A699)),1,0)</f>
        <v>1</v>
      </c>
      <c r="X699" s="1">
        <f>699</f>
        <v>699</v>
      </c>
      <c r="Y699" s="1">
        <f>IF(AND(U699="INCLUDED",W699=1),--(NOT(EXACT(A699,'AI output'!A699)))+--(NOT(EXACT(B699,'AI output'!B699)))+--(NOT(EXACT(TEXT(G699,"yyyy-mm-dd"),'AI output'!C699)))+--(NOT(EXACT(H699,'AI output'!D699)))+--(NOT(EXACT(J699,'AI output'!E699)))+--(NOT(EXACT(K699,'AI output'!F699)))+--(N699&lt;&gt;'AI output'!L699)+--(NOT('AI output'!M699)),0)</f>
        <v>0</v>
      </c>
      <c r="Z699" s="1">
        <f t="shared" si="87"/>
        <v>0</v>
      </c>
      <c r="AA699" s="1">
        <f>--EXACT(A699,"L00693")</f>
        <v>1</v>
      </c>
    </row>
    <row r="700" spans="1:27" ht="18.95" customHeight="1">
      <c r="A700" s="1" t="str">
        <f>IF(Raw!A700="","",Raw!A700)</f>
        <v>L00694</v>
      </c>
      <c r="B700" s="1" t="str">
        <f>IF(Raw!B700="","",Raw!B700)</f>
        <v>T00347</v>
      </c>
      <c r="C700" s="1" t="str">
        <f>IF(Raw!C700="","",Raw!C700)</f>
        <v>2026-03-24</v>
      </c>
      <c r="D700" s="1">
        <f t="shared" si="80"/>
        <v>2026</v>
      </c>
      <c r="E700" s="1">
        <f>IFERROR(IF(AND(LEN(C700)=10,MID(C700,5,1)="-",MID(C700,8,1)="-"),VALUE(MID(C700,6,2)),IF(AND(LEN(C700)=11,MID(C700,3,1)="-",MID(C700,7,1)="-"),MATCH(UPPER(MID(C700,4,3)),Guide!$D$7:$D$18,0),0)),0)</f>
        <v>3</v>
      </c>
      <c r="F700" s="1">
        <f t="shared" si="81"/>
        <v>24</v>
      </c>
      <c r="G700" s="9">
        <f t="shared" si="82"/>
        <v>46105</v>
      </c>
      <c r="H700" s="1" t="str">
        <f>IF(Raw!D700="","",Raw!D700)</f>
        <v>P-A</v>
      </c>
      <c r="I700" s="1" t="str">
        <f>IFERROR(IF(EXACT(H700,INDEX(Guide!$A$7:$A$9,MATCH(SUBSTITUTE(SUBSTITUTE(SUBSTITUTE(H700,"~","~~"),"*","~*"),"?","~?"),Guide!$A$7:$A$9,0))),INDEX(Guide!$B$7:$B$9,MATCH(SUBSTITUTE(SUBSTITUTE(SUBSTITUTE(H700,"~","~~"),"*","~*"),"?","~?"),Guide!$A$7:$A$9,0)),""),"")</f>
        <v>Accessories</v>
      </c>
      <c r="J700" s="1" t="str">
        <f>IF(TRIM(Raw!E700)="",I700,IF(UPPER(TRIM(Raw!E700))=UPPER(I700),I700,""))</f>
        <v>Accessories</v>
      </c>
      <c r="K700" s="1" t="str">
        <f>IF(Raw!F700="","",Raw!F700)</f>
        <v>sale</v>
      </c>
      <c r="L700" s="1" t="str">
        <f>IF(LEFT(TRIM(Raw!G700),2)="-$","-"&amp;MID(TRIM(Raw!G700),3,99),IF(LEFT(TRIM(Raw!G700),1)="$",MID(TRIM(Raw!G700),2,99),TRIM(Raw!G700)))</f>
        <v>42.80</v>
      </c>
      <c r="M700" s="1">
        <f t="shared" si="83"/>
        <v>42.8</v>
      </c>
      <c r="N700" s="10">
        <f t="shared" si="84"/>
        <v>4280</v>
      </c>
      <c r="O700" s="1" t="b">
        <f>IFERROR(IF(ISNUMBER(Raw!G700),TRUE,OR(EXACT(L700,TEXT(M700,"0.00")),EXACT(L700,TEXT(M700,"#,##0.00")))),FALSE)</f>
        <v>1</v>
      </c>
      <c r="P700" s="1" t="str">
        <f>LEN(IF(Raw!A700="","",Raw!A700))&amp;":"&amp;IF(Raw!A700="","",Raw!A700)&amp;"|"&amp;LEN(IF(Raw!B700="","",Raw!B700))&amp;":"&amp;IF(Raw!B700="","",Raw!B700)&amp;"|"&amp;LEN(IF(Raw!C700="","",Raw!C700))&amp;":"&amp;IF(Raw!C700="","",Raw!C700)&amp;"|"&amp;LEN(IF(Raw!D700="","",Raw!D700))&amp;":"&amp;IF(Raw!D700="","",Raw!D700)&amp;"|"&amp;LEN(IF(Raw!E700="","",Raw!E700))&amp;":"&amp;IF(Raw!E700="","",Raw!E700)&amp;"|"&amp;LEN(IF(Raw!F700="","",Raw!F700))&amp;":"&amp;IF(Raw!F700="","",Raw!F700)&amp;"|"&amp;LEN(IF(Raw!G700="","",Raw!G700))&amp;":"&amp;IF(Raw!G700="","",Raw!G700)</f>
        <v>6:L00694|6:T00347|10:2026-03-24|3:P-A|11:Accessories|4:sale|5:42.80</v>
      </c>
      <c r="Q700" s="1">
        <f>1</f>
        <v>1</v>
      </c>
      <c r="R700" s="1" t="b">
        <f>FALSE</f>
        <v>0</v>
      </c>
      <c r="S700" s="1">
        <f>1</f>
        <v>1</v>
      </c>
      <c r="T700" s="1" t="str">
        <f>IF(AND(Raw!A700="",Raw!B700="",Raw!C700="",Raw!D700="",Raw!E700="",Raw!F700="",Raw!G700=""),"UNUSED",IF(A700="","missing line ID",IF(B700="","missing transaction ID",IF(G700="",IF(C700="","missing date","invalid date"),IF(I700="","unknown product",IF(J700="","conflicting category",IF(NOT(OR(EXACT(K700,"sale"),EXACT(K700,"refund"))),"unknown event",IF(OR(N700="",NOT(O700)),"invalid amount",IF(OR(AND(K700="sale",N700&lt;=0),AND(K700="refund",N700&gt;=0)),"invalid sign","")))))))))</f>
        <v/>
      </c>
      <c r="U700" s="1" t="str">
        <f t="shared" si="85"/>
        <v>INCLUDED</v>
      </c>
      <c r="V700" s="1" t="str">
        <f t="shared" si="86"/>
        <v>2026-03</v>
      </c>
      <c r="W700" s="1">
        <f>IF(AND(U700="INCLUDED",X700&gt;0,EXACT(A700,'AI output'!A700)),1,0)</f>
        <v>1</v>
      </c>
      <c r="X700" s="1">
        <f>700</f>
        <v>700</v>
      </c>
      <c r="Y700" s="1">
        <f>IF(AND(U700="INCLUDED",W700=1),--(NOT(EXACT(A700,'AI output'!A700)))+--(NOT(EXACT(B700,'AI output'!B700)))+--(NOT(EXACT(TEXT(G700,"yyyy-mm-dd"),'AI output'!C700)))+--(NOT(EXACT(H700,'AI output'!D700)))+--(NOT(EXACT(J700,'AI output'!E700)))+--(NOT(EXACT(K700,'AI output'!F700)))+--(N700&lt;&gt;'AI output'!L700)+--(NOT('AI output'!M700)),0)</f>
        <v>0</v>
      </c>
      <c r="Z700" s="1">
        <f t="shared" si="87"/>
        <v>0</v>
      </c>
      <c r="AA700" s="1">
        <f>--EXACT(A700,"L00694")</f>
        <v>1</v>
      </c>
    </row>
    <row r="701" spans="1:27" ht="18.95" customHeight="1">
      <c r="A701" s="1" t="str">
        <f>IF(Raw!A701="","",Raw!A701)</f>
        <v>L00695</v>
      </c>
      <c r="B701" s="1" t="str">
        <f>IF(Raw!B701="","",Raw!B701)</f>
        <v>T00348</v>
      </c>
      <c r="C701" s="1" t="str">
        <f>IF(Raw!C701="","",Raw!C701)</f>
        <v>2026-03-31</v>
      </c>
      <c r="D701" s="1">
        <f t="shared" si="80"/>
        <v>2026</v>
      </c>
      <c r="E701" s="1">
        <f>IFERROR(IF(AND(LEN(C701)=10,MID(C701,5,1)="-",MID(C701,8,1)="-"),VALUE(MID(C701,6,2)),IF(AND(LEN(C701)=11,MID(C701,3,1)="-",MID(C701,7,1)="-"),MATCH(UPPER(MID(C701,4,3)),Guide!$D$7:$D$18,0),0)),0)</f>
        <v>3</v>
      </c>
      <c r="F701" s="1">
        <f t="shared" si="81"/>
        <v>31</v>
      </c>
      <c r="G701" s="9">
        <f t="shared" si="82"/>
        <v>46112</v>
      </c>
      <c r="H701" s="1" t="str">
        <f>IF(Raw!D701="","",Raw!D701)</f>
        <v>P-H</v>
      </c>
      <c r="I701" s="1" t="str">
        <f>IFERROR(IF(EXACT(H701,INDEX(Guide!$A$7:$A$9,MATCH(SUBSTITUTE(SUBSTITUTE(SUBSTITUTE(H701,"~","~~"),"*","~*"),"?","~?"),Guide!$A$7:$A$9,0))),INDEX(Guide!$B$7:$B$9,MATCH(SUBSTITUTE(SUBSTITUTE(SUBSTITUTE(H701,"~","~~"),"*","~*"),"?","~?"),Guide!$A$7:$A$9,0)),""),"")</f>
        <v>Home</v>
      </c>
      <c r="J701" s="1" t="str">
        <f>IF(TRIM(Raw!E701)="",I701,IF(UPPER(TRIM(Raw!E701))=UPPER(I701),I701,""))</f>
        <v>Home</v>
      </c>
      <c r="K701" s="1" t="str">
        <f>IF(Raw!F701="","",Raw!F701)</f>
        <v>sale</v>
      </c>
      <c r="L701" s="1" t="str">
        <f>IF(LEFT(TRIM(Raw!G701),2)="-$","-"&amp;MID(TRIM(Raw!G701),3,99),IF(LEFT(TRIM(Raw!G701),1)="$",MID(TRIM(Raw!G701),2,99),TRIM(Raw!G701)))</f>
        <v>87.08</v>
      </c>
      <c r="M701" s="1">
        <f t="shared" si="83"/>
        <v>87.08</v>
      </c>
      <c r="N701" s="10">
        <f t="shared" si="84"/>
        <v>8708</v>
      </c>
      <c r="O701" s="1" t="b">
        <f>IFERROR(IF(ISNUMBER(Raw!G701),TRUE,OR(EXACT(L701,TEXT(M701,"0.00")),EXACT(L701,TEXT(M701,"#,##0.00")))),FALSE)</f>
        <v>1</v>
      </c>
      <c r="P701" s="1" t="str">
        <f>LEN(IF(Raw!A701="","",Raw!A701))&amp;":"&amp;IF(Raw!A701="","",Raw!A701)&amp;"|"&amp;LEN(IF(Raw!B701="","",Raw!B701))&amp;":"&amp;IF(Raw!B701="","",Raw!B701)&amp;"|"&amp;LEN(IF(Raw!C701="","",Raw!C701))&amp;":"&amp;IF(Raw!C701="","",Raw!C701)&amp;"|"&amp;LEN(IF(Raw!D701="","",Raw!D701))&amp;":"&amp;IF(Raw!D701="","",Raw!D701)&amp;"|"&amp;LEN(IF(Raw!E701="","",Raw!E701))&amp;":"&amp;IF(Raw!E701="","",Raw!E701)&amp;"|"&amp;LEN(IF(Raw!F701="","",Raw!F701))&amp;":"&amp;IF(Raw!F701="","",Raw!F701)&amp;"|"&amp;LEN(IF(Raw!G701="","",Raw!G701))&amp;":"&amp;IF(Raw!G701="","",Raw!G701)</f>
        <v>6:L00695|6:T00348|10:2026-03-31|3:P-H|4:Home|4:sale|5:87.08</v>
      </c>
      <c r="Q701" s="1">
        <f>1</f>
        <v>1</v>
      </c>
      <c r="R701" s="1" t="b">
        <f>FALSE</f>
        <v>0</v>
      </c>
      <c r="S701" s="1">
        <f>1</f>
        <v>1</v>
      </c>
      <c r="T701" s="1" t="str">
        <f>IF(AND(Raw!A701="",Raw!B701="",Raw!C701="",Raw!D701="",Raw!E701="",Raw!F701="",Raw!G701=""),"UNUSED",IF(A701="","missing line ID",IF(B701="","missing transaction ID",IF(G701="",IF(C701="","missing date","invalid date"),IF(I701="","unknown product",IF(J701="","conflicting category",IF(NOT(OR(EXACT(K701,"sale"),EXACT(K701,"refund"))),"unknown event",IF(OR(N701="",NOT(O701)),"invalid amount",IF(OR(AND(K701="sale",N701&lt;=0),AND(K701="refund",N701&gt;=0)),"invalid sign","")))))))))</f>
        <v/>
      </c>
      <c r="U701" s="1" t="str">
        <f t="shared" si="85"/>
        <v>INCLUDED</v>
      </c>
      <c r="V701" s="1" t="str">
        <f t="shared" si="86"/>
        <v>2026-03</v>
      </c>
      <c r="W701" s="1">
        <f>IF(AND(U701="INCLUDED",X701&gt;0,EXACT(A701,'AI output'!A701)),1,0)</f>
        <v>1</v>
      </c>
      <c r="X701" s="1">
        <f>701</f>
        <v>701</v>
      </c>
      <c r="Y701" s="1">
        <f>IF(AND(U701="INCLUDED",W701=1),--(NOT(EXACT(A701,'AI output'!A701)))+--(NOT(EXACT(B701,'AI output'!B701)))+--(NOT(EXACT(TEXT(G701,"yyyy-mm-dd"),'AI output'!C701)))+--(NOT(EXACT(H701,'AI output'!D701)))+--(NOT(EXACT(J701,'AI output'!E701)))+--(NOT(EXACT(K701,'AI output'!F701)))+--(N701&lt;&gt;'AI output'!L701)+--(NOT('AI output'!M701)),0)</f>
        <v>0</v>
      </c>
      <c r="Z701" s="1">
        <f t="shared" si="87"/>
        <v>0</v>
      </c>
      <c r="AA701" s="1">
        <f>--EXACT(A701,"L00695")</f>
        <v>1</v>
      </c>
    </row>
    <row r="702" spans="1:27" ht="18.95" customHeight="1">
      <c r="A702" s="1" t="str">
        <f>IF(Raw!A702="","",Raw!A702)</f>
        <v>L00696</v>
      </c>
      <c r="B702" s="1" t="str">
        <f>IF(Raw!B702="","",Raw!B702)</f>
        <v>T00348</v>
      </c>
      <c r="C702" s="1" t="str">
        <f>IF(Raw!C702="","",Raw!C702)</f>
        <v>2026-03-31</v>
      </c>
      <c r="D702" s="1">
        <f t="shared" si="80"/>
        <v>2026</v>
      </c>
      <c r="E702" s="1">
        <f>IFERROR(IF(AND(LEN(C702)=10,MID(C702,5,1)="-",MID(C702,8,1)="-"),VALUE(MID(C702,6,2)),IF(AND(LEN(C702)=11,MID(C702,3,1)="-",MID(C702,7,1)="-"),MATCH(UPPER(MID(C702,4,3)),Guide!$D$7:$D$18,0),0)),0)</f>
        <v>3</v>
      </c>
      <c r="F702" s="1">
        <f t="shared" si="81"/>
        <v>31</v>
      </c>
      <c r="G702" s="9">
        <f t="shared" si="82"/>
        <v>46112</v>
      </c>
      <c r="H702" s="1" t="str">
        <f>IF(Raw!D702="","",Raw!D702)</f>
        <v>P-O</v>
      </c>
      <c r="I702" s="1" t="str">
        <f>IFERROR(IF(EXACT(H702,INDEX(Guide!$A$7:$A$9,MATCH(SUBSTITUTE(SUBSTITUTE(SUBSTITUTE(H702,"~","~~"),"*","~*"),"?","~?"),Guide!$A$7:$A$9,0))),INDEX(Guide!$B$7:$B$9,MATCH(SUBSTITUTE(SUBSTITUTE(SUBSTITUTE(H702,"~","~~"),"*","~*"),"?","~?"),Guide!$A$7:$A$9,0)),""),"")</f>
        <v>Office</v>
      </c>
      <c r="J702" s="1" t="str">
        <f>IF(TRIM(Raw!E702)="",I702,IF(UPPER(TRIM(Raw!E702))=UPPER(I702),I702,""))</f>
        <v>Office</v>
      </c>
      <c r="K702" s="1" t="str">
        <f>IF(Raw!F702="","",Raw!F702)</f>
        <v>sale</v>
      </c>
      <c r="L702" s="1" t="str">
        <f>IF(LEFT(TRIM(Raw!G702),2)="-$","-"&amp;MID(TRIM(Raw!G702),3,99),IF(LEFT(TRIM(Raw!G702),1)="$",MID(TRIM(Raw!G702),2,99),TRIM(Raw!G702)))</f>
        <v>22.14</v>
      </c>
      <c r="M702" s="1">
        <f t="shared" si="83"/>
        <v>22.14</v>
      </c>
      <c r="N702" s="10">
        <f t="shared" si="84"/>
        <v>2214</v>
      </c>
      <c r="O702" s="1" t="b">
        <f>IFERROR(IF(ISNUMBER(Raw!G702),TRUE,OR(EXACT(L702,TEXT(M702,"0.00")),EXACT(L702,TEXT(M702,"#,##0.00")))),FALSE)</f>
        <v>1</v>
      </c>
      <c r="P702" s="1" t="str">
        <f>LEN(IF(Raw!A702="","",Raw!A702))&amp;":"&amp;IF(Raw!A702="","",Raw!A702)&amp;"|"&amp;LEN(IF(Raw!B702="","",Raw!B702))&amp;":"&amp;IF(Raw!B702="","",Raw!B702)&amp;"|"&amp;LEN(IF(Raw!C702="","",Raw!C702))&amp;":"&amp;IF(Raw!C702="","",Raw!C702)&amp;"|"&amp;LEN(IF(Raw!D702="","",Raw!D702))&amp;":"&amp;IF(Raw!D702="","",Raw!D702)&amp;"|"&amp;LEN(IF(Raw!E702="","",Raw!E702))&amp;":"&amp;IF(Raw!E702="","",Raw!E702)&amp;"|"&amp;LEN(IF(Raw!F702="","",Raw!F702))&amp;":"&amp;IF(Raw!F702="","",Raw!F702)&amp;"|"&amp;LEN(IF(Raw!G702="","",Raw!G702))&amp;":"&amp;IF(Raw!G702="","",Raw!G702)</f>
        <v>6:L00696|6:T00348|10:2026-03-31|3:P-O|6:Office|4:sale|5:22.14</v>
      </c>
      <c r="Q702" s="1">
        <f>1</f>
        <v>1</v>
      </c>
      <c r="R702" s="1" t="b">
        <f>FALSE</f>
        <v>0</v>
      </c>
      <c r="S702" s="1">
        <f>1</f>
        <v>1</v>
      </c>
      <c r="T702" s="1" t="str">
        <f>IF(AND(Raw!A702="",Raw!B702="",Raw!C702="",Raw!D702="",Raw!E702="",Raw!F702="",Raw!G702=""),"UNUSED",IF(A702="","missing line ID",IF(B702="","missing transaction ID",IF(G702="",IF(C702="","missing date","invalid date"),IF(I702="","unknown product",IF(J702="","conflicting category",IF(NOT(OR(EXACT(K702,"sale"),EXACT(K702,"refund"))),"unknown event",IF(OR(N702="",NOT(O702)),"invalid amount",IF(OR(AND(K702="sale",N702&lt;=0),AND(K702="refund",N702&gt;=0)),"invalid sign","")))))))))</f>
        <v/>
      </c>
      <c r="U702" s="1" t="str">
        <f t="shared" si="85"/>
        <v>INCLUDED</v>
      </c>
      <c r="V702" s="1" t="str">
        <f t="shared" si="86"/>
        <v>2026-03</v>
      </c>
      <c r="W702" s="1">
        <f>IF(AND(U702="INCLUDED",X702&gt;0,EXACT(A702,'AI output'!A702)),1,0)</f>
        <v>1</v>
      </c>
      <c r="X702" s="1">
        <f>702</f>
        <v>702</v>
      </c>
      <c r="Y702" s="1">
        <f>IF(AND(U702="INCLUDED",W702=1),--(NOT(EXACT(A702,'AI output'!A702)))+--(NOT(EXACT(B702,'AI output'!B702)))+--(NOT(EXACT(TEXT(G702,"yyyy-mm-dd"),'AI output'!C702)))+--(NOT(EXACT(H702,'AI output'!D702)))+--(NOT(EXACT(J702,'AI output'!E702)))+--(NOT(EXACT(K702,'AI output'!F702)))+--(N702&lt;&gt;'AI output'!L702)+--(NOT('AI output'!M702)),0)</f>
        <v>0</v>
      </c>
      <c r="Z702" s="1">
        <f t="shared" si="87"/>
        <v>0</v>
      </c>
      <c r="AA702" s="1">
        <f>--EXACT(A702,"L00696")</f>
        <v>1</v>
      </c>
    </row>
    <row r="703" spans="1:27" ht="18.95" customHeight="1">
      <c r="A703" s="1" t="str">
        <f>IF(Raw!A703="","",Raw!A703)</f>
        <v>L00697</v>
      </c>
      <c r="B703" s="1" t="str">
        <f>IF(Raw!B703="","",Raw!B703)</f>
        <v>T00349</v>
      </c>
      <c r="C703" s="1" t="str">
        <f>IF(Raw!C703="","",Raw!C703)</f>
        <v>2026-01-07</v>
      </c>
      <c r="D703" s="1">
        <f t="shared" si="80"/>
        <v>2026</v>
      </c>
      <c r="E703" s="1">
        <f>IFERROR(IF(AND(LEN(C703)=10,MID(C703,5,1)="-",MID(C703,8,1)="-"),VALUE(MID(C703,6,2)),IF(AND(LEN(C703)=11,MID(C703,3,1)="-",MID(C703,7,1)="-"),MATCH(UPPER(MID(C703,4,3)),Guide!$D$7:$D$18,0),0)),0)</f>
        <v>1</v>
      </c>
      <c r="F703" s="1">
        <f t="shared" si="81"/>
        <v>7</v>
      </c>
      <c r="G703" s="9">
        <f t="shared" si="82"/>
        <v>46029</v>
      </c>
      <c r="H703" s="1" t="str">
        <f>IF(Raw!D703="","",Raw!D703)</f>
        <v>P-A</v>
      </c>
      <c r="I703" s="1" t="str">
        <f>IFERROR(IF(EXACT(H703,INDEX(Guide!$A$7:$A$9,MATCH(SUBSTITUTE(SUBSTITUTE(SUBSTITUTE(H703,"~","~~"),"*","~*"),"?","~?"),Guide!$A$7:$A$9,0))),INDEX(Guide!$B$7:$B$9,MATCH(SUBSTITUTE(SUBSTITUTE(SUBSTITUTE(H703,"~","~~"),"*","~*"),"?","~?"),Guide!$A$7:$A$9,0)),""),"")</f>
        <v>Accessories</v>
      </c>
      <c r="J703" s="1" t="str">
        <f>IF(TRIM(Raw!E703)="",I703,IF(UPPER(TRIM(Raw!E703))=UPPER(I703),I703,""))</f>
        <v>Accessories</v>
      </c>
      <c r="K703" s="1" t="str">
        <f>IF(Raw!F703="","",Raw!F703)</f>
        <v>sale</v>
      </c>
      <c r="L703" s="1" t="str">
        <f>IF(LEFT(TRIM(Raw!G703),2)="-$","-"&amp;MID(TRIM(Raw!G703),3,99),IF(LEFT(TRIM(Raw!G703),1)="$",MID(TRIM(Raw!G703),2,99),TRIM(Raw!G703)))</f>
        <v>67.53</v>
      </c>
      <c r="M703" s="1">
        <f t="shared" si="83"/>
        <v>67.53</v>
      </c>
      <c r="N703" s="10">
        <f t="shared" si="84"/>
        <v>6753</v>
      </c>
      <c r="O703" s="1" t="b">
        <f>IFERROR(IF(ISNUMBER(Raw!G703),TRUE,OR(EXACT(L703,TEXT(M703,"0.00")),EXACT(L703,TEXT(M703,"#,##0.00")))),FALSE)</f>
        <v>1</v>
      </c>
      <c r="P703" s="1" t="str">
        <f>LEN(IF(Raw!A703="","",Raw!A703))&amp;":"&amp;IF(Raw!A703="","",Raw!A703)&amp;"|"&amp;LEN(IF(Raw!B703="","",Raw!B703))&amp;":"&amp;IF(Raw!B703="","",Raw!B703)&amp;"|"&amp;LEN(IF(Raw!C703="","",Raw!C703))&amp;":"&amp;IF(Raw!C703="","",Raw!C703)&amp;"|"&amp;LEN(IF(Raw!D703="","",Raw!D703))&amp;":"&amp;IF(Raw!D703="","",Raw!D703)&amp;"|"&amp;LEN(IF(Raw!E703="","",Raw!E703))&amp;":"&amp;IF(Raw!E703="","",Raw!E703)&amp;"|"&amp;LEN(IF(Raw!F703="","",Raw!F703))&amp;":"&amp;IF(Raw!F703="","",Raw!F703)&amp;"|"&amp;LEN(IF(Raw!G703="","",Raw!G703))&amp;":"&amp;IF(Raw!G703="","",Raw!G703)</f>
        <v>6:L00697|6:T00349|10:2026-01-07|3:P-A|11:Accessories|4:sale|5:67.53</v>
      </c>
      <c r="Q703" s="1">
        <f>1</f>
        <v>1</v>
      </c>
      <c r="R703" s="1" t="b">
        <f>FALSE</f>
        <v>0</v>
      </c>
      <c r="S703" s="1">
        <f>1</f>
        <v>1</v>
      </c>
      <c r="T703" s="1" t="str">
        <f>IF(AND(Raw!A703="",Raw!B703="",Raw!C703="",Raw!D703="",Raw!E703="",Raw!F703="",Raw!G703=""),"UNUSED",IF(A703="","missing line ID",IF(B703="","missing transaction ID",IF(G703="",IF(C703="","missing date","invalid date"),IF(I703="","unknown product",IF(J703="","conflicting category",IF(NOT(OR(EXACT(K703,"sale"),EXACT(K703,"refund"))),"unknown event",IF(OR(N703="",NOT(O703)),"invalid amount",IF(OR(AND(K703="sale",N703&lt;=0),AND(K703="refund",N703&gt;=0)),"invalid sign","")))))))))</f>
        <v/>
      </c>
      <c r="U703" s="1" t="str">
        <f t="shared" si="85"/>
        <v>INCLUDED</v>
      </c>
      <c r="V703" s="1" t="str">
        <f t="shared" si="86"/>
        <v>2026-01</v>
      </c>
      <c r="W703" s="1">
        <f>IF(AND(U703="INCLUDED",X703&gt;0,EXACT(A703,'AI output'!A703)),1,0)</f>
        <v>1</v>
      </c>
      <c r="X703" s="1">
        <f>703</f>
        <v>703</v>
      </c>
      <c r="Y703" s="1">
        <f>IF(AND(U703="INCLUDED",W703=1),--(NOT(EXACT(A703,'AI output'!A703)))+--(NOT(EXACT(B703,'AI output'!B703)))+--(NOT(EXACT(TEXT(G703,"yyyy-mm-dd"),'AI output'!C703)))+--(NOT(EXACT(H703,'AI output'!D703)))+--(NOT(EXACT(J703,'AI output'!E703)))+--(NOT(EXACT(K703,'AI output'!F703)))+--(N703&lt;&gt;'AI output'!L703)+--(NOT('AI output'!M703)),0)</f>
        <v>0</v>
      </c>
      <c r="Z703" s="1">
        <f t="shared" si="87"/>
        <v>0</v>
      </c>
      <c r="AA703" s="1">
        <f>--EXACT(A703,"L00697")</f>
        <v>1</v>
      </c>
    </row>
    <row r="704" spans="1:27" ht="18.95" customHeight="1">
      <c r="A704" s="1" t="str">
        <f>IF(Raw!A704="","",Raw!A704)</f>
        <v>L00698</v>
      </c>
      <c r="B704" s="1" t="str">
        <f>IF(Raw!B704="","",Raw!B704)</f>
        <v>T00349</v>
      </c>
      <c r="C704" s="1" t="str">
        <f>IF(Raw!C704="","",Raw!C704)</f>
        <v>2026-01-07</v>
      </c>
      <c r="D704" s="1">
        <f t="shared" si="80"/>
        <v>2026</v>
      </c>
      <c r="E704" s="1">
        <f>IFERROR(IF(AND(LEN(C704)=10,MID(C704,5,1)="-",MID(C704,8,1)="-"),VALUE(MID(C704,6,2)),IF(AND(LEN(C704)=11,MID(C704,3,1)="-",MID(C704,7,1)="-"),MATCH(UPPER(MID(C704,4,3)),Guide!$D$7:$D$18,0),0)),0)</f>
        <v>1</v>
      </c>
      <c r="F704" s="1">
        <f t="shared" si="81"/>
        <v>7</v>
      </c>
      <c r="G704" s="9">
        <f t="shared" si="82"/>
        <v>46029</v>
      </c>
      <c r="H704" s="1" t="str">
        <f>IF(Raw!D704="","",Raw!D704)</f>
        <v>P-H</v>
      </c>
      <c r="I704" s="1" t="str">
        <f>IFERROR(IF(EXACT(H704,INDEX(Guide!$A$7:$A$9,MATCH(SUBSTITUTE(SUBSTITUTE(SUBSTITUTE(H704,"~","~~"),"*","~*"),"?","~?"),Guide!$A$7:$A$9,0))),INDEX(Guide!$B$7:$B$9,MATCH(SUBSTITUTE(SUBSTITUTE(SUBSTITUTE(H704,"~","~~"),"*","~*"),"?","~?"),Guide!$A$7:$A$9,0)),""),"")</f>
        <v>Home</v>
      </c>
      <c r="J704" s="1" t="str">
        <f>IF(TRIM(Raw!E704)="",I704,IF(UPPER(TRIM(Raw!E704))=UPPER(I704),I704,""))</f>
        <v>Home</v>
      </c>
      <c r="K704" s="1" t="str">
        <f>IF(Raw!F704="","",Raw!F704)</f>
        <v>sale</v>
      </c>
      <c r="L704" s="1" t="str">
        <f>IF(LEFT(TRIM(Raw!G704),2)="-$","-"&amp;MID(TRIM(Raw!G704),3,99),IF(LEFT(TRIM(Raw!G704),1)="$",MID(TRIM(Raw!G704),2,99),TRIM(Raw!G704)))</f>
        <v>114.40</v>
      </c>
      <c r="M704" s="1">
        <f t="shared" si="83"/>
        <v>114.4</v>
      </c>
      <c r="N704" s="10">
        <f t="shared" si="84"/>
        <v>11440</v>
      </c>
      <c r="O704" s="1" t="b">
        <f>IFERROR(IF(ISNUMBER(Raw!G704),TRUE,OR(EXACT(L704,TEXT(M704,"0.00")),EXACT(L704,TEXT(M704,"#,##0.00")))),FALSE)</f>
        <v>1</v>
      </c>
      <c r="P704" s="1" t="str">
        <f>LEN(IF(Raw!A704="","",Raw!A704))&amp;":"&amp;IF(Raw!A704="","",Raw!A704)&amp;"|"&amp;LEN(IF(Raw!B704="","",Raw!B704))&amp;":"&amp;IF(Raw!B704="","",Raw!B704)&amp;"|"&amp;LEN(IF(Raw!C704="","",Raw!C704))&amp;":"&amp;IF(Raw!C704="","",Raw!C704)&amp;"|"&amp;LEN(IF(Raw!D704="","",Raw!D704))&amp;":"&amp;IF(Raw!D704="","",Raw!D704)&amp;"|"&amp;LEN(IF(Raw!E704="","",Raw!E704))&amp;":"&amp;IF(Raw!E704="","",Raw!E704)&amp;"|"&amp;LEN(IF(Raw!F704="","",Raw!F704))&amp;":"&amp;IF(Raw!F704="","",Raw!F704)&amp;"|"&amp;LEN(IF(Raw!G704="","",Raw!G704))&amp;":"&amp;IF(Raw!G704="","",Raw!G704)</f>
        <v>6:L00698|6:T00349|10:2026-01-07|3:P-H|4:Home|4:sale|6:114.40</v>
      </c>
      <c r="Q704" s="1">
        <f>1</f>
        <v>1</v>
      </c>
      <c r="R704" s="1" t="b">
        <f>FALSE</f>
        <v>0</v>
      </c>
      <c r="S704" s="1">
        <f>1</f>
        <v>1</v>
      </c>
      <c r="T704" s="1" t="str">
        <f>IF(AND(Raw!A704="",Raw!B704="",Raw!C704="",Raw!D704="",Raw!E704="",Raw!F704="",Raw!G704=""),"UNUSED",IF(A704="","missing line ID",IF(B704="","missing transaction ID",IF(G704="",IF(C704="","missing date","invalid date"),IF(I704="","unknown product",IF(J704="","conflicting category",IF(NOT(OR(EXACT(K704,"sale"),EXACT(K704,"refund"))),"unknown event",IF(OR(N704="",NOT(O704)),"invalid amount",IF(OR(AND(K704="sale",N704&lt;=0),AND(K704="refund",N704&gt;=0)),"invalid sign","")))))))))</f>
        <v/>
      </c>
      <c r="U704" s="1" t="str">
        <f t="shared" si="85"/>
        <v>INCLUDED</v>
      </c>
      <c r="V704" s="1" t="str">
        <f t="shared" si="86"/>
        <v>2026-01</v>
      </c>
      <c r="W704" s="1">
        <f>IF(AND(U704="INCLUDED",X704&gt;0,EXACT(A704,'AI output'!A704)),1,0)</f>
        <v>1</v>
      </c>
      <c r="X704" s="1">
        <f>704</f>
        <v>704</v>
      </c>
      <c r="Y704" s="1">
        <f>IF(AND(U704="INCLUDED",W704=1),--(NOT(EXACT(A704,'AI output'!A704)))+--(NOT(EXACT(B704,'AI output'!B704)))+--(NOT(EXACT(TEXT(G704,"yyyy-mm-dd"),'AI output'!C704)))+--(NOT(EXACT(H704,'AI output'!D704)))+--(NOT(EXACT(J704,'AI output'!E704)))+--(NOT(EXACT(K704,'AI output'!F704)))+--(N704&lt;&gt;'AI output'!L704)+--(NOT('AI output'!M704)),0)</f>
        <v>0</v>
      </c>
      <c r="Z704" s="1">
        <f t="shared" si="87"/>
        <v>0</v>
      </c>
      <c r="AA704" s="1">
        <f>--EXACT(A704,"L00698")</f>
        <v>1</v>
      </c>
    </row>
    <row r="705" spans="1:27" ht="18.95" customHeight="1">
      <c r="A705" s="1" t="str">
        <f>IF(Raw!A705="","",Raw!A705)</f>
        <v>L00699</v>
      </c>
      <c r="B705" s="1" t="str">
        <f>IF(Raw!B705="","",Raw!B705)</f>
        <v>T00350</v>
      </c>
      <c r="C705" s="1" t="str">
        <f>IF(Raw!C705="","",Raw!C705)</f>
        <v>2026-01-14</v>
      </c>
      <c r="D705" s="1">
        <f t="shared" si="80"/>
        <v>2026</v>
      </c>
      <c r="E705" s="1">
        <f>IFERROR(IF(AND(LEN(C705)=10,MID(C705,5,1)="-",MID(C705,8,1)="-"),VALUE(MID(C705,6,2)),IF(AND(LEN(C705)=11,MID(C705,3,1)="-",MID(C705,7,1)="-"),MATCH(UPPER(MID(C705,4,3)),Guide!$D$7:$D$18,0),0)),0)</f>
        <v>1</v>
      </c>
      <c r="F705" s="1">
        <f t="shared" si="81"/>
        <v>14</v>
      </c>
      <c r="G705" s="9">
        <f t="shared" si="82"/>
        <v>46036</v>
      </c>
      <c r="H705" s="1" t="str">
        <f>IF(Raw!D705="","",Raw!D705)</f>
        <v>P-O</v>
      </c>
      <c r="I705" s="1" t="str">
        <f>IFERROR(IF(EXACT(H705,INDEX(Guide!$A$7:$A$9,MATCH(SUBSTITUTE(SUBSTITUTE(SUBSTITUTE(H705,"~","~~"),"*","~*"),"?","~?"),Guide!$A$7:$A$9,0))),INDEX(Guide!$B$7:$B$9,MATCH(SUBSTITUTE(SUBSTITUTE(SUBSTITUTE(H705,"~","~~"),"*","~*"),"?","~?"),Guide!$A$7:$A$9,0)),""),"")</f>
        <v>Office</v>
      </c>
      <c r="J705" s="1" t="str">
        <f>IF(TRIM(Raw!E705)="",I705,IF(UPPER(TRIM(Raw!E705))=UPPER(I705),I705,""))</f>
        <v>Office</v>
      </c>
      <c r="K705" s="1" t="str">
        <f>IF(Raw!F705="","",Raw!F705)</f>
        <v>sale</v>
      </c>
      <c r="L705" s="1" t="str">
        <f>IF(LEFT(TRIM(Raw!G705),2)="-$","-"&amp;MID(TRIM(Raw!G705),3,99),IF(LEFT(TRIM(Raw!G705),1)="$",MID(TRIM(Raw!G705),2,99),TRIM(Raw!G705)))</f>
        <v>46.50</v>
      </c>
      <c r="M705" s="1">
        <f t="shared" si="83"/>
        <v>46.5</v>
      </c>
      <c r="N705" s="10">
        <f t="shared" si="84"/>
        <v>4650</v>
      </c>
      <c r="O705" s="1" t="b">
        <f>IFERROR(IF(ISNUMBER(Raw!G705),TRUE,OR(EXACT(L705,TEXT(M705,"0.00")),EXACT(L705,TEXT(M705,"#,##0.00")))),FALSE)</f>
        <v>1</v>
      </c>
      <c r="P705" s="1" t="str">
        <f>LEN(IF(Raw!A705="","",Raw!A705))&amp;":"&amp;IF(Raw!A705="","",Raw!A705)&amp;"|"&amp;LEN(IF(Raw!B705="","",Raw!B705))&amp;":"&amp;IF(Raw!B705="","",Raw!B705)&amp;"|"&amp;LEN(IF(Raw!C705="","",Raw!C705))&amp;":"&amp;IF(Raw!C705="","",Raw!C705)&amp;"|"&amp;LEN(IF(Raw!D705="","",Raw!D705))&amp;":"&amp;IF(Raw!D705="","",Raw!D705)&amp;"|"&amp;LEN(IF(Raw!E705="","",Raw!E705))&amp;":"&amp;IF(Raw!E705="","",Raw!E705)&amp;"|"&amp;LEN(IF(Raw!F705="","",Raw!F705))&amp;":"&amp;IF(Raw!F705="","",Raw!F705)&amp;"|"&amp;LEN(IF(Raw!G705="","",Raw!G705))&amp;":"&amp;IF(Raw!G705="","",Raw!G705)</f>
        <v>6:L00699|6:T00350|10:2026-01-14|3:P-O|6:Office|4:sale|5:46.50</v>
      </c>
      <c r="Q705" s="1">
        <f>1</f>
        <v>1</v>
      </c>
      <c r="R705" s="1" t="b">
        <f>FALSE</f>
        <v>0</v>
      </c>
      <c r="S705" s="1">
        <f>1</f>
        <v>1</v>
      </c>
      <c r="T705" s="1" t="str">
        <f>IF(AND(Raw!A705="",Raw!B705="",Raw!C705="",Raw!D705="",Raw!E705="",Raw!F705="",Raw!G705=""),"UNUSED",IF(A705="","missing line ID",IF(B705="","missing transaction ID",IF(G705="",IF(C705="","missing date","invalid date"),IF(I705="","unknown product",IF(J705="","conflicting category",IF(NOT(OR(EXACT(K705,"sale"),EXACT(K705,"refund"))),"unknown event",IF(OR(N705="",NOT(O705)),"invalid amount",IF(OR(AND(K705="sale",N705&lt;=0),AND(K705="refund",N705&gt;=0)),"invalid sign","")))))))))</f>
        <v/>
      </c>
      <c r="U705" s="1" t="str">
        <f t="shared" si="85"/>
        <v>INCLUDED</v>
      </c>
      <c r="V705" s="1" t="str">
        <f t="shared" si="86"/>
        <v>2026-01</v>
      </c>
      <c r="W705" s="1">
        <f>IF(AND(U705="INCLUDED",X705&gt;0,EXACT(A705,'AI output'!A705)),1,0)</f>
        <v>1</v>
      </c>
      <c r="X705" s="1">
        <f>705</f>
        <v>705</v>
      </c>
      <c r="Y705" s="1">
        <f>IF(AND(U705="INCLUDED",W705=1),--(NOT(EXACT(A705,'AI output'!A705)))+--(NOT(EXACT(B705,'AI output'!B705)))+--(NOT(EXACT(TEXT(G705,"yyyy-mm-dd"),'AI output'!C705)))+--(NOT(EXACT(H705,'AI output'!D705)))+--(NOT(EXACT(J705,'AI output'!E705)))+--(NOT(EXACT(K705,'AI output'!F705)))+--(N705&lt;&gt;'AI output'!L705)+--(NOT('AI output'!M705)),0)</f>
        <v>0</v>
      </c>
      <c r="Z705" s="1">
        <f t="shared" si="87"/>
        <v>0</v>
      </c>
      <c r="AA705" s="1">
        <f>--EXACT(A705,"L00699")</f>
        <v>1</v>
      </c>
    </row>
    <row r="706" spans="1:27" ht="18.95" customHeight="1">
      <c r="A706" s="1" t="str">
        <f>IF(Raw!A706="","",Raw!A706)</f>
        <v>L00700</v>
      </c>
      <c r="B706" s="1" t="str">
        <f>IF(Raw!B706="","",Raw!B706)</f>
        <v>T00350</v>
      </c>
      <c r="C706" s="1" t="str">
        <f>IF(Raw!C706="","",Raw!C706)</f>
        <v>2026-01-14</v>
      </c>
      <c r="D706" s="1">
        <f t="shared" si="80"/>
        <v>2026</v>
      </c>
      <c r="E706" s="1">
        <f>IFERROR(IF(AND(LEN(C706)=10,MID(C706,5,1)="-",MID(C706,8,1)="-"),VALUE(MID(C706,6,2)),IF(AND(LEN(C706)=11,MID(C706,3,1)="-",MID(C706,7,1)="-"),MATCH(UPPER(MID(C706,4,3)),Guide!$D$7:$D$18,0),0)),0)</f>
        <v>1</v>
      </c>
      <c r="F706" s="1">
        <f t="shared" si="81"/>
        <v>14</v>
      </c>
      <c r="G706" s="9">
        <f t="shared" si="82"/>
        <v>46036</v>
      </c>
      <c r="H706" s="1" t="str">
        <f>IF(Raw!D706="","",Raw!D706)</f>
        <v>P-A</v>
      </c>
      <c r="I706" s="1" t="str">
        <f>IFERROR(IF(EXACT(H706,INDEX(Guide!$A$7:$A$9,MATCH(SUBSTITUTE(SUBSTITUTE(SUBSTITUTE(H706,"~","~~"),"*","~*"),"?","~?"),Guide!$A$7:$A$9,0))),INDEX(Guide!$B$7:$B$9,MATCH(SUBSTITUTE(SUBSTITUTE(SUBSTITUTE(H706,"~","~~"),"*","~*"),"?","~?"),Guide!$A$7:$A$9,0)),""),"")</f>
        <v>Accessories</v>
      </c>
      <c r="J706" s="1" t="str">
        <f>IF(TRIM(Raw!E706)="",I706,IF(UPPER(TRIM(Raw!E706))=UPPER(I706),I706,""))</f>
        <v>Accessories</v>
      </c>
      <c r="K706" s="1" t="str">
        <f>IF(Raw!F706="","",Raw!F706)</f>
        <v>sale</v>
      </c>
      <c r="L706" s="1" t="str">
        <f>IF(LEFT(TRIM(Raw!G706),2)="-$","-"&amp;MID(TRIM(Raw!G706),3,99),IF(LEFT(TRIM(Raw!G706),1)="$",MID(TRIM(Raw!G706),2,99),TRIM(Raw!G706)))</f>
        <v>94.48</v>
      </c>
      <c r="M706" s="1">
        <f t="shared" si="83"/>
        <v>94.48</v>
      </c>
      <c r="N706" s="10">
        <f t="shared" si="84"/>
        <v>9448</v>
      </c>
      <c r="O706" s="1" t="b">
        <f>IFERROR(IF(ISNUMBER(Raw!G706),TRUE,OR(EXACT(L706,TEXT(M706,"0.00")),EXACT(L706,TEXT(M706,"#,##0.00")))),FALSE)</f>
        <v>1</v>
      </c>
      <c r="P706" s="1" t="str">
        <f>LEN(IF(Raw!A706="","",Raw!A706))&amp;":"&amp;IF(Raw!A706="","",Raw!A706)&amp;"|"&amp;LEN(IF(Raw!B706="","",Raw!B706))&amp;":"&amp;IF(Raw!B706="","",Raw!B706)&amp;"|"&amp;LEN(IF(Raw!C706="","",Raw!C706))&amp;":"&amp;IF(Raw!C706="","",Raw!C706)&amp;"|"&amp;LEN(IF(Raw!D706="","",Raw!D706))&amp;":"&amp;IF(Raw!D706="","",Raw!D706)&amp;"|"&amp;LEN(IF(Raw!E706="","",Raw!E706))&amp;":"&amp;IF(Raw!E706="","",Raw!E706)&amp;"|"&amp;LEN(IF(Raw!F706="","",Raw!F706))&amp;":"&amp;IF(Raw!F706="","",Raw!F706)&amp;"|"&amp;LEN(IF(Raw!G706="","",Raw!G706))&amp;":"&amp;IF(Raw!G706="","",Raw!G706)</f>
        <v>6:L00700|6:T00350|10:2026-01-14|3:P-A|11:Accessories|4:sale|5:94.48</v>
      </c>
      <c r="Q706" s="1">
        <f>1</f>
        <v>1</v>
      </c>
      <c r="R706" s="1" t="b">
        <f>FALSE</f>
        <v>0</v>
      </c>
      <c r="S706" s="1">
        <f>1</f>
        <v>1</v>
      </c>
      <c r="T706" s="1" t="str">
        <f>IF(AND(Raw!A706="",Raw!B706="",Raw!C706="",Raw!D706="",Raw!E706="",Raw!F706="",Raw!G706=""),"UNUSED",IF(A706="","missing line ID",IF(B706="","missing transaction ID",IF(G706="",IF(C706="","missing date","invalid date"),IF(I706="","unknown product",IF(J706="","conflicting category",IF(NOT(OR(EXACT(K706,"sale"),EXACT(K706,"refund"))),"unknown event",IF(OR(N706="",NOT(O706)),"invalid amount",IF(OR(AND(K706="sale",N706&lt;=0),AND(K706="refund",N706&gt;=0)),"invalid sign","")))))))))</f>
        <v/>
      </c>
      <c r="U706" s="1" t="str">
        <f t="shared" si="85"/>
        <v>INCLUDED</v>
      </c>
      <c r="V706" s="1" t="str">
        <f t="shared" si="86"/>
        <v>2026-01</v>
      </c>
      <c r="W706" s="1">
        <f>IF(AND(U706="INCLUDED",X706&gt;0,EXACT(A706,'AI output'!A706)),1,0)</f>
        <v>1</v>
      </c>
      <c r="X706" s="1">
        <f>706</f>
        <v>706</v>
      </c>
      <c r="Y706" s="1">
        <f>IF(AND(U706="INCLUDED",W706=1),--(NOT(EXACT(A706,'AI output'!A706)))+--(NOT(EXACT(B706,'AI output'!B706)))+--(NOT(EXACT(TEXT(G706,"yyyy-mm-dd"),'AI output'!C706)))+--(NOT(EXACT(H706,'AI output'!D706)))+--(NOT(EXACT(J706,'AI output'!E706)))+--(NOT(EXACT(K706,'AI output'!F706)))+--(N706&lt;&gt;'AI output'!L706)+--(NOT('AI output'!M706)),0)</f>
        <v>0</v>
      </c>
      <c r="Z706" s="1">
        <f t="shared" si="87"/>
        <v>0</v>
      </c>
      <c r="AA706" s="1">
        <f>--EXACT(A706,"L00700")</f>
        <v>1</v>
      </c>
    </row>
    <row r="707" spans="1:27" ht="18.95" customHeight="1">
      <c r="A707" s="1" t="str">
        <f>IF(Raw!A707="","",Raw!A707)</f>
        <v>L00701</v>
      </c>
      <c r="B707" s="1" t="str">
        <f>IF(Raw!B707="","",Raw!B707)</f>
        <v>T00351</v>
      </c>
      <c r="C707" s="1" t="str">
        <f>IF(Raw!C707="","",Raw!C707)</f>
        <v>2026-01-21</v>
      </c>
      <c r="D707" s="1">
        <f t="shared" si="80"/>
        <v>2026</v>
      </c>
      <c r="E707" s="1">
        <f>IFERROR(IF(AND(LEN(C707)=10,MID(C707,5,1)="-",MID(C707,8,1)="-"),VALUE(MID(C707,6,2)),IF(AND(LEN(C707)=11,MID(C707,3,1)="-",MID(C707,7,1)="-"),MATCH(UPPER(MID(C707,4,3)),Guide!$D$7:$D$18,0),0)),0)</f>
        <v>1</v>
      </c>
      <c r="F707" s="1">
        <f t="shared" si="81"/>
        <v>21</v>
      </c>
      <c r="G707" s="9">
        <f t="shared" si="82"/>
        <v>46043</v>
      </c>
      <c r="H707" s="1" t="str">
        <f>IF(Raw!D707="","",Raw!D707)</f>
        <v>P-H</v>
      </c>
      <c r="I707" s="1" t="str">
        <f>IFERROR(IF(EXACT(H707,INDEX(Guide!$A$7:$A$9,MATCH(SUBSTITUTE(SUBSTITUTE(SUBSTITUTE(H707,"~","~~"),"*","~*"),"?","~?"),Guide!$A$7:$A$9,0))),INDEX(Guide!$B$7:$B$9,MATCH(SUBSTITUTE(SUBSTITUTE(SUBSTITUTE(H707,"~","~~"),"*","~*"),"?","~?"),Guide!$A$7:$A$9,0)),""),"")</f>
        <v>Home</v>
      </c>
      <c r="J707" s="1" t="str">
        <f>IF(TRIM(Raw!E707)="",I707,IF(UPPER(TRIM(Raw!E707))=UPPER(I707),I707,""))</f>
        <v>Home</v>
      </c>
      <c r="K707" s="1" t="str">
        <f>IF(Raw!F707="","",Raw!F707)</f>
        <v>sale</v>
      </c>
      <c r="L707" s="1" t="str">
        <f>IF(LEFT(TRIM(Raw!G707),2)="-$","-"&amp;MID(TRIM(Raw!G707),3,99),IF(LEFT(TRIM(Raw!G707),1)="$",MID(TRIM(Raw!G707),2,99),TRIM(Raw!G707)))</f>
        <v>23.99</v>
      </c>
      <c r="M707" s="1">
        <f t="shared" si="83"/>
        <v>23.99</v>
      </c>
      <c r="N707" s="10">
        <f t="shared" si="84"/>
        <v>2399</v>
      </c>
      <c r="O707" s="1" t="b">
        <f>IFERROR(IF(ISNUMBER(Raw!G707),TRUE,OR(EXACT(L707,TEXT(M707,"0.00")),EXACT(L707,TEXT(M707,"#,##0.00")))),FALSE)</f>
        <v>1</v>
      </c>
      <c r="P707" s="1" t="str">
        <f>LEN(IF(Raw!A707="","",Raw!A707))&amp;":"&amp;IF(Raw!A707="","",Raw!A707)&amp;"|"&amp;LEN(IF(Raw!B707="","",Raw!B707))&amp;":"&amp;IF(Raw!B707="","",Raw!B707)&amp;"|"&amp;LEN(IF(Raw!C707="","",Raw!C707))&amp;":"&amp;IF(Raw!C707="","",Raw!C707)&amp;"|"&amp;LEN(IF(Raw!D707="","",Raw!D707))&amp;":"&amp;IF(Raw!D707="","",Raw!D707)&amp;"|"&amp;LEN(IF(Raw!E707="","",Raw!E707))&amp;":"&amp;IF(Raw!E707="","",Raw!E707)&amp;"|"&amp;LEN(IF(Raw!F707="","",Raw!F707))&amp;":"&amp;IF(Raw!F707="","",Raw!F707)&amp;"|"&amp;LEN(IF(Raw!G707="","",Raw!G707))&amp;":"&amp;IF(Raw!G707="","",Raw!G707)</f>
        <v>6:L00701|6:T00351|10:2026-01-21|3:P-H|4:Home|4:sale|5:23.99</v>
      </c>
      <c r="Q707" s="1">
        <f>1</f>
        <v>1</v>
      </c>
      <c r="R707" s="1" t="b">
        <f>FALSE</f>
        <v>0</v>
      </c>
      <c r="S707" s="1">
        <f>1</f>
        <v>1</v>
      </c>
      <c r="T707" s="1" t="str">
        <f>IF(AND(Raw!A707="",Raw!B707="",Raw!C707="",Raw!D707="",Raw!E707="",Raw!F707="",Raw!G707=""),"UNUSED",IF(A707="","missing line ID",IF(B707="","missing transaction ID",IF(G707="",IF(C707="","missing date","invalid date"),IF(I707="","unknown product",IF(J707="","conflicting category",IF(NOT(OR(EXACT(K707,"sale"),EXACT(K707,"refund"))),"unknown event",IF(OR(N707="",NOT(O707)),"invalid amount",IF(OR(AND(K707="sale",N707&lt;=0),AND(K707="refund",N707&gt;=0)),"invalid sign","")))))))))</f>
        <v/>
      </c>
      <c r="U707" s="1" t="str">
        <f t="shared" si="85"/>
        <v>INCLUDED</v>
      </c>
      <c r="V707" s="1" t="str">
        <f t="shared" si="86"/>
        <v>2026-01</v>
      </c>
      <c r="W707" s="1">
        <f>IF(AND(U707="INCLUDED",X707&gt;0,EXACT(A707,'AI output'!A707)),1,0)</f>
        <v>1</v>
      </c>
      <c r="X707" s="1">
        <f>707</f>
        <v>707</v>
      </c>
      <c r="Y707" s="1">
        <f>IF(AND(U707="INCLUDED",W707=1),--(NOT(EXACT(A707,'AI output'!A707)))+--(NOT(EXACT(B707,'AI output'!B707)))+--(NOT(EXACT(TEXT(G707,"yyyy-mm-dd"),'AI output'!C707)))+--(NOT(EXACT(H707,'AI output'!D707)))+--(NOT(EXACT(J707,'AI output'!E707)))+--(NOT(EXACT(K707,'AI output'!F707)))+--(N707&lt;&gt;'AI output'!L707)+--(NOT('AI output'!M707)),0)</f>
        <v>0</v>
      </c>
      <c r="Z707" s="1">
        <f t="shared" si="87"/>
        <v>0</v>
      </c>
      <c r="AA707" s="1">
        <f>--EXACT(A707,"L00701")</f>
        <v>1</v>
      </c>
    </row>
    <row r="708" spans="1:27" ht="18.95" customHeight="1">
      <c r="A708" s="1" t="str">
        <f>IF(Raw!A708="","",Raw!A708)</f>
        <v>L00702</v>
      </c>
      <c r="B708" s="1" t="str">
        <f>IF(Raw!B708="","",Raw!B708)</f>
        <v>T00351</v>
      </c>
      <c r="C708" s="1" t="str">
        <f>IF(Raw!C708="","",Raw!C708)</f>
        <v>2026-01-21</v>
      </c>
      <c r="D708" s="1">
        <f t="shared" si="80"/>
        <v>2026</v>
      </c>
      <c r="E708" s="1">
        <f>IFERROR(IF(AND(LEN(C708)=10,MID(C708,5,1)="-",MID(C708,8,1)="-"),VALUE(MID(C708,6,2)),IF(AND(LEN(C708)=11,MID(C708,3,1)="-",MID(C708,7,1)="-"),MATCH(UPPER(MID(C708,4,3)),Guide!$D$7:$D$18,0),0)),0)</f>
        <v>1</v>
      </c>
      <c r="F708" s="1">
        <f t="shared" si="81"/>
        <v>21</v>
      </c>
      <c r="G708" s="9">
        <f t="shared" si="82"/>
        <v>46043</v>
      </c>
      <c r="H708" s="1" t="str">
        <f>IF(Raw!D708="","",Raw!D708)</f>
        <v>P-O</v>
      </c>
      <c r="I708" s="1" t="str">
        <f>IFERROR(IF(EXACT(H708,INDEX(Guide!$A$7:$A$9,MATCH(SUBSTITUTE(SUBSTITUTE(SUBSTITUTE(H708,"~","~~"),"*","~*"),"?","~?"),Guide!$A$7:$A$9,0))),INDEX(Guide!$B$7:$B$9,MATCH(SUBSTITUTE(SUBSTITUTE(SUBSTITUTE(H708,"~","~~"),"*","~*"),"?","~?"),Guide!$A$7:$A$9,0)),""),"")</f>
        <v>Office</v>
      </c>
      <c r="J708" s="1" t="str">
        <f>IF(TRIM(Raw!E708)="",I708,IF(UPPER(TRIM(Raw!E708))=UPPER(I708),I708,""))</f>
        <v>Office</v>
      </c>
      <c r="K708" s="1" t="str">
        <f>IF(Raw!F708="","",Raw!F708)</f>
        <v>sale</v>
      </c>
      <c r="L708" s="1" t="str">
        <f>IF(LEFT(TRIM(Raw!G708),2)="-$","-"&amp;MID(TRIM(Raw!G708),3,99),IF(LEFT(TRIM(Raw!G708),1)="$",MID(TRIM(Raw!G708),2,99),TRIM(Raw!G708)))</f>
        <v>73.08</v>
      </c>
      <c r="M708" s="1">
        <f t="shared" si="83"/>
        <v>73.08</v>
      </c>
      <c r="N708" s="10">
        <f t="shared" si="84"/>
        <v>7308</v>
      </c>
      <c r="O708" s="1" t="b">
        <f>IFERROR(IF(ISNUMBER(Raw!G708),TRUE,OR(EXACT(L708,TEXT(M708,"0.00")),EXACT(L708,TEXT(M708,"#,##0.00")))),FALSE)</f>
        <v>1</v>
      </c>
      <c r="P708" s="1" t="str">
        <f>LEN(IF(Raw!A708="","",Raw!A708))&amp;":"&amp;IF(Raw!A708="","",Raw!A708)&amp;"|"&amp;LEN(IF(Raw!B708="","",Raw!B708))&amp;":"&amp;IF(Raw!B708="","",Raw!B708)&amp;"|"&amp;LEN(IF(Raw!C708="","",Raw!C708))&amp;":"&amp;IF(Raw!C708="","",Raw!C708)&amp;"|"&amp;LEN(IF(Raw!D708="","",Raw!D708))&amp;":"&amp;IF(Raw!D708="","",Raw!D708)&amp;"|"&amp;LEN(IF(Raw!E708="","",Raw!E708))&amp;":"&amp;IF(Raw!E708="","",Raw!E708)&amp;"|"&amp;LEN(IF(Raw!F708="","",Raw!F708))&amp;":"&amp;IF(Raw!F708="","",Raw!F708)&amp;"|"&amp;LEN(IF(Raw!G708="","",Raw!G708))&amp;":"&amp;IF(Raw!G708="","",Raw!G708)</f>
        <v>6:L00702|6:T00351|10:2026-01-21|3:P-O|6:Office|4:sale|5:73.08</v>
      </c>
      <c r="Q708" s="1">
        <f>1</f>
        <v>1</v>
      </c>
      <c r="R708" s="1" t="b">
        <f>FALSE</f>
        <v>0</v>
      </c>
      <c r="S708" s="1">
        <f>1</f>
        <v>1</v>
      </c>
      <c r="T708" s="1" t="str">
        <f>IF(AND(Raw!A708="",Raw!B708="",Raw!C708="",Raw!D708="",Raw!E708="",Raw!F708="",Raw!G708=""),"UNUSED",IF(A708="","missing line ID",IF(B708="","missing transaction ID",IF(G708="",IF(C708="","missing date","invalid date"),IF(I708="","unknown product",IF(J708="","conflicting category",IF(NOT(OR(EXACT(K708,"sale"),EXACT(K708,"refund"))),"unknown event",IF(OR(N708="",NOT(O708)),"invalid amount",IF(OR(AND(K708="sale",N708&lt;=0),AND(K708="refund",N708&gt;=0)),"invalid sign","")))))))))</f>
        <v/>
      </c>
      <c r="U708" s="1" t="str">
        <f t="shared" si="85"/>
        <v>INCLUDED</v>
      </c>
      <c r="V708" s="1" t="str">
        <f t="shared" si="86"/>
        <v>2026-01</v>
      </c>
      <c r="W708" s="1">
        <f>IF(AND(U708="INCLUDED",X708&gt;0,EXACT(A708,'AI output'!A708)),1,0)</f>
        <v>1</v>
      </c>
      <c r="X708" s="1">
        <f>708</f>
        <v>708</v>
      </c>
      <c r="Y708" s="1">
        <f>IF(AND(U708="INCLUDED",W708=1),--(NOT(EXACT(A708,'AI output'!A708)))+--(NOT(EXACT(B708,'AI output'!B708)))+--(NOT(EXACT(TEXT(G708,"yyyy-mm-dd"),'AI output'!C708)))+--(NOT(EXACT(H708,'AI output'!D708)))+--(NOT(EXACT(J708,'AI output'!E708)))+--(NOT(EXACT(K708,'AI output'!F708)))+--(N708&lt;&gt;'AI output'!L708)+--(NOT('AI output'!M708)),0)</f>
        <v>0</v>
      </c>
      <c r="Z708" s="1">
        <f t="shared" si="87"/>
        <v>0</v>
      </c>
      <c r="AA708" s="1">
        <f>--EXACT(A708,"L00702")</f>
        <v>1</v>
      </c>
    </row>
    <row r="709" spans="1:27" ht="18.95" customHeight="1">
      <c r="A709" s="1" t="str">
        <f>IF(Raw!A709="","",Raw!A709)</f>
        <v>L00703</v>
      </c>
      <c r="B709" s="1" t="str">
        <f>IF(Raw!B709="","",Raw!B709)</f>
        <v>T00352</v>
      </c>
      <c r="C709" s="1" t="str">
        <f>IF(Raw!C709="","",Raw!C709)</f>
        <v>2026-01-28</v>
      </c>
      <c r="D709" s="1">
        <f t="shared" si="80"/>
        <v>2026</v>
      </c>
      <c r="E709" s="1">
        <f>IFERROR(IF(AND(LEN(C709)=10,MID(C709,5,1)="-",MID(C709,8,1)="-"),VALUE(MID(C709,6,2)),IF(AND(LEN(C709)=11,MID(C709,3,1)="-",MID(C709,7,1)="-"),MATCH(UPPER(MID(C709,4,3)),Guide!$D$7:$D$18,0),0)),0)</f>
        <v>1</v>
      </c>
      <c r="F709" s="1">
        <f t="shared" si="81"/>
        <v>28</v>
      </c>
      <c r="G709" s="9">
        <f t="shared" si="82"/>
        <v>46050</v>
      </c>
      <c r="H709" s="1" t="str">
        <f>IF(Raw!D709="","",Raw!D709)</f>
        <v>P-A</v>
      </c>
      <c r="I709" s="1" t="str">
        <f>IFERROR(IF(EXACT(H709,INDEX(Guide!$A$7:$A$9,MATCH(SUBSTITUTE(SUBSTITUTE(SUBSTITUTE(H709,"~","~~"),"*","~*"),"?","~?"),Guide!$A$7:$A$9,0))),INDEX(Guide!$B$7:$B$9,MATCH(SUBSTITUTE(SUBSTITUTE(SUBSTITUTE(H709,"~","~~"),"*","~*"),"?","~?"),Guide!$A$7:$A$9,0)),""),"")</f>
        <v>Accessories</v>
      </c>
      <c r="J709" s="1" t="str">
        <f>IF(TRIM(Raw!E709)="",I709,IF(UPPER(TRIM(Raw!E709))=UPPER(I709),I709,""))</f>
        <v>Accessories</v>
      </c>
      <c r="K709" s="1" t="str">
        <f>IF(Raw!F709="","",Raw!F709)</f>
        <v>sale</v>
      </c>
      <c r="L709" s="1" t="str">
        <f>IF(LEFT(TRIM(Raw!G709),2)="-$","-"&amp;MID(TRIM(Raw!G709),3,99),IF(LEFT(TRIM(Raw!G709),1)="$",MID(TRIM(Raw!G709),2,99),TRIM(Raw!G709)))</f>
        <v>123.65</v>
      </c>
      <c r="M709" s="1">
        <f t="shared" si="83"/>
        <v>123.65</v>
      </c>
      <c r="N709" s="10">
        <f t="shared" si="84"/>
        <v>12365</v>
      </c>
      <c r="O709" s="1" t="b">
        <f>IFERROR(IF(ISNUMBER(Raw!G709),TRUE,OR(EXACT(L709,TEXT(M709,"0.00")),EXACT(L709,TEXT(M709,"#,##0.00")))),FALSE)</f>
        <v>1</v>
      </c>
      <c r="P709" s="1" t="str">
        <f>LEN(IF(Raw!A709="","",Raw!A709))&amp;":"&amp;IF(Raw!A709="","",Raw!A709)&amp;"|"&amp;LEN(IF(Raw!B709="","",Raw!B709))&amp;":"&amp;IF(Raw!B709="","",Raw!B709)&amp;"|"&amp;LEN(IF(Raw!C709="","",Raw!C709))&amp;":"&amp;IF(Raw!C709="","",Raw!C709)&amp;"|"&amp;LEN(IF(Raw!D709="","",Raw!D709))&amp;":"&amp;IF(Raw!D709="","",Raw!D709)&amp;"|"&amp;LEN(IF(Raw!E709="","",Raw!E709))&amp;":"&amp;IF(Raw!E709="","",Raw!E709)&amp;"|"&amp;LEN(IF(Raw!F709="","",Raw!F709))&amp;":"&amp;IF(Raw!F709="","",Raw!F709)&amp;"|"&amp;LEN(IF(Raw!G709="","",Raw!G709))&amp;":"&amp;IF(Raw!G709="","",Raw!G709)</f>
        <v>6:L00703|6:T00352|10:2026-01-28|3:P-A|11:Accessories|4:sale|6:123.65</v>
      </c>
      <c r="Q709" s="1">
        <f>1</f>
        <v>1</v>
      </c>
      <c r="R709" s="1" t="b">
        <f>FALSE</f>
        <v>0</v>
      </c>
      <c r="S709" s="1">
        <f>1</f>
        <v>1</v>
      </c>
      <c r="T709" s="1" t="str">
        <f>IF(AND(Raw!A709="",Raw!B709="",Raw!C709="",Raw!D709="",Raw!E709="",Raw!F709="",Raw!G709=""),"UNUSED",IF(A709="","missing line ID",IF(B709="","missing transaction ID",IF(G709="",IF(C709="","missing date","invalid date"),IF(I709="","unknown product",IF(J709="","conflicting category",IF(NOT(OR(EXACT(K709,"sale"),EXACT(K709,"refund"))),"unknown event",IF(OR(N709="",NOT(O709)),"invalid amount",IF(OR(AND(K709="sale",N709&lt;=0),AND(K709="refund",N709&gt;=0)),"invalid sign","")))))))))</f>
        <v/>
      </c>
      <c r="U709" s="1" t="str">
        <f t="shared" si="85"/>
        <v>INCLUDED</v>
      </c>
      <c r="V709" s="1" t="str">
        <f t="shared" si="86"/>
        <v>2026-01</v>
      </c>
      <c r="W709" s="1">
        <f>IF(AND(U709="INCLUDED",X709&gt;0,EXACT(A709,'AI output'!A709)),1,0)</f>
        <v>1</v>
      </c>
      <c r="X709" s="1">
        <f>709</f>
        <v>709</v>
      </c>
      <c r="Y709" s="1">
        <f>IF(AND(U709="INCLUDED",W709=1),--(NOT(EXACT(A709,'AI output'!A709)))+--(NOT(EXACT(B709,'AI output'!B709)))+--(NOT(EXACT(TEXT(G709,"yyyy-mm-dd"),'AI output'!C709)))+--(NOT(EXACT(H709,'AI output'!D709)))+--(NOT(EXACT(J709,'AI output'!E709)))+--(NOT(EXACT(K709,'AI output'!F709)))+--(N709&lt;&gt;'AI output'!L709)+--(NOT('AI output'!M709)),0)</f>
        <v>0</v>
      </c>
      <c r="Z709" s="1">
        <f t="shared" si="87"/>
        <v>0</v>
      </c>
      <c r="AA709" s="1">
        <f>--EXACT(A709,"L00703")</f>
        <v>1</v>
      </c>
    </row>
    <row r="710" spans="1:27" ht="18.95" customHeight="1">
      <c r="A710" s="1" t="str">
        <f>IF(Raw!A710="","",Raw!A710)</f>
        <v>L00704</v>
      </c>
      <c r="B710" s="1" t="str">
        <f>IF(Raw!B710="","",Raw!B710)</f>
        <v>T00352</v>
      </c>
      <c r="C710" s="1" t="str">
        <f>IF(Raw!C710="","",Raw!C710)</f>
        <v>2026-01-28</v>
      </c>
      <c r="D710" s="1">
        <f t="shared" si="80"/>
        <v>2026</v>
      </c>
      <c r="E710" s="1">
        <f>IFERROR(IF(AND(LEN(C710)=10,MID(C710,5,1)="-",MID(C710,8,1)="-"),VALUE(MID(C710,6,2)),IF(AND(LEN(C710)=11,MID(C710,3,1)="-",MID(C710,7,1)="-"),MATCH(UPPER(MID(C710,4,3)),Guide!$D$7:$D$18,0),0)),0)</f>
        <v>1</v>
      </c>
      <c r="F710" s="1">
        <f t="shared" si="81"/>
        <v>28</v>
      </c>
      <c r="G710" s="9">
        <f t="shared" si="82"/>
        <v>46050</v>
      </c>
      <c r="H710" s="1" t="str">
        <f>IF(Raw!D710="","",Raw!D710)</f>
        <v>P-H</v>
      </c>
      <c r="I710" s="1" t="str">
        <f>IFERROR(IF(EXACT(H710,INDEX(Guide!$A$7:$A$9,MATCH(SUBSTITUTE(SUBSTITUTE(SUBSTITUTE(H710,"~","~~"),"*","~*"),"?","~?"),Guide!$A$7:$A$9,0))),INDEX(Guide!$B$7:$B$9,MATCH(SUBSTITUTE(SUBSTITUTE(SUBSTITUTE(H710,"~","~~"),"*","~*"),"?","~?"),Guide!$A$7:$A$9,0)),""),"")</f>
        <v>Home</v>
      </c>
      <c r="J710" s="1" t="str">
        <f>IF(TRIM(Raw!E710)="",I710,IF(UPPER(TRIM(Raw!E710))=UPPER(I710),I710,""))</f>
        <v>Home</v>
      </c>
      <c r="K710" s="1" t="str">
        <f>IF(Raw!F710="","",Raw!F710)</f>
        <v>sale</v>
      </c>
      <c r="L710" s="1" t="str">
        <f>IF(LEFT(TRIM(Raw!G710),2)="-$","-"&amp;MID(TRIM(Raw!G710),3,99),IF(LEFT(TRIM(Raw!G710),1)="$",MID(TRIM(Raw!G710),2,99),TRIM(Raw!G710)))</f>
        <v>50.20</v>
      </c>
      <c r="M710" s="1">
        <f t="shared" si="83"/>
        <v>50.2</v>
      </c>
      <c r="N710" s="10">
        <f t="shared" si="84"/>
        <v>5020</v>
      </c>
      <c r="O710" s="1" t="b">
        <f>IFERROR(IF(ISNUMBER(Raw!G710),TRUE,OR(EXACT(L710,TEXT(M710,"0.00")),EXACT(L710,TEXT(M710,"#,##0.00")))),FALSE)</f>
        <v>1</v>
      </c>
      <c r="P710" s="1" t="str">
        <f>LEN(IF(Raw!A710="","",Raw!A710))&amp;":"&amp;IF(Raw!A710="","",Raw!A710)&amp;"|"&amp;LEN(IF(Raw!B710="","",Raw!B710))&amp;":"&amp;IF(Raw!B710="","",Raw!B710)&amp;"|"&amp;LEN(IF(Raw!C710="","",Raw!C710))&amp;":"&amp;IF(Raw!C710="","",Raw!C710)&amp;"|"&amp;LEN(IF(Raw!D710="","",Raw!D710))&amp;":"&amp;IF(Raw!D710="","",Raw!D710)&amp;"|"&amp;LEN(IF(Raw!E710="","",Raw!E710))&amp;":"&amp;IF(Raw!E710="","",Raw!E710)&amp;"|"&amp;LEN(IF(Raw!F710="","",Raw!F710))&amp;":"&amp;IF(Raw!F710="","",Raw!F710)&amp;"|"&amp;LEN(IF(Raw!G710="","",Raw!G710))&amp;":"&amp;IF(Raw!G710="","",Raw!G710)</f>
        <v>6:L00704|6:T00352|10:2026-01-28|3:P-H|4:Home|4:sale|5:50.20</v>
      </c>
      <c r="Q710" s="1">
        <f>1</f>
        <v>1</v>
      </c>
      <c r="R710" s="1" t="b">
        <f>FALSE</f>
        <v>0</v>
      </c>
      <c r="S710" s="1">
        <f>1</f>
        <v>1</v>
      </c>
      <c r="T710" s="1" t="str">
        <f>IF(AND(Raw!A710="",Raw!B710="",Raw!C710="",Raw!D710="",Raw!E710="",Raw!F710="",Raw!G710=""),"UNUSED",IF(A710="","missing line ID",IF(B710="","missing transaction ID",IF(G710="",IF(C710="","missing date","invalid date"),IF(I710="","unknown product",IF(J710="","conflicting category",IF(NOT(OR(EXACT(K710,"sale"),EXACT(K710,"refund"))),"unknown event",IF(OR(N710="",NOT(O710)),"invalid amount",IF(OR(AND(K710="sale",N710&lt;=0),AND(K710="refund",N710&gt;=0)),"invalid sign","")))))))))</f>
        <v/>
      </c>
      <c r="U710" s="1" t="str">
        <f t="shared" si="85"/>
        <v>INCLUDED</v>
      </c>
      <c r="V710" s="1" t="str">
        <f t="shared" si="86"/>
        <v>2026-01</v>
      </c>
      <c r="W710" s="1">
        <f>IF(AND(U710="INCLUDED",X710&gt;0,EXACT(A710,'AI output'!A710)),1,0)</f>
        <v>1</v>
      </c>
      <c r="X710" s="1">
        <f>710</f>
        <v>710</v>
      </c>
      <c r="Y710" s="1">
        <f>IF(AND(U710="INCLUDED",W710=1),--(NOT(EXACT(A710,'AI output'!A710)))+--(NOT(EXACT(B710,'AI output'!B710)))+--(NOT(EXACT(TEXT(G710,"yyyy-mm-dd"),'AI output'!C710)))+--(NOT(EXACT(H710,'AI output'!D710)))+--(NOT(EXACT(J710,'AI output'!E710)))+--(NOT(EXACT(K710,'AI output'!F710)))+--(N710&lt;&gt;'AI output'!L710)+--(NOT('AI output'!M710)),0)</f>
        <v>0</v>
      </c>
      <c r="Z710" s="1">
        <f t="shared" si="87"/>
        <v>0</v>
      </c>
      <c r="AA710" s="1">
        <f>--EXACT(A710,"L00704")</f>
        <v>1</v>
      </c>
    </row>
    <row r="711" spans="1:27" ht="18.95" customHeight="1">
      <c r="A711" s="1" t="str">
        <f>IF(Raw!A711="","",Raw!A711)</f>
        <v>L00705</v>
      </c>
      <c r="B711" s="1" t="str">
        <f>IF(Raw!B711="","",Raw!B711)</f>
        <v>T00353</v>
      </c>
      <c r="C711" s="1" t="str">
        <f>IF(Raw!C711="","",Raw!C711)</f>
        <v>2026-02-04</v>
      </c>
      <c r="D711" s="1">
        <f t="shared" ref="D711:D774" si="88">IFERROR(IF(AND(LEN(C711)=10,MID(C711,5,1)="-",MID(C711,8,1)="-"),VALUE(LEFT(C711,4)),IF(AND(LEN(C711)=11,MID(C711,3,1)="-",MID(C711,7,1)="-"),VALUE(RIGHT(C711,4)),0)),0)</f>
        <v>2026</v>
      </c>
      <c r="E711" s="1">
        <f>IFERROR(IF(AND(LEN(C711)=10,MID(C711,5,1)="-",MID(C711,8,1)="-"),VALUE(MID(C711,6,2)),IF(AND(LEN(C711)=11,MID(C711,3,1)="-",MID(C711,7,1)="-"),MATCH(UPPER(MID(C711,4,3)),Guide!$D$7:$D$18,0),0)),0)</f>
        <v>2</v>
      </c>
      <c r="F711" s="1">
        <f t="shared" ref="F711:F774" si="89">IFERROR(IF(AND(LEN(C711)=10,MID(C711,5,1)="-",MID(C711,8,1)="-"),VALUE(RIGHT(C711,2)),IF(AND(LEN(C711)=11,MID(C711,3,1)="-",MID(C711,7,1)="-"),VALUE(LEFT(C711,2)),0)),0)</f>
        <v>4</v>
      </c>
      <c r="G711" s="9">
        <f t="shared" ref="G711:G774" si="90">IFERROR(IF(AND(D711&gt;=1900,D711&lt;=9999,YEAR(DATE(D711,E711,F711))=D711,MONTH(DATE(D711,E711,F711))=E711,DAY(DATE(D711,E711,F711))=F711),DATE(D711,E711,F711),""),"")</f>
        <v>46057</v>
      </c>
      <c r="H711" s="1" t="str">
        <f>IF(Raw!D711="","",Raw!D711)</f>
        <v>P-O</v>
      </c>
      <c r="I711" s="1" t="str">
        <f>IFERROR(IF(EXACT(H711,INDEX(Guide!$A$7:$A$9,MATCH(SUBSTITUTE(SUBSTITUTE(SUBSTITUTE(H711,"~","~~"),"*","~*"),"?","~?"),Guide!$A$7:$A$9,0))),INDEX(Guide!$B$7:$B$9,MATCH(SUBSTITUTE(SUBSTITUTE(SUBSTITUTE(H711,"~","~~"),"*","~*"),"?","~?"),Guide!$A$7:$A$9,0)),""),"")</f>
        <v>Office</v>
      </c>
      <c r="J711" s="1" t="str">
        <f>IF(TRIM(Raw!E711)="",I711,IF(UPPER(TRIM(Raw!E711))=UPPER(I711),I711,""))</f>
        <v>Office</v>
      </c>
      <c r="K711" s="1" t="str">
        <f>IF(Raw!F711="","",Raw!F711)</f>
        <v>sale</v>
      </c>
      <c r="L711" s="1" t="str">
        <f>IF(LEFT(TRIM(Raw!G711),2)="-$","-"&amp;MID(TRIM(Raw!G711),3,99),IF(LEFT(TRIM(Raw!G711),1)="$",MID(TRIM(Raw!G711),2,99),TRIM(Raw!G711)))</f>
        <v>101.88</v>
      </c>
      <c r="M711" s="1">
        <f t="shared" ref="M711:M774" si="91">IFERROR(VALUE(L711),"")</f>
        <v>101.88</v>
      </c>
      <c r="N711" s="10">
        <f t="shared" ref="N711:N774" si="92">IF(AND(ISNUMBER(M711),ABS(M711*100-ROUND(M711*100,0))&lt;0.0000001),ROUND(M711*100,0),"")</f>
        <v>10188</v>
      </c>
      <c r="O711" s="1" t="b">
        <f>IFERROR(IF(ISNUMBER(Raw!G711),TRUE,OR(EXACT(L711,TEXT(M711,"0.00")),EXACT(L711,TEXT(M711,"#,##0.00")))),FALSE)</f>
        <v>1</v>
      </c>
      <c r="P711" s="1" t="str">
        <f>LEN(IF(Raw!A711="","",Raw!A711))&amp;":"&amp;IF(Raw!A711="","",Raw!A711)&amp;"|"&amp;LEN(IF(Raw!B711="","",Raw!B711))&amp;":"&amp;IF(Raw!B711="","",Raw!B711)&amp;"|"&amp;LEN(IF(Raw!C711="","",Raw!C711))&amp;":"&amp;IF(Raw!C711="","",Raw!C711)&amp;"|"&amp;LEN(IF(Raw!D711="","",Raw!D711))&amp;":"&amp;IF(Raw!D711="","",Raw!D711)&amp;"|"&amp;LEN(IF(Raw!E711="","",Raw!E711))&amp;":"&amp;IF(Raw!E711="","",Raw!E711)&amp;"|"&amp;LEN(IF(Raw!F711="","",Raw!F711))&amp;":"&amp;IF(Raw!F711="","",Raw!F711)&amp;"|"&amp;LEN(IF(Raw!G711="","",Raw!G711))&amp;":"&amp;IF(Raw!G711="","",Raw!G711)</f>
        <v>6:L00705|6:T00353|10:2026-02-04|3:P-O|6:Office|4:sale|6:101.88</v>
      </c>
      <c r="Q711" s="1">
        <f>1</f>
        <v>1</v>
      </c>
      <c r="R711" s="1" t="b">
        <f>FALSE</f>
        <v>0</v>
      </c>
      <c r="S711" s="1">
        <f>1</f>
        <v>1</v>
      </c>
      <c r="T711" s="1" t="str">
        <f>IF(AND(Raw!A711="",Raw!B711="",Raw!C711="",Raw!D711="",Raw!E711="",Raw!F711="",Raw!G711=""),"UNUSED",IF(A711="","missing line ID",IF(B711="","missing transaction ID",IF(G711="",IF(C711="","missing date","invalid date"),IF(I711="","unknown product",IF(J711="","conflicting category",IF(NOT(OR(EXACT(K711,"sale"),EXACT(K711,"refund"))),"unknown event",IF(OR(N711="",NOT(O711)),"invalid amount",IF(OR(AND(K711="sale",N711&lt;=0),AND(K711="refund",N711&gt;=0)),"invalid sign","")))))))))</f>
        <v/>
      </c>
      <c r="U711" s="1" t="str">
        <f t="shared" ref="U711:U774" si="93">IF(T711="UNUSED","UNUSED",IF(R711,"QUARANTINE",IF(S711&gt;1,"DUPLICATE",IF(T711&lt;&gt;"","QUARANTINE","INCLUDED"))))</f>
        <v>INCLUDED</v>
      </c>
      <c r="V711" s="1" t="str">
        <f t="shared" ref="V711:V774" si="94">IF(G711="","",TEXT(G711,"yyyy-mm"))</f>
        <v>2026-02</v>
      </c>
      <c r="W711" s="1">
        <f>IF(AND(U711="INCLUDED",X711&gt;0,EXACT(A711,'AI output'!A711)),1,0)</f>
        <v>1</v>
      </c>
      <c r="X711" s="1">
        <f>711</f>
        <v>711</v>
      </c>
      <c r="Y711" s="1">
        <f>IF(AND(U711="INCLUDED",W711=1),--(NOT(EXACT(A711,'AI output'!A711)))+--(NOT(EXACT(B711,'AI output'!B711)))+--(NOT(EXACT(TEXT(G711,"yyyy-mm-dd"),'AI output'!C711)))+--(NOT(EXACT(H711,'AI output'!D711)))+--(NOT(EXACT(J711,'AI output'!E711)))+--(NOT(EXACT(K711,'AI output'!F711)))+--(N711&lt;&gt;'AI output'!L711)+--(NOT('AI output'!M711)),0)</f>
        <v>0</v>
      </c>
      <c r="Z711" s="1">
        <f t="shared" ref="Z711:Z774" si="95">IF(U711="INCLUDED",IF(OR(W711&lt;&gt;1,Y711&lt;&gt;0),1,0),0)</f>
        <v>0</v>
      </c>
      <c r="AA711" s="1">
        <f>--EXACT(A711,"L00705")</f>
        <v>1</v>
      </c>
    </row>
    <row r="712" spans="1:27" ht="18.95" customHeight="1">
      <c r="A712" s="1" t="str">
        <f>IF(Raw!A712="","",Raw!A712)</f>
        <v>L00706</v>
      </c>
      <c r="B712" s="1" t="str">
        <f>IF(Raw!B712="","",Raw!B712)</f>
        <v>T00353</v>
      </c>
      <c r="C712" s="1" t="str">
        <f>IF(Raw!C712="","",Raw!C712)</f>
        <v>2026-02-04</v>
      </c>
      <c r="D712" s="1">
        <f t="shared" si="88"/>
        <v>2026</v>
      </c>
      <c r="E712" s="1">
        <f>IFERROR(IF(AND(LEN(C712)=10,MID(C712,5,1)="-",MID(C712,8,1)="-"),VALUE(MID(C712,6,2)),IF(AND(LEN(C712)=11,MID(C712,3,1)="-",MID(C712,7,1)="-"),MATCH(UPPER(MID(C712,4,3)),Guide!$D$7:$D$18,0),0)),0)</f>
        <v>2</v>
      </c>
      <c r="F712" s="1">
        <f t="shared" si="89"/>
        <v>4</v>
      </c>
      <c r="G712" s="9">
        <f t="shared" si="90"/>
        <v>46057</v>
      </c>
      <c r="H712" s="1" t="str">
        <f>IF(Raw!D712="","",Raw!D712)</f>
        <v>P-A</v>
      </c>
      <c r="I712" s="1" t="str">
        <f>IFERROR(IF(EXACT(H712,INDEX(Guide!$A$7:$A$9,MATCH(SUBSTITUTE(SUBSTITUTE(SUBSTITUTE(H712,"~","~~"),"*","~*"),"?","~?"),Guide!$A$7:$A$9,0))),INDEX(Guide!$B$7:$B$9,MATCH(SUBSTITUTE(SUBSTITUTE(SUBSTITUTE(H712,"~","~~"),"*","~*"),"?","~?"),Guide!$A$7:$A$9,0)),""),"")</f>
        <v>Accessories</v>
      </c>
      <c r="J712" s="1" t="str">
        <f>IF(TRIM(Raw!E712)="",I712,IF(UPPER(TRIM(Raw!E712))=UPPER(I712),I712,""))</f>
        <v>Accessories</v>
      </c>
      <c r="K712" s="1" t="str">
        <f>IF(Raw!F712="","",Raw!F712)</f>
        <v>sale</v>
      </c>
      <c r="L712" s="1" t="str">
        <f>IF(LEFT(TRIM(Raw!G712),2)="-$","-"&amp;MID(TRIM(Raw!G712),3,99),IF(LEFT(TRIM(Raw!G712),1)="$",MID(TRIM(Raw!G712),2,99),TRIM(Raw!G712)))</f>
        <v>25.84</v>
      </c>
      <c r="M712" s="1">
        <f t="shared" si="91"/>
        <v>25.84</v>
      </c>
      <c r="N712" s="10">
        <f t="shared" si="92"/>
        <v>2584</v>
      </c>
      <c r="O712" s="1" t="b">
        <f>IFERROR(IF(ISNUMBER(Raw!G712),TRUE,OR(EXACT(L712,TEXT(M712,"0.00")),EXACT(L712,TEXT(M712,"#,##0.00")))),FALSE)</f>
        <v>1</v>
      </c>
      <c r="P712" s="1" t="str">
        <f>LEN(IF(Raw!A712="","",Raw!A712))&amp;":"&amp;IF(Raw!A712="","",Raw!A712)&amp;"|"&amp;LEN(IF(Raw!B712="","",Raw!B712))&amp;":"&amp;IF(Raw!B712="","",Raw!B712)&amp;"|"&amp;LEN(IF(Raw!C712="","",Raw!C712))&amp;":"&amp;IF(Raw!C712="","",Raw!C712)&amp;"|"&amp;LEN(IF(Raw!D712="","",Raw!D712))&amp;":"&amp;IF(Raw!D712="","",Raw!D712)&amp;"|"&amp;LEN(IF(Raw!E712="","",Raw!E712))&amp;":"&amp;IF(Raw!E712="","",Raw!E712)&amp;"|"&amp;LEN(IF(Raw!F712="","",Raw!F712))&amp;":"&amp;IF(Raw!F712="","",Raw!F712)&amp;"|"&amp;LEN(IF(Raw!G712="","",Raw!G712))&amp;":"&amp;IF(Raw!G712="","",Raw!G712)</f>
        <v>6:L00706|6:T00353|10:2026-02-04|3:P-A|11:Accessories|4:sale|5:25.84</v>
      </c>
      <c r="Q712" s="1">
        <f>1</f>
        <v>1</v>
      </c>
      <c r="R712" s="1" t="b">
        <f>FALSE</f>
        <v>0</v>
      </c>
      <c r="S712" s="1">
        <f>1</f>
        <v>1</v>
      </c>
      <c r="T712" s="1" t="str">
        <f>IF(AND(Raw!A712="",Raw!B712="",Raw!C712="",Raw!D712="",Raw!E712="",Raw!F712="",Raw!G712=""),"UNUSED",IF(A712="","missing line ID",IF(B712="","missing transaction ID",IF(G712="",IF(C712="","missing date","invalid date"),IF(I712="","unknown product",IF(J712="","conflicting category",IF(NOT(OR(EXACT(K712,"sale"),EXACT(K712,"refund"))),"unknown event",IF(OR(N712="",NOT(O712)),"invalid amount",IF(OR(AND(K712="sale",N712&lt;=0),AND(K712="refund",N712&gt;=0)),"invalid sign","")))))))))</f>
        <v/>
      </c>
      <c r="U712" s="1" t="str">
        <f t="shared" si="93"/>
        <v>INCLUDED</v>
      </c>
      <c r="V712" s="1" t="str">
        <f t="shared" si="94"/>
        <v>2026-02</v>
      </c>
      <c r="W712" s="1">
        <f>IF(AND(U712="INCLUDED",X712&gt;0,EXACT(A712,'AI output'!A712)),1,0)</f>
        <v>1</v>
      </c>
      <c r="X712" s="1">
        <f>712</f>
        <v>712</v>
      </c>
      <c r="Y712" s="1">
        <f>IF(AND(U712="INCLUDED",W712=1),--(NOT(EXACT(A712,'AI output'!A712)))+--(NOT(EXACT(B712,'AI output'!B712)))+--(NOT(EXACT(TEXT(G712,"yyyy-mm-dd"),'AI output'!C712)))+--(NOT(EXACT(H712,'AI output'!D712)))+--(NOT(EXACT(J712,'AI output'!E712)))+--(NOT(EXACT(K712,'AI output'!F712)))+--(N712&lt;&gt;'AI output'!L712)+--(NOT('AI output'!M712)),0)</f>
        <v>0</v>
      </c>
      <c r="Z712" s="1">
        <f t="shared" si="95"/>
        <v>0</v>
      </c>
      <c r="AA712" s="1">
        <f>--EXACT(A712,"L00706")</f>
        <v>1</v>
      </c>
    </row>
    <row r="713" spans="1:27" ht="18.95" customHeight="1">
      <c r="A713" s="1" t="str">
        <f>IF(Raw!A713="","",Raw!A713)</f>
        <v>L00707</v>
      </c>
      <c r="B713" s="1" t="str">
        <f>IF(Raw!B713="","",Raw!B713)</f>
        <v>T00354</v>
      </c>
      <c r="C713" s="1" t="str">
        <f>IF(Raw!C713="","",Raw!C713)</f>
        <v>2026-02-11</v>
      </c>
      <c r="D713" s="1">
        <f t="shared" si="88"/>
        <v>2026</v>
      </c>
      <c r="E713" s="1">
        <f>IFERROR(IF(AND(LEN(C713)=10,MID(C713,5,1)="-",MID(C713,8,1)="-"),VALUE(MID(C713,6,2)),IF(AND(LEN(C713)=11,MID(C713,3,1)="-",MID(C713,7,1)="-"),MATCH(UPPER(MID(C713,4,3)),Guide!$D$7:$D$18,0),0)),0)</f>
        <v>2</v>
      </c>
      <c r="F713" s="1">
        <f t="shared" si="89"/>
        <v>11</v>
      </c>
      <c r="G713" s="9">
        <f t="shared" si="90"/>
        <v>46064</v>
      </c>
      <c r="H713" s="1" t="str">
        <f>IF(Raw!D713="","",Raw!D713)</f>
        <v>P-H</v>
      </c>
      <c r="I713" s="1" t="str">
        <f>IFERROR(IF(EXACT(H713,INDEX(Guide!$A$7:$A$9,MATCH(SUBSTITUTE(SUBSTITUTE(SUBSTITUTE(H713,"~","~~"),"*","~*"),"?","~?"),Guide!$A$7:$A$9,0))),INDEX(Guide!$B$7:$B$9,MATCH(SUBSTITUTE(SUBSTITUTE(SUBSTITUTE(H713,"~","~~"),"*","~*"),"?","~?"),Guide!$A$7:$A$9,0)),""),"")</f>
        <v>Home</v>
      </c>
      <c r="J713" s="1" t="str">
        <f>IF(TRIM(Raw!E713)="",I713,IF(UPPER(TRIM(Raw!E713))=UPPER(I713),I713,""))</f>
        <v>Home</v>
      </c>
      <c r="K713" s="1" t="str">
        <f>IF(Raw!F713="","",Raw!F713)</f>
        <v>sale</v>
      </c>
      <c r="L713" s="1" t="str">
        <f>IF(LEFT(TRIM(Raw!G713),2)="-$","-"&amp;MID(TRIM(Raw!G713),3,99),IF(LEFT(TRIM(Raw!G713),1)="$",MID(TRIM(Raw!G713),2,99),TRIM(Raw!G713)))</f>
        <v>78.63</v>
      </c>
      <c r="M713" s="1">
        <f t="shared" si="91"/>
        <v>78.63</v>
      </c>
      <c r="N713" s="10">
        <f t="shared" si="92"/>
        <v>7863</v>
      </c>
      <c r="O713" s="1" t="b">
        <f>IFERROR(IF(ISNUMBER(Raw!G713),TRUE,OR(EXACT(L713,TEXT(M713,"0.00")),EXACT(L713,TEXT(M713,"#,##0.00")))),FALSE)</f>
        <v>1</v>
      </c>
      <c r="P713" s="1" t="str">
        <f>LEN(IF(Raw!A713="","",Raw!A713))&amp;":"&amp;IF(Raw!A713="","",Raw!A713)&amp;"|"&amp;LEN(IF(Raw!B713="","",Raw!B713))&amp;":"&amp;IF(Raw!B713="","",Raw!B713)&amp;"|"&amp;LEN(IF(Raw!C713="","",Raw!C713))&amp;":"&amp;IF(Raw!C713="","",Raw!C713)&amp;"|"&amp;LEN(IF(Raw!D713="","",Raw!D713))&amp;":"&amp;IF(Raw!D713="","",Raw!D713)&amp;"|"&amp;LEN(IF(Raw!E713="","",Raw!E713))&amp;":"&amp;IF(Raw!E713="","",Raw!E713)&amp;"|"&amp;LEN(IF(Raw!F713="","",Raw!F713))&amp;":"&amp;IF(Raw!F713="","",Raw!F713)&amp;"|"&amp;LEN(IF(Raw!G713="","",Raw!G713))&amp;":"&amp;IF(Raw!G713="","",Raw!G713)</f>
        <v>6:L00707|6:T00354|10:2026-02-11|3:P-H|4:Home|4:sale|5:78.63</v>
      </c>
      <c r="Q713" s="1">
        <f>1</f>
        <v>1</v>
      </c>
      <c r="R713" s="1" t="b">
        <f>FALSE</f>
        <v>0</v>
      </c>
      <c r="S713" s="1">
        <f>1</f>
        <v>1</v>
      </c>
      <c r="T713" s="1" t="str">
        <f>IF(AND(Raw!A713="",Raw!B713="",Raw!C713="",Raw!D713="",Raw!E713="",Raw!F713="",Raw!G713=""),"UNUSED",IF(A713="","missing line ID",IF(B713="","missing transaction ID",IF(G713="",IF(C713="","missing date","invalid date"),IF(I713="","unknown product",IF(J713="","conflicting category",IF(NOT(OR(EXACT(K713,"sale"),EXACT(K713,"refund"))),"unknown event",IF(OR(N713="",NOT(O713)),"invalid amount",IF(OR(AND(K713="sale",N713&lt;=0),AND(K713="refund",N713&gt;=0)),"invalid sign","")))))))))</f>
        <v/>
      </c>
      <c r="U713" s="1" t="str">
        <f t="shared" si="93"/>
        <v>INCLUDED</v>
      </c>
      <c r="V713" s="1" t="str">
        <f t="shared" si="94"/>
        <v>2026-02</v>
      </c>
      <c r="W713" s="1">
        <f>IF(AND(U713="INCLUDED",X713&gt;0,EXACT(A713,'AI output'!A713)),1,0)</f>
        <v>1</v>
      </c>
      <c r="X713" s="1">
        <f>713</f>
        <v>713</v>
      </c>
      <c r="Y713" s="1">
        <f>IF(AND(U713="INCLUDED",W713=1),--(NOT(EXACT(A713,'AI output'!A713)))+--(NOT(EXACT(B713,'AI output'!B713)))+--(NOT(EXACT(TEXT(G713,"yyyy-mm-dd"),'AI output'!C713)))+--(NOT(EXACT(H713,'AI output'!D713)))+--(NOT(EXACT(J713,'AI output'!E713)))+--(NOT(EXACT(K713,'AI output'!F713)))+--(N713&lt;&gt;'AI output'!L713)+--(NOT('AI output'!M713)),0)</f>
        <v>0</v>
      </c>
      <c r="Z713" s="1">
        <f t="shared" si="95"/>
        <v>0</v>
      </c>
      <c r="AA713" s="1">
        <f>--EXACT(A713,"L00707")</f>
        <v>1</v>
      </c>
    </row>
    <row r="714" spans="1:27" ht="18.95" customHeight="1">
      <c r="A714" s="1" t="str">
        <f>IF(Raw!A714="","",Raw!A714)</f>
        <v>L00708</v>
      </c>
      <c r="B714" s="1" t="str">
        <f>IF(Raw!B714="","",Raw!B714)</f>
        <v>T00354</v>
      </c>
      <c r="C714" s="1" t="str">
        <f>IF(Raw!C714="","",Raw!C714)</f>
        <v>2026-02-11</v>
      </c>
      <c r="D714" s="1">
        <f t="shared" si="88"/>
        <v>2026</v>
      </c>
      <c r="E714" s="1">
        <f>IFERROR(IF(AND(LEN(C714)=10,MID(C714,5,1)="-",MID(C714,8,1)="-"),VALUE(MID(C714,6,2)),IF(AND(LEN(C714)=11,MID(C714,3,1)="-",MID(C714,7,1)="-"),MATCH(UPPER(MID(C714,4,3)),Guide!$D$7:$D$18,0),0)),0)</f>
        <v>2</v>
      </c>
      <c r="F714" s="1">
        <f t="shared" si="89"/>
        <v>11</v>
      </c>
      <c r="G714" s="9">
        <f t="shared" si="90"/>
        <v>46064</v>
      </c>
      <c r="H714" s="1" t="str">
        <f>IF(Raw!D714="","",Raw!D714)</f>
        <v>P-O</v>
      </c>
      <c r="I714" s="1" t="str">
        <f>IFERROR(IF(EXACT(H714,INDEX(Guide!$A$7:$A$9,MATCH(SUBSTITUTE(SUBSTITUTE(SUBSTITUTE(H714,"~","~~"),"*","~*"),"?","~?"),Guide!$A$7:$A$9,0))),INDEX(Guide!$B$7:$B$9,MATCH(SUBSTITUTE(SUBSTITUTE(SUBSTITUTE(H714,"~","~~"),"*","~*"),"?","~?"),Guide!$A$7:$A$9,0)),""),"")</f>
        <v>Office</v>
      </c>
      <c r="J714" s="1" t="str">
        <f>IF(TRIM(Raw!E714)="",I714,IF(UPPER(TRIM(Raw!E714))=UPPER(I714),I714,""))</f>
        <v>Office</v>
      </c>
      <c r="K714" s="1" t="str">
        <f>IF(Raw!F714="","",Raw!F714)</f>
        <v>sale</v>
      </c>
      <c r="L714" s="1" t="str">
        <f>IF(LEFT(TRIM(Raw!G714),2)="-$","-"&amp;MID(TRIM(Raw!G714),3,99),IF(LEFT(TRIM(Raw!G714),1)="$",MID(TRIM(Raw!G714),2,99),TRIM(Raw!G714)))</f>
        <v>132.90</v>
      </c>
      <c r="M714" s="1">
        <f t="shared" si="91"/>
        <v>132.9</v>
      </c>
      <c r="N714" s="10">
        <f t="shared" si="92"/>
        <v>13290</v>
      </c>
      <c r="O714" s="1" t="b">
        <f>IFERROR(IF(ISNUMBER(Raw!G714),TRUE,OR(EXACT(L714,TEXT(M714,"0.00")),EXACT(L714,TEXT(M714,"#,##0.00")))),FALSE)</f>
        <v>1</v>
      </c>
      <c r="P714" s="1" t="str">
        <f>LEN(IF(Raw!A714="","",Raw!A714))&amp;":"&amp;IF(Raw!A714="","",Raw!A714)&amp;"|"&amp;LEN(IF(Raw!B714="","",Raw!B714))&amp;":"&amp;IF(Raw!B714="","",Raw!B714)&amp;"|"&amp;LEN(IF(Raw!C714="","",Raw!C714))&amp;":"&amp;IF(Raw!C714="","",Raw!C714)&amp;"|"&amp;LEN(IF(Raw!D714="","",Raw!D714))&amp;":"&amp;IF(Raw!D714="","",Raw!D714)&amp;"|"&amp;LEN(IF(Raw!E714="","",Raw!E714))&amp;":"&amp;IF(Raw!E714="","",Raw!E714)&amp;"|"&amp;LEN(IF(Raw!F714="","",Raw!F714))&amp;":"&amp;IF(Raw!F714="","",Raw!F714)&amp;"|"&amp;LEN(IF(Raw!G714="","",Raw!G714))&amp;":"&amp;IF(Raw!G714="","",Raw!G714)</f>
        <v>6:L00708|6:T00354|10:2026-02-11|3:P-O|6:Office|4:sale|6:132.90</v>
      </c>
      <c r="Q714" s="1">
        <f>2</f>
        <v>2</v>
      </c>
      <c r="R714" s="1" t="b">
        <f>OR(NOT(EXACT(P714,P1995)))</f>
        <v>0</v>
      </c>
      <c r="S714" s="1">
        <f>1</f>
        <v>1</v>
      </c>
      <c r="T714" s="1" t="str">
        <f>IF(AND(Raw!A714="",Raw!B714="",Raw!C714="",Raw!D714="",Raw!E714="",Raw!F714="",Raw!G714=""),"UNUSED",IF(A714="","missing line ID",IF(B714="","missing transaction ID",IF(G714="",IF(C714="","missing date","invalid date"),IF(I714="","unknown product",IF(J714="","conflicting category",IF(NOT(OR(EXACT(K714,"sale"),EXACT(K714,"refund"))),"unknown event",IF(OR(N714="",NOT(O714)),"invalid amount",IF(OR(AND(K714="sale",N714&lt;=0),AND(K714="refund",N714&gt;=0)),"invalid sign","")))))))))</f>
        <v/>
      </c>
      <c r="U714" s="1" t="str">
        <f t="shared" si="93"/>
        <v>INCLUDED</v>
      </c>
      <c r="V714" s="1" t="str">
        <f t="shared" si="94"/>
        <v>2026-02</v>
      </c>
      <c r="W714" s="1">
        <f>IF(AND(U714="INCLUDED",X714&gt;0,EXACT(A714,'AI output'!A714)),1,0)</f>
        <v>1</v>
      </c>
      <c r="X714" s="1">
        <f>714</f>
        <v>714</v>
      </c>
      <c r="Y714" s="1">
        <f>IF(AND(U714="INCLUDED",W714=1),--(NOT(EXACT(A714,'AI output'!A714)))+--(NOT(EXACT(B714,'AI output'!B714)))+--(NOT(EXACT(TEXT(G714,"yyyy-mm-dd"),'AI output'!C714)))+--(NOT(EXACT(H714,'AI output'!D714)))+--(NOT(EXACT(J714,'AI output'!E714)))+--(NOT(EXACT(K714,'AI output'!F714)))+--(N714&lt;&gt;'AI output'!L714)+--(NOT('AI output'!M714)),0)</f>
        <v>0</v>
      </c>
      <c r="Z714" s="1">
        <f t="shared" si="95"/>
        <v>0</v>
      </c>
      <c r="AA714" s="1">
        <f>--EXACT(A714,"L00708")</f>
        <v>1</v>
      </c>
    </row>
    <row r="715" spans="1:27" ht="18.95" customHeight="1">
      <c r="A715" s="1" t="str">
        <f>IF(Raw!A715="","",Raw!A715)</f>
        <v>L00709</v>
      </c>
      <c r="B715" s="1" t="str">
        <f>IF(Raw!B715="","",Raw!B715)</f>
        <v>T00355</v>
      </c>
      <c r="C715" s="1" t="str">
        <f>IF(Raw!C715="","",Raw!C715)</f>
        <v>2026-02-18</v>
      </c>
      <c r="D715" s="1">
        <f t="shared" si="88"/>
        <v>2026</v>
      </c>
      <c r="E715" s="1">
        <f>IFERROR(IF(AND(LEN(C715)=10,MID(C715,5,1)="-",MID(C715,8,1)="-"),VALUE(MID(C715,6,2)),IF(AND(LEN(C715)=11,MID(C715,3,1)="-",MID(C715,7,1)="-"),MATCH(UPPER(MID(C715,4,3)),Guide!$D$7:$D$18,0),0)),0)</f>
        <v>2</v>
      </c>
      <c r="F715" s="1">
        <f t="shared" si="89"/>
        <v>18</v>
      </c>
      <c r="G715" s="9">
        <f t="shared" si="90"/>
        <v>46071</v>
      </c>
      <c r="H715" s="1" t="str">
        <f>IF(Raw!D715="","",Raw!D715)</f>
        <v>P-A</v>
      </c>
      <c r="I715" s="1" t="str">
        <f>IFERROR(IF(EXACT(H715,INDEX(Guide!$A$7:$A$9,MATCH(SUBSTITUTE(SUBSTITUTE(SUBSTITUTE(H715,"~","~~"),"*","~*"),"?","~?"),Guide!$A$7:$A$9,0))),INDEX(Guide!$B$7:$B$9,MATCH(SUBSTITUTE(SUBSTITUTE(SUBSTITUTE(H715,"~","~~"),"*","~*"),"?","~?"),Guide!$A$7:$A$9,0)),""),"")</f>
        <v>Accessories</v>
      </c>
      <c r="J715" s="1" t="str">
        <f>IF(TRIM(Raw!E715)="",I715,IF(UPPER(TRIM(Raw!E715))=UPPER(I715),I715,""))</f>
        <v>Accessories</v>
      </c>
      <c r="K715" s="1" t="str">
        <f>IF(Raw!F715="","",Raw!F715)</f>
        <v>sale</v>
      </c>
      <c r="L715" s="1" t="str">
        <f>IF(LEFT(TRIM(Raw!G715),2)="-$","-"&amp;MID(TRIM(Raw!G715),3,99),IF(LEFT(TRIM(Raw!G715),1)="$",MID(TRIM(Raw!G715),2,99),TRIM(Raw!G715)))</f>
        <v>53.90</v>
      </c>
      <c r="M715" s="1">
        <f t="shared" si="91"/>
        <v>53.9</v>
      </c>
      <c r="N715" s="10">
        <f t="shared" si="92"/>
        <v>5390</v>
      </c>
      <c r="O715" s="1" t="b">
        <f>IFERROR(IF(ISNUMBER(Raw!G715),TRUE,OR(EXACT(L715,TEXT(M715,"0.00")),EXACT(L715,TEXT(M715,"#,##0.00")))),FALSE)</f>
        <v>1</v>
      </c>
      <c r="P715" s="1" t="str">
        <f>LEN(IF(Raw!A715="","",Raw!A715))&amp;":"&amp;IF(Raw!A715="","",Raw!A715)&amp;"|"&amp;LEN(IF(Raw!B715="","",Raw!B715))&amp;":"&amp;IF(Raw!B715="","",Raw!B715)&amp;"|"&amp;LEN(IF(Raw!C715="","",Raw!C715))&amp;":"&amp;IF(Raw!C715="","",Raw!C715)&amp;"|"&amp;LEN(IF(Raw!D715="","",Raw!D715))&amp;":"&amp;IF(Raw!D715="","",Raw!D715)&amp;"|"&amp;LEN(IF(Raw!E715="","",Raw!E715))&amp;":"&amp;IF(Raw!E715="","",Raw!E715)&amp;"|"&amp;LEN(IF(Raw!F715="","",Raw!F715))&amp;":"&amp;IF(Raw!F715="","",Raw!F715)&amp;"|"&amp;LEN(IF(Raw!G715="","",Raw!G715))&amp;":"&amp;IF(Raw!G715="","",Raw!G715)</f>
        <v>6:L00709|6:T00355|10:2026-02-18|3:P-A|11:Accessories|4:sale|5:53.90</v>
      </c>
      <c r="Q715" s="1">
        <f>1</f>
        <v>1</v>
      </c>
      <c r="R715" s="1" t="b">
        <f>FALSE</f>
        <v>0</v>
      </c>
      <c r="S715" s="1">
        <f>1</f>
        <v>1</v>
      </c>
      <c r="T715" s="1" t="str">
        <f>IF(AND(Raw!A715="",Raw!B715="",Raw!C715="",Raw!D715="",Raw!E715="",Raw!F715="",Raw!G715=""),"UNUSED",IF(A715="","missing line ID",IF(B715="","missing transaction ID",IF(G715="",IF(C715="","missing date","invalid date"),IF(I715="","unknown product",IF(J715="","conflicting category",IF(NOT(OR(EXACT(K715,"sale"),EXACT(K715,"refund"))),"unknown event",IF(OR(N715="",NOT(O715)),"invalid amount",IF(OR(AND(K715="sale",N715&lt;=0),AND(K715="refund",N715&gt;=0)),"invalid sign","")))))))))</f>
        <v/>
      </c>
      <c r="U715" s="1" t="str">
        <f t="shared" si="93"/>
        <v>INCLUDED</v>
      </c>
      <c r="V715" s="1" t="str">
        <f t="shared" si="94"/>
        <v>2026-02</v>
      </c>
      <c r="W715" s="1">
        <f>IF(AND(U715="INCLUDED",X715&gt;0,EXACT(A715,'AI output'!A715)),1,0)</f>
        <v>1</v>
      </c>
      <c r="X715" s="1">
        <f>715</f>
        <v>715</v>
      </c>
      <c r="Y715" s="1">
        <f>IF(AND(U715="INCLUDED",W715=1),--(NOT(EXACT(A715,'AI output'!A715)))+--(NOT(EXACT(B715,'AI output'!B715)))+--(NOT(EXACT(TEXT(G715,"yyyy-mm-dd"),'AI output'!C715)))+--(NOT(EXACT(H715,'AI output'!D715)))+--(NOT(EXACT(J715,'AI output'!E715)))+--(NOT(EXACT(K715,'AI output'!F715)))+--(N715&lt;&gt;'AI output'!L715)+--(NOT('AI output'!M715)),0)</f>
        <v>0</v>
      </c>
      <c r="Z715" s="1">
        <f t="shared" si="95"/>
        <v>0</v>
      </c>
      <c r="AA715" s="1">
        <f>--EXACT(A715,"L00709")</f>
        <v>1</v>
      </c>
    </row>
    <row r="716" spans="1:27" ht="18.95" customHeight="1">
      <c r="A716" s="1" t="str">
        <f>IF(Raw!A716="","",Raw!A716)</f>
        <v>L00710</v>
      </c>
      <c r="B716" s="1" t="str">
        <f>IF(Raw!B716="","",Raw!B716)</f>
        <v>T00355</v>
      </c>
      <c r="C716" s="1" t="str">
        <f>IF(Raw!C716="","",Raw!C716)</f>
        <v>2026-02-18</v>
      </c>
      <c r="D716" s="1">
        <f t="shared" si="88"/>
        <v>2026</v>
      </c>
      <c r="E716" s="1">
        <f>IFERROR(IF(AND(LEN(C716)=10,MID(C716,5,1)="-",MID(C716,8,1)="-"),VALUE(MID(C716,6,2)),IF(AND(LEN(C716)=11,MID(C716,3,1)="-",MID(C716,7,1)="-"),MATCH(UPPER(MID(C716,4,3)),Guide!$D$7:$D$18,0),0)),0)</f>
        <v>2</v>
      </c>
      <c r="F716" s="1">
        <f t="shared" si="89"/>
        <v>18</v>
      </c>
      <c r="G716" s="9">
        <f t="shared" si="90"/>
        <v>46071</v>
      </c>
      <c r="H716" s="1" t="str">
        <f>IF(Raw!D716="","",Raw!D716)</f>
        <v>P-H</v>
      </c>
      <c r="I716" s="1" t="str">
        <f>IFERROR(IF(EXACT(H716,INDEX(Guide!$A$7:$A$9,MATCH(SUBSTITUTE(SUBSTITUTE(SUBSTITUTE(H716,"~","~~"),"*","~*"),"?","~?"),Guide!$A$7:$A$9,0))),INDEX(Guide!$B$7:$B$9,MATCH(SUBSTITUTE(SUBSTITUTE(SUBSTITUTE(H716,"~","~~"),"*","~*"),"?","~?"),Guide!$A$7:$A$9,0)),""),"")</f>
        <v>Home</v>
      </c>
      <c r="J716" s="1" t="str">
        <f>IF(TRIM(Raw!E716)="",I716,IF(UPPER(TRIM(Raw!E716))=UPPER(I716),I716,""))</f>
        <v>Home</v>
      </c>
      <c r="K716" s="1" t="str">
        <f>IF(Raw!F716="","",Raw!F716)</f>
        <v>sale</v>
      </c>
      <c r="L716" s="1" t="str">
        <f>IF(LEFT(TRIM(Raw!G716),2)="-$","-"&amp;MID(TRIM(Raw!G716),3,99),IF(LEFT(TRIM(Raw!G716),1)="$",MID(TRIM(Raw!G716),2,99),TRIM(Raw!G716)))</f>
        <v>109.28</v>
      </c>
      <c r="M716" s="1">
        <f t="shared" si="91"/>
        <v>109.28</v>
      </c>
      <c r="N716" s="10">
        <f t="shared" si="92"/>
        <v>10928</v>
      </c>
      <c r="O716" s="1" t="b">
        <f>IFERROR(IF(ISNUMBER(Raw!G716),TRUE,OR(EXACT(L716,TEXT(M716,"0.00")),EXACT(L716,TEXT(M716,"#,##0.00")))),FALSE)</f>
        <v>1</v>
      </c>
      <c r="P716" s="1" t="str">
        <f>LEN(IF(Raw!A716="","",Raw!A716))&amp;":"&amp;IF(Raw!A716="","",Raw!A716)&amp;"|"&amp;LEN(IF(Raw!B716="","",Raw!B716))&amp;":"&amp;IF(Raw!B716="","",Raw!B716)&amp;"|"&amp;LEN(IF(Raw!C716="","",Raw!C716))&amp;":"&amp;IF(Raw!C716="","",Raw!C716)&amp;"|"&amp;LEN(IF(Raw!D716="","",Raw!D716))&amp;":"&amp;IF(Raw!D716="","",Raw!D716)&amp;"|"&amp;LEN(IF(Raw!E716="","",Raw!E716))&amp;":"&amp;IF(Raw!E716="","",Raw!E716)&amp;"|"&amp;LEN(IF(Raw!F716="","",Raw!F716))&amp;":"&amp;IF(Raw!F716="","",Raw!F716)&amp;"|"&amp;LEN(IF(Raw!G716="","",Raw!G716))&amp;":"&amp;IF(Raw!G716="","",Raw!G716)</f>
        <v>6:L00710|6:T00355|10:2026-02-18|3:P-H|4:Home|4:sale|6:109.28</v>
      </c>
      <c r="Q716" s="1">
        <f>1</f>
        <v>1</v>
      </c>
      <c r="R716" s="1" t="b">
        <f>FALSE</f>
        <v>0</v>
      </c>
      <c r="S716" s="1">
        <f>1</f>
        <v>1</v>
      </c>
      <c r="T716" s="1" t="str">
        <f>IF(AND(Raw!A716="",Raw!B716="",Raw!C716="",Raw!D716="",Raw!E716="",Raw!F716="",Raw!G716=""),"UNUSED",IF(A716="","missing line ID",IF(B716="","missing transaction ID",IF(G716="",IF(C716="","missing date","invalid date"),IF(I716="","unknown product",IF(J716="","conflicting category",IF(NOT(OR(EXACT(K716,"sale"),EXACT(K716,"refund"))),"unknown event",IF(OR(N716="",NOT(O716)),"invalid amount",IF(OR(AND(K716="sale",N716&lt;=0),AND(K716="refund",N716&gt;=0)),"invalid sign","")))))))))</f>
        <v/>
      </c>
      <c r="U716" s="1" t="str">
        <f t="shared" si="93"/>
        <v>INCLUDED</v>
      </c>
      <c r="V716" s="1" t="str">
        <f t="shared" si="94"/>
        <v>2026-02</v>
      </c>
      <c r="W716" s="1">
        <f>IF(AND(U716="INCLUDED",X716&gt;0,EXACT(A716,'AI output'!A716)),1,0)</f>
        <v>1</v>
      </c>
      <c r="X716" s="1">
        <f>716</f>
        <v>716</v>
      </c>
      <c r="Y716" s="1">
        <f>IF(AND(U716="INCLUDED",W716=1),--(NOT(EXACT(A716,'AI output'!A716)))+--(NOT(EXACT(B716,'AI output'!B716)))+--(NOT(EXACT(TEXT(G716,"yyyy-mm-dd"),'AI output'!C716)))+--(NOT(EXACT(H716,'AI output'!D716)))+--(NOT(EXACT(J716,'AI output'!E716)))+--(NOT(EXACT(K716,'AI output'!F716)))+--(N716&lt;&gt;'AI output'!L716)+--(NOT('AI output'!M716)),0)</f>
        <v>0</v>
      </c>
      <c r="Z716" s="1">
        <f t="shared" si="95"/>
        <v>0</v>
      </c>
      <c r="AA716" s="1">
        <f>--EXACT(A716,"L00710")</f>
        <v>1</v>
      </c>
    </row>
    <row r="717" spans="1:27" ht="18.95" customHeight="1">
      <c r="A717" s="1" t="str">
        <f>IF(Raw!A717="","",Raw!A717)</f>
        <v>L00711</v>
      </c>
      <c r="B717" s="1" t="str">
        <f>IF(Raw!B717="","",Raw!B717)</f>
        <v>T00356</v>
      </c>
      <c r="C717" s="1" t="str">
        <f>IF(Raw!C717="","",Raw!C717)</f>
        <v>2026-02-25</v>
      </c>
      <c r="D717" s="1">
        <f t="shared" si="88"/>
        <v>2026</v>
      </c>
      <c r="E717" s="1">
        <f>IFERROR(IF(AND(LEN(C717)=10,MID(C717,5,1)="-",MID(C717,8,1)="-"),VALUE(MID(C717,6,2)),IF(AND(LEN(C717)=11,MID(C717,3,1)="-",MID(C717,7,1)="-"),MATCH(UPPER(MID(C717,4,3)),Guide!$D$7:$D$18,0),0)),0)</f>
        <v>2</v>
      </c>
      <c r="F717" s="1">
        <f t="shared" si="89"/>
        <v>25</v>
      </c>
      <c r="G717" s="9">
        <f t="shared" si="90"/>
        <v>46078</v>
      </c>
      <c r="H717" s="1" t="str">
        <f>IF(Raw!D717="","",Raw!D717)</f>
        <v>P-O</v>
      </c>
      <c r="I717" s="1" t="str">
        <f>IFERROR(IF(EXACT(H717,INDEX(Guide!$A$7:$A$9,MATCH(SUBSTITUTE(SUBSTITUTE(SUBSTITUTE(H717,"~","~~"),"*","~*"),"?","~?"),Guide!$A$7:$A$9,0))),INDEX(Guide!$B$7:$B$9,MATCH(SUBSTITUTE(SUBSTITUTE(SUBSTITUTE(H717,"~","~~"),"*","~*"),"?","~?"),Guide!$A$7:$A$9,0)),""),"")</f>
        <v>Office</v>
      </c>
      <c r="J717" s="1" t="str">
        <f>IF(TRIM(Raw!E717)="",I717,IF(UPPER(TRIM(Raw!E717))=UPPER(I717),I717,""))</f>
        <v>Office</v>
      </c>
      <c r="K717" s="1" t="str">
        <f>IF(Raw!F717="","",Raw!F717)</f>
        <v>sale</v>
      </c>
      <c r="L717" s="1" t="str">
        <f>IF(LEFT(TRIM(Raw!G717),2)="-$","-"&amp;MID(TRIM(Raw!G717),3,99),IF(LEFT(TRIM(Raw!G717),1)="$",MID(TRIM(Raw!G717),2,99),TRIM(Raw!G717)))</f>
        <v>27.69</v>
      </c>
      <c r="M717" s="1">
        <f t="shared" si="91"/>
        <v>27.69</v>
      </c>
      <c r="N717" s="10">
        <f t="shared" si="92"/>
        <v>2769</v>
      </c>
      <c r="O717" s="1" t="b">
        <f>IFERROR(IF(ISNUMBER(Raw!G717),TRUE,OR(EXACT(L717,TEXT(M717,"0.00")),EXACT(L717,TEXT(M717,"#,##0.00")))),FALSE)</f>
        <v>1</v>
      </c>
      <c r="P717" s="1" t="str">
        <f>LEN(IF(Raw!A717="","",Raw!A717))&amp;":"&amp;IF(Raw!A717="","",Raw!A717)&amp;"|"&amp;LEN(IF(Raw!B717="","",Raw!B717))&amp;":"&amp;IF(Raw!B717="","",Raw!B717)&amp;"|"&amp;LEN(IF(Raw!C717="","",Raw!C717))&amp;":"&amp;IF(Raw!C717="","",Raw!C717)&amp;"|"&amp;LEN(IF(Raw!D717="","",Raw!D717))&amp;":"&amp;IF(Raw!D717="","",Raw!D717)&amp;"|"&amp;LEN(IF(Raw!E717="","",Raw!E717))&amp;":"&amp;IF(Raw!E717="","",Raw!E717)&amp;"|"&amp;LEN(IF(Raw!F717="","",Raw!F717))&amp;":"&amp;IF(Raw!F717="","",Raw!F717)&amp;"|"&amp;LEN(IF(Raw!G717="","",Raw!G717))&amp;":"&amp;IF(Raw!G717="","",Raw!G717)</f>
        <v>6:L00711|6:T00356|10:2026-02-25|3:P-O|6:Office|4:sale|5:27.69</v>
      </c>
      <c r="Q717" s="1">
        <f>1</f>
        <v>1</v>
      </c>
      <c r="R717" s="1" t="b">
        <f>FALSE</f>
        <v>0</v>
      </c>
      <c r="S717" s="1">
        <f>1</f>
        <v>1</v>
      </c>
      <c r="T717" s="1" t="str">
        <f>IF(AND(Raw!A717="",Raw!B717="",Raw!C717="",Raw!D717="",Raw!E717="",Raw!F717="",Raw!G717=""),"UNUSED",IF(A717="","missing line ID",IF(B717="","missing transaction ID",IF(G717="",IF(C717="","missing date","invalid date"),IF(I717="","unknown product",IF(J717="","conflicting category",IF(NOT(OR(EXACT(K717,"sale"),EXACT(K717,"refund"))),"unknown event",IF(OR(N717="",NOT(O717)),"invalid amount",IF(OR(AND(K717="sale",N717&lt;=0),AND(K717="refund",N717&gt;=0)),"invalid sign","")))))))))</f>
        <v/>
      </c>
      <c r="U717" s="1" t="str">
        <f t="shared" si="93"/>
        <v>INCLUDED</v>
      </c>
      <c r="V717" s="1" t="str">
        <f t="shared" si="94"/>
        <v>2026-02</v>
      </c>
      <c r="W717" s="1">
        <f>IF(AND(U717="INCLUDED",X717&gt;0,EXACT(A717,'AI output'!A717)),1,0)</f>
        <v>1</v>
      </c>
      <c r="X717" s="1">
        <f>717</f>
        <v>717</v>
      </c>
      <c r="Y717" s="1">
        <f>IF(AND(U717="INCLUDED",W717=1),--(NOT(EXACT(A717,'AI output'!A717)))+--(NOT(EXACT(B717,'AI output'!B717)))+--(NOT(EXACT(TEXT(G717,"yyyy-mm-dd"),'AI output'!C717)))+--(NOT(EXACT(H717,'AI output'!D717)))+--(NOT(EXACT(J717,'AI output'!E717)))+--(NOT(EXACT(K717,'AI output'!F717)))+--(N717&lt;&gt;'AI output'!L717)+--(NOT('AI output'!M717)),0)</f>
        <v>0</v>
      </c>
      <c r="Z717" s="1">
        <f t="shared" si="95"/>
        <v>0</v>
      </c>
      <c r="AA717" s="1">
        <f>--EXACT(A717,"L00711")</f>
        <v>1</v>
      </c>
    </row>
    <row r="718" spans="1:27" ht="18.95" customHeight="1">
      <c r="A718" s="1" t="str">
        <f>IF(Raw!A718="","",Raw!A718)</f>
        <v>L00712</v>
      </c>
      <c r="B718" s="1" t="str">
        <f>IF(Raw!B718="","",Raw!B718)</f>
        <v>T00356</v>
      </c>
      <c r="C718" s="1" t="str">
        <f>IF(Raw!C718="","",Raw!C718)</f>
        <v>2026-02-25</v>
      </c>
      <c r="D718" s="1">
        <f t="shared" si="88"/>
        <v>2026</v>
      </c>
      <c r="E718" s="1">
        <f>IFERROR(IF(AND(LEN(C718)=10,MID(C718,5,1)="-",MID(C718,8,1)="-"),VALUE(MID(C718,6,2)),IF(AND(LEN(C718)=11,MID(C718,3,1)="-",MID(C718,7,1)="-"),MATCH(UPPER(MID(C718,4,3)),Guide!$D$7:$D$18,0),0)),0)</f>
        <v>2</v>
      </c>
      <c r="F718" s="1">
        <f t="shared" si="89"/>
        <v>25</v>
      </c>
      <c r="G718" s="9">
        <f t="shared" si="90"/>
        <v>46078</v>
      </c>
      <c r="H718" s="1" t="str">
        <f>IF(Raw!D718="","",Raw!D718)</f>
        <v>P-A</v>
      </c>
      <c r="I718" s="1" t="str">
        <f>IFERROR(IF(EXACT(H718,INDEX(Guide!$A$7:$A$9,MATCH(SUBSTITUTE(SUBSTITUTE(SUBSTITUTE(H718,"~","~~"),"*","~*"),"?","~?"),Guide!$A$7:$A$9,0))),INDEX(Guide!$B$7:$B$9,MATCH(SUBSTITUTE(SUBSTITUTE(SUBSTITUTE(H718,"~","~~"),"*","~*"),"?","~?"),Guide!$A$7:$A$9,0)),""),"")</f>
        <v>Accessories</v>
      </c>
      <c r="J718" s="1" t="str">
        <f>IF(TRIM(Raw!E718)="",I718,IF(UPPER(TRIM(Raw!E718))=UPPER(I718),I718,""))</f>
        <v>Accessories</v>
      </c>
      <c r="K718" s="1" t="str">
        <f>IF(Raw!F718="","",Raw!F718)</f>
        <v>sale</v>
      </c>
      <c r="L718" s="1" t="str">
        <f>IF(LEFT(TRIM(Raw!G718),2)="-$","-"&amp;MID(TRIM(Raw!G718),3,99),IF(LEFT(TRIM(Raw!G718),1)="$",MID(TRIM(Raw!G718),2,99),TRIM(Raw!G718)))</f>
        <v>84.18</v>
      </c>
      <c r="M718" s="1">
        <f t="shared" si="91"/>
        <v>84.18</v>
      </c>
      <c r="N718" s="10">
        <f t="shared" si="92"/>
        <v>8418</v>
      </c>
      <c r="O718" s="1" t="b">
        <f>IFERROR(IF(ISNUMBER(Raw!G718),TRUE,OR(EXACT(L718,TEXT(M718,"0.00")),EXACT(L718,TEXT(M718,"#,##0.00")))),FALSE)</f>
        <v>1</v>
      </c>
      <c r="P718" s="1" t="str">
        <f>LEN(IF(Raw!A718="","",Raw!A718))&amp;":"&amp;IF(Raw!A718="","",Raw!A718)&amp;"|"&amp;LEN(IF(Raw!B718="","",Raw!B718))&amp;":"&amp;IF(Raw!B718="","",Raw!B718)&amp;"|"&amp;LEN(IF(Raw!C718="","",Raw!C718))&amp;":"&amp;IF(Raw!C718="","",Raw!C718)&amp;"|"&amp;LEN(IF(Raw!D718="","",Raw!D718))&amp;":"&amp;IF(Raw!D718="","",Raw!D718)&amp;"|"&amp;LEN(IF(Raw!E718="","",Raw!E718))&amp;":"&amp;IF(Raw!E718="","",Raw!E718)&amp;"|"&amp;LEN(IF(Raw!F718="","",Raw!F718))&amp;":"&amp;IF(Raw!F718="","",Raw!F718)&amp;"|"&amp;LEN(IF(Raw!G718="","",Raw!G718))&amp;":"&amp;IF(Raw!G718="","",Raw!G718)</f>
        <v>6:L00712|6:T00356|10:2026-02-25|3:P-A|11:Accessories|4:sale|5:84.18</v>
      </c>
      <c r="Q718" s="1">
        <f>1</f>
        <v>1</v>
      </c>
      <c r="R718" s="1" t="b">
        <f>FALSE</f>
        <v>0</v>
      </c>
      <c r="S718" s="1">
        <f>1</f>
        <v>1</v>
      </c>
      <c r="T718" s="1" t="str">
        <f>IF(AND(Raw!A718="",Raw!B718="",Raw!C718="",Raw!D718="",Raw!E718="",Raw!F718="",Raw!G718=""),"UNUSED",IF(A718="","missing line ID",IF(B718="","missing transaction ID",IF(G718="",IF(C718="","missing date","invalid date"),IF(I718="","unknown product",IF(J718="","conflicting category",IF(NOT(OR(EXACT(K718,"sale"),EXACT(K718,"refund"))),"unknown event",IF(OR(N718="",NOT(O718)),"invalid amount",IF(OR(AND(K718="sale",N718&lt;=0),AND(K718="refund",N718&gt;=0)),"invalid sign","")))))))))</f>
        <v/>
      </c>
      <c r="U718" s="1" t="str">
        <f t="shared" si="93"/>
        <v>INCLUDED</v>
      </c>
      <c r="V718" s="1" t="str">
        <f t="shared" si="94"/>
        <v>2026-02</v>
      </c>
      <c r="W718" s="1">
        <f>IF(AND(U718="INCLUDED",X718&gt;0,EXACT(A718,'AI output'!A718)),1,0)</f>
        <v>1</v>
      </c>
      <c r="X718" s="1">
        <f>718</f>
        <v>718</v>
      </c>
      <c r="Y718" s="1">
        <f>IF(AND(U718="INCLUDED",W718=1),--(NOT(EXACT(A718,'AI output'!A718)))+--(NOT(EXACT(B718,'AI output'!B718)))+--(NOT(EXACT(TEXT(G718,"yyyy-mm-dd"),'AI output'!C718)))+--(NOT(EXACT(H718,'AI output'!D718)))+--(NOT(EXACT(J718,'AI output'!E718)))+--(NOT(EXACT(K718,'AI output'!F718)))+--(N718&lt;&gt;'AI output'!L718)+--(NOT('AI output'!M718)),0)</f>
        <v>0</v>
      </c>
      <c r="Z718" s="1">
        <f t="shared" si="95"/>
        <v>0</v>
      </c>
      <c r="AA718" s="1">
        <f>--EXACT(A718,"L00712")</f>
        <v>1</v>
      </c>
    </row>
    <row r="719" spans="1:27" ht="18.95" customHeight="1">
      <c r="A719" s="1" t="str">
        <f>IF(Raw!A719="","",Raw!A719)</f>
        <v>L00713</v>
      </c>
      <c r="B719" s="1" t="str">
        <f>IF(Raw!B719="","",Raw!B719)</f>
        <v>T00357</v>
      </c>
      <c r="C719" s="1" t="str">
        <f>IF(Raw!C719="","",Raw!C719)</f>
        <v>2026-03-04</v>
      </c>
      <c r="D719" s="1">
        <f t="shared" si="88"/>
        <v>2026</v>
      </c>
      <c r="E719" s="1">
        <f>IFERROR(IF(AND(LEN(C719)=10,MID(C719,5,1)="-",MID(C719,8,1)="-"),VALUE(MID(C719,6,2)),IF(AND(LEN(C719)=11,MID(C719,3,1)="-",MID(C719,7,1)="-"),MATCH(UPPER(MID(C719,4,3)),Guide!$D$7:$D$18,0),0)),0)</f>
        <v>3</v>
      </c>
      <c r="F719" s="1">
        <f t="shared" si="89"/>
        <v>4</v>
      </c>
      <c r="G719" s="9">
        <f t="shared" si="90"/>
        <v>46085</v>
      </c>
      <c r="H719" s="1" t="str">
        <f>IF(Raw!D719="","",Raw!D719)</f>
        <v>P-H</v>
      </c>
      <c r="I719" s="1" t="str">
        <f>IFERROR(IF(EXACT(H719,INDEX(Guide!$A$7:$A$9,MATCH(SUBSTITUTE(SUBSTITUTE(SUBSTITUTE(H719,"~","~~"),"*","~*"),"?","~?"),Guide!$A$7:$A$9,0))),INDEX(Guide!$B$7:$B$9,MATCH(SUBSTITUTE(SUBSTITUTE(SUBSTITUTE(H719,"~","~~"),"*","~*"),"?","~?"),Guide!$A$7:$A$9,0)),""),"")</f>
        <v>Home</v>
      </c>
      <c r="J719" s="1" t="str">
        <f>IF(TRIM(Raw!E719)="",I719,IF(UPPER(TRIM(Raw!E719))=UPPER(I719),I719,""))</f>
        <v>Home</v>
      </c>
      <c r="K719" s="1" t="str">
        <f>IF(Raw!F719="","",Raw!F719)</f>
        <v>sale</v>
      </c>
      <c r="L719" s="1" t="str">
        <f>IF(LEFT(TRIM(Raw!G719),2)="-$","-"&amp;MID(TRIM(Raw!G719),3,99),IF(LEFT(TRIM(Raw!G719),1)="$",MID(TRIM(Raw!G719),2,99),TRIM(Raw!G719)))</f>
        <v>142.15</v>
      </c>
      <c r="M719" s="1">
        <f t="shared" si="91"/>
        <v>142.15</v>
      </c>
      <c r="N719" s="10">
        <f t="shared" si="92"/>
        <v>14215</v>
      </c>
      <c r="O719" s="1" t="b">
        <f>IFERROR(IF(ISNUMBER(Raw!G719),TRUE,OR(EXACT(L719,TEXT(M719,"0.00")),EXACT(L719,TEXT(M719,"#,##0.00")))),FALSE)</f>
        <v>1</v>
      </c>
      <c r="P719" s="1" t="str">
        <f>LEN(IF(Raw!A719="","",Raw!A719))&amp;":"&amp;IF(Raw!A719="","",Raw!A719)&amp;"|"&amp;LEN(IF(Raw!B719="","",Raw!B719))&amp;":"&amp;IF(Raw!B719="","",Raw!B719)&amp;"|"&amp;LEN(IF(Raw!C719="","",Raw!C719))&amp;":"&amp;IF(Raw!C719="","",Raw!C719)&amp;"|"&amp;LEN(IF(Raw!D719="","",Raw!D719))&amp;":"&amp;IF(Raw!D719="","",Raw!D719)&amp;"|"&amp;LEN(IF(Raw!E719="","",Raw!E719))&amp;":"&amp;IF(Raw!E719="","",Raw!E719)&amp;"|"&amp;LEN(IF(Raw!F719="","",Raw!F719))&amp;":"&amp;IF(Raw!F719="","",Raw!F719)&amp;"|"&amp;LEN(IF(Raw!G719="","",Raw!G719))&amp;":"&amp;IF(Raw!G719="","",Raw!G719)</f>
        <v>6:L00713|6:T00357|10:2026-03-04|3:P-H|4:Home|4:sale|6:142.15</v>
      </c>
      <c r="Q719" s="1">
        <f>1</f>
        <v>1</v>
      </c>
      <c r="R719" s="1" t="b">
        <f>FALSE</f>
        <v>0</v>
      </c>
      <c r="S719" s="1">
        <f>1</f>
        <v>1</v>
      </c>
      <c r="T719" s="1" t="str">
        <f>IF(AND(Raw!A719="",Raw!B719="",Raw!C719="",Raw!D719="",Raw!E719="",Raw!F719="",Raw!G719=""),"UNUSED",IF(A719="","missing line ID",IF(B719="","missing transaction ID",IF(G719="",IF(C719="","missing date","invalid date"),IF(I719="","unknown product",IF(J719="","conflicting category",IF(NOT(OR(EXACT(K719,"sale"),EXACT(K719,"refund"))),"unknown event",IF(OR(N719="",NOT(O719)),"invalid amount",IF(OR(AND(K719="sale",N719&lt;=0),AND(K719="refund",N719&gt;=0)),"invalid sign","")))))))))</f>
        <v/>
      </c>
      <c r="U719" s="1" t="str">
        <f t="shared" si="93"/>
        <v>INCLUDED</v>
      </c>
      <c r="V719" s="1" t="str">
        <f t="shared" si="94"/>
        <v>2026-03</v>
      </c>
      <c r="W719" s="1">
        <f>IF(AND(U719="INCLUDED",X719&gt;0,EXACT(A719,'AI output'!A719)),1,0)</f>
        <v>1</v>
      </c>
      <c r="X719" s="1">
        <f>719</f>
        <v>719</v>
      </c>
      <c r="Y719" s="1">
        <f>IF(AND(U719="INCLUDED",W719=1),--(NOT(EXACT(A719,'AI output'!A719)))+--(NOT(EXACT(B719,'AI output'!B719)))+--(NOT(EXACT(TEXT(G719,"yyyy-mm-dd"),'AI output'!C719)))+--(NOT(EXACT(H719,'AI output'!D719)))+--(NOT(EXACT(J719,'AI output'!E719)))+--(NOT(EXACT(K719,'AI output'!F719)))+--(N719&lt;&gt;'AI output'!L719)+--(NOT('AI output'!M719)),0)</f>
        <v>0</v>
      </c>
      <c r="Z719" s="1">
        <f t="shared" si="95"/>
        <v>0</v>
      </c>
      <c r="AA719" s="1">
        <f>--EXACT(A719,"L00713")</f>
        <v>1</v>
      </c>
    </row>
    <row r="720" spans="1:27" ht="18.95" customHeight="1">
      <c r="A720" s="1" t="str">
        <f>IF(Raw!A720="","",Raw!A720)</f>
        <v>L00714</v>
      </c>
      <c r="B720" s="1" t="str">
        <f>IF(Raw!B720="","",Raw!B720)</f>
        <v>T00357</v>
      </c>
      <c r="C720" s="1" t="str">
        <f>IF(Raw!C720="","",Raw!C720)</f>
        <v>2026-03-04</v>
      </c>
      <c r="D720" s="1">
        <f t="shared" si="88"/>
        <v>2026</v>
      </c>
      <c r="E720" s="1">
        <f>IFERROR(IF(AND(LEN(C720)=10,MID(C720,5,1)="-",MID(C720,8,1)="-"),VALUE(MID(C720,6,2)),IF(AND(LEN(C720)=11,MID(C720,3,1)="-",MID(C720,7,1)="-"),MATCH(UPPER(MID(C720,4,3)),Guide!$D$7:$D$18,0),0)),0)</f>
        <v>3</v>
      </c>
      <c r="F720" s="1">
        <f t="shared" si="89"/>
        <v>4</v>
      </c>
      <c r="G720" s="9">
        <f t="shared" si="90"/>
        <v>46085</v>
      </c>
      <c r="H720" s="1" t="str">
        <f>IF(Raw!D720="","",Raw!D720)</f>
        <v>P-O</v>
      </c>
      <c r="I720" s="1" t="str">
        <f>IFERROR(IF(EXACT(H720,INDEX(Guide!$A$7:$A$9,MATCH(SUBSTITUTE(SUBSTITUTE(SUBSTITUTE(H720,"~","~~"),"*","~*"),"?","~?"),Guide!$A$7:$A$9,0))),INDEX(Guide!$B$7:$B$9,MATCH(SUBSTITUTE(SUBSTITUTE(SUBSTITUTE(H720,"~","~~"),"*","~*"),"?","~?"),Guide!$A$7:$A$9,0)),""),"")</f>
        <v>Office</v>
      </c>
      <c r="J720" s="1" t="str">
        <f>IF(TRIM(Raw!E720)="",I720,IF(UPPER(TRIM(Raw!E720))=UPPER(I720),I720,""))</f>
        <v>Office</v>
      </c>
      <c r="K720" s="1" t="str">
        <f>IF(Raw!F720="","",Raw!F720)</f>
        <v>refund</v>
      </c>
      <c r="L720" s="1" t="str">
        <f>IF(LEFT(TRIM(Raw!G720),2)="-$","-"&amp;MID(TRIM(Raw!G720),3,99),IF(LEFT(TRIM(Raw!G720),1)="$",MID(TRIM(Raw!G720),2,99),TRIM(Raw!G720)))</f>
        <v>-57.60</v>
      </c>
      <c r="M720" s="1">
        <f t="shared" si="91"/>
        <v>-57.6</v>
      </c>
      <c r="N720" s="10">
        <f t="shared" si="92"/>
        <v>-5760</v>
      </c>
      <c r="O720" s="1" t="b">
        <f>IFERROR(IF(ISNUMBER(Raw!G720),TRUE,OR(EXACT(L720,TEXT(M720,"0.00")),EXACT(L720,TEXT(M720,"#,##0.00")))),FALSE)</f>
        <v>1</v>
      </c>
      <c r="P720" s="1" t="str">
        <f>LEN(IF(Raw!A720="","",Raw!A720))&amp;":"&amp;IF(Raw!A720="","",Raw!A720)&amp;"|"&amp;LEN(IF(Raw!B720="","",Raw!B720))&amp;":"&amp;IF(Raw!B720="","",Raw!B720)&amp;"|"&amp;LEN(IF(Raw!C720="","",Raw!C720))&amp;":"&amp;IF(Raw!C720="","",Raw!C720)&amp;"|"&amp;LEN(IF(Raw!D720="","",Raw!D720))&amp;":"&amp;IF(Raw!D720="","",Raw!D720)&amp;"|"&amp;LEN(IF(Raw!E720="","",Raw!E720))&amp;":"&amp;IF(Raw!E720="","",Raw!E720)&amp;"|"&amp;LEN(IF(Raw!F720="","",Raw!F720))&amp;":"&amp;IF(Raw!F720="","",Raw!F720)&amp;"|"&amp;LEN(IF(Raw!G720="","",Raw!G720))&amp;":"&amp;IF(Raw!G720="","",Raw!G720)</f>
        <v>6:L00714|6:T00357|10:2026-03-04|3:P-O|6:Office|6:refund|6:-57.60</v>
      </c>
      <c r="Q720" s="1">
        <f>1</f>
        <v>1</v>
      </c>
      <c r="R720" s="1" t="b">
        <f>FALSE</f>
        <v>0</v>
      </c>
      <c r="S720" s="1">
        <f>1</f>
        <v>1</v>
      </c>
      <c r="T720" s="1" t="str">
        <f>IF(AND(Raw!A720="",Raw!B720="",Raw!C720="",Raw!D720="",Raw!E720="",Raw!F720="",Raw!G720=""),"UNUSED",IF(A720="","missing line ID",IF(B720="","missing transaction ID",IF(G720="",IF(C720="","missing date","invalid date"),IF(I720="","unknown product",IF(J720="","conflicting category",IF(NOT(OR(EXACT(K720,"sale"),EXACT(K720,"refund"))),"unknown event",IF(OR(N720="",NOT(O720)),"invalid amount",IF(OR(AND(K720="sale",N720&lt;=0),AND(K720="refund",N720&gt;=0)),"invalid sign","")))))))))</f>
        <v/>
      </c>
      <c r="U720" s="1" t="str">
        <f t="shared" si="93"/>
        <v>INCLUDED</v>
      </c>
      <c r="V720" s="1" t="str">
        <f t="shared" si="94"/>
        <v>2026-03</v>
      </c>
      <c r="W720" s="1">
        <f>IF(AND(U720="INCLUDED",X720&gt;0,EXACT(A720,'AI output'!A720)),1,0)</f>
        <v>1</v>
      </c>
      <c r="X720" s="1">
        <f>720</f>
        <v>720</v>
      </c>
      <c r="Y720" s="1">
        <f>IF(AND(U720="INCLUDED",W720=1),--(NOT(EXACT(A720,'AI output'!A720)))+--(NOT(EXACT(B720,'AI output'!B720)))+--(NOT(EXACT(TEXT(G720,"yyyy-mm-dd"),'AI output'!C720)))+--(NOT(EXACT(H720,'AI output'!D720)))+--(NOT(EXACT(J720,'AI output'!E720)))+--(NOT(EXACT(K720,'AI output'!F720)))+--(N720&lt;&gt;'AI output'!L720)+--(NOT('AI output'!M720)),0)</f>
        <v>0</v>
      </c>
      <c r="Z720" s="1">
        <f t="shared" si="95"/>
        <v>0</v>
      </c>
      <c r="AA720" s="1">
        <f>--EXACT(A720,"L00714")</f>
        <v>1</v>
      </c>
    </row>
    <row r="721" spans="1:27" ht="18.95" customHeight="1">
      <c r="A721" s="1" t="str">
        <f>IF(Raw!A721="","",Raw!A721)</f>
        <v>L00715</v>
      </c>
      <c r="B721" s="1" t="str">
        <f>IF(Raw!B721="","",Raw!B721)</f>
        <v>T00358</v>
      </c>
      <c r="C721" s="1" t="str">
        <f>IF(Raw!C721="","",Raw!C721)</f>
        <v>2026-03-11</v>
      </c>
      <c r="D721" s="1">
        <f t="shared" si="88"/>
        <v>2026</v>
      </c>
      <c r="E721" s="1">
        <f>IFERROR(IF(AND(LEN(C721)=10,MID(C721,5,1)="-",MID(C721,8,1)="-"),VALUE(MID(C721,6,2)),IF(AND(LEN(C721)=11,MID(C721,3,1)="-",MID(C721,7,1)="-"),MATCH(UPPER(MID(C721,4,3)),Guide!$D$7:$D$18,0),0)),0)</f>
        <v>3</v>
      </c>
      <c r="F721" s="1">
        <f t="shared" si="89"/>
        <v>11</v>
      </c>
      <c r="G721" s="9">
        <f t="shared" si="90"/>
        <v>46092</v>
      </c>
      <c r="H721" s="1" t="str">
        <f>IF(Raw!D721="","",Raw!D721)</f>
        <v>P-A</v>
      </c>
      <c r="I721" s="1" t="str">
        <f>IFERROR(IF(EXACT(H721,INDEX(Guide!$A$7:$A$9,MATCH(SUBSTITUTE(SUBSTITUTE(SUBSTITUTE(H721,"~","~~"),"*","~*"),"?","~?"),Guide!$A$7:$A$9,0))),INDEX(Guide!$B$7:$B$9,MATCH(SUBSTITUTE(SUBSTITUTE(SUBSTITUTE(H721,"~","~~"),"*","~*"),"?","~?"),Guide!$A$7:$A$9,0)),""),"")</f>
        <v>Accessories</v>
      </c>
      <c r="J721" s="1" t="str">
        <f>IF(TRIM(Raw!E721)="",I721,IF(UPPER(TRIM(Raw!E721))=UPPER(I721),I721,""))</f>
        <v>Accessories</v>
      </c>
      <c r="K721" s="1" t="str">
        <f>IF(Raw!F721="","",Raw!F721)</f>
        <v>sale</v>
      </c>
      <c r="L721" s="1" t="str">
        <f>IF(LEFT(TRIM(Raw!G721),2)="-$","-"&amp;MID(TRIM(Raw!G721),3,99),IF(LEFT(TRIM(Raw!G721),1)="$",MID(TRIM(Raw!G721),2,99),TRIM(Raw!G721)))</f>
        <v>116.68</v>
      </c>
      <c r="M721" s="1">
        <f t="shared" si="91"/>
        <v>116.68</v>
      </c>
      <c r="N721" s="10">
        <f t="shared" si="92"/>
        <v>11668</v>
      </c>
      <c r="O721" s="1" t="b">
        <f>IFERROR(IF(ISNUMBER(Raw!G721),TRUE,OR(EXACT(L721,TEXT(M721,"0.00")),EXACT(L721,TEXT(M721,"#,##0.00")))),FALSE)</f>
        <v>1</v>
      </c>
      <c r="P721" s="1" t="str">
        <f>LEN(IF(Raw!A721="","",Raw!A721))&amp;":"&amp;IF(Raw!A721="","",Raw!A721)&amp;"|"&amp;LEN(IF(Raw!B721="","",Raw!B721))&amp;":"&amp;IF(Raw!B721="","",Raw!B721)&amp;"|"&amp;LEN(IF(Raw!C721="","",Raw!C721))&amp;":"&amp;IF(Raw!C721="","",Raw!C721)&amp;"|"&amp;LEN(IF(Raw!D721="","",Raw!D721))&amp;":"&amp;IF(Raw!D721="","",Raw!D721)&amp;"|"&amp;LEN(IF(Raw!E721="","",Raw!E721))&amp;":"&amp;IF(Raw!E721="","",Raw!E721)&amp;"|"&amp;LEN(IF(Raw!F721="","",Raw!F721))&amp;":"&amp;IF(Raw!F721="","",Raw!F721)&amp;"|"&amp;LEN(IF(Raw!G721="","",Raw!G721))&amp;":"&amp;IF(Raw!G721="","",Raw!G721)</f>
        <v>6:L00715|6:T00358|10:2026-03-11|3:P-A|11:Accessories|4:sale|6:116.68</v>
      </c>
      <c r="Q721" s="1">
        <f>1</f>
        <v>1</v>
      </c>
      <c r="R721" s="1" t="b">
        <f>FALSE</f>
        <v>0</v>
      </c>
      <c r="S721" s="1">
        <f>1</f>
        <v>1</v>
      </c>
      <c r="T721" s="1" t="str">
        <f>IF(AND(Raw!A721="",Raw!B721="",Raw!C721="",Raw!D721="",Raw!E721="",Raw!F721="",Raw!G721=""),"UNUSED",IF(A721="","missing line ID",IF(B721="","missing transaction ID",IF(G721="",IF(C721="","missing date","invalid date"),IF(I721="","unknown product",IF(J721="","conflicting category",IF(NOT(OR(EXACT(K721,"sale"),EXACT(K721,"refund"))),"unknown event",IF(OR(N721="",NOT(O721)),"invalid amount",IF(OR(AND(K721="sale",N721&lt;=0),AND(K721="refund",N721&gt;=0)),"invalid sign","")))))))))</f>
        <v/>
      </c>
      <c r="U721" s="1" t="str">
        <f t="shared" si="93"/>
        <v>INCLUDED</v>
      </c>
      <c r="V721" s="1" t="str">
        <f t="shared" si="94"/>
        <v>2026-03</v>
      </c>
      <c r="W721" s="1">
        <f>IF(AND(U721="INCLUDED",X721&gt;0,EXACT(A721,'AI output'!A721)),1,0)</f>
        <v>1</v>
      </c>
      <c r="X721" s="1">
        <f>721</f>
        <v>721</v>
      </c>
      <c r="Y721" s="1">
        <f>IF(AND(U721="INCLUDED",W721=1),--(NOT(EXACT(A721,'AI output'!A721)))+--(NOT(EXACT(B721,'AI output'!B721)))+--(NOT(EXACT(TEXT(G721,"yyyy-mm-dd"),'AI output'!C721)))+--(NOT(EXACT(H721,'AI output'!D721)))+--(NOT(EXACT(J721,'AI output'!E721)))+--(NOT(EXACT(K721,'AI output'!F721)))+--(N721&lt;&gt;'AI output'!L721)+--(NOT('AI output'!M721)),0)</f>
        <v>0</v>
      </c>
      <c r="Z721" s="1">
        <f t="shared" si="95"/>
        <v>0</v>
      </c>
      <c r="AA721" s="1">
        <f>--EXACT(A721,"L00715")</f>
        <v>1</v>
      </c>
    </row>
    <row r="722" spans="1:27" ht="18.95" customHeight="1">
      <c r="A722" s="1" t="str">
        <f>IF(Raw!A722="","",Raw!A722)</f>
        <v>L00716</v>
      </c>
      <c r="B722" s="1" t="str">
        <f>IF(Raw!B722="","",Raw!B722)</f>
        <v>T00358</v>
      </c>
      <c r="C722" s="1" t="str">
        <f>IF(Raw!C722="","",Raw!C722)</f>
        <v>2026-03-11</v>
      </c>
      <c r="D722" s="1">
        <f t="shared" si="88"/>
        <v>2026</v>
      </c>
      <c r="E722" s="1">
        <f>IFERROR(IF(AND(LEN(C722)=10,MID(C722,5,1)="-",MID(C722,8,1)="-"),VALUE(MID(C722,6,2)),IF(AND(LEN(C722)=11,MID(C722,3,1)="-",MID(C722,7,1)="-"),MATCH(UPPER(MID(C722,4,3)),Guide!$D$7:$D$18,0),0)),0)</f>
        <v>3</v>
      </c>
      <c r="F722" s="1">
        <f t="shared" si="89"/>
        <v>11</v>
      </c>
      <c r="G722" s="9">
        <f t="shared" si="90"/>
        <v>46092</v>
      </c>
      <c r="H722" s="1" t="str">
        <f>IF(Raw!D722="","",Raw!D722)</f>
        <v>P-H</v>
      </c>
      <c r="I722" s="1" t="str">
        <f>IFERROR(IF(EXACT(H722,INDEX(Guide!$A$7:$A$9,MATCH(SUBSTITUTE(SUBSTITUTE(SUBSTITUTE(H722,"~","~~"),"*","~*"),"?","~?"),Guide!$A$7:$A$9,0))),INDEX(Guide!$B$7:$B$9,MATCH(SUBSTITUTE(SUBSTITUTE(SUBSTITUTE(H722,"~","~~"),"*","~*"),"?","~?"),Guide!$A$7:$A$9,0)),""),"")</f>
        <v>Home</v>
      </c>
      <c r="J722" s="1" t="str">
        <f>IF(TRIM(Raw!E722)="",I722,IF(UPPER(TRIM(Raw!E722))=UPPER(I722),I722,""))</f>
        <v>Home</v>
      </c>
      <c r="K722" s="1" t="str">
        <f>IF(Raw!F722="","",Raw!F722)</f>
        <v>sale</v>
      </c>
      <c r="L722" s="1" t="str">
        <f>IF(LEFT(TRIM(Raw!G722),2)="-$","-"&amp;MID(TRIM(Raw!G722),3,99),IF(LEFT(TRIM(Raw!G722),1)="$",MID(TRIM(Raw!G722),2,99),TRIM(Raw!G722)))</f>
        <v>29.54</v>
      </c>
      <c r="M722" s="1">
        <f t="shared" si="91"/>
        <v>29.54</v>
      </c>
      <c r="N722" s="10">
        <f t="shared" si="92"/>
        <v>2954</v>
      </c>
      <c r="O722" s="1" t="b">
        <f>IFERROR(IF(ISNUMBER(Raw!G722),TRUE,OR(EXACT(L722,TEXT(M722,"0.00")),EXACT(L722,TEXT(M722,"#,##0.00")))),FALSE)</f>
        <v>1</v>
      </c>
      <c r="P722" s="1" t="str">
        <f>LEN(IF(Raw!A722="","",Raw!A722))&amp;":"&amp;IF(Raw!A722="","",Raw!A722)&amp;"|"&amp;LEN(IF(Raw!B722="","",Raw!B722))&amp;":"&amp;IF(Raw!B722="","",Raw!B722)&amp;"|"&amp;LEN(IF(Raw!C722="","",Raw!C722))&amp;":"&amp;IF(Raw!C722="","",Raw!C722)&amp;"|"&amp;LEN(IF(Raw!D722="","",Raw!D722))&amp;":"&amp;IF(Raw!D722="","",Raw!D722)&amp;"|"&amp;LEN(IF(Raw!E722="","",Raw!E722))&amp;":"&amp;IF(Raw!E722="","",Raw!E722)&amp;"|"&amp;LEN(IF(Raw!F722="","",Raw!F722))&amp;":"&amp;IF(Raw!F722="","",Raw!F722)&amp;"|"&amp;LEN(IF(Raw!G722="","",Raw!G722))&amp;":"&amp;IF(Raw!G722="","",Raw!G722)</f>
        <v>6:L00716|6:T00358|10:2026-03-11|3:P-H|4:Home|4:sale|5:29.54</v>
      </c>
      <c r="Q722" s="1">
        <f>1</f>
        <v>1</v>
      </c>
      <c r="R722" s="1" t="b">
        <f>FALSE</f>
        <v>0</v>
      </c>
      <c r="S722" s="1">
        <f>1</f>
        <v>1</v>
      </c>
      <c r="T722" s="1" t="str">
        <f>IF(AND(Raw!A722="",Raw!B722="",Raw!C722="",Raw!D722="",Raw!E722="",Raw!F722="",Raw!G722=""),"UNUSED",IF(A722="","missing line ID",IF(B722="","missing transaction ID",IF(G722="",IF(C722="","missing date","invalid date"),IF(I722="","unknown product",IF(J722="","conflicting category",IF(NOT(OR(EXACT(K722,"sale"),EXACT(K722,"refund"))),"unknown event",IF(OR(N722="",NOT(O722)),"invalid amount",IF(OR(AND(K722="sale",N722&lt;=0),AND(K722="refund",N722&gt;=0)),"invalid sign","")))))))))</f>
        <v/>
      </c>
      <c r="U722" s="1" t="str">
        <f t="shared" si="93"/>
        <v>INCLUDED</v>
      </c>
      <c r="V722" s="1" t="str">
        <f t="shared" si="94"/>
        <v>2026-03</v>
      </c>
      <c r="W722" s="1">
        <f>IF(AND(U722="INCLUDED",X722&gt;0,EXACT(A722,'AI output'!A722)),1,0)</f>
        <v>1</v>
      </c>
      <c r="X722" s="1">
        <f>722</f>
        <v>722</v>
      </c>
      <c r="Y722" s="1">
        <f>IF(AND(U722="INCLUDED",W722=1),--(NOT(EXACT(A722,'AI output'!A722)))+--(NOT(EXACT(B722,'AI output'!B722)))+--(NOT(EXACT(TEXT(G722,"yyyy-mm-dd"),'AI output'!C722)))+--(NOT(EXACT(H722,'AI output'!D722)))+--(NOT(EXACT(J722,'AI output'!E722)))+--(NOT(EXACT(K722,'AI output'!F722)))+--(N722&lt;&gt;'AI output'!L722)+--(NOT('AI output'!M722)),0)</f>
        <v>0</v>
      </c>
      <c r="Z722" s="1">
        <f t="shared" si="95"/>
        <v>0</v>
      </c>
      <c r="AA722" s="1">
        <f>--EXACT(A722,"L00716")</f>
        <v>1</v>
      </c>
    </row>
    <row r="723" spans="1:27" ht="18.95" customHeight="1">
      <c r="A723" s="1" t="str">
        <f>IF(Raw!A723="","",Raw!A723)</f>
        <v>L00717</v>
      </c>
      <c r="B723" s="1" t="str">
        <f>IF(Raw!B723="","",Raw!B723)</f>
        <v>T00359</v>
      </c>
      <c r="C723" s="1" t="str">
        <f>IF(Raw!C723="","",Raw!C723)</f>
        <v>2026-03-18</v>
      </c>
      <c r="D723" s="1">
        <f t="shared" si="88"/>
        <v>2026</v>
      </c>
      <c r="E723" s="1">
        <f>IFERROR(IF(AND(LEN(C723)=10,MID(C723,5,1)="-",MID(C723,8,1)="-"),VALUE(MID(C723,6,2)),IF(AND(LEN(C723)=11,MID(C723,3,1)="-",MID(C723,7,1)="-"),MATCH(UPPER(MID(C723,4,3)),Guide!$D$7:$D$18,0),0)),0)</f>
        <v>3</v>
      </c>
      <c r="F723" s="1">
        <f t="shared" si="89"/>
        <v>18</v>
      </c>
      <c r="G723" s="9">
        <f t="shared" si="90"/>
        <v>46099</v>
      </c>
      <c r="H723" s="1" t="str">
        <f>IF(Raw!D723="","",Raw!D723)</f>
        <v>P-O</v>
      </c>
      <c r="I723" s="1" t="str">
        <f>IFERROR(IF(EXACT(H723,INDEX(Guide!$A$7:$A$9,MATCH(SUBSTITUTE(SUBSTITUTE(SUBSTITUTE(H723,"~","~~"),"*","~*"),"?","~?"),Guide!$A$7:$A$9,0))),INDEX(Guide!$B$7:$B$9,MATCH(SUBSTITUTE(SUBSTITUTE(SUBSTITUTE(H723,"~","~~"),"*","~*"),"?","~?"),Guide!$A$7:$A$9,0)),""),"")</f>
        <v>Office</v>
      </c>
      <c r="J723" s="1" t="str">
        <f>IF(TRIM(Raw!E723)="",I723,IF(UPPER(TRIM(Raw!E723))=UPPER(I723),I723,""))</f>
        <v>Office</v>
      </c>
      <c r="K723" s="1" t="str">
        <f>IF(Raw!F723="","",Raw!F723)</f>
        <v>sale</v>
      </c>
      <c r="L723" s="1" t="str">
        <f>IF(LEFT(TRIM(Raw!G723),2)="-$","-"&amp;MID(TRIM(Raw!G723),3,99),IF(LEFT(TRIM(Raw!G723),1)="$",MID(TRIM(Raw!G723),2,99),TRIM(Raw!G723)))</f>
        <v>89.73</v>
      </c>
      <c r="M723" s="1">
        <f t="shared" si="91"/>
        <v>89.73</v>
      </c>
      <c r="N723" s="10">
        <f t="shared" si="92"/>
        <v>8973</v>
      </c>
      <c r="O723" s="1" t="b">
        <f>IFERROR(IF(ISNUMBER(Raw!G723),TRUE,OR(EXACT(L723,TEXT(M723,"0.00")),EXACT(L723,TEXT(M723,"#,##0.00")))),FALSE)</f>
        <v>1</v>
      </c>
      <c r="P723" s="1" t="str">
        <f>LEN(IF(Raw!A723="","",Raw!A723))&amp;":"&amp;IF(Raw!A723="","",Raw!A723)&amp;"|"&amp;LEN(IF(Raw!B723="","",Raw!B723))&amp;":"&amp;IF(Raw!B723="","",Raw!B723)&amp;"|"&amp;LEN(IF(Raw!C723="","",Raw!C723))&amp;":"&amp;IF(Raw!C723="","",Raw!C723)&amp;"|"&amp;LEN(IF(Raw!D723="","",Raw!D723))&amp;":"&amp;IF(Raw!D723="","",Raw!D723)&amp;"|"&amp;LEN(IF(Raw!E723="","",Raw!E723))&amp;":"&amp;IF(Raw!E723="","",Raw!E723)&amp;"|"&amp;LEN(IF(Raw!F723="","",Raw!F723))&amp;":"&amp;IF(Raw!F723="","",Raw!F723)&amp;"|"&amp;LEN(IF(Raw!G723="","",Raw!G723))&amp;":"&amp;IF(Raw!G723="","",Raw!G723)</f>
        <v>6:L00717|6:T00359|10:2026-03-18|3:P-O|6:Office|4:sale|5:89.73</v>
      </c>
      <c r="Q723" s="1">
        <f>1</f>
        <v>1</v>
      </c>
      <c r="R723" s="1" t="b">
        <f>FALSE</f>
        <v>0</v>
      </c>
      <c r="S723" s="1">
        <f>1</f>
        <v>1</v>
      </c>
      <c r="T723" s="1" t="str">
        <f>IF(AND(Raw!A723="",Raw!B723="",Raw!C723="",Raw!D723="",Raw!E723="",Raw!F723="",Raw!G723=""),"UNUSED",IF(A723="","missing line ID",IF(B723="","missing transaction ID",IF(G723="",IF(C723="","missing date","invalid date"),IF(I723="","unknown product",IF(J723="","conflicting category",IF(NOT(OR(EXACT(K723,"sale"),EXACT(K723,"refund"))),"unknown event",IF(OR(N723="",NOT(O723)),"invalid amount",IF(OR(AND(K723="sale",N723&lt;=0),AND(K723="refund",N723&gt;=0)),"invalid sign","")))))))))</f>
        <v/>
      </c>
      <c r="U723" s="1" t="str">
        <f t="shared" si="93"/>
        <v>INCLUDED</v>
      </c>
      <c r="V723" s="1" t="str">
        <f t="shared" si="94"/>
        <v>2026-03</v>
      </c>
      <c r="W723" s="1">
        <f>IF(AND(U723="INCLUDED",X723&gt;0,EXACT(A723,'AI output'!A723)),1,0)</f>
        <v>1</v>
      </c>
      <c r="X723" s="1">
        <f>723</f>
        <v>723</v>
      </c>
      <c r="Y723" s="1">
        <f>IF(AND(U723="INCLUDED",W723=1),--(NOT(EXACT(A723,'AI output'!A723)))+--(NOT(EXACT(B723,'AI output'!B723)))+--(NOT(EXACT(TEXT(G723,"yyyy-mm-dd"),'AI output'!C723)))+--(NOT(EXACT(H723,'AI output'!D723)))+--(NOT(EXACT(J723,'AI output'!E723)))+--(NOT(EXACT(K723,'AI output'!F723)))+--(N723&lt;&gt;'AI output'!L723)+--(NOT('AI output'!M723)),0)</f>
        <v>0</v>
      </c>
      <c r="Z723" s="1">
        <f t="shared" si="95"/>
        <v>0</v>
      </c>
      <c r="AA723" s="1">
        <f>--EXACT(A723,"L00717")</f>
        <v>1</v>
      </c>
    </row>
    <row r="724" spans="1:27" ht="18.95" customHeight="1">
      <c r="A724" s="1" t="str">
        <f>IF(Raw!A724="","",Raw!A724)</f>
        <v>L00718</v>
      </c>
      <c r="B724" s="1" t="str">
        <f>IF(Raw!B724="","",Raw!B724)</f>
        <v>T00359</v>
      </c>
      <c r="C724" s="1" t="str">
        <f>IF(Raw!C724="","",Raw!C724)</f>
        <v>2026-03-18</v>
      </c>
      <c r="D724" s="1">
        <f t="shared" si="88"/>
        <v>2026</v>
      </c>
      <c r="E724" s="1">
        <f>IFERROR(IF(AND(LEN(C724)=10,MID(C724,5,1)="-",MID(C724,8,1)="-"),VALUE(MID(C724,6,2)),IF(AND(LEN(C724)=11,MID(C724,3,1)="-",MID(C724,7,1)="-"),MATCH(UPPER(MID(C724,4,3)),Guide!$D$7:$D$18,0),0)),0)</f>
        <v>3</v>
      </c>
      <c r="F724" s="1">
        <f t="shared" si="89"/>
        <v>18</v>
      </c>
      <c r="G724" s="9">
        <f t="shared" si="90"/>
        <v>46099</v>
      </c>
      <c r="H724" s="1" t="str">
        <f>IF(Raw!D724="","",Raw!D724)</f>
        <v>P-A</v>
      </c>
      <c r="I724" s="1" t="str">
        <f>IFERROR(IF(EXACT(H724,INDEX(Guide!$A$7:$A$9,MATCH(SUBSTITUTE(SUBSTITUTE(SUBSTITUTE(H724,"~","~~"),"*","~*"),"?","~?"),Guide!$A$7:$A$9,0))),INDEX(Guide!$B$7:$B$9,MATCH(SUBSTITUTE(SUBSTITUTE(SUBSTITUTE(H724,"~","~~"),"*","~*"),"?","~?"),Guide!$A$7:$A$9,0)),""),"")</f>
        <v>Accessories</v>
      </c>
      <c r="J724" s="1" t="str">
        <f>IF(TRIM(Raw!E724)="",I724,IF(UPPER(TRIM(Raw!E724))=UPPER(I724),I724,""))</f>
        <v>Accessories</v>
      </c>
      <c r="K724" s="1" t="str">
        <f>IF(Raw!F724="","",Raw!F724)</f>
        <v>sale</v>
      </c>
      <c r="L724" s="1" t="str">
        <f>IF(LEFT(TRIM(Raw!G724),2)="-$","-"&amp;MID(TRIM(Raw!G724),3,99),IF(LEFT(TRIM(Raw!G724),1)="$",MID(TRIM(Raw!G724),2,99),TRIM(Raw!G724)))</f>
        <v>151.40</v>
      </c>
      <c r="M724" s="1">
        <f t="shared" si="91"/>
        <v>151.4</v>
      </c>
      <c r="N724" s="10">
        <f t="shared" si="92"/>
        <v>15140</v>
      </c>
      <c r="O724" s="1" t="b">
        <f>IFERROR(IF(ISNUMBER(Raw!G724),TRUE,OR(EXACT(L724,TEXT(M724,"0.00")),EXACT(L724,TEXT(M724,"#,##0.00")))),FALSE)</f>
        <v>1</v>
      </c>
      <c r="P724" s="1" t="str">
        <f>LEN(IF(Raw!A724="","",Raw!A724))&amp;":"&amp;IF(Raw!A724="","",Raw!A724)&amp;"|"&amp;LEN(IF(Raw!B724="","",Raw!B724))&amp;":"&amp;IF(Raw!B724="","",Raw!B724)&amp;"|"&amp;LEN(IF(Raw!C724="","",Raw!C724))&amp;":"&amp;IF(Raw!C724="","",Raw!C724)&amp;"|"&amp;LEN(IF(Raw!D724="","",Raw!D724))&amp;":"&amp;IF(Raw!D724="","",Raw!D724)&amp;"|"&amp;LEN(IF(Raw!E724="","",Raw!E724))&amp;":"&amp;IF(Raw!E724="","",Raw!E724)&amp;"|"&amp;LEN(IF(Raw!F724="","",Raw!F724))&amp;":"&amp;IF(Raw!F724="","",Raw!F724)&amp;"|"&amp;LEN(IF(Raw!G724="","",Raw!G724))&amp;":"&amp;IF(Raw!G724="","",Raw!G724)</f>
        <v>6:L00718|6:T00359|10:2026-03-18|3:P-A|11:Accessories|4:sale|6:151.40</v>
      </c>
      <c r="Q724" s="1">
        <f>1</f>
        <v>1</v>
      </c>
      <c r="R724" s="1" t="b">
        <f>FALSE</f>
        <v>0</v>
      </c>
      <c r="S724" s="1">
        <f>1</f>
        <v>1</v>
      </c>
      <c r="T724" s="1" t="str">
        <f>IF(AND(Raw!A724="",Raw!B724="",Raw!C724="",Raw!D724="",Raw!E724="",Raw!F724="",Raw!G724=""),"UNUSED",IF(A724="","missing line ID",IF(B724="","missing transaction ID",IF(G724="",IF(C724="","missing date","invalid date"),IF(I724="","unknown product",IF(J724="","conflicting category",IF(NOT(OR(EXACT(K724,"sale"),EXACT(K724,"refund"))),"unknown event",IF(OR(N724="",NOT(O724)),"invalid amount",IF(OR(AND(K724="sale",N724&lt;=0),AND(K724="refund",N724&gt;=0)),"invalid sign","")))))))))</f>
        <v/>
      </c>
      <c r="U724" s="1" t="str">
        <f t="shared" si="93"/>
        <v>INCLUDED</v>
      </c>
      <c r="V724" s="1" t="str">
        <f t="shared" si="94"/>
        <v>2026-03</v>
      </c>
      <c r="W724" s="1">
        <f>IF(AND(U724="INCLUDED",X724&gt;0,EXACT(A724,'AI output'!A724)),1,0)</f>
        <v>1</v>
      </c>
      <c r="X724" s="1">
        <f>724</f>
        <v>724</v>
      </c>
      <c r="Y724" s="1">
        <f>IF(AND(U724="INCLUDED",W724=1),--(NOT(EXACT(A724,'AI output'!A724)))+--(NOT(EXACT(B724,'AI output'!B724)))+--(NOT(EXACT(TEXT(G724,"yyyy-mm-dd"),'AI output'!C724)))+--(NOT(EXACT(H724,'AI output'!D724)))+--(NOT(EXACT(J724,'AI output'!E724)))+--(NOT(EXACT(K724,'AI output'!F724)))+--(N724&lt;&gt;'AI output'!L724)+--(NOT('AI output'!M724)),0)</f>
        <v>0</v>
      </c>
      <c r="Z724" s="1">
        <f t="shared" si="95"/>
        <v>0</v>
      </c>
      <c r="AA724" s="1">
        <f>--EXACT(A724,"L00718")</f>
        <v>1</v>
      </c>
    </row>
    <row r="725" spans="1:27" ht="18.95" customHeight="1">
      <c r="A725" s="1" t="str">
        <f>IF(Raw!A725="","",Raw!A725)</f>
        <v>L00719</v>
      </c>
      <c r="B725" s="1" t="str">
        <f>IF(Raw!B725="","",Raw!B725)</f>
        <v>T00360</v>
      </c>
      <c r="C725" s="1" t="str">
        <f>IF(Raw!C725="","",Raw!C725)</f>
        <v>25-Mar-2026</v>
      </c>
      <c r="D725" s="1">
        <f t="shared" si="88"/>
        <v>2026</v>
      </c>
      <c r="E725" s="1">
        <f>IFERROR(IF(AND(LEN(C725)=10,MID(C725,5,1)="-",MID(C725,8,1)="-"),VALUE(MID(C725,6,2)),IF(AND(LEN(C725)=11,MID(C725,3,1)="-",MID(C725,7,1)="-"),MATCH(UPPER(MID(C725,4,3)),Guide!$D$7:$D$18,0),0)),0)</f>
        <v>3</v>
      </c>
      <c r="F725" s="1">
        <f t="shared" si="89"/>
        <v>25</v>
      </c>
      <c r="G725" s="9">
        <f t="shared" si="90"/>
        <v>46106</v>
      </c>
      <c r="H725" s="1" t="str">
        <f>IF(Raw!D725="","",Raw!D725)</f>
        <v>P-H</v>
      </c>
      <c r="I725" s="1" t="str">
        <f>IFERROR(IF(EXACT(H725,INDEX(Guide!$A$7:$A$9,MATCH(SUBSTITUTE(SUBSTITUTE(SUBSTITUTE(H725,"~","~~"),"*","~*"),"?","~?"),Guide!$A$7:$A$9,0))),INDEX(Guide!$B$7:$B$9,MATCH(SUBSTITUTE(SUBSTITUTE(SUBSTITUTE(H725,"~","~~"),"*","~*"),"?","~?"),Guide!$A$7:$A$9,0)),""),"")</f>
        <v>Home</v>
      </c>
      <c r="J725" s="1" t="str">
        <f>IF(TRIM(Raw!E725)="",I725,IF(UPPER(TRIM(Raw!E725))=UPPER(I725),I725,""))</f>
        <v>Home</v>
      </c>
      <c r="K725" s="1" t="str">
        <f>IF(Raw!F725="","",Raw!F725)</f>
        <v>sale</v>
      </c>
      <c r="L725" s="1" t="str">
        <f>IF(LEFT(TRIM(Raw!G725),2)="-$","-"&amp;MID(TRIM(Raw!G725),3,99),IF(LEFT(TRIM(Raw!G725),1)="$",MID(TRIM(Raw!G725),2,99),TRIM(Raw!G725)))</f>
        <v>61.30</v>
      </c>
      <c r="M725" s="1">
        <f t="shared" si="91"/>
        <v>61.3</v>
      </c>
      <c r="N725" s="10">
        <f t="shared" si="92"/>
        <v>6130</v>
      </c>
      <c r="O725" s="1" t="b">
        <f>IFERROR(IF(ISNUMBER(Raw!G725),TRUE,OR(EXACT(L725,TEXT(M725,"0.00")),EXACT(L725,TEXT(M725,"#,##0.00")))),FALSE)</f>
        <v>1</v>
      </c>
      <c r="P725" s="1" t="str">
        <f>LEN(IF(Raw!A725="","",Raw!A725))&amp;":"&amp;IF(Raw!A725="","",Raw!A725)&amp;"|"&amp;LEN(IF(Raw!B725="","",Raw!B725))&amp;":"&amp;IF(Raw!B725="","",Raw!B725)&amp;"|"&amp;LEN(IF(Raw!C725="","",Raw!C725))&amp;":"&amp;IF(Raw!C725="","",Raw!C725)&amp;"|"&amp;LEN(IF(Raw!D725="","",Raw!D725))&amp;":"&amp;IF(Raw!D725="","",Raw!D725)&amp;"|"&amp;LEN(IF(Raw!E725="","",Raw!E725))&amp;":"&amp;IF(Raw!E725="","",Raw!E725)&amp;"|"&amp;LEN(IF(Raw!F725="","",Raw!F725))&amp;":"&amp;IF(Raw!F725="","",Raw!F725)&amp;"|"&amp;LEN(IF(Raw!G725="","",Raw!G725))&amp;":"&amp;IF(Raw!G725="","",Raw!G725)</f>
        <v>6:L00719|6:T00360|11:25-Mar-2026|3:P-H|4:Home|4:sale|5:61.30</v>
      </c>
      <c r="Q725" s="1">
        <f>1</f>
        <v>1</v>
      </c>
      <c r="R725" s="1" t="b">
        <f>FALSE</f>
        <v>0</v>
      </c>
      <c r="S725" s="1">
        <f>1</f>
        <v>1</v>
      </c>
      <c r="T725" s="1" t="str">
        <f>IF(AND(Raw!A725="",Raw!B725="",Raw!C725="",Raw!D725="",Raw!E725="",Raw!F725="",Raw!G725=""),"UNUSED",IF(A725="","missing line ID",IF(B725="","missing transaction ID",IF(G725="",IF(C725="","missing date","invalid date"),IF(I725="","unknown product",IF(J725="","conflicting category",IF(NOT(OR(EXACT(K725,"sale"),EXACT(K725,"refund"))),"unknown event",IF(OR(N725="",NOT(O725)),"invalid amount",IF(OR(AND(K725="sale",N725&lt;=0),AND(K725="refund",N725&gt;=0)),"invalid sign","")))))))))</f>
        <v/>
      </c>
      <c r="U725" s="1" t="str">
        <f t="shared" si="93"/>
        <v>INCLUDED</v>
      </c>
      <c r="V725" s="1" t="str">
        <f t="shared" si="94"/>
        <v>2026-03</v>
      </c>
      <c r="W725" s="1">
        <f>IF(AND(U725="INCLUDED",X725&gt;0,EXACT(A725,'AI output'!A725)),1,0)</f>
        <v>1</v>
      </c>
      <c r="X725" s="1">
        <f>725</f>
        <v>725</v>
      </c>
      <c r="Y725" s="1">
        <f>IF(AND(U725="INCLUDED",W725=1),--(NOT(EXACT(A725,'AI output'!A725)))+--(NOT(EXACT(B725,'AI output'!B725)))+--(NOT(EXACT(TEXT(G725,"yyyy-mm-dd"),'AI output'!C725)))+--(NOT(EXACT(H725,'AI output'!D725)))+--(NOT(EXACT(J725,'AI output'!E725)))+--(NOT(EXACT(K725,'AI output'!F725)))+--(N725&lt;&gt;'AI output'!L725)+--(NOT('AI output'!M725)),0)</f>
        <v>0</v>
      </c>
      <c r="Z725" s="1">
        <f t="shared" si="95"/>
        <v>0</v>
      </c>
      <c r="AA725" s="1">
        <f>--EXACT(A725,"L00719")</f>
        <v>1</v>
      </c>
    </row>
    <row r="726" spans="1:27" ht="18.95" customHeight="1">
      <c r="A726" s="1" t="str">
        <f>IF(Raw!A726="","",Raw!A726)</f>
        <v>L00720</v>
      </c>
      <c r="B726" s="1" t="str">
        <f>IF(Raw!B726="","",Raw!B726)</f>
        <v>T00360</v>
      </c>
      <c r="C726" s="1" t="str">
        <f>IF(Raw!C726="","",Raw!C726)</f>
        <v>2026-03-25</v>
      </c>
      <c r="D726" s="1">
        <f t="shared" si="88"/>
        <v>2026</v>
      </c>
      <c r="E726" s="1">
        <f>IFERROR(IF(AND(LEN(C726)=10,MID(C726,5,1)="-",MID(C726,8,1)="-"),VALUE(MID(C726,6,2)),IF(AND(LEN(C726)=11,MID(C726,3,1)="-",MID(C726,7,1)="-"),MATCH(UPPER(MID(C726,4,3)),Guide!$D$7:$D$18,0),0)),0)</f>
        <v>3</v>
      </c>
      <c r="F726" s="1">
        <f t="shared" si="89"/>
        <v>25</v>
      </c>
      <c r="G726" s="9">
        <f t="shared" si="90"/>
        <v>46106</v>
      </c>
      <c r="H726" s="1" t="str">
        <f>IF(Raw!D726="","",Raw!D726)</f>
        <v>P-O</v>
      </c>
      <c r="I726" s="1" t="str">
        <f>IFERROR(IF(EXACT(H726,INDEX(Guide!$A$7:$A$9,MATCH(SUBSTITUTE(SUBSTITUTE(SUBSTITUTE(H726,"~","~~"),"*","~*"),"?","~?"),Guide!$A$7:$A$9,0))),INDEX(Guide!$B$7:$B$9,MATCH(SUBSTITUTE(SUBSTITUTE(SUBSTITUTE(H726,"~","~~"),"*","~*"),"?","~?"),Guide!$A$7:$A$9,0)),""),"")</f>
        <v>Office</v>
      </c>
      <c r="J726" s="1" t="str">
        <f>IF(TRIM(Raw!E726)="",I726,IF(UPPER(TRIM(Raw!E726))=UPPER(I726),I726,""))</f>
        <v>Office</v>
      </c>
      <c r="K726" s="1" t="str">
        <f>IF(Raw!F726="","",Raw!F726)</f>
        <v>sale</v>
      </c>
      <c r="L726" s="1" t="str">
        <f>IF(LEFT(TRIM(Raw!G726),2)="-$","-"&amp;MID(TRIM(Raw!G726),3,99),IF(LEFT(TRIM(Raw!G726),1)="$",MID(TRIM(Raw!G726),2,99),TRIM(Raw!G726)))</f>
        <v>124.08</v>
      </c>
      <c r="M726" s="1">
        <f t="shared" si="91"/>
        <v>124.08</v>
      </c>
      <c r="N726" s="10">
        <f t="shared" si="92"/>
        <v>12408</v>
      </c>
      <c r="O726" s="1" t="b">
        <f>IFERROR(IF(ISNUMBER(Raw!G726),TRUE,OR(EXACT(L726,TEXT(M726,"0.00")),EXACT(L726,TEXT(M726,"#,##0.00")))),FALSE)</f>
        <v>1</v>
      </c>
      <c r="P726" s="1" t="str">
        <f>LEN(IF(Raw!A726="","",Raw!A726))&amp;":"&amp;IF(Raw!A726="","",Raw!A726)&amp;"|"&amp;LEN(IF(Raw!B726="","",Raw!B726))&amp;":"&amp;IF(Raw!B726="","",Raw!B726)&amp;"|"&amp;LEN(IF(Raw!C726="","",Raw!C726))&amp;":"&amp;IF(Raw!C726="","",Raw!C726)&amp;"|"&amp;LEN(IF(Raw!D726="","",Raw!D726))&amp;":"&amp;IF(Raw!D726="","",Raw!D726)&amp;"|"&amp;LEN(IF(Raw!E726="","",Raw!E726))&amp;":"&amp;IF(Raw!E726="","",Raw!E726)&amp;"|"&amp;LEN(IF(Raw!F726="","",Raw!F726))&amp;":"&amp;IF(Raw!F726="","",Raw!F726)&amp;"|"&amp;LEN(IF(Raw!G726="","",Raw!G726))&amp;":"&amp;IF(Raw!G726="","",Raw!G726)</f>
        <v>6:L00720|6:T00360|10:2026-03-25|3:P-O|6:Office|4:sale|6:124.08</v>
      </c>
      <c r="Q726" s="1">
        <f>1</f>
        <v>1</v>
      </c>
      <c r="R726" s="1" t="b">
        <f>FALSE</f>
        <v>0</v>
      </c>
      <c r="S726" s="1">
        <f>1</f>
        <v>1</v>
      </c>
      <c r="T726" s="1" t="str">
        <f>IF(AND(Raw!A726="",Raw!B726="",Raw!C726="",Raw!D726="",Raw!E726="",Raw!F726="",Raw!G726=""),"UNUSED",IF(A726="","missing line ID",IF(B726="","missing transaction ID",IF(G726="",IF(C726="","missing date","invalid date"),IF(I726="","unknown product",IF(J726="","conflicting category",IF(NOT(OR(EXACT(K726,"sale"),EXACT(K726,"refund"))),"unknown event",IF(OR(N726="",NOT(O726)),"invalid amount",IF(OR(AND(K726="sale",N726&lt;=0),AND(K726="refund",N726&gt;=0)),"invalid sign","")))))))))</f>
        <v/>
      </c>
      <c r="U726" s="1" t="str">
        <f t="shared" si="93"/>
        <v>INCLUDED</v>
      </c>
      <c r="V726" s="1" t="str">
        <f t="shared" si="94"/>
        <v>2026-03</v>
      </c>
      <c r="W726" s="1">
        <f>IF(AND(U726="INCLUDED",X726&gt;0,EXACT(A726,'AI output'!A726)),1,0)</f>
        <v>1</v>
      </c>
      <c r="X726" s="1">
        <f>726</f>
        <v>726</v>
      </c>
      <c r="Y726" s="1">
        <f>IF(AND(U726="INCLUDED",W726=1),--(NOT(EXACT(A726,'AI output'!A726)))+--(NOT(EXACT(B726,'AI output'!B726)))+--(NOT(EXACT(TEXT(G726,"yyyy-mm-dd"),'AI output'!C726)))+--(NOT(EXACT(H726,'AI output'!D726)))+--(NOT(EXACT(J726,'AI output'!E726)))+--(NOT(EXACT(K726,'AI output'!F726)))+--(N726&lt;&gt;'AI output'!L726)+--(NOT('AI output'!M726)),0)</f>
        <v>0</v>
      </c>
      <c r="Z726" s="1">
        <f t="shared" si="95"/>
        <v>0</v>
      </c>
      <c r="AA726" s="1">
        <f>--EXACT(A726,"L00720")</f>
        <v>1</v>
      </c>
    </row>
    <row r="727" spans="1:27" ht="18.95" customHeight="1">
      <c r="A727" s="1" t="str">
        <f>IF(Raw!A727="","",Raw!A727)</f>
        <v>L00721</v>
      </c>
      <c r="B727" s="1" t="str">
        <f>IF(Raw!B727="","",Raw!B727)</f>
        <v>T00361</v>
      </c>
      <c r="C727" s="1" t="str">
        <f>IF(Raw!C727="","",Raw!C727)</f>
        <v>2026-01-01</v>
      </c>
      <c r="D727" s="1">
        <f t="shared" si="88"/>
        <v>2026</v>
      </c>
      <c r="E727" s="1">
        <f>IFERROR(IF(AND(LEN(C727)=10,MID(C727,5,1)="-",MID(C727,8,1)="-"),VALUE(MID(C727,6,2)),IF(AND(LEN(C727)=11,MID(C727,3,1)="-",MID(C727,7,1)="-"),MATCH(UPPER(MID(C727,4,3)),Guide!$D$7:$D$18,0),0)),0)</f>
        <v>1</v>
      </c>
      <c r="F727" s="1">
        <f t="shared" si="89"/>
        <v>1</v>
      </c>
      <c r="G727" s="9">
        <f t="shared" si="90"/>
        <v>46023</v>
      </c>
      <c r="H727" s="1" t="str">
        <f>IF(Raw!D727="","",Raw!D727)</f>
        <v>P-A</v>
      </c>
      <c r="I727" s="1" t="str">
        <f>IFERROR(IF(EXACT(H727,INDEX(Guide!$A$7:$A$9,MATCH(SUBSTITUTE(SUBSTITUTE(SUBSTITUTE(H727,"~","~~"),"*","~*"),"?","~?"),Guide!$A$7:$A$9,0))),INDEX(Guide!$B$7:$B$9,MATCH(SUBSTITUTE(SUBSTITUTE(SUBSTITUTE(H727,"~","~~"),"*","~*"),"?","~?"),Guide!$A$7:$A$9,0)),""),"")</f>
        <v>Accessories</v>
      </c>
      <c r="J727" s="1" t="str">
        <f>IF(TRIM(Raw!E727)="",I727,IF(UPPER(TRIM(Raw!E727))=UPPER(I727),I727,""))</f>
        <v>Accessories</v>
      </c>
      <c r="K727" s="1" t="str">
        <f>IF(Raw!F727="","",Raw!F727)</f>
        <v>sale</v>
      </c>
      <c r="L727" s="1" t="str">
        <f>IF(LEFT(TRIM(Raw!G727),2)="-$","-"&amp;MID(TRIM(Raw!G727),3,99),IF(LEFT(TRIM(Raw!G727),1)="$",MID(TRIM(Raw!G727),2,99),TRIM(Raw!G727)))</f>
        <v>31.39</v>
      </c>
      <c r="M727" s="1">
        <f t="shared" si="91"/>
        <v>31.39</v>
      </c>
      <c r="N727" s="10">
        <f t="shared" si="92"/>
        <v>3139</v>
      </c>
      <c r="O727" s="1" t="b">
        <f>IFERROR(IF(ISNUMBER(Raw!G727),TRUE,OR(EXACT(L727,TEXT(M727,"0.00")),EXACT(L727,TEXT(M727,"#,##0.00")))),FALSE)</f>
        <v>1</v>
      </c>
      <c r="P727" s="1" t="str">
        <f>LEN(IF(Raw!A727="","",Raw!A727))&amp;":"&amp;IF(Raw!A727="","",Raw!A727)&amp;"|"&amp;LEN(IF(Raw!B727="","",Raw!B727))&amp;":"&amp;IF(Raw!B727="","",Raw!B727)&amp;"|"&amp;LEN(IF(Raw!C727="","",Raw!C727))&amp;":"&amp;IF(Raw!C727="","",Raw!C727)&amp;"|"&amp;LEN(IF(Raw!D727="","",Raw!D727))&amp;":"&amp;IF(Raw!D727="","",Raw!D727)&amp;"|"&amp;LEN(IF(Raw!E727="","",Raw!E727))&amp;":"&amp;IF(Raw!E727="","",Raw!E727)&amp;"|"&amp;LEN(IF(Raw!F727="","",Raw!F727))&amp;":"&amp;IF(Raw!F727="","",Raw!F727)&amp;"|"&amp;LEN(IF(Raw!G727="","",Raw!G727))&amp;":"&amp;IF(Raw!G727="","",Raw!G727)</f>
        <v>6:L00721|6:T00361|10:2026-01-01|3:P-A|11:Accessories|4:sale|5:31.39</v>
      </c>
      <c r="Q727" s="1">
        <f>1</f>
        <v>1</v>
      </c>
      <c r="R727" s="1" t="b">
        <f>FALSE</f>
        <v>0</v>
      </c>
      <c r="S727" s="1">
        <f>1</f>
        <v>1</v>
      </c>
      <c r="T727" s="1" t="str">
        <f>IF(AND(Raw!A727="",Raw!B727="",Raw!C727="",Raw!D727="",Raw!E727="",Raw!F727="",Raw!G727=""),"UNUSED",IF(A727="","missing line ID",IF(B727="","missing transaction ID",IF(G727="",IF(C727="","missing date","invalid date"),IF(I727="","unknown product",IF(J727="","conflicting category",IF(NOT(OR(EXACT(K727,"sale"),EXACT(K727,"refund"))),"unknown event",IF(OR(N727="",NOT(O727)),"invalid amount",IF(OR(AND(K727="sale",N727&lt;=0),AND(K727="refund",N727&gt;=0)),"invalid sign","")))))))))</f>
        <v/>
      </c>
      <c r="U727" s="1" t="str">
        <f t="shared" si="93"/>
        <v>INCLUDED</v>
      </c>
      <c r="V727" s="1" t="str">
        <f t="shared" si="94"/>
        <v>2026-01</v>
      </c>
      <c r="W727" s="1">
        <f>IF(AND(U727="INCLUDED",X727&gt;0,EXACT(A727,'AI output'!A727)),1,0)</f>
        <v>1</v>
      </c>
      <c r="X727" s="1">
        <f>727</f>
        <v>727</v>
      </c>
      <c r="Y727" s="1">
        <f>IF(AND(U727="INCLUDED",W727=1),--(NOT(EXACT(A727,'AI output'!A727)))+--(NOT(EXACT(B727,'AI output'!B727)))+--(NOT(EXACT(TEXT(G727,"yyyy-mm-dd"),'AI output'!C727)))+--(NOT(EXACT(H727,'AI output'!D727)))+--(NOT(EXACT(J727,'AI output'!E727)))+--(NOT(EXACT(K727,'AI output'!F727)))+--(N727&lt;&gt;'AI output'!L727)+--(NOT('AI output'!M727)),0)</f>
        <v>0</v>
      </c>
      <c r="Z727" s="1">
        <f t="shared" si="95"/>
        <v>0</v>
      </c>
      <c r="AA727" s="1">
        <f>--EXACT(A727,"L00721")</f>
        <v>1</v>
      </c>
    </row>
    <row r="728" spans="1:27" ht="18.95" customHeight="1">
      <c r="A728" s="1" t="str">
        <f>IF(Raw!A728="","",Raw!A728)</f>
        <v>L00722</v>
      </c>
      <c r="B728" s="1" t="str">
        <f>IF(Raw!B728="","",Raw!B728)</f>
        <v>T00361</v>
      </c>
      <c r="C728" s="1" t="str">
        <f>IF(Raw!C728="","",Raw!C728)</f>
        <v>2026-01-01</v>
      </c>
      <c r="D728" s="1">
        <f t="shared" si="88"/>
        <v>2026</v>
      </c>
      <c r="E728" s="1">
        <f>IFERROR(IF(AND(LEN(C728)=10,MID(C728,5,1)="-",MID(C728,8,1)="-"),VALUE(MID(C728,6,2)),IF(AND(LEN(C728)=11,MID(C728,3,1)="-",MID(C728,7,1)="-"),MATCH(UPPER(MID(C728,4,3)),Guide!$D$7:$D$18,0),0)),0)</f>
        <v>1</v>
      </c>
      <c r="F728" s="1">
        <f t="shared" si="89"/>
        <v>1</v>
      </c>
      <c r="G728" s="9">
        <f t="shared" si="90"/>
        <v>46023</v>
      </c>
      <c r="H728" s="1" t="str">
        <f>IF(Raw!D728="","",Raw!D728)</f>
        <v>P-H</v>
      </c>
      <c r="I728" s="1" t="str">
        <f>IFERROR(IF(EXACT(H728,INDEX(Guide!$A$7:$A$9,MATCH(SUBSTITUTE(SUBSTITUTE(SUBSTITUTE(H728,"~","~~"),"*","~*"),"?","~?"),Guide!$A$7:$A$9,0))),INDEX(Guide!$B$7:$B$9,MATCH(SUBSTITUTE(SUBSTITUTE(SUBSTITUTE(H728,"~","~~"),"*","~*"),"?","~?"),Guide!$A$7:$A$9,0)),""),"")</f>
        <v>Home</v>
      </c>
      <c r="J728" s="1" t="str">
        <f>IF(TRIM(Raw!E728)="",I728,IF(UPPER(TRIM(Raw!E728))=UPPER(I728),I728,""))</f>
        <v>Home</v>
      </c>
      <c r="K728" s="1" t="str">
        <f>IF(Raw!F728="","",Raw!F728)</f>
        <v>sale</v>
      </c>
      <c r="L728" s="1" t="str">
        <f>IF(LEFT(TRIM(Raw!G728),2)="-$","-"&amp;MID(TRIM(Raw!G728),3,99),IF(LEFT(TRIM(Raw!G728),1)="$",MID(TRIM(Raw!G728),2,99),TRIM(Raw!G728)))</f>
        <v>95.28</v>
      </c>
      <c r="M728" s="1">
        <f t="shared" si="91"/>
        <v>95.28</v>
      </c>
      <c r="N728" s="10">
        <f t="shared" si="92"/>
        <v>9528</v>
      </c>
      <c r="O728" s="1" t="b">
        <f>IFERROR(IF(ISNUMBER(Raw!G728),TRUE,OR(EXACT(L728,TEXT(M728,"0.00")),EXACT(L728,TEXT(M728,"#,##0.00")))),FALSE)</f>
        <v>1</v>
      </c>
      <c r="P728" s="1" t="str">
        <f>LEN(IF(Raw!A728="","",Raw!A728))&amp;":"&amp;IF(Raw!A728="","",Raw!A728)&amp;"|"&amp;LEN(IF(Raw!B728="","",Raw!B728))&amp;":"&amp;IF(Raw!B728="","",Raw!B728)&amp;"|"&amp;LEN(IF(Raw!C728="","",Raw!C728))&amp;":"&amp;IF(Raw!C728="","",Raw!C728)&amp;"|"&amp;LEN(IF(Raw!D728="","",Raw!D728))&amp;":"&amp;IF(Raw!D728="","",Raw!D728)&amp;"|"&amp;LEN(IF(Raw!E728="","",Raw!E728))&amp;":"&amp;IF(Raw!E728="","",Raw!E728)&amp;"|"&amp;LEN(IF(Raw!F728="","",Raw!F728))&amp;":"&amp;IF(Raw!F728="","",Raw!F728)&amp;"|"&amp;LEN(IF(Raw!G728="","",Raw!G728))&amp;":"&amp;IF(Raw!G728="","",Raw!G728)</f>
        <v>6:L00722|6:T00361|10:2026-01-01|3:P-H|4:Home|4:sale|5:95.28</v>
      </c>
      <c r="Q728" s="1">
        <f>1</f>
        <v>1</v>
      </c>
      <c r="R728" s="1" t="b">
        <f>FALSE</f>
        <v>0</v>
      </c>
      <c r="S728" s="1">
        <f>1</f>
        <v>1</v>
      </c>
      <c r="T728" s="1" t="str">
        <f>IF(AND(Raw!A728="",Raw!B728="",Raw!C728="",Raw!D728="",Raw!E728="",Raw!F728="",Raw!G728=""),"UNUSED",IF(A728="","missing line ID",IF(B728="","missing transaction ID",IF(G728="",IF(C728="","missing date","invalid date"),IF(I728="","unknown product",IF(J728="","conflicting category",IF(NOT(OR(EXACT(K728,"sale"),EXACT(K728,"refund"))),"unknown event",IF(OR(N728="",NOT(O728)),"invalid amount",IF(OR(AND(K728="sale",N728&lt;=0),AND(K728="refund",N728&gt;=0)),"invalid sign","")))))))))</f>
        <v/>
      </c>
      <c r="U728" s="1" t="str">
        <f t="shared" si="93"/>
        <v>INCLUDED</v>
      </c>
      <c r="V728" s="1" t="str">
        <f t="shared" si="94"/>
        <v>2026-01</v>
      </c>
      <c r="W728" s="1">
        <f>IF(AND(U728="INCLUDED",X728&gt;0,EXACT(A728,'AI output'!A728)),1,0)</f>
        <v>1</v>
      </c>
      <c r="X728" s="1">
        <f>728</f>
        <v>728</v>
      </c>
      <c r="Y728" s="1">
        <f>IF(AND(U728="INCLUDED",W728=1),--(NOT(EXACT(A728,'AI output'!A728)))+--(NOT(EXACT(B728,'AI output'!B728)))+--(NOT(EXACT(TEXT(G728,"yyyy-mm-dd"),'AI output'!C728)))+--(NOT(EXACT(H728,'AI output'!D728)))+--(NOT(EXACT(J728,'AI output'!E728)))+--(NOT(EXACT(K728,'AI output'!F728)))+--(N728&lt;&gt;'AI output'!L728)+--(NOT('AI output'!M728)),0)</f>
        <v>0</v>
      </c>
      <c r="Z728" s="1">
        <f t="shared" si="95"/>
        <v>0</v>
      </c>
      <c r="AA728" s="1">
        <f>--EXACT(A728,"L00722")</f>
        <v>1</v>
      </c>
    </row>
    <row r="729" spans="1:27" ht="18.95" customHeight="1">
      <c r="A729" s="1" t="str">
        <f>IF(Raw!A729="","",Raw!A729)</f>
        <v>L00723</v>
      </c>
      <c r="B729" s="1" t="str">
        <f>IF(Raw!B729="","",Raw!B729)</f>
        <v>T00362</v>
      </c>
      <c r="C729" s="1" t="str">
        <f>IF(Raw!C729="","",Raw!C729)</f>
        <v>2026-01-08</v>
      </c>
      <c r="D729" s="1">
        <f t="shared" si="88"/>
        <v>2026</v>
      </c>
      <c r="E729" s="1">
        <f>IFERROR(IF(AND(LEN(C729)=10,MID(C729,5,1)="-",MID(C729,8,1)="-"),VALUE(MID(C729,6,2)),IF(AND(LEN(C729)=11,MID(C729,3,1)="-",MID(C729,7,1)="-"),MATCH(UPPER(MID(C729,4,3)),Guide!$D$7:$D$18,0),0)),0)</f>
        <v>1</v>
      </c>
      <c r="F729" s="1">
        <f t="shared" si="89"/>
        <v>8</v>
      </c>
      <c r="G729" s="9">
        <f t="shared" si="90"/>
        <v>46030</v>
      </c>
      <c r="H729" s="1" t="str">
        <f>IF(Raw!D729="","",Raw!D729)</f>
        <v>P-O</v>
      </c>
      <c r="I729" s="1" t="str">
        <f>IFERROR(IF(EXACT(H729,INDEX(Guide!$A$7:$A$9,MATCH(SUBSTITUTE(SUBSTITUTE(SUBSTITUTE(H729,"~","~~"),"*","~*"),"?","~?"),Guide!$A$7:$A$9,0))),INDEX(Guide!$B$7:$B$9,MATCH(SUBSTITUTE(SUBSTITUTE(SUBSTITUTE(H729,"~","~~"),"*","~*"),"?","~?"),Guide!$A$7:$A$9,0)),""),"")</f>
        <v>Office</v>
      </c>
      <c r="J729" s="1" t="str">
        <f>IF(TRIM(Raw!E729)="",I729,IF(UPPER(TRIM(Raw!E729))=UPPER(I729),I729,""))</f>
        <v>Office</v>
      </c>
      <c r="K729" s="1" t="str">
        <f>IF(Raw!F729="","",Raw!F729)</f>
        <v>sale</v>
      </c>
      <c r="L729" s="1" t="str">
        <f>IF(LEFT(TRIM(Raw!G729),2)="-$","-"&amp;MID(TRIM(Raw!G729),3,99),IF(LEFT(TRIM(Raw!G729),1)="$",MID(TRIM(Raw!G729),2,99),TRIM(Raw!G729)))</f>
        <v>160.65</v>
      </c>
      <c r="M729" s="1">
        <f t="shared" si="91"/>
        <v>160.65</v>
      </c>
      <c r="N729" s="10">
        <f t="shared" si="92"/>
        <v>16065</v>
      </c>
      <c r="O729" s="1" t="b">
        <f>IFERROR(IF(ISNUMBER(Raw!G729),TRUE,OR(EXACT(L729,TEXT(M729,"0.00")),EXACT(L729,TEXT(M729,"#,##0.00")))),FALSE)</f>
        <v>1</v>
      </c>
      <c r="P729" s="1" t="str">
        <f>LEN(IF(Raw!A729="","",Raw!A729))&amp;":"&amp;IF(Raw!A729="","",Raw!A729)&amp;"|"&amp;LEN(IF(Raw!B729="","",Raw!B729))&amp;":"&amp;IF(Raw!B729="","",Raw!B729)&amp;"|"&amp;LEN(IF(Raw!C729="","",Raw!C729))&amp;":"&amp;IF(Raw!C729="","",Raw!C729)&amp;"|"&amp;LEN(IF(Raw!D729="","",Raw!D729))&amp;":"&amp;IF(Raw!D729="","",Raw!D729)&amp;"|"&amp;LEN(IF(Raw!E729="","",Raw!E729))&amp;":"&amp;IF(Raw!E729="","",Raw!E729)&amp;"|"&amp;LEN(IF(Raw!F729="","",Raw!F729))&amp;":"&amp;IF(Raw!F729="","",Raw!F729)&amp;"|"&amp;LEN(IF(Raw!G729="","",Raw!G729))&amp;":"&amp;IF(Raw!G729="","",Raw!G729)</f>
        <v>6:L00723|6:T00362|10:2026-01-08|3:P-O|6:Office|4:sale|6:160.65</v>
      </c>
      <c r="Q729" s="1">
        <f>1</f>
        <v>1</v>
      </c>
      <c r="R729" s="1" t="b">
        <f>FALSE</f>
        <v>0</v>
      </c>
      <c r="S729" s="1">
        <f>1</f>
        <v>1</v>
      </c>
      <c r="T729" s="1" t="str">
        <f>IF(AND(Raw!A729="",Raw!B729="",Raw!C729="",Raw!D729="",Raw!E729="",Raw!F729="",Raw!G729=""),"UNUSED",IF(A729="","missing line ID",IF(B729="","missing transaction ID",IF(G729="",IF(C729="","missing date","invalid date"),IF(I729="","unknown product",IF(J729="","conflicting category",IF(NOT(OR(EXACT(K729,"sale"),EXACT(K729,"refund"))),"unknown event",IF(OR(N729="",NOT(O729)),"invalid amount",IF(OR(AND(K729="sale",N729&lt;=0),AND(K729="refund",N729&gt;=0)),"invalid sign","")))))))))</f>
        <v/>
      </c>
      <c r="U729" s="1" t="str">
        <f t="shared" si="93"/>
        <v>INCLUDED</v>
      </c>
      <c r="V729" s="1" t="str">
        <f t="shared" si="94"/>
        <v>2026-01</v>
      </c>
      <c r="W729" s="1">
        <f>IF(AND(U729="INCLUDED",X729&gt;0,EXACT(A729,'AI output'!A729)),1,0)</f>
        <v>1</v>
      </c>
      <c r="X729" s="1">
        <f>729</f>
        <v>729</v>
      </c>
      <c r="Y729" s="1">
        <f>IF(AND(U729="INCLUDED",W729=1),--(NOT(EXACT(A729,'AI output'!A729)))+--(NOT(EXACT(B729,'AI output'!B729)))+--(NOT(EXACT(TEXT(G729,"yyyy-mm-dd"),'AI output'!C729)))+--(NOT(EXACT(H729,'AI output'!D729)))+--(NOT(EXACT(J729,'AI output'!E729)))+--(NOT(EXACT(K729,'AI output'!F729)))+--(N729&lt;&gt;'AI output'!L729)+--(NOT('AI output'!M729)),0)</f>
        <v>0</v>
      </c>
      <c r="Z729" s="1">
        <f t="shared" si="95"/>
        <v>0</v>
      </c>
      <c r="AA729" s="1">
        <f>--EXACT(A729,"L00723")</f>
        <v>1</v>
      </c>
    </row>
    <row r="730" spans="1:27" ht="18.95" customHeight="1">
      <c r="A730" s="1" t="str">
        <f>IF(Raw!A730="","",Raw!A730)</f>
        <v>L00724</v>
      </c>
      <c r="B730" s="1" t="str">
        <f>IF(Raw!B730="","",Raw!B730)</f>
        <v>T00362</v>
      </c>
      <c r="C730" s="1" t="str">
        <f>IF(Raw!C730="","",Raw!C730)</f>
        <v>2026-01-08</v>
      </c>
      <c r="D730" s="1">
        <f t="shared" si="88"/>
        <v>2026</v>
      </c>
      <c r="E730" s="1">
        <f>IFERROR(IF(AND(LEN(C730)=10,MID(C730,5,1)="-",MID(C730,8,1)="-"),VALUE(MID(C730,6,2)),IF(AND(LEN(C730)=11,MID(C730,3,1)="-",MID(C730,7,1)="-"),MATCH(UPPER(MID(C730,4,3)),Guide!$D$7:$D$18,0),0)),0)</f>
        <v>1</v>
      </c>
      <c r="F730" s="1">
        <f t="shared" si="89"/>
        <v>8</v>
      </c>
      <c r="G730" s="9">
        <f t="shared" si="90"/>
        <v>46030</v>
      </c>
      <c r="H730" s="1" t="str">
        <f>IF(Raw!D730="","",Raw!D730)</f>
        <v>P-A</v>
      </c>
      <c r="I730" s="1" t="str">
        <f>IFERROR(IF(EXACT(H730,INDEX(Guide!$A$7:$A$9,MATCH(SUBSTITUTE(SUBSTITUTE(SUBSTITUTE(H730,"~","~~"),"*","~*"),"?","~?"),Guide!$A$7:$A$9,0))),INDEX(Guide!$B$7:$B$9,MATCH(SUBSTITUTE(SUBSTITUTE(SUBSTITUTE(H730,"~","~~"),"*","~*"),"?","~?"),Guide!$A$7:$A$9,0)),""),"")</f>
        <v>Accessories</v>
      </c>
      <c r="J730" s="1" t="str">
        <f>IF(TRIM(Raw!E730)="",I730,IF(UPPER(TRIM(Raw!E730))=UPPER(I730),I730,""))</f>
        <v>Accessories</v>
      </c>
      <c r="K730" s="1" t="str">
        <f>IF(Raw!F730="","",Raw!F730)</f>
        <v>sale</v>
      </c>
      <c r="L730" s="1" t="str">
        <f>IF(LEFT(TRIM(Raw!G730),2)="-$","-"&amp;MID(TRIM(Raw!G730),3,99),IF(LEFT(TRIM(Raw!G730),1)="$",MID(TRIM(Raw!G730),2,99),TRIM(Raw!G730)))</f>
        <v>65.00</v>
      </c>
      <c r="M730" s="1">
        <f t="shared" si="91"/>
        <v>65</v>
      </c>
      <c r="N730" s="10">
        <f t="shared" si="92"/>
        <v>6500</v>
      </c>
      <c r="O730" s="1" t="b">
        <f>IFERROR(IF(ISNUMBER(Raw!G730),TRUE,OR(EXACT(L730,TEXT(M730,"0.00")),EXACT(L730,TEXT(M730,"#,##0.00")))),FALSE)</f>
        <v>1</v>
      </c>
      <c r="P730" s="1" t="str">
        <f>LEN(IF(Raw!A730="","",Raw!A730))&amp;":"&amp;IF(Raw!A730="","",Raw!A730)&amp;"|"&amp;LEN(IF(Raw!B730="","",Raw!B730))&amp;":"&amp;IF(Raw!B730="","",Raw!B730)&amp;"|"&amp;LEN(IF(Raw!C730="","",Raw!C730))&amp;":"&amp;IF(Raw!C730="","",Raw!C730)&amp;"|"&amp;LEN(IF(Raw!D730="","",Raw!D730))&amp;":"&amp;IF(Raw!D730="","",Raw!D730)&amp;"|"&amp;LEN(IF(Raw!E730="","",Raw!E730))&amp;":"&amp;IF(Raw!E730="","",Raw!E730)&amp;"|"&amp;LEN(IF(Raw!F730="","",Raw!F730))&amp;":"&amp;IF(Raw!F730="","",Raw!F730)&amp;"|"&amp;LEN(IF(Raw!G730="","",Raw!G730))&amp;":"&amp;IF(Raw!G730="","",Raw!G730)</f>
        <v>6:L00724|6:T00362|10:2026-01-08|3:P-A|11:Accessories|4:sale|5:65.00</v>
      </c>
      <c r="Q730" s="1">
        <f>1</f>
        <v>1</v>
      </c>
      <c r="R730" s="1" t="b">
        <f>FALSE</f>
        <v>0</v>
      </c>
      <c r="S730" s="1">
        <f>1</f>
        <v>1</v>
      </c>
      <c r="T730" s="1" t="str">
        <f>IF(AND(Raw!A730="",Raw!B730="",Raw!C730="",Raw!D730="",Raw!E730="",Raw!F730="",Raw!G730=""),"UNUSED",IF(A730="","missing line ID",IF(B730="","missing transaction ID",IF(G730="",IF(C730="","missing date","invalid date"),IF(I730="","unknown product",IF(J730="","conflicting category",IF(NOT(OR(EXACT(K730,"sale"),EXACT(K730,"refund"))),"unknown event",IF(OR(N730="",NOT(O730)),"invalid amount",IF(OR(AND(K730="sale",N730&lt;=0),AND(K730="refund",N730&gt;=0)),"invalid sign","")))))))))</f>
        <v/>
      </c>
      <c r="U730" s="1" t="str">
        <f t="shared" si="93"/>
        <v>INCLUDED</v>
      </c>
      <c r="V730" s="1" t="str">
        <f t="shared" si="94"/>
        <v>2026-01</v>
      </c>
      <c r="W730" s="1">
        <f>IF(AND(U730="INCLUDED",X730&gt;0,EXACT(A730,'AI output'!A730)),1,0)</f>
        <v>1</v>
      </c>
      <c r="X730" s="1">
        <f>730</f>
        <v>730</v>
      </c>
      <c r="Y730" s="1">
        <f>IF(AND(U730="INCLUDED",W730=1),--(NOT(EXACT(A730,'AI output'!A730)))+--(NOT(EXACT(B730,'AI output'!B730)))+--(NOT(EXACT(TEXT(G730,"yyyy-mm-dd"),'AI output'!C730)))+--(NOT(EXACT(H730,'AI output'!D730)))+--(NOT(EXACT(J730,'AI output'!E730)))+--(NOT(EXACT(K730,'AI output'!F730)))+--(N730&lt;&gt;'AI output'!L730)+--(NOT('AI output'!M730)),0)</f>
        <v>0</v>
      </c>
      <c r="Z730" s="1">
        <f t="shared" si="95"/>
        <v>0</v>
      </c>
      <c r="AA730" s="1">
        <f>--EXACT(A730,"L00724")</f>
        <v>1</v>
      </c>
    </row>
    <row r="731" spans="1:27" ht="18.95" customHeight="1">
      <c r="A731" s="1" t="str">
        <f>IF(Raw!A731="","",Raw!A731)</f>
        <v>L00725</v>
      </c>
      <c r="B731" s="1" t="str">
        <f>IF(Raw!B731="","",Raw!B731)</f>
        <v>T00363</v>
      </c>
      <c r="C731" s="1" t="str">
        <f>IF(Raw!C731="","",Raw!C731)</f>
        <v>2026-01-15</v>
      </c>
      <c r="D731" s="1">
        <f t="shared" si="88"/>
        <v>2026</v>
      </c>
      <c r="E731" s="1">
        <f>IFERROR(IF(AND(LEN(C731)=10,MID(C731,5,1)="-",MID(C731,8,1)="-"),VALUE(MID(C731,6,2)),IF(AND(LEN(C731)=11,MID(C731,3,1)="-",MID(C731,7,1)="-"),MATCH(UPPER(MID(C731,4,3)),Guide!$D$7:$D$18,0),0)),0)</f>
        <v>1</v>
      </c>
      <c r="F731" s="1">
        <f t="shared" si="89"/>
        <v>15</v>
      </c>
      <c r="G731" s="9">
        <f t="shared" si="90"/>
        <v>46037</v>
      </c>
      <c r="H731" s="1" t="str">
        <f>IF(Raw!D731="","",Raw!D731)</f>
        <v>P-H</v>
      </c>
      <c r="I731" s="1" t="str">
        <f>IFERROR(IF(EXACT(H731,INDEX(Guide!$A$7:$A$9,MATCH(SUBSTITUTE(SUBSTITUTE(SUBSTITUTE(H731,"~","~~"),"*","~*"),"?","~?"),Guide!$A$7:$A$9,0))),INDEX(Guide!$B$7:$B$9,MATCH(SUBSTITUTE(SUBSTITUTE(SUBSTITUTE(H731,"~","~~"),"*","~*"),"?","~?"),Guide!$A$7:$A$9,0)),""),"")</f>
        <v>Home</v>
      </c>
      <c r="J731" s="1" t="str">
        <f>IF(TRIM(Raw!E731)="",I731,IF(UPPER(TRIM(Raw!E731))=UPPER(I731),I731,""))</f>
        <v>Home</v>
      </c>
      <c r="K731" s="1" t="str">
        <f>IF(Raw!F731="","",Raw!F731)</f>
        <v>sale</v>
      </c>
      <c r="L731" s="1" t="str">
        <f>IF(LEFT(TRIM(Raw!G731),2)="-$","-"&amp;MID(TRIM(Raw!G731),3,99),IF(LEFT(TRIM(Raw!G731),1)="$",MID(TRIM(Raw!G731),2,99),TRIM(Raw!G731)))</f>
        <v>131.48</v>
      </c>
      <c r="M731" s="1">
        <f t="shared" si="91"/>
        <v>131.47999999999999</v>
      </c>
      <c r="N731" s="10">
        <f t="shared" si="92"/>
        <v>13148</v>
      </c>
      <c r="O731" s="1" t="b">
        <f>IFERROR(IF(ISNUMBER(Raw!G731),TRUE,OR(EXACT(L731,TEXT(M731,"0.00")),EXACT(L731,TEXT(M731,"#,##0.00")))),FALSE)</f>
        <v>1</v>
      </c>
      <c r="P731" s="1" t="str">
        <f>LEN(IF(Raw!A731="","",Raw!A731))&amp;":"&amp;IF(Raw!A731="","",Raw!A731)&amp;"|"&amp;LEN(IF(Raw!B731="","",Raw!B731))&amp;":"&amp;IF(Raw!B731="","",Raw!B731)&amp;"|"&amp;LEN(IF(Raw!C731="","",Raw!C731))&amp;":"&amp;IF(Raw!C731="","",Raw!C731)&amp;"|"&amp;LEN(IF(Raw!D731="","",Raw!D731))&amp;":"&amp;IF(Raw!D731="","",Raw!D731)&amp;"|"&amp;LEN(IF(Raw!E731="","",Raw!E731))&amp;":"&amp;IF(Raw!E731="","",Raw!E731)&amp;"|"&amp;LEN(IF(Raw!F731="","",Raw!F731))&amp;":"&amp;IF(Raw!F731="","",Raw!F731)&amp;"|"&amp;LEN(IF(Raw!G731="","",Raw!G731))&amp;":"&amp;IF(Raw!G731="","",Raw!G731)</f>
        <v>6:L00725|6:T00363|10:2026-01-15|3:P-H|4:Home|4:sale|6:131.48</v>
      </c>
      <c r="Q731" s="1">
        <f>1</f>
        <v>1</v>
      </c>
      <c r="R731" s="1" t="b">
        <f>FALSE</f>
        <v>0</v>
      </c>
      <c r="S731" s="1">
        <f>1</f>
        <v>1</v>
      </c>
      <c r="T731" s="1" t="str">
        <f>IF(AND(Raw!A731="",Raw!B731="",Raw!C731="",Raw!D731="",Raw!E731="",Raw!F731="",Raw!G731=""),"UNUSED",IF(A731="","missing line ID",IF(B731="","missing transaction ID",IF(G731="",IF(C731="","missing date","invalid date"),IF(I731="","unknown product",IF(J731="","conflicting category",IF(NOT(OR(EXACT(K731,"sale"),EXACT(K731,"refund"))),"unknown event",IF(OR(N731="",NOT(O731)),"invalid amount",IF(OR(AND(K731="sale",N731&lt;=0),AND(K731="refund",N731&gt;=0)),"invalid sign","")))))))))</f>
        <v/>
      </c>
      <c r="U731" s="1" t="str">
        <f t="shared" si="93"/>
        <v>INCLUDED</v>
      </c>
      <c r="V731" s="1" t="str">
        <f t="shared" si="94"/>
        <v>2026-01</v>
      </c>
      <c r="W731" s="1">
        <f>IF(AND(U731="INCLUDED",X731&gt;0,EXACT(A731,'AI output'!A731)),1,0)</f>
        <v>1</v>
      </c>
      <c r="X731" s="1">
        <f>731</f>
        <v>731</v>
      </c>
      <c r="Y731" s="1">
        <f>IF(AND(U731="INCLUDED",W731=1),--(NOT(EXACT(A731,'AI output'!A731)))+--(NOT(EXACT(B731,'AI output'!B731)))+--(NOT(EXACT(TEXT(G731,"yyyy-mm-dd"),'AI output'!C731)))+--(NOT(EXACT(H731,'AI output'!D731)))+--(NOT(EXACT(J731,'AI output'!E731)))+--(NOT(EXACT(K731,'AI output'!F731)))+--(N731&lt;&gt;'AI output'!L731)+--(NOT('AI output'!M731)),0)</f>
        <v>0</v>
      </c>
      <c r="Z731" s="1">
        <f t="shared" si="95"/>
        <v>0</v>
      </c>
      <c r="AA731" s="1">
        <f>--EXACT(A731,"L00725")</f>
        <v>1</v>
      </c>
    </row>
    <row r="732" spans="1:27" ht="18.95" customHeight="1">
      <c r="A732" s="1" t="str">
        <f>IF(Raw!A732="","",Raw!A732)</f>
        <v>L00726</v>
      </c>
      <c r="B732" s="1" t="str">
        <f>IF(Raw!B732="","",Raw!B732)</f>
        <v>T00363</v>
      </c>
      <c r="C732" s="1" t="str">
        <f>IF(Raw!C732="","",Raw!C732)</f>
        <v>2026-01-15</v>
      </c>
      <c r="D732" s="1">
        <f t="shared" si="88"/>
        <v>2026</v>
      </c>
      <c r="E732" s="1">
        <f>IFERROR(IF(AND(LEN(C732)=10,MID(C732,5,1)="-",MID(C732,8,1)="-"),VALUE(MID(C732,6,2)),IF(AND(LEN(C732)=11,MID(C732,3,1)="-",MID(C732,7,1)="-"),MATCH(UPPER(MID(C732,4,3)),Guide!$D$7:$D$18,0),0)),0)</f>
        <v>1</v>
      </c>
      <c r="F732" s="1">
        <f t="shared" si="89"/>
        <v>15</v>
      </c>
      <c r="G732" s="9">
        <f t="shared" si="90"/>
        <v>46037</v>
      </c>
      <c r="H732" s="1" t="str">
        <f>IF(Raw!D732="","",Raw!D732)</f>
        <v>P-O</v>
      </c>
      <c r="I732" s="1" t="str">
        <f>IFERROR(IF(EXACT(H732,INDEX(Guide!$A$7:$A$9,MATCH(SUBSTITUTE(SUBSTITUTE(SUBSTITUTE(H732,"~","~~"),"*","~*"),"?","~?"),Guide!$A$7:$A$9,0))),INDEX(Guide!$B$7:$B$9,MATCH(SUBSTITUTE(SUBSTITUTE(SUBSTITUTE(H732,"~","~~"),"*","~*"),"?","~?"),Guide!$A$7:$A$9,0)),""),"")</f>
        <v>Office</v>
      </c>
      <c r="J732" s="1" t="str">
        <f>IF(TRIM(Raw!E732)="",I732,IF(UPPER(TRIM(Raw!E732))=UPPER(I732),I732,""))</f>
        <v>Office</v>
      </c>
      <c r="K732" s="1" t="str">
        <f>IF(Raw!F732="","",Raw!F732)</f>
        <v>sale</v>
      </c>
      <c r="L732" s="1" t="str">
        <f>IF(LEFT(TRIM(Raw!G732),2)="-$","-"&amp;MID(TRIM(Raw!G732),3,99),IF(LEFT(TRIM(Raw!G732),1)="$",MID(TRIM(Raw!G732),2,99),TRIM(Raw!G732)))</f>
        <v>33.24</v>
      </c>
      <c r="M732" s="1">
        <f t="shared" si="91"/>
        <v>33.24</v>
      </c>
      <c r="N732" s="10">
        <f t="shared" si="92"/>
        <v>3324</v>
      </c>
      <c r="O732" s="1" t="b">
        <f>IFERROR(IF(ISNUMBER(Raw!G732),TRUE,OR(EXACT(L732,TEXT(M732,"0.00")),EXACT(L732,TEXT(M732,"#,##0.00")))),FALSE)</f>
        <v>1</v>
      </c>
      <c r="P732" s="1" t="str">
        <f>LEN(IF(Raw!A732="","",Raw!A732))&amp;":"&amp;IF(Raw!A732="","",Raw!A732)&amp;"|"&amp;LEN(IF(Raw!B732="","",Raw!B732))&amp;":"&amp;IF(Raw!B732="","",Raw!B732)&amp;"|"&amp;LEN(IF(Raw!C732="","",Raw!C732))&amp;":"&amp;IF(Raw!C732="","",Raw!C732)&amp;"|"&amp;LEN(IF(Raw!D732="","",Raw!D732))&amp;":"&amp;IF(Raw!D732="","",Raw!D732)&amp;"|"&amp;LEN(IF(Raw!E732="","",Raw!E732))&amp;":"&amp;IF(Raw!E732="","",Raw!E732)&amp;"|"&amp;LEN(IF(Raw!F732="","",Raw!F732))&amp;":"&amp;IF(Raw!F732="","",Raw!F732)&amp;"|"&amp;LEN(IF(Raw!G732="","",Raw!G732))&amp;":"&amp;IF(Raw!G732="","",Raw!G732)</f>
        <v>6:L00726|6:T00363|10:2026-01-15|3:P-O|6:Office|4:sale|5:33.24</v>
      </c>
      <c r="Q732" s="1">
        <f>1</f>
        <v>1</v>
      </c>
      <c r="R732" s="1" t="b">
        <f>FALSE</f>
        <v>0</v>
      </c>
      <c r="S732" s="1">
        <f>1</f>
        <v>1</v>
      </c>
      <c r="T732" s="1" t="str">
        <f>IF(AND(Raw!A732="",Raw!B732="",Raw!C732="",Raw!D732="",Raw!E732="",Raw!F732="",Raw!G732=""),"UNUSED",IF(A732="","missing line ID",IF(B732="","missing transaction ID",IF(G732="",IF(C732="","missing date","invalid date"),IF(I732="","unknown product",IF(J732="","conflicting category",IF(NOT(OR(EXACT(K732,"sale"),EXACT(K732,"refund"))),"unknown event",IF(OR(N732="",NOT(O732)),"invalid amount",IF(OR(AND(K732="sale",N732&lt;=0),AND(K732="refund",N732&gt;=0)),"invalid sign","")))))))))</f>
        <v/>
      </c>
      <c r="U732" s="1" t="str">
        <f t="shared" si="93"/>
        <v>INCLUDED</v>
      </c>
      <c r="V732" s="1" t="str">
        <f t="shared" si="94"/>
        <v>2026-01</v>
      </c>
      <c r="W732" s="1">
        <f>IF(AND(U732="INCLUDED",X732&gt;0,EXACT(A732,'AI output'!A732)),1,0)</f>
        <v>1</v>
      </c>
      <c r="X732" s="1">
        <f>732</f>
        <v>732</v>
      </c>
      <c r="Y732" s="1">
        <f>IF(AND(U732="INCLUDED",W732=1),--(NOT(EXACT(A732,'AI output'!A732)))+--(NOT(EXACT(B732,'AI output'!B732)))+--(NOT(EXACT(TEXT(G732,"yyyy-mm-dd"),'AI output'!C732)))+--(NOT(EXACT(H732,'AI output'!D732)))+--(NOT(EXACT(J732,'AI output'!E732)))+--(NOT(EXACT(K732,'AI output'!F732)))+--(N732&lt;&gt;'AI output'!L732)+--(NOT('AI output'!M732)),0)</f>
        <v>0</v>
      </c>
      <c r="Z732" s="1">
        <f t="shared" si="95"/>
        <v>0</v>
      </c>
      <c r="AA732" s="1">
        <f>--EXACT(A732,"L00726")</f>
        <v>1</v>
      </c>
    </row>
    <row r="733" spans="1:27" ht="18.95" customHeight="1">
      <c r="A733" s="1" t="str">
        <f>IF(Raw!A733="","",Raw!A733)</f>
        <v>L00727</v>
      </c>
      <c r="B733" s="1" t="str">
        <f>IF(Raw!B733="","",Raw!B733)</f>
        <v>T00364</v>
      </c>
      <c r="C733" s="1" t="str">
        <f>IF(Raw!C733="","",Raw!C733)</f>
        <v>2026-01-22</v>
      </c>
      <c r="D733" s="1">
        <f t="shared" si="88"/>
        <v>2026</v>
      </c>
      <c r="E733" s="1">
        <f>IFERROR(IF(AND(LEN(C733)=10,MID(C733,5,1)="-",MID(C733,8,1)="-"),VALUE(MID(C733,6,2)),IF(AND(LEN(C733)=11,MID(C733,3,1)="-",MID(C733,7,1)="-"),MATCH(UPPER(MID(C733,4,3)),Guide!$D$7:$D$18,0),0)),0)</f>
        <v>1</v>
      </c>
      <c r="F733" s="1">
        <f t="shared" si="89"/>
        <v>22</v>
      </c>
      <c r="G733" s="9">
        <f t="shared" si="90"/>
        <v>46044</v>
      </c>
      <c r="H733" s="1" t="str">
        <f>IF(Raw!D733="","",Raw!D733)</f>
        <v>P-A</v>
      </c>
      <c r="I733" s="1" t="str">
        <f>IFERROR(IF(EXACT(H733,INDEX(Guide!$A$7:$A$9,MATCH(SUBSTITUTE(SUBSTITUTE(SUBSTITUTE(H733,"~","~~"),"*","~*"),"?","~?"),Guide!$A$7:$A$9,0))),INDEX(Guide!$B$7:$B$9,MATCH(SUBSTITUTE(SUBSTITUTE(SUBSTITUTE(H733,"~","~~"),"*","~*"),"?","~?"),Guide!$A$7:$A$9,0)),""),"")</f>
        <v>Accessories</v>
      </c>
      <c r="J733" s="1" t="str">
        <f>IF(TRIM(Raw!E733)="",I733,IF(UPPER(TRIM(Raw!E733))=UPPER(I733),I733,""))</f>
        <v>Accessories</v>
      </c>
      <c r="K733" s="1" t="str">
        <f>IF(Raw!F733="","",Raw!F733)</f>
        <v>sale</v>
      </c>
      <c r="L733" s="1" t="str">
        <f>IF(LEFT(TRIM(Raw!G733),2)="-$","-"&amp;MID(TRIM(Raw!G733),3,99),IF(LEFT(TRIM(Raw!G733),1)="$",MID(TRIM(Raw!G733),2,99),TRIM(Raw!G733)))</f>
        <v>100.83</v>
      </c>
      <c r="M733" s="1">
        <f t="shared" si="91"/>
        <v>100.83</v>
      </c>
      <c r="N733" s="10">
        <f t="shared" si="92"/>
        <v>10083</v>
      </c>
      <c r="O733" s="1" t="b">
        <f>IFERROR(IF(ISNUMBER(Raw!G733),TRUE,OR(EXACT(L733,TEXT(M733,"0.00")),EXACT(L733,TEXT(M733,"#,##0.00")))),FALSE)</f>
        <v>1</v>
      </c>
      <c r="P733" s="1" t="str">
        <f>LEN(IF(Raw!A733="","",Raw!A733))&amp;":"&amp;IF(Raw!A733="","",Raw!A733)&amp;"|"&amp;LEN(IF(Raw!B733="","",Raw!B733))&amp;":"&amp;IF(Raw!B733="","",Raw!B733)&amp;"|"&amp;LEN(IF(Raw!C733="","",Raw!C733))&amp;":"&amp;IF(Raw!C733="","",Raw!C733)&amp;"|"&amp;LEN(IF(Raw!D733="","",Raw!D733))&amp;":"&amp;IF(Raw!D733="","",Raw!D733)&amp;"|"&amp;LEN(IF(Raw!E733="","",Raw!E733))&amp;":"&amp;IF(Raw!E733="","",Raw!E733)&amp;"|"&amp;LEN(IF(Raw!F733="","",Raw!F733))&amp;":"&amp;IF(Raw!F733="","",Raw!F733)&amp;"|"&amp;LEN(IF(Raw!G733="","",Raw!G733))&amp;":"&amp;IF(Raw!G733="","",Raw!G733)</f>
        <v>6:L00727|6:T00364|10:2026-01-22|3:P-A|11:Accessories|4:sale|6:100.83</v>
      </c>
      <c r="Q733" s="1">
        <f>1</f>
        <v>1</v>
      </c>
      <c r="R733" s="1" t="b">
        <f>FALSE</f>
        <v>0</v>
      </c>
      <c r="S733" s="1">
        <f>1</f>
        <v>1</v>
      </c>
      <c r="T733" s="1" t="str">
        <f>IF(AND(Raw!A733="",Raw!B733="",Raw!C733="",Raw!D733="",Raw!E733="",Raw!F733="",Raw!G733=""),"UNUSED",IF(A733="","missing line ID",IF(B733="","missing transaction ID",IF(G733="",IF(C733="","missing date","invalid date"),IF(I733="","unknown product",IF(J733="","conflicting category",IF(NOT(OR(EXACT(K733,"sale"),EXACT(K733,"refund"))),"unknown event",IF(OR(N733="",NOT(O733)),"invalid amount",IF(OR(AND(K733="sale",N733&lt;=0),AND(K733="refund",N733&gt;=0)),"invalid sign","")))))))))</f>
        <v/>
      </c>
      <c r="U733" s="1" t="str">
        <f t="shared" si="93"/>
        <v>INCLUDED</v>
      </c>
      <c r="V733" s="1" t="str">
        <f t="shared" si="94"/>
        <v>2026-01</v>
      </c>
      <c r="W733" s="1">
        <f>IF(AND(U733="INCLUDED",X733&gt;0,EXACT(A733,'AI output'!A733)),1,0)</f>
        <v>1</v>
      </c>
      <c r="X733" s="1">
        <f>733</f>
        <v>733</v>
      </c>
      <c r="Y733" s="1">
        <f>IF(AND(U733="INCLUDED",W733=1),--(NOT(EXACT(A733,'AI output'!A733)))+--(NOT(EXACT(B733,'AI output'!B733)))+--(NOT(EXACT(TEXT(G733,"yyyy-mm-dd"),'AI output'!C733)))+--(NOT(EXACT(H733,'AI output'!D733)))+--(NOT(EXACT(J733,'AI output'!E733)))+--(NOT(EXACT(K733,'AI output'!F733)))+--(N733&lt;&gt;'AI output'!L733)+--(NOT('AI output'!M733)),0)</f>
        <v>0</v>
      </c>
      <c r="Z733" s="1">
        <f t="shared" si="95"/>
        <v>0</v>
      </c>
      <c r="AA733" s="1">
        <f>--EXACT(A733,"L00727")</f>
        <v>1</v>
      </c>
    </row>
    <row r="734" spans="1:27" ht="18.95" customHeight="1">
      <c r="A734" s="1" t="str">
        <f>IF(Raw!A734="","",Raw!A734)</f>
        <v>L00728</v>
      </c>
      <c r="B734" s="1" t="str">
        <f>IF(Raw!B734="","",Raw!B734)</f>
        <v>T00364</v>
      </c>
      <c r="C734" s="1" t="str">
        <f>IF(Raw!C734="","",Raw!C734)</f>
        <v>2026-01-22</v>
      </c>
      <c r="D734" s="1">
        <f t="shared" si="88"/>
        <v>2026</v>
      </c>
      <c r="E734" s="1">
        <f>IFERROR(IF(AND(LEN(C734)=10,MID(C734,5,1)="-",MID(C734,8,1)="-"),VALUE(MID(C734,6,2)),IF(AND(LEN(C734)=11,MID(C734,3,1)="-",MID(C734,7,1)="-"),MATCH(UPPER(MID(C734,4,3)),Guide!$D$7:$D$18,0),0)),0)</f>
        <v>1</v>
      </c>
      <c r="F734" s="1">
        <f t="shared" si="89"/>
        <v>22</v>
      </c>
      <c r="G734" s="9">
        <f t="shared" si="90"/>
        <v>46044</v>
      </c>
      <c r="H734" s="1" t="str">
        <f>IF(Raw!D734="","",Raw!D734)</f>
        <v>P-H</v>
      </c>
      <c r="I734" s="1" t="str">
        <f>IFERROR(IF(EXACT(H734,INDEX(Guide!$A$7:$A$9,MATCH(SUBSTITUTE(SUBSTITUTE(SUBSTITUTE(H734,"~","~~"),"*","~*"),"?","~?"),Guide!$A$7:$A$9,0))),INDEX(Guide!$B$7:$B$9,MATCH(SUBSTITUTE(SUBSTITUTE(SUBSTITUTE(H734,"~","~~"),"*","~*"),"?","~?"),Guide!$A$7:$A$9,0)),""),"")</f>
        <v>Home</v>
      </c>
      <c r="J734" s="1" t="str">
        <f>IF(TRIM(Raw!E734)="",I734,IF(UPPER(TRIM(Raw!E734))=UPPER(I734),I734,""))</f>
        <v>Home</v>
      </c>
      <c r="K734" s="1" t="str">
        <f>IF(Raw!F734="","",Raw!F734)</f>
        <v>sale</v>
      </c>
      <c r="L734" s="1" t="str">
        <f>IF(LEFT(TRIM(Raw!G734),2)="-$","-"&amp;MID(TRIM(Raw!G734),3,99),IF(LEFT(TRIM(Raw!G734),1)="$",MID(TRIM(Raw!G734),2,99),TRIM(Raw!G734)))</f>
        <v>169.90</v>
      </c>
      <c r="M734" s="1">
        <f t="shared" si="91"/>
        <v>169.9</v>
      </c>
      <c r="N734" s="10">
        <f t="shared" si="92"/>
        <v>16990</v>
      </c>
      <c r="O734" s="1" t="b">
        <f>IFERROR(IF(ISNUMBER(Raw!G734),TRUE,OR(EXACT(L734,TEXT(M734,"0.00")),EXACT(L734,TEXT(M734,"#,##0.00")))),FALSE)</f>
        <v>1</v>
      </c>
      <c r="P734" s="1" t="str">
        <f>LEN(IF(Raw!A734="","",Raw!A734))&amp;":"&amp;IF(Raw!A734="","",Raw!A734)&amp;"|"&amp;LEN(IF(Raw!B734="","",Raw!B734))&amp;":"&amp;IF(Raw!B734="","",Raw!B734)&amp;"|"&amp;LEN(IF(Raw!C734="","",Raw!C734))&amp;":"&amp;IF(Raw!C734="","",Raw!C734)&amp;"|"&amp;LEN(IF(Raw!D734="","",Raw!D734))&amp;":"&amp;IF(Raw!D734="","",Raw!D734)&amp;"|"&amp;LEN(IF(Raw!E734="","",Raw!E734))&amp;":"&amp;IF(Raw!E734="","",Raw!E734)&amp;"|"&amp;LEN(IF(Raw!F734="","",Raw!F734))&amp;":"&amp;IF(Raw!F734="","",Raw!F734)&amp;"|"&amp;LEN(IF(Raw!G734="","",Raw!G734))&amp;":"&amp;IF(Raw!G734="","",Raw!G734)</f>
        <v>6:L00728|6:T00364|10:2026-01-22|3:P-H|4:Home|4:sale|6:169.90</v>
      </c>
      <c r="Q734" s="1">
        <f>1</f>
        <v>1</v>
      </c>
      <c r="R734" s="1" t="b">
        <f>FALSE</f>
        <v>0</v>
      </c>
      <c r="S734" s="1">
        <f>1</f>
        <v>1</v>
      </c>
      <c r="T734" s="1" t="str">
        <f>IF(AND(Raw!A734="",Raw!B734="",Raw!C734="",Raw!D734="",Raw!E734="",Raw!F734="",Raw!G734=""),"UNUSED",IF(A734="","missing line ID",IF(B734="","missing transaction ID",IF(G734="",IF(C734="","missing date","invalid date"),IF(I734="","unknown product",IF(J734="","conflicting category",IF(NOT(OR(EXACT(K734,"sale"),EXACT(K734,"refund"))),"unknown event",IF(OR(N734="",NOT(O734)),"invalid amount",IF(OR(AND(K734="sale",N734&lt;=0),AND(K734="refund",N734&gt;=0)),"invalid sign","")))))))))</f>
        <v/>
      </c>
      <c r="U734" s="1" t="str">
        <f t="shared" si="93"/>
        <v>INCLUDED</v>
      </c>
      <c r="V734" s="1" t="str">
        <f t="shared" si="94"/>
        <v>2026-01</v>
      </c>
      <c r="W734" s="1">
        <f>IF(AND(U734="INCLUDED",X734&gt;0,EXACT(A734,'AI output'!A734)),1,0)</f>
        <v>1</v>
      </c>
      <c r="X734" s="1">
        <f>734</f>
        <v>734</v>
      </c>
      <c r="Y734" s="1">
        <f>IF(AND(U734="INCLUDED",W734=1),--(NOT(EXACT(A734,'AI output'!A734)))+--(NOT(EXACT(B734,'AI output'!B734)))+--(NOT(EXACT(TEXT(G734,"yyyy-mm-dd"),'AI output'!C734)))+--(NOT(EXACT(H734,'AI output'!D734)))+--(NOT(EXACT(J734,'AI output'!E734)))+--(NOT(EXACT(K734,'AI output'!F734)))+--(N734&lt;&gt;'AI output'!L734)+--(NOT('AI output'!M734)),0)</f>
        <v>0</v>
      </c>
      <c r="Z734" s="1">
        <f t="shared" si="95"/>
        <v>0</v>
      </c>
      <c r="AA734" s="1">
        <f>--EXACT(A734,"L00728")</f>
        <v>1</v>
      </c>
    </row>
    <row r="735" spans="1:27" ht="18.95" customHeight="1">
      <c r="A735" s="1" t="str">
        <f>IF(Raw!A735="","",Raw!A735)</f>
        <v>L00729</v>
      </c>
      <c r="B735" s="1" t="str">
        <f>IF(Raw!B735="","",Raw!B735)</f>
        <v>T00365</v>
      </c>
      <c r="C735" s="1" t="str">
        <f>IF(Raw!C735="","",Raw!C735)</f>
        <v>2026-01-29</v>
      </c>
      <c r="D735" s="1">
        <f t="shared" si="88"/>
        <v>2026</v>
      </c>
      <c r="E735" s="1">
        <f>IFERROR(IF(AND(LEN(C735)=10,MID(C735,5,1)="-",MID(C735,8,1)="-"),VALUE(MID(C735,6,2)),IF(AND(LEN(C735)=11,MID(C735,3,1)="-",MID(C735,7,1)="-"),MATCH(UPPER(MID(C735,4,3)),Guide!$D$7:$D$18,0),0)),0)</f>
        <v>1</v>
      </c>
      <c r="F735" s="1">
        <f t="shared" si="89"/>
        <v>29</v>
      </c>
      <c r="G735" s="9">
        <f t="shared" si="90"/>
        <v>46051</v>
      </c>
      <c r="H735" s="1" t="str">
        <f>IF(Raw!D735="","",Raw!D735)</f>
        <v>P-O</v>
      </c>
      <c r="I735" s="1" t="str">
        <f>IFERROR(IF(EXACT(H735,INDEX(Guide!$A$7:$A$9,MATCH(SUBSTITUTE(SUBSTITUTE(SUBSTITUTE(H735,"~","~~"),"*","~*"),"?","~?"),Guide!$A$7:$A$9,0))),INDEX(Guide!$B$7:$B$9,MATCH(SUBSTITUTE(SUBSTITUTE(SUBSTITUTE(H735,"~","~~"),"*","~*"),"?","~?"),Guide!$A$7:$A$9,0)),""),"")</f>
        <v>Office</v>
      </c>
      <c r="J735" s="1" t="str">
        <f>IF(TRIM(Raw!E735)="",I735,IF(UPPER(TRIM(Raw!E735))=UPPER(I735),I735,""))</f>
        <v>Office</v>
      </c>
      <c r="K735" s="1" t="str">
        <f>IF(Raw!F735="","",Raw!F735)</f>
        <v>sale</v>
      </c>
      <c r="L735" s="1" t="str">
        <f>IF(LEFT(TRIM(Raw!G735),2)="-$","-"&amp;MID(TRIM(Raw!G735),3,99),IF(LEFT(TRIM(Raw!G735),1)="$",MID(TRIM(Raw!G735),2,99),TRIM(Raw!G735)))</f>
        <v>68.70</v>
      </c>
      <c r="M735" s="1">
        <f t="shared" si="91"/>
        <v>68.7</v>
      </c>
      <c r="N735" s="10">
        <f t="shared" si="92"/>
        <v>6870</v>
      </c>
      <c r="O735" s="1" t="b">
        <f>IFERROR(IF(ISNUMBER(Raw!G735),TRUE,OR(EXACT(L735,TEXT(M735,"0.00")),EXACT(L735,TEXT(M735,"#,##0.00")))),FALSE)</f>
        <v>1</v>
      </c>
      <c r="P735" s="1" t="str">
        <f>LEN(IF(Raw!A735="","",Raw!A735))&amp;":"&amp;IF(Raw!A735="","",Raw!A735)&amp;"|"&amp;LEN(IF(Raw!B735="","",Raw!B735))&amp;":"&amp;IF(Raw!B735="","",Raw!B735)&amp;"|"&amp;LEN(IF(Raw!C735="","",Raw!C735))&amp;":"&amp;IF(Raw!C735="","",Raw!C735)&amp;"|"&amp;LEN(IF(Raw!D735="","",Raw!D735))&amp;":"&amp;IF(Raw!D735="","",Raw!D735)&amp;"|"&amp;LEN(IF(Raw!E735="","",Raw!E735))&amp;":"&amp;IF(Raw!E735="","",Raw!E735)&amp;"|"&amp;LEN(IF(Raw!F735="","",Raw!F735))&amp;":"&amp;IF(Raw!F735="","",Raw!F735)&amp;"|"&amp;LEN(IF(Raw!G735="","",Raw!G735))&amp;":"&amp;IF(Raw!G735="","",Raw!G735)</f>
        <v>6:L00729|6:T00365|10:2026-01-29|3:P-O|6:Office|4:sale|5:68.70</v>
      </c>
      <c r="Q735" s="1">
        <f>1</f>
        <v>1</v>
      </c>
      <c r="R735" s="1" t="b">
        <f>FALSE</f>
        <v>0</v>
      </c>
      <c r="S735" s="1">
        <f>1</f>
        <v>1</v>
      </c>
      <c r="T735" s="1" t="str">
        <f>IF(AND(Raw!A735="",Raw!B735="",Raw!C735="",Raw!D735="",Raw!E735="",Raw!F735="",Raw!G735=""),"UNUSED",IF(A735="","missing line ID",IF(B735="","missing transaction ID",IF(G735="",IF(C735="","missing date","invalid date"),IF(I735="","unknown product",IF(J735="","conflicting category",IF(NOT(OR(EXACT(K735,"sale"),EXACT(K735,"refund"))),"unknown event",IF(OR(N735="",NOT(O735)),"invalid amount",IF(OR(AND(K735="sale",N735&lt;=0),AND(K735="refund",N735&gt;=0)),"invalid sign","")))))))))</f>
        <v/>
      </c>
      <c r="U735" s="1" t="str">
        <f t="shared" si="93"/>
        <v>INCLUDED</v>
      </c>
      <c r="V735" s="1" t="str">
        <f t="shared" si="94"/>
        <v>2026-01</v>
      </c>
      <c r="W735" s="1">
        <f>IF(AND(U735="INCLUDED",X735&gt;0,EXACT(A735,'AI output'!A735)),1,0)</f>
        <v>1</v>
      </c>
      <c r="X735" s="1">
        <f>735</f>
        <v>735</v>
      </c>
      <c r="Y735" s="1">
        <f>IF(AND(U735="INCLUDED",W735=1),--(NOT(EXACT(A735,'AI output'!A735)))+--(NOT(EXACT(B735,'AI output'!B735)))+--(NOT(EXACT(TEXT(G735,"yyyy-mm-dd"),'AI output'!C735)))+--(NOT(EXACT(H735,'AI output'!D735)))+--(NOT(EXACT(J735,'AI output'!E735)))+--(NOT(EXACT(K735,'AI output'!F735)))+--(N735&lt;&gt;'AI output'!L735)+--(NOT('AI output'!M735)),0)</f>
        <v>0</v>
      </c>
      <c r="Z735" s="1">
        <f t="shared" si="95"/>
        <v>0</v>
      </c>
      <c r="AA735" s="1">
        <f>--EXACT(A735,"L00729")</f>
        <v>1</v>
      </c>
    </row>
    <row r="736" spans="1:27" ht="18.95" customHeight="1">
      <c r="A736" s="1" t="str">
        <f>IF(Raw!A736="","",Raw!A736)</f>
        <v>L00730</v>
      </c>
      <c r="B736" s="1" t="str">
        <f>IF(Raw!B736="","",Raw!B736)</f>
        <v>T00365</v>
      </c>
      <c r="C736" s="1" t="str">
        <f>IF(Raw!C736="","",Raw!C736)</f>
        <v>2026-01-29</v>
      </c>
      <c r="D736" s="1">
        <f t="shared" si="88"/>
        <v>2026</v>
      </c>
      <c r="E736" s="1">
        <f>IFERROR(IF(AND(LEN(C736)=10,MID(C736,5,1)="-",MID(C736,8,1)="-"),VALUE(MID(C736,6,2)),IF(AND(LEN(C736)=11,MID(C736,3,1)="-",MID(C736,7,1)="-"),MATCH(UPPER(MID(C736,4,3)),Guide!$D$7:$D$18,0),0)),0)</f>
        <v>1</v>
      </c>
      <c r="F736" s="1">
        <f t="shared" si="89"/>
        <v>29</v>
      </c>
      <c r="G736" s="9">
        <f t="shared" si="90"/>
        <v>46051</v>
      </c>
      <c r="H736" s="1" t="str">
        <f>IF(Raw!D736="","",Raw!D736)</f>
        <v>P-A</v>
      </c>
      <c r="I736" s="1" t="str">
        <f>IFERROR(IF(EXACT(H736,INDEX(Guide!$A$7:$A$9,MATCH(SUBSTITUTE(SUBSTITUTE(SUBSTITUTE(H736,"~","~~"),"*","~*"),"?","~?"),Guide!$A$7:$A$9,0))),INDEX(Guide!$B$7:$B$9,MATCH(SUBSTITUTE(SUBSTITUTE(SUBSTITUTE(H736,"~","~~"),"*","~*"),"?","~?"),Guide!$A$7:$A$9,0)),""),"")</f>
        <v>Accessories</v>
      </c>
      <c r="J736" s="1" t="str">
        <f>IF(TRIM(Raw!E736)="",I736,IF(UPPER(TRIM(Raw!E736))=UPPER(I736),I736,""))</f>
        <v>Accessories</v>
      </c>
      <c r="K736" s="1" t="str">
        <f>IF(Raw!F736="","",Raw!F736)</f>
        <v>sale</v>
      </c>
      <c r="L736" s="1" t="str">
        <f>IF(LEFT(TRIM(Raw!G736),2)="-$","-"&amp;MID(TRIM(Raw!G736),3,99),IF(LEFT(TRIM(Raw!G736),1)="$",MID(TRIM(Raw!G736),2,99),TRIM(Raw!G736)))</f>
        <v>138.88</v>
      </c>
      <c r="M736" s="1">
        <f t="shared" si="91"/>
        <v>138.88</v>
      </c>
      <c r="N736" s="10">
        <f t="shared" si="92"/>
        <v>13888</v>
      </c>
      <c r="O736" s="1" t="b">
        <f>IFERROR(IF(ISNUMBER(Raw!G736),TRUE,OR(EXACT(L736,TEXT(M736,"0.00")),EXACT(L736,TEXT(M736,"#,##0.00")))),FALSE)</f>
        <v>1</v>
      </c>
      <c r="P736" s="1" t="str">
        <f>LEN(IF(Raw!A736="","",Raw!A736))&amp;":"&amp;IF(Raw!A736="","",Raw!A736)&amp;"|"&amp;LEN(IF(Raw!B736="","",Raw!B736))&amp;":"&amp;IF(Raw!B736="","",Raw!B736)&amp;"|"&amp;LEN(IF(Raw!C736="","",Raw!C736))&amp;":"&amp;IF(Raw!C736="","",Raw!C736)&amp;"|"&amp;LEN(IF(Raw!D736="","",Raw!D736))&amp;":"&amp;IF(Raw!D736="","",Raw!D736)&amp;"|"&amp;LEN(IF(Raw!E736="","",Raw!E736))&amp;":"&amp;IF(Raw!E736="","",Raw!E736)&amp;"|"&amp;LEN(IF(Raw!F736="","",Raw!F736))&amp;":"&amp;IF(Raw!F736="","",Raw!F736)&amp;"|"&amp;LEN(IF(Raw!G736="","",Raw!G736))&amp;":"&amp;IF(Raw!G736="","",Raw!G736)</f>
        <v>6:L00730|6:T00365|10:2026-01-29|3:P-A|11:Accessories|4:sale|6:138.88</v>
      </c>
      <c r="Q736" s="1">
        <f>1</f>
        <v>1</v>
      </c>
      <c r="R736" s="1" t="b">
        <f>FALSE</f>
        <v>0</v>
      </c>
      <c r="S736" s="1">
        <f>1</f>
        <v>1</v>
      </c>
      <c r="T736" s="1" t="str">
        <f>IF(AND(Raw!A736="",Raw!B736="",Raw!C736="",Raw!D736="",Raw!E736="",Raw!F736="",Raw!G736=""),"UNUSED",IF(A736="","missing line ID",IF(B736="","missing transaction ID",IF(G736="",IF(C736="","missing date","invalid date"),IF(I736="","unknown product",IF(J736="","conflicting category",IF(NOT(OR(EXACT(K736,"sale"),EXACT(K736,"refund"))),"unknown event",IF(OR(N736="",NOT(O736)),"invalid amount",IF(OR(AND(K736="sale",N736&lt;=0),AND(K736="refund",N736&gt;=0)),"invalid sign","")))))))))</f>
        <v/>
      </c>
      <c r="U736" s="1" t="str">
        <f t="shared" si="93"/>
        <v>INCLUDED</v>
      </c>
      <c r="V736" s="1" t="str">
        <f t="shared" si="94"/>
        <v>2026-01</v>
      </c>
      <c r="W736" s="1">
        <f>IF(AND(U736="INCLUDED",X736&gt;0,EXACT(A736,'AI output'!A736)),1,0)</f>
        <v>1</v>
      </c>
      <c r="X736" s="1">
        <f>736</f>
        <v>736</v>
      </c>
      <c r="Y736" s="1">
        <f>IF(AND(U736="INCLUDED",W736=1),--(NOT(EXACT(A736,'AI output'!A736)))+--(NOT(EXACT(B736,'AI output'!B736)))+--(NOT(EXACT(TEXT(G736,"yyyy-mm-dd"),'AI output'!C736)))+--(NOT(EXACT(H736,'AI output'!D736)))+--(NOT(EXACT(J736,'AI output'!E736)))+--(NOT(EXACT(K736,'AI output'!F736)))+--(N736&lt;&gt;'AI output'!L736)+--(NOT('AI output'!M736)),0)</f>
        <v>0</v>
      </c>
      <c r="Z736" s="1">
        <f t="shared" si="95"/>
        <v>0</v>
      </c>
      <c r="AA736" s="1">
        <f>--EXACT(A736,"L00730")</f>
        <v>1</v>
      </c>
    </row>
    <row r="737" spans="1:27" ht="18.95" customHeight="1">
      <c r="A737" s="1" t="str">
        <f>IF(Raw!A737="","",Raw!A737)</f>
        <v>L00731</v>
      </c>
      <c r="B737" s="1" t="str">
        <f>IF(Raw!B737="","",Raw!B737)</f>
        <v>T00366</v>
      </c>
      <c r="C737" s="1" t="str">
        <f>IF(Raw!C737="","",Raw!C737)</f>
        <v>2026-02-05</v>
      </c>
      <c r="D737" s="1">
        <f t="shared" si="88"/>
        <v>2026</v>
      </c>
      <c r="E737" s="1">
        <f>IFERROR(IF(AND(LEN(C737)=10,MID(C737,5,1)="-",MID(C737,8,1)="-"),VALUE(MID(C737,6,2)),IF(AND(LEN(C737)=11,MID(C737,3,1)="-",MID(C737,7,1)="-"),MATCH(UPPER(MID(C737,4,3)),Guide!$D$7:$D$18,0),0)),0)</f>
        <v>2</v>
      </c>
      <c r="F737" s="1">
        <f t="shared" si="89"/>
        <v>5</v>
      </c>
      <c r="G737" s="9">
        <f t="shared" si="90"/>
        <v>46058</v>
      </c>
      <c r="H737" s="1" t="str">
        <f>IF(Raw!D737="","",Raw!D737)</f>
        <v>P-H</v>
      </c>
      <c r="I737" s="1" t="str">
        <f>IFERROR(IF(EXACT(H737,INDEX(Guide!$A$7:$A$9,MATCH(SUBSTITUTE(SUBSTITUTE(SUBSTITUTE(H737,"~","~~"),"*","~*"),"?","~?"),Guide!$A$7:$A$9,0))),INDEX(Guide!$B$7:$B$9,MATCH(SUBSTITUTE(SUBSTITUTE(SUBSTITUTE(H737,"~","~~"),"*","~*"),"?","~?"),Guide!$A$7:$A$9,0)),""),"")</f>
        <v>Home</v>
      </c>
      <c r="J737" s="1" t="str">
        <f>IF(TRIM(Raw!E737)="",I737,IF(UPPER(TRIM(Raw!E737))=UPPER(I737),I737,""))</f>
        <v>Home</v>
      </c>
      <c r="K737" s="1" t="str">
        <f>IF(Raw!F737="","",Raw!F737)</f>
        <v>sale</v>
      </c>
      <c r="L737" s="1" t="str">
        <f>IF(LEFT(TRIM(Raw!G737),2)="-$","-"&amp;MID(TRIM(Raw!G737),3,99),IF(LEFT(TRIM(Raw!G737),1)="$",MID(TRIM(Raw!G737),2,99),TRIM(Raw!G737)))</f>
        <v>35.09</v>
      </c>
      <c r="M737" s="1">
        <f t="shared" si="91"/>
        <v>35.090000000000003</v>
      </c>
      <c r="N737" s="10">
        <f t="shared" si="92"/>
        <v>3509</v>
      </c>
      <c r="O737" s="1" t="b">
        <f>IFERROR(IF(ISNUMBER(Raw!G737),TRUE,OR(EXACT(L737,TEXT(M737,"0.00")),EXACT(L737,TEXT(M737,"#,##0.00")))),FALSE)</f>
        <v>1</v>
      </c>
      <c r="P737" s="1" t="str">
        <f>LEN(IF(Raw!A737="","",Raw!A737))&amp;":"&amp;IF(Raw!A737="","",Raw!A737)&amp;"|"&amp;LEN(IF(Raw!B737="","",Raw!B737))&amp;":"&amp;IF(Raw!B737="","",Raw!B737)&amp;"|"&amp;LEN(IF(Raw!C737="","",Raw!C737))&amp;":"&amp;IF(Raw!C737="","",Raw!C737)&amp;"|"&amp;LEN(IF(Raw!D737="","",Raw!D737))&amp;":"&amp;IF(Raw!D737="","",Raw!D737)&amp;"|"&amp;LEN(IF(Raw!E737="","",Raw!E737))&amp;":"&amp;IF(Raw!E737="","",Raw!E737)&amp;"|"&amp;LEN(IF(Raw!F737="","",Raw!F737))&amp;":"&amp;IF(Raw!F737="","",Raw!F737)&amp;"|"&amp;LEN(IF(Raw!G737="","",Raw!G737))&amp;":"&amp;IF(Raw!G737="","",Raw!G737)</f>
        <v>6:L00731|6:T00366|10:2026-02-05|3:P-H|4:Home|4:sale|5:35.09</v>
      </c>
      <c r="Q737" s="1">
        <f>1</f>
        <v>1</v>
      </c>
      <c r="R737" s="1" t="b">
        <f>FALSE</f>
        <v>0</v>
      </c>
      <c r="S737" s="1">
        <f>1</f>
        <v>1</v>
      </c>
      <c r="T737" s="1" t="str">
        <f>IF(AND(Raw!A737="",Raw!B737="",Raw!C737="",Raw!D737="",Raw!E737="",Raw!F737="",Raw!G737=""),"UNUSED",IF(A737="","missing line ID",IF(B737="","missing transaction ID",IF(G737="",IF(C737="","missing date","invalid date"),IF(I737="","unknown product",IF(J737="","conflicting category",IF(NOT(OR(EXACT(K737,"sale"),EXACT(K737,"refund"))),"unknown event",IF(OR(N737="",NOT(O737)),"invalid amount",IF(OR(AND(K737="sale",N737&lt;=0),AND(K737="refund",N737&gt;=0)),"invalid sign","")))))))))</f>
        <v/>
      </c>
      <c r="U737" s="1" t="str">
        <f t="shared" si="93"/>
        <v>INCLUDED</v>
      </c>
      <c r="V737" s="1" t="str">
        <f t="shared" si="94"/>
        <v>2026-02</v>
      </c>
      <c r="W737" s="1">
        <f>IF(AND(U737="INCLUDED",X737&gt;0,EXACT(A737,'AI output'!A737)),1,0)</f>
        <v>1</v>
      </c>
      <c r="X737" s="1">
        <f>737</f>
        <v>737</v>
      </c>
      <c r="Y737" s="1">
        <f>IF(AND(U737="INCLUDED",W737=1),--(NOT(EXACT(A737,'AI output'!A737)))+--(NOT(EXACT(B737,'AI output'!B737)))+--(NOT(EXACT(TEXT(G737,"yyyy-mm-dd"),'AI output'!C737)))+--(NOT(EXACT(H737,'AI output'!D737)))+--(NOT(EXACT(J737,'AI output'!E737)))+--(NOT(EXACT(K737,'AI output'!F737)))+--(N737&lt;&gt;'AI output'!L737)+--(NOT('AI output'!M737)),0)</f>
        <v>0</v>
      </c>
      <c r="Z737" s="1">
        <f t="shared" si="95"/>
        <v>0</v>
      </c>
      <c r="AA737" s="1">
        <f>--EXACT(A737,"L00731")</f>
        <v>1</v>
      </c>
    </row>
    <row r="738" spans="1:27" ht="18.95" customHeight="1">
      <c r="A738" s="1" t="str">
        <f>IF(Raw!A738="","",Raw!A738)</f>
        <v>L00732</v>
      </c>
      <c r="B738" s="1" t="str">
        <f>IF(Raw!B738="","",Raw!B738)</f>
        <v>T00366</v>
      </c>
      <c r="C738" s="1" t="str">
        <f>IF(Raw!C738="","",Raw!C738)</f>
        <v>2026-02-05</v>
      </c>
      <c r="D738" s="1">
        <f t="shared" si="88"/>
        <v>2026</v>
      </c>
      <c r="E738" s="1">
        <f>IFERROR(IF(AND(LEN(C738)=10,MID(C738,5,1)="-",MID(C738,8,1)="-"),VALUE(MID(C738,6,2)),IF(AND(LEN(C738)=11,MID(C738,3,1)="-",MID(C738,7,1)="-"),MATCH(UPPER(MID(C738,4,3)),Guide!$D$7:$D$18,0),0)),0)</f>
        <v>2</v>
      </c>
      <c r="F738" s="1">
        <f t="shared" si="89"/>
        <v>5</v>
      </c>
      <c r="G738" s="9">
        <f t="shared" si="90"/>
        <v>46058</v>
      </c>
      <c r="H738" s="1" t="str">
        <f>IF(Raw!D738="","",Raw!D738)</f>
        <v>P-O</v>
      </c>
      <c r="I738" s="1" t="str">
        <f>IFERROR(IF(EXACT(H738,INDEX(Guide!$A$7:$A$9,MATCH(SUBSTITUTE(SUBSTITUTE(SUBSTITUTE(H738,"~","~~"),"*","~*"),"?","~?"),Guide!$A$7:$A$9,0))),INDEX(Guide!$B$7:$B$9,MATCH(SUBSTITUTE(SUBSTITUTE(SUBSTITUTE(H738,"~","~~"),"*","~*"),"?","~?"),Guide!$A$7:$A$9,0)),""),"")</f>
        <v>Office</v>
      </c>
      <c r="J738" s="1" t="str">
        <f>IF(TRIM(Raw!E738)="",I738,IF(UPPER(TRIM(Raw!E738))=UPPER(I738),I738,""))</f>
        <v>Office</v>
      </c>
      <c r="K738" s="1" t="str">
        <f>IF(Raw!F738="","",Raw!F738)</f>
        <v>sale</v>
      </c>
      <c r="L738" s="1" t="str">
        <f>IF(LEFT(TRIM(Raw!G738),2)="-$","-"&amp;MID(TRIM(Raw!G738),3,99),IF(LEFT(TRIM(Raw!G738),1)="$",MID(TRIM(Raw!G738),2,99),TRIM(Raw!G738)))</f>
        <v>106.38</v>
      </c>
      <c r="M738" s="1">
        <f t="shared" si="91"/>
        <v>106.38</v>
      </c>
      <c r="N738" s="10">
        <f t="shared" si="92"/>
        <v>10638</v>
      </c>
      <c r="O738" s="1" t="b">
        <f>IFERROR(IF(ISNUMBER(Raw!G738),TRUE,OR(EXACT(L738,TEXT(M738,"0.00")),EXACT(L738,TEXT(M738,"#,##0.00")))),FALSE)</f>
        <v>1</v>
      </c>
      <c r="P738" s="1" t="str">
        <f>LEN(IF(Raw!A738="","",Raw!A738))&amp;":"&amp;IF(Raw!A738="","",Raw!A738)&amp;"|"&amp;LEN(IF(Raw!B738="","",Raw!B738))&amp;":"&amp;IF(Raw!B738="","",Raw!B738)&amp;"|"&amp;LEN(IF(Raw!C738="","",Raw!C738))&amp;":"&amp;IF(Raw!C738="","",Raw!C738)&amp;"|"&amp;LEN(IF(Raw!D738="","",Raw!D738))&amp;":"&amp;IF(Raw!D738="","",Raw!D738)&amp;"|"&amp;LEN(IF(Raw!E738="","",Raw!E738))&amp;":"&amp;IF(Raw!E738="","",Raw!E738)&amp;"|"&amp;LEN(IF(Raw!F738="","",Raw!F738))&amp;":"&amp;IF(Raw!F738="","",Raw!F738)&amp;"|"&amp;LEN(IF(Raw!G738="","",Raw!G738))&amp;":"&amp;IF(Raw!G738="","",Raw!G738)</f>
        <v>6:L00732|6:T00366|10:2026-02-05|3:P-O|6:Office|4:sale|6:106.38</v>
      </c>
      <c r="Q738" s="1">
        <f>1</f>
        <v>1</v>
      </c>
      <c r="R738" s="1" t="b">
        <f>FALSE</f>
        <v>0</v>
      </c>
      <c r="S738" s="1">
        <f>1</f>
        <v>1</v>
      </c>
      <c r="T738" s="1" t="str">
        <f>IF(AND(Raw!A738="",Raw!B738="",Raw!C738="",Raw!D738="",Raw!E738="",Raw!F738="",Raw!G738=""),"UNUSED",IF(A738="","missing line ID",IF(B738="","missing transaction ID",IF(G738="",IF(C738="","missing date","invalid date"),IF(I738="","unknown product",IF(J738="","conflicting category",IF(NOT(OR(EXACT(K738,"sale"),EXACT(K738,"refund"))),"unknown event",IF(OR(N738="",NOT(O738)),"invalid amount",IF(OR(AND(K738="sale",N738&lt;=0),AND(K738="refund",N738&gt;=0)),"invalid sign","")))))))))</f>
        <v/>
      </c>
      <c r="U738" s="1" t="str">
        <f t="shared" si="93"/>
        <v>INCLUDED</v>
      </c>
      <c r="V738" s="1" t="str">
        <f t="shared" si="94"/>
        <v>2026-02</v>
      </c>
      <c r="W738" s="1">
        <f>IF(AND(U738="INCLUDED",X738&gt;0,EXACT(A738,'AI output'!A738)),1,0)</f>
        <v>1</v>
      </c>
      <c r="X738" s="1">
        <f>738</f>
        <v>738</v>
      </c>
      <c r="Y738" s="1">
        <f>IF(AND(U738="INCLUDED",W738=1),--(NOT(EXACT(A738,'AI output'!A738)))+--(NOT(EXACT(B738,'AI output'!B738)))+--(NOT(EXACT(TEXT(G738,"yyyy-mm-dd"),'AI output'!C738)))+--(NOT(EXACT(H738,'AI output'!D738)))+--(NOT(EXACT(J738,'AI output'!E738)))+--(NOT(EXACT(K738,'AI output'!F738)))+--(N738&lt;&gt;'AI output'!L738)+--(NOT('AI output'!M738)),0)</f>
        <v>0</v>
      </c>
      <c r="Z738" s="1">
        <f t="shared" si="95"/>
        <v>0</v>
      </c>
      <c r="AA738" s="1">
        <f>--EXACT(A738,"L00732")</f>
        <v>1</v>
      </c>
    </row>
    <row r="739" spans="1:27" ht="18.95" customHeight="1">
      <c r="A739" s="1" t="str">
        <f>IF(Raw!A739="","",Raw!A739)</f>
        <v>L00733</v>
      </c>
      <c r="B739" s="1" t="str">
        <f>IF(Raw!B739="","",Raw!B739)</f>
        <v>T00367</v>
      </c>
      <c r="C739" s="1" t="str">
        <f>IF(Raw!C739="","",Raw!C739)</f>
        <v>2026-02-12</v>
      </c>
      <c r="D739" s="1">
        <f t="shared" si="88"/>
        <v>2026</v>
      </c>
      <c r="E739" s="1">
        <f>IFERROR(IF(AND(LEN(C739)=10,MID(C739,5,1)="-",MID(C739,8,1)="-"),VALUE(MID(C739,6,2)),IF(AND(LEN(C739)=11,MID(C739,3,1)="-",MID(C739,7,1)="-"),MATCH(UPPER(MID(C739,4,3)),Guide!$D$7:$D$18,0),0)),0)</f>
        <v>2</v>
      </c>
      <c r="F739" s="1">
        <f t="shared" si="89"/>
        <v>12</v>
      </c>
      <c r="G739" s="9">
        <f t="shared" si="90"/>
        <v>46065</v>
      </c>
      <c r="H739" s="1" t="str">
        <f>IF(Raw!D739="","",Raw!D739)</f>
        <v>P-A</v>
      </c>
      <c r="I739" s="1" t="str">
        <f>IFERROR(IF(EXACT(H739,INDEX(Guide!$A$7:$A$9,MATCH(SUBSTITUTE(SUBSTITUTE(SUBSTITUTE(H739,"~","~~"),"*","~*"),"?","~?"),Guide!$A$7:$A$9,0))),INDEX(Guide!$B$7:$B$9,MATCH(SUBSTITUTE(SUBSTITUTE(SUBSTITUTE(H739,"~","~~"),"*","~*"),"?","~?"),Guide!$A$7:$A$9,0)),""),"")</f>
        <v>Accessories</v>
      </c>
      <c r="J739" s="1" t="str">
        <f>IF(TRIM(Raw!E739)="",I739,IF(UPPER(TRIM(Raw!E739))=UPPER(I739),I739,""))</f>
        <v>Accessories</v>
      </c>
      <c r="K739" s="1" t="str">
        <f>IF(Raw!F739="","",Raw!F739)</f>
        <v>sale</v>
      </c>
      <c r="L739" s="1" t="str">
        <f>IF(LEFT(TRIM(Raw!G739),2)="-$","-"&amp;MID(TRIM(Raw!G739),3,99),IF(LEFT(TRIM(Raw!G739),1)="$",MID(TRIM(Raw!G739),2,99),TRIM(Raw!G739)))</f>
        <v>179.15</v>
      </c>
      <c r="M739" s="1">
        <f t="shared" si="91"/>
        <v>179.15</v>
      </c>
      <c r="N739" s="10">
        <f t="shared" si="92"/>
        <v>17915</v>
      </c>
      <c r="O739" s="1" t="b">
        <f>IFERROR(IF(ISNUMBER(Raw!G739),TRUE,OR(EXACT(L739,TEXT(M739,"0.00")),EXACT(L739,TEXT(M739,"#,##0.00")))),FALSE)</f>
        <v>1</v>
      </c>
      <c r="P739" s="1" t="str">
        <f>LEN(IF(Raw!A739="","",Raw!A739))&amp;":"&amp;IF(Raw!A739="","",Raw!A739)&amp;"|"&amp;LEN(IF(Raw!B739="","",Raw!B739))&amp;":"&amp;IF(Raw!B739="","",Raw!B739)&amp;"|"&amp;LEN(IF(Raw!C739="","",Raw!C739))&amp;":"&amp;IF(Raw!C739="","",Raw!C739)&amp;"|"&amp;LEN(IF(Raw!D739="","",Raw!D739))&amp;":"&amp;IF(Raw!D739="","",Raw!D739)&amp;"|"&amp;LEN(IF(Raw!E739="","",Raw!E739))&amp;":"&amp;IF(Raw!E739="","",Raw!E739)&amp;"|"&amp;LEN(IF(Raw!F739="","",Raw!F739))&amp;":"&amp;IF(Raw!F739="","",Raw!F739)&amp;"|"&amp;LEN(IF(Raw!G739="","",Raw!G739))&amp;":"&amp;IF(Raw!G739="","",Raw!G739)</f>
        <v>6:L00733|6:T00367|10:2026-02-12|3:P-A|11:Accessories|4:sale|6:179.15</v>
      </c>
      <c r="Q739" s="1">
        <f>1</f>
        <v>1</v>
      </c>
      <c r="R739" s="1" t="b">
        <f>FALSE</f>
        <v>0</v>
      </c>
      <c r="S739" s="1">
        <f>1</f>
        <v>1</v>
      </c>
      <c r="T739" s="1" t="str">
        <f>IF(AND(Raw!A739="",Raw!B739="",Raw!C739="",Raw!D739="",Raw!E739="",Raw!F739="",Raw!G739=""),"UNUSED",IF(A739="","missing line ID",IF(B739="","missing transaction ID",IF(G739="",IF(C739="","missing date","invalid date"),IF(I739="","unknown product",IF(J739="","conflicting category",IF(NOT(OR(EXACT(K739,"sale"),EXACT(K739,"refund"))),"unknown event",IF(OR(N739="",NOT(O739)),"invalid amount",IF(OR(AND(K739="sale",N739&lt;=0),AND(K739="refund",N739&gt;=0)),"invalid sign","")))))))))</f>
        <v/>
      </c>
      <c r="U739" s="1" t="str">
        <f t="shared" si="93"/>
        <v>INCLUDED</v>
      </c>
      <c r="V739" s="1" t="str">
        <f t="shared" si="94"/>
        <v>2026-02</v>
      </c>
      <c r="W739" s="1">
        <f>IF(AND(U739="INCLUDED",X739&gt;0,EXACT(A739,'AI output'!A739)),1,0)</f>
        <v>1</v>
      </c>
      <c r="X739" s="1">
        <f>739</f>
        <v>739</v>
      </c>
      <c r="Y739" s="1">
        <f>IF(AND(U739="INCLUDED",W739=1),--(NOT(EXACT(A739,'AI output'!A739)))+--(NOT(EXACT(B739,'AI output'!B739)))+--(NOT(EXACT(TEXT(G739,"yyyy-mm-dd"),'AI output'!C739)))+--(NOT(EXACT(H739,'AI output'!D739)))+--(NOT(EXACT(J739,'AI output'!E739)))+--(NOT(EXACT(K739,'AI output'!F739)))+--(N739&lt;&gt;'AI output'!L739)+--(NOT('AI output'!M739)),0)</f>
        <v>0</v>
      </c>
      <c r="Z739" s="1">
        <f t="shared" si="95"/>
        <v>0</v>
      </c>
      <c r="AA739" s="1">
        <f>--EXACT(A739,"L00733")</f>
        <v>1</v>
      </c>
    </row>
    <row r="740" spans="1:27" ht="18.95" customHeight="1">
      <c r="A740" s="1" t="str">
        <f>IF(Raw!A740="","",Raw!A740)</f>
        <v>L00734</v>
      </c>
      <c r="B740" s="1" t="str">
        <f>IF(Raw!B740="","",Raw!B740)</f>
        <v>T00367</v>
      </c>
      <c r="C740" s="1" t="str">
        <f>IF(Raw!C740="","",Raw!C740)</f>
        <v>2026-02-12</v>
      </c>
      <c r="D740" s="1">
        <f t="shared" si="88"/>
        <v>2026</v>
      </c>
      <c r="E740" s="1">
        <f>IFERROR(IF(AND(LEN(C740)=10,MID(C740,5,1)="-",MID(C740,8,1)="-"),VALUE(MID(C740,6,2)),IF(AND(LEN(C740)=11,MID(C740,3,1)="-",MID(C740,7,1)="-"),MATCH(UPPER(MID(C740,4,3)),Guide!$D$7:$D$18,0),0)),0)</f>
        <v>2</v>
      </c>
      <c r="F740" s="1">
        <f t="shared" si="89"/>
        <v>12</v>
      </c>
      <c r="G740" s="9">
        <f t="shared" si="90"/>
        <v>46065</v>
      </c>
      <c r="H740" s="1" t="str">
        <f>IF(Raw!D740="","",Raw!D740)</f>
        <v>P-H</v>
      </c>
      <c r="I740" s="1" t="str">
        <f>IFERROR(IF(EXACT(H740,INDEX(Guide!$A$7:$A$9,MATCH(SUBSTITUTE(SUBSTITUTE(SUBSTITUTE(H740,"~","~~"),"*","~*"),"?","~?"),Guide!$A$7:$A$9,0))),INDEX(Guide!$B$7:$B$9,MATCH(SUBSTITUTE(SUBSTITUTE(SUBSTITUTE(H740,"~","~~"),"*","~*"),"?","~?"),Guide!$A$7:$A$9,0)),""),"")</f>
        <v>Home</v>
      </c>
      <c r="J740" s="1" t="str">
        <f>IF(TRIM(Raw!E740)="",I740,IF(UPPER(TRIM(Raw!E740))=UPPER(I740),I740,""))</f>
        <v>Home</v>
      </c>
      <c r="K740" s="1" t="str">
        <f>IF(Raw!F740="","",Raw!F740)</f>
        <v>sale</v>
      </c>
      <c r="L740" s="1" t="str">
        <f>IF(LEFT(TRIM(Raw!G740),2)="-$","-"&amp;MID(TRIM(Raw!G740),3,99),IF(LEFT(TRIM(Raw!G740),1)="$",MID(TRIM(Raw!G740),2,99),TRIM(Raw!G740)))</f>
        <v>72.40</v>
      </c>
      <c r="M740" s="1">
        <f t="shared" si="91"/>
        <v>72.400000000000006</v>
      </c>
      <c r="N740" s="10">
        <f t="shared" si="92"/>
        <v>7240</v>
      </c>
      <c r="O740" s="1" t="b">
        <f>IFERROR(IF(ISNUMBER(Raw!G740),TRUE,OR(EXACT(L740,TEXT(M740,"0.00")),EXACT(L740,TEXT(M740,"#,##0.00")))),FALSE)</f>
        <v>1</v>
      </c>
      <c r="P740" s="1" t="str">
        <f>LEN(IF(Raw!A740="","",Raw!A740))&amp;":"&amp;IF(Raw!A740="","",Raw!A740)&amp;"|"&amp;LEN(IF(Raw!B740="","",Raw!B740))&amp;":"&amp;IF(Raw!B740="","",Raw!B740)&amp;"|"&amp;LEN(IF(Raw!C740="","",Raw!C740))&amp;":"&amp;IF(Raw!C740="","",Raw!C740)&amp;"|"&amp;LEN(IF(Raw!D740="","",Raw!D740))&amp;":"&amp;IF(Raw!D740="","",Raw!D740)&amp;"|"&amp;LEN(IF(Raw!E740="","",Raw!E740))&amp;":"&amp;IF(Raw!E740="","",Raw!E740)&amp;"|"&amp;LEN(IF(Raw!F740="","",Raw!F740))&amp;":"&amp;IF(Raw!F740="","",Raw!F740)&amp;"|"&amp;LEN(IF(Raw!G740="","",Raw!G740))&amp;":"&amp;IF(Raw!G740="","",Raw!G740)</f>
        <v>6:L00734|6:T00367|10:2026-02-12|3:P-H|0:|4:sale|5:72.40</v>
      </c>
      <c r="Q740" s="1">
        <f>1</f>
        <v>1</v>
      </c>
      <c r="R740" s="1" t="b">
        <f>FALSE</f>
        <v>0</v>
      </c>
      <c r="S740" s="1">
        <f>1</f>
        <v>1</v>
      </c>
      <c r="T740" s="1" t="str">
        <f>IF(AND(Raw!A740="",Raw!B740="",Raw!C740="",Raw!D740="",Raw!E740="",Raw!F740="",Raw!G740=""),"UNUSED",IF(A740="","missing line ID",IF(B740="","missing transaction ID",IF(G740="",IF(C740="","missing date","invalid date"),IF(I740="","unknown product",IF(J740="","conflicting category",IF(NOT(OR(EXACT(K740,"sale"),EXACT(K740,"refund"))),"unknown event",IF(OR(N740="",NOT(O740)),"invalid amount",IF(OR(AND(K740="sale",N740&lt;=0),AND(K740="refund",N740&gt;=0)),"invalid sign","")))))))))</f>
        <v/>
      </c>
      <c r="U740" s="1" t="str">
        <f t="shared" si="93"/>
        <v>INCLUDED</v>
      </c>
      <c r="V740" s="1" t="str">
        <f t="shared" si="94"/>
        <v>2026-02</v>
      </c>
      <c r="W740" s="1">
        <f>IF(AND(U740="INCLUDED",X740&gt;0,EXACT(A740,'AI output'!A740)),1,0)</f>
        <v>1</v>
      </c>
      <c r="X740" s="1">
        <f>740</f>
        <v>740</v>
      </c>
      <c r="Y740" s="1">
        <f>IF(AND(U740="INCLUDED",W740=1),--(NOT(EXACT(A740,'AI output'!A740)))+--(NOT(EXACT(B740,'AI output'!B740)))+--(NOT(EXACT(TEXT(G740,"yyyy-mm-dd"),'AI output'!C740)))+--(NOT(EXACT(H740,'AI output'!D740)))+--(NOT(EXACT(J740,'AI output'!E740)))+--(NOT(EXACT(K740,'AI output'!F740)))+--(N740&lt;&gt;'AI output'!L740)+--(NOT('AI output'!M740)),0)</f>
        <v>0</v>
      </c>
      <c r="Z740" s="1">
        <f t="shared" si="95"/>
        <v>0</v>
      </c>
      <c r="AA740" s="1">
        <f>--EXACT(A740,"L00734")</f>
        <v>1</v>
      </c>
    </row>
    <row r="741" spans="1:27" ht="18.95" customHeight="1">
      <c r="A741" s="1" t="str">
        <f>IF(Raw!A741="","",Raw!A741)</f>
        <v>L00735</v>
      </c>
      <c r="B741" s="1" t="str">
        <f>IF(Raw!B741="","",Raw!B741)</f>
        <v>T00368</v>
      </c>
      <c r="C741" s="1" t="str">
        <f>IF(Raw!C741="","",Raw!C741)</f>
        <v>2026-02-19</v>
      </c>
      <c r="D741" s="1">
        <f t="shared" si="88"/>
        <v>2026</v>
      </c>
      <c r="E741" s="1">
        <f>IFERROR(IF(AND(LEN(C741)=10,MID(C741,5,1)="-",MID(C741,8,1)="-"),VALUE(MID(C741,6,2)),IF(AND(LEN(C741)=11,MID(C741,3,1)="-",MID(C741,7,1)="-"),MATCH(UPPER(MID(C741,4,3)),Guide!$D$7:$D$18,0),0)),0)</f>
        <v>2</v>
      </c>
      <c r="F741" s="1">
        <f t="shared" si="89"/>
        <v>19</v>
      </c>
      <c r="G741" s="9">
        <f t="shared" si="90"/>
        <v>46072</v>
      </c>
      <c r="H741" s="1" t="str">
        <f>IF(Raw!D741="","",Raw!D741)</f>
        <v>P-O</v>
      </c>
      <c r="I741" s="1" t="str">
        <f>IFERROR(IF(EXACT(H741,INDEX(Guide!$A$7:$A$9,MATCH(SUBSTITUTE(SUBSTITUTE(SUBSTITUTE(H741,"~","~~"),"*","~*"),"?","~?"),Guide!$A$7:$A$9,0))),INDEX(Guide!$B$7:$B$9,MATCH(SUBSTITUTE(SUBSTITUTE(SUBSTITUTE(H741,"~","~~"),"*","~*"),"?","~?"),Guide!$A$7:$A$9,0)),""),"")</f>
        <v>Office</v>
      </c>
      <c r="J741" s="1" t="str">
        <f>IF(TRIM(Raw!E741)="",I741,IF(UPPER(TRIM(Raw!E741))=UPPER(I741),I741,""))</f>
        <v>Office</v>
      </c>
      <c r="K741" s="1" t="str">
        <f>IF(Raw!F741="","",Raw!F741)</f>
        <v>sale</v>
      </c>
      <c r="L741" s="1" t="str">
        <f>IF(LEFT(TRIM(Raw!G741),2)="-$","-"&amp;MID(TRIM(Raw!G741),3,99),IF(LEFT(TRIM(Raw!G741),1)="$",MID(TRIM(Raw!G741),2,99),TRIM(Raw!G741)))</f>
        <v>146.28</v>
      </c>
      <c r="M741" s="1">
        <f t="shared" si="91"/>
        <v>146.28</v>
      </c>
      <c r="N741" s="10">
        <f t="shared" si="92"/>
        <v>14628</v>
      </c>
      <c r="O741" s="1" t="b">
        <f>IFERROR(IF(ISNUMBER(Raw!G741),TRUE,OR(EXACT(L741,TEXT(M741,"0.00")),EXACT(L741,TEXT(M741,"#,##0.00")))),FALSE)</f>
        <v>1</v>
      </c>
      <c r="P741" s="1" t="str">
        <f>LEN(IF(Raw!A741="","",Raw!A741))&amp;":"&amp;IF(Raw!A741="","",Raw!A741)&amp;"|"&amp;LEN(IF(Raw!B741="","",Raw!B741))&amp;":"&amp;IF(Raw!B741="","",Raw!B741)&amp;"|"&amp;LEN(IF(Raw!C741="","",Raw!C741))&amp;":"&amp;IF(Raw!C741="","",Raw!C741)&amp;"|"&amp;LEN(IF(Raw!D741="","",Raw!D741))&amp;":"&amp;IF(Raw!D741="","",Raw!D741)&amp;"|"&amp;LEN(IF(Raw!E741="","",Raw!E741))&amp;":"&amp;IF(Raw!E741="","",Raw!E741)&amp;"|"&amp;LEN(IF(Raw!F741="","",Raw!F741))&amp;":"&amp;IF(Raw!F741="","",Raw!F741)&amp;"|"&amp;LEN(IF(Raw!G741="","",Raw!G741))&amp;":"&amp;IF(Raw!G741="","",Raw!G741)</f>
        <v>6:L00735|6:T00368|10:2026-02-19|3:P-O|6:Office|4:sale|6:146.28</v>
      </c>
      <c r="Q741" s="1">
        <f>1</f>
        <v>1</v>
      </c>
      <c r="R741" s="1" t="b">
        <f>FALSE</f>
        <v>0</v>
      </c>
      <c r="S741" s="1">
        <f>1</f>
        <v>1</v>
      </c>
      <c r="T741" s="1" t="str">
        <f>IF(AND(Raw!A741="",Raw!B741="",Raw!C741="",Raw!D741="",Raw!E741="",Raw!F741="",Raw!G741=""),"UNUSED",IF(A741="","missing line ID",IF(B741="","missing transaction ID",IF(G741="",IF(C741="","missing date","invalid date"),IF(I741="","unknown product",IF(J741="","conflicting category",IF(NOT(OR(EXACT(K741,"sale"),EXACT(K741,"refund"))),"unknown event",IF(OR(N741="",NOT(O741)),"invalid amount",IF(OR(AND(K741="sale",N741&lt;=0),AND(K741="refund",N741&gt;=0)),"invalid sign","")))))))))</f>
        <v/>
      </c>
      <c r="U741" s="1" t="str">
        <f t="shared" si="93"/>
        <v>INCLUDED</v>
      </c>
      <c r="V741" s="1" t="str">
        <f t="shared" si="94"/>
        <v>2026-02</v>
      </c>
      <c r="W741" s="1">
        <f>IF(AND(U741="INCLUDED",X741&gt;0,EXACT(A741,'AI output'!A741)),1,0)</f>
        <v>1</v>
      </c>
      <c r="X741" s="1">
        <f>741</f>
        <v>741</v>
      </c>
      <c r="Y741" s="1">
        <f>IF(AND(U741="INCLUDED",W741=1),--(NOT(EXACT(A741,'AI output'!A741)))+--(NOT(EXACT(B741,'AI output'!B741)))+--(NOT(EXACT(TEXT(G741,"yyyy-mm-dd"),'AI output'!C741)))+--(NOT(EXACT(H741,'AI output'!D741)))+--(NOT(EXACT(J741,'AI output'!E741)))+--(NOT(EXACT(K741,'AI output'!F741)))+--(N741&lt;&gt;'AI output'!L741)+--(NOT('AI output'!M741)),0)</f>
        <v>0</v>
      </c>
      <c r="Z741" s="1">
        <f t="shared" si="95"/>
        <v>0</v>
      </c>
      <c r="AA741" s="1">
        <f>--EXACT(A741,"L00735")</f>
        <v>1</v>
      </c>
    </row>
    <row r="742" spans="1:27" ht="18.95" customHeight="1">
      <c r="A742" s="1" t="str">
        <f>IF(Raw!A742="","",Raw!A742)</f>
        <v>L00736</v>
      </c>
      <c r="B742" s="1" t="str">
        <f>IF(Raw!B742="","",Raw!B742)</f>
        <v>T00368</v>
      </c>
      <c r="C742" s="1" t="str">
        <f>IF(Raw!C742="","",Raw!C742)</f>
        <v>2026-02-19</v>
      </c>
      <c r="D742" s="1">
        <f t="shared" si="88"/>
        <v>2026</v>
      </c>
      <c r="E742" s="1">
        <f>IFERROR(IF(AND(LEN(C742)=10,MID(C742,5,1)="-",MID(C742,8,1)="-"),VALUE(MID(C742,6,2)),IF(AND(LEN(C742)=11,MID(C742,3,1)="-",MID(C742,7,1)="-"),MATCH(UPPER(MID(C742,4,3)),Guide!$D$7:$D$18,0),0)),0)</f>
        <v>2</v>
      </c>
      <c r="F742" s="1">
        <f t="shared" si="89"/>
        <v>19</v>
      </c>
      <c r="G742" s="9">
        <f t="shared" si="90"/>
        <v>46072</v>
      </c>
      <c r="H742" s="1" t="str">
        <f>IF(Raw!D742="","",Raw!D742)</f>
        <v>P-A</v>
      </c>
      <c r="I742" s="1" t="str">
        <f>IFERROR(IF(EXACT(H742,INDEX(Guide!$A$7:$A$9,MATCH(SUBSTITUTE(SUBSTITUTE(SUBSTITUTE(H742,"~","~~"),"*","~*"),"?","~?"),Guide!$A$7:$A$9,0))),INDEX(Guide!$B$7:$B$9,MATCH(SUBSTITUTE(SUBSTITUTE(SUBSTITUTE(H742,"~","~~"),"*","~*"),"?","~?"),Guide!$A$7:$A$9,0)),""),"")</f>
        <v>Accessories</v>
      </c>
      <c r="J742" s="1" t="str">
        <f>IF(TRIM(Raw!E742)="",I742,IF(UPPER(TRIM(Raw!E742))=UPPER(I742),I742,""))</f>
        <v>Accessories</v>
      </c>
      <c r="K742" s="1" t="str">
        <f>IF(Raw!F742="","",Raw!F742)</f>
        <v>sale</v>
      </c>
      <c r="L742" s="1" t="str">
        <f>IF(LEFT(TRIM(Raw!G742),2)="-$","-"&amp;MID(TRIM(Raw!G742),3,99),IF(LEFT(TRIM(Raw!G742),1)="$",MID(TRIM(Raw!G742),2,99),TRIM(Raw!G742)))</f>
        <v>36.94</v>
      </c>
      <c r="M742" s="1">
        <f t="shared" si="91"/>
        <v>36.94</v>
      </c>
      <c r="N742" s="10">
        <f t="shared" si="92"/>
        <v>3694</v>
      </c>
      <c r="O742" s="1" t="b">
        <f>IFERROR(IF(ISNUMBER(Raw!G742),TRUE,OR(EXACT(L742,TEXT(M742,"0.00")),EXACT(L742,TEXT(M742,"#,##0.00")))),FALSE)</f>
        <v>1</v>
      </c>
      <c r="P742" s="1" t="str">
        <f>LEN(IF(Raw!A742="","",Raw!A742))&amp;":"&amp;IF(Raw!A742="","",Raw!A742)&amp;"|"&amp;LEN(IF(Raw!B742="","",Raw!B742))&amp;":"&amp;IF(Raw!B742="","",Raw!B742)&amp;"|"&amp;LEN(IF(Raw!C742="","",Raw!C742))&amp;":"&amp;IF(Raw!C742="","",Raw!C742)&amp;"|"&amp;LEN(IF(Raw!D742="","",Raw!D742))&amp;":"&amp;IF(Raw!D742="","",Raw!D742)&amp;"|"&amp;LEN(IF(Raw!E742="","",Raw!E742))&amp;":"&amp;IF(Raw!E742="","",Raw!E742)&amp;"|"&amp;LEN(IF(Raw!F742="","",Raw!F742))&amp;":"&amp;IF(Raw!F742="","",Raw!F742)&amp;"|"&amp;LEN(IF(Raw!G742="","",Raw!G742))&amp;":"&amp;IF(Raw!G742="","",Raw!G742)</f>
        <v>6:L00736|6:T00368|10:2026-02-19|3:P-A|11:Accessories|4:sale|5:36.94</v>
      </c>
      <c r="Q742" s="1">
        <f>1</f>
        <v>1</v>
      </c>
      <c r="R742" s="1" t="b">
        <f>FALSE</f>
        <v>0</v>
      </c>
      <c r="S742" s="1">
        <f>1</f>
        <v>1</v>
      </c>
      <c r="T742" s="1" t="str">
        <f>IF(AND(Raw!A742="",Raw!B742="",Raw!C742="",Raw!D742="",Raw!E742="",Raw!F742="",Raw!G742=""),"UNUSED",IF(A742="","missing line ID",IF(B742="","missing transaction ID",IF(G742="",IF(C742="","missing date","invalid date"),IF(I742="","unknown product",IF(J742="","conflicting category",IF(NOT(OR(EXACT(K742,"sale"),EXACT(K742,"refund"))),"unknown event",IF(OR(N742="",NOT(O742)),"invalid amount",IF(OR(AND(K742="sale",N742&lt;=0),AND(K742="refund",N742&gt;=0)),"invalid sign","")))))))))</f>
        <v/>
      </c>
      <c r="U742" s="1" t="str">
        <f t="shared" si="93"/>
        <v>INCLUDED</v>
      </c>
      <c r="V742" s="1" t="str">
        <f t="shared" si="94"/>
        <v>2026-02</v>
      </c>
      <c r="W742" s="1">
        <f>IF(AND(U742="INCLUDED",X742&gt;0,EXACT(A742,'AI output'!A742)),1,0)</f>
        <v>1</v>
      </c>
      <c r="X742" s="1">
        <f>742</f>
        <v>742</v>
      </c>
      <c r="Y742" s="1">
        <f>IF(AND(U742="INCLUDED",W742=1),--(NOT(EXACT(A742,'AI output'!A742)))+--(NOT(EXACT(B742,'AI output'!B742)))+--(NOT(EXACT(TEXT(G742,"yyyy-mm-dd"),'AI output'!C742)))+--(NOT(EXACT(H742,'AI output'!D742)))+--(NOT(EXACT(J742,'AI output'!E742)))+--(NOT(EXACT(K742,'AI output'!F742)))+--(N742&lt;&gt;'AI output'!L742)+--(NOT('AI output'!M742)),0)</f>
        <v>0</v>
      </c>
      <c r="Z742" s="1">
        <f t="shared" si="95"/>
        <v>0</v>
      </c>
      <c r="AA742" s="1">
        <f>--EXACT(A742,"L00736")</f>
        <v>1</v>
      </c>
    </row>
    <row r="743" spans="1:27" ht="18.95" customHeight="1">
      <c r="A743" s="1" t="str">
        <f>IF(Raw!A743="","",Raw!A743)</f>
        <v>L00737</v>
      </c>
      <c r="B743" s="1" t="str">
        <f>IF(Raw!B743="","",Raw!B743)</f>
        <v>T00369</v>
      </c>
      <c r="C743" s="1" t="str">
        <f>IF(Raw!C743="","",Raw!C743)</f>
        <v>2026-02-26</v>
      </c>
      <c r="D743" s="1">
        <f t="shared" si="88"/>
        <v>2026</v>
      </c>
      <c r="E743" s="1">
        <f>IFERROR(IF(AND(LEN(C743)=10,MID(C743,5,1)="-",MID(C743,8,1)="-"),VALUE(MID(C743,6,2)),IF(AND(LEN(C743)=11,MID(C743,3,1)="-",MID(C743,7,1)="-"),MATCH(UPPER(MID(C743,4,3)),Guide!$D$7:$D$18,0),0)),0)</f>
        <v>2</v>
      </c>
      <c r="F743" s="1">
        <f t="shared" si="89"/>
        <v>26</v>
      </c>
      <c r="G743" s="9">
        <f t="shared" si="90"/>
        <v>46079</v>
      </c>
      <c r="H743" s="1" t="str">
        <f>IF(Raw!D743="","",Raw!D743)</f>
        <v>P-H</v>
      </c>
      <c r="I743" s="1" t="str">
        <f>IFERROR(IF(EXACT(H743,INDEX(Guide!$A$7:$A$9,MATCH(SUBSTITUTE(SUBSTITUTE(SUBSTITUTE(H743,"~","~~"),"*","~*"),"?","~?"),Guide!$A$7:$A$9,0))),INDEX(Guide!$B$7:$B$9,MATCH(SUBSTITUTE(SUBSTITUTE(SUBSTITUTE(H743,"~","~~"),"*","~*"),"?","~?"),Guide!$A$7:$A$9,0)),""),"")</f>
        <v>Home</v>
      </c>
      <c r="J743" s="1" t="str">
        <f>IF(TRIM(Raw!E743)="",I743,IF(UPPER(TRIM(Raw!E743))=UPPER(I743),I743,""))</f>
        <v>Home</v>
      </c>
      <c r="K743" s="1" t="str">
        <f>IF(Raw!F743="","",Raw!F743)</f>
        <v>refund</v>
      </c>
      <c r="L743" s="1" t="str">
        <f>IF(LEFT(TRIM(Raw!G743),2)="-$","-"&amp;MID(TRIM(Raw!G743),3,99),IF(LEFT(TRIM(Raw!G743),1)="$",MID(TRIM(Raw!G743),2,99),TRIM(Raw!G743)))</f>
        <v>-111.93</v>
      </c>
      <c r="M743" s="1">
        <f t="shared" si="91"/>
        <v>-111.93</v>
      </c>
      <c r="N743" s="10">
        <f t="shared" si="92"/>
        <v>-11193</v>
      </c>
      <c r="O743" s="1" t="b">
        <f>IFERROR(IF(ISNUMBER(Raw!G743),TRUE,OR(EXACT(L743,TEXT(M743,"0.00")),EXACT(L743,TEXT(M743,"#,##0.00")))),FALSE)</f>
        <v>1</v>
      </c>
      <c r="P743" s="1" t="str">
        <f>LEN(IF(Raw!A743="","",Raw!A743))&amp;":"&amp;IF(Raw!A743="","",Raw!A743)&amp;"|"&amp;LEN(IF(Raw!B743="","",Raw!B743))&amp;":"&amp;IF(Raw!B743="","",Raw!B743)&amp;"|"&amp;LEN(IF(Raw!C743="","",Raw!C743))&amp;":"&amp;IF(Raw!C743="","",Raw!C743)&amp;"|"&amp;LEN(IF(Raw!D743="","",Raw!D743))&amp;":"&amp;IF(Raw!D743="","",Raw!D743)&amp;"|"&amp;LEN(IF(Raw!E743="","",Raw!E743))&amp;":"&amp;IF(Raw!E743="","",Raw!E743)&amp;"|"&amp;LEN(IF(Raw!F743="","",Raw!F743))&amp;":"&amp;IF(Raw!F743="","",Raw!F743)&amp;"|"&amp;LEN(IF(Raw!G743="","",Raw!G743))&amp;":"&amp;IF(Raw!G743="","",Raw!G743)</f>
        <v>6:L00737|6:T00369|10:2026-02-26|3:P-H|4:Home|6:refund|7:-111.93</v>
      </c>
      <c r="Q743" s="1">
        <f>1</f>
        <v>1</v>
      </c>
      <c r="R743" s="1" t="b">
        <f>FALSE</f>
        <v>0</v>
      </c>
      <c r="S743" s="1">
        <f>1</f>
        <v>1</v>
      </c>
      <c r="T743" s="1" t="str">
        <f>IF(AND(Raw!A743="",Raw!B743="",Raw!C743="",Raw!D743="",Raw!E743="",Raw!F743="",Raw!G743=""),"UNUSED",IF(A743="","missing line ID",IF(B743="","missing transaction ID",IF(G743="",IF(C743="","missing date","invalid date"),IF(I743="","unknown product",IF(J743="","conflicting category",IF(NOT(OR(EXACT(K743,"sale"),EXACT(K743,"refund"))),"unknown event",IF(OR(N743="",NOT(O743)),"invalid amount",IF(OR(AND(K743="sale",N743&lt;=0),AND(K743="refund",N743&gt;=0)),"invalid sign","")))))))))</f>
        <v/>
      </c>
      <c r="U743" s="1" t="str">
        <f t="shared" si="93"/>
        <v>INCLUDED</v>
      </c>
      <c r="V743" s="1" t="str">
        <f t="shared" si="94"/>
        <v>2026-02</v>
      </c>
      <c r="W743" s="1">
        <f>IF(AND(U743="INCLUDED",X743&gt;0,EXACT(A743,'AI output'!A743)),1,0)</f>
        <v>1</v>
      </c>
      <c r="X743" s="1">
        <f>743</f>
        <v>743</v>
      </c>
      <c r="Y743" s="1">
        <f>IF(AND(U743="INCLUDED",W743=1),--(NOT(EXACT(A743,'AI output'!A743)))+--(NOT(EXACT(B743,'AI output'!B743)))+--(NOT(EXACT(TEXT(G743,"yyyy-mm-dd"),'AI output'!C743)))+--(NOT(EXACT(H743,'AI output'!D743)))+--(NOT(EXACT(J743,'AI output'!E743)))+--(NOT(EXACT(K743,'AI output'!F743)))+--(N743&lt;&gt;'AI output'!L743)+--(NOT('AI output'!M743)),0)</f>
        <v>0</v>
      </c>
      <c r="Z743" s="1">
        <f t="shared" si="95"/>
        <v>0</v>
      </c>
      <c r="AA743" s="1">
        <f>--EXACT(A743,"L00737")</f>
        <v>1</v>
      </c>
    </row>
    <row r="744" spans="1:27" ht="18.95" customHeight="1">
      <c r="A744" s="1" t="str">
        <f>IF(Raw!A744="","",Raw!A744)</f>
        <v>L00738</v>
      </c>
      <c r="B744" s="1" t="str">
        <f>IF(Raw!B744="","",Raw!B744)</f>
        <v>T00369</v>
      </c>
      <c r="C744" s="1" t="str">
        <f>IF(Raw!C744="","",Raw!C744)</f>
        <v>2026-02-26</v>
      </c>
      <c r="D744" s="1">
        <f t="shared" si="88"/>
        <v>2026</v>
      </c>
      <c r="E744" s="1">
        <f>IFERROR(IF(AND(LEN(C744)=10,MID(C744,5,1)="-",MID(C744,8,1)="-"),VALUE(MID(C744,6,2)),IF(AND(LEN(C744)=11,MID(C744,3,1)="-",MID(C744,7,1)="-"),MATCH(UPPER(MID(C744,4,3)),Guide!$D$7:$D$18,0),0)),0)</f>
        <v>2</v>
      </c>
      <c r="F744" s="1">
        <f t="shared" si="89"/>
        <v>26</v>
      </c>
      <c r="G744" s="9">
        <f t="shared" si="90"/>
        <v>46079</v>
      </c>
      <c r="H744" s="1" t="str">
        <f>IF(Raw!D744="","",Raw!D744)</f>
        <v>P-O</v>
      </c>
      <c r="I744" s="1" t="str">
        <f>IFERROR(IF(EXACT(H744,INDEX(Guide!$A$7:$A$9,MATCH(SUBSTITUTE(SUBSTITUTE(SUBSTITUTE(H744,"~","~~"),"*","~*"),"?","~?"),Guide!$A$7:$A$9,0))),INDEX(Guide!$B$7:$B$9,MATCH(SUBSTITUTE(SUBSTITUTE(SUBSTITUTE(H744,"~","~~"),"*","~*"),"?","~?"),Guide!$A$7:$A$9,0)),""),"")</f>
        <v>Office</v>
      </c>
      <c r="J744" s="1" t="str">
        <f>IF(TRIM(Raw!E744)="",I744,IF(UPPER(TRIM(Raw!E744))=UPPER(I744),I744,""))</f>
        <v>Office</v>
      </c>
      <c r="K744" s="1" t="str">
        <f>IF(Raw!F744="","",Raw!F744)</f>
        <v>sale</v>
      </c>
      <c r="L744" s="1" t="str">
        <f>IF(LEFT(TRIM(Raw!G744),2)="-$","-"&amp;MID(TRIM(Raw!G744),3,99),IF(LEFT(TRIM(Raw!G744),1)="$",MID(TRIM(Raw!G744),2,99),TRIM(Raw!G744)))</f>
        <v>188.40</v>
      </c>
      <c r="M744" s="1">
        <f t="shared" si="91"/>
        <v>188.4</v>
      </c>
      <c r="N744" s="10">
        <f t="shared" si="92"/>
        <v>18840</v>
      </c>
      <c r="O744" s="1" t="b">
        <f>IFERROR(IF(ISNUMBER(Raw!G744),TRUE,OR(EXACT(L744,TEXT(M744,"0.00")),EXACT(L744,TEXT(M744,"#,##0.00")))),FALSE)</f>
        <v>1</v>
      </c>
      <c r="P744" s="1" t="str">
        <f>LEN(IF(Raw!A744="","",Raw!A744))&amp;":"&amp;IF(Raw!A744="","",Raw!A744)&amp;"|"&amp;LEN(IF(Raw!B744="","",Raw!B744))&amp;":"&amp;IF(Raw!B744="","",Raw!B744)&amp;"|"&amp;LEN(IF(Raw!C744="","",Raw!C744))&amp;":"&amp;IF(Raw!C744="","",Raw!C744)&amp;"|"&amp;LEN(IF(Raw!D744="","",Raw!D744))&amp;":"&amp;IF(Raw!D744="","",Raw!D744)&amp;"|"&amp;LEN(IF(Raw!E744="","",Raw!E744))&amp;":"&amp;IF(Raw!E744="","",Raw!E744)&amp;"|"&amp;LEN(IF(Raw!F744="","",Raw!F744))&amp;":"&amp;IF(Raw!F744="","",Raw!F744)&amp;"|"&amp;LEN(IF(Raw!G744="","",Raw!G744))&amp;":"&amp;IF(Raw!G744="","",Raw!G744)</f>
        <v>6:L00738|6:T00369|10:2026-02-26|3:P-O|10:  office  |4:sale|6:188.40</v>
      </c>
      <c r="Q744" s="1">
        <f>1</f>
        <v>1</v>
      </c>
      <c r="R744" s="1" t="b">
        <f>FALSE</f>
        <v>0</v>
      </c>
      <c r="S744" s="1">
        <f>1</f>
        <v>1</v>
      </c>
      <c r="T744" s="1" t="str">
        <f>IF(AND(Raw!A744="",Raw!B744="",Raw!C744="",Raw!D744="",Raw!E744="",Raw!F744="",Raw!G744=""),"UNUSED",IF(A744="","missing line ID",IF(B744="","missing transaction ID",IF(G744="",IF(C744="","missing date","invalid date"),IF(I744="","unknown product",IF(J744="","conflicting category",IF(NOT(OR(EXACT(K744,"sale"),EXACT(K744,"refund"))),"unknown event",IF(OR(N744="",NOT(O744)),"invalid amount",IF(OR(AND(K744="sale",N744&lt;=0),AND(K744="refund",N744&gt;=0)),"invalid sign","")))))))))</f>
        <v/>
      </c>
      <c r="U744" s="1" t="str">
        <f t="shared" si="93"/>
        <v>INCLUDED</v>
      </c>
      <c r="V744" s="1" t="str">
        <f t="shared" si="94"/>
        <v>2026-02</v>
      </c>
      <c r="W744" s="1">
        <f>IF(AND(U744="INCLUDED",X744&gt;0,EXACT(A744,'AI output'!A744)),1,0)</f>
        <v>1</v>
      </c>
      <c r="X744" s="1">
        <f>744</f>
        <v>744</v>
      </c>
      <c r="Y744" s="1">
        <f>IF(AND(U744="INCLUDED",W744=1),--(NOT(EXACT(A744,'AI output'!A744)))+--(NOT(EXACT(B744,'AI output'!B744)))+--(NOT(EXACT(TEXT(G744,"yyyy-mm-dd"),'AI output'!C744)))+--(NOT(EXACT(H744,'AI output'!D744)))+--(NOT(EXACT(J744,'AI output'!E744)))+--(NOT(EXACT(K744,'AI output'!F744)))+--(N744&lt;&gt;'AI output'!L744)+--(NOT('AI output'!M744)),0)</f>
        <v>0</v>
      </c>
      <c r="Z744" s="1">
        <f t="shared" si="95"/>
        <v>0</v>
      </c>
      <c r="AA744" s="1">
        <f>--EXACT(A744,"L00738")</f>
        <v>1</v>
      </c>
    </row>
    <row r="745" spans="1:27" ht="18.95" customHeight="1">
      <c r="A745" s="1" t="str">
        <f>IF(Raw!A745="","",Raw!A745)</f>
        <v>L00739</v>
      </c>
      <c r="B745" s="1" t="str">
        <f>IF(Raw!B745="","",Raw!B745)</f>
        <v>T00370</v>
      </c>
      <c r="C745" s="1" t="str">
        <f>IF(Raw!C745="","",Raw!C745)</f>
        <v>2026-03-05</v>
      </c>
      <c r="D745" s="1">
        <f t="shared" si="88"/>
        <v>2026</v>
      </c>
      <c r="E745" s="1">
        <f>IFERROR(IF(AND(LEN(C745)=10,MID(C745,5,1)="-",MID(C745,8,1)="-"),VALUE(MID(C745,6,2)),IF(AND(LEN(C745)=11,MID(C745,3,1)="-",MID(C745,7,1)="-"),MATCH(UPPER(MID(C745,4,3)),Guide!$D$7:$D$18,0),0)),0)</f>
        <v>3</v>
      </c>
      <c r="F745" s="1">
        <f t="shared" si="89"/>
        <v>5</v>
      </c>
      <c r="G745" s="9">
        <f t="shared" si="90"/>
        <v>46086</v>
      </c>
      <c r="H745" s="1" t="str">
        <f>IF(Raw!D745="","",Raw!D745)</f>
        <v>P-A</v>
      </c>
      <c r="I745" s="1" t="str">
        <f>IFERROR(IF(EXACT(H745,INDEX(Guide!$A$7:$A$9,MATCH(SUBSTITUTE(SUBSTITUTE(SUBSTITUTE(H745,"~","~~"),"*","~*"),"?","~?"),Guide!$A$7:$A$9,0))),INDEX(Guide!$B$7:$B$9,MATCH(SUBSTITUTE(SUBSTITUTE(SUBSTITUTE(H745,"~","~~"),"*","~*"),"?","~?"),Guide!$A$7:$A$9,0)),""),"")</f>
        <v>Accessories</v>
      </c>
      <c r="J745" s="1" t="str">
        <f>IF(TRIM(Raw!E745)="",I745,IF(UPPER(TRIM(Raw!E745))=UPPER(I745),I745,""))</f>
        <v>Accessories</v>
      </c>
      <c r="K745" s="1" t="str">
        <f>IF(Raw!F745="","",Raw!F745)</f>
        <v>sale</v>
      </c>
      <c r="L745" s="1" t="str">
        <f>IF(LEFT(TRIM(Raw!G745),2)="-$","-"&amp;MID(TRIM(Raw!G745),3,99),IF(LEFT(TRIM(Raw!G745),1)="$",MID(TRIM(Raw!G745),2,99),TRIM(Raw!G745)))</f>
        <v>76.10</v>
      </c>
      <c r="M745" s="1">
        <f t="shared" si="91"/>
        <v>76.099999999999994</v>
      </c>
      <c r="N745" s="10">
        <f t="shared" si="92"/>
        <v>7610</v>
      </c>
      <c r="O745" s="1" t="b">
        <f>IFERROR(IF(ISNUMBER(Raw!G745),TRUE,OR(EXACT(L745,TEXT(M745,"0.00")),EXACT(L745,TEXT(M745,"#,##0.00")))),FALSE)</f>
        <v>1</v>
      </c>
      <c r="P745" s="1" t="str">
        <f>LEN(IF(Raw!A745="","",Raw!A745))&amp;":"&amp;IF(Raw!A745="","",Raw!A745)&amp;"|"&amp;LEN(IF(Raw!B745="","",Raw!B745))&amp;":"&amp;IF(Raw!B745="","",Raw!B745)&amp;"|"&amp;LEN(IF(Raw!C745="","",Raw!C745))&amp;":"&amp;IF(Raw!C745="","",Raw!C745)&amp;"|"&amp;LEN(IF(Raw!D745="","",Raw!D745))&amp;":"&amp;IF(Raw!D745="","",Raw!D745)&amp;"|"&amp;LEN(IF(Raw!E745="","",Raw!E745))&amp;":"&amp;IF(Raw!E745="","",Raw!E745)&amp;"|"&amp;LEN(IF(Raw!F745="","",Raw!F745))&amp;":"&amp;IF(Raw!F745="","",Raw!F745)&amp;"|"&amp;LEN(IF(Raw!G745="","",Raw!G745))&amp;":"&amp;IF(Raw!G745="","",Raw!G745)</f>
        <v>6:L00739|6:T00370|10:2026-03-05|3:P-A|11:Accessories|4:sale|5:76.10</v>
      </c>
      <c r="Q745" s="1">
        <f>1</f>
        <v>1</v>
      </c>
      <c r="R745" s="1" t="b">
        <f>FALSE</f>
        <v>0</v>
      </c>
      <c r="S745" s="1">
        <f>1</f>
        <v>1</v>
      </c>
      <c r="T745" s="1" t="str">
        <f>IF(AND(Raw!A745="",Raw!B745="",Raw!C745="",Raw!D745="",Raw!E745="",Raw!F745="",Raw!G745=""),"UNUSED",IF(A745="","missing line ID",IF(B745="","missing transaction ID",IF(G745="",IF(C745="","missing date","invalid date"),IF(I745="","unknown product",IF(J745="","conflicting category",IF(NOT(OR(EXACT(K745,"sale"),EXACT(K745,"refund"))),"unknown event",IF(OR(N745="",NOT(O745)),"invalid amount",IF(OR(AND(K745="sale",N745&lt;=0),AND(K745="refund",N745&gt;=0)),"invalid sign","")))))))))</f>
        <v/>
      </c>
      <c r="U745" s="1" t="str">
        <f t="shared" si="93"/>
        <v>INCLUDED</v>
      </c>
      <c r="V745" s="1" t="str">
        <f t="shared" si="94"/>
        <v>2026-03</v>
      </c>
      <c r="W745" s="1">
        <f>IF(AND(U745="INCLUDED",X745&gt;0,EXACT(A745,'AI output'!A745)),1,0)</f>
        <v>1</v>
      </c>
      <c r="X745" s="1">
        <f>745</f>
        <v>745</v>
      </c>
      <c r="Y745" s="1">
        <f>IF(AND(U745="INCLUDED",W745=1),--(NOT(EXACT(A745,'AI output'!A745)))+--(NOT(EXACT(B745,'AI output'!B745)))+--(NOT(EXACT(TEXT(G745,"yyyy-mm-dd"),'AI output'!C745)))+--(NOT(EXACT(H745,'AI output'!D745)))+--(NOT(EXACT(J745,'AI output'!E745)))+--(NOT(EXACT(K745,'AI output'!F745)))+--(N745&lt;&gt;'AI output'!L745)+--(NOT('AI output'!M745)),0)</f>
        <v>0</v>
      </c>
      <c r="Z745" s="1">
        <f t="shared" si="95"/>
        <v>0</v>
      </c>
      <c r="AA745" s="1">
        <f>--EXACT(A745,"L00739")</f>
        <v>1</v>
      </c>
    </row>
    <row r="746" spans="1:27" ht="18.95" customHeight="1">
      <c r="A746" s="1" t="str">
        <f>IF(Raw!A746="","",Raw!A746)</f>
        <v>L00740</v>
      </c>
      <c r="B746" s="1" t="str">
        <f>IF(Raw!B746="","",Raw!B746)</f>
        <v>T00370</v>
      </c>
      <c r="C746" s="1" t="str">
        <f>IF(Raw!C746="","",Raw!C746)</f>
        <v>2026-03-05</v>
      </c>
      <c r="D746" s="1">
        <f t="shared" si="88"/>
        <v>2026</v>
      </c>
      <c r="E746" s="1">
        <f>IFERROR(IF(AND(LEN(C746)=10,MID(C746,5,1)="-",MID(C746,8,1)="-"),VALUE(MID(C746,6,2)),IF(AND(LEN(C746)=11,MID(C746,3,1)="-",MID(C746,7,1)="-"),MATCH(UPPER(MID(C746,4,3)),Guide!$D$7:$D$18,0),0)),0)</f>
        <v>3</v>
      </c>
      <c r="F746" s="1">
        <f t="shared" si="89"/>
        <v>5</v>
      </c>
      <c r="G746" s="9">
        <f t="shared" si="90"/>
        <v>46086</v>
      </c>
      <c r="H746" s="1" t="str">
        <f>IF(Raw!D746="","",Raw!D746)</f>
        <v>P-H</v>
      </c>
      <c r="I746" s="1" t="str">
        <f>IFERROR(IF(EXACT(H746,INDEX(Guide!$A$7:$A$9,MATCH(SUBSTITUTE(SUBSTITUTE(SUBSTITUTE(H746,"~","~~"),"*","~*"),"?","~?"),Guide!$A$7:$A$9,0))),INDEX(Guide!$B$7:$B$9,MATCH(SUBSTITUTE(SUBSTITUTE(SUBSTITUTE(H746,"~","~~"),"*","~*"),"?","~?"),Guide!$A$7:$A$9,0)),""),"")</f>
        <v>Home</v>
      </c>
      <c r="J746" s="1" t="str">
        <f>IF(TRIM(Raw!E746)="",I746,IF(UPPER(TRIM(Raw!E746))=UPPER(I746),I746,""))</f>
        <v>Home</v>
      </c>
      <c r="K746" s="1" t="str">
        <f>IF(Raw!F746="","",Raw!F746)</f>
        <v>sale</v>
      </c>
      <c r="L746" s="1" t="str">
        <f>IF(LEFT(TRIM(Raw!G746),2)="-$","-"&amp;MID(TRIM(Raw!G746),3,99),IF(LEFT(TRIM(Raw!G746),1)="$",MID(TRIM(Raw!G746),2,99),TRIM(Raw!G746)))</f>
        <v>153.68</v>
      </c>
      <c r="M746" s="1">
        <f t="shared" si="91"/>
        <v>153.68</v>
      </c>
      <c r="N746" s="10">
        <f t="shared" si="92"/>
        <v>15368</v>
      </c>
      <c r="O746" s="1" t="b">
        <f>IFERROR(IF(ISNUMBER(Raw!G746),TRUE,OR(EXACT(L746,TEXT(M746,"0.00")),EXACT(L746,TEXT(M746,"#,##0.00")))),FALSE)</f>
        <v>1</v>
      </c>
      <c r="P746" s="1" t="str">
        <f>LEN(IF(Raw!A746="","",Raw!A746))&amp;":"&amp;IF(Raw!A746="","",Raw!A746)&amp;"|"&amp;LEN(IF(Raw!B746="","",Raw!B746))&amp;":"&amp;IF(Raw!B746="","",Raw!B746)&amp;"|"&amp;LEN(IF(Raw!C746="","",Raw!C746))&amp;":"&amp;IF(Raw!C746="","",Raw!C746)&amp;"|"&amp;LEN(IF(Raw!D746="","",Raw!D746))&amp;":"&amp;IF(Raw!D746="","",Raw!D746)&amp;"|"&amp;LEN(IF(Raw!E746="","",Raw!E746))&amp;":"&amp;IF(Raw!E746="","",Raw!E746)&amp;"|"&amp;LEN(IF(Raw!F746="","",Raw!F746))&amp;":"&amp;IF(Raw!F746="","",Raw!F746)&amp;"|"&amp;LEN(IF(Raw!G746="","",Raw!G746))&amp;":"&amp;IF(Raw!G746="","",Raw!G746)</f>
        <v>6:L00740|6:T00370|10:2026-03-05|3:P-H|4:Home|4:sale|6:153.68</v>
      </c>
      <c r="Q746" s="1">
        <f>1</f>
        <v>1</v>
      </c>
      <c r="R746" s="1" t="b">
        <f>FALSE</f>
        <v>0</v>
      </c>
      <c r="S746" s="1">
        <f>1</f>
        <v>1</v>
      </c>
      <c r="T746" s="1" t="str">
        <f>IF(AND(Raw!A746="",Raw!B746="",Raw!C746="",Raw!D746="",Raw!E746="",Raw!F746="",Raw!G746=""),"UNUSED",IF(A746="","missing line ID",IF(B746="","missing transaction ID",IF(G746="",IF(C746="","missing date","invalid date"),IF(I746="","unknown product",IF(J746="","conflicting category",IF(NOT(OR(EXACT(K746,"sale"),EXACT(K746,"refund"))),"unknown event",IF(OR(N746="",NOT(O746)),"invalid amount",IF(OR(AND(K746="sale",N746&lt;=0),AND(K746="refund",N746&gt;=0)),"invalid sign","")))))))))</f>
        <v/>
      </c>
      <c r="U746" s="1" t="str">
        <f t="shared" si="93"/>
        <v>INCLUDED</v>
      </c>
      <c r="V746" s="1" t="str">
        <f t="shared" si="94"/>
        <v>2026-03</v>
      </c>
      <c r="W746" s="1">
        <f>IF(AND(U746="INCLUDED",X746&gt;0,EXACT(A746,'AI output'!A746)),1,0)</f>
        <v>1</v>
      </c>
      <c r="X746" s="1">
        <f>746</f>
        <v>746</v>
      </c>
      <c r="Y746" s="1">
        <f>IF(AND(U746="INCLUDED",W746=1),--(NOT(EXACT(A746,'AI output'!A746)))+--(NOT(EXACT(B746,'AI output'!B746)))+--(NOT(EXACT(TEXT(G746,"yyyy-mm-dd"),'AI output'!C746)))+--(NOT(EXACT(H746,'AI output'!D746)))+--(NOT(EXACT(J746,'AI output'!E746)))+--(NOT(EXACT(K746,'AI output'!F746)))+--(N746&lt;&gt;'AI output'!L746)+--(NOT('AI output'!M746)),0)</f>
        <v>0</v>
      </c>
      <c r="Z746" s="1">
        <f t="shared" si="95"/>
        <v>0</v>
      </c>
      <c r="AA746" s="1">
        <f>--EXACT(A746,"L00740")</f>
        <v>1</v>
      </c>
    </row>
    <row r="747" spans="1:27" ht="18.95" customHeight="1">
      <c r="A747" s="1" t="str">
        <f>IF(Raw!A747="","",Raw!A747)</f>
        <v>L00741</v>
      </c>
      <c r="B747" s="1" t="str">
        <f>IF(Raw!B747="","",Raw!B747)</f>
        <v>T00371</v>
      </c>
      <c r="C747" s="1" t="str">
        <f>IF(Raw!C747="","",Raw!C747)</f>
        <v>2026-03-12</v>
      </c>
      <c r="D747" s="1">
        <f t="shared" si="88"/>
        <v>2026</v>
      </c>
      <c r="E747" s="1">
        <f>IFERROR(IF(AND(LEN(C747)=10,MID(C747,5,1)="-",MID(C747,8,1)="-"),VALUE(MID(C747,6,2)),IF(AND(LEN(C747)=11,MID(C747,3,1)="-",MID(C747,7,1)="-"),MATCH(UPPER(MID(C747,4,3)),Guide!$D$7:$D$18,0),0)),0)</f>
        <v>3</v>
      </c>
      <c r="F747" s="1">
        <f t="shared" si="89"/>
        <v>12</v>
      </c>
      <c r="G747" s="9">
        <f t="shared" si="90"/>
        <v>46093</v>
      </c>
      <c r="H747" s="1" t="str">
        <f>IF(Raw!D747="","",Raw!D747)</f>
        <v>P-O</v>
      </c>
      <c r="I747" s="1" t="str">
        <f>IFERROR(IF(EXACT(H747,INDEX(Guide!$A$7:$A$9,MATCH(SUBSTITUTE(SUBSTITUTE(SUBSTITUTE(H747,"~","~~"),"*","~*"),"?","~?"),Guide!$A$7:$A$9,0))),INDEX(Guide!$B$7:$B$9,MATCH(SUBSTITUTE(SUBSTITUTE(SUBSTITUTE(H747,"~","~~"),"*","~*"),"?","~?"),Guide!$A$7:$A$9,0)),""),"")</f>
        <v>Office</v>
      </c>
      <c r="J747" s="1" t="str">
        <f>IF(TRIM(Raw!E747)="",I747,IF(UPPER(TRIM(Raw!E747))=UPPER(I747),I747,""))</f>
        <v>Office</v>
      </c>
      <c r="K747" s="1" t="str">
        <f>IF(Raw!F747="","",Raw!F747)</f>
        <v>sale</v>
      </c>
      <c r="L747" s="1" t="str">
        <f>IF(LEFT(TRIM(Raw!G747),2)="-$","-"&amp;MID(TRIM(Raw!G747),3,99),IF(LEFT(TRIM(Raw!G747),1)="$",MID(TRIM(Raw!G747),2,99),TRIM(Raw!G747)))</f>
        <v>38.79</v>
      </c>
      <c r="M747" s="1">
        <f t="shared" si="91"/>
        <v>38.79</v>
      </c>
      <c r="N747" s="10">
        <f t="shared" si="92"/>
        <v>3879</v>
      </c>
      <c r="O747" s="1" t="b">
        <f>IFERROR(IF(ISNUMBER(Raw!G747),TRUE,OR(EXACT(L747,TEXT(M747,"0.00")),EXACT(L747,TEXT(M747,"#,##0.00")))),FALSE)</f>
        <v>1</v>
      </c>
      <c r="P747" s="1" t="str">
        <f>LEN(IF(Raw!A747="","",Raw!A747))&amp;":"&amp;IF(Raw!A747="","",Raw!A747)&amp;"|"&amp;LEN(IF(Raw!B747="","",Raw!B747))&amp;":"&amp;IF(Raw!B747="","",Raw!B747)&amp;"|"&amp;LEN(IF(Raw!C747="","",Raw!C747))&amp;":"&amp;IF(Raw!C747="","",Raw!C747)&amp;"|"&amp;LEN(IF(Raw!D747="","",Raw!D747))&amp;":"&amp;IF(Raw!D747="","",Raw!D747)&amp;"|"&amp;LEN(IF(Raw!E747="","",Raw!E747))&amp;":"&amp;IF(Raw!E747="","",Raw!E747)&amp;"|"&amp;LEN(IF(Raw!F747="","",Raw!F747))&amp;":"&amp;IF(Raw!F747="","",Raw!F747)&amp;"|"&amp;LEN(IF(Raw!G747="","",Raw!G747))&amp;":"&amp;IF(Raw!G747="","",Raw!G747)</f>
        <v>6:L00741|6:T00371|10:2026-03-12|3:P-O|6:Office|4:sale|5:38.79</v>
      </c>
      <c r="Q747" s="1">
        <f>1</f>
        <v>1</v>
      </c>
      <c r="R747" s="1" t="b">
        <f>FALSE</f>
        <v>0</v>
      </c>
      <c r="S747" s="1">
        <f>1</f>
        <v>1</v>
      </c>
      <c r="T747" s="1" t="str">
        <f>IF(AND(Raw!A747="",Raw!B747="",Raw!C747="",Raw!D747="",Raw!E747="",Raw!F747="",Raw!G747=""),"UNUSED",IF(A747="","missing line ID",IF(B747="","missing transaction ID",IF(G747="",IF(C747="","missing date","invalid date"),IF(I747="","unknown product",IF(J747="","conflicting category",IF(NOT(OR(EXACT(K747,"sale"),EXACT(K747,"refund"))),"unknown event",IF(OR(N747="",NOT(O747)),"invalid amount",IF(OR(AND(K747="sale",N747&lt;=0),AND(K747="refund",N747&gt;=0)),"invalid sign","")))))))))</f>
        <v/>
      </c>
      <c r="U747" s="1" t="str">
        <f t="shared" si="93"/>
        <v>INCLUDED</v>
      </c>
      <c r="V747" s="1" t="str">
        <f t="shared" si="94"/>
        <v>2026-03</v>
      </c>
      <c r="W747" s="1">
        <f>IF(AND(U747="INCLUDED",X747&gt;0,EXACT(A747,'AI output'!A747)),1,0)</f>
        <v>1</v>
      </c>
      <c r="X747" s="1">
        <f>747</f>
        <v>747</v>
      </c>
      <c r="Y747" s="1">
        <f>IF(AND(U747="INCLUDED",W747=1),--(NOT(EXACT(A747,'AI output'!A747)))+--(NOT(EXACT(B747,'AI output'!B747)))+--(NOT(EXACT(TEXT(G747,"yyyy-mm-dd"),'AI output'!C747)))+--(NOT(EXACT(H747,'AI output'!D747)))+--(NOT(EXACT(J747,'AI output'!E747)))+--(NOT(EXACT(K747,'AI output'!F747)))+--(N747&lt;&gt;'AI output'!L747)+--(NOT('AI output'!M747)),0)</f>
        <v>0</v>
      </c>
      <c r="Z747" s="1">
        <f t="shared" si="95"/>
        <v>0</v>
      </c>
      <c r="AA747" s="1">
        <f>--EXACT(A747,"L00741")</f>
        <v>1</v>
      </c>
    </row>
    <row r="748" spans="1:27" ht="18.95" customHeight="1">
      <c r="A748" s="1" t="str">
        <f>IF(Raw!A748="","",Raw!A748)</f>
        <v>L00742</v>
      </c>
      <c r="B748" s="1" t="str">
        <f>IF(Raw!B748="","",Raw!B748)</f>
        <v>T00371</v>
      </c>
      <c r="C748" s="1" t="str">
        <f>IF(Raw!C748="","",Raw!C748)</f>
        <v>2026-03-12</v>
      </c>
      <c r="D748" s="1">
        <f t="shared" si="88"/>
        <v>2026</v>
      </c>
      <c r="E748" s="1">
        <f>IFERROR(IF(AND(LEN(C748)=10,MID(C748,5,1)="-",MID(C748,8,1)="-"),VALUE(MID(C748,6,2)),IF(AND(LEN(C748)=11,MID(C748,3,1)="-",MID(C748,7,1)="-"),MATCH(UPPER(MID(C748,4,3)),Guide!$D$7:$D$18,0),0)),0)</f>
        <v>3</v>
      </c>
      <c r="F748" s="1">
        <f t="shared" si="89"/>
        <v>12</v>
      </c>
      <c r="G748" s="9">
        <f t="shared" si="90"/>
        <v>46093</v>
      </c>
      <c r="H748" s="1" t="str">
        <f>IF(Raw!D748="","",Raw!D748)</f>
        <v>P-A</v>
      </c>
      <c r="I748" s="1" t="str">
        <f>IFERROR(IF(EXACT(H748,INDEX(Guide!$A$7:$A$9,MATCH(SUBSTITUTE(SUBSTITUTE(SUBSTITUTE(H748,"~","~~"),"*","~*"),"?","~?"),Guide!$A$7:$A$9,0))),INDEX(Guide!$B$7:$B$9,MATCH(SUBSTITUTE(SUBSTITUTE(SUBSTITUTE(H748,"~","~~"),"*","~*"),"?","~?"),Guide!$A$7:$A$9,0)),""),"")</f>
        <v>Accessories</v>
      </c>
      <c r="J748" s="1" t="str">
        <f>IF(TRIM(Raw!E748)="",I748,IF(UPPER(TRIM(Raw!E748))=UPPER(I748),I748,""))</f>
        <v>Accessories</v>
      </c>
      <c r="K748" s="1" t="str">
        <f>IF(Raw!F748="","",Raw!F748)</f>
        <v>sale</v>
      </c>
      <c r="L748" s="1" t="str">
        <f>IF(LEFT(TRIM(Raw!G748),2)="-$","-"&amp;MID(TRIM(Raw!G748),3,99),IF(LEFT(TRIM(Raw!G748),1)="$",MID(TRIM(Raw!G748),2,99),TRIM(Raw!G748)))</f>
        <v>117.48</v>
      </c>
      <c r="M748" s="1">
        <f t="shared" si="91"/>
        <v>117.48</v>
      </c>
      <c r="N748" s="10">
        <f t="shared" si="92"/>
        <v>11748</v>
      </c>
      <c r="O748" s="1" t="b">
        <f>IFERROR(IF(ISNUMBER(Raw!G748),TRUE,OR(EXACT(L748,TEXT(M748,"0.00")),EXACT(L748,TEXT(M748,"#,##0.00")))),FALSE)</f>
        <v>1</v>
      </c>
      <c r="P748" s="1" t="str">
        <f>LEN(IF(Raw!A748="","",Raw!A748))&amp;":"&amp;IF(Raw!A748="","",Raw!A748)&amp;"|"&amp;LEN(IF(Raw!B748="","",Raw!B748))&amp;":"&amp;IF(Raw!B748="","",Raw!B748)&amp;"|"&amp;LEN(IF(Raw!C748="","",Raw!C748))&amp;":"&amp;IF(Raw!C748="","",Raw!C748)&amp;"|"&amp;LEN(IF(Raw!D748="","",Raw!D748))&amp;":"&amp;IF(Raw!D748="","",Raw!D748)&amp;"|"&amp;LEN(IF(Raw!E748="","",Raw!E748))&amp;":"&amp;IF(Raw!E748="","",Raw!E748)&amp;"|"&amp;LEN(IF(Raw!F748="","",Raw!F748))&amp;":"&amp;IF(Raw!F748="","",Raw!F748)&amp;"|"&amp;LEN(IF(Raw!G748="","",Raw!G748))&amp;":"&amp;IF(Raw!G748="","",Raw!G748)</f>
        <v>6:L00742|6:T00371|10:2026-03-12|3:P-A|11:Accessories|4:sale|6:117.48</v>
      </c>
      <c r="Q748" s="1">
        <f>1</f>
        <v>1</v>
      </c>
      <c r="R748" s="1" t="b">
        <f>FALSE</f>
        <v>0</v>
      </c>
      <c r="S748" s="1">
        <f>1</f>
        <v>1</v>
      </c>
      <c r="T748" s="1" t="str">
        <f>IF(AND(Raw!A748="",Raw!B748="",Raw!C748="",Raw!D748="",Raw!E748="",Raw!F748="",Raw!G748=""),"UNUSED",IF(A748="","missing line ID",IF(B748="","missing transaction ID",IF(G748="",IF(C748="","missing date","invalid date"),IF(I748="","unknown product",IF(J748="","conflicting category",IF(NOT(OR(EXACT(K748,"sale"),EXACT(K748,"refund"))),"unknown event",IF(OR(N748="",NOT(O748)),"invalid amount",IF(OR(AND(K748="sale",N748&lt;=0),AND(K748="refund",N748&gt;=0)),"invalid sign","")))))))))</f>
        <v/>
      </c>
      <c r="U748" s="1" t="str">
        <f t="shared" si="93"/>
        <v>INCLUDED</v>
      </c>
      <c r="V748" s="1" t="str">
        <f t="shared" si="94"/>
        <v>2026-03</v>
      </c>
      <c r="W748" s="1">
        <f>IF(AND(U748="INCLUDED",X748&gt;0,EXACT(A748,'AI output'!A748)),1,0)</f>
        <v>1</v>
      </c>
      <c r="X748" s="1">
        <f>748</f>
        <v>748</v>
      </c>
      <c r="Y748" s="1">
        <f>IF(AND(U748="INCLUDED",W748=1),--(NOT(EXACT(A748,'AI output'!A748)))+--(NOT(EXACT(B748,'AI output'!B748)))+--(NOT(EXACT(TEXT(G748,"yyyy-mm-dd"),'AI output'!C748)))+--(NOT(EXACT(H748,'AI output'!D748)))+--(NOT(EXACT(J748,'AI output'!E748)))+--(NOT(EXACT(K748,'AI output'!F748)))+--(N748&lt;&gt;'AI output'!L748)+--(NOT('AI output'!M748)),0)</f>
        <v>0</v>
      </c>
      <c r="Z748" s="1">
        <f t="shared" si="95"/>
        <v>0</v>
      </c>
      <c r="AA748" s="1">
        <f>--EXACT(A748,"L00742")</f>
        <v>1</v>
      </c>
    </row>
    <row r="749" spans="1:27" ht="18.95" customHeight="1">
      <c r="A749" s="1" t="str">
        <f>IF(Raw!A749="","",Raw!A749)</f>
        <v>L00743</v>
      </c>
      <c r="B749" s="1" t="str">
        <f>IF(Raw!B749="","",Raw!B749)</f>
        <v>T00372</v>
      </c>
      <c r="C749" s="1" t="str">
        <f>IF(Raw!C749="","",Raw!C749)</f>
        <v>2026-03-19</v>
      </c>
      <c r="D749" s="1">
        <f t="shared" si="88"/>
        <v>2026</v>
      </c>
      <c r="E749" s="1">
        <f>IFERROR(IF(AND(LEN(C749)=10,MID(C749,5,1)="-",MID(C749,8,1)="-"),VALUE(MID(C749,6,2)),IF(AND(LEN(C749)=11,MID(C749,3,1)="-",MID(C749,7,1)="-"),MATCH(UPPER(MID(C749,4,3)),Guide!$D$7:$D$18,0),0)),0)</f>
        <v>3</v>
      </c>
      <c r="F749" s="1">
        <f t="shared" si="89"/>
        <v>19</v>
      </c>
      <c r="G749" s="9">
        <f t="shared" si="90"/>
        <v>46100</v>
      </c>
      <c r="H749" s="1" t="str">
        <f>IF(Raw!D749="","",Raw!D749)</f>
        <v>P-H</v>
      </c>
      <c r="I749" s="1" t="str">
        <f>IFERROR(IF(EXACT(H749,INDEX(Guide!$A$7:$A$9,MATCH(SUBSTITUTE(SUBSTITUTE(SUBSTITUTE(H749,"~","~~"),"*","~*"),"?","~?"),Guide!$A$7:$A$9,0))),INDEX(Guide!$B$7:$B$9,MATCH(SUBSTITUTE(SUBSTITUTE(SUBSTITUTE(H749,"~","~~"),"*","~*"),"?","~?"),Guide!$A$7:$A$9,0)),""),"")</f>
        <v>Home</v>
      </c>
      <c r="J749" s="1" t="str">
        <f>IF(TRIM(Raw!E749)="",I749,IF(UPPER(TRIM(Raw!E749))=UPPER(I749),I749,""))</f>
        <v>Home</v>
      </c>
      <c r="K749" s="1" t="str">
        <f>IF(Raw!F749="","",Raw!F749)</f>
        <v>sale</v>
      </c>
      <c r="L749" s="1" t="str">
        <f>IF(LEFT(TRIM(Raw!G749),2)="-$","-"&amp;MID(TRIM(Raw!G749),3,99),IF(LEFT(TRIM(Raw!G749),1)="$",MID(TRIM(Raw!G749),2,99),TRIM(Raw!G749)))</f>
        <v>197.65</v>
      </c>
      <c r="M749" s="1">
        <f t="shared" si="91"/>
        <v>197.65</v>
      </c>
      <c r="N749" s="10">
        <f t="shared" si="92"/>
        <v>19765</v>
      </c>
      <c r="O749" s="1" t="b">
        <f>IFERROR(IF(ISNUMBER(Raw!G749),TRUE,OR(EXACT(L749,TEXT(M749,"0.00")),EXACT(L749,TEXT(M749,"#,##0.00")))),FALSE)</f>
        <v>1</v>
      </c>
      <c r="P749" s="1" t="str">
        <f>LEN(IF(Raw!A749="","",Raw!A749))&amp;":"&amp;IF(Raw!A749="","",Raw!A749)&amp;"|"&amp;LEN(IF(Raw!B749="","",Raw!B749))&amp;":"&amp;IF(Raw!B749="","",Raw!B749)&amp;"|"&amp;LEN(IF(Raw!C749="","",Raw!C749))&amp;":"&amp;IF(Raw!C749="","",Raw!C749)&amp;"|"&amp;LEN(IF(Raw!D749="","",Raw!D749))&amp;":"&amp;IF(Raw!D749="","",Raw!D749)&amp;"|"&amp;LEN(IF(Raw!E749="","",Raw!E749))&amp;":"&amp;IF(Raw!E749="","",Raw!E749)&amp;"|"&amp;LEN(IF(Raw!F749="","",Raw!F749))&amp;":"&amp;IF(Raw!F749="","",Raw!F749)&amp;"|"&amp;LEN(IF(Raw!G749="","",Raw!G749))&amp;":"&amp;IF(Raw!G749="","",Raw!G749)</f>
        <v>6:L00743|6:T00372|10:2026-03-19|3:P-H|4:Home|4:sale|6:197.65</v>
      </c>
      <c r="Q749" s="1">
        <f>1</f>
        <v>1</v>
      </c>
      <c r="R749" s="1" t="b">
        <f>FALSE</f>
        <v>0</v>
      </c>
      <c r="S749" s="1">
        <f>1</f>
        <v>1</v>
      </c>
      <c r="T749" s="1" t="str">
        <f>IF(AND(Raw!A749="",Raw!B749="",Raw!C749="",Raw!D749="",Raw!E749="",Raw!F749="",Raw!G749=""),"UNUSED",IF(A749="","missing line ID",IF(B749="","missing transaction ID",IF(G749="",IF(C749="","missing date","invalid date"),IF(I749="","unknown product",IF(J749="","conflicting category",IF(NOT(OR(EXACT(K749,"sale"),EXACT(K749,"refund"))),"unknown event",IF(OR(N749="",NOT(O749)),"invalid amount",IF(OR(AND(K749="sale",N749&lt;=0),AND(K749="refund",N749&gt;=0)),"invalid sign","")))))))))</f>
        <v/>
      </c>
      <c r="U749" s="1" t="str">
        <f t="shared" si="93"/>
        <v>INCLUDED</v>
      </c>
      <c r="V749" s="1" t="str">
        <f t="shared" si="94"/>
        <v>2026-03</v>
      </c>
      <c r="W749" s="1">
        <f>IF(AND(U749="INCLUDED",X749&gt;0,EXACT(A749,'AI output'!A749)),1,0)</f>
        <v>1</v>
      </c>
      <c r="X749" s="1">
        <f>749</f>
        <v>749</v>
      </c>
      <c r="Y749" s="1">
        <f>IF(AND(U749="INCLUDED",W749=1),--(NOT(EXACT(A749,'AI output'!A749)))+--(NOT(EXACT(B749,'AI output'!B749)))+--(NOT(EXACT(TEXT(G749,"yyyy-mm-dd"),'AI output'!C749)))+--(NOT(EXACT(H749,'AI output'!D749)))+--(NOT(EXACT(J749,'AI output'!E749)))+--(NOT(EXACT(K749,'AI output'!F749)))+--(N749&lt;&gt;'AI output'!L749)+--(NOT('AI output'!M749)),0)</f>
        <v>0</v>
      </c>
      <c r="Z749" s="1">
        <f t="shared" si="95"/>
        <v>0</v>
      </c>
      <c r="AA749" s="1">
        <f>--EXACT(A749,"L00743")</f>
        <v>1</v>
      </c>
    </row>
    <row r="750" spans="1:27" ht="18.95" customHeight="1">
      <c r="A750" s="1" t="str">
        <f>IF(Raw!A750="","",Raw!A750)</f>
        <v>L00744</v>
      </c>
      <c r="B750" s="1" t="str">
        <f>IF(Raw!B750="","",Raw!B750)</f>
        <v>T00372</v>
      </c>
      <c r="C750" s="1" t="str">
        <f>IF(Raw!C750="","",Raw!C750)</f>
        <v>2026-03-19</v>
      </c>
      <c r="D750" s="1">
        <f t="shared" si="88"/>
        <v>2026</v>
      </c>
      <c r="E750" s="1">
        <f>IFERROR(IF(AND(LEN(C750)=10,MID(C750,5,1)="-",MID(C750,8,1)="-"),VALUE(MID(C750,6,2)),IF(AND(LEN(C750)=11,MID(C750,3,1)="-",MID(C750,7,1)="-"),MATCH(UPPER(MID(C750,4,3)),Guide!$D$7:$D$18,0),0)),0)</f>
        <v>3</v>
      </c>
      <c r="F750" s="1">
        <f t="shared" si="89"/>
        <v>19</v>
      </c>
      <c r="G750" s="9">
        <f t="shared" si="90"/>
        <v>46100</v>
      </c>
      <c r="H750" s="1" t="str">
        <f>IF(Raw!D750="","",Raw!D750)</f>
        <v>P-O</v>
      </c>
      <c r="I750" s="1" t="str">
        <f>IFERROR(IF(EXACT(H750,INDEX(Guide!$A$7:$A$9,MATCH(SUBSTITUTE(SUBSTITUTE(SUBSTITUTE(H750,"~","~~"),"*","~*"),"?","~?"),Guide!$A$7:$A$9,0))),INDEX(Guide!$B$7:$B$9,MATCH(SUBSTITUTE(SUBSTITUTE(SUBSTITUTE(H750,"~","~~"),"*","~*"),"?","~?"),Guide!$A$7:$A$9,0)),""),"")</f>
        <v>Office</v>
      </c>
      <c r="J750" s="1" t="str">
        <f>IF(TRIM(Raw!E750)="",I750,IF(UPPER(TRIM(Raw!E750))=UPPER(I750),I750,""))</f>
        <v>Office</v>
      </c>
      <c r="K750" s="1" t="str">
        <f>IF(Raw!F750="","",Raw!F750)</f>
        <v>sale</v>
      </c>
      <c r="L750" s="1" t="str">
        <f>IF(LEFT(TRIM(Raw!G750),2)="-$","-"&amp;MID(TRIM(Raw!G750),3,99),IF(LEFT(TRIM(Raw!G750),1)="$",MID(TRIM(Raw!G750),2,99),TRIM(Raw!G750)))</f>
        <v>79.80</v>
      </c>
      <c r="M750" s="1">
        <f t="shared" si="91"/>
        <v>79.8</v>
      </c>
      <c r="N750" s="10">
        <f t="shared" si="92"/>
        <v>7980</v>
      </c>
      <c r="O750" s="1" t="b">
        <f>IFERROR(IF(ISNUMBER(Raw!G750),TRUE,OR(EXACT(L750,TEXT(M750,"0.00")),EXACT(L750,TEXT(M750,"#,##0.00")))),FALSE)</f>
        <v>1</v>
      </c>
      <c r="P750" s="1" t="str">
        <f>LEN(IF(Raw!A750="","",Raw!A750))&amp;":"&amp;IF(Raw!A750="","",Raw!A750)&amp;"|"&amp;LEN(IF(Raw!B750="","",Raw!B750))&amp;":"&amp;IF(Raw!B750="","",Raw!B750)&amp;"|"&amp;LEN(IF(Raw!C750="","",Raw!C750))&amp;":"&amp;IF(Raw!C750="","",Raw!C750)&amp;"|"&amp;LEN(IF(Raw!D750="","",Raw!D750))&amp;":"&amp;IF(Raw!D750="","",Raw!D750)&amp;"|"&amp;LEN(IF(Raw!E750="","",Raw!E750))&amp;":"&amp;IF(Raw!E750="","",Raw!E750)&amp;"|"&amp;LEN(IF(Raw!F750="","",Raw!F750))&amp;":"&amp;IF(Raw!F750="","",Raw!F750)&amp;"|"&amp;LEN(IF(Raw!G750="","",Raw!G750))&amp;":"&amp;IF(Raw!G750="","",Raw!G750)</f>
        <v>6:L00744|6:T00372|10:2026-03-19|3:P-O|6:Office|4:sale|6:$79.80</v>
      </c>
      <c r="Q750" s="1">
        <f>1</f>
        <v>1</v>
      </c>
      <c r="R750" s="1" t="b">
        <f>FALSE</f>
        <v>0</v>
      </c>
      <c r="S750" s="1">
        <f>1</f>
        <v>1</v>
      </c>
      <c r="T750" s="1" t="str">
        <f>IF(AND(Raw!A750="",Raw!B750="",Raw!C750="",Raw!D750="",Raw!E750="",Raw!F750="",Raw!G750=""),"UNUSED",IF(A750="","missing line ID",IF(B750="","missing transaction ID",IF(G750="",IF(C750="","missing date","invalid date"),IF(I750="","unknown product",IF(J750="","conflicting category",IF(NOT(OR(EXACT(K750,"sale"),EXACT(K750,"refund"))),"unknown event",IF(OR(N750="",NOT(O750)),"invalid amount",IF(OR(AND(K750="sale",N750&lt;=0),AND(K750="refund",N750&gt;=0)),"invalid sign","")))))))))</f>
        <v/>
      </c>
      <c r="U750" s="1" t="str">
        <f t="shared" si="93"/>
        <v>INCLUDED</v>
      </c>
      <c r="V750" s="1" t="str">
        <f t="shared" si="94"/>
        <v>2026-03</v>
      </c>
      <c r="W750" s="1">
        <f>IF(AND(U750="INCLUDED",X750&gt;0,EXACT(A750,'AI output'!A750)),1,0)</f>
        <v>1</v>
      </c>
      <c r="X750" s="1">
        <f>750</f>
        <v>750</v>
      </c>
      <c r="Y750" s="1">
        <f>IF(AND(U750="INCLUDED",W750=1),--(NOT(EXACT(A750,'AI output'!A750)))+--(NOT(EXACT(B750,'AI output'!B750)))+--(NOT(EXACT(TEXT(G750,"yyyy-mm-dd"),'AI output'!C750)))+--(NOT(EXACT(H750,'AI output'!D750)))+--(NOT(EXACT(J750,'AI output'!E750)))+--(NOT(EXACT(K750,'AI output'!F750)))+--(N750&lt;&gt;'AI output'!L750)+--(NOT('AI output'!M750)),0)</f>
        <v>0</v>
      </c>
      <c r="Z750" s="1">
        <f t="shared" si="95"/>
        <v>0</v>
      </c>
      <c r="AA750" s="1">
        <f>--EXACT(A750,"L00744")</f>
        <v>1</v>
      </c>
    </row>
    <row r="751" spans="1:27" ht="18.95" customHeight="1">
      <c r="A751" s="1" t="str">
        <f>IF(Raw!A751="","",Raw!A751)</f>
        <v>L00745</v>
      </c>
      <c r="B751" s="1" t="str">
        <f>IF(Raw!B751="","",Raw!B751)</f>
        <v>T00373</v>
      </c>
      <c r="C751" s="1" t="str">
        <f>IF(Raw!C751="","",Raw!C751)</f>
        <v>2026-03-26</v>
      </c>
      <c r="D751" s="1">
        <f t="shared" si="88"/>
        <v>2026</v>
      </c>
      <c r="E751" s="1">
        <f>IFERROR(IF(AND(LEN(C751)=10,MID(C751,5,1)="-",MID(C751,8,1)="-"),VALUE(MID(C751,6,2)),IF(AND(LEN(C751)=11,MID(C751,3,1)="-",MID(C751,7,1)="-"),MATCH(UPPER(MID(C751,4,3)),Guide!$D$7:$D$18,0),0)),0)</f>
        <v>3</v>
      </c>
      <c r="F751" s="1">
        <f t="shared" si="89"/>
        <v>26</v>
      </c>
      <c r="G751" s="9">
        <f t="shared" si="90"/>
        <v>46107</v>
      </c>
      <c r="H751" s="1" t="str">
        <f>IF(Raw!D751="","",Raw!D751)</f>
        <v>P-A</v>
      </c>
      <c r="I751" s="1" t="str">
        <f>IFERROR(IF(EXACT(H751,INDEX(Guide!$A$7:$A$9,MATCH(SUBSTITUTE(SUBSTITUTE(SUBSTITUTE(H751,"~","~~"),"*","~*"),"?","~?"),Guide!$A$7:$A$9,0))),INDEX(Guide!$B$7:$B$9,MATCH(SUBSTITUTE(SUBSTITUTE(SUBSTITUTE(H751,"~","~~"),"*","~*"),"?","~?"),Guide!$A$7:$A$9,0)),""),"")</f>
        <v>Accessories</v>
      </c>
      <c r="J751" s="1" t="str">
        <f>IF(TRIM(Raw!E751)="",I751,IF(UPPER(TRIM(Raw!E751))=UPPER(I751),I751,""))</f>
        <v>Accessories</v>
      </c>
      <c r="K751" s="1" t="str">
        <f>IF(Raw!F751="","",Raw!F751)</f>
        <v>sale</v>
      </c>
      <c r="L751" s="1" t="str">
        <f>IF(LEFT(TRIM(Raw!G751),2)="-$","-"&amp;MID(TRIM(Raw!G751),3,99),IF(LEFT(TRIM(Raw!G751),1)="$",MID(TRIM(Raw!G751),2,99),TRIM(Raw!G751)))</f>
        <v>161.08</v>
      </c>
      <c r="M751" s="1">
        <f t="shared" si="91"/>
        <v>161.08000000000001</v>
      </c>
      <c r="N751" s="10">
        <f t="shared" si="92"/>
        <v>16108</v>
      </c>
      <c r="O751" s="1" t="b">
        <f>IFERROR(IF(ISNUMBER(Raw!G751),TRUE,OR(EXACT(L751,TEXT(M751,"0.00")),EXACT(L751,TEXT(M751,"#,##0.00")))),FALSE)</f>
        <v>1</v>
      </c>
      <c r="P751" s="1" t="str">
        <f>LEN(IF(Raw!A751="","",Raw!A751))&amp;":"&amp;IF(Raw!A751="","",Raw!A751)&amp;"|"&amp;LEN(IF(Raw!B751="","",Raw!B751))&amp;":"&amp;IF(Raw!B751="","",Raw!B751)&amp;"|"&amp;LEN(IF(Raw!C751="","",Raw!C751))&amp;":"&amp;IF(Raw!C751="","",Raw!C751)&amp;"|"&amp;LEN(IF(Raw!D751="","",Raw!D751))&amp;":"&amp;IF(Raw!D751="","",Raw!D751)&amp;"|"&amp;LEN(IF(Raw!E751="","",Raw!E751))&amp;":"&amp;IF(Raw!E751="","",Raw!E751)&amp;"|"&amp;LEN(IF(Raw!F751="","",Raw!F751))&amp;":"&amp;IF(Raw!F751="","",Raw!F751)&amp;"|"&amp;LEN(IF(Raw!G751="","",Raw!G751))&amp;":"&amp;IF(Raw!G751="","",Raw!G751)</f>
        <v>6:L00745|6:T00373|10:2026-03-26|3:P-A|11:Accessories|4:sale|6:161.08</v>
      </c>
      <c r="Q751" s="1">
        <f>1</f>
        <v>1</v>
      </c>
      <c r="R751" s="1" t="b">
        <f>FALSE</f>
        <v>0</v>
      </c>
      <c r="S751" s="1">
        <f>1</f>
        <v>1</v>
      </c>
      <c r="T751" s="1" t="str">
        <f>IF(AND(Raw!A751="",Raw!B751="",Raw!C751="",Raw!D751="",Raw!E751="",Raw!F751="",Raw!G751=""),"UNUSED",IF(A751="","missing line ID",IF(B751="","missing transaction ID",IF(G751="",IF(C751="","missing date","invalid date"),IF(I751="","unknown product",IF(J751="","conflicting category",IF(NOT(OR(EXACT(K751,"sale"),EXACT(K751,"refund"))),"unknown event",IF(OR(N751="",NOT(O751)),"invalid amount",IF(OR(AND(K751="sale",N751&lt;=0),AND(K751="refund",N751&gt;=0)),"invalid sign","")))))))))</f>
        <v/>
      </c>
      <c r="U751" s="1" t="str">
        <f t="shared" si="93"/>
        <v>INCLUDED</v>
      </c>
      <c r="V751" s="1" t="str">
        <f t="shared" si="94"/>
        <v>2026-03</v>
      </c>
      <c r="W751" s="1">
        <f>IF(AND(U751="INCLUDED",X751&gt;0,EXACT(A751,'AI output'!A751)),1,0)</f>
        <v>1</v>
      </c>
      <c r="X751" s="1">
        <f>751</f>
        <v>751</v>
      </c>
      <c r="Y751" s="1">
        <f>IF(AND(U751="INCLUDED",W751=1),--(NOT(EXACT(A751,'AI output'!A751)))+--(NOT(EXACT(B751,'AI output'!B751)))+--(NOT(EXACT(TEXT(G751,"yyyy-mm-dd"),'AI output'!C751)))+--(NOT(EXACT(H751,'AI output'!D751)))+--(NOT(EXACT(J751,'AI output'!E751)))+--(NOT(EXACT(K751,'AI output'!F751)))+--(N751&lt;&gt;'AI output'!L751)+--(NOT('AI output'!M751)),0)</f>
        <v>0</v>
      </c>
      <c r="Z751" s="1">
        <f t="shared" si="95"/>
        <v>0</v>
      </c>
      <c r="AA751" s="1">
        <f>--EXACT(A751,"L00745")</f>
        <v>1</v>
      </c>
    </row>
    <row r="752" spans="1:27" ht="18.95" customHeight="1">
      <c r="A752" s="1" t="str">
        <f>IF(Raw!A752="","",Raw!A752)</f>
        <v>L00746</v>
      </c>
      <c r="B752" s="1" t="str">
        <f>IF(Raw!B752="","",Raw!B752)</f>
        <v>T00373</v>
      </c>
      <c r="C752" s="1" t="str">
        <f>IF(Raw!C752="","",Raw!C752)</f>
        <v>2026-03-26</v>
      </c>
      <c r="D752" s="1">
        <f t="shared" si="88"/>
        <v>2026</v>
      </c>
      <c r="E752" s="1">
        <f>IFERROR(IF(AND(LEN(C752)=10,MID(C752,5,1)="-",MID(C752,8,1)="-"),VALUE(MID(C752,6,2)),IF(AND(LEN(C752)=11,MID(C752,3,1)="-",MID(C752,7,1)="-"),MATCH(UPPER(MID(C752,4,3)),Guide!$D$7:$D$18,0),0)),0)</f>
        <v>3</v>
      </c>
      <c r="F752" s="1">
        <f t="shared" si="89"/>
        <v>26</v>
      </c>
      <c r="G752" s="9">
        <f t="shared" si="90"/>
        <v>46107</v>
      </c>
      <c r="H752" s="1" t="str">
        <f>IF(Raw!D752="","",Raw!D752)</f>
        <v>P-H</v>
      </c>
      <c r="I752" s="1" t="str">
        <f>IFERROR(IF(EXACT(H752,INDEX(Guide!$A$7:$A$9,MATCH(SUBSTITUTE(SUBSTITUTE(SUBSTITUTE(H752,"~","~~"),"*","~*"),"?","~?"),Guide!$A$7:$A$9,0))),INDEX(Guide!$B$7:$B$9,MATCH(SUBSTITUTE(SUBSTITUTE(SUBSTITUTE(H752,"~","~~"),"*","~*"),"?","~?"),Guide!$A$7:$A$9,0)),""),"")</f>
        <v>Home</v>
      </c>
      <c r="J752" s="1" t="str">
        <f>IF(TRIM(Raw!E752)="",I752,IF(UPPER(TRIM(Raw!E752))=UPPER(I752),I752,""))</f>
        <v>Home</v>
      </c>
      <c r="K752" s="1" t="str">
        <f>IF(Raw!F752="","",Raw!F752)</f>
        <v>sale</v>
      </c>
      <c r="L752" s="1" t="str">
        <f>IF(LEFT(TRIM(Raw!G752),2)="-$","-"&amp;MID(TRIM(Raw!G752),3,99),IF(LEFT(TRIM(Raw!G752),1)="$",MID(TRIM(Raw!G752),2,99),TRIM(Raw!G752)))</f>
        <v>40.64</v>
      </c>
      <c r="M752" s="1">
        <f t="shared" si="91"/>
        <v>40.64</v>
      </c>
      <c r="N752" s="10">
        <f t="shared" si="92"/>
        <v>4064</v>
      </c>
      <c r="O752" s="1" t="b">
        <f>IFERROR(IF(ISNUMBER(Raw!G752),TRUE,OR(EXACT(L752,TEXT(M752,"0.00")),EXACT(L752,TEXT(M752,"#,##0.00")))),FALSE)</f>
        <v>1</v>
      </c>
      <c r="P752" s="1" t="str">
        <f>LEN(IF(Raw!A752="","",Raw!A752))&amp;":"&amp;IF(Raw!A752="","",Raw!A752)&amp;"|"&amp;LEN(IF(Raw!B752="","",Raw!B752))&amp;":"&amp;IF(Raw!B752="","",Raw!B752)&amp;"|"&amp;LEN(IF(Raw!C752="","",Raw!C752))&amp;":"&amp;IF(Raw!C752="","",Raw!C752)&amp;"|"&amp;LEN(IF(Raw!D752="","",Raw!D752))&amp;":"&amp;IF(Raw!D752="","",Raw!D752)&amp;"|"&amp;LEN(IF(Raw!E752="","",Raw!E752))&amp;":"&amp;IF(Raw!E752="","",Raw!E752)&amp;"|"&amp;LEN(IF(Raw!F752="","",Raw!F752))&amp;":"&amp;IF(Raw!F752="","",Raw!F752)&amp;"|"&amp;LEN(IF(Raw!G752="","",Raw!G752))&amp;":"&amp;IF(Raw!G752="","",Raw!G752)</f>
        <v>6:L00746|6:T00373|10:2026-03-26|3:P-H|4:Home|4:sale|5:40.64</v>
      </c>
      <c r="Q752" s="1">
        <f>1</f>
        <v>1</v>
      </c>
      <c r="R752" s="1" t="b">
        <f>FALSE</f>
        <v>0</v>
      </c>
      <c r="S752" s="1">
        <f>1</f>
        <v>1</v>
      </c>
      <c r="T752" s="1" t="str">
        <f>IF(AND(Raw!A752="",Raw!B752="",Raw!C752="",Raw!D752="",Raw!E752="",Raw!F752="",Raw!G752=""),"UNUSED",IF(A752="","missing line ID",IF(B752="","missing transaction ID",IF(G752="",IF(C752="","missing date","invalid date"),IF(I752="","unknown product",IF(J752="","conflicting category",IF(NOT(OR(EXACT(K752,"sale"),EXACT(K752,"refund"))),"unknown event",IF(OR(N752="",NOT(O752)),"invalid amount",IF(OR(AND(K752="sale",N752&lt;=0),AND(K752="refund",N752&gt;=0)),"invalid sign","")))))))))</f>
        <v/>
      </c>
      <c r="U752" s="1" t="str">
        <f t="shared" si="93"/>
        <v>INCLUDED</v>
      </c>
      <c r="V752" s="1" t="str">
        <f t="shared" si="94"/>
        <v>2026-03</v>
      </c>
      <c r="W752" s="1">
        <f>IF(AND(U752="INCLUDED",X752&gt;0,EXACT(A752,'AI output'!A752)),1,0)</f>
        <v>1</v>
      </c>
      <c r="X752" s="1">
        <f>752</f>
        <v>752</v>
      </c>
      <c r="Y752" s="1">
        <f>IF(AND(U752="INCLUDED",W752=1),--(NOT(EXACT(A752,'AI output'!A752)))+--(NOT(EXACT(B752,'AI output'!B752)))+--(NOT(EXACT(TEXT(G752,"yyyy-mm-dd"),'AI output'!C752)))+--(NOT(EXACT(H752,'AI output'!D752)))+--(NOT(EXACT(J752,'AI output'!E752)))+--(NOT(EXACT(K752,'AI output'!F752)))+--(N752&lt;&gt;'AI output'!L752)+--(NOT('AI output'!M752)),0)</f>
        <v>0</v>
      </c>
      <c r="Z752" s="1">
        <f t="shared" si="95"/>
        <v>0</v>
      </c>
      <c r="AA752" s="1">
        <f>--EXACT(A752,"L00746")</f>
        <v>1</v>
      </c>
    </row>
    <row r="753" spans="1:27" ht="18.95" customHeight="1">
      <c r="A753" s="1" t="str">
        <f>IF(Raw!A753="","",Raw!A753)</f>
        <v>L00747</v>
      </c>
      <c r="B753" s="1" t="str">
        <f>IF(Raw!B753="","",Raw!B753)</f>
        <v>T00374</v>
      </c>
      <c r="C753" s="1" t="str">
        <f>IF(Raw!C753="","",Raw!C753)</f>
        <v>2026-01-02</v>
      </c>
      <c r="D753" s="1">
        <f t="shared" si="88"/>
        <v>2026</v>
      </c>
      <c r="E753" s="1">
        <f>IFERROR(IF(AND(LEN(C753)=10,MID(C753,5,1)="-",MID(C753,8,1)="-"),VALUE(MID(C753,6,2)),IF(AND(LEN(C753)=11,MID(C753,3,1)="-",MID(C753,7,1)="-"),MATCH(UPPER(MID(C753,4,3)),Guide!$D$7:$D$18,0),0)),0)</f>
        <v>1</v>
      </c>
      <c r="F753" s="1">
        <f t="shared" si="89"/>
        <v>2</v>
      </c>
      <c r="G753" s="9">
        <f t="shared" si="90"/>
        <v>46024</v>
      </c>
      <c r="H753" s="1" t="str">
        <f>IF(Raw!D753="","",Raw!D753)</f>
        <v>P-O</v>
      </c>
      <c r="I753" s="1" t="str">
        <f>IFERROR(IF(EXACT(H753,INDEX(Guide!$A$7:$A$9,MATCH(SUBSTITUTE(SUBSTITUTE(SUBSTITUTE(H753,"~","~~"),"*","~*"),"?","~?"),Guide!$A$7:$A$9,0))),INDEX(Guide!$B$7:$B$9,MATCH(SUBSTITUTE(SUBSTITUTE(SUBSTITUTE(H753,"~","~~"),"*","~*"),"?","~?"),Guide!$A$7:$A$9,0)),""),"")</f>
        <v>Office</v>
      </c>
      <c r="J753" s="1" t="str">
        <f>IF(TRIM(Raw!E753)="",I753,IF(UPPER(TRIM(Raw!E753))=UPPER(I753),I753,""))</f>
        <v>Office</v>
      </c>
      <c r="K753" s="1" t="str">
        <f>IF(Raw!F753="","",Raw!F753)</f>
        <v>sale</v>
      </c>
      <c r="L753" s="1" t="str">
        <f>IF(LEFT(TRIM(Raw!G753),2)="-$","-"&amp;MID(TRIM(Raw!G753),3,99),IF(LEFT(TRIM(Raw!G753),1)="$",MID(TRIM(Raw!G753),2,99),TRIM(Raw!G753)))</f>
        <v>123.03</v>
      </c>
      <c r="M753" s="1">
        <f t="shared" si="91"/>
        <v>123.03</v>
      </c>
      <c r="N753" s="10">
        <f t="shared" si="92"/>
        <v>12303</v>
      </c>
      <c r="O753" s="1" t="b">
        <f>IFERROR(IF(ISNUMBER(Raw!G753),TRUE,OR(EXACT(L753,TEXT(M753,"0.00")),EXACT(L753,TEXT(M753,"#,##0.00")))),FALSE)</f>
        <v>1</v>
      </c>
      <c r="P753" s="1" t="str">
        <f>LEN(IF(Raw!A753="","",Raw!A753))&amp;":"&amp;IF(Raw!A753="","",Raw!A753)&amp;"|"&amp;LEN(IF(Raw!B753="","",Raw!B753))&amp;":"&amp;IF(Raw!B753="","",Raw!B753)&amp;"|"&amp;LEN(IF(Raw!C753="","",Raw!C753))&amp;":"&amp;IF(Raw!C753="","",Raw!C753)&amp;"|"&amp;LEN(IF(Raw!D753="","",Raw!D753))&amp;":"&amp;IF(Raw!D753="","",Raw!D753)&amp;"|"&amp;LEN(IF(Raw!E753="","",Raw!E753))&amp;":"&amp;IF(Raw!E753="","",Raw!E753)&amp;"|"&amp;LEN(IF(Raw!F753="","",Raw!F753))&amp;":"&amp;IF(Raw!F753="","",Raw!F753)&amp;"|"&amp;LEN(IF(Raw!G753="","",Raw!G753))&amp;":"&amp;IF(Raw!G753="","",Raw!G753)</f>
        <v>6:L00747|6:T00374|10:2026-01-02|3:P-O|6:Office|4:sale|6:123.03</v>
      </c>
      <c r="Q753" s="1">
        <f>1</f>
        <v>1</v>
      </c>
      <c r="R753" s="1" t="b">
        <f>FALSE</f>
        <v>0</v>
      </c>
      <c r="S753" s="1">
        <f>1</f>
        <v>1</v>
      </c>
      <c r="T753" s="1" t="str">
        <f>IF(AND(Raw!A753="",Raw!B753="",Raw!C753="",Raw!D753="",Raw!E753="",Raw!F753="",Raw!G753=""),"UNUSED",IF(A753="","missing line ID",IF(B753="","missing transaction ID",IF(G753="",IF(C753="","missing date","invalid date"),IF(I753="","unknown product",IF(J753="","conflicting category",IF(NOT(OR(EXACT(K753,"sale"),EXACT(K753,"refund"))),"unknown event",IF(OR(N753="",NOT(O753)),"invalid amount",IF(OR(AND(K753="sale",N753&lt;=0),AND(K753="refund",N753&gt;=0)),"invalid sign","")))))))))</f>
        <v/>
      </c>
      <c r="U753" s="1" t="str">
        <f t="shared" si="93"/>
        <v>INCLUDED</v>
      </c>
      <c r="V753" s="1" t="str">
        <f t="shared" si="94"/>
        <v>2026-01</v>
      </c>
      <c r="W753" s="1">
        <f>IF(AND(U753="INCLUDED",X753&gt;0,EXACT(A753,'AI output'!A753)),1,0)</f>
        <v>1</v>
      </c>
      <c r="X753" s="1">
        <f>753</f>
        <v>753</v>
      </c>
      <c r="Y753" s="1">
        <f>IF(AND(U753="INCLUDED",W753=1),--(NOT(EXACT(A753,'AI output'!A753)))+--(NOT(EXACT(B753,'AI output'!B753)))+--(NOT(EXACT(TEXT(G753,"yyyy-mm-dd"),'AI output'!C753)))+--(NOT(EXACT(H753,'AI output'!D753)))+--(NOT(EXACT(J753,'AI output'!E753)))+--(NOT(EXACT(K753,'AI output'!F753)))+--(N753&lt;&gt;'AI output'!L753)+--(NOT('AI output'!M753)),0)</f>
        <v>0</v>
      </c>
      <c r="Z753" s="1">
        <f t="shared" si="95"/>
        <v>0</v>
      </c>
      <c r="AA753" s="1">
        <f>--EXACT(A753,"L00747")</f>
        <v>1</v>
      </c>
    </row>
    <row r="754" spans="1:27" ht="18.95" customHeight="1">
      <c r="A754" s="1" t="str">
        <f>IF(Raw!A754="","",Raw!A754)</f>
        <v>L00748</v>
      </c>
      <c r="B754" s="1" t="str">
        <f>IF(Raw!B754="","",Raw!B754)</f>
        <v>T00374</v>
      </c>
      <c r="C754" s="1" t="str">
        <f>IF(Raw!C754="","",Raw!C754)</f>
        <v>2026-01-02</v>
      </c>
      <c r="D754" s="1">
        <f t="shared" si="88"/>
        <v>2026</v>
      </c>
      <c r="E754" s="1">
        <f>IFERROR(IF(AND(LEN(C754)=10,MID(C754,5,1)="-",MID(C754,8,1)="-"),VALUE(MID(C754,6,2)),IF(AND(LEN(C754)=11,MID(C754,3,1)="-",MID(C754,7,1)="-"),MATCH(UPPER(MID(C754,4,3)),Guide!$D$7:$D$18,0),0)),0)</f>
        <v>1</v>
      </c>
      <c r="F754" s="1">
        <f t="shared" si="89"/>
        <v>2</v>
      </c>
      <c r="G754" s="9">
        <f t="shared" si="90"/>
        <v>46024</v>
      </c>
      <c r="H754" s="1" t="str">
        <f>IF(Raw!D754="","",Raw!D754)</f>
        <v>P-A</v>
      </c>
      <c r="I754" s="1" t="str">
        <f>IFERROR(IF(EXACT(H754,INDEX(Guide!$A$7:$A$9,MATCH(SUBSTITUTE(SUBSTITUTE(SUBSTITUTE(H754,"~","~~"),"*","~*"),"?","~?"),Guide!$A$7:$A$9,0))),INDEX(Guide!$B$7:$B$9,MATCH(SUBSTITUTE(SUBSTITUTE(SUBSTITUTE(H754,"~","~~"),"*","~*"),"?","~?"),Guide!$A$7:$A$9,0)),""),"")</f>
        <v>Accessories</v>
      </c>
      <c r="J754" s="1" t="str">
        <f>IF(TRIM(Raw!E754)="",I754,IF(UPPER(TRIM(Raw!E754))=UPPER(I754),I754,""))</f>
        <v>Accessories</v>
      </c>
      <c r="K754" s="1" t="str">
        <f>IF(Raw!F754="","",Raw!F754)</f>
        <v>sale</v>
      </c>
      <c r="L754" s="1" t="str">
        <f>IF(LEFT(TRIM(Raw!G754),2)="-$","-"&amp;MID(TRIM(Raw!G754),3,99),IF(LEFT(TRIM(Raw!G754),1)="$",MID(TRIM(Raw!G754),2,99),TRIM(Raw!G754)))</f>
        <v>206.90</v>
      </c>
      <c r="M754" s="1">
        <f t="shared" si="91"/>
        <v>206.9</v>
      </c>
      <c r="N754" s="10">
        <f t="shared" si="92"/>
        <v>20690</v>
      </c>
      <c r="O754" s="1" t="b">
        <f>IFERROR(IF(ISNUMBER(Raw!G754),TRUE,OR(EXACT(L754,TEXT(M754,"0.00")),EXACT(L754,TEXT(M754,"#,##0.00")))),FALSE)</f>
        <v>1</v>
      </c>
      <c r="P754" s="1" t="str">
        <f>LEN(IF(Raw!A754="","",Raw!A754))&amp;":"&amp;IF(Raw!A754="","",Raw!A754)&amp;"|"&amp;LEN(IF(Raw!B754="","",Raw!B754))&amp;":"&amp;IF(Raw!B754="","",Raw!B754)&amp;"|"&amp;LEN(IF(Raw!C754="","",Raw!C754))&amp;":"&amp;IF(Raw!C754="","",Raw!C754)&amp;"|"&amp;LEN(IF(Raw!D754="","",Raw!D754))&amp;":"&amp;IF(Raw!D754="","",Raw!D754)&amp;"|"&amp;LEN(IF(Raw!E754="","",Raw!E754))&amp;":"&amp;IF(Raw!E754="","",Raw!E754)&amp;"|"&amp;LEN(IF(Raw!F754="","",Raw!F754))&amp;":"&amp;IF(Raw!F754="","",Raw!F754)&amp;"|"&amp;LEN(IF(Raw!G754="","",Raw!G754))&amp;":"&amp;IF(Raw!G754="","",Raw!G754)</f>
        <v>6:L00748|6:T00374|10:2026-01-02|3:P-A|11:Accessories|4:sale|6:206.90</v>
      </c>
      <c r="Q754" s="1">
        <f>1</f>
        <v>1</v>
      </c>
      <c r="R754" s="1" t="b">
        <f>FALSE</f>
        <v>0</v>
      </c>
      <c r="S754" s="1">
        <f>1</f>
        <v>1</v>
      </c>
      <c r="T754" s="1" t="str">
        <f>IF(AND(Raw!A754="",Raw!B754="",Raw!C754="",Raw!D754="",Raw!E754="",Raw!F754="",Raw!G754=""),"UNUSED",IF(A754="","missing line ID",IF(B754="","missing transaction ID",IF(G754="",IF(C754="","missing date","invalid date"),IF(I754="","unknown product",IF(J754="","conflicting category",IF(NOT(OR(EXACT(K754,"sale"),EXACT(K754,"refund"))),"unknown event",IF(OR(N754="",NOT(O754)),"invalid amount",IF(OR(AND(K754="sale",N754&lt;=0),AND(K754="refund",N754&gt;=0)),"invalid sign","")))))))))</f>
        <v/>
      </c>
      <c r="U754" s="1" t="str">
        <f t="shared" si="93"/>
        <v>INCLUDED</v>
      </c>
      <c r="V754" s="1" t="str">
        <f t="shared" si="94"/>
        <v>2026-01</v>
      </c>
      <c r="W754" s="1">
        <f>IF(AND(U754="INCLUDED",X754&gt;0,EXACT(A754,'AI output'!A754)),1,0)</f>
        <v>1</v>
      </c>
      <c r="X754" s="1">
        <f>754</f>
        <v>754</v>
      </c>
      <c r="Y754" s="1">
        <f>IF(AND(U754="INCLUDED",W754=1),--(NOT(EXACT(A754,'AI output'!A754)))+--(NOT(EXACT(B754,'AI output'!B754)))+--(NOT(EXACT(TEXT(G754,"yyyy-mm-dd"),'AI output'!C754)))+--(NOT(EXACT(H754,'AI output'!D754)))+--(NOT(EXACT(J754,'AI output'!E754)))+--(NOT(EXACT(K754,'AI output'!F754)))+--(N754&lt;&gt;'AI output'!L754)+--(NOT('AI output'!M754)),0)</f>
        <v>0</v>
      </c>
      <c r="Z754" s="1">
        <f t="shared" si="95"/>
        <v>0</v>
      </c>
      <c r="AA754" s="1">
        <f>--EXACT(A754,"L00748")</f>
        <v>1</v>
      </c>
    </row>
    <row r="755" spans="1:27" ht="18.95" customHeight="1">
      <c r="A755" s="1" t="str">
        <f>IF(Raw!A755="","",Raw!A755)</f>
        <v>L00749</v>
      </c>
      <c r="B755" s="1" t="str">
        <f>IF(Raw!B755="","",Raw!B755)</f>
        <v>T00375</v>
      </c>
      <c r="C755" s="1" t="str">
        <f>IF(Raw!C755="","",Raw!C755)</f>
        <v>2026-01-09</v>
      </c>
      <c r="D755" s="1">
        <f t="shared" si="88"/>
        <v>2026</v>
      </c>
      <c r="E755" s="1">
        <f>IFERROR(IF(AND(LEN(C755)=10,MID(C755,5,1)="-",MID(C755,8,1)="-"),VALUE(MID(C755,6,2)),IF(AND(LEN(C755)=11,MID(C755,3,1)="-",MID(C755,7,1)="-"),MATCH(UPPER(MID(C755,4,3)),Guide!$D$7:$D$18,0),0)),0)</f>
        <v>1</v>
      </c>
      <c r="F755" s="1">
        <f t="shared" si="89"/>
        <v>9</v>
      </c>
      <c r="G755" s="9">
        <f t="shared" si="90"/>
        <v>46031</v>
      </c>
      <c r="H755" s="1" t="str">
        <f>IF(Raw!D755="","",Raw!D755)</f>
        <v>P-H</v>
      </c>
      <c r="I755" s="1" t="str">
        <f>IFERROR(IF(EXACT(H755,INDEX(Guide!$A$7:$A$9,MATCH(SUBSTITUTE(SUBSTITUTE(SUBSTITUTE(H755,"~","~~"),"*","~*"),"?","~?"),Guide!$A$7:$A$9,0))),INDEX(Guide!$B$7:$B$9,MATCH(SUBSTITUTE(SUBSTITUTE(SUBSTITUTE(H755,"~","~~"),"*","~*"),"?","~?"),Guide!$A$7:$A$9,0)),""),"")</f>
        <v>Home</v>
      </c>
      <c r="J755" s="1" t="str">
        <f>IF(TRIM(Raw!E755)="",I755,IF(UPPER(TRIM(Raw!E755))=UPPER(I755),I755,""))</f>
        <v>Home</v>
      </c>
      <c r="K755" s="1" t="str">
        <f>IF(Raw!F755="","",Raw!F755)</f>
        <v>sale</v>
      </c>
      <c r="L755" s="1" t="str">
        <f>IF(LEFT(TRIM(Raw!G755),2)="-$","-"&amp;MID(TRIM(Raw!G755),3,99),IF(LEFT(TRIM(Raw!G755),1)="$",MID(TRIM(Raw!G755),2,99),TRIM(Raw!G755)))</f>
        <v>83.50</v>
      </c>
      <c r="M755" s="1">
        <f t="shared" si="91"/>
        <v>83.5</v>
      </c>
      <c r="N755" s="10">
        <f t="shared" si="92"/>
        <v>8350</v>
      </c>
      <c r="O755" s="1" t="b">
        <f>IFERROR(IF(ISNUMBER(Raw!G755),TRUE,OR(EXACT(L755,TEXT(M755,"0.00")),EXACT(L755,TEXT(M755,"#,##0.00")))),FALSE)</f>
        <v>1</v>
      </c>
      <c r="P755" s="1" t="str">
        <f>LEN(IF(Raw!A755="","",Raw!A755))&amp;":"&amp;IF(Raw!A755="","",Raw!A755)&amp;"|"&amp;LEN(IF(Raw!B755="","",Raw!B755))&amp;":"&amp;IF(Raw!B755="","",Raw!B755)&amp;"|"&amp;LEN(IF(Raw!C755="","",Raw!C755))&amp;":"&amp;IF(Raw!C755="","",Raw!C755)&amp;"|"&amp;LEN(IF(Raw!D755="","",Raw!D755))&amp;":"&amp;IF(Raw!D755="","",Raw!D755)&amp;"|"&amp;LEN(IF(Raw!E755="","",Raw!E755))&amp;":"&amp;IF(Raw!E755="","",Raw!E755)&amp;"|"&amp;LEN(IF(Raw!F755="","",Raw!F755))&amp;":"&amp;IF(Raw!F755="","",Raw!F755)&amp;"|"&amp;LEN(IF(Raw!G755="","",Raw!G755))&amp;":"&amp;IF(Raw!G755="","",Raw!G755)</f>
        <v>6:L00749|6:T00375|10:2026-01-09|3:P-H|4:Home|4:sale|5:83.50</v>
      </c>
      <c r="Q755" s="1">
        <f>1</f>
        <v>1</v>
      </c>
      <c r="R755" s="1" t="b">
        <f>FALSE</f>
        <v>0</v>
      </c>
      <c r="S755" s="1">
        <f>1</f>
        <v>1</v>
      </c>
      <c r="T755" s="1" t="str">
        <f>IF(AND(Raw!A755="",Raw!B755="",Raw!C755="",Raw!D755="",Raw!E755="",Raw!F755="",Raw!G755=""),"UNUSED",IF(A755="","missing line ID",IF(B755="","missing transaction ID",IF(G755="",IF(C755="","missing date","invalid date"),IF(I755="","unknown product",IF(J755="","conflicting category",IF(NOT(OR(EXACT(K755,"sale"),EXACT(K755,"refund"))),"unknown event",IF(OR(N755="",NOT(O755)),"invalid amount",IF(OR(AND(K755="sale",N755&lt;=0),AND(K755="refund",N755&gt;=0)),"invalid sign","")))))))))</f>
        <v/>
      </c>
      <c r="U755" s="1" t="str">
        <f t="shared" si="93"/>
        <v>INCLUDED</v>
      </c>
      <c r="V755" s="1" t="str">
        <f t="shared" si="94"/>
        <v>2026-01</v>
      </c>
      <c r="W755" s="1">
        <f>IF(AND(U755="INCLUDED",X755&gt;0,EXACT(A755,'AI output'!A755)),1,0)</f>
        <v>1</v>
      </c>
      <c r="X755" s="1">
        <f>755</f>
        <v>755</v>
      </c>
      <c r="Y755" s="1">
        <f>IF(AND(U755="INCLUDED",W755=1),--(NOT(EXACT(A755,'AI output'!A755)))+--(NOT(EXACT(B755,'AI output'!B755)))+--(NOT(EXACT(TEXT(G755,"yyyy-mm-dd"),'AI output'!C755)))+--(NOT(EXACT(H755,'AI output'!D755)))+--(NOT(EXACT(J755,'AI output'!E755)))+--(NOT(EXACT(K755,'AI output'!F755)))+--(N755&lt;&gt;'AI output'!L755)+--(NOT('AI output'!M755)),0)</f>
        <v>0</v>
      </c>
      <c r="Z755" s="1">
        <f t="shared" si="95"/>
        <v>0</v>
      </c>
      <c r="AA755" s="1">
        <f>--EXACT(A755,"L00749")</f>
        <v>1</v>
      </c>
    </row>
    <row r="756" spans="1:27" ht="18.95" customHeight="1">
      <c r="A756" s="1" t="str">
        <f>IF(Raw!A756="","",Raw!A756)</f>
        <v>L00750</v>
      </c>
      <c r="B756" s="1" t="str">
        <f>IF(Raw!B756="","",Raw!B756)</f>
        <v>T00375</v>
      </c>
      <c r="C756" s="1" t="str">
        <f>IF(Raw!C756="","",Raw!C756)</f>
        <v>2026-01-09</v>
      </c>
      <c r="D756" s="1">
        <f t="shared" si="88"/>
        <v>2026</v>
      </c>
      <c r="E756" s="1">
        <f>IFERROR(IF(AND(LEN(C756)=10,MID(C756,5,1)="-",MID(C756,8,1)="-"),VALUE(MID(C756,6,2)),IF(AND(LEN(C756)=11,MID(C756,3,1)="-",MID(C756,7,1)="-"),MATCH(UPPER(MID(C756,4,3)),Guide!$D$7:$D$18,0),0)),0)</f>
        <v>1</v>
      </c>
      <c r="F756" s="1">
        <f t="shared" si="89"/>
        <v>9</v>
      </c>
      <c r="G756" s="9">
        <f t="shared" si="90"/>
        <v>46031</v>
      </c>
      <c r="H756" s="1" t="str">
        <f>IF(Raw!D756="","",Raw!D756)</f>
        <v>P-O</v>
      </c>
      <c r="I756" s="1" t="str">
        <f>IFERROR(IF(EXACT(H756,INDEX(Guide!$A$7:$A$9,MATCH(SUBSTITUTE(SUBSTITUTE(SUBSTITUTE(H756,"~","~~"),"*","~*"),"?","~?"),Guide!$A$7:$A$9,0))),INDEX(Guide!$B$7:$B$9,MATCH(SUBSTITUTE(SUBSTITUTE(SUBSTITUTE(H756,"~","~~"),"*","~*"),"?","~?"),Guide!$A$7:$A$9,0)),""),"")</f>
        <v>Office</v>
      </c>
      <c r="J756" s="1" t="str">
        <f>IF(TRIM(Raw!E756)="",I756,IF(UPPER(TRIM(Raw!E756))=UPPER(I756),I756,""))</f>
        <v>Office</v>
      </c>
      <c r="K756" s="1" t="str">
        <f>IF(Raw!F756="","",Raw!F756)</f>
        <v>sale</v>
      </c>
      <c r="L756" s="1" t="str">
        <f>IF(LEFT(TRIM(Raw!G756),2)="-$","-"&amp;MID(TRIM(Raw!G756),3,99),IF(LEFT(TRIM(Raw!G756),1)="$",MID(TRIM(Raw!G756),2,99),TRIM(Raw!G756)))</f>
        <v>168.48</v>
      </c>
      <c r="M756" s="1">
        <f t="shared" si="91"/>
        <v>168.48</v>
      </c>
      <c r="N756" s="10">
        <f t="shared" si="92"/>
        <v>16848</v>
      </c>
      <c r="O756" s="1" t="b">
        <f>IFERROR(IF(ISNUMBER(Raw!G756),TRUE,OR(EXACT(L756,TEXT(M756,"0.00")),EXACT(L756,TEXT(M756,"#,##0.00")))),FALSE)</f>
        <v>1</v>
      </c>
      <c r="P756" s="1" t="str">
        <f>LEN(IF(Raw!A756="","",Raw!A756))&amp;":"&amp;IF(Raw!A756="","",Raw!A756)&amp;"|"&amp;LEN(IF(Raw!B756="","",Raw!B756))&amp;":"&amp;IF(Raw!B756="","",Raw!B756)&amp;"|"&amp;LEN(IF(Raw!C756="","",Raw!C756))&amp;":"&amp;IF(Raw!C756="","",Raw!C756)&amp;"|"&amp;LEN(IF(Raw!D756="","",Raw!D756))&amp;":"&amp;IF(Raw!D756="","",Raw!D756)&amp;"|"&amp;LEN(IF(Raw!E756="","",Raw!E756))&amp;":"&amp;IF(Raw!E756="","",Raw!E756)&amp;"|"&amp;LEN(IF(Raw!F756="","",Raw!F756))&amp;":"&amp;IF(Raw!F756="","",Raw!F756)&amp;"|"&amp;LEN(IF(Raw!G756="","",Raw!G756))&amp;":"&amp;IF(Raw!G756="","",Raw!G756)</f>
        <v>6:L00750|6:T00375|10:2026-01-09|3:P-O|6:Office|4:sale|6:168.48</v>
      </c>
      <c r="Q756" s="1">
        <f>1</f>
        <v>1</v>
      </c>
      <c r="R756" s="1" t="b">
        <f>FALSE</f>
        <v>0</v>
      </c>
      <c r="S756" s="1">
        <f>1</f>
        <v>1</v>
      </c>
      <c r="T756" s="1" t="str">
        <f>IF(AND(Raw!A756="",Raw!B756="",Raw!C756="",Raw!D756="",Raw!E756="",Raw!F756="",Raw!G756=""),"UNUSED",IF(A756="","missing line ID",IF(B756="","missing transaction ID",IF(G756="",IF(C756="","missing date","invalid date"),IF(I756="","unknown product",IF(J756="","conflicting category",IF(NOT(OR(EXACT(K756,"sale"),EXACT(K756,"refund"))),"unknown event",IF(OR(N756="",NOT(O756)),"invalid amount",IF(OR(AND(K756="sale",N756&lt;=0),AND(K756="refund",N756&gt;=0)),"invalid sign","")))))))))</f>
        <v/>
      </c>
      <c r="U756" s="1" t="str">
        <f t="shared" si="93"/>
        <v>INCLUDED</v>
      </c>
      <c r="V756" s="1" t="str">
        <f t="shared" si="94"/>
        <v>2026-01</v>
      </c>
      <c r="W756" s="1">
        <f>IF(AND(U756="INCLUDED",X756&gt;0,EXACT(A756,'AI output'!A756)),1,0)</f>
        <v>1</v>
      </c>
      <c r="X756" s="1">
        <f>756</f>
        <v>756</v>
      </c>
      <c r="Y756" s="1">
        <f>IF(AND(U756="INCLUDED",W756=1),--(NOT(EXACT(A756,'AI output'!A756)))+--(NOT(EXACT(B756,'AI output'!B756)))+--(NOT(EXACT(TEXT(G756,"yyyy-mm-dd"),'AI output'!C756)))+--(NOT(EXACT(H756,'AI output'!D756)))+--(NOT(EXACT(J756,'AI output'!E756)))+--(NOT(EXACT(K756,'AI output'!F756)))+--(N756&lt;&gt;'AI output'!L756)+--(NOT('AI output'!M756)),0)</f>
        <v>0</v>
      </c>
      <c r="Z756" s="1">
        <f t="shared" si="95"/>
        <v>0</v>
      </c>
      <c r="AA756" s="1">
        <f>--EXACT(A756,"L00750")</f>
        <v>1</v>
      </c>
    </row>
    <row r="757" spans="1:27" ht="18.95" customHeight="1">
      <c r="A757" s="1" t="str">
        <f>IF(Raw!A757="","",Raw!A757)</f>
        <v>L00751</v>
      </c>
      <c r="B757" s="1" t="str">
        <f>IF(Raw!B757="","",Raw!B757)</f>
        <v>T00376</v>
      </c>
      <c r="C757" s="1" t="str">
        <f>IF(Raw!C757="","",Raw!C757)</f>
        <v>2026-01-16</v>
      </c>
      <c r="D757" s="1">
        <f t="shared" si="88"/>
        <v>2026</v>
      </c>
      <c r="E757" s="1">
        <f>IFERROR(IF(AND(LEN(C757)=10,MID(C757,5,1)="-",MID(C757,8,1)="-"),VALUE(MID(C757,6,2)),IF(AND(LEN(C757)=11,MID(C757,3,1)="-",MID(C757,7,1)="-"),MATCH(UPPER(MID(C757,4,3)),Guide!$D$7:$D$18,0),0)),0)</f>
        <v>1</v>
      </c>
      <c r="F757" s="1">
        <f t="shared" si="89"/>
        <v>16</v>
      </c>
      <c r="G757" s="9">
        <f t="shared" si="90"/>
        <v>46038</v>
      </c>
      <c r="H757" s="1" t="str">
        <f>IF(Raw!D757="","",Raw!D757)</f>
        <v>P-A</v>
      </c>
      <c r="I757" s="1" t="str">
        <f>IFERROR(IF(EXACT(H757,INDEX(Guide!$A$7:$A$9,MATCH(SUBSTITUTE(SUBSTITUTE(SUBSTITUTE(H757,"~","~~"),"*","~*"),"?","~?"),Guide!$A$7:$A$9,0))),INDEX(Guide!$B$7:$B$9,MATCH(SUBSTITUTE(SUBSTITUTE(SUBSTITUTE(H757,"~","~~"),"*","~*"),"?","~?"),Guide!$A$7:$A$9,0)),""),"")</f>
        <v>Accessories</v>
      </c>
      <c r="J757" s="1" t="str">
        <f>IF(TRIM(Raw!E757)="",I757,IF(UPPER(TRIM(Raw!E757))=UPPER(I757),I757,""))</f>
        <v>Accessories</v>
      </c>
      <c r="K757" s="1" t="str">
        <f>IF(Raw!F757="","",Raw!F757)</f>
        <v>sale</v>
      </c>
      <c r="L757" s="1" t="str">
        <f>IF(LEFT(TRIM(Raw!G757),2)="-$","-"&amp;MID(TRIM(Raw!G757),3,99),IF(LEFT(TRIM(Raw!G757),1)="$",MID(TRIM(Raw!G757),2,99),TRIM(Raw!G757)))</f>
        <v>42.49</v>
      </c>
      <c r="M757" s="1">
        <f t="shared" si="91"/>
        <v>42.49</v>
      </c>
      <c r="N757" s="10">
        <f t="shared" si="92"/>
        <v>4249</v>
      </c>
      <c r="O757" s="1" t="b">
        <f>IFERROR(IF(ISNUMBER(Raw!G757),TRUE,OR(EXACT(L757,TEXT(M757,"0.00")),EXACT(L757,TEXT(M757,"#,##0.00")))),FALSE)</f>
        <v>1</v>
      </c>
      <c r="P757" s="1" t="str">
        <f>LEN(IF(Raw!A757="","",Raw!A757))&amp;":"&amp;IF(Raw!A757="","",Raw!A757)&amp;"|"&amp;LEN(IF(Raw!B757="","",Raw!B757))&amp;":"&amp;IF(Raw!B757="","",Raw!B757)&amp;"|"&amp;LEN(IF(Raw!C757="","",Raw!C757))&amp;":"&amp;IF(Raw!C757="","",Raw!C757)&amp;"|"&amp;LEN(IF(Raw!D757="","",Raw!D757))&amp;":"&amp;IF(Raw!D757="","",Raw!D757)&amp;"|"&amp;LEN(IF(Raw!E757="","",Raw!E757))&amp;":"&amp;IF(Raw!E757="","",Raw!E757)&amp;"|"&amp;LEN(IF(Raw!F757="","",Raw!F757))&amp;":"&amp;IF(Raw!F757="","",Raw!F757)&amp;"|"&amp;LEN(IF(Raw!G757="","",Raw!G757))&amp;":"&amp;IF(Raw!G757="","",Raw!G757)</f>
        <v>6:L00751|6:T00376|10:2026-01-16|3:P-A|11:Accessories|4:sale|5:42.49</v>
      </c>
      <c r="Q757" s="1">
        <f>1</f>
        <v>1</v>
      </c>
      <c r="R757" s="1" t="b">
        <f>FALSE</f>
        <v>0</v>
      </c>
      <c r="S757" s="1">
        <f>1</f>
        <v>1</v>
      </c>
      <c r="T757" s="1" t="str">
        <f>IF(AND(Raw!A757="",Raw!B757="",Raw!C757="",Raw!D757="",Raw!E757="",Raw!F757="",Raw!G757=""),"UNUSED",IF(A757="","missing line ID",IF(B757="","missing transaction ID",IF(G757="",IF(C757="","missing date","invalid date"),IF(I757="","unknown product",IF(J757="","conflicting category",IF(NOT(OR(EXACT(K757,"sale"),EXACT(K757,"refund"))),"unknown event",IF(OR(N757="",NOT(O757)),"invalid amount",IF(OR(AND(K757="sale",N757&lt;=0),AND(K757="refund",N757&gt;=0)),"invalid sign","")))))))))</f>
        <v/>
      </c>
      <c r="U757" s="1" t="str">
        <f t="shared" si="93"/>
        <v>INCLUDED</v>
      </c>
      <c r="V757" s="1" t="str">
        <f t="shared" si="94"/>
        <v>2026-01</v>
      </c>
      <c r="W757" s="1">
        <f>IF(AND(U757="INCLUDED",X757&gt;0,EXACT(A757,'AI output'!A757)),1,0)</f>
        <v>1</v>
      </c>
      <c r="X757" s="1">
        <f>757</f>
        <v>757</v>
      </c>
      <c r="Y757" s="1">
        <f>IF(AND(U757="INCLUDED",W757=1),--(NOT(EXACT(A757,'AI output'!A757)))+--(NOT(EXACT(B757,'AI output'!B757)))+--(NOT(EXACT(TEXT(G757,"yyyy-mm-dd"),'AI output'!C757)))+--(NOT(EXACT(H757,'AI output'!D757)))+--(NOT(EXACT(J757,'AI output'!E757)))+--(NOT(EXACT(K757,'AI output'!F757)))+--(N757&lt;&gt;'AI output'!L757)+--(NOT('AI output'!M757)),0)</f>
        <v>0</v>
      </c>
      <c r="Z757" s="1">
        <f t="shared" si="95"/>
        <v>0</v>
      </c>
      <c r="AA757" s="1">
        <f>--EXACT(A757,"L00751")</f>
        <v>1</v>
      </c>
    </row>
    <row r="758" spans="1:27" ht="18.95" customHeight="1">
      <c r="A758" s="1" t="str">
        <f>IF(Raw!A758="","",Raw!A758)</f>
        <v>L00752</v>
      </c>
      <c r="B758" s="1" t="str">
        <f>IF(Raw!B758="","",Raw!B758)</f>
        <v>T00376</v>
      </c>
      <c r="C758" s="1" t="str">
        <f>IF(Raw!C758="","",Raw!C758)</f>
        <v>2026-01-16</v>
      </c>
      <c r="D758" s="1">
        <f t="shared" si="88"/>
        <v>2026</v>
      </c>
      <c r="E758" s="1">
        <f>IFERROR(IF(AND(LEN(C758)=10,MID(C758,5,1)="-",MID(C758,8,1)="-"),VALUE(MID(C758,6,2)),IF(AND(LEN(C758)=11,MID(C758,3,1)="-",MID(C758,7,1)="-"),MATCH(UPPER(MID(C758,4,3)),Guide!$D$7:$D$18,0),0)),0)</f>
        <v>1</v>
      </c>
      <c r="F758" s="1">
        <f t="shared" si="89"/>
        <v>16</v>
      </c>
      <c r="G758" s="9">
        <f t="shared" si="90"/>
        <v>46038</v>
      </c>
      <c r="H758" s="1" t="str">
        <f>IF(Raw!D758="","",Raw!D758)</f>
        <v>P-H</v>
      </c>
      <c r="I758" s="1" t="str">
        <f>IFERROR(IF(EXACT(H758,INDEX(Guide!$A$7:$A$9,MATCH(SUBSTITUTE(SUBSTITUTE(SUBSTITUTE(H758,"~","~~"),"*","~*"),"?","~?"),Guide!$A$7:$A$9,0))),INDEX(Guide!$B$7:$B$9,MATCH(SUBSTITUTE(SUBSTITUTE(SUBSTITUTE(H758,"~","~~"),"*","~*"),"?","~?"),Guide!$A$7:$A$9,0)),""),"")</f>
        <v>Home</v>
      </c>
      <c r="J758" s="1" t="str">
        <f>IF(TRIM(Raw!E758)="",I758,IF(UPPER(TRIM(Raw!E758))=UPPER(I758),I758,""))</f>
        <v>Home</v>
      </c>
      <c r="K758" s="1" t="str">
        <f>IF(Raw!F758="","",Raw!F758)</f>
        <v>sale</v>
      </c>
      <c r="L758" s="1" t="str">
        <f>IF(LEFT(TRIM(Raw!G758),2)="-$","-"&amp;MID(TRIM(Raw!G758),3,99),IF(LEFT(TRIM(Raw!G758),1)="$",MID(TRIM(Raw!G758),2,99),TRIM(Raw!G758)))</f>
        <v>128.58</v>
      </c>
      <c r="M758" s="1">
        <f t="shared" si="91"/>
        <v>128.58000000000001</v>
      </c>
      <c r="N758" s="10">
        <f t="shared" si="92"/>
        <v>12858</v>
      </c>
      <c r="O758" s="1" t="b">
        <f>IFERROR(IF(ISNUMBER(Raw!G758),TRUE,OR(EXACT(L758,TEXT(M758,"0.00")),EXACT(L758,TEXT(M758,"#,##0.00")))),FALSE)</f>
        <v>1</v>
      </c>
      <c r="P758" s="1" t="str">
        <f>LEN(IF(Raw!A758="","",Raw!A758))&amp;":"&amp;IF(Raw!A758="","",Raw!A758)&amp;"|"&amp;LEN(IF(Raw!B758="","",Raw!B758))&amp;":"&amp;IF(Raw!B758="","",Raw!B758)&amp;"|"&amp;LEN(IF(Raw!C758="","",Raw!C758))&amp;":"&amp;IF(Raw!C758="","",Raw!C758)&amp;"|"&amp;LEN(IF(Raw!D758="","",Raw!D758))&amp;":"&amp;IF(Raw!D758="","",Raw!D758)&amp;"|"&amp;LEN(IF(Raw!E758="","",Raw!E758))&amp;":"&amp;IF(Raw!E758="","",Raw!E758)&amp;"|"&amp;LEN(IF(Raw!F758="","",Raw!F758))&amp;":"&amp;IF(Raw!F758="","",Raw!F758)&amp;"|"&amp;LEN(IF(Raw!G758="","",Raw!G758))&amp;":"&amp;IF(Raw!G758="","",Raw!G758)</f>
        <v>6:L00752|6:T00376|10:2026-01-16|3:P-H|4:Home|4:sale|6:128.58</v>
      </c>
      <c r="Q758" s="1">
        <f>1</f>
        <v>1</v>
      </c>
      <c r="R758" s="1" t="b">
        <f>FALSE</f>
        <v>0</v>
      </c>
      <c r="S758" s="1">
        <f>1</f>
        <v>1</v>
      </c>
      <c r="T758" s="1" t="str">
        <f>IF(AND(Raw!A758="",Raw!B758="",Raw!C758="",Raw!D758="",Raw!E758="",Raw!F758="",Raw!G758=""),"UNUSED",IF(A758="","missing line ID",IF(B758="","missing transaction ID",IF(G758="",IF(C758="","missing date","invalid date"),IF(I758="","unknown product",IF(J758="","conflicting category",IF(NOT(OR(EXACT(K758,"sale"),EXACT(K758,"refund"))),"unknown event",IF(OR(N758="",NOT(O758)),"invalid amount",IF(OR(AND(K758="sale",N758&lt;=0),AND(K758="refund",N758&gt;=0)),"invalid sign","")))))))))</f>
        <v/>
      </c>
      <c r="U758" s="1" t="str">
        <f t="shared" si="93"/>
        <v>INCLUDED</v>
      </c>
      <c r="V758" s="1" t="str">
        <f t="shared" si="94"/>
        <v>2026-01</v>
      </c>
      <c r="W758" s="1">
        <f>IF(AND(U758="INCLUDED",X758&gt;0,EXACT(A758,'AI output'!A758)),1,0)</f>
        <v>1</v>
      </c>
      <c r="X758" s="1">
        <f>758</f>
        <v>758</v>
      </c>
      <c r="Y758" s="1">
        <f>IF(AND(U758="INCLUDED",W758=1),--(NOT(EXACT(A758,'AI output'!A758)))+--(NOT(EXACT(B758,'AI output'!B758)))+--(NOT(EXACT(TEXT(G758,"yyyy-mm-dd"),'AI output'!C758)))+--(NOT(EXACT(H758,'AI output'!D758)))+--(NOT(EXACT(J758,'AI output'!E758)))+--(NOT(EXACT(K758,'AI output'!F758)))+--(N758&lt;&gt;'AI output'!L758)+--(NOT('AI output'!M758)),0)</f>
        <v>0</v>
      </c>
      <c r="Z758" s="1">
        <f t="shared" si="95"/>
        <v>0</v>
      </c>
      <c r="AA758" s="1">
        <f>--EXACT(A758,"L00752")</f>
        <v>1</v>
      </c>
    </row>
    <row r="759" spans="1:27" ht="18.95" customHeight="1">
      <c r="A759" s="1" t="str">
        <f>IF(Raw!A759="","",Raw!A759)</f>
        <v>L00753</v>
      </c>
      <c r="B759" s="1" t="str">
        <f>IF(Raw!B759="","",Raw!B759)</f>
        <v>T00377</v>
      </c>
      <c r="C759" s="1" t="str">
        <f>IF(Raw!C759="","",Raw!C759)</f>
        <v>2026-01-23</v>
      </c>
      <c r="D759" s="1">
        <f t="shared" si="88"/>
        <v>2026</v>
      </c>
      <c r="E759" s="1">
        <f>IFERROR(IF(AND(LEN(C759)=10,MID(C759,5,1)="-",MID(C759,8,1)="-"),VALUE(MID(C759,6,2)),IF(AND(LEN(C759)=11,MID(C759,3,1)="-",MID(C759,7,1)="-"),MATCH(UPPER(MID(C759,4,3)),Guide!$D$7:$D$18,0),0)),0)</f>
        <v>1</v>
      </c>
      <c r="F759" s="1">
        <f t="shared" si="89"/>
        <v>23</v>
      </c>
      <c r="G759" s="9">
        <f t="shared" si="90"/>
        <v>46045</v>
      </c>
      <c r="H759" s="1" t="str">
        <f>IF(Raw!D759="","",Raw!D759)</f>
        <v>P-O</v>
      </c>
      <c r="I759" s="1" t="str">
        <f>IFERROR(IF(EXACT(H759,INDEX(Guide!$A$7:$A$9,MATCH(SUBSTITUTE(SUBSTITUTE(SUBSTITUTE(H759,"~","~~"),"*","~*"),"?","~?"),Guide!$A$7:$A$9,0))),INDEX(Guide!$B$7:$B$9,MATCH(SUBSTITUTE(SUBSTITUTE(SUBSTITUTE(H759,"~","~~"),"*","~*"),"?","~?"),Guide!$A$7:$A$9,0)),""),"")</f>
        <v>Office</v>
      </c>
      <c r="J759" s="1" t="str">
        <f>IF(TRIM(Raw!E759)="",I759,IF(UPPER(TRIM(Raw!E759))=UPPER(I759),I759,""))</f>
        <v>Office</v>
      </c>
      <c r="K759" s="1" t="str">
        <f>IF(Raw!F759="","",Raw!F759)</f>
        <v>sale</v>
      </c>
      <c r="L759" s="1" t="str">
        <f>IF(LEFT(TRIM(Raw!G759),2)="-$","-"&amp;MID(TRIM(Raw!G759),3,99),IF(LEFT(TRIM(Raw!G759),1)="$",MID(TRIM(Raw!G759),2,99),TRIM(Raw!G759)))</f>
        <v>216.15</v>
      </c>
      <c r="M759" s="1">
        <f t="shared" si="91"/>
        <v>216.15</v>
      </c>
      <c r="N759" s="10">
        <f t="shared" si="92"/>
        <v>21615</v>
      </c>
      <c r="O759" s="1" t="b">
        <f>IFERROR(IF(ISNUMBER(Raw!G759),TRUE,OR(EXACT(L759,TEXT(M759,"0.00")),EXACT(L759,TEXT(M759,"#,##0.00")))),FALSE)</f>
        <v>1</v>
      </c>
      <c r="P759" s="1" t="str">
        <f>LEN(IF(Raw!A759="","",Raw!A759))&amp;":"&amp;IF(Raw!A759="","",Raw!A759)&amp;"|"&amp;LEN(IF(Raw!B759="","",Raw!B759))&amp;":"&amp;IF(Raw!B759="","",Raw!B759)&amp;"|"&amp;LEN(IF(Raw!C759="","",Raw!C759))&amp;":"&amp;IF(Raw!C759="","",Raw!C759)&amp;"|"&amp;LEN(IF(Raw!D759="","",Raw!D759))&amp;":"&amp;IF(Raw!D759="","",Raw!D759)&amp;"|"&amp;LEN(IF(Raw!E759="","",Raw!E759))&amp;":"&amp;IF(Raw!E759="","",Raw!E759)&amp;"|"&amp;LEN(IF(Raw!F759="","",Raw!F759))&amp;":"&amp;IF(Raw!F759="","",Raw!F759)&amp;"|"&amp;LEN(IF(Raw!G759="","",Raw!G759))&amp;":"&amp;IF(Raw!G759="","",Raw!G759)</f>
        <v>6:L00753|6:T00377|10:2026-01-23|3:P-O|6:Office|4:sale|6:216.15</v>
      </c>
      <c r="Q759" s="1">
        <f>1</f>
        <v>1</v>
      </c>
      <c r="R759" s="1" t="b">
        <f>FALSE</f>
        <v>0</v>
      </c>
      <c r="S759" s="1">
        <f>1</f>
        <v>1</v>
      </c>
      <c r="T759" s="1" t="str">
        <f>IF(AND(Raw!A759="",Raw!B759="",Raw!C759="",Raw!D759="",Raw!E759="",Raw!F759="",Raw!G759=""),"UNUSED",IF(A759="","missing line ID",IF(B759="","missing transaction ID",IF(G759="",IF(C759="","missing date","invalid date"),IF(I759="","unknown product",IF(J759="","conflicting category",IF(NOT(OR(EXACT(K759,"sale"),EXACT(K759,"refund"))),"unknown event",IF(OR(N759="",NOT(O759)),"invalid amount",IF(OR(AND(K759="sale",N759&lt;=0),AND(K759="refund",N759&gt;=0)),"invalid sign","")))))))))</f>
        <v/>
      </c>
      <c r="U759" s="1" t="str">
        <f t="shared" si="93"/>
        <v>INCLUDED</v>
      </c>
      <c r="V759" s="1" t="str">
        <f t="shared" si="94"/>
        <v>2026-01</v>
      </c>
      <c r="W759" s="1">
        <f>IF(AND(U759="INCLUDED",X759&gt;0,EXACT(A759,'AI output'!A759)),1,0)</f>
        <v>1</v>
      </c>
      <c r="X759" s="1">
        <f>759</f>
        <v>759</v>
      </c>
      <c r="Y759" s="1">
        <f>IF(AND(U759="INCLUDED",W759=1),--(NOT(EXACT(A759,'AI output'!A759)))+--(NOT(EXACT(B759,'AI output'!B759)))+--(NOT(EXACT(TEXT(G759,"yyyy-mm-dd"),'AI output'!C759)))+--(NOT(EXACT(H759,'AI output'!D759)))+--(NOT(EXACT(J759,'AI output'!E759)))+--(NOT(EXACT(K759,'AI output'!F759)))+--(N759&lt;&gt;'AI output'!L759)+--(NOT('AI output'!M759)),0)</f>
        <v>0</v>
      </c>
      <c r="Z759" s="1">
        <f t="shared" si="95"/>
        <v>0</v>
      </c>
      <c r="AA759" s="1">
        <f>--EXACT(A759,"L00753")</f>
        <v>1</v>
      </c>
    </row>
    <row r="760" spans="1:27" ht="18.95" customHeight="1">
      <c r="A760" s="1" t="str">
        <f>IF(Raw!A760="","",Raw!A760)</f>
        <v>L00754</v>
      </c>
      <c r="B760" s="1" t="str">
        <f>IF(Raw!B760="","",Raw!B760)</f>
        <v>T00377</v>
      </c>
      <c r="C760" s="1" t="str">
        <f>IF(Raw!C760="","",Raw!C760)</f>
        <v>2026-01-23</v>
      </c>
      <c r="D760" s="1">
        <f t="shared" si="88"/>
        <v>2026</v>
      </c>
      <c r="E760" s="1">
        <f>IFERROR(IF(AND(LEN(C760)=10,MID(C760,5,1)="-",MID(C760,8,1)="-"),VALUE(MID(C760,6,2)),IF(AND(LEN(C760)=11,MID(C760,3,1)="-",MID(C760,7,1)="-"),MATCH(UPPER(MID(C760,4,3)),Guide!$D$7:$D$18,0),0)),0)</f>
        <v>1</v>
      </c>
      <c r="F760" s="1">
        <f t="shared" si="89"/>
        <v>23</v>
      </c>
      <c r="G760" s="9">
        <f t="shared" si="90"/>
        <v>46045</v>
      </c>
      <c r="H760" s="1" t="str">
        <f>IF(Raw!D760="","",Raw!D760)</f>
        <v>P-A</v>
      </c>
      <c r="I760" s="1" t="str">
        <f>IFERROR(IF(EXACT(H760,INDEX(Guide!$A$7:$A$9,MATCH(SUBSTITUTE(SUBSTITUTE(SUBSTITUTE(H760,"~","~~"),"*","~*"),"?","~?"),Guide!$A$7:$A$9,0))),INDEX(Guide!$B$7:$B$9,MATCH(SUBSTITUTE(SUBSTITUTE(SUBSTITUTE(H760,"~","~~"),"*","~*"),"?","~?"),Guide!$A$7:$A$9,0)),""),"")</f>
        <v>Accessories</v>
      </c>
      <c r="J760" s="1" t="str">
        <f>IF(TRIM(Raw!E760)="",I760,IF(UPPER(TRIM(Raw!E760))=UPPER(I760),I760,""))</f>
        <v>Accessories</v>
      </c>
      <c r="K760" s="1" t="str">
        <f>IF(Raw!F760="","",Raw!F760)</f>
        <v>sale</v>
      </c>
      <c r="L760" s="1" t="str">
        <f>IF(LEFT(TRIM(Raw!G760),2)="-$","-"&amp;MID(TRIM(Raw!G760),3,99),IF(LEFT(TRIM(Raw!G760),1)="$",MID(TRIM(Raw!G760),2,99),TRIM(Raw!G760)))</f>
        <v>87.20</v>
      </c>
      <c r="M760" s="1">
        <f t="shared" si="91"/>
        <v>87.2</v>
      </c>
      <c r="N760" s="10">
        <f t="shared" si="92"/>
        <v>8720</v>
      </c>
      <c r="O760" s="1" t="b">
        <f>IFERROR(IF(ISNUMBER(Raw!G760),TRUE,OR(EXACT(L760,TEXT(M760,"0.00")),EXACT(L760,TEXT(M760,"#,##0.00")))),FALSE)</f>
        <v>1</v>
      </c>
      <c r="P760" s="1" t="str">
        <f>LEN(IF(Raw!A760="","",Raw!A760))&amp;":"&amp;IF(Raw!A760="","",Raw!A760)&amp;"|"&amp;LEN(IF(Raw!B760="","",Raw!B760))&amp;":"&amp;IF(Raw!B760="","",Raw!B760)&amp;"|"&amp;LEN(IF(Raw!C760="","",Raw!C760))&amp;":"&amp;IF(Raw!C760="","",Raw!C760)&amp;"|"&amp;LEN(IF(Raw!D760="","",Raw!D760))&amp;":"&amp;IF(Raw!D760="","",Raw!D760)&amp;"|"&amp;LEN(IF(Raw!E760="","",Raw!E760))&amp;":"&amp;IF(Raw!E760="","",Raw!E760)&amp;"|"&amp;LEN(IF(Raw!F760="","",Raw!F760))&amp;":"&amp;IF(Raw!F760="","",Raw!F760)&amp;"|"&amp;LEN(IF(Raw!G760="","",Raw!G760))&amp;":"&amp;IF(Raw!G760="","",Raw!G760)</f>
        <v>6:L00754|6:T00377|10:2026-01-23|3:P-A|11:Accessories|4:sale|5:87.20</v>
      </c>
      <c r="Q760" s="1">
        <f>1</f>
        <v>1</v>
      </c>
      <c r="R760" s="1" t="b">
        <f>FALSE</f>
        <v>0</v>
      </c>
      <c r="S760" s="1">
        <f>1</f>
        <v>1</v>
      </c>
      <c r="T760" s="1" t="str">
        <f>IF(AND(Raw!A760="",Raw!B760="",Raw!C760="",Raw!D760="",Raw!E760="",Raw!F760="",Raw!G760=""),"UNUSED",IF(A760="","missing line ID",IF(B760="","missing transaction ID",IF(G760="",IF(C760="","missing date","invalid date"),IF(I760="","unknown product",IF(J760="","conflicting category",IF(NOT(OR(EXACT(K760,"sale"),EXACT(K760,"refund"))),"unknown event",IF(OR(N760="",NOT(O760)),"invalid amount",IF(OR(AND(K760="sale",N760&lt;=0),AND(K760="refund",N760&gt;=0)),"invalid sign","")))))))))</f>
        <v/>
      </c>
      <c r="U760" s="1" t="str">
        <f t="shared" si="93"/>
        <v>INCLUDED</v>
      </c>
      <c r="V760" s="1" t="str">
        <f t="shared" si="94"/>
        <v>2026-01</v>
      </c>
      <c r="W760" s="1">
        <f>IF(AND(U760="INCLUDED",X760&gt;0,EXACT(A760,'AI output'!A760)),1,0)</f>
        <v>1</v>
      </c>
      <c r="X760" s="1">
        <f>760</f>
        <v>760</v>
      </c>
      <c r="Y760" s="1">
        <f>IF(AND(U760="INCLUDED",W760=1),--(NOT(EXACT(A760,'AI output'!A760)))+--(NOT(EXACT(B760,'AI output'!B760)))+--(NOT(EXACT(TEXT(G760,"yyyy-mm-dd"),'AI output'!C760)))+--(NOT(EXACT(H760,'AI output'!D760)))+--(NOT(EXACT(J760,'AI output'!E760)))+--(NOT(EXACT(K760,'AI output'!F760)))+--(N760&lt;&gt;'AI output'!L760)+--(NOT('AI output'!M760)),0)</f>
        <v>0</v>
      </c>
      <c r="Z760" s="1">
        <f t="shared" si="95"/>
        <v>0</v>
      </c>
      <c r="AA760" s="1">
        <f>--EXACT(A760,"L00754")</f>
        <v>1</v>
      </c>
    </row>
    <row r="761" spans="1:27" ht="18.95" customHeight="1">
      <c r="A761" s="1" t="str">
        <f>IF(Raw!A761="","",Raw!A761)</f>
        <v>L00755</v>
      </c>
      <c r="B761" s="1" t="str">
        <f>IF(Raw!B761="","",Raw!B761)</f>
        <v>T00378</v>
      </c>
      <c r="C761" s="1" t="str">
        <f>IF(Raw!C761="","",Raw!C761)</f>
        <v>2026-01-30</v>
      </c>
      <c r="D761" s="1">
        <f t="shared" si="88"/>
        <v>2026</v>
      </c>
      <c r="E761" s="1">
        <f>IFERROR(IF(AND(LEN(C761)=10,MID(C761,5,1)="-",MID(C761,8,1)="-"),VALUE(MID(C761,6,2)),IF(AND(LEN(C761)=11,MID(C761,3,1)="-",MID(C761,7,1)="-"),MATCH(UPPER(MID(C761,4,3)),Guide!$D$7:$D$18,0),0)),0)</f>
        <v>1</v>
      </c>
      <c r="F761" s="1">
        <f t="shared" si="89"/>
        <v>30</v>
      </c>
      <c r="G761" s="9">
        <f t="shared" si="90"/>
        <v>46052</v>
      </c>
      <c r="H761" s="1" t="str">
        <f>IF(Raw!D761="","",Raw!D761)</f>
        <v>P-H</v>
      </c>
      <c r="I761" s="1" t="str">
        <f>IFERROR(IF(EXACT(H761,INDEX(Guide!$A$7:$A$9,MATCH(SUBSTITUTE(SUBSTITUTE(SUBSTITUTE(H761,"~","~~"),"*","~*"),"?","~?"),Guide!$A$7:$A$9,0))),INDEX(Guide!$B$7:$B$9,MATCH(SUBSTITUTE(SUBSTITUTE(SUBSTITUTE(H761,"~","~~"),"*","~*"),"?","~?"),Guide!$A$7:$A$9,0)),""),"")</f>
        <v>Home</v>
      </c>
      <c r="J761" s="1" t="str">
        <f>IF(TRIM(Raw!E761)="",I761,IF(UPPER(TRIM(Raw!E761))=UPPER(I761),I761,""))</f>
        <v>Home</v>
      </c>
      <c r="K761" s="1" t="str">
        <f>IF(Raw!F761="","",Raw!F761)</f>
        <v>sale</v>
      </c>
      <c r="L761" s="1" t="str">
        <f>IF(LEFT(TRIM(Raw!G761),2)="-$","-"&amp;MID(TRIM(Raw!G761),3,99),IF(LEFT(TRIM(Raw!G761),1)="$",MID(TRIM(Raw!G761),2,99),TRIM(Raw!G761)))</f>
        <v>175.88</v>
      </c>
      <c r="M761" s="1">
        <f t="shared" si="91"/>
        <v>175.88</v>
      </c>
      <c r="N761" s="10">
        <f t="shared" si="92"/>
        <v>17588</v>
      </c>
      <c r="O761" s="1" t="b">
        <f>IFERROR(IF(ISNUMBER(Raw!G761),TRUE,OR(EXACT(L761,TEXT(M761,"0.00")),EXACT(L761,TEXT(M761,"#,##0.00")))),FALSE)</f>
        <v>1</v>
      </c>
      <c r="P761" s="1" t="str">
        <f>LEN(IF(Raw!A761="","",Raw!A761))&amp;":"&amp;IF(Raw!A761="","",Raw!A761)&amp;"|"&amp;LEN(IF(Raw!B761="","",Raw!B761))&amp;":"&amp;IF(Raw!B761="","",Raw!B761)&amp;"|"&amp;LEN(IF(Raw!C761="","",Raw!C761))&amp;":"&amp;IF(Raw!C761="","",Raw!C761)&amp;"|"&amp;LEN(IF(Raw!D761="","",Raw!D761))&amp;":"&amp;IF(Raw!D761="","",Raw!D761)&amp;"|"&amp;LEN(IF(Raw!E761="","",Raw!E761))&amp;":"&amp;IF(Raw!E761="","",Raw!E761)&amp;"|"&amp;LEN(IF(Raw!F761="","",Raw!F761))&amp;":"&amp;IF(Raw!F761="","",Raw!F761)&amp;"|"&amp;LEN(IF(Raw!G761="","",Raw!G761))&amp;":"&amp;IF(Raw!G761="","",Raw!G761)</f>
        <v>6:L00755|6:T00378|10:2026-01-30|3:P-H|4:Home|4:sale|6:175.88</v>
      </c>
      <c r="Q761" s="1">
        <f>1</f>
        <v>1</v>
      </c>
      <c r="R761" s="1" t="b">
        <f>FALSE</f>
        <v>0</v>
      </c>
      <c r="S761" s="1">
        <f>1</f>
        <v>1</v>
      </c>
      <c r="T761" s="1" t="str">
        <f>IF(AND(Raw!A761="",Raw!B761="",Raw!C761="",Raw!D761="",Raw!E761="",Raw!F761="",Raw!G761=""),"UNUSED",IF(A761="","missing line ID",IF(B761="","missing transaction ID",IF(G761="",IF(C761="","missing date","invalid date"),IF(I761="","unknown product",IF(J761="","conflicting category",IF(NOT(OR(EXACT(K761,"sale"),EXACT(K761,"refund"))),"unknown event",IF(OR(N761="",NOT(O761)),"invalid amount",IF(OR(AND(K761="sale",N761&lt;=0),AND(K761="refund",N761&gt;=0)),"invalid sign","")))))))))</f>
        <v/>
      </c>
      <c r="U761" s="1" t="str">
        <f t="shared" si="93"/>
        <v>INCLUDED</v>
      </c>
      <c r="V761" s="1" t="str">
        <f t="shared" si="94"/>
        <v>2026-01</v>
      </c>
      <c r="W761" s="1">
        <f>IF(AND(U761="INCLUDED",X761&gt;0,EXACT(A761,'AI output'!A761)),1,0)</f>
        <v>1</v>
      </c>
      <c r="X761" s="1">
        <f>761</f>
        <v>761</v>
      </c>
      <c r="Y761" s="1">
        <f>IF(AND(U761="INCLUDED",W761=1),--(NOT(EXACT(A761,'AI output'!A761)))+--(NOT(EXACT(B761,'AI output'!B761)))+--(NOT(EXACT(TEXT(G761,"yyyy-mm-dd"),'AI output'!C761)))+--(NOT(EXACT(H761,'AI output'!D761)))+--(NOT(EXACT(J761,'AI output'!E761)))+--(NOT(EXACT(K761,'AI output'!F761)))+--(N761&lt;&gt;'AI output'!L761)+--(NOT('AI output'!M761)),0)</f>
        <v>0</v>
      </c>
      <c r="Z761" s="1">
        <f t="shared" si="95"/>
        <v>0</v>
      </c>
      <c r="AA761" s="1">
        <f>--EXACT(A761,"L00755")</f>
        <v>1</v>
      </c>
    </row>
    <row r="762" spans="1:27" ht="18.95" customHeight="1">
      <c r="A762" s="1" t="str">
        <f>IF(Raw!A762="","",Raw!A762)</f>
        <v>L00756</v>
      </c>
      <c r="B762" s="1" t="str">
        <f>IF(Raw!B762="","",Raw!B762)</f>
        <v>T00378</v>
      </c>
      <c r="C762" s="1" t="str">
        <f>IF(Raw!C762="","",Raw!C762)</f>
        <v>2026-01-30</v>
      </c>
      <c r="D762" s="1">
        <f t="shared" si="88"/>
        <v>2026</v>
      </c>
      <c r="E762" s="1">
        <f>IFERROR(IF(AND(LEN(C762)=10,MID(C762,5,1)="-",MID(C762,8,1)="-"),VALUE(MID(C762,6,2)),IF(AND(LEN(C762)=11,MID(C762,3,1)="-",MID(C762,7,1)="-"),MATCH(UPPER(MID(C762,4,3)),Guide!$D$7:$D$18,0),0)),0)</f>
        <v>1</v>
      </c>
      <c r="F762" s="1">
        <f t="shared" si="89"/>
        <v>30</v>
      </c>
      <c r="G762" s="9">
        <f t="shared" si="90"/>
        <v>46052</v>
      </c>
      <c r="H762" s="1" t="str">
        <f>IF(Raw!D762="","",Raw!D762)</f>
        <v>P-O</v>
      </c>
      <c r="I762" s="1" t="str">
        <f>IFERROR(IF(EXACT(H762,INDEX(Guide!$A$7:$A$9,MATCH(SUBSTITUTE(SUBSTITUTE(SUBSTITUTE(H762,"~","~~"),"*","~*"),"?","~?"),Guide!$A$7:$A$9,0))),INDEX(Guide!$B$7:$B$9,MATCH(SUBSTITUTE(SUBSTITUTE(SUBSTITUTE(H762,"~","~~"),"*","~*"),"?","~?"),Guide!$A$7:$A$9,0)),""),"")</f>
        <v>Office</v>
      </c>
      <c r="J762" s="1" t="str">
        <f>IF(TRIM(Raw!E762)="",I762,IF(UPPER(TRIM(Raw!E762))=UPPER(I762),I762,""))</f>
        <v>Office</v>
      </c>
      <c r="K762" s="1" t="str">
        <f>IF(Raw!F762="","",Raw!F762)</f>
        <v>sale</v>
      </c>
      <c r="L762" s="1" t="str">
        <f>IF(LEFT(TRIM(Raw!G762),2)="-$","-"&amp;MID(TRIM(Raw!G762),3,99),IF(LEFT(TRIM(Raw!G762),1)="$",MID(TRIM(Raw!G762),2,99),TRIM(Raw!G762)))</f>
        <v>44.34</v>
      </c>
      <c r="M762" s="1">
        <f t="shared" si="91"/>
        <v>44.34</v>
      </c>
      <c r="N762" s="10">
        <f t="shared" si="92"/>
        <v>4434</v>
      </c>
      <c r="O762" s="1" t="b">
        <f>IFERROR(IF(ISNUMBER(Raw!G762),TRUE,OR(EXACT(L762,TEXT(M762,"0.00")),EXACT(L762,TEXT(M762,"#,##0.00")))),FALSE)</f>
        <v>1</v>
      </c>
      <c r="P762" s="1" t="str">
        <f>LEN(IF(Raw!A762="","",Raw!A762))&amp;":"&amp;IF(Raw!A762="","",Raw!A762)&amp;"|"&amp;LEN(IF(Raw!B762="","",Raw!B762))&amp;":"&amp;IF(Raw!B762="","",Raw!B762)&amp;"|"&amp;LEN(IF(Raw!C762="","",Raw!C762))&amp;":"&amp;IF(Raw!C762="","",Raw!C762)&amp;"|"&amp;LEN(IF(Raw!D762="","",Raw!D762))&amp;":"&amp;IF(Raw!D762="","",Raw!D762)&amp;"|"&amp;LEN(IF(Raw!E762="","",Raw!E762))&amp;":"&amp;IF(Raw!E762="","",Raw!E762)&amp;"|"&amp;LEN(IF(Raw!F762="","",Raw!F762))&amp;":"&amp;IF(Raw!F762="","",Raw!F762)&amp;"|"&amp;LEN(IF(Raw!G762="","",Raw!G762))&amp;":"&amp;IF(Raw!G762="","",Raw!G762)</f>
        <v>6:L00756|6:T00378|10:2026-01-30|3:P-O|6:Office|4:sale|5:44.34</v>
      </c>
      <c r="Q762" s="1">
        <f>1</f>
        <v>1</v>
      </c>
      <c r="R762" s="1" t="b">
        <f>FALSE</f>
        <v>0</v>
      </c>
      <c r="S762" s="1">
        <f>1</f>
        <v>1</v>
      </c>
      <c r="T762" s="1" t="str">
        <f>IF(AND(Raw!A762="",Raw!B762="",Raw!C762="",Raw!D762="",Raw!E762="",Raw!F762="",Raw!G762=""),"UNUSED",IF(A762="","missing line ID",IF(B762="","missing transaction ID",IF(G762="",IF(C762="","missing date","invalid date"),IF(I762="","unknown product",IF(J762="","conflicting category",IF(NOT(OR(EXACT(K762,"sale"),EXACT(K762,"refund"))),"unknown event",IF(OR(N762="",NOT(O762)),"invalid amount",IF(OR(AND(K762="sale",N762&lt;=0),AND(K762="refund",N762&gt;=0)),"invalid sign","")))))))))</f>
        <v/>
      </c>
      <c r="U762" s="1" t="str">
        <f t="shared" si="93"/>
        <v>INCLUDED</v>
      </c>
      <c r="V762" s="1" t="str">
        <f t="shared" si="94"/>
        <v>2026-01</v>
      </c>
      <c r="W762" s="1">
        <f>IF(AND(U762="INCLUDED",X762&gt;0,EXACT(A762,'AI output'!A762)),1,0)</f>
        <v>1</v>
      </c>
      <c r="X762" s="1">
        <f>762</f>
        <v>762</v>
      </c>
      <c r="Y762" s="1">
        <f>IF(AND(U762="INCLUDED",W762=1),--(NOT(EXACT(A762,'AI output'!A762)))+--(NOT(EXACT(B762,'AI output'!B762)))+--(NOT(EXACT(TEXT(G762,"yyyy-mm-dd"),'AI output'!C762)))+--(NOT(EXACT(H762,'AI output'!D762)))+--(NOT(EXACT(J762,'AI output'!E762)))+--(NOT(EXACT(K762,'AI output'!F762)))+--(N762&lt;&gt;'AI output'!L762)+--(NOT('AI output'!M762)),0)</f>
        <v>0</v>
      </c>
      <c r="Z762" s="1">
        <f t="shared" si="95"/>
        <v>0</v>
      </c>
      <c r="AA762" s="1">
        <f>--EXACT(A762,"L00756")</f>
        <v>1</v>
      </c>
    </row>
    <row r="763" spans="1:27" ht="18.95" customHeight="1">
      <c r="A763" s="1" t="str">
        <f>IF(Raw!A763="","",Raw!A763)</f>
        <v>L00757</v>
      </c>
      <c r="B763" s="1" t="str">
        <f>IF(Raw!B763="","",Raw!B763)</f>
        <v>T00379</v>
      </c>
      <c r="C763" s="1" t="str">
        <f>IF(Raw!C763="","",Raw!C763)</f>
        <v>2026-02-06</v>
      </c>
      <c r="D763" s="1">
        <f t="shared" si="88"/>
        <v>2026</v>
      </c>
      <c r="E763" s="1">
        <f>IFERROR(IF(AND(LEN(C763)=10,MID(C763,5,1)="-",MID(C763,8,1)="-"),VALUE(MID(C763,6,2)),IF(AND(LEN(C763)=11,MID(C763,3,1)="-",MID(C763,7,1)="-"),MATCH(UPPER(MID(C763,4,3)),Guide!$D$7:$D$18,0),0)),0)</f>
        <v>2</v>
      </c>
      <c r="F763" s="1">
        <f t="shared" si="89"/>
        <v>6</v>
      </c>
      <c r="G763" s="9">
        <f t="shared" si="90"/>
        <v>46059</v>
      </c>
      <c r="H763" s="1" t="str">
        <f>IF(Raw!D763="","",Raw!D763)</f>
        <v>P-A</v>
      </c>
      <c r="I763" s="1" t="str">
        <f>IFERROR(IF(EXACT(H763,INDEX(Guide!$A$7:$A$9,MATCH(SUBSTITUTE(SUBSTITUTE(SUBSTITUTE(H763,"~","~~"),"*","~*"),"?","~?"),Guide!$A$7:$A$9,0))),INDEX(Guide!$B$7:$B$9,MATCH(SUBSTITUTE(SUBSTITUTE(SUBSTITUTE(H763,"~","~~"),"*","~*"),"?","~?"),Guide!$A$7:$A$9,0)),""),"")</f>
        <v>Accessories</v>
      </c>
      <c r="J763" s="1" t="str">
        <f>IF(TRIM(Raw!E763)="",I763,IF(UPPER(TRIM(Raw!E763))=UPPER(I763),I763,""))</f>
        <v>Accessories</v>
      </c>
      <c r="K763" s="1" t="str">
        <f>IF(Raw!F763="","",Raw!F763)</f>
        <v>sale</v>
      </c>
      <c r="L763" s="1" t="str">
        <f>IF(LEFT(TRIM(Raw!G763),2)="-$","-"&amp;MID(TRIM(Raw!G763),3,99),IF(LEFT(TRIM(Raw!G763),1)="$",MID(TRIM(Raw!G763),2,99),TRIM(Raw!G763)))</f>
        <v>134.13</v>
      </c>
      <c r="M763" s="1">
        <f t="shared" si="91"/>
        <v>134.13</v>
      </c>
      <c r="N763" s="10">
        <f t="shared" si="92"/>
        <v>13413</v>
      </c>
      <c r="O763" s="1" t="b">
        <f>IFERROR(IF(ISNUMBER(Raw!G763),TRUE,OR(EXACT(L763,TEXT(M763,"0.00")),EXACT(L763,TEXT(M763,"#,##0.00")))),FALSE)</f>
        <v>1</v>
      </c>
      <c r="P763" s="1" t="str">
        <f>LEN(IF(Raw!A763="","",Raw!A763))&amp;":"&amp;IF(Raw!A763="","",Raw!A763)&amp;"|"&amp;LEN(IF(Raw!B763="","",Raw!B763))&amp;":"&amp;IF(Raw!B763="","",Raw!B763)&amp;"|"&amp;LEN(IF(Raw!C763="","",Raw!C763))&amp;":"&amp;IF(Raw!C763="","",Raw!C763)&amp;"|"&amp;LEN(IF(Raw!D763="","",Raw!D763))&amp;":"&amp;IF(Raw!D763="","",Raw!D763)&amp;"|"&amp;LEN(IF(Raw!E763="","",Raw!E763))&amp;":"&amp;IF(Raw!E763="","",Raw!E763)&amp;"|"&amp;LEN(IF(Raw!F763="","",Raw!F763))&amp;":"&amp;IF(Raw!F763="","",Raw!F763)&amp;"|"&amp;LEN(IF(Raw!G763="","",Raw!G763))&amp;":"&amp;IF(Raw!G763="","",Raw!G763)</f>
        <v>6:L00757|6:T00379|10:2026-02-06|3:P-A|11:Accessories|4:sale|6:134.13</v>
      </c>
      <c r="Q763" s="1">
        <f>1</f>
        <v>1</v>
      </c>
      <c r="R763" s="1" t="b">
        <f>FALSE</f>
        <v>0</v>
      </c>
      <c r="S763" s="1">
        <f>1</f>
        <v>1</v>
      </c>
      <c r="T763" s="1" t="str">
        <f>IF(AND(Raw!A763="",Raw!B763="",Raw!C763="",Raw!D763="",Raw!E763="",Raw!F763="",Raw!G763=""),"UNUSED",IF(A763="","missing line ID",IF(B763="","missing transaction ID",IF(G763="",IF(C763="","missing date","invalid date"),IF(I763="","unknown product",IF(J763="","conflicting category",IF(NOT(OR(EXACT(K763,"sale"),EXACT(K763,"refund"))),"unknown event",IF(OR(N763="",NOT(O763)),"invalid amount",IF(OR(AND(K763="sale",N763&lt;=0),AND(K763="refund",N763&gt;=0)),"invalid sign","")))))))))</f>
        <v/>
      </c>
      <c r="U763" s="1" t="str">
        <f t="shared" si="93"/>
        <v>INCLUDED</v>
      </c>
      <c r="V763" s="1" t="str">
        <f t="shared" si="94"/>
        <v>2026-02</v>
      </c>
      <c r="W763" s="1">
        <f>IF(AND(U763="INCLUDED",X763&gt;0,EXACT(A763,'AI output'!A763)),1,0)</f>
        <v>1</v>
      </c>
      <c r="X763" s="1">
        <f>763</f>
        <v>763</v>
      </c>
      <c r="Y763" s="1">
        <f>IF(AND(U763="INCLUDED",W763=1),--(NOT(EXACT(A763,'AI output'!A763)))+--(NOT(EXACT(B763,'AI output'!B763)))+--(NOT(EXACT(TEXT(G763,"yyyy-mm-dd"),'AI output'!C763)))+--(NOT(EXACT(H763,'AI output'!D763)))+--(NOT(EXACT(J763,'AI output'!E763)))+--(NOT(EXACT(K763,'AI output'!F763)))+--(N763&lt;&gt;'AI output'!L763)+--(NOT('AI output'!M763)),0)</f>
        <v>0</v>
      </c>
      <c r="Z763" s="1">
        <f t="shared" si="95"/>
        <v>0</v>
      </c>
      <c r="AA763" s="1">
        <f>--EXACT(A763,"L00757")</f>
        <v>1</v>
      </c>
    </row>
    <row r="764" spans="1:27" ht="18.95" customHeight="1">
      <c r="A764" s="1" t="str">
        <f>IF(Raw!A764="","",Raw!A764)</f>
        <v>L00758</v>
      </c>
      <c r="B764" s="1" t="str">
        <f>IF(Raw!B764="","",Raw!B764)</f>
        <v>T00379</v>
      </c>
      <c r="C764" s="1" t="str">
        <f>IF(Raw!C764="","",Raw!C764)</f>
        <v>2026-02-06</v>
      </c>
      <c r="D764" s="1">
        <f t="shared" si="88"/>
        <v>2026</v>
      </c>
      <c r="E764" s="1">
        <f>IFERROR(IF(AND(LEN(C764)=10,MID(C764,5,1)="-",MID(C764,8,1)="-"),VALUE(MID(C764,6,2)),IF(AND(LEN(C764)=11,MID(C764,3,1)="-",MID(C764,7,1)="-"),MATCH(UPPER(MID(C764,4,3)),Guide!$D$7:$D$18,0),0)),0)</f>
        <v>2</v>
      </c>
      <c r="F764" s="1">
        <f t="shared" si="89"/>
        <v>6</v>
      </c>
      <c r="G764" s="9">
        <f t="shared" si="90"/>
        <v>46059</v>
      </c>
      <c r="H764" s="1" t="str">
        <f>IF(Raw!D764="","",Raw!D764)</f>
        <v>P-H</v>
      </c>
      <c r="I764" s="1" t="str">
        <f>IFERROR(IF(EXACT(H764,INDEX(Guide!$A$7:$A$9,MATCH(SUBSTITUTE(SUBSTITUTE(SUBSTITUTE(H764,"~","~~"),"*","~*"),"?","~?"),Guide!$A$7:$A$9,0))),INDEX(Guide!$B$7:$B$9,MATCH(SUBSTITUTE(SUBSTITUTE(SUBSTITUTE(H764,"~","~~"),"*","~*"),"?","~?"),Guide!$A$7:$A$9,0)),""),"")</f>
        <v>Home</v>
      </c>
      <c r="J764" s="1" t="str">
        <f>IF(TRIM(Raw!E764)="",I764,IF(UPPER(TRIM(Raw!E764))=UPPER(I764),I764,""))</f>
        <v>Home</v>
      </c>
      <c r="K764" s="1" t="str">
        <f>IF(Raw!F764="","",Raw!F764)</f>
        <v>sale</v>
      </c>
      <c r="L764" s="1" t="str">
        <f>IF(LEFT(TRIM(Raw!G764),2)="-$","-"&amp;MID(TRIM(Raw!G764),3,99),IF(LEFT(TRIM(Raw!G764),1)="$",MID(TRIM(Raw!G764),2,99),TRIM(Raw!G764)))</f>
        <v>225.40</v>
      </c>
      <c r="M764" s="1">
        <f t="shared" si="91"/>
        <v>225.4</v>
      </c>
      <c r="N764" s="10">
        <f t="shared" si="92"/>
        <v>22540</v>
      </c>
      <c r="O764" s="1" t="b">
        <f>IFERROR(IF(ISNUMBER(Raw!G764),TRUE,OR(EXACT(L764,TEXT(M764,"0.00")),EXACT(L764,TEXT(M764,"#,##0.00")))),FALSE)</f>
        <v>1</v>
      </c>
      <c r="P764" s="1" t="str">
        <f>LEN(IF(Raw!A764="","",Raw!A764))&amp;":"&amp;IF(Raw!A764="","",Raw!A764)&amp;"|"&amp;LEN(IF(Raw!B764="","",Raw!B764))&amp;":"&amp;IF(Raw!B764="","",Raw!B764)&amp;"|"&amp;LEN(IF(Raw!C764="","",Raw!C764))&amp;":"&amp;IF(Raw!C764="","",Raw!C764)&amp;"|"&amp;LEN(IF(Raw!D764="","",Raw!D764))&amp;":"&amp;IF(Raw!D764="","",Raw!D764)&amp;"|"&amp;LEN(IF(Raw!E764="","",Raw!E764))&amp;":"&amp;IF(Raw!E764="","",Raw!E764)&amp;"|"&amp;LEN(IF(Raw!F764="","",Raw!F764))&amp;":"&amp;IF(Raw!F764="","",Raw!F764)&amp;"|"&amp;LEN(IF(Raw!G764="","",Raw!G764))&amp;":"&amp;IF(Raw!G764="","",Raw!G764)</f>
        <v>6:L00758|6:T00379|10:2026-02-06|3:P-H|4:Home|4:sale|6:225.40</v>
      </c>
      <c r="Q764" s="1">
        <f>1</f>
        <v>1</v>
      </c>
      <c r="R764" s="1" t="b">
        <f>FALSE</f>
        <v>0</v>
      </c>
      <c r="S764" s="1">
        <f>1</f>
        <v>1</v>
      </c>
      <c r="T764" s="1" t="str">
        <f>IF(AND(Raw!A764="",Raw!B764="",Raw!C764="",Raw!D764="",Raw!E764="",Raw!F764="",Raw!G764=""),"UNUSED",IF(A764="","missing line ID",IF(B764="","missing transaction ID",IF(G764="",IF(C764="","missing date","invalid date"),IF(I764="","unknown product",IF(J764="","conflicting category",IF(NOT(OR(EXACT(K764,"sale"),EXACT(K764,"refund"))),"unknown event",IF(OR(N764="",NOT(O764)),"invalid amount",IF(OR(AND(K764="sale",N764&lt;=0),AND(K764="refund",N764&gt;=0)),"invalid sign","")))))))))</f>
        <v/>
      </c>
      <c r="U764" s="1" t="str">
        <f t="shared" si="93"/>
        <v>INCLUDED</v>
      </c>
      <c r="V764" s="1" t="str">
        <f t="shared" si="94"/>
        <v>2026-02</v>
      </c>
      <c r="W764" s="1">
        <f>IF(AND(U764="INCLUDED",X764&gt;0,EXACT(A764,'AI output'!A764)),1,0)</f>
        <v>1</v>
      </c>
      <c r="X764" s="1">
        <f>764</f>
        <v>764</v>
      </c>
      <c r="Y764" s="1">
        <f>IF(AND(U764="INCLUDED",W764=1),--(NOT(EXACT(A764,'AI output'!A764)))+--(NOT(EXACT(B764,'AI output'!B764)))+--(NOT(EXACT(TEXT(G764,"yyyy-mm-dd"),'AI output'!C764)))+--(NOT(EXACT(H764,'AI output'!D764)))+--(NOT(EXACT(J764,'AI output'!E764)))+--(NOT(EXACT(K764,'AI output'!F764)))+--(N764&lt;&gt;'AI output'!L764)+--(NOT('AI output'!M764)),0)</f>
        <v>0</v>
      </c>
      <c r="Z764" s="1">
        <f t="shared" si="95"/>
        <v>0</v>
      </c>
      <c r="AA764" s="1">
        <f>--EXACT(A764,"L00758")</f>
        <v>1</v>
      </c>
    </row>
    <row r="765" spans="1:27" ht="18.95" customHeight="1">
      <c r="A765" s="1" t="str">
        <f>IF(Raw!A765="","",Raw!A765)</f>
        <v>L00759</v>
      </c>
      <c r="B765" s="1" t="str">
        <f>IF(Raw!B765="","",Raw!B765)</f>
        <v>T00380</v>
      </c>
      <c r="C765" s="1" t="str">
        <f>IF(Raw!C765="","",Raw!C765)</f>
        <v>2026-02-13</v>
      </c>
      <c r="D765" s="1">
        <f t="shared" si="88"/>
        <v>2026</v>
      </c>
      <c r="E765" s="1">
        <f>IFERROR(IF(AND(LEN(C765)=10,MID(C765,5,1)="-",MID(C765,8,1)="-"),VALUE(MID(C765,6,2)),IF(AND(LEN(C765)=11,MID(C765,3,1)="-",MID(C765,7,1)="-"),MATCH(UPPER(MID(C765,4,3)),Guide!$D$7:$D$18,0),0)),0)</f>
        <v>2</v>
      </c>
      <c r="F765" s="1">
        <f t="shared" si="89"/>
        <v>13</v>
      </c>
      <c r="G765" s="9">
        <f t="shared" si="90"/>
        <v>46066</v>
      </c>
      <c r="H765" s="1" t="str">
        <f>IF(Raw!D765="","",Raw!D765)</f>
        <v>P-O</v>
      </c>
      <c r="I765" s="1" t="str">
        <f>IFERROR(IF(EXACT(H765,INDEX(Guide!$A$7:$A$9,MATCH(SUBSTITUTE(SUBSTITUTE(SUBSTITUTE(H765,"~","~~"),"*","~*"),"?","~?"),Guide!$A$7:$A$9,0))),INDEX(Guide!$B$7:$B$9,MATCH(SUBSTITUTE(SUBSTITUTE(SUBSTITUTE(H765,"~","~~"),"*","~*"),"?","~?"),Guide!$A$7:$A$9,0)),""),"")</f>
        <v>Office</v>
      </c>
      <c r="J765" s="1" t="str">
        <f>IF(TRIM(Raw!E765)="",I765,IF(UPPER(TRIM(Raw!E765))=UPPER(I765),I765,""))</f>
        <v>Office</v>
      </c>
      <c r="K765" s="1" t="str">
        <f>IF(Raw!F765="","",Raw!F765)</f>
        <v>sale</v>
      </c>
      <c r="L765" s="1" t="str">
        <f>IF(LEFT(TRIM(Raw!G765),2)="-$","-"&amp;MID(TRIM(Raw!G765),3,99),IF(LEFT(TRIM(Raw!G765),1)="$",MID(TRIM(Raw!G765),2,99),TRIM(Raw!G765)))</f>
        <v>90.90</v>
      </c>
      <c r="M765" s="1">
        <f t="shared" si="91"/>
        <v>90.9</v>
      </c>
      <c r="N765" s="10">
        <f t="shared" si="92"/>
        <v>9090</v>
      </c>
      <c r="O765" s="1" t="b">
        <f>IFERROR(IF(ISNUMBER(Raw!G765),TRUE,OR(EXACT(L765,TEXT(M765,"0.00")),EXACT(L765,TEXT(M765,"#,##0.00")))),FALSE)</f>
        <v>1</v>
      </c>
      <c r="P765" s="1" t="str">
        <f>LEN(IF(Raw!A765="","",Raw!A765))&amp;":"&amp;IF(Raw!A765="","",Raw!A765)&amp;"|"&amp;LEN(IF(Raw!B765="","",Raw!B765))&amp;":"&amp;IF(Raw!B765="","",Raw!B765)&amp;"|"&amp;LEN(IF(Raw!C765="","",Raw!C765))&amp;":"&amp;IF(Raw!C765="","",Raw!C765)&amp;"|"&amp;LEN(IF(Raw!D765="","",Raw!D765))&amp;":"&amp;IF(Raw!D765="","",Raw!D765)&amp;"|"&amp;LEN(IF(Raw!E765="","",Raw!E765))&amp;":"&amp;IF(Raw!E765="","",Raw!E765)&amp;"|"&amp;LEN(IF(Raw!F765="","",Raw!F765))&amp;":"&amp;IF(Raw!F765="","",Raw!F765)&amp;"|"&amp;LEN(IF(Raw!G765="","",Raw!G765))&amp;":"&amp;IF(Raw!G765="","",Raw!G765)</f>
        <v>6:L00759|6:T00380|10:2026-02-13|3:P-O|6:Office|4:sale|5:90.90</v>
      </c>
      <c r="Q765" s="1">
        <f>1</f>
        <v>1</v>
      </c>
      <c r="R765" s="1" t="b">
        <f>FALSE</f>
        <v>0</v>
      </c>
      <c r="S765" s="1">
        <f>1</f>
        <v>1</v>
      </c>
      <c r="T765" s="1" t="str">
        <f>IF(AND(Raw!A765="",Raw!B765="",Raw!C765="",Raw!D765="",Raw!E765="",Raw!F765="",Raw!G765=""),"UNUSED",IF(A765="","missing line ID",IF(B765="","missing transaction ID",IF(G765="",IF(C765="","missing date","invalid date"),IF(I765="","unknown product",IF(J765="","conflicting category",IF(NOT(OR(EXACT(K765,"sale"),EXACT(K765,"refund"))),"unknown event",IF(OR(N765="",NOT(O765)),"invalid amount",IF(OR(AND(K765="sale",N765&lt;=0),AND(K765="refund",N765&gt;=0)),"invalid sign","")))))))))</f>
        <v/>
      </c>
      <c r="U765" s="1" t="str">
        <f t="shared" si="93"/>
        <v>INCLUDED</v>
      </c>
      <c r="V765" s="1" t="str">
        <f t="shared" si="94"/>
        <v>2026-02</v>
      </c>
      <c r="W765" s="1">
        <f>IF(AND(U765="INCLUDED",X765&gt;0,EXACT(A765,'AI output'!A765)),1,0)</f>
        <v>1</v>
      </c>
      <c r="X765" s="1">
        <f>765</f>
        <v>765</v>
      </c>
      <c r="Y765" s="1">
        <f>IF(AND(U765="INCLUDED",W765=1),--(NOT(EXACT(A765,'AI output'!A765)))+--(NOT(EXACT(B765,'AI output'!B765)))+--(NOT(EXACT(TEXT(G765,"yyyy-mm-dd"),'AI output'!C765)))+--(NOT(EXACT(H765,'AI output'!D765)))+--(NOT(EXACT(J765,'AI output'!E765)))+--(NOT(EXACT(K765,'AI output'!F765)))+--(N765&lt;&gt;'AI output'!L765)+--(NOT('AI output'!M765)),0)</f>
        <v>0</v>
      </c>
      <c r="Z765" s="1">
        <f t="shared" si="95"/>
        <v>0</v>
      </c>
      <c r="AA765" s="1">
        <f>--EXACT(A765,"L00759")</f>
        <v>1</v>
      </c>
    </row>
    <row r="766" spans="1:27" ht="18.95" customHeight="1">
      <c r="A766" s="1" t="str">
        <f>IF(Raw!A766="","",Raw!A766)</f>
        <v>L00760</v>
      </c>
      <c r="B766" s="1" t="str">
        <f>IF(Raw!B766="","",Raw!B766)</f>
        <v>T00380</v>
      </c>
      <c r="C766" s="1" t="str">
        <f>IF(Raw!C766="","",Raw!C766)</f>
        <v>2026-02-13</v>
      </c>
      <c r="D766" s="1">
        <f t="shared" si="88"/>
        <v>2026</v>
      </c>
      <c r="E766" s="1">
        <f>IFERROR(IF(AND(LEN(C766)=10,MID(C766,5,1)="-",MID(C766,8,1)="-"),VALUE(MID(C766,6,2)),IF(AND(LEN(C766)=11,MID(C766,3,1)="-",MID(C766,7,1)="-"),MATCH(UPPER(MID(C766,4,3)),Guide!$D$7:$D$18,0),0)),0)</f>
        <v>2</v>
      </c>
      <c r="F766" s="1">
        <f t="shared" si="89"/>
        <v>13</v>
      </c>
      <c r="G766" s="9">
        <f t="shared" si="90"/>
        <v>46066</v>
      </c>
      <c r="H766" s="1" t="str">
        <f>IF(Raw!D766="","",Raw!D766)</f>
        <v>P-A</v>
      </c>
      <c r="I766" s="1" t="str">
        <f>IFERROR(IF(EXACT(H766,INDEX(Guide!$A$7:$A$9,MATCH(SUBSTITUTE(SUBSTITUTE(SUBSTITUTE(H766,"~","~~"),"*","~*"),"?","~?"),Guide!$A$7:$A$9,0))),INDEX(Guide!$B$7:$B$9,MATCH(SUBSTITUTE(SUBSTITUTE(SUBSTITUTE(H766,"~","~~"),"*","~*"),"?","~?"),Guide!$A$7:$A$9,0)),""),"")</f>
        <v>Accessories</v>
      </c>
      <c r="J766" s="1" t="str">
        <f>IF(TRIM(Raw!E766)="",I766,IF(UPPER(TRIM(Raw!E766))=UPPER(I766),I766,""))</f>
        <v>Accessories</v>
      </c>
      <c r="K766" s="1" t="str">
        <f>IF(Raw!F766="","",Raw!F766)</f>
        <v>refund</v>
      </c>
      <c r="L766" s="1" t="str">
        <f>IF(LEFT(TRIM(Raw!G766),2)="-$","-"&amp;MID(TRIM(Raw!G766),3,99),IF(LEFT(TRIM(Raw!G766),1)="$",MID(TRIM(Raw!G766),2,99),TRIM(Raw!G766)))</f>
        <v>-183.28</v>
      </c>
      <c r="M766" s="1">
        <f t="shared" si="91"/>
        <v>-183.28</v>
      </c>
      <c r="N766" s="10">
        <f t="shared" si="92"/>
        <v>-18328</v>
      </c>
      <c r="O766" s="1" t="b">
        <f>IFERROR(IF(ISNUMBER(Raw!G766),TRUE,OR(EXACT(L766,TEXT(M766,"0.00")),EXACT(L766,TEXT(M766,"#,##0.00")))),FALSE)</f>
        <v>1</v>
      </c>
      <c r="P766" s="1" t="str">
        <f>LEN(IF(Raw!A766="","",Raw!A766))&amp;":"&amp;IF(Raw!A766="","",Raw!A766)&amp;"|"&amp;LEN(IF(Raw!B766="","",Raw!B766))&amp;":"&amp;IF(Raw!B766="","",Raw!B766)&amp;"|"&amp;LEN(IF(Raw!C766="","",Raw!C766))&amp;":"&amp;IF(Raw!C766="","",Raw!C766)&amp;"|"&amp;LEN(IF(Raw!D766="","",Raw!D766))&amp;":"&amp;IF(Raw!D766="","",Raw!D766)&amp;"|"&amp;LEN(IF(Raw!E766="","",Raw!E766))&amp;":"&amp;IF(Raw!E766="","",Raw!E766)&amp;"|"&amp;LEN(IF(Raw!F766="","",Raw!F766))&amp;":"&amp;IF(Raw!F766="","",Raw!F766)&amp;"|"&amp;LEN(IF(Raw!G766="","",Raw!G766))&amp;":"&amp;IF(Raw!G766="","",Raw!G766)</f>
        <v>6:L00760|6:T00380|10:2026-02-13|3:P-A|11:Accessories|6:refund|7:-183.28</v>
      </c>
      <c r="Q766" s="1">
        <f>1</f>
        <v>1</v>
      </c>
      <c r="R766" s="1" t="b">
        <f>FALSE</f>
        <v>0</v>
      </c>
      <c r="S766" s="1">
        <f>1</f>
        <v>1</v>
      </c>
      <c r="T766" s="1" t="str">
        <f>IF(AND(Raw!A766="",Raw!B766="",Raw!C766="",Raw!D766="",Raw!E766="",Raw!F766="",Raw!G766=""),"UNUSED",IF(A766="","missing line ID",IF(B766="","missing transaction ID",IF(G766="",IF(C766="","missing date","invalid date"),IF(I766="","unknown product",IF(J766="","conflicting category",IF(NOT(OR(EXACT(K766,"sale"),EXACT(K766,"refund"))),"unknown event",IF(OR(N766="",NOT(O766)),"invalid amount",IF(OR(AND(K766="sale",N766&lt;=0),AND(K766="refund",N766&gt;=0)),"invalid sign","")))))))))</f>
        <v/>
      </c>
      <c r="U766" s="1" t="str">
        <f t="shared" si="93"/>
        <v>INCLUDED</v>
      </c>
      <c r="V766" s="1" t="str">
        <f t="shared" si="94"/>
        <v>2026-02</v>
      </c>
      <c r="W766" s="1">
        <f>IF(AND(U766="INCLUDED",X766&gt;0,EXACT(A766,'AI output'!A766)),1,0)</f>
        <v>1</v>
      </c>
      <c r="X766" s="1">
        <f>766</f>
        <v>766</v>
      </c>
      <c r="Y766" s="1">
        <f>IF(AND(U766="INCLUDED",W766=1),--(NOT(EXACT(A766,'AI output'!A766)))+--(NOT(EXACT(B766,'AI output'!B766)))+--(NOT(EXACT(TEXT(G766,"yyyy-mm-dd"),'AI output'!C766)))+--(NOT(EXACT(H766,'AI output'!D766)))+--(NOT(EXACT(J766,'AI output'!E766)))+--(NOT(EXACT(K766,'AI output'!F766)))+--(N766&lt;&gt;'AI output'!L766)+--(NOT('AI output'!M766)),0)</f>
        <v>0</v>
      </c>
      <c r="Z766" s="1">
        <f t="shared" si="95"/>
        <v>0</v>
      </c>
      <c r="AA766" s="1">
        <f>--EXACT(A766,"L00760")</f>
        <v>1</v>
      </c>
    </row>
    <row r="767" spans="1:27" ht="18.95" customHeight="1">
      <c r="A767" s="1" t="str">
        <f>IF(Raw!A767="","",Raw!A767)</f>
        <v>L00761</v>
      </c>
      <c r="B767" s="1" t="str">
        <f>IF(Raw!B767="","",Raw!B767)</f>
        <v>T00381</v>
      </c>
      <c r="C767" s="1" t="str">
        <f>IF(Raw!C767="","",Raw!C767)</f>
        <v>2026-02-20</v>
      </c>
      <c r="D767" s="1">
        <f t="shared" si="88"/>
        <v>2026</v>
      </c>
      <c r="E767" s="1">
        <f>IFERROR(IF(AND(LEN(C767)=10,MID(C767,5,1)="-",MID(C767,8,1)="-"),VALUE(MID(C767,6,2)),IF(AND(LEN(C767)=11,MID(C767,3,1)="-",MID(C767,7,1)="-"),MATCH(UPPER(MID(C767,4,3)),Guide!$D$7:$D$18,0),0)),0)</f>
        <v>2</v>
      </c>
      <c r="F767" s="1">
        <f t="shared" si="89"/>
        <v>20</v>
      </c>
      <c r="G767" s="9">
        <f t="shared" si="90"/>
        <v>46073</v>
      </c>
      <c r="H767" s="1" t="str">
        <f>IF(Raw!D767="","",Raw!D767)</f>
        <v>P-H</v>
      </c>
      <c r="I767" s="1" t="str">
        <f>IFERROR(IF(EXACT(H767,INDEX(Guide!$A$7:$A$9,MATCH(SUBSTITUTE(SUBSTITUTE(SUBSTITUTE(H767,"~","~~"),"*","~*"),"?","~?"),Guide!$A$7:$A$9,0))),INDEX(Guide!$B$7:$B$9,MATCH(SUBSTITUTE(SUBSTITUTE(SUBSTITUTE(H767,"~","~~"),"*","~*"),"?","~?"),Guide!$A$7:$A$9,0)),""),"")</f>
        <v>Home</v>
      </c>
      <c r="J767" s="1" t="str">
        <f>IF(TRIM(Raw!E767)="",I767,IF(UPPER(TRIM(Raw!E767))=UPPER(I767),I767,""))</f>
        <v>Home</v>
      </c>
      <c r="K767" s="1" t="str">
        <f>IF(Raw!F767="","",Raw!F767)</f>
        <v>sale</v>
      </c>
      <c r="L767" s="1" t="str">
        <f>IF(LEFT(TRIM(Raw!G767),2)="-$","-"&amp;MID(TRIM(Raw!G767),3,99),IF(LEFT(TRIM(Raw!G767),1)="$",MID(TRIM(Raw!G767),2,99),TRIM(Raw!G767)))</f>
        <v>46.19</v>
      </c>
      <c r="M767" s="1">
        <f t="shared" si="91"/>
        <v>46.19</v>
      </c>
      <c r="N767" s="10">
        <f t="shared" si="92"/>
        <v>4619</v>
      </c>
      <c r="O767" s="1" t="b">
        <f>IFERROR(IF(ISNUMBER(Raw!G767),TRUE,OR(EXACT(L767,TEXT(M767,"0.00")),EXACT(L767,TEXT(M767,"#,##0.00")))),FALSE)</f>
        <v>1</v>
      </c>
      <c r="P767" s="1" t="str">
        <f>LEN(IF(Raw!A767="","",Raw!A767))&amp;":"&amp;IF(Raw!A767="","",Raw!A767)&amp;"|"&amp;LEN(IF(Raw!B767="","",Raw!B767))&amp;":"&amp;IF(Raw!B767="","",Raw!B767)&amp;"|"&amp;LEN(IF(Raw!C767="","",Raw!C767))&amp;":"&amp;IF(Raw!C767="","",Raw!C767)&amp;"|"&amp;LEN(IF(Raw!D767="","",Raw!D767))&amp;":"&amp;IF(Raw!D767="","",Raw!D767)&amp;"|"&amp;LEN(IF(Raw!E767="","",Raw!E767))&amp;":"&amp;IF(Raw!E767="","",Raw!E767)&amp;"|"&amp;LEN(IF(Raw!F767="","",Raw!F767))&amp;":"&amp;IF(Raw!F767="","",Raw!F767)&amp;"|"&amp;LEN(IF(Raw!G767="","",Raw!G767))&amp;":"&amp;IF(Raw!G767="","",Raw!G767)</f>
        <v>6:L00761|6:T00381|10:2026-02-20|3:P-H|4:Home|4:sale|5:46.19</v>
      </c>
      <c r="Q767" s="1">
        <f>1</f>
        <v>1</v>
      </c>
      <c r="R767" s="1" t="b">
        <f>FALSE</f>
        <v>0</v>
      </c>
      <c r="S767" s="1">
        <f>1</f>
        <v>1</v>
      </c>
      <c r="T767" s="1" t="str">
        <f>IF(AND(Raw!A767="",Raw!B767="",Raw!C767="",Raw!D767="",Raw!E767="",Raw!F767="",Raw!G767=""),"UNUSED",IF(A767="","missing line ID",IF(B767="","missing transaction ID",IF(G767="",IF(C767="","missing date","invalid date"),IF(I767="","unknown product",IF(J767="","conflicting category",IF(NOT(OR(EXACT(K767,"sale"),EXACT(K767,"refund"))),"unknown event",IF(OR(N767="",NOT(O767)),"invalid amount",IF(OR(AND(K767="sale",N767&lt;=0),AND(K767="refund",N767&gt;=0)),"invalid sign","")))))))))</f>
        <v/>
      </c>
      <c r="U767" s="1" t="str">
        <f t="shared" si="93"/>
        <v>INCLUDED</v>
      </c>
      <c r="V767" s="1" t="str">
        <f t="shared" si="94"/>
        <v>2026-02</v>
      </c>
      <c r="W767" s="1">
        <f>IF(AND(U767="INCLUDED",X767&gt;0,EXACT(A767,'AI output'!A767)),1,0)</f>
        <v>1</v>
      </c>
      <c r="X767" s="1">
        <f>767</f>
        <v>767</v>
      </c>
      <c r="Y767" s="1">
        <f>IF(AND(U767="INCLUDED",W767=1),--(NOT(EXACT(A767,'AI output'!A767)))+--(NOT(EXACT(B767,'AI output'!B767)))+--(NOT(EXACT(TEXT(G767,"yyyy-mm-dd"),'AI output'!C767)))+--(NOT(EXACT(H767,'AI output'!D767)))+--(NOT(EXACT(J767,'AI output'!E767)))+--(NOT(EXACT(K767,'AI output'!F767)))+--(N767&lt;&gt;'AI output'!L767)+--(NOT('AI output'!M767)),0)</f>
        <v>0</v>
      </c>
      <c r="Z767" s="1">
        <f t="shared" si="95"/>
        <v>0</v>
      </c>
      <c r="AA767" s="1">
        <f>--EXACT(A767,"L00761")</f>
        <v>1</v>
      </c>
    </row>
    <row r="768" spans="1:27" ht="18.95" customHeight="1">
      <c r="A768" s="1" t="str">
        <f>IF(Raw!A768="","",Raw!A768)</f>
        <v>L00762</v>
      </c>
      <c r="B768" s="1" t="str">
        <f>IF(Raw!B768="","",Raw!B768)</f>
        <v>T00381</v>
      </c>
      <c r="C768" s="1" t="str">
        <f>IF(Raw!C768="","",Raw!C768)</f>
        <v>2026-02-20</v>
      </c>
      <c r="D768" s="1">
        <f t="shared" si="88"/>
        <v>2026</v>
      </c>
      <c r="E768" s="1">
        <f>IFERROR(IF(AND(LEN(C768)=10,MID(C768,5,1)="-",MID(C768,8,1)="-"),VALUE(MID(C768,6,2)),IF(AND(LEN(C768)=11,MID(C768,3,1)="-",MID(C768,7,1)="-"),MATCH(UPPER(MID(C768,4,3)),Guide!$D$7:$D$18,0),0)),0)</f>
        <v>2</v>
      </c>
      <c r="F768" s="1">
        <f t="shared" si="89"/>
        <v>20</v>
      </c>
      <c r="G768" s="9">
        <f t="shared" si="90"/>
        <v>46073</v>
      </c>
      <c r="H768" s="1" t="str">
        <f>IF(Raw!D768="","",Raw!D768)</f>
        <v>P-O</v>
      </c>
      <c r="I768" s="1" t="str">
        <f>IFERROR(IF(EXACT(H768,INDEX(Guide!$A$7:$A$9,MATCH(SUBSTITUTE(SUBSTITUTE(SUBSTITUTE(H768,"~","~~"),"*","~*"),"?","~?"),Guide!$A$7:$A$9,0))),INDEX(Guide!$B$7:$B$9,MATCH(SUBSTITUTE(SUBSTITUTE(SUBSTITUTE(H768,"~","~~"),"*","~*"),"?","~?"),Guide!$A$7:$A$9,0)),""),"")</f>
        <v>Office</v>
      </c>
      <c r="J768" s="1" t="str">
        <f>IF(TRIM(Raw!E768)="",I768,IF(UPPER(TRIM(Raw!E768))=UPPER(I768),I768,""))</f>
        <v>Office</v>
      </c>
      <c r="K768" s="1" t="str">
        <f>IF(Raw!F768="","",Raw!F768)</f>
        <v>sale</v>
      </c>
      <c r="L768" s="1" t="str">
        <f>IF(LEFT(TRIM(Raw!G768),2)="-$","-"&amp;MID(TRIM(Raw!G768),3,99),IF(LEFT(TRIM(Raw!G768),1)="$",MID(TRIM(Raw!G768),2,99),TRIM(Raw!G768)))</f>
        <v>139.68</v>
      </c>
      <c r="M768" s="1">
        <f t="shared" si="91"/>
        <v>139.68</v>
      </c>
      <c r="N768" s="10">
        <f t="shared" si="92"/>
        <v>13968</v>
      </c>
      <c r="O768" s="1" t="b">
        <f>IFERROR(IF(ISNUMBER(Raw!G768),TRUE,OR(EXACT(L768,TEXT(M768,"0.00")),EXACT(L768,TEXT(M768,"#,##0.00")))),FALSE)</f>
        <v>1</v>
      </c>
      <c r="P768" s="1" t="str">
        <f>LEN(IF(Raw!A768="","",Raw!A768))&amp;":"&amp;IF(Raw!A768="","",Raw!A768)&amp;"|"&amp;LEN(IF(Raw!B768="","",Raw!B768))&amp;":"&amp;IF(Raw!B768="","",Raw!B768)&amp;"|"&amp;LEN(IF(Raw!C768="","",Raw!C768))&amp;":"&amp;IF(Raw!C768="","",Raw!C768)&amp;"|"&amp;LEN(IF(Raw!D768="","",Raw!D768))&amp;":"&amp;IF(Raw!D768="","",Raw!D768)&amp;"|"&amp;LEN(IF(Raw!E768="","",Raw!E768))&amp;":"&amp;IF(Raw!E768="","",Raw!E768)&amp;"|"&amp;LEN(IF(Raw!F768="","",Raw!F768))&amp;":"&amp;IF(Raw!F768="","",Raw!F768)&amp;"|"&amp;LEN(IF(Raw!G768="","",Raw!G768))&amp;":"&amp;IF(Raw!G768="","",Raw!G768)</f>
        <v>6:L00762|6:T00381|10:2026-02-20|3:P-O|6:Office|4:sale|6:139.68</v>
      </c>
      <c r="Q768" s="1">
        <f>1</f>
        <v>1</v>
      </c>
      <c r="R768" s="1" t="b">
        <f>FALSE</f>
        <v>0</v>
      </c>
      <c r="S768" s="1">
        <f>1</f>
        <v>1</v>
      </c>
      <c r="T768" s="1" t="str">
        <f>IF(AND(Raw!A768="",Raw!B768="",Raw!C768="",Raw!D768="",Raw!E768="",Raw!F768="",Raw!G768=""),"UNUSED",IF(A768="","missing line ID",IF(B768="","missing transaction ID",IF(G768="",IF(C768="","missing date","invalid date"),IF(I768="","unknown product",IF(J768="","conflicting category",IF(NOT(OR(EXACT(K768,"sale"),EXACT(K768,"refund"))),"unknown event",IF(OR(N768="",NOT(O768)),"invalid amount",IF(OR(AND(K768="sale",N768&lt;=0),AND(K768="refund",N768&gt;=0)),"invalid sign","")))))))))</f>
        <v/>
      </c>
      <c r="U768" s="1" t="str">
        <f t="shared" si="93"/>
        <v>INCLUDED</v>
      </c>
      <c r="V768" s="1" t="str">
        <f t="shared" si="94"/>
        <v>2026-02</v>
      </c>
      <c r="W768" s="1">
        <f>IF(AND(U768="INCLUDED",X768&gt;0,EXACT(A768,'AI output'!A768)),1,0)</f>
        <v>1</v>
      </c>
      <c r="X768" s="1">
        <f>768</f>
        <v>768</v>
      </c>
      <c r="Y768" s="1">
        <f>IF(AND(U768="INCLUDED",W768=1),--(NOT(EXACT(A768,'AI output'!A768)))+--(NOT(EXACT(B768,'AI output'!B768)))+--(NOT(EXACT(TEXT(G768,"yyyy-mm-dd"),'AI output'!C768)))+--(NOT(EXACT(H768,'AI output'!D768)))+--(NOT(EXACT(J768,'AI output'!E768)))+--(NOT(EXACT(K768,'AI output'!F768)))+--(N768&lt;&gt;'AI output'!L768)+--(NOT('AI output'!M768)),0)</f>
        <v>0</v>
      </c>
      <c r="Z768" s="1">
        <f t="shared" si="95"/>
        <v>0</v>
      </c>
      <c r="AA768" s="1">
        <f>--EXACT(A768,"L00762")</f>
        <v>1</v>
      </c>
    </row>
    <row r="769" spans="1:27" ht="18.95" customHeight="1">
      <c r="A769" s="1" t="str">
        <f>IF(Raw!A769="","",Raw!A769)</f>
        <v>L00763</v>
      </c>
      <c r="B769" s="1" t="str">
        <f>IF(Raw!B769="","",Raw!B769)</f>
        <v>T00382</v>
      </c>
      <c r="C769" s="1" t="str">
        <f>IF(Raw!C769="","",Raw!C769)</f>
        <v>2026-02-27</v>
      </c>
      <c r="D769" s="1">
        <f t="shared" si="88"/>
        <v>2026</v>
      </c>
      <c r="E769" s="1">
        <f>IFERROR(IF(AND(LEN(C769)=10,MID(C769,5,1)="-",MID(C769,8,1)="-"),VALUE(MID(C769,6,2)),IF(AND(LEN(C769)=11,MID(C769,3,1)="-",MID(C769,7,1)="-"),MATCH(UPPER(MID(C769,4,3)),Guide!$D$7:$D$18,0),0)),0)</f>
        <v>2</v>
      </c>
      <c r="F769" s="1">
        <f t="shared" si="89"/>
        <v>27</v>
      </c>
      <c r="G769" s="9">
        <f t="shared" si="90"/>
        <v>46080</v>
      </c>
      <c r="H769" s="1" t="str">
        <f>IF(Raw!D769="","",Raw!D769)</f>
        <v>P-A</v>
      </c>
      <c r="I769" s="1" t="str">
        <f>IFERROR(IF(EXACT(H769,INDEX(Guide!$A$7:$A$9,MATCH(SUBSTITUTE(SUBSTITUTE(SUBSTITUTE(H769,"~","~~"),"*","~*"),"?","~?"),Guide!$A$7:$A$9,0))),INDEX(Guide!$B$7:$B$9,MATCH(SUBSTITUTE(SUBSTITUTE(SUBSTITUTE(H769,"~","~~"),"*","~*"),"?","~?"),Guide!$A$7:$A$9,0)),""),"")</f>
        <v>Accessories</v>
      </c>
      <c r="J769" s="1" t="str">
        <f>IF(TRIM(Raw!E769)="",I769,IF(UPPER(TRIM(Raw!E769))=UPPER(I769),I769,""))</f>
        <v>Accessories</v>
      </c>
      <c r="K769" s="1" t="str">
        <f>IF(Raw!F769="","",Raw!F769)</f>
        <v>sale</v>
      </c>
      <c r="L769" s="1" t="str">
        <f>IF(LEFT(TRIM(Raw!G769),2)="-$","-"&amp;MID(TRIM(Raw!G769),3,99),IF(LEFT(TRIM(Raw!G769),1)="$",MID(TRIM(Raw!G769),2,99),TRIM(Raw!G769)))</f>
        <v>234.65</v>
      </c>
      <c r="M769" s="1">
        <f t="shared" si="91"/>
        <v>234.65</v>
      </c>
      <c r="N769" s="10">
        <f t="shared" si="92"/>
        <v>23465</v>
      </c>
      <c r="O769" s="1" t="b">
        <f>IFERROR(IF(ISNUMBER(Raw!G769),TRUE,OR(EXACT(L769,TEXT(M769,"0.00")),EXACT(L769,TEXT(M769,"#,##0.00")))),FALSE)</f>
        <v>1</v>
      </c>
      <c r="P769" s="1" t="str">
        <f>LEN(IF(Raw!A769="","",Raw!A769))&amp;":"&amp;IF(Raw!A769="","",Raw!A769)&amp;"|"&amp;LEN(IF(Raw!B769="","",Raw!B769))&amp;":"&amp;IF(Raw!B769="","",Raw!B769)&amp;"|"&amp;LEN(IF(Raw!C769="","",Raw!C769))&amp;":"&amp;IF(Raw!C769="","",Raw!C769)&amp;"|"&amp;LEN(IF(Raw!D769="","",Raw!D769))&amp;":"&amp;IF(Raw!D769="","",Raw!D769)&amp;"|"&amp;LEN(IF(Raw!E769="","",Raw!E769))&amp;":"&amp;IF(Raw!E769="","",Raw!E769)&amp;"|"&amp;LEN(IF(Raw!F769="","",Raw!F769))&amp;":"&amp;IF(Raw!F769="","",Raw!F769)&amp;"|"&amp;LEN(IF(Raw!G769="","",Raw!G769))&amp;":"&amp;IF(Raw!G769="","",Raw!G769)</f>
        <v>6:L00763|6:T00382|10:2026-02-27|3:P-A|11:Accessories|4:sale|6:234.65</v>
      </c>
      <c r="Q769" s="1">
        <f>1</f>
        <v>1</v>
      </c>
      <c r="R769" s="1" t="b">
        <f>FALSE</f>
        <v>0</v>
      </c>
      <c r="S769" s="1">
        <f>1</f>
        <v>1</v>
      </c>
      <c r="T769" s="1" t="str">
        <f>IF(AND(Raw!A769="",Raw!B769="",Raw!C769="",Raw!D769="",Raw!E769="",Raw!F769="",Raw!G769=""),"UNUSED",IF(A769="","missing line ID",IF(B769="","missing transaction ID",IF(G769="",IF(C769="","missing date","invalid date"),IF(I769="","unknown product",IF(J769="","conflicting category",IF(NOT(OR(EXACT(K769,"sale"),EXACT(K769,"refund"))),"unknown event",IF(OR(N769="",NOT(O769)),"invalid amount",IF(OR(AND(K769="sale",N769&lt;=0),AND(K769="refund",N769&gt;=0)),"invalid sign","")))))))))</f>
        <v/>
      </c>
      <c r="U769" s="1" t="str">
        <f t="shared" si="93"/>
        <v>INCLUDED</v>
      </c>
      <c r="V769" s="1" t="str">
        <f t="shared" si="94"/>
        <v>2026-02</v>
      </c>
      <c r="W769" s="1">
        <f>IF(AND(U769="INCLUDED",X769&gt;0,EXACT(A769,'AI output'!A769)),1,0)</f>
        <v>1</v>
      </c>
      <c r="X769" s="1">
        <f>769</f>
        <v>769</v>
      </c>
      <c r="Y769" s="1">
        <f>IF(AND(U769="INCLUDED",W769=1),--(NOT(EXACT(A769,'AI output'!A769)))+--(NOT(EXACT(B769,'AI output'!B769)))+--(NOT(EXACT(TEXT(G769,"yyyy-mm-dd"),'AI output'!C769)))+--(NOT(EXACT(H769,'AI output'!D769)))+--(NOT(EXACT(J769,'AI output'!E769)))+--(NOT(EXACT(K769,'AI output'!F769)))+--(N769&lt;&gt;'AI output'!L769)+--(NOT('AI output'!M769)),0)</f>
        <v>0</v>
      </c>
      <c r="Z769" s="1">
        <f t="shared" si="95"/>
        <v>0</v>
      </c>
      <c r="AA769" s="1">
        <f>--EXACT(A769,"L00763")</f>
        <v>1</v>
      </c>
    </row>
    <row r="770" spans="1:27" ht="18.95" customHeight="1">
      <c r="A770" s="1" t="str">
        <f>IF(Raw!A770="","",Raw!A770)</f>
        <v>L00764</v>
      </c>
      <c r="B770" s="1" t="str">
        <f>IF(Raw!B770="","",Raw!B770)</f>
        <v>T00382</v>
      </c>
      <c r="C770" s="1" t="str">
        <f>IF(Raw!C770="","",Raw!C770)</f>
        <v>2026-02-27</v>
      </c>
      <c r="D770" s="1">
        <f t="shared" si="88"/>
        <v>2026</v>
      </c>
      <c r="E770" s="1">
        <f>IFERROR(IF(AND(LEN(C770)=10,MID(C770,5,1)="-",MID(C770,8,1)="-"),VALUE(MID(C770,6,2)),IF(AND(LEN(C770)=11,MID(C770,3,1)="-",MID(C770,7,1)="-"),MATCH(UPPER(MID(C770,4,3)),Guide!$D$7:$D$18,0),0)),0)</f>
        <v>2</v>
      </c>
      <c r="F770" s="1">
        <f t="shared" si="89"/>
        <v>27</v>
      </c>
      <c r="G770" s="9">
        <f t="shared" si="90"/>
        <v>46080</v>
      </c>
      <c r="H770" s="1" t="str">
        <f>IF(Raw!D770="","",Raw!D770)</f>
        <v>P-H</v>
      </c>
      <c r="I770" s="1" t="str">
        <f>IFERROR(IF(EXACT(H770,INDEX(Guide!$A$7:$A$9,MATCH(SUBSTITUTE(SUBSTITUTE(SUBSTITUTE(H770,"~","~~"),"*","~*"),"?","~?"),Guide!$A$7:$A$9,0))),INDEX(Guide!$B$7:$B$9,MATCH(SUBSTITUTE(SUBSTITUTE(SUBSTITUTE(H770,"~","~~"),"*","~*"),"?","~?"),Guide!$A$7:$A$9,0)),""),"")</f>
        <v>Home</v>
      </c>
      <c r="J770" s="1" t="str">
        <f>IF(TRIM(Raw!E770)="",I770,IF(UPPER(TRIM(Raw!E770))=UPPER(I770),I770,""))</f>
        <v>Home</v>
      </c>
      <c r="K770" s="1" t="str">
        <f>IF(Raw!F770="","",Raw!F770)</f>
        <v>sale</v>
      </c>
      <c r="L770" s="1" t="str">
        <f>IF(LEFT(TRIM(Raw!G770),2)="-$","-"&amp;MID(TRIM(Raw!G770),3,99),IF(LEFT(TRIM(Raw!G770),1)="$",MID(TRIM(Raw!G770),2,99),TRIM(Raw!G770)))</f>
        <v>94.60</v>
      </c>
      <c r="M770" s="1">
        <f t="shared" si="91"/>
        <v>94.6</v>
      </c>
      <c r="N770" s="10">
        <f t="shared" si="92"/>
        <v>9460</v>
      </c>
      <c r="O770" s="1" t="b">
        <f>IFERROR(IF(ISNUMBER(Raw!G770),TRUE,OR(EXACT(L770,TEXT(M770,"0.00")),EXACT(L770,TEXT(M770,"#,##0.00")))),FALSE)</f>
        <v>1</v>
      </c>
      <c r="P770" s="1" t="str">
        <f>LEN(IF(Raw!A770="","",Raw!A770))&amp;":"&amp;IF(Raw!A770="","",Raw!A770)&amp;"|"&amp;LEN(IF(Raw!B770="","",Raw!B770))&amp;":"&amp;IF(Raw!B770="","",Raw!B770)&amp;"|"&amp;LEN(IF(Raw!C770="","",Raw!C770))&amp;":"&amp;IF(Raw!C770="","",Raw!C770)&amp;"|"&amp;LEN(IF(Raw!D770="","",Raw!D770))&amp;":"&amp;IF(Raw!D770="","",Raw!D770)&amp;"|"&amp;LEN(IF(Raw!E770="","",Raw!E770))&amp;":"&amp;IF(Raw!E770="","",Raw!E770)&amp;"|"&amp;LEN(IF(Raw!F770="","",Raw!F770))&amp;":"&amp;IF(Raw!F770="","",Raw!F770)&amp;"|"&amp;LEN(IF(Raw!G770="","",Raw!G770))&amp;":"&amp;IF(Raw!G770="","",Raw!G770)</f>
        <v>6:L00764|6:T00382|10:2026-02-27|3:P-H|4:Home|4:sale|5:94.60</v>
      </c>
      <c r="Q770" s="1">
        <f>1</f>
        <v>1</v>
      </c>
      <c r="R770" s="1" t="b">
        <f>FALSE</f>
        <v>0</v>
      </c>
      <c r="S770" s="1">
        <f>1</f>
        <v>1</v>
      </c>
      <c r="T770" s="1" t="str">
        <f>IF(AND(Raw!A770="",Raw!B770="",Raw!C770="",Raw!D770="",Raw!E770="",Raw!F770="",Raw!G770=""),"UNUSED",IF(A770="","missing line ID",IF(B770="","missing transaction ID",IF(G770="",IF(C770="","missing date","invalid date"),IF(I770="","unknown product",IF(J770="","conflicting category",IF(NOT(OR(EXACT(K770,"sale"),EXACT(K770,"refund"))),"unknown event",IF(OR(N770="",NOT(O770)),"invalid amount",IF(OR(AND(K770="sale",N770&lt;=0),AND(K770="refund",N770&gt;=0)),"invalid sign","")))))))))</f>
        <v/>
      </c>
      <c r="U770" s="1" t="str">
        <f t="shared" si="93"/>
        <v>INCLUDED</v>
      </c>
      <c r="V770" s="1" t="str">
        <f t="shared" si="94"/>
        <v>2026-02</v>
      </c>
      <c r="W770" s="1">
        <f>IF(AND(U770="INCLUDED",X770&gt;0,EXACT(A770,'AI output'!A770)),1,0)</f>
        <v>1</v>
      </c>
      <c r="X770" s="1">
        <f>770</f>
        <v>770</v>
      </c>
      <c r="Y770" s="1">
        <f>IF(AND(U770="INCLUDED",W770=1),--(NOT(EXACT(A770,'AI output'!A770)))+--(NOT(EXACT(B770,'AI output'!B770)))+--(NOT(EXACT(TEXT(G770,"yyyy-mm-dd"),'AI output'!C770)))+--(NOT(EXACT(H770,'AI output'!D770)))+--(NOT(EXACT(J770,'AI output'!E770)))+--(NOT(EXACT(K770,'AI output'!F770)))+--(N770&lt;&gt;'AI output'!L770)+--(NOT('AI output'!M770)),0)</f>
        <v>0</v>
      </c>
      <c r="Z770" s="1">
        <f t="shared" si="95"/>
        <v>0</v>
      </c>
      <c r="AA770" s="1">
        <f>--EXACT(A770,"L00764")</f>
        <v>1</v>
      </c>
    </row>
    <row r="771" spans="1:27" ht="18.95" customHeight="1">
      <c r="A771" s="1" t="str">
        <f>IF(Raw!A771="","",Raw!A771)</f>
        <v>L00765</v>
      </c>
      <c r="B771" s="1" t="str">
        <f>IF(Raw!B771="","",Raw!B771)</f>
        <v>T00383</v>
      </c>
      <c r="C771" s="1" t="str">
        <f>IF(Raw!C771="","",Raw!C771)</f>
        <v>2026-03-06</v>
      </c>
      <c r="D771" s="1">
        <f t="shared" si="88"/>
        <v>2026</v>
      </c>
      <c r="E771" s="1">
        <f>IFERROR(IF(AND(LEN(C771)=10,MID(C771,5,1)="-",MID(C771,8,1)="-"),VALUE(MID(C771,6,2)),IF(AND(LEN(C771)=11,MID(C771,3,1)="-",MID(C771,7,1)="-"),MATCH(UPPER(MID(C771,4,3)),Guide!$D$7:$D$18,0),0)),0)</f>
        <v>3</v>
      </c>
      <c r="F771" s="1">
        <f t="shared" si="89"/>
        <v>6</v>
      </c>
      <c r="G771" s="9">
        <f t="shared" si="90"/>
        <v>46087</v>
      </c>
      <c r="H771" s="1" t="str">
        <f>IF(Raw!D771="","",Raw!D771)</f>
        <v>P-O</v>
      </c>
      <c r="I771" s="1" t="str">
        <f>IFERROR(IF(EXACT(H771,INDEX(Guide!$A$7:$A$9,MATCH(SUBSTITUTE(SUBSTITUTE(SUBSTITUTE(H771,"~","~~"),"*","~*"),"?","~?"),Guide!$A$7:$A$9,0))),INDEX(Guide!$B$7:$B$9,MATCH(SUBSTITUTE(SUBSTITUTE(SUBSTITUTE(H771,"~","~~"),"*","~*"),"?","~?"),Guide!$A$7:$A$9,0)),""),"")</f>
        <v>Office</v>
      </c>
      <c r="J771" s="1" t="str">
        <f>IF(TRIM(Raw!E771)="",I771,IF(UPPER(TRIM(Raw!E771))=UPPER(I771),I771,""))</f>
        <v>Office</v>
      </c>
      <c r="K771" s="1" t="str">
        <f>IF(Raw!F771="","",Raw!F771)</f>
        <v>sale</v>
      </c>
      <c r="L771" s="1" t="str">
        <f>IF(LEFT(TRIM(Raw!G771),2)="-$","-"&amp;MID(TRIM(Raw!G771),3,99),IF(LEFT(TRIM(Raw!G771),1)="$",MID(TRIM(Raw!G771),2,99),TRIM(Raw!G771)))</f>
        <v>190.68</v>
      </c>
      <c r="M771" s="1">
        <f t="shared" si="91"/>
        <v>190.68</v>
      </c>
      <c r="N771" s="10">
        <f t="shared" si="92"/>
        <v>19068</v>
      </c>
      <c r="O771" s="1" t="b">
        <f>IFERROR(IF(ISNUMBER(Raw!G771),TRUE,OR(EXACT(L771,TEXT(M771,"0.00")),EXACT(L771,TEXT(M771,"#,##0.00")))),FALSE)</f>
        <v>1</v>
      </c>
      <c r="P771" s="1" t="str">
        <f>LEN(IF(Raw!A771="","",Raw!A771))&amp;":"&amp;IF(Raw!A771="","",Raw!A771)&amp;"|"&amp;LEN(IF(Raw!B771="","",Raw!B771))&amp;":"&amp;IF(Raw!B771="","",Raw!B771)&amp;"|"&amp;LEN(IF(Raw!C771="","",Raw!C771))&amp;":"&amp;IF(Raw!C771="","",Raw!C771)&amp;"|"&amp;LEN(IF(Raw!D771="","",Raw!D771))&amp;":"&amp;IF(Raw!D771="","",Raw!D771)&amp;"|"&amp;LEN(IF(Raw!E771="","",Raw!E771))&amp;":"&amp;IF(Raw!E771="","",Raw!E771)&amp;"|"&amp;LEN(IF(Raw!F771="","",Raw!F771))&amp;":"&amp;IF(Raw!F771="","",Raw!F771)&amp;"|"&amp;LEN(IF(Raw!G771="","",Raw!G771))&amp;":"&amp;IF(Raw!G771="","",Raw!G771)</f>
        <v>6:L00765|6:T00383|10:2026-03-06|3:P-O|6:Office|4:sale|6:190.68</v>
      </c>
      <c r="Q771" s="1">
        <f>1</f>
        <v>1</v>
      </c>
      <c r="R771" s="1" t="b">
        <f>FALSE</f>
        <v>0</v>
      </c>
      <c r="S771" s="1">
        <f>1</f>
        <v>1</v>
      </c>
      <c r="T771" s="1" t="str">
        <f>IF(AND(Raw!A771="",Raw!B771="",Raw!C771="",Raw!D771="",Raw!E771="",Raw!F771="",Raw!G771=""),"UNUSED",IF(A771="","missing line ID",IF(B771="","missing transaction ID",IF(G771="",IF(C771="","missing date","invalid date"),IF(I771="","unknown product",IF(J771="","conflicting category",IF(NOT(OR(EXACT(K771,"sale"),EXACT(K771,"refund"))),"unknown event",IF(OR(N771="",NOT(O771)),"invalid amount",IF(OR(AND(K771="sale",N771&lt;=0),AND(K771="refund",N771&gt;=0)),"invalid sign","")))))))))</f>
        <v/>
      </c>
      <c r="U771" s="1" t="str">
        <f t="shared" si="93"/>
        <v>INCLUDED</v>
      </c>
      <c r="V771" s="1" t="str">
        <f t="shared" si="94"/>
        <v>2026-03</v>
      </c>
      <c r="W771" s="1">
        <f>IF(AND(U771="INCLUDED",X771&gt;0,EXACT(A771,'AI output'!A771)),1,0)</f>
        <v>1</v>
      </c>
      <c r="X771" s="1">
        <f>771</f>
        <v>771</v>
      </c>
      <c r="Y771" s="1">
        <f>IF(AND(U771="INCLUDED",W771=1),--(NOT(EXACT(A771,'AI output'!A771)))+--(NOT(EXACT(B771,'AI output'!B771)))+--(NOT(EXACT(TEXT(G771,"yyyy-mm-dd"),'AI output'!C771)))+--(NOT(EXACT(H771,'AI output'!D771)))+--(NOT(EXACT(J771,'AI output'!E771)))+--(NOT(EXACT(K771,'AI output'!F771)))+--(N771&lt;&gt;'AI output'!L771)+--(NOT('AI output'!M771)),0)</f>
        <v>0</v>
      </c>
      <c r="Z771" s="1">
        <f t="shared" si="95"/>
        <v>0</v>
      </c>
      <c r="AA771" s="1">
        <f>--EXACT(A771,"L00765")</f>
        <v>1</v>
      </c>
    </row>
    <row r="772" spans="1:27" ht="18.95" customHeight="1">
      <c r="A772" s="1" t="str">
        <f>IF(Raw!A772="","",Raw!A772)</f>
        <v>L00766</v>
      </c>
      <c r="B772" s="1" t="str">
        <f>IF(Raw!B772="","",Raw!B772)</f>
        <v>T00383</v>
      </c>
      <c r="C772" s="1" t="str">
        <f>IF(Raw!C772="","",Raw!C772)</f>
        <v>2026-03-06</v>
      </c>
      <c r="D772" s="1">
        <f t="shared" si="88"/>
        <v>2026</v>
      </c>
      <c r="E772" s="1">
        <f>IFERROR(IF(AND(LEN(C772)=10,MID(C772,5,1)="-",MID(C772,8,1)="-"),VALUE(MID(C772,6,2)),IF(AND(LEN(C772)=11,MID(C772,3,1)="-",MID(C772,7,1)="-"),MATCH(UPPER(MID(C772,4,3)),Guide!$D$7:$D$18,0),0)),0)</f>
        <v>3</v>
      </c>
      <c r="F772" s="1">
        <f t="shared" si="89"/>
        <v>6</v>
      </c>
      <c r="G772" s="9">
        <f t="shared" si="90"/>
        <v>46087</v>
      </c>
      <c r="H772" s="1" t="str">
        <f>IF(Raw!D772="","",Raw!D772)</f>
        <v>P-A</v>
      </c>
      <c r="I772" s="1" t="str">
        <f>IFERROR(IF(EXACT(H772,INDEX(Guide!$A$7:$A$9,MATCH(SUBSTITUTE(SUBSTITUTE(SUBSTITUTE(H772,"~","~~"),"*","~*"),"?","~?"),Guide!$A$7:$A$9,0))),INDEX(Guide!$B$7:$B$9,MATCH(SUBSTITUTE(SUBSTITUTE(SUBSTITUTE(H772,"~","~~"),"*","~*"),"?","~?"),Guide!$A$7:$A$9,0)),""),"")</f>
        <v>Accessories</v>
      </c>
      <c r="J772" s="1" t="str">
        <f>IF(TRIM(Raw!E772)="",I772,IF(UPPER(TRIM(Raw!E772))=UPPER(I772),I772,""))</f>
        <v>Accessories</v>
      </c>
      <c r="K772" s="1" t="str">
        <f>IF(Raw!F772="","",Raw!F772)</f>
        <v>sale</v>
      </c>
      <c r="L772" s="1" t="str">
        <f>IF(LEFT(TRIM(Raw!G772),2)="-$","-"&amp;MID(TRIM(Raw!G772),3,99),IF(LEFT(TRIM(Raw!G772),1)="$",MID(TRIM(Raw!G772),2,99),TRIM(Raw!G772)))</f>
        <v>48.04</v>
      </c>
      <c r="M772" s="1">
        <f t="shared" si="91"/>
        <v>48.04</v>
      </c>
      <c r="N772" s="10">
        <f t="shared" si="92"/>
        <v>4804</v>
      </c>
      <c r="O772" s="1" t="b">
        <f>IFERROR(IF(ISNUMBER(Raw!G772),TRUE,OR(EXACT(L772,TEXT(M772,"0.00")),EXACT(L772,TEXT(M772,"#,##0.00")))),FALSE)</f>
        <v>1</v>
      </c>
      <c r="P772" s="1" t="str">
        <f>LEN(IF(Raw!A772="","",Raw!A772))&amp;":"&amp;IF(Raw!A772="","",Raw!A772)&amp;"|"&amp;LEN(IF(Raw!B772="","",Raw!B772))&amp;":"&amp;IF(Raw!B772="","",Raw!B772)&amp;"|"&amp;LEN(IF(Raw!C772="","",Raw!C772))&amp;":"&amp;IF(Raw!C772="","",Raw!C772)&amp;"|"&amp;LEN(IF(Raw!D772="","",Raw!D772))&amp;":"&amp;IF(Raw!D772="","",Raw!D772)&amp;"|"&amp;LEN(IF(Raw!E772="","",Raw!E772))&amp;":"&amp;IF(Raw!E772="","",Raw!E772)&amp;"|"&amp;LEN(IF(Raw!F772="","",Raw!F772))&amp;":"&amp;IF(Raw!F772="","",Raw!F772)&amp;"|"&amp;LEN(IF(Raw!G772="","",Raw!G772))&amp;":"&amp;IF(Raw!G772="","",Raw!G772)</f>
        <v>6:L00766|6:T00383|10:2026-03-06|3:P-A|11:Accessories|4:sale|5:48.04</v>
      </c>
      <c r="Q772" s="1">
        <f>1</f>
        <v>1</v>
      </c>
      <c r="R772" s="1" t="b">
        <f>FALSE</f>
        <v>0</v>
      </c>
      <c r="S772" s="1">
        <f>1</f>
        <v>1</v>
      </c>
      <c r="T772" s="1" t="str">
        <f>IF(AND(Raw!A772="",Raw!B772="",Raw!C772="",Raw!D772="",Raw!E772="",Raw!F772="",Raw!G772=""),"UNUSED",IF(A772="","missing line ID",IF(B772="","missing transaction ID",IF(G772="",IF(C772="","missing date","invalid date"),IF(I772="","unknown product",IF(J772="","conflicting category",IF(NOT(OR(EXACT(K772,"sale"),EXACT(K772,"refund"))),"unknown event",IF(OR(N772="",NOT(O772)),"invalid amount",IF(OR(AND(K772="sale",N772&lt;=0),AND(K772="refund",N772&gt;=0)),"invalid sign","")))))))))</f>
        <v/>
      </c>
      <c r="U772" s="1" t="str">
        <f t="shared" si="93"/>
        <v>INCLUDED</v>
      </c>
      <c r="V772" s="1" t="str">
        <f t="shared" si="94"/>
        <v>2026-03</v>
      </c>
      <c r="W772" s="1">
        <f>IF(AND(U772="INCLUDED",X772&gt;0,EXACT(A772,'AI output'!A772)),1,0)</f>
        <v>1</v>
      </c>
      <c r="X772" s="1">
        <f>772</f>
        <v>772</v>
      </c>
      <c r="Y772" s="1">
        <f>IF(AND(U772="INCLUDED",W772=1),--(NOT(EXACT(A772,'AI output'!A772)))+--(NOT(EXACT(B772,'AI output'!B772)))+--(NOT(EXACT(TEXT(G772,"yyyy-mm-dd"),'AI output'!C772)))+--(NOT(EXACT(H772,'AI output'!D772)))+--(NOT(EXACT(J772,'AI output'!E772)))+--(NOT(EXACT(K772,'AI output'!F772)))+--(N772&lt;&gt;'AI output'!L772)+--(NOT('AI output'!M772)),0)</f>
        <v>0</v>
      </c>
      <c r="Z772" s="1">
        <f t="shared" si="95"/>
        <v>0</v>
      </c>
      <c r="AA772" s="1">
        <f>--EXACT(A772,"L00766")</f>
        <v>1</v>
      </c>
    </row>
    <row r="773" spans="1:27" ht="18.95" customHeight="1">
      <c r="A773" s="1" t="str">
        <f>IF(Raw!A773="","",Raw!A773)</f>
        <v>L00767</v>
      </c>
      <c r="B773" s="1" t="str">
        <f>IF(Raw!B773="","",Raw!B773)</f>
        <v>T00384</v>
      </c>
      <c r="C773" s="1" t="str">
        <f>IF(Raw!C773="","",Raw!C773)</f>
        <v>2026-03-13</v>
      </c>
      <c r="D773" s="1">
        <f t="shared" si="88"/>
        <v>2026</v>
      </c>
      <c r="E773" s="1">
        <f>IFERROR(IF(AND(LEN(C773)=10,MID(C773,5,1)="-",MID(C773,8,1)="-"),VALUE(MID(C773,6,2)),IF(AND(LEN(C773)=11,MID(C773,3,1)="-",MID(C773,7,1)="-"),MATCH(UPPER(MID(C773,4,3)),Guide!$D$7:$D$18,0),0)),0)</f>
        <v>3</v>
      </c>
      <c r="F773" s="1">
        <f t="shared" si="89"/>
        <v>13</v>
      </c>
      <c r="G773" s="9">
        <f t="shared" si="90"/>
        <v>46094</v>
      </c>
      <c r="H773" s="1" t="str">
        <f>IF(Raw!D773="","",Raw!D773)</f>
        <v>P-H</v>
      </c>
      <c r="I773" s="1" t="str">
        <f>IFERROR(IF(EXACT(H773,INDEX(Guide!$A$7:$A$9,MATCH(SUBSTITUTE(SUBSTITUTE(SUBSTITUTE(H773,"~","~~"),"*","~*"),"?","~?"),Guide!$A$7:$A$9,0))),INDEX(Guide!$B$7:$B$9,MATCH(SUBSTITUTE(SUBSTITUTE(SUBSTITUTE(H773,"~","~~"),"*","~*"),"?","~?"),Guide!$A$7:$A$9,0)),""),"")</f>
        <v>Home</v>
      </c>
      <c r="J773" s="1" t="str">
        <f>IF(TRIM(Raw!E773)="",I773,IF(UPPER(TRIM(Raw!E773))=UPPER(I773),I773,""))</f>
        <v>Home</v>
      </c>
      <c r="K773" s="1" t="str">
        <f>IF(Raw!F773="","",Raw!F773)</f>
        <v>sale</v>
      </c>
      <c r="L773" s="1" t="str">
        <f>IF(LEFT(TRIM(Raw!G773),2)="-$","-"&amp;MID(TRIM(Raw!G773),3,99),IF(LEFT(TRIM(Raw!G773),1)="$",MID(TRIM(Raw!G773),2,99),TRIM(Raw!G773)))</f>
        <v>145.23</v>
      </c>
      <c r="M773" s="1">
        <f t="shared" si="91"/>
        <v>145.22999999999999</v>
      </c>
      <c r="N773" s="10">
        <f t="shared" si="92"/>
        <v>14523</v>
      </c>
      <c r="O773" s="1" t="b">
        <f>IFERROR(IF(ISNUMBER(Raw!G773),TRUE,OR(EXACT(L773,TEXT(M773,"0.00")),EXACT(L773,TEXT(M773,"#,##0.00")))),FALSE)</f>
        <v>1</v>
      </c>
      <c r="P773" s="1" t="str">
        <f>LEN(IF(Raw!A773="","",Raw!A773))&amp;":"&amp;IF(Raw!A773="","",Raw!A773)&amp;"|"&amp;LEN(IF(Raw!B773="","",Raw!B773))&amp;":"&amp;IF(Raw!B773="","",Raw!B773)&amp;"|"&amp;LEN(IF(Raw!C773="","",Raw!C773))&amp;":"&amp;IF(Raw!C773="","",Raw!C773)&amp;"|"&amp;LEN(IF(Raw!D773="","",Raw!D773))&amp;":"&amp;IF(Raw!D773="","",Raw!D773)&amp;"|"&amp;LEN(IF(Raw!E773="","",Raw!E773))&amp;":"&amp;IF(Raw!E773="","",Raw!E773)&amp;"|"&amp;LEN(IF(Raw!F773="","",Raw!F773))&amp;":"&amp;IF(Raw!F773="","",Raw!F773)&amp;"|"&amp;LEN(IF(Raw!G773="","",Raw!G773))&amp;":"&amp;IF(Raw!G773="","",Raw!G773)</f>
        <v>6:L00767|6:T00384|10:2026-03-13|3:P-H|4:Home|4:sale|6:145.23</v>
      </c>
      <c r="Q773" s="1">
        <f>1</f>
        <v>1</v>
      </c>
      <c r="R773" s="1" t="b">
        <f>FALSE</f>
        <v>0</v>
      </c>
      <c r="S773" s="1">
        <f>1</f>
        <v>1</v>
      </c>
      <c r="T773" s="1" t="str">
        <f>IF(AND(Raw!A773="",Raw!B773="",Raw!C773="",Raw!D773="",Raw!E773="",Raw!F773="",Raw!G773=""),"UNUSED",IF(A773="","missing line ID",IF(B773="","missing transaction ID",IF(G773="",IF(C773="","missing date","invalid date"),IF(I773="","unknown product",IF(J773="","conflicting category",IF(NOT(OR(EXACT(K773,"sale"),EXACT(K773,"refund"))),"unknown event",IF(OR(N773="",NOT(O773)),"invalid amount",IF(OR(AND(K773="sale",N773&lt;=0),AND(K773="refund",N773&gt;=0)),"invalid sign","")))))))))</f>
        <v/>
      </c>
      <c r="U773" s="1" t="str">
        <f t="shared" si="93"/>
        <v>INCLUDED</v>
      </c>
      <c r="V773" s="1" t="str">
        <f t="shared" si="94"/>
        <v>2026-03</v>
      </c>
      <c r="W773" s="1">
        <f>IF(AND(U773="INCLUDED",X773&gt;0,EXACT(A773,'AI output'!A773)),1,0)</f>
        <v>1</v>
      </c>
      <c r="X773" s="1">
        <f>773</f>
        <v>773</v>
      </c>
      <c r="Y773" s="1">
        <f>IF(AND(U773="INCLUDED",W773=1),--(NOT(EXACT(A773,'AI output'!A773)))+--(NOT(EXACT(B773,'AI output'!B773)))+--(NOT(EXACT(TEXT(G773,"yyyy-mm-dd"),'AI output'!C773)))+--(NOT(EXACT(H773,'AI output'!D773)))+--(NOT(EXACT(J773,'AI output'!E773)))+--(NOT(EXACT(K773,'AI output'!F773)))+--(N773&lt;&gt;'AI output'!L773)+--(NOT('AI output'!M773)),0)</f>
        <v>0</v>
      </c>
      <c r="Z773" s="1">
        <f t="shared" si="95"/>
        <v>0</v>
      </c>
      <c r="AA773" s="1">
        <f>--EXACT(A773,"L00767")</f>
        <v>1</v>
      </c>
    </row>
    <row r="774" spans="1:27" ht="18.95" customHeight="1">
      <c r="A774" s="1" t="str">
        <f>IF(Raw!A774="","",Raw!A774)</f>
        <v>L00768</v>
      </c>
      <c r="B774" s="1" t="str">
        <f>IF(Raw!B774="","",Raw!B774)</f>
        <v>T00384</v>
      </c>
      <c r="C774" s="1" t="str">
        <f>IF(Raw!C774="","",Raw!C774)</f>
        <v>2026-03-13</v>
      </c>
      <c r="D774" s="1">
        <f t="shared" si="88"/>
        <v>2026</v>
      </c>
      <c r="E774" s="1">
        <f>IFERROR(IF(AND(LEN(C774)=10,MID(C774,5,1)="-",MID(C774,8,1)="-"),VALUE(MID(C774,6,2)),IF(AND(LEN(C774)=11,MID(C774,3,1)="-",MID(C774,7,1)="-"),MATCH(UPPER(MID(C774,4,3)),Guide!$D$7:$D$18,0),0)),0)</f>
        <v>3</v>
      </c>
      <c r="F774" s="1">
        <f t="shared" si="89"/>
        <v>13</v>
      </c>
      <c r="G774" s="9">
        <f t="shared" si="90"/>
        <v>46094</v>
      </c>
      <c r="H774" s="1" t="str">
        <f>IF(Raw!D774="","",Raw!D774)</f>
        <v>P-O</v>
      </c>
      <c r="I774" s="1" t="str">
        <f>IFERROR(IF(EXACT(H774,INDEX(Guide!$A$7:$A$9,MATCH(SUBSTITUTE(SUBSTITUTE(SUBSTITUTE(H774,"~","~~"),"*","~*"),"?","~?"),Guide!$A$7:$A$9,0))),INDEX(Guide!$B$7:$B$9,MATCH(SUBSTITUTE(SUBSTITUTE(SUBSTITUTE(H774,"~","~~"),"*","~*"),"?","~?"),Guide!$A$7:$A$9,0)),""),"")</f>
        <v>Office</v>
      </c>
      <c r="J774" s="1" t="str">
        <f>IF(TRIM(Raw!E774)="",I774,IF(UPPER(TRIM(Raw!E774))=UPPER(I774),I774,""))</f>
        <v>Office</v>
      </c>
      <c r="K774" s="1" t="str">
        <f>IF(Raw!F774="","",Raw!F774)</f>
        <v>sale</v>
      </c>
      <c r="L774" s="1" t="str">
        <f>IF(LEFT(TRIM(Raw!G774),2)="-$","-"&amp;MID(TRIM(Raw!G774),3,99),IF(LEFT(TRIM(Raw!G774),1)="$",MID(TRIM(Raw!G774),2,99),TRIM(Raw!G774)))</f>
        <v>243.90</v>
      </c>
      <c r="M774" s="1">
        <f t="shared" si="91"/>
        <v>243.9</v>
      </c>
      <c r="N774" s="10">
        <f t="shared" si="92"/>
        <v>24390</v>
      </c>
      <c r="O774" s="1" t="b">
        <f>IFERROR(IF(ISNUMBER(Raw!G774),TRUE,OR(EXACT(L774,TEXT(M774,"0.00")),EXACT(L774,TEXT(M774,"#,##0.00")))),FALSE)</f>
        <v>1</v>
      </c>
      <c r="P774" s="1" t="str">
        <f>LEN(IF(Raw!A774="","",Raw!A774))&amp;":"&amp;IF(Raw!A774="","",Raw!A774)&amp;"|"&amp;LEN(IF(Raw!B774="","",Raw!B774))&amp;":"&amp;IF(Raw!B774="","",Raw!B774)&amp;"|"&amp;LEN(IF(Raw!C774="","",Raw!C774))&amp;":"&amp;IF(Raw!C774="","",Raw!C774)&amp;"|"&amp;LEN(IF(Raw!D774="","",Raw!D774))&amp;":"&amp;IF(Raw!D774="","",Raw!D774)&amp;"|"&amp;LEN(IF(Raw!E774="","",Raw!E774))&amp;":"&amp;IF(Raw!E774="","",Raw!E774)&amp;"|"&amp;LEN(IF(Raw!F774="","",Raw!F774))&amp;":"&amp;IF(Raw!F774="","",Raw!F774)&amp;"|"&amp;LEN(IF(Raw!G774="","",Raw!G774))&amp;":"&amp;IF(Raw!G774="","",Raw!G774)</f>
        <v>6:L00768|6:T00384|10:2026-03-13|3:P-O|6:Office|4:sale|6:243.90</v>
      </c>
      <c r="Q774" s="1">
        <f>1</f>
        <v>1</v>
      </c>
      <c r="R774" s="1" t="b">
        <f>FALSE</f>
        <v>0</v>
      </c>
      <c r="S774" s="1">
        <f>1</f>
        <v>1</v>
      </c>
      <c r="T774" s="1" t="str">
        <f>IF(AND(Raw!A774="",Raw!B774="",Raw!C774="",Raw!D774="",Raw!E774="",Raw!F774="",Raw!G774=""),"UNUSED",IF(A774="","missing line ID",IF(B774="","missing transaction ID",IF(G774="",IF(C774="","missing date","invalid date"),IF(I774="","unknown product",IF(J774="","conflicting category",IF(NOT(OR(EXACT(K774,"sale"),EXACT(K774,"refund"))),"unknown event",IF(OR(N774="",NOT(O774)),"invalid amount",IF(OR(AND(K774="sale",N774&lt;=0),AND(K774="refund",N774&gt;=0)),"invalid sign","")))))))))</f>
        <v/>
      </c>
      <c r="U774" s="1" t="str">
        <f t="shared" si="93"/>
        <v>INCLUDED</v>
      </c>
      <c r="V774" s="1" t="str">
        <f t="shared" si="94"/>
        <v>2026-03</v>
      </c>
      <c r="W774" s="1">
        <f>IF(AND(U774="INCLUDED",X774&gt;0,EXACT(A774,'AI output'!A774)),1,0)</f>
        <v>1</v>
      </c>
      <c r="X774" s="1">
        <f>774</f>
        <v>774</v>
      </c>
      <c r="Y774" s="1">
        <f>IF(AND(U774="INCLUDED",W774=1),--(NOT(EXACT(A774,'AI output'!A774)))+--(NOT(EXACT(B774,'AI output'!B774)))+--(NOT(EXACT(TEXT(G774,"yyyy-mm-dd"),'AI output'!C774)))+--(NOT(EXACT(H774,'AI output'!D774)))+--(NOT(EXACT(J774,'AI output'!E774)))+--(NOT(EXACT(K774,'AI output'!F774)))+--(N774&lt;&gt;'AI output'!L774)+--(NOT('AI output'!M774)),0)</f>
        <v>0</v>
      </c>
      <c r="Z774" s="1">
        <f t="shared" si="95"/>
        <v>0</v>
      </c>
      <c r="AA774" s="1">
        <f>--EXACT(A774,"L00768")</f>
        <v>1</v>
      </c>
    </row>
    <row r="775" spans="1:27" ht="18.95" customHeight="1">
      <c r="A775" s="1" t="str">
        <f>IF(Raw!A775="","",Raw!A775)</f>
        <v>L00769</v>
      </c>
      <c r="B775" s="1" t="str">
        <f>IF(Raw!B775="","",Raw!B775)</f>
        <v>T00385</v>
      </c>
      <c r="C775" s="1" t="str">
        <f>IF(Raw!C775="","",Raw!C775)</f>
        <v>2026-03-20</v>
      </c>
      <c r="D775" s="1">
        <f t="shared" ref="D775:D838" si="96">IFERROR(IF(AND(LEN(C775)=10,MID(C775,5,1)="-",MID(C775,8,1)="-"),VALUE(LEFT(C775,4)),IF(AND(LEN(C775)=11,MID(C775,3,1)="-",MID(C775,7,1)="-"),VALUE(RIGHT(C775,4)),0)),0)</f>
        <v>2026</v>
      </c>
      <c r="E775" s="1">
        <f>IFERROR(IF(AND(LEN(C775)=10,MID(C775,5,1)="-",MID(C775,8,1)="-"),VALUE(MID(C775,6,2)),IF(AND(LEN(C775)=11,MID(C775,3,1)="-",MID(C775,7,1)="-"),MATCH(UPPER(MID(C775,4,3)),Guide!$D$7:$D$18,0),0)),0)</f>
        <v>3</v>
      </c>
      <c r="F775" s="1">
        <f t="shared" ref="F775:F838" si="97">IFERROR(IF(AND(LEN(C775)=10,MID(C775,5,1)="-",MID(C775,8,1)="-"),VALUE(RIGHT(C775,2)),IF(AND(LEN(C775)=11,MID(C775,3,1)="-",MID(C775,7,1)="-"),VALUE(LEFT(C775,2)),0)),0)</f>
        <v>20</v>
      </c>
      <c r="G775" s="9">
        <f t="shared" ref="G775:G838" si="98">IFERROR(IF(AND(D775&gt;=1900,D775&lt;=9999,YEAR(DATE(D775,E775,F775))=D775,MONTH(DATE(D775,E775,F775))=E775,DAY(DATE(D775,E775,F775))=F775),DATE(D775,E775,F775),""),"")</f>
        <v>46101</v>
      </c>
      <c r="H775" s="1" t="str">
        <f>IF(Raw!D775="","",Raw!D775)</f>
        <v>P-A</v>
      </c>
      <c r="I775" s="1" t="str">
        <f>IFERROR(IF(EXACT(H775,INDEX(Guide!$A$7:$A$9,MATCH(SUBSTITUTE(SUBSTITUTE(SUBSTITUTE(H775,"~","~~"),"*","~*"),"?","~?"),Guide!$A$7:$A$9,0))),INDEX(Guide!$B$7:$B$9,MATCH(SUBSTITUTE(SUBSTITUTE(SUBSTITUTE(H775,"~","~~"),"*","~*"),"?","~?"),Guide!$A$7:$A$9,0)),""),"")</f>
        <v>Accessories</v>
      </c>
      <c r="J775" s="1" t="str">
        <f>IF(TRIM(Raw!E775)="",I775,IF(UPPER(TRIM(Raw!E775))=UPPER(I775),I775,""))</f>
        <v>Accessories</v>
      </c>
      <c r="K775" s="1" t="str">
        <f>IF(Raw!F775="","",Raw!F775)</f>
        <v>sale</v>
      </c>
      <c r="L775" s="1" t="str">
        <f>IF(LEFT(TRIM(Raw!G775),2)="-$","-"&amp;MID(TRIM(Raw!G775),3,99),IF(LEFT(TRIM(Raw!G775),1)="$",MID(TRIM(Raw!G775),2,99),TRIM(Raw!G775)))</f>
        <v>98.30</v>
      </c>
      <c r="M775" s="1">
        <f t="shared" ref="M775:M838" si="99">IFERROR(VALUE(L775),"")</f>
        <v>98.3</v>
      </c>
      <c r="N775" s="10">
        <f t="shared" ref="N775:N838" si="100">IF(AND(ISNUMBER(M775),ABS(M775*100-ROUND(M775*100,0))&lt;0.0000001),ROUND(M775*100,0),"")</f>
        <v>9830</v>
      </c>
      <c r="O775" s="1" t="b">
        <f>IFERROR(IF(ISNUMBER(Raw!G775),TRUE,OR(EXACT(L775,TEXT(M775,"0.00")),EXACT(L775,TEXT(M775,"#,##0.00")))),FALSE)</f>
        <v>1</v>
      </c>
      <c r="P775" s="1" t="str">
        <f>LEN(IF(Raw!A775="","",Raw!A775))&amp;":"&amp;IF(Raw!A775="","",Raw!A775)&amp;"|"&amp;LEN(IF(Raw!B775="","",Raw!B775))&amp;":"&amp;IF(Raw!B775="","",Raw!B775)&amp;"|"&amp;LEN(IF(Raw!C775="","",Raw!C775))&amp;":"&amp;IF(Raw!C775="","",Raw!C775)&amp;"|"&amp;LEN(IF(Raw!D775="","",Raw!D775))&amp;":"&amp;IF(Raw!D775="","",Raw!D775)&amp;"|"&amp;LEN(IF(Raw!E775="","",Raw!E775))&amp;":"&amp;IF(Raw!E775="","",Raw!E775)&amp;"|"&amp;LEN(IF(Raw!F775="","",Raw!F775))&amp;":"&amp;IF(Raw!F775="","",Raw!F775)&amp;"|"&amp;LEN(IF(Raw!G775="","",Raw!G775))&amp;":"&amp;IF(Raw!G775="","",Raw!G775)</f>
        <v>6:L00769|6:T00385|10:2026-03-20|3:P-A|11:Accessories|4:sale|5:98.30</v>
      </c>
      <c r="Q775" s="1">
        <f>1</f>
        <v>1</v>
      </c>
      <c r="R775" s="1" t="b">
        <f>FALSE</f>
        <v>0</v>
      </c>
      <c r="S775" s="1">
        <f>1</f>
        <v>1</v>
      </c>
      <c r="T775" s="1" t="str">
        <f>IF(AND(Raw!A775="",Raw!B775="",Raw!C775="",Raw!D775="",Raw!E775="",Raw!F775="",Raw!G775=""),"UNUSED",IF(A775="","missing line ID",IF(B775="","missing transaction ID",IF(G775="",IF(C775="","missing date","invalid date"),IF(I775="","unknown product",IF(J775="","conflicting category",IF(NOT(OR(EXACT(K775,"sale"),EXACT(K775,"refund"))),"unknown event",IF(OR(N775="",NOT(O775)),"invalid amount",IF(OR(AND(K775="sale",N775&lt;=0),AND(K775="refund",N775&gt;=0)),"invalid sign","")))))))))</f>
        <v/>
      </c>
      <c r="U775" s="1" t="str">
        <f t="shared" ref="U775:U838" si="101">IF(T775="UNUSED","UNUSED",IF(R775,"QUARANTINE",IF(S775&gt;1,"DUPLICATE",IF(T775&lt;&gt;"","QUARANTINE","INCLUDED"))))</f>
        <v>INCLUDED</v>
      </c>
      <c r="V775" s="1" t="str">
        <f t="shared" ref="V775:V838" si="102">IF(G775="","",TEXT(G775,"yyyy-mm"))</f>
        <v>2026-03</v>
      </c>
      <c r="W775" s="1">
        <f>IF(AND(U775="INCLUDED",X775&gt;0,EXACT(A775,'AI output'!A775)),1,0)</f>
        <v>1</v>
      </c>
      <c r="X775" s="1">
        <f>775</f>
        <v>775</v>
      </c>
      <c r="Y775" s="1">
        <f>IF(AND(U775="INCLUDED",W775=1),--(NOT(EXACT(A775,'AI output'!A775)))+--(NOT(EXACT(B775,'AI output'!B775)))+--(NOT(EXACT(TEXT(G775,"yyyy-mm-dd"),'AI output'!C775)))+--(NOT(EXACT(H775,'AI output'!D775)))+--(NOT(EXACT(J775,'AI output'!E775)))+--(NOT(EXACT(K775,'AI output'!F775)))+--(N775&lt;&gt;'AI output'!L775)+--(NOT('AI output'!M775)),0)</f>
        <v>0</v>
      </c>
      <c r="Z775" s="1">
        <f t="shared" ref="Z775:Z838" si="103">IF(U775="INCLUDED",IF(OR(W775&lt;&gt;1,Y775&lt;&gt;0),1,0),0)</f>
        <v>0</v>
      </c>
      <c r="AA775" s="1">
        <f>--EXACT(A775,"L00769")</f>
        <v>1</v>
      </c>
    </row>
    <row r="776" spans="1:27" ht="18.95" customHeight="1">
      <c r="A776" s="1" t="str">
        <f>IF(Raw!A776="","",Raw!A776)</f>
        <v>L00770</v>
      </c>
      <c r="B776" s="1" t="str">
        <f>IF(Raw!B776="","",Raw!B776)</f>
        <v>T00385</v>
      </c>
      <c r="C776" s="1" t="str">
        <f>IF(Raw!C776="","",Raw!C776)</f>
        <v>2026-03-20</v>
      </c>
      <c r="D776" s="1">
        <f t="shared" si="96"/>
        <v>2026</v>
      </c>
      <c r="E776" s="1">
        <f>IFERROR(IF(AND(LEN(C776)=10,MID(C776,5,1)="-",MID(C776,8,1)="-"),VALUE(MID(C776,6,2)),IF(AND(LEN(C776)=11,MID(C776,3,1)="-",MID(C776,7,1)="-"),MATCH(UPPER(MID(C776,4,3)),Guide!$D$7:$D$18,0),0)),0)</f>
        <v>3</v>
      </c>
      <c r="F776" s="1">
        <f t="shared" si="97"/>
        <v>20</v>
      </c>
      <c r="G776" s="9">
        <f t="shared" si="98"/>
        <v>46101</v>
      </c>
      <c r="H776" s="1" t="str">
        <f>IF(Raw!D776="","",Raw!D776)</f>
        <v>P-H</v>
      </c>
      <c r="I776" s="1" t="str">
        <f>IFERROR(IF(EXACT(H776,INDEX(Guide!$A$7:$A$9,MATCH(SUBSTITUTE(SUBSTITUTE(SUBSTITUTE(H776,"~","~~"),"*","~*"),"?","~?"),Guide!$A$7:$A$9,0))),INDEX(Guide!$B$7:$B$9,MATCH(SUBSTITUTE(SUBSTITUTE(SUBSTITUTE(H776,"~","~~"),"*","~*"),"?","~?"),Guide!$A$7:$A$9,0)),""),"")</f>
        <v>Home</v>
      </c>
      <c r="J776" s="1" t="str">
        <f>IF(TRIM(Raw!E776)="",I776,IF(UPPER(TRIM(Raw!E776))=UPPER(I776),I776,""))</f>
        <v>Home</v>
      </c>
      <c r="K776" s="1" t="str">
        <f>IF(Raw!F776="","",Raw!F776)</f>
        <v>sale</v>
      </c>
      <c r="L776" s="1" t="str">
        <f>IF(LEFT(TRIM(Raw!G776),2)="-$","-"&amp;MID(TRIM(Raw!G776),3,99),IF(LEFT(TRIM(Raw!G776),1)="$",MID(TRIM(Raw!G776),2,99),TRIM(Raw!G776)))</f>
        <v>198.08</v>
      </c>
      <c r="M776" s="1">
        <f t="shared" si="99"/>
        <v>198.08</v>
      </c>
      <c r="N776" s="10">
        <f t="shared" si="100"/>
        <v>19808</v>
      </c>
      <c r="O776" s="1" t="b">
        <f>IFERROR(IF(ISNUMBER(Raw!G776),TRUE,OR(EXACT(L776,TEXT(M776,"0.00")),EXACT(L776,TEXT(M776,"#,##0.00")))),FALSE)</f>
        <v>1</v>
      </c>
      <c r="P776" s="1" t="str">
        <f>LEN(IF(Raw!A776="","",Raw!A776))&amp;":"&amp;IF(Raw!A776="","",Raw!A776)&amp;"|"&amp;LEN(IF(Raw!B776="","",Raw!B776))&amp;":"&amp;IF(Raw!B776="","",Raw!B776)&amp;"|"&amp;LEN(IF(Raw!C776="","",Raw!C776))&amp;":"&amp;IF(Raw!C776="","",Raw!C776)&amp;"|"&amp;LEN(IF(Raw!D776="","",Raw!D776))&amp;":"&amp;IF(Raw!D776="","",Raw!D776)&amp;"|"&amp;LEN(IF(Raw!E776="","",Raw!E776))&amp;":"&amp;IF(Raw!E776="","",Raw!E776)&amp;"|"&amp;LEN(IF(Raw!F776="","",Raw!F776))&amp;":"&amp;IF(Raw!F776="","",Raw!F776)&amp;"|"&amp;LEN(IF(Raw!G776="","",Raw!G776))&amp;":"&amp;IF(Raw!G776="","",Raw!G776)</f>
        <v>6:L00770|6:T00385|10:2026-03-20|3:P-H|4:Home|4:sale|6:198.08</v>
      </c>
      <c r="Q776" s="1">
        <f>1</f>
        <v>1</v>
      </c>
      <c r="R776" s="1" t="b">
        <f>FALSE</f>
        <v>0</v>
      </c>
      <c r="S776" s="1">
        <f>1</f>
        <v>1</v>
      </c>
      <c r="T776" s="1" t="str">
        <f>IF(AND(Raw!A776="",Raw!B776="",Raw!C776="",Raw!D776="",Raw!E776="",Raw!F776="",Raw!G776=""),"UNUSED",IF(A776="","missing line ID",IF(B776="","missing transaction ID",IF(G776="",IF(C776="","missing date","invalid date"),IF(I776="","unknown product",IF(J776="","conflicting category",IF(NOT(OR(EXACT(K776,"sale"),EXACT(K776,"refund"))),"unknown event",IF(OR(N776="",NOT(O776)),"invalid amount",IF(OR(AND(K776="sale",N776&lt;=0),AND(K776="refund",N776&gt;=0)),"invalid sign","")))))))))</f>
        <v/>
      </c>
      <c r="U776" s="1" t="str">
        <f t="shared" si="101"/>
        <v>INCLUDED</v>
      </c>
      <c r="V776" s="1" t="str">
        <f t="shared" si="102"/>
        <v>2026-03</v>
      </c>
      <c r="W776" s="1">
        <f>IF(AND(U776="INCLUDED",X776&gt;0,EXACT(A776,'AI output'!A776)),1,0)</f>
        <v>1</v>
      </c>
      <c r="X776" s="1">
        <f>776</f>
        <v>776</v>
      </c>
      <c r="Y776" s="1">
        <f>IF(AND(U776="INCLUDED",W776=1),--(NOT(EXACT(A776,'AI output'!A776)))+--(NOT(EXACT(B776,'AI output'!B776)))+--(NOT(EXACT(TEXT(G776,"yyyy-mm-dd"),'AI output'!C776)))+--(NOT(EXACT(H776,'AI output'!D776)))+--(NOT(EXACT(J776,'AI output'!E776)))+--(NOT(EXACT(K776,'AI output'!F776)))+--(N776&lt;&gt;'AI output'!L776)+--(NOT('AI output'!M776)),0)</f>
        <v>0</v>
      </c>
      <c r="Z776" s="1">
        <f t="shared" si="103"/>
        <v>0</v>
      </c>
      <c r="AA776" s="1">
        <f>--EXACT(A776,"L00770")</f>
        <v>1</v>
      </c>
    </row>
    <row r="777" spans="1:27" ht="18.95" customHeight="1">
      <c r="A777" s="1" t="str">
        <f>IF(Raw!A777="","",Raw!A777)</f>
        <v>L00771</v>
      </c>
      <c r="B777" s="1" t="str">
        <f>IF(Raw!B777="","",Raw!B777)</f>
        <v>T00386</v>
      </c>
      <c r="C777" s="1" t="str">
        <f>IF(Raw!C777="","",Raw!C777)</f>
        <v>2026-03-27</v>
      </c>
      <c r="D777" s="1">
        <f t="shared" si="96"/>
        <v>2026</v>
      </c>
      <c r="E777" s="1">
        <f>IFERROR(IF(AND(LEN(C777)=10,MID(C777,5,1)="-",MID(C777,8,1)="-"),VALUE(MID(C777,6,2)),IF(AND(LEN(C777)=11,MID(C777,3,1)="-",MID(C777,7,1)="-"),MATCH(UPPER(MID(C777,4,3)),Guide!$D$7:$D$18,0),0)),0)</f>
        <v>3</v>
      </c>
      <c r="F777" s="1">
        <f t="shared" si="97"/>
        <v>27</v>
      </c>
      <c r="G777" s="9">
        <f t="shared" si="98"/>
        <v>46108</v>
      </c>
      <c r="H777" s="1" t="str">
        <f>IF(Raw!D777="","",Raw!D777)</f>
        <v>P-O</v>
      </c>
      <c r="I777" s="1" t="str">
        <f>IFERROR(IF(EXACT(H777,INDEX(Guide!$A$7:$A$9,MATCH(SUBSTITUTE(SUBSTITUTE(SUBSTITUTE(H777,"~","~~"),"*","~*"),"?","~?"),Guide!$A$7:$A$9,0))),INDEX(Guide!$B$7:$B$9,MATCH(SUBSTITUTE(SUBSTITUTE(SUBSTITUTE(H777,"~","~~"),"*","~*"),"?","~?"),Guide!$A$7:$A$9,0)),""),"")</f>
        <v>Office</v>
      </c>
      <c r="J777" s="1" t="str">
        <f>IF(TRIM(Raw!E777)="",I777,IF(UPPER(TRIM(Raw!E777))=UPPER(I777),I777,""))</f>
        <v>Office</v>
      </c>
      <c r="K777" s="1" t="str">
        <f>IF(Raw!F777="","",Raw!F777)</f>
        <v>sale</v>
      </c>
      <c r="L777" s="1" t="str">
        <f>IF(LEFT(TRIM(Raw!G777),2)="-$","-"&amp;MID(TRIM(Raw!G777),3,99),IF(LEFT(TRIM(Raw!G777),1)="$",MID(TRIM(Raw!G777),2,99),TRIM(Raw!G777)))</f>
        <v>49.89</v>
      </c>
      <c r="M777" s="1">
        <f t="shared" si="99"/>
        <v>49.89</v>
      </c>
      <c r="N777" s="10">
        <f t="shared" si="100"/>
        <v>4989</v>
      </c>
      <c r="O777" s="1" t="b">
        <f>IFERROR(IF(ISNUMBER(Raw!G777),TRUE,OR(EXACT(L777,TEXT(M777,"0.00")),EXACT(L777,TEXT(M777,"#,##0.00")))),FALSE)</f>
        <v>1</v>
      </c>
      <c r="P777" s="1" t="str">
        <f>LEN(IF(Raw!A777="","",Raw!A777))&amp;":"&amp;IF(Raw!A777="","",Raw!A777)&amp;"|"&amp;LEN(IF(Raw!B777="","",Raw!B777))&amp;":"&amp;IF(Raw!B777="","",Raw!B777)&amp;"|"&amp;LEN(IF(Raw!C777="","",Raw!C777))&amp;":"&amp;IF(Raw!C777="","",Raw!C777)&amp;"|"&amp;LEN(IF(Raw!D777="","",Raw!D777))&amp;":"&amp;IF(Raw!D777="","",Raw!D777)&amp;"|"&amp;LEN(IF(Raw!E777="","",Raw!E777))&amp;":"&amp;IF(Raw!E777="","",Raw!E777)&amp;"|"&amp;LEN(IF(Raw!F777="","",Raw!F777))&amp;":"&amp;IF(Raw!F777="","",Raw!F777)&amp;"|"&amp;LEN(IF(Raw!G777="","",Raw!G777))&amp;":"&amp;IF(Raw!G777="","",Raw!G777)</f>
        <v>6:L00771|6:T00386|10:2026-03-27|3:P-O|6:Office|4:sale|5:49.89</v>
      </c>
      <c r="Q777" s="1">
        <f>1</f>
        <v>1</v>
      </c>
      <c r="R777" s="1" t="b">
        <f>FALSE</f>
        <v>0</v>
      </c>
      <c r="S777" s="1">
        <f>1</f>
        <v>1</v>
      </c>
      <c r="T777" s="1" t="str">
        <f>IF(AND(Raw!A777="",Raw!B777="",Raw!C777="",Raw!D777="",Raw!E777="",Raw!F777="",Raw!G777=""),"UNUSED",IF(A777="","missing line ID",IF(B777="","missing transaction ID",IF(G777="",IF(C777="","missing date","invalid date"),IF(I777="","unknown product",IF(J777="","conflicting category",IF(NOT(OR(EXACT(K777,"sale"),EXACT(K777,"refund"))),"unknown event",IF(OR(N777="",NOT(O777)),"invalid amount",IF(OR(AND(K777="sale",N777&lt;=0),AND(K777="refund",N777&gt;=0)),"invalid sign","")))))))))</f>
        <v/>
      </c>
      <c r="U777" s="1" t="str">
        <f t="shared" si="101"/>
        <v>INCLUDED</v>
      </c>
      <c r="V777" s="1" t="str">
        <f t="shared" si="102"/>
        <v>2026-03</v>
      </c>
      <c r="W777" s="1">
        <f>IF(AND(U777="INCLUDED",X777&gt;0,EXACT(A777,'AI output'!A777)),1,0)</f>
        <v>1</v>
      </c>
      <c r="X777" s="1">
        <f>777</f>
        <v>777</v>
      </c>
      <c r="Y777" s="1">
        <f>IF(AND(U777="INCLUDED",W777=1),--(NOT(EXACT(A777,'AI output'!A777)))+--(NOT(EXACT(B777,'AI output'!B777)))+--(NOT(EXACT(TEXT(G777,"yyyy-mm-dd"),'AI output'!C777)))+--(NOT(EXACT(H777,'AI output'!D777)))+--(NOT(EXACT(J777,'AI output'!E777)))+--(NOT(EXACT(K777,'AI output'!F777)))+--(N777&lt;&gt;'AI output'!L777)+--(NOT('AI output'!M777)),0)</f>
        <v>0</v>
      </c>
      <c r="Z777" s="1">
        <f t="shared" si="103"/>
        <v>0</v>
      </c>
      <c r="AA777" s="1">
        <f>--EXACT(A777,"L00771")</f>
        <v>1</v>
      </c>
    </row>
    <row r="778" spans="1:27" ht="18.95" customHeight="1">
      <c r="A778" s="1" t="str">
        <f>IF(Raw!A778="","",Raw!A778)</f>
        <v>L00772</v>
      </c>
      <c r="B778" s="1" t="str">
        <f>IF(Raw!B778="","",Raw!B778)</f>
        <v>T00386</v>
      </c>
      <c r="C778" s="1" t="str">
        <f>IF(Raw!C778="","",Raw!C778)</f>
        <v>2026-03-27</v>
      </c>
      <c r="D778" s="1">
        <f t="shared" si="96"/>
        <v>2026</v>
      </c>
      <c r="E778" s="1">
        <f>IFERROR(IF(AND(LEN(C778)=10,MID(C778,5,1)="-",MID(C778,8,1)="-"),VALUE(MID(C778,6,2)),IF(AND(LEN(C778)=11,MID(C778,3,1)="-",MID(C778,7,1)="-"),MATCH(UPPER(MID(C778,4,3)),Guide!$D$7:$D$18,0),0)),0)</f>
        <v>3</v>
      </c>
      <c r="F778" s="1">
        <f t="shared" si="97"/>
        <v>27</v>
      </c>
      <c r="G778" s="9">
        <f t="shared" si="98"/>
        <v>46108</v>
      </c>
      <c r="H778" s="1" t="str">
        <f>IF(Raw!D778="","",Raw!D778)</f>
        <v>P-A</v>
      </c>
      <c r="I778" s="1" t="str">
        <f>IFERROR(IF(EXACT(H778,INDEX(Guide!$A$7:$A$9,MATCH(SUBSTITUTE(SUBSTITUTE(SUBSTITUTE(H778,"~","~~"),"*","~*"),"?","~?"),Guide!$A$7:$A$9,0))),INDEX(Guide!$B$7:$B$9,MATCH(SUBSTITUTE(SUBSTITUTE(SUBSTITUTE(H778,"~","~~"),"*","~*"),"?","~?"),Guide!$A$7:$A$9,0)),""),"")</f>
        <v>Accessories</v>
      </c>
      <c r="J778" s="1" t="str">
        <f>IF(TRIM(Raw!E778)="",I778,IF(UPPER(TRIM(Raw!E778))=UPPER(I778),I778,""))</f>
        <v>Accessories</v>
      </c>
      <c r="K778" s="1" t="str">
        <f>IF(Raw!F778="","",Raw!F778)</f>
        <v>sale</v>
      </c>
      <c r="L778" s="1" t="str">
        <f>IF(LEFT(TRIM(Raw!G778),2)="-$","-"&amp;MID(TRIM(Raw!G778),3,99),IF(LEFT(TRIM(Raw!G778),1)="$",MID(TRIM(Raw!G778),2,99),TRIM(Raw!G778)))</f>
        <v>150.78</v>
      </c>
      <c r="M778" s="1">
        <f t="shared" si="99"/>
        <v>150.78</v>
      </c>
      <c r="N778" s="10">
        <f t="shared" si="100"/>
        <v>15078</v>
      </c>
      <c r="O778" s="1" t="b">
        <f>IFERROR(IF(ISNUMBER(Raw!G778),TRUE,OR(EXACT(L778,TEXT(M778,"0.00")),EXACT(L778,TEXT(M778,"#,##0.00")))),FALSE)</f>
        <v>1</v>
      </c>
      <c r="P778" s="1" t="str">
        <f>LEN(IF(Raw!A778="","",Raw!A778))&amp;":"&amp;IF(Raw!A778="","",Raw!A778)&amp;"|"&amp;LEN(IF(Raw!B778="","",Raw!B778))&amp;":"&amp;IF(Raw!B778="","",Raw!B778)&amp;"|"&amp;LEN(IF(Raw!C778="","",Raw!C778))&amp;":"&amp;IF(Raw!C778="","",Raw!C778)&amp;"|"&amp;LEN(IF(Raw!D778="","",Raw!D778))&amp;":"&amp;IF(Raw!D778="","",Raw!D778)&amp;"|"&amp;LEN(IF(Raw!E778="","",Raw!E778))&amp;":"&amp;IF(Raw!E778="","",Raw!E778)&amp;"|"&amp;LEN(IF(Raw!F778="","",Raw!F778))&amp;":"&amp;IF(Raw!F778="","",Raw!F778)&amp;"|"&amp;LEN(IF(Raw!G778="","",Raw!G778))&amp;":"&amp;IF(Raw!G778="","",Raw!G778)</f>
        <v>6:L00772|6:T00386|10:2026-03-27|3:P-A|11:Accessories|4:sale|6:150.78</v>
      </c>
      <c r="Q778" s="1">
        <f>1</f>
        <v>1</v>
      </c>
      <c r="R778" s="1" t="b">
        <f>FALSE</f>
        <v>0</v>
      </c>
      <c r="S778" s="1">
        <f>1</f>
        <v>1</v>
      </c>
      <c r="T778" s="1" t="str">
        <f>IF(AND(Raw!A778="",Raw!B778="",Raw!C778="",Raw!D778="",Raw!E778="",Raw!F778="",Raw!G778=""),"UNUSED",IF(A778="","missing line ID",IF(B778="","missing transaction ID",IF(G778="",IF(C778="","missing date","invalid date"),IF(I778="","unknown product",IF(J778="","conflicting category",IF(NOT(OR(EXACT(K778,"sale"),EXACT(K778,"refund"))),"unknown event",IF(OR(N778="",NOT(O778)),"invalid amount",IF(OR(AND(K778="sale",N778&lt;=0),AND(K778="refund",N778&gt;=0)),"invalid sign","")))))))))</f>
        <v/>
      </c>
      <c r="U778" s="1" t="str">
        <f t="shared" si="101"/>
        <v>INCLUDED</v>
      </c>
      <c r="V778" s="1" t="str">
        <f t="shared" si="102"/>
        <v>2026-03</v>
      </c>
      <c r="W778" s="1">
        <f>IF(AND(U778="INCLUDED",X778&gt;0,EXACT(A778,'AI output'!A778)),1,0)</f>
        <v>1</v>
      </c>
      <c r="X778" s="1">
        <f>778</f>
        <v>778</v>
      </c>
      <c r="Y778" s="1">
        <f>IF(AND(U778="INCLUDED",W778=1),--(NOT(EXACT(A778,'AI output'!A778)))+--(NOT(EXACT(B778,'AI output'!B778)))+--(NOT(EXACT(TEXT(G778,"yyyy-mm-dd"),'AI output'!C778)))+--(NOT(EXACT(H778,'AI output'!D778)))+--(NOT(EXACT(J778,'AI output'!E778)))+--(NOT(EXACT(K778,'AI output'!F778)))+--(N778&lt;&gt;'AI output'!L778)+--(NOT('AI output'!M778)),0)</f>
        <v>0</v>
      </c>
      <c r="Z778" s="1">
        <f t="shared" si="103"/>
        <v>0</v>
      </c>
      <c r="AA778" s="1">
        <f>--EXACT(A778,"L00772")</f>
        <v>1</v>
      </c>
    </row>
    <row r="779" spans="1:27" ht="18.95" customHeight="1">
      <c r="A779" s="1" t="str">
        <f>IF(Raw!A779="","",Raw!A779)</f>
        <v>L00773</v>
      </c>
      <c r="B779" s="1" t="str">
        <f>IF(Raw!B779="","",Raw!B779)</f>
        <v>T00387</v>
      </c>
      <c r="C779" s="1" t="str">
        <f>IF(Raw!C779="","",Raw!C779)</f>
        <v>2026-01-03</v>
      </c>
      <c r="D779" s="1">
        <f t="shared" si="96"/>
        <v>2026</v>
      </c>
      <c r="E779" s="1">
        <f>IFERROR(IF(AND(LEN(C779)=10,MID(C779,5,1)="-",MID(C779,8,1)="-"),VALUE(MID(C779,6,2)),IF(AND(LEN(C779)=11,MID(C779,3,1)="-",MID(C779,7,1)="-"),MATCH(UPPER(MID(C779,4,3)),Guide!$D$7:$D$18,0),0)),0)</f>
        <v>1</v>
      </c>
      <c r="F779" s="1">
        <f t="shared" si="97"/>
        <v>3</v>
      </c>
      <c r="G779" s="9">
        <f t="shared" si="98"/>
        <v>46025</v>
      </c>
      <c r="H779" s="1" t="str">
        <f>IF(Raw!D779="","",Raw!D779)</f>
        <v>P-H</v>
      </c>
      <c r="I779" s="1" t="str">
        <f>IFERROR(IF(EXACT(H779,INDEX(Guide!$A$7:$A$9,MATCH(SUBSTITUTE(SUBSTITUTE(SUBSTITUTE(H779,"~","~~"),"*","~*"),"?","~?"),Guide!$A$7:$A$9,0))),INDEX(Guide!$B$7:$B$9,MATCH(SUBSTITUTE(SUBSTITUTE(SUBSTITUTE(H779,"~","~~"),"*","~*"),"?","~?"),Guide!$A$7:$A$9,0)),""),"")</f>
        <v>Home</v>
      </c>
      <c r="J779" s="1" t="str">
        <f>IF(TRIM(Raw!E779)="",I779,IF(UPPER(TRIM(Raw!E779))=UPPER(I779),I779,""))</f>
        <v>Home</v>
      </c>
      <c r="K779" s="1" t="str">
        <f>IF(Raw!F779="","",Raw!F779)</f>
        <v>sale</v>
      </c>
      <c r="L779" s="1" t="str">
        <f>IF(LEFT(TRIM(Raw!G779),2)="-$","-"&amp;MID(TRIM(Raw!G779),3,99),IF(LEFT(TRIM(Raw!G779),1)="$",MID(TRIM(Raw!G779),2,99),TRIM(Raw!G779)))</f>
        <v>253.15</v>
      </c>
      <c r="M779" s="1">
        <f t="shared" si="99"/>
        <v>253.15</v>
      </c>
      <c r="N779" s="10">
        <f t="shared" si="100"/>
        <v>25315</v>
      </c>
      <c r="O779" s="1" t="b">
        <f>IFERROR(IF(ISNUMBER(Raw!G779),TRUE,OR(EXACT(L779,TEXT(M779,"0.00")),EXACT(L779,TEXT(M779,"#,##0.00")))),FALSE)</f>
        <v>1</v>
      </c>
      <c r="P779" s="1" t="str">
        <f>LEN(IF(Raw!A779="","",Raw!A779))&amp;":"&amp;IF(Raw!A779="","",Raw!A779)&amp;"|"&amp;LEN(IF(Raw!B779="","",Raw!B779))&amp;":"&amp;IF(Raw!B779="","",Raw!B779)&amp;"|"&amp;LEN(IF(Raw!C779="","",Raw!C779))&amp;":"&amp;IF(Raw!C779="","",Raw!C779)&amp;"|"&amp;LEN(IF(Raw!D779="","",Raw!D779))&amp;":"&amp;IF(Raw!D779="","",Raw!D779)&amp;"|"&amp;LEN(IF(Raw!E779="","",Raw!E779))&amp;":"&amp;IF(Raw!E779="","",Raw!E779)&amp;"|"&amp;LEN(IF(Raw!F779="","",Raw!F779))&amp;":"&amp;IF(Raw!F779="","",Raw!F779)&amp;"|"&amp;LEN(IF(Raw!G779="","",Raw!G779))&amp;":"&amp;IF(Raw!G779="","",Raw!G779)</f>
        <v>6:L00773|6:T00387|10:2026-01-03|3:P-H|4:Home|4:sale|6:253.15</v>
      </c>
      <c r="Q779" s="1">
        <f>1</f>
        <v>1</v>
      </c>
      <c r="R779" s="1" t="b">
        <f>FALSE</f>
        <v>0</v>
      </c>
      <c r="S779" s="1">
        <f>1</f>
        <v>1</v>
      </c>
      <c r="T779" s="1" t="str">
        <f>IF(AND(Raw!A779="",Raw!B779="",Raw!C779="",Raw!D779="",Raw!E779="",Raw!F779="",Raw!G779=""),"UNUSED",IF(A779="","missing line ID",IF(B779="","missing transaction ID",IF(G779="",IF(C779="","missing date","invalid date"),IF(I779="","unknown product",IF(J779="","conflicting category",IF(NOT(OR(EXACT(K779,"sale"),EXACT(K779,"refund"))),"unknown event",IF(OR(N779="",NOT(O779)),"invalid amount",IF(OR(AND(K779="sale",N779&lt;=0),AND(K779="refund",N779&gt;=0)),"invalid sign","")))))))))</f>
        <v/>
      </c>
      <c r="U779" s="1" t="str">
        <f t="shared" si="101"/>
        <v>INCLUDED</v>
      </c>
      <c r="V779" s="1" t="str">
        <f t="shared" si="102"/>
        <v>2026-01</v>
      </c>
      <c r="W779" s="1">
        <f>IF(AND(U779="INCLUDED",X779&gt;0,EXACT(A779,'AI output'!A779)),1,0)</f>
        <v>1</v>
      </c>
      <c r="X779" s="1">
        <f>779</f>
        <v>779</v>
      </c>
      <c r="Y779" s="1">
        <f>IF(AND(U779="INCLUDED",W779=1),--(NOT(EXACT(A779,'AI output'!A779)))+--(NOT(EXACT(B779,'AI output'!B779)))+--(NOT(EXACT(TEXT(G779,"yyyy-mm-dd"),'AI output'!C779)))+--(NOT(EXACT(H779,'AI output'!D779)))+--(NOT(EXACT(J779,'AI output'!E779)))+--(NOT(EXACT(K779,'AI output'!F779)))+--(N779&lt;&gt;'AI output'!L779)+--(NOT('AI output'!M779)),0)</f>
        <v>0</v>
      </c>
      <c r="Z779" s="1">
        <f t="shared" si="103"/>
        <v>0</v>
      </c>
      <c r="AA779" s="1">
        <f>--EXACT(A779,"L00773")</f>
        <v>1</v>
      </c>
    </row>
    <row r="780" spans="1:27" ht="18.95" customHeight="1">
      <c r="A780" s="1" t="str">
        <f>IF(Raw!A780="","",Raw!A780)</f>
        <v>L00774</v>
      </c>
      <c r="B780" s="1" t="str">
        <f>IF(Raw!B780="","",Raw!B780)</f>
        <v>T00387</v>
      </c>
      <c r="C780" s="1" t="str">
        <f>IF(Raw!C780="","",Raw!C780)</f>
        <v>2026-01-03</v>
      </c>
      <c r="D780" s="1">
        <f t="shared" si="96"/>
        <v>2026</v>
      </c>
      <c r="E780" s="1">
        <f>IFERROR(IF(AND(LEN(C780)=10,MID(C780,5,1)="-",MID(C780,8,1)="-"),VALUE(MID(C780,6,2)),IF(AND(LEN(C780)=11,MID(C780,3,1)="-",MID(C780,7,1)="-"),MATCH(UPPER(MID(C780,4,3)),Guide!$D$7:$D$18,0),0)),0)</f>
        <v>1</v>
      </c>
      <c r="F780" s="1">
        <f t="shared" si="97"/>
        <v>3</v>
      </c>
      <c r="G780" s="9">
        <f t="shared" si="98"/>
        <v>46025</v>
      </c>
      <c r="H780" s="1" t="str">
        <f>IF(Raw!D780="","",Raw!D780)</f>
        <v>P-O</v>
      </c>
      <c r="I780" s="1" t="str">
        <f>IFERROR(IF(EXACT(H780,INDEX(Guide!$A$7:$A$9,MATCH(SUBSTITUTE(SUBSTITUTE(SUBSTITUTE(H780,"~","~~"),"*","~*"),"?","~?"),Guide!$A$7:$A$9,0))),INDEX(Guide!$B$7:$B$9,MATCH(SUBSTITUTE(SUBSTITUTE(SUBSTITUTE(H780,"~","~~"),"*","~*"),"?","~?"),Guide!$A$7:$A$9,0)),""),"")</f>
        <v>Office</v>
      </c>
      <c r="J780" s="1" t="str">
        <f>IF(TRIM(Raw!E780)="",I780,IF(UPPER(TRIM(Raw!E780))=UPPER(I780),I780,""))</f>
        <v>Office</v>
      </c>
      <c r="K780" s="1" t="str">
        <f>IF(Raw!F780="","",Raw!F780)</f>
        <v>sale</v>
      </c>
      <c r="L780" s="1" t="str">
        <f>IF(LEFT(TRIM(Raw!G780),2)="-$","-"&amp;MID(TRIM(Raw!G780),3,99),IF(LEFT(TRIM(Raw!G780),1)="$",MID(TRIM(Raw!G780),2,99),TRIM(Raw!G780)))</f>
        <v>102.00</v>
      </c>
      <c r="M780" s="1">
        <f t="shared" si="99"/>
        <v>102</v>
      </c>
      <c r="N780" s="10">
        <f t="shared" si="100"/>
        <v>10200</v>
      </c>
      <c r="O780" s="1" t="b">
        <f>IFERROR(IF(ISNUMBER(Raw!G780),TRUE,OR(EXACT(L780,TEXT(M780,"0.00")),EXACT(L780,TEXT(M780,"#,##0.00")))),FALSE)</f>
        <v>1</v>
      </c>
      <c r="P780" s="1" t="str">
        <f>LEN(IF(Raw!A780="","",Raw!A780))&amp;":"&amp;IF(Raw!A780="","",Raw!A780)&amp;"|"&amp;LEN(IF(Raw!B780="","",Raw!B780))&amp;":"&amp;IF(Raw!B780="","",Raw!B780)&amp;"|"&amp;LEN(IF(Raw!C780="","",Raw!C780))&amp;":"&amp;IF(Raw!C780="","",Raw!C780)&amp;"|"&amp;LEN(IF(Raw!D780="","",Raw!D780))&amp;":"&amp;IF(Raw!D780="","",Raw!D780)&amp;"|"&amp;LEN(IF(Raw!E780="","",Raw!E780))&amp;":"&amp;IF(Raw!E780="","",Raw!E780)&amp;"|"&amp;LEN(IF(Raw!F780="","",Raw!F780))&amp;":"&amp;IF(Raw!F780="","",Raw!F780)&amp;"|"&amp;LEN(IF(Raw!G780="","",Raw!G780))&amp;":"&amp;IF(Raw!G780="","",Raw!G780)</f>
        <v>6:L00774|6:T00387|10:2026-01-03|3:P-O|6:Office|4:sale|6:102.00</v>
      </c>
      <c r="Q780" s="1">
        <f>1</f>
        <v>1</v>
      </c>
      <c r="R780" s="1" t="b">
        <f>FALSE</f>
        <v>0</v>
      </c>
      <c r="S780" s="1">
        <f>1</f>
        <v>1</v>
      </c>
      <c r="T780" s="1" t="str">
        <f>IF(AND(Raw!A780="",Raw!B780="",Raw!C780="",Raw!D780="",Raw!E780="",Raw!F780="",Raw!G780=""),"UNUSED",IF(A780="","missing line ID",IF(B780="","missing transaction ID",IF(G780="",IF(C780="","missing date","invalid date"),IF(I780="","unknown product",IF(J780="","conflicting category",IF(NOT(OR(EXACT(K780,"sale"),EXACT(K780,"refund"))),"unknown event",IF(OR(N780="",NOT(O780)),"invalid amount",IF(OR(AND(K780="sale",N780&lt;=0),AND(K780="refund",N780&gt;=0)),"invalid sign","")))))))))</f>
        <v/>
      </c>
      <c r="U780" s="1" t="str">
        <f t="shared" si="101"/>
        <v>INCLUDED</v>
      </c>
      <c r="V780" s="1" t="str">
        <f t="shared" si="102"/>
        <v>2026-01</v>
      </c>
      <c r="W780" s="1">
        <f>IF(AND(U780="INCLUDED",X780&gt;0,EXACT(A780,'AI output'!A780)),1,0)</f>
        <v>1</v>
      </c>
      <c r="X780" s="1">
        <f>780</f>
        <v>780</v>
      </c>
      <c r="Y780" s="1">
        <f>IF(AND(U780="INCLUDED",W780=1),--(NOT(EXACT(A780,'AI output'!A780)))+--(NOT(EXACT(B780,'AI output'!B780)))+--(NOT(EXACT(TEXT(G780,"yyyy-mm-dd"),'AI output'!C780)))+--(NOT(EXACT(H780,'AI output'!D780)))+--(NOT(EXACT(J780,'AI output'!E780)))+--(NOT(EXACT(K780,'AI output'!F780)))+--(N780&lt;&gt;'AI output'!L780)+--(NOT('AI output'!M780)),0)</f>
        <v>0</v>
      </c>
      <c r="Z780" s="1">
        <f t="shared" si="103"/>
        <v>0</v>
      </c>
      <c r="AA780" s="1">
        <f>--EXACT(A780,"L00774")</f>
        <v>1</v>
      </c>
    </row>
    <row r="781" spans="1:27" ht="18.95" customHeight="1">
      <c r="A781" s="1" t="str">
        <f>IF(Raw!A781="","",Raw!A781)</f>
        <v>L00775</v>
      </c>
      <c r="B781" s="1" t="str">
        <f>IF(Raw!B781="","",Raw!B781)</f>
        <v>T00388</v>
      </c>
      <c r="C781" s="1" t="str">
        <f>IF(Raw!C781="","",Raw!C781)</f>
        <v>2026-01-10</v>
      </c>
      <c r="D781" s="1">
        <f t="shared" si="96"/>
        <v>2026</v>
      </c>
      <c r="E781" s="1">
        <f>IFERROR(IF(AND(LEN(C781)=10,MID(C781,5,1)="-",MID(C781,8,1)="-"),VALUE(MID(C781,6,2)),IF(AND(LEN(C781)=11,MID(C781,3,1)="-",MID(C781,7,1)="-"),MATCH(UPPER(MID(C781,4,3)),Guide!$D$7:$D$18,0),0)),0)</f>
        <v>1</v>
      </c>
      <c r="F781" s="1">
        <f t="shared" si="97"/>
        <v>10</v>
      </c>
      <c r="G781" s="9">
        <f t="shared" si="98"/>
        <v>46032</v>
      </c>
      <c r="H781" s="1" t="str">
        <f>IF(Raw!D781="","",Raw!D781)</f>
        <v>P-A</v>
      </c>
      <c r="I781" s="1" t="str">
        <f>IFERROR(IF(EXACT(H781,INDEX(Guide!$A$7:$A$9,MATCH(SUBSTITUTE(SUBSTITUTE(SUBSTITUTE(H781,"~","~~"),"*","~*"),"?","~?"),Guide!$A$7:$A$9,0))),INDEX(Guide!$B$7:$B$9,MATCH(SUBSTITUTE(SUBSTITUTE(SUBSTITUTE(H781,"~","~~"),"*","~*"),"?","~?"),Guide!$A$7:$A$9,0)),""),"")</f>
        <v>Accessories</v>
      </c>
      <c r="J781" s="1" t="str">
        <f>IF(TRIM(Raw!E781)="",I781,IF(UPPER(TRIM(Raw!E781))=UPPER(I781),I781,""))</f>
        <v>Accessories</v>
      </c>
      <c r="K781" s="1" t="str">
        <f>IF(Raw!F781="","",Raw!F781)</f>
        <v>sale</v>
      </c>
      <c r="L781" s="1" t="str">
        <f>IF(LEFT(TRIM(Raw!G781),2)="-$","-"&amp;MID(TRIM(Raw!G781),3,99),IF(LEFT(TRIM(Raw!G781),1)="$",MID(TRIM(Raw!G781),2,99),TRIM(Raw!G781)))</f>
        <v>205.48</v>
      </c>
      <c r="M781" s="1">
        <f t="shared" si="99"/>
        <v>205.48</v>
      </c>
      <c r="N781" s="10">
        <f t="shared" si="100"/>
        <v>20548</v>
      </c>
      <c r="O781" s="1" t="b">
        <f>IFERROR(IF(ISNUMBER(Raw!G781),TRUE,OR(EXACT(L781,TEXT(M781,"0.00")),EXACT(L781,TEXT(M781,"#,##0.00")))),FALSE)</f>
        <v>1</v>
      </c>
      <c r="P781" s="1" t="str">
        <f>LEN(IF(Raw!A781="","",Raw!A781))&amp;":"&amp;IF(Raw!A781="","",Raw!A781)&amp;"|"&amp;LEN(IF(Raw!B781="","",Raw!B781))&amp;":"&amp;IF(Raw!B781="","",Raw!B781)&amp;"|"&amp;LEN(IF(Raw!C781="","",Raw!C781))&amp;":"&amp;IF(Raw!C781="","",Raw!C781)&amp;"|"&amp;LEN(IF(Raw!D781="","",Raw!D781))&amp;":"&amp;IF(Raw!D781="","",Raw!D781)&amp;"|"&amp;LEN(IF(Raw!E781="","",Raw!E781))&amp;":"&amp;IF(Raw!E781="","",Raw!E781)&amp;"|"&amp;LEN(IF(Raw!F781="","",Raw!F781))&amp;":"&amp;IF(Raw!F781="","",Raw!F781)&amp;"|"&amp;LEN(IF(Raw!G781="","",Raw!G781))&amp;":"&amp;IF(Raw!G781="","",Raw!G781)</f>
        <v>6:L00775|6:T00388|10:2026-01-10|3:P-A|11:Accessories|4:sale|6:205.48</v>
      </c>
      <c r="Q781" s="1">
        <f>1</f>
        <v>1</v>
      </c>
      <c r="R781" s="1" t="b">
        <f>FALSE</f>
        <v>0</v>
      </c>
      <c r="S781" s="1">
        <f>1</f>
        <v>1</v>
      </c>
      <c r="T781" s="1" t="str">
        <f>IF(AND(Raw!A781="",Raw!B781="",Raw!C781="",Raw!D781="",Raw!E781="",Raw!F781="",Raw!G781=""),"UNUSED",IF(A781="","missing line ID",IF(B781="","missing transaction ID",IF(G781="",IF(C781="","missing date","invalid date"),IF(I781="","unknown product",IF(J781="","conflicting category",IF(NOT(OR(EXACT(K781,"sale"),EXACT(K781,"refund"))),"unknown event",IF(OR(N781="",NOT(O781)),"invalid amount",IF(OR(AND(K781="sale",N781&lt;=0),AND(K781="refund",N781&gt;=0)),"invalid sign","")))))))))</f>
        <v/>
      </c>
      <c r="U781" s="1" t="str">
        <f t="shared" si="101"/>
        <v>INCLUDED</v>
      </c>
      <c r="V781" s="1" t="str">
        <f t="shared" si="102"/>
        <v>2026-01</v>
      </c>
      <c r="W781" s="1">
        <f>IF(AND(U781="INCLUDED",X781&gt;0,EXACT(A781,'AI output'!A781)),1,0)</f>
        <v>1</v>
      </c>
      <c r="X781" s="1">
        <f>781</f>
        <v>781</v>
      </c>
      <c r="Y781" s="1">
        <f>IF(AND(U781="INCLUDED",W781=1),--(NOT(EXACT(A781,'AI output'!A781)))+--(NOT(EXACT(B781,'AI output'!B781)))+--(NOT(EXACT(TEXT(G781,"yyyy-mm-dd"),'AI output'!C781)))+--(NOT(EXACT(H781,'AI output'!D781)))+--(NOT(EXACT(J781,'AI output'!E781)))+--(NOT(EXACT(K781,'AI output'!F781)))+--(N781&lt;&gt;'AI output'!L781)+--(NOT('AI output'!M781)),0)</f>
        <v>0</v>
      </c>
      <c r="Z781" s="1">
        <f t="shared" si="103"/>
        <v>0</v>
      </c>
      <c r="AA781" s="1">
        <f>--EXACT(A781,"L00775")</f>
        <v>1</v>
      </c>
    </row>
    <row r="782" spans="1:27" ht="18.95" customHeight="1">
      <c r="A782" s="1" t="str">
        <f>IF(Raw!A782="","",Raw!A782)</f>
        <v>L00776</v>
      </c>
      <c r="B782" s="1" t="str">
        <f>IF(Raw!B782="","",Raw!B782)</f>
        <v>T00388</v>
      </c>
      <c r="C782" s="1" t="str">
        <f>IF(Raw!C782="","",Raw!C782)</f>
        <v>2026-01-10</v>
      </c>
      <c r="D782" s="1">
        <f t="shared" si="96"/>
        <v>2026</v>
      </c>
      <c r="E782" s="1">
        <f>IFERROR(IF(AND(LEN(C782)=10,MID(C782,5,1)="-",MID(C782,8,1)="-"),VALUE(MID(C782,6,2)),IF(AND(LEN(C782)=11,MID(C782,3,1)="-",MID(C782,7,1)="-"),MATCH(UPPER(MID(C782,4,3)),Guide!$D$7:$D$18,0),0)),0)</f>
        <v>1</v>
      </c>
      <c r="F782" s="1">
        <f t="shared" si="97"/>
        <v>10</v>
      </c>
      <c r="G782" s="9">
        <f t="shared" si="98"/>
        <v>46032</v>
      </c>
      <c r="H782" s="1" t="str">
        <f>IF(Raw!D782="","",Raw!D782)</f>
        <v>P-H</v>
      </c>
      <c r="I782" s="1" t="str">
        <f>IFERROR(IF(EXACT(H782,INDEX(Guide!$A$7:$A$9,MATCH(SUBSTITUTE(SUBSTITUTE(SUBSTITUTE(H782,"~","~~"),"*","~*"),"?","~?"),Guide!$A$7:$A$9,0))),INDEX(Guide!$B$7:$B$9,MATCH(SUBSTITUTE(SUBSTITUTE(SUBSTITUTE(H782,"~","~~"),"*","~*"),"?","~?"),Guide!$A$7:$A$9,0)),""),"")</f>
        <v>Home</v>
      </c>
      <c r="J782" s="1" t="str">
        <f>IF(TRIM(Raw!E782)="",I782,IF(UPPER(TRIM(Raw!E782))=UPPER(I782),I782,""))</f>
        <v>Home</v>
      </c>
      <c r="K782" s="1" t="str">
        <f>IF(Raw!F782="","",Raw!F782)</f>
        <v>sale</v>
      </c>
      <c r="L782" s="1" t="str">
        <f>IF(LEFT(TRIM(Raw!G782),2)="-$","-"&amp;MID(TRIM(Raw!G782),3,99),IF(LEFT(TRIM(Raw!G782),1)="$",MID(TRIM(Raw!G782),2,99),TRIM(Raw!G782)))</f>
        <v>51.74</v>
      </c>
      <c r="M782" s="1">
        <f t="shared" si="99"/>
        <v>51.74</v>
      </c>
      <c r="N782" s="10">
        <f t="shared" si="100"/>
        <v>5174</v>
      </c>
      <c r="O782" s="1" t="b">
        <f>IFERROR(IF(ISNUMBER(Raw!G782),TRUE,OR(EXACT(L782,TEXT(M782,"0.00")),EXACT(L782,TEXT(M782,"#,##0.00")))),FALSE)</f>
        <v>1</v>
      </c>
      <c r="P782" s="1" t="str">
        <f>LEN(IF(Raw!A782="","",Raw!A782))&amp;":"&amp;IF(Raw!A782="","",Raw!A782)&amp;"|"&amp;LEN(IF(Raw!B782="","",Raw!B782))&amp;":"&amp;IF(Raw!B782="","",Raw!B782)&amp;"|"&amp;LEN(IF(Raw!C782="","",Raw!C782))&amp;":"&amp;IF(Raw!C782="","",Raw!C782)&amp;"|"&amp;LEN(IF(Raw!D782="","",Raw!D782))&amp;":"&amp;IF(Raw!D782="","",Raw!D782)&amp;"|"&amp;LEN(IF(Raw!E782="","",Raw!E782))&amp;":"&amp;IF(Raw!E782="","",Raw!E782)&amp;"|"&amp;LEN(IF(Raw!F782="","",Raw!F782))&amp;":"&amp;IF(Raw!F782="","",Raw!F782)&amp;"|"&amp;LEN(IF(Raw!G782="","",Raw!G782))&amp;":"&amp;IF(Raw!G782="","",Raw!G782)</f>
        <v>6:L00776|6:T00388|10:2026-01-10|3:P-H|4:Home|4:sale|5:51.74</v>
      </c>
      <c r="Q782" s="1">
        <f>1</f>
        <v>1</v>
      </c>
      <c r="R782" s="1" t="b">
        <f>FALSE</f>
        <v>0</v>
      </c>
      <c r="S782" s="1">
        <f>1</f>
        <v>1</v>
      </c>
      <c r="T782" s="1" t="str">
        <f>IF(AND(Raw!A782="",Raw!B782="",Raw!C782="",Raw!D782="",Raw!E782="",Raw!F782="",Raw!G782=""),"UNUSED",IF(A782="","missing line ID",IF(B782="","missing transaction ID",IF(G782="",IF(C782="","missing date","invalid date"),IF(I782="","unknown product",IF(J782="","conflicting category",IF(NOT(OR(EXACT(K782,"sale"),EXACT(K782,"refund"))),"unknown event",IF(OR(N782="",NOT(O782)),"invalid amount",IF(OR(AND(K782="sale",N782&lt;=0),AND(K782="refund",N782&gt;=0)),"invalid sign","")))))))))</f>
        <v/>
      </c>
      <c r="U782" s="1" t="str">
        <f t="shared" si="101"/>
        <v>INCLUDED</v>
      </c>
      <c r="V782" s="1" t="str">
        <f t="shared" si="102"/>
        <v>2026-01</v>
      </c>
      <c r="W782" s="1">
        <f>IF(AND(U782="INCLUDED",X782&gt;0,EXACT(A782,'AI output'!A782)),1,0)</f>
        <v>1</v>
      </c>
      <c r="X782" s="1">
        <f>782</f>
        <v>782</v>
      </c>
      <c r="Y782" s="1">
        <f>IF(AND(U782="INCLUDED",W782=1),--(NOT(EXACT(A782,'AI output'!A782)))+--(NOT(EXACT(B782,'AI output'!B782)))+--(NOT(EXACT(TEXT(G782,"yyyy-mm-dd"),'AI output'!C782)))+--(NOT(EXACT(H782,'AI output'!D782)))+--(NOT(EXACT(J782,'AI output'!E782)))+--(NOT(EXACT(K782,'AI output'!F782)))+--(N782&lt;&gt;'AI output'!L782)+--(NOT('AI output'!M782)),0)</f>
        <v>0</v>
      </c>
      <c r="Z782" s="1">
        <f t="shared" si="103"/>
        <v>0</v>
      </c>
      <c r="AA782" s="1">
        <f>--EXACT(A782,"L00776")</f>
        <v>1</v>
      </c>
    </row>
    <row r="783" spans="1:27" ht="18.95" customHeight="1">
      <c r="A783" s="1" t="str">
        <f>IF(Raw!A783="","",Raw!A783)</f>
        <v>L00777</v>
      </c>
      <c r="B783" s="1" t="str">
        <f>IF(Raw!B783="","",Raw!B783)</f>
        <v>T00389</v>
      </c>
      <c r="C783" s="1" t="str">
        <f>IF(Raw!C783="","",Raw!C783)</f>
        <v>2026-01-17</v>
      </c>
      <c r="D783" s="1">
        <f t="shared" si="96"/>
        <v>2026</v>
      </c>
      <c r="E783" s="1">
        <f>IFERROR(IF(AND(LEN(C783)=10,MID(C783,5,1)="-",MID(C783,8,1)="-"),VALUE(MID(C783,6,2)),IF(AND(LEN(C783)=11,MID(C783,3,1)="-",MID(C783,7,1)="-"),MATCH(UPPER(MID(C783,4,3)),Guide!$D$7:$D$18,0),0)),0)</f>
        <v>1</v>
      </c>
      <c r="F783" s="1">
        <f t="shared" si="97"/>
        <v>17</v>
      </c>
      <c r="G783" s="9">
        <f t="shared" si="98"/>
        <v>46039</v>
      </c>
      <c r="H783" s="1" t="str">
        <f>IF(Raw!D783="","",Raw!D783)</f>
        <v>P-O</v>
      </c>
      <c r="I783" s="1" t="str">
        <f>IFERROR(IF(EXACT(H783,INDEX(Guide!$A$7:$A$9,MATCH(SUBSTITUTE(SUBSTITUTE(SUBSTITUTE(H783,"~","~~"),"*","~*"),"?","~?"),Guide!$A$7:$A$9,0))),INDEX(Guide!$B$7:$B$9,MATCH(SUBSTITUTE(SUBSTITUTE(SUBSTITUTE(H783,"~","~~"),"*","~*"),"?","~?"),Guide!$A$7:$A$9,0)),""),"")</f>
        <v>Office</v>
      </c>
      <c r="J783" s="1" t="str">
        <f>IF(TRIM(Raw!E783)="",I783,IF(UPPER(TRIM(Raw!E783))=UPPER(I783),I783,""))</f>
        <v>Office</v>
      </c>
      <c r="K783" s="1" t="str">
        <f>IF(Raw!F783="","",Raw!F783)</f>
        <v>sale</v>
      </c>
      <c r="L783" s="1" t="str">
        <f>IF(LEFT(TRIM(Raw!G783),2)="-$","-"&amp;MID(TRIM(Raw!G783),3,99),IF(LEFT(TRIM(Raw!G783),1)="$",MID(TRIM(Raw!G783),2,99),TRIM(Raw!G783)))</f>
        <v>156.33</v>
      </c>
      <c r="M783" s="1">
        <f t="shared" si="99"/>
        <v>156.33000000000001</v>
      </c>
      <c r="N783" s="10">
        <f t="shared" si="100"/>
        <v>15633</v>
      </c>
      <c r="O783" s="1" t="b">
        <f>IFERROR(IF(ISNUMBER(Raw!G783),TRUE,OR(EXACT(L783,TEXT(M783,"0.00")),EXACT(L783,TEXT(M783,"#,##0.00")))),FALSE)</f>
        <v>1</v>
      </c>
      <c r="P783" s="1" t="str">
        <f>LEN(IF(Raw!A783="","",Raw!A783))&amp;":"&amp;IF(Raw!A783="","",Raw!A783)&amp;"|"&amp;LEN(IF(Raw!B783="","",Raw!B783))&amp;":"&amp;IF(Raw!B783="","",Raw!B783)&amp;"|"&amp;LEN(IF(Raw!C783="","",Raw!C783))&amp;":"&amp;IF(Raw!C783="","",Raw!C783)&amp;"|"&amp;LEN(IF(Raw!D783="","",Raw!D783))&amp;":"&amp;IF(Raw!D783="","",Raw!D783)&amp;"|"&amp;LEN(IF(Raw!E783="","",Raw!E783))&amp;":"&amp;IF(Raw!E783="","",Raw!E783)&amp;"|"&amp;LEN(IF(Raw!F783="","",Raw!F783))&amp;":"&amp;IF(Raw!F783="","",Raw!F783)&amp;"|"&amp;LEN(IF(Raw!G783="","",Raw!G783))&amp;":"&amp;IF(Raw!G783="","",Raw!G783)</f>
        <v>6:L00777|6:T00389|10:2026-01-17|3:P-O|6:Office|4:sale|6:156.33</v>
      </c>
      <c r="Q783" s="1">
        <f>1</f>
        <v>1</v>
      </c>
      <c r="R783" s="1" t="b">
        <f>FALSE</f>
        <v>0</v>
      </c>
      <c r="S783" s="1">
        <f>1</f>
        <v>1</v>
      </c>
      <c r="T783" s="1" t="str">
        <f>IF(AND(Raw!A783="",Raw!B783="",Raw!C783="",Raw!D783="",Raw!E783="",Raw!F783="",Raw!G783=""),"UNUSED",IF(A783="","missing line ID",IF(B783="","missing transaction ID",IF(G783="",IF(C783="","missing date","invalid date"),IF(I783="","unknown product",IF(J783="","conflicting category",IF(NOT(OR(EXACT(K783,"sale"),EXACT(K783,"refund"))),"unknown event",IF(OR(N783="",NOT(O783)),"invalid amount",IF(OR(AND(K783="sale",N783&lt;=0),AND(K783="refund",N783&gt;=0)),"invalid sign","")))))))))</f>
        <v/>
      </c>
      <c r="U783" s="1" t="str">
        <f t="shared" si="101"/>
        <v>INCLUDED</v>
      </c>
      <c r="V783" s="1" t="str">
        <f t="shared" si="102"/>
        <v>2026-01</v>
      </c>
      <c r="W783" s="1">
        <f>IF(AND(U783="INCLUDED",X783&gt;0,EXACT(A783,'AI output'!A783)),1,0)</f>
        <v>1</v>
      </c>
      <c r="X783" s="1">
        <f>783</f>
        <v>783</v>
      </c>
      <c r="Y783" s="1">
        <f>IF(AND(U783="INCLUDED",W783=1),--(NOT(EXACT(A783,'AI output'!A783)))+--(NOT(EXACT(B783,'AI output'!B783)))+--(NOT(EXACT(TEXT(G783,"yyyy-mm-dd"),'AI output'!C783)))+--(NOT(EXACT(H783,'AI output'!D783)))+--(NOT(EXACT(J783,'AI output'!E783)))+--(NOT(EXACT(K783,'AI output'!F783)))+--(N783&lt;&gt;'AI output'!L783)+--(NOT('AI output'!M783)),0)</f>
        <v>0</v>
      </c>
      <c r="Z783" s="1">
        <f t="shared" si="103"/>
        <v>0</v>
      </c>
      <c r="AA783" s="1">
        <f>--EXACT(A783,"L00777")</f>
        <v>1</v>
      </c>
    </row>
    <row r="784" spans="1:27" ht="18.95" customHeight="1">
      <c r="A784" s="1" t="str">
        <f>IF(Raw!A784="","",Raw!A784)</f>
        <v>L00778</v>
      </c>
      <c r="B784" s="1" t="str">
        <f>IF(Raw!B784="","",Raw!B784)</f>
        <v>T00389</v>
      </c>
      <c r="C784" s="1" t="str">
        <f>IF(Raw!C784="","",Raw!C784)</f>
        <v>2026-01-17</v>
      </c>
      <c r="D784" s="1">
        <f t="shared" si="96"/>
        <v>2026</v>
      </c>
      <c r="E784" s="1">
        <f>IFERROR(IF(AND(LEN(C784)=10,MID(C784,5,1)="-",MID(C784,8,1)="-"),VALUE(MID(C784,6,2)),IF(AND(LEN(C784)=11,MID(C784,3,1)="-",MID(C784,7,1)="-"),MATCH(UPPER(MID(C784,4,3)),Guide!$D$7:$D$18,0),0)),0)</f>
        <v>1</v>
      </c>
      <c r="F784" s="1">
        <f t="shared" si="97"/>
        <v>17</v>
      </c>
      <c r="G784" s="9">
        <f t="shared" si="98"/>
        <v>46039</v>
      </c>
      <c r="H784" s="1" t="str">
        <f>IF(Raw!D784="","",Raw!D784)</f>
        <v>P-A</v>
      </c>
      <c r="I784" s="1" t="str">
        <f>IFERROR(IF(EXACT(H784,INDEX(Guide!$A$7:$A$9,MATCH(SUBSTITUTE(SUBSTITUTE(SUBSTITUTE(H784,"~","~~"),"*","~*"),"?","~?"),Guide!$A$7:$A$9,0))),INDEX(Guide!$B$7:$B$9,MATCH(SUBSTITUTE(SUBSTITUTE(SUBSTITUTE(H784,"~","~~"),"*","~*"),"?","~?"),Guide!$A$7:$A$9,0)),""),"")</f>
        <v>Accessories</v>
      </c>
      <c r="J784" s="1" t="str">
        <f>IF(TRIM(Raw!E784)="",I784,IF(UPPER(TRIM(Raw!E784))=UPPER(I784),I784,""))</f>
        <v>Accessories</v>
      </c>
      <c r="K784" s="1" t="str">
        <f>IF(Raw!F784="","",Raw!F784)</f>
        <v>sale</v>
      </c>
      <c r="L784" s="1" t="str">
        <f>IF(LEFT(TRIM(Raw!G784),2)="-$","-"&amp;MID(TRIM(Raw!G784),3,99),IF(LEFT(TRIM(Raw!G784),1)="$",MID(TRIM(Raw!G784),2,99),TRIM(Raw!G784)))</f>
        <v>262.40</v>
      </c>
      <c r="M784" s="1">
        <f t="shared" si="99"/>
        <v>262.39999999999998</v>
      </c>
      <c r="N784" s="10">
        <f t="shared" si="100"/>
        <v>26240</v>
      </c>
      <c r="O784" s="1" t="b">
        <f>IFERROR(IF(ISNUMBER(Raw!G784),TRUE,OR(EXACT(L784,TEXT(M784,"0.00")),EXACT(L784,TEXT(M784,"#,##0.00")))),FALSE)</f>
        <v>1</v>
      </c>
      <c r="P784" s="1" t="str">
        <f>LEN(IF(Raw!A784="","",Raw!A784))&amp;":"&amp;IF(Raw!A784="","",Raw!A784)&amp;"|"&amp;LEN(IF(Raw!B784="","",Raw!B784))&amp;":"&amp;IF(Raw!B784="","",Raw!B784)&amp;"|"&amp;LEN(IF(Raw!C784="","",Raw!C784))&amp;":"&amp;IF(Raw!C784="","",Raw!C784)&amp;"|"&amp;LEN(IF(Raw!D784="","",Raw!D784))&amp;":"&amp;IF(Raw!D784="","",Raw!D784)&amp;"|"&amp;LEN(IF(Raw!E784="","",Raw!E784))&amp;":"&amp;IF(Raw!E784="","",Raw!E784)&amp;"|"&amp;LEN(IF(Raw!F784="","",Raw!F784))&amp;":"&amp;IF(Raw!F784="","",Raw!F784)&amp;"|"&amp;LEN(IF(Raw!G784="","",Raw!G784))&amp;":"&amp;IF(Raw!G784="","",Raw!G784)</f>
        <v>6:L00778|6:T00389|10:2026-01-17|3:P-A|11:Accessories|4:sale|6:262.40</v>
      </c>
      <c r="Q784" s="1">
        <f>1</f>
        <v>1</v>
      </c>
      <c r="R784" s="1" t="b">
        <f>FALSE</f>
        <v>0</v>
      </c>
      <c r="S784" s="1">
        <f>1</f>
        <v>1</v>
      </c>
      <c r="T784" s="1" t="str">
        <f>IF(AND(Raw!A784="",Raw!B784="",Raw!C784="",Raw!D784="",Raw!E784="",Raw!F784="",Raw!G784=""),"UNUSED",IF(A784="","missing line ID",IF(B784="","missing transaction ID",IF(G784="",IF(C784="","missing date","invalid date"),IF(I784="","unknown product",IF(J784="","conflicting category",IF(NOT(OR(EXACT(K784,"sale"),EXACT(K784,"refund"))),"unknown event",IF(OR(N784="",NOT(O784)),"invalid amount",IF(OR(AND(K784="sale",N784&lt;=0),AND(K784="refund",N784&gt;=0)),"invalid sign","")))))))))</f>
        <v/>
      </c>
      <c r="U784" s="1" t="str">
        <f t="shared" si="101"/>
        <v>INCLUDED</v>
      </c>
      <c r="V784" s="1" t="str">
        <f t="shared" si="102"/>
        <v>2026-01</v>
      </c>
      <c r="W784" s="1">
        <f>IF(AND(U784="INCLUDED",X784&gt;0,EXACT(A784,'AI output'!A784)),1,0)</f>
        <v>1</v>
      </c>
      <c r="X784" s="1">
        <f>784</f>
        <v>784</v>
      </c>
      <c r="Y784" s="1">
        <f>IF(AND(U784="INCLUDED",W784=1),--(NOT(EXACT(A784,'AI output'!A784)))+--(NOT(EXACT(B784,'AI output'!B784)))+--(NOT(EXACT(TEXT(G784,"yyyy-mm-dd"),'AI output'!C784)))+--(NOT(EXACT(H784,'AI output'!D784)))+--(NOT(EXACT(J784,'AI output'!E784)))+--(NOT(EXACT(K784,'AI output'!F784)))+--(N784&lt;&gt;'AI output'!L784)+--(NOT('AI output'!M784)),0)</f>
        <v>0</v>
      </c>
      <c r="Z784" s="1">
        <f t="shared" si="103"/>
        <v>0</v>
      </c>
      <c r="AA784" s="1">
        <f>--EXACT(A784,"L00778")</f>
        <v>1</v>
      </c>
    </row>
    <row r="785" spans="1:27" ht="18.95" customHeight="1">
      <c r="A785" s="1" t="str">
        <f>IF(Raw!A785="","",Raw!A785)</f>
        <v>L00779</v>
      </c>
      <c r="B785" s="1" t="str">
        <f>IF(Raw!B785="","",Raw!B785)</f>
        <v>T00390</v>
      </c>
      <c r="C785" s="1" t="str">
        <f>IF(Raw!C785="","",Raw!C785)</f>
        <v>2026-01-24</v>
      </c>
      <c r="D785" s="1">
        <f t="shared" si="96"/>
        <v>2026</v>
      </c>
      <c r="E785" s="1">
        <f>IFERROR(IF(AND(LEN(C785)=10,MID(C785,5,1)="-",MID(C785,8,1)="-"),VALUE(MID(C785,6,2)),IF(AND(LEN(C785)=11,MID(C785,3,1)="-",MID(C785,7,1)="-"),MATCH(UPPER(MID(C785,4,3)),Guide!$D$7:$D$18,0),0)),0)</f>
        <v>1</v>
      </c>
      <c r="F785" s="1">
        <f t="shared" si="97"/>
        <v>24</v>
      </c>
      <c r="G785" s="9">
        <f t="shared" si="98"/>
        <v>46046</v>
      </c>
      <c r="H785" s="1" t="str">
        <f>IF(Raw!D785="","",Raw!D785)</f>
        <v>P-H</v>
      </c>
      <c r="I785" s="1" t="str">
        <f>IFERROR(IF(EXACT(H785,INDEX(Guide!$A$7:$A$9,MATCH(SUBSTITUTE(SUBSTITUTE(SUBSTITUTE(H785,"~","~~"),"*","~*"),"?","~?"),Guide!$A$7:$A$9,0))),INDEX(Guide!$B$7:$B$9,MATCH(SUBSTITUTE(SUBSTITUTE(SUBSTITUTE(H785,"~","~~"),"*","~*"),"?","~?"),Guide!$A$7:$A$9,0)),""),"")</f>
        <v>Home</v>
      </c>
      <c r="J785" s="1" t="str">
        <f>IF(TRIM(Raw!E785)="",I785,IF(UPPER(TRIM(Raw!E785))=UPPER(I785),I785,""))</f>
        <v>Home</v>
      </c>
      <c r="K785" s="1" t="str">
        <f>IF(Raw!F785="","",Raw!F785)</f>
        <v>sale</v>
      </c>
      <c r="L785" s="1" t="str">
        <f>IF(LEFT(TRIM(Raw!G785),2)="-$","-"&amp;MID(TRIM(Raw!G785),3,99),IF(LEFT(TRIM(Raw!G785),1)="$",MID(TRIM(Raw!G785),2,99),TRIM(Raw!G785)))</f>
        <v>105.70</v>
      </c>
      <c r="M785" s="1">
        <f t="shared" si="99"/>
        <v>105.7</v>
      </c>
      <c r="N785" s="10">
        <f t="shared" si="100"/>
        <v>10570</v>
      </c>
      <c r="O785" s="1" t="b">
        <f>IFERROR(IF(ISNUMBER(Raw!G785),TRUE,OR(EXACT(L785,TEXT(M785,"0.00")),EXACT(L785,TEXT(M785,"#,##0.00")))),FALSE)</f>
        <v>1</v>
      </c>
      <c r="P785" s="1" t="str">
        <f>LEN(IF(Raw!A785="","",Raw!A785))&amp;":"&amp;IF(Raw!A785="","",Raw!A785)&amp;"|"&amp;LEN(IF(Raw!B785="","",Raw!B785))&amp;":"&amp;IF(Raw!B785="","",Raw!B785)&amp;"|"&amp;LEN(IF(Raw!C785="","",Raw!C785))&amp;":"&amp;IF(Raw!C785="","",Raw!C785)&amp;"|"&amp;LEN(IF(Raw!D785="","",Raw!D785))&amp;":"&amp;IF(Raw!D785="","",Raw!D785)&amp;"|"&amp;LEN(IF(Raw!E785="","",Raw!E785))&amp;":"&amp;IF(Raw!E785="","",Raw!E785)&amp;"|"&amp;LEN(IF(Raw!F785="","",Raw!F785))&amp;":"&amp;IF(Raw!F785="","",Raw!F785)&amp;"|"&amp;LEN(IF(Raw!G785="","",Raw!G785))&amp;":"&amp;IF(Raw!G785="","",Raw!G785)</f>
        <v>6:L00779|6:T00390|10:2026-01-24|3:P-H|4:Home|4:sale|6:105.70</v>
      </c>
      <c r="Q785" s="1">
        <f>1</f>
        <v>1</v>
      </c>
      <c r="R785" s="1" t="b">
        <f>FALSE</f>
        <v>0</v>
      </c>
      <c r="S785" s="1">
        <f>1</f>
        <v>1</v>
      </c>
      <c r="T785" s="1" t="str">
        <f>IF(AND(Raw!A785="",Raw!B785="",Raw!C785="",Raw!D785="",Raw!E785="",Raw!F785="",Raw!G785=""),"UNUSED",IF(A785="","missing line ID",IF(B785="","missing transaction ID",IF(G785="",IF(C785="","missing date","invalid date"),IF(I785="","unknown product",IF(J785="","conflicting category",IF(NOT(OR(EXACT(K785,"sale"),EXACT(K785,"refund"))),"unknown event",IF(OR(N785="",NOT(O785)),"invalid amount",IF(OR(AND(K785="sale",N785&lt;=0),AND(K785="refund",N785&gt;=0)),"invalid sign","")))))))))</f>
        <v/>
      </c>
      <c r="U785" s="1" t="str">
        <f t="shared" si="101"/>
        <v>INCLUDED</v>
      </c>
      <c r="V785" s="1" t="str">
        <f t="shared" si="102"/>
        <v>2026-01</v>
      </c>
      <c r="W785" s="1">
        <f>IF(AND(U785="INCLUDED",X785&gt;0,EXACT(A785,'AI output'!A785)),1,0)</f>
        <v>1</v>
      </c>
      <c r="X785" s="1">
        <f>785</f>
        <v>785</v>
      </c>
      <c r="Y785" s="1">
        <f>IF(AND(U785="INCLUDED",W785=1),--(NOT(EXACT(A785,'AI output'!A785)))+--(NOT(EXACT(B785,'AI output'!B785)))+--(NOT(EXACT(TEXT(G785,"yyyy-mm-dd"),'AI output'!C785)))+--(NOT(EXACT(H785,'AI output'!D785)))+--(NOT(EXACT(J785,'AI output'!E785)))+--(NOT(EXACT(K785,'AI output'!F785)))+--(N785&lt;&gt;'AI output'!L785)+--(NOT('AI output'!M785)),0)</f>
        <v>0</v>
      </c>
      <c r="Z785" s="1">
        <f t="shared" si="103"/>
        <v>0</v>
      </c>
      <c r="AA785" s="1">
        <f>--EXACT(A785,"L00779")</f>
        <v>1</v>
      </c>
    </row>
    <row r="786" spans="1:27" ht="18.95" customHeight="1">
      <c r="A786" s="1" t="str">
        <f>IF(Raw!A786="","",Raw!A786)</f>
        <v>L00780</v>
      </c>
      <c r="B786" s="1" t="str">
        <f>IF(Raw!B786="","",Raw!B786)</f>
        <v>T00390</v>
      </c>
      <c r="C786" s="1" t="str">
        <f>IF(Raw!C786="","",Raw!C786)</f>
        <v>2026-01-24</v>
      </c>
      <c r="D786" s="1">
        <f t="shared" si="96"/>
        <v>2026</v>
      </c>
      <c r="E786" s="1">
        <f>IFERROR(IF(AND(LEN(C786)=10,MID(C786,5,1)="-",MID(C786,8,1)="-"),VALUE(MID(C786,6,2)),IF(AND(LEN(C786)=11,MID(C786,3,1)="-",MID(C786,7,1)="-"),MATCH(UPPER(MID(C786,4,3)),Guide!$D$7:$D$18,0),0)),0)</f>
        <v>1</v>
      </c>
      <c r="F786" s="1">
        <f t="shared" si="97"/>
        <v>24</v>
      </c>
      <c r="G786" s="9">
        <f t="shared" si="98"/>
        <v>46046</v>
      </c>
      <c r="H786" s="1" t="str">
        <f>IF(Raw!D786="","",Raw!D786)</f>
        <v>P-O</v>
      </c>
      <c r="I786" s="1" t="str">
        <f>IFERROR(IF(EXACT(H786,INDEX(Guide!$A$7:$A$9,MATCH(SUBSTITUTE(SUBSTITUTE(SUBSTITUTE(H786,"~","~~"),"*","~*"),"?","~?"),Guide!$A$7:$A$9,0))),INDEX(Guide!$B$7:$B$9,MATCH(SUBSTITUTE(SUBSTITUTE(SUBSTITUTE(H786,"~","~~"),"*","~*"),"?","~?"),Guide!$A$7:$A$9,0)),""),"")</f>
        <v>Office</v>
      </c>
      <c r="J786" s="1" t="str">
        <f>IF(TRIM(Raw!E786)="",I786,IF(UPPER(TRIM(Raw!E786))=UPPER(I786),I786,""))</f>
        <v>Office</v>
      </c>
      <c r="K786" s="1" t="str">
        <f>IF(Raw!F786="","",Raw!F786)</f>
        <v>sale</v>
      </c>
      <c r="L786" s="1" t="str">
        <f>IF(LEFT(TRIM(Raw!G786),2)="-$","-"&amp;MID(TRIM(Raw!G786),3,99),IF(LEFT(TRIM(Raw!G786),1)="$",MID(TRIM(Raw!G786),2,99),TRIM(Raw!G786)))</f>
        <v>212.88</v>
      </c>
      <c r="M786" s="1">
        <f t="shared" si="99"/>
        <v>212.88</v>
      </c>
      <c r="N786" s="10">
        <f t="shared" si="100"/>
        <v>21288</v>
      </c>
      <c r="O786" s="1" t="b">
        <f>IFERROR(IF(ISNUMBER(Raw!G786),TRUE,OR(EXACT(L786,TEXT(M786,"0.00")),EXACT(L786,TEXT(M786,"#,##0.00")))),FALSE)</f>
        <v>1</v>
      </c>
      <c r="P786" s="1" t="str">
        <f>LEN(IF(Raw!A786="","",Raw!A786))&amp;":"&amp;IF(Raw!A786="","",Raw!A786)&amp;"|"&amp;LEN(IF(Raw!B786="","",Raw!B786))&amp;":"&amp;IF(Raw!B786="","",Raw!B786)&amp;"|"&amp;LEN(IF(Raw!C786="","",Raw!C786))&amp;":"&amp;IF(Raw!C786="","",Raw!C786)&amp;"|"&amp;LEN(IF(Raw!D786="","",Raw!D786))&amp;":"&amp;IF(Raw!D786="","",Raw!D786)&amp;"|"&amp;LEN(IF(Raw!E786="","",Raw!E786))&amp;":"&amp;IF(Raw!E786="","",Raw!E786)&amp;"|"&amp;LEN(IF(Raw!F786="","",Raw!F786))&amp;":"&amp;IF(Raw!F786="","",Raw!F786)&amp;"|"&amp;LEN(IF(Raw!G786="","",Raw!G786))&amp;":"&amp;IF(Raw!G786="","",Raw!G786)</f>
        <v>6:L00780|6:T00390|10:2026-01-24|3:P-O|6:Office|4:sale|6:212.88</v>
      </c>
      <c r="Q786" s="1">
        <f>1</f>
        <v>1</v>
      </c>
      <c r="R786" s="1" t="b">
        <f>FALSE</f>
        <v>0</v>
      </c>
      <c r="S786" s="1">
        <f>1</f>
        <v>1</v>
      </c>
      <c r="T786" s="1" t="str">
        <f>IF(AND(Raw!A786="",Raw!B786="",Raw!C786="",Raw!D786="",Raw!E786="",Raw!F786="",Raw!G786=""),"UNUSED",IF(A786="","missing line ID",IF(B786="","missing transaction ID",IF(G786="",IF(C786="","missing date","invalid date"),IF(I786="","unknown product",IF(J786="","conflicting category",IF(NOT(OR(EXACT(K786,"sale"),EXACT(K786,"refund"))),"unknown event",IF(OR(N786="",NOT(O786)),"invalid amount",IF(OR(AND(K786="sale",N786&lt;=0),AND(K786="refund",N786&gt;=0)),"invalid sign","")))))))))</f>
        <v/>
      </c>
      <c r="U786" s="1" t="str">
        <f t="shared" si="101"/>
        <v>INCLUDED</v>
      </c>
      <c r="V786" s="1" t="str">
        <f t="shared" si="102"/>
        <v>2026-01</v>
      </c>
      <c r="W786" s="1">
        <f>IF(AND(U786="INCLUDED",X786&gt;0,EXACT(A786,'AI output'!A786)),1,0)</f>
        <v>1</v>
      </c>
      <c r="X786" s="1">
        <f>786</f>
        <v>786</v>
      </c>
      <c r="Y786" s="1">
        <f>IF(AND(U786="INCLUDED",W786=1),--(NOT(EXACT(A786,'AI output'!A786)))+--(NOT(EXACT(B786,'AI output'!B786)))+--(NOT(EXACT(TEXT(G786,"yyyy-mm-dd"),'AI output'!C786)))+--(NOT(EXACT(H786,'AI output'!D786)))+--(NOT(EXACT(J786,'AI output'!E786)))+--(NOT(EXACT(K786,'AI output'!F786)))+--(N786&lt;&gt;'AI output'!L786)+--(NOT('AI output'!M786)),0)</f>
        <v>0</v>
      </c>
      <c r="Z786" s="1">
        <f t="shared" si="103"/>
        <v>0</v>
      </c>
      <c r="AA786" s="1">
        <f>--EXACT(A786,"L00780")</f>
        <v>1</v>
      </c>
    </row>
    <row r="787" spans="1:27" ht="18.95" customHeight="1">
      <c r="A787" s="1" t="str">
        <f>IF(Raw!A787="","",Raw!A787)</f>
        <v>L00781</v>
      </c>
      <c r="B787" s="1" t="str">
        <f>IF(Raw!B787="","",Raw!B787)</f>
        <v>T00391</v>
      </c>
      <c r="C787" s="1" t="str">
        <f>IF(Raw!C787="","",Raw!C787)</f>
        <v>2026-01-31</v>
      </c>
      <c r="D787" s="1">
        <f t="shared" si="96"/>
        <v>2026</v>
      </c>
      <c r="E787" s="1">
        <f>IFERROR(IF(AND(LEN(C787)=10,MID(C787,5,1)="-",MID(C787,8,1)="-"),VALUE(MID(C787,6,2)),IF(AND(LEN(C787)=11,MID(C787,3,1)="-",MID(C787,7,1)="-"),MATCH(UPPER(MID(C787,4,3)),Guide!$D$7:$D$18,0),0)),0)</f>
        <v>1</v>
      </c>
      <c r="F787" s="1">
        <f t="shared" si="97"/>
        <v>31</v>
      </c>
      <c r="G787" s="9">
        <f t="shared" si="98"/>
        <v>46053</v>
      </c>
      <c r="H787" s="1" t="str">
        <f>IF(Raw!D787="","",Raw!D787)</f>
        <v>P-A</v>
      </c>
      <c r="I787" s="1" t="str">
        <f>IFERROR(IF(EXACT(H787,INDEX(Guide!$A$7:$A$9,MATCH(SUBSTITUTE(SUBSTITUTE(SUBSTITUTE(H787,"~","~~"),"*","~*"),"?","~?"),Guide!$A$7:$A$9,0))),INDEX(Guide!$B$7:$B$9,MATCH(SUBSTITUTE(SUBSTITUTE(SUBSTITUTE(H787,"~","~~"),"*","~*"),"?","~?"),Guide!$A$7:$A$9,0)),""),"")</f>
        <v>Accessories</v>
      </c>
      <c r="J787" s="1" t="str">
        <f>IF(TRIM(Raw!E787)="",I787,IF(UPPER(TRIM(Raw!E787))=UPPER(I787),I787,""))</f>
        <v>Accessories</v>
      </c>
      <c r="K787" s="1" t="str">
        <f>IF(Raw!F787="","",Raw!F787)</f>
        <v>sale</v>
      </c>
      <c r="L787" s="1" t="str">
        <f>IF(LEFT(TRIM(Raw!G787),2)="-$","-"&amp;MID(TRIM(Raw!G787),3,99),IF(LEFT(TRIM(Raw!G787),1)="$",MID(TRIM(Raw!G787),2,99),TRIM(Raw!G787)))</f>
        <v>53.59</v>
      </c>
      <c r="M787" s="1">
        <f t="shared" si="99"/>
        <v>53.59</v>
      </c>
      <c r="N787" s="10">
        <f t="shared" si="100"/>
        <v>5359</v>
      </c>
      <c r="O787" s="1" t="b">
        <f>IFERROR(IF(ISNUMBER(Raw!G787),TRUE,OR(EXACT(L787,TEXT(M787,"0.00")),EXACT(L787,TEXT(M787,"#,##0.00")))),FALSE)</f>
        <v>1</v>
      </c>
      <c r="P787" s="1" t="str">
        <f>LEN(IF(Raw!A787="","",Raw!A787))&amp;":"&amp;IF(Raw!A787="","",Raw!A787)&amp;"|"&amp;LEN(IF(Raw!B787="","",Raw!B787))&amp;":"&amp;IF(Raw!B787="","",Raw!B787)&amp;"|"&amp;LEN(IF(Raw!C787="","",Raw!C787))&amp;":"&amp;IF(Raw!C787="","",Raw!C787)&amp;"|"&amp;LEN(IF(Raw!D787="","",Raw!D787))&amp;":"&amp;IF(Raw!D787="","",Raw!D787)&amp;"|"&amp;LEN(IF(Raw!E787="","",Raw!E787))&amp;":"&amp;IF(Raw!E787="","",Raw!E787)&amp;"|"&amp;LEN(IF(Raw!F787="","",Raw!F787))&amp;":"&amp;IF(Raw!F787="","",Raw!F787)&amp;"|"&amp;LEN(IF(Raw!G787="","",Raw!G787))&amp;":"&amp;IF(Raw!G787="","",Raw!G787)</f>
        <v>6:L00781|6:T00391|10:2026-01-31|3:P-A|11:Accessories|4:sale|5:53.59</v>
      </c>
      <c r="Q787" s="1">
        <f>1</f>
        <v>1</v>
      </c>
      <c r="R787" s="1" t="b">
        <f>FALSE</f>
        <v>0</v>
      </c>
      <c r="S787" s="1">
        <f>1</f>
        <v>1</v>
      </c>
      <c r="T787" s="1" t="str">
        <f>IF(AND(Raw!A787="",Raw!B787="",Raw!C787="",Raw!D787="",Raw!E787="",Raw!F787="",Raw!G787=""),"UNUSED",IF(A787="","missing line ID",IF(B787="","missing transaction ID",IF(G787="",IF(C787="","missing date","invalid date"),IF(I787="","unknown product",IF(J787="","conflicting category",IF(NOT(OR(EXACT(K787,"sale"),EXACT(K787,"refund"))),"unknown event",IF(OR(N787="",NOT(O787)),"invalid amount",IF(OR(AND(K787="sale",N787&lt;=0),AND(K787="refund",N787&gt;=0)),"invalid sign","")))))))))</f>
        <v/>
      </c>
      <c r="U787" s="1" t="str">
        <f t="shared" si="101"/>
        <v>INCLUDED</v>
      </c>
      <c r="V787" s="1" t="str">
        <f t="shared" si="102"/>
        <v>2026-01</v>
      </c>
      <c r="W787" s="1">
        <f>IF(AND(U787="INCLUDED",X787&gt;0,EXACT(A787,'AI output'!A787)),1,0)</f>
        <v>1</v>
      </c>
      <c r="X787" s="1">
        <f>787</f>
        <v>787</v>
      </c>
      <c r="Y787" s="1">
        <f>IF(AND(U787="INCLUDED",W787=1),--(NOT(EXACT(A787,'AI output'!A787)))+--(NOT(EXACT(B787,'AI output'!B787)))+--(NOT(EXACT(TEXT(G787,"yyyy-mm-dd"),'AI output'!C787)))+--(NOT(EXACT(H787,'AI output'!D787)))+--(NOT(EXACT(J787,'AI output'!E787)))+--(NOT(EXACT(K787,'AI output'!F787)))+--(N787&lt;&gt;'AI output'!L787)+--(NOT('AI output'!M787)),0)</f>
        <v>0</v>
      </c>
      <c r="Z787" s="1">
        <f t="shared" si="103"/>
        <v>0</v>
      </c>
      <c r="AA787" s="1">
        <f>--EXACT(A787,"L00781")</f>
        <v>1</v>
      </c>
    </row>
    <row r="788" spans="1:27" ht="18.95" customHeight="1">
      <c r="A788" s="1" t="str">
        <f>IF(Raw!A788="","",Raw!A788)</f>
        <v>L00782</v>
      </c>
      <c r="B788" s="1" t="str">
        <f>IF(Raw!B788="","",Raw!B788)</f>
        <v>T00391</v>
      </c>
      <c r="C788" s="1" t="str">
        <f>IF(Raw!C788="","",Raw!C788)</f>
        <v>2026-01-31</v>
      </c>
      <c r="D788" s="1">
        <f t="shared" si="96"/>
        <v>2026</v>
      </c>
      <c r="E788" s="1">
        <f>IFERROR(IF(AND(LEN(C788)=10,MID(C788,5,1)="-",MID(C788,8,1)="-"),VALUE(MID(C788,6,2)),IF(AND(LEN(C788)=11,MID(C788,3,1)="-",MID(C788,7,1)="-"),MATCH(UPPER(MID(C788,4,3)),Guide!$D$7:$D$18,0),0)),0)</f>
        <v>1</v>
      </c>
      <c r="F788" s="1">
        <f t="shared" si="97"/>
        <v>31</v>
      </c>
      <c r="G788" s="9">
        <f t="shared" si="98"/>
        <v>46053</v>
      </c>
      <c r="H788" s="1" t="str">
        <f>IF(Raw!D788="","",Raw!D788)</f>
        <v>P-H</v>
      </c>
      <c r="I788" s="1" t="str">
        <f>IFERROR(IF(EXACT(H788,INDEX(Guide!$A$7:$A$9,MATCH(SUBSTITUTE(SUBSTITUTE(SUBSTITUTE(H788,"~","~~"),"*","~*"),"?","~?"),Guide!$A$7:$A$9,0))),INDEX(Guide!$B$7:$B$9,MATCH(SUBSTITUTE(SUBSTITUTE(SUBSTITUTE(H788,"~","~~"),"*","~*"),"?","~?"),Guide!$A$7:$A$9,0)),""),"")</f>
        <v>Home</v>
      </c>
      <c r="J788" s="1" t="str">
        <f>IF(TRIM(Raw!E788)="",I788,IF(UPPER(TRIM(Raw!E788))=UPPER(I788),I788,""))</f>
        <v>Home</v>
      </c>
      <c r="K788" s="1" t="str">
        <f>IF(Raw!F788="","",Raw!F788)</f>
        <v>sale</v>
      </c>
      <c r="L788" s="1" t="str">
        <f>IF(LEFT(TRIM(Raw!G788),2)="-$","-"&amp;MID(TRIM(Raw!G788),3,99),IF(LEFT(TRIM(Raw!G788),1)="$",MID(TRIM(Raw!G788),2,99),TRIM(Raw!G788)))</f>
        <v>161.88</v>
      </c>
      <c r="M788" s="1">
        <f t="shared" si="99"/>
        <v>161.88</v>
      </c>
      <c r="N788" s="10">
        <f t="shared" si="100"/>
        <v>16188</v>
      </c>
      <c r="O788" s="1" t="b">
        <f>IFERROR(IF(ISNUMBER(Raw!G788),TRUE,OR(EXACT(L788,TEXT(M788,"0.00")),EXACT(L788,TEXT(M788,"#,##0.00")))),FALSE)</f>
        <v>1</v>
      </c>
      <c r="P788" s="1" t="str">
        <f>LEN(IF(Raw!A788="","",Raw!A788))&amp;":"&amp;IF(Raw!A788="","",Raw!A788)&amp;"|"&amp;LEN(IF(Raw!B788="","",Raw!B788))&amp;":"&amp;IF(Raw!B788="","",Raw!B788)&amp;"|"&amp;LEN(IF(Raw!C788="","",Raw!C788))&amp;":"&amp;IF(Raw!C788="","",Raw!C788)&amp;"|"&amp;LEN(IF(Raw!D788="","",Raw!D788))&amp;":"&amp;IF(Raw!D788="","",Raw!D788)&amp;"|"&amp;LEN(IF(Raw!E788="","",Raw!E788))&amp;":"&amp;IF(Raw!E788="","",Raw!E788)&amp;"|"&amp;LEN(IF(Raw!F788="","",Raw!F788))&amp;":"&amp;IF(Raw!F788="","",Raw!F788)&amp;"|"&amp;LEN(IF(Raw!G788="","",Raw!G788))&amp;":"&amp;IF(Raw!G788="","",Raw!G788)</f>
        <v>6:L00782|6:T00391|10:2026-01-31|3:P-H|4:Home|4:sale|6:161.88</v>
      </c>
      <c r="Q788" s="1">
        <f>1</f>
        <v>1</v>
      </c>
      <c r="R788" s="1" t="b">
        <f>FALSE</f>
        <v>0</v>
      </c>
      <c r="S788" s="1">
        <f>1</f>
        <v>1</v>
      </c>
      <c r="T788" s="1" t="str">
        <f>IF(AND(Raw!A788="",Raw!B788="",Raw!C788="",Raw!D788="",Raw!E788="",Raw!F788="",Raw!G788=""),"UNUSED",IF(A788="","missing line ID",IF(B788="","missing transaction ID",IF(G788="",IF(C788="","missing date","invalid date"),IF(I788="","unknown product",IF(J788="","conflicting category",IF(NOT(OR(EXACT(K788,"sale"),EXACT(K788,"refund"))),"unknown event",IF(OR(N788="",NOT(O788)),"invalid amount",IF(OR(AND(K788="sale",N788&lt;=0),AND(K788="refund",N788&gt;=0)),"invalid sign","")))))))))</f>
        <v/>
      </c>
      <c r="U788" s="1" t="str">
        <f t="shared" si="101"/>
        <v>INCLUDED</v>
      </c>
      <c r="V788" s="1" t="str">
        <f t="shared" si="102"/>
        <v>2026-01</v>
      </c>
      <c r="W788" s="1">
        <f>IF(AND(U788="INCLUDED",X788&gt;0,EXACT(A788,'AI output'!A788)),1,0)</f>
        <v>1</v>
      </c>
      <c r="X788" s="1">
        <f>788</f>
        <v>788</v>
      </c>
      <c r="Y788" s="1">
        <f>IF(AND(U788="INCLUDED",W788=1),--(NOT(EXACT(A788,'AI output'!A788)))+--(NOT(EXACT(B788,'AI output'!B788)))+--(NOT(EXACT(TEXT(G788,"yyyy-mm-dd"),'AI output'!C788)))+--(NOT(EXACT(H788,'AI output'!D788)))+--(NOT(EXACT(J788,'AI output'!E788)))+--(NOT(EXACT(K788,'AI output'!F788)))+--(N788&lt;&gt;'AI output'!L788)+--(NOT('AI output'!M788)),0)</f>
        <v>0</v>
      </c>
      <c r="Z788" s="1">
        <f t="shared" si="103"/>
        <v>0</v>
      </c>
      <c r="AA788" s="1">
        <f>--EXACT(A788,"L00782")</f>
        <v>1</v>
      </c>
    </row>
    <row r="789" spans="1:27" ht="18.95" customHeight="1">
      <c r="A789" s="1" t="str">
        <f>IF(Raw!A789="","",Raw!A789)</f>
        <v>L00783</v>
      </c>
      <c r="B789" s="1" t="str">
        <f>IF(Raw!B789="","",Raw!B789)</f>
        <v>T00392</v>
      </c>
      <c r="C789" s="1" t="str">
        <f>IF(Raw!C789="","",Raw!C789)</f>
        <v>2026-02-07</v>
      </c>
      <c r="D789" s="1">
        <f t="shared" si="96"/>
        <v>2026</v>
      </c>
      <c r="E789" s="1">
        <f>IFERROR(IF(AND(LEN(C789)=10,MID(C789,5,1)="-",MID(C789,8,1)="-"),VALUE(MID(C789,6,2)),IF(AND(LEN(C789)=11,MID(C789,3,1)="-",MID(C789,7,1)="-"),MATCH(UPPER(MID(C789,4,3)),Guide!$D$7:$D$18,0),0)),0)</f>
        <v>2</v>
      </c>
      <c r="F789" s="1">
        <f t="shared" si="97"/>
        <v>7</v>
      </c>
      <c r="G789" s="9">
        <f t="shared" si="98"/>
        <v>46060</v>
      </c>
      <c r="H789" s="1" t="str">
        <f>IF(Raw!D789="","",Raw!D789)</f>
        <v>P-O</v>
      </c>
      <c r="I789" s="1" t="str">
        <f>IFERROR(IF(EXACT(H789,INDEX(Guide!$A$7:$A$9,MATCH(SUBSTITUTE(SUBSTITUTE(SUBSTITUTE(H789,"~","~~"),"*","~*"),"?","~?"),Guide!$A$7:$A$9,0))),INDEX(Guide!$B$7:$B$9,MATCH(SUBSTITUTE(SUBSTITUTE(SUBSTITUTE(H789,"~","~~"),"*","~*"),"?","~?"),Guide!$A$7:$A$9,0)),""),"")</f>
        <v>Office</v>
      </c>
      <c r="J789" s="1" t="str">
        <f>IF(TRIM(Raw!E789)="",I789,IF(UPPER(TRIM(Raw!E789))=UPPER(I789),I789,""))</f>
        <v>Office</v>
      </c>
      <c r="K789" s="1" t="str">
        <f>IF(Raw!F789="","",Raw!F789)</f>
        <v>refund</v>
      </c>
      <c r="L789" s="1" t="str">
        <f>IF(LEFT(TRIM(Raw!G789),2)="-$","-"&amp;MID(TRIM(Raw!G789),3,99),IF(LEFT(TRIM(Raw!G789),1)="$",MID(TRIM(Raw!G789),2,99),TRIM(Raw!G789)))</f>
        <v>-271.65</v>
      </c>
      <c r="M789" s="1">
        <f t="shared" si="99"/>
        <v>-271.64999999999998</v>
      </c>
      <c r="N789" s="10">
        <f t="shared" si="100"/>
        <v>-27165</v>
      </c>
      <c r="O789" s="1" t="b">
        <f>IFERROR(IF(ISNUMBER(Raw!G789),TRUE,OR(EXACT(L789,TEXT(M789,"0.00")),EXACT(L789,TEXT(M789,"#,##0.00")))),FALSE)</f>
        <v>1</v>
      </c>
      <c r="P789" s="1" t="str">
        <f>LEN(IF(Raw!A789="","",Raw!A789))&amp;":"&amp;IF(Raw!A789="","",Raw!A789)&amp;"|"&amp;LEN(IF(Raw!B789="","",Raw!B789))&amp;":"&amp;IF(Raw!B789="","",Raw!B789)&amp;"|"&amp;LEN(IF(Raw!C789="","",Raw!C789))&amp;":"&amp;IF(Raw!C789="","",Raw!C789)&amp;"|"&amp;LEN(IF(Raw!D789="","",Raw!D789))&amp;":"&amp;IF(Raw!D789="","",Raw!D789)&amp;"|"&amp;LEN(IF(Raw!E789="","",Raw!E789))&amp;":"&amp;IF(Raw!E789="","",Raw!E789)&amp;"|"&amp;LEN(IF(Raw!F789="","",Raw!F789))&amp;":"&amp;IF(Raw!F789="","",Raw!F789)&amp;"|"&amp;LEN(IF(Raw!G789="","",Raw!G789))&amp;":"&amp;IF(Raw!G789="","",Raw!G789)</f>
        <v>6:L00783|6:T00392|10:2026-02-07|3:P-O|6:Office|6:refund|7:-271.65</v>
      </c>
      <c r="Q789" s="1">
        <f>1</f>
        <v>1</v>
      </c>
      <c r="R789" s="1" t="b">
        <f>FALSE</f>
        <v>0</v>
      </c>
      <c r="S789" s="1">
        <f>1</f>
        <v>1</v>
      </c>
      <c r="T789" s="1" t="str">
        <f>IF(AND(Raw!A789="",Raw!B789="",Raw!C789="",Raw!D789="",Raw!E789="",Raw!F789="",Raw!G789=""),"UNUSED",IF(A789="","missing line ID",IF(B789="","missing transaction ID",IF(G789="",IF(C789="","missing date","invalid date"),IF(I789="","unknown product",IF(J789="","conflicting category",IF(NOT(OR(EXACT(K789,"sale"),EXACT(K789,"refund"))),"unknown event",IF(OR(N789="",NOT(O789)),"invalid amount",IF(OR(AND(K789="sale",N789&lt;=0),AND(K789="refund",N789&gt;=0)),"invalid sign","")))))))))</f>
        <v/>
      </c>
      <c r="U789" s="1" t="str">
        <f t="shared" si="101"/>
        <v>INCLUDED</v>
      </c>
      <c r="V789" s="1" t="str">
        <f t="shared" si="102"/>
        <v>2026-02</v>
      </c>
      <c r="W789" s="1">
        <f>IF(AND(U789="INCLUDED",X789&gt;0,EXACT(A789,'AI output'!A789)),1,0)</f>
        <v>1</v>
      </c>
      <c r="X789" s="1">
        <f>789</f>
        <v>789</v>
      </c>
      <c r="Y789" s="1">
        <f>IF(AND(U789="INCLUDED",W789=1),--(NOT(EXACT(A789,'AI output'!A789)))+--(NOT(EXACT(B789,'AI output'!B789)))+--(NOT(EXACT(TEXT(G789,"yyyy-mm-dd"),'AI output'!C789)))+--(NOT(EXACT(H789,'AI output'!D789)))+--(NOT(EXACT(J789,'AI output'!E789)))+--(NOT(EXACT(K789,'AI output'!F789)))+--(N789&lt;&gt;'AI output'!L789)+--(NOT('AI output'!M789)),0)</f>
        <v>0</v>
      </c>
      <c r="Z789" s="1">
        <f t="shared" si="103"/>
        <v>0</v>
      </c>
      <c r="AA789" s="1">
        <f>--EXACT(A789,"L00783")</f>
        <v>1</v>
      </c>
    </row>
    <row r="790" spans="1:27" ht="18.95" customHeight="1">
      <c r="A790" s="1" t="str">
        <f>IF(Raw!A790="","",Raw!A790)</f>
        <v>L00784</v>
      </c>
      <c r="B790" s="1" t="str">
        <f>IF(Raw!B790="","",Raw!B790)</f>
        <v>T00392</v>
      </c>
      <c r="C790" s="1" t="str">
        <f>IF(Raw!C790="","",Raw!C790)</f>
        <v>2026-02-07</v>
      </c>
      <c r="D790" s="1">
        <f t="shared" si="96"/>
        <v>2026</v>
      </c>
      <c r="E790" s="1">
        <f>IFERROR(IF(AND(LEN(C790)=10,MID(C790,5,1)="-",MID(C790,8,1)="-"),VALUE(MID(C790,6,2)),IF(AND(LEN(C790)=11,MID(C790,3,1)="-",MID(C790,7,1)="-"),MATCH(UPPER(MID(C790,4,3)),Guide!$D$7:$D$18,0),0)),0)</f>
        <v>2</v>
      </c>
      <c r="F790" s="1">
        <f t="shared" si="97"/>
        <v>7</v>
      </c>
      <c r="G790" s="9">
        <f t="shared" si="98"/>
        <v>46060</v>
      </c>
      <c r="H790" s="1" t="str">
        <f>IF(Raw!D790="","",Raw!D790)</f>
        <v>P-A</v>
      </c>
      <c r="I790" s="1" t="str">
        <f>IFERROR(IF(EXACT(H790,INDEX(Guide!$A$7:$A$9,MATCH(SUBSTITUTE(SUBSTITUTE(SUBSTITUTE(H790,"~","~~"),"*","~*"),"?","~?"),Guide!$A$7:$A$9,0))),INDEX(Guide!$B$7:$B$9,MATCH(SUBSTITUTE(SUBSTITUTE(SUBSTITUTE(H790,"~","~~"),"*","~*"),"?","~?"),Guide!$A$7:$A$9,0)),""),"")</f>
        <v>Accessories</v>
      </c>
      <c r="J790" s="1" t="str">
        <f>IF(TRIM(Raw!E790)="",I790,IF(UPPER(TRIM(Raw!E790))=UPPER(I790),I790,""))</f>
        <v>Accessories</v>
      </c>
      <c r="K790" s="1" t="str">
        <f>IF(Raw!F790="","",Raw!F790)</f>
        <v>sale</v>
      </c>
      <c r="L790" s="1" t="str">
        <f>IF(LEFT(TRIM(Raw!G790),2)="-$","-"&amp;MID(TRIM(Raw!G790),3,99),IF(LEFT(TRIM(Raw!G790),1)="$",MID(TRIM(Raw!G790),2,99),TRIM(Raw!G790)))</f>
        <v>109.40</v>
      </c>
      <c r="M790" s="1">
        <f t="shared" si="99"/>
        <v>109.4</v>
      </c>
      <c r="N790" s="10">
        <f t="shared" si="100"/>
        <v>10940</v>
      </c>
      <c r="O790" s="1" t="b">
        <f>IFERROR(IF(ISNUMBER(Raw!G790),TRUE,OR(EXACT(L790,TEXT(M790,"0.00")),EXACT(L790,TEXT(M790,"#,##0.00")))),FALSE)</f>
        <v>1</v>
      </c>
      <c r="P790" s="1" t="str">
        <f>LEN(IF(Raw!A790="","",Raw!A790))&amp;":"&amp;IF(Raw!A790="","",Raw!A790)&amp;"|"&amp;LEN(IF(Raw!B790="","",Raw!B790))&amp;":"&amp;IF(Raw!B790="","",Raw!B790)&amp;"|"&amp;LEN(IF(Raw!C790="","",Raw!C790))&amp;":"&amp;IF(Raw!C790="","",Raw!C790)&amp;"|"&amp;LEN(IF(Raw!D790="","",Raw!D790))&amp;":"&amp;IF(Raw!D790="","",Raw!D790)&amp;"|"&amp;LEN(IF(Raw!E790="","",Raw!E790))&amp;":"&amp;IF(Raw!E790="","",Raw!E790)&amp;"|"&amp;LEN(IF(Raw!F790="","",Raw!F790))&amp;":"&amp;IF(Raw!F790="","",Raw!F790)&amp;"|"&amp;LEN(IF(Raw!G790="","",Raw!G790))&amp;":"&amp;IF(Raw!G790="","",Raw!G790)</f>
        <v>6:L00784|6:T00392|10:2026-02-07|3:P-A|11:Accessories|4:sale|6:109.40</v>
      </c>
      <c r="Q790" s="1">
        <f>1</f>
        <v>1</v>
      </c>
      <c r="R790" s="1" t="b">
        <f>FALSE</f>
        <v>0</v>
      </c>
      <c r="S790" s="1">
        <f>1</f>
        <v>1</v>
      </c>
      <c r="T790" s="1" t="str">
        <f>IF(AND(Raw!A790="",Raw!B790="",Raw!C790="",Raw!D790="",Raw!E790="",Raw!F790="",Raw!G790=""),"UNUSED",IF(A790="","missing line ID",IF(B790="","missing transaction ID",IF(G790="",IF(C790="","missing date","invalid date"),IF(I790="","unknown product",IF(J790="","conflicting category",IF(NOT(OR(EXACT(K790,"sale"),EXACT(K790,"refund"))),"unknown event",IF(OR(N790="",NOT(O790)),"invalid amount",IF(OR(AND(K790="sale",N790&lt;=0),AND(K790="refund",N790&gt;=0)),"invalid sign","")))))))))</f>
        <v/>
      </c>
      <c r="U790" s="1" t="str">
        <f t="shared" si="101"/>
        <v>INCLUDED</v>
      </c>
      <c r="V790" s="1" t="str">
        <f t="shared" si="102"/>
        <v>2026-02</v>
      </c>
      <c r="W790" s="1">
        <f>IF(AND(U790="INCLUDED",X790&gt;0,EXACT(A790,'AI output'!A790)),1,0)</f>
        <v>1</v>
      </c>
      <c r="X790" s="1">
        <f>790</f>
        <v>790</v>
      </c>
      <c r="Y790" s="1">
        <f>IF(AND(U790="INCLUDED",W790=1),--(NOT(EXACT(A790,'AI output'!A790)))+--(NOT(EXACT(B790,'AI output'!B790)))+--(NOT(EXACT(TEXT(G790,"yyyy-mm-dd"),'AI output'!C790)))+--(NOT(EXACT(H790,'AI output'!D790)))+--(NOT(EXACT(J790,'AI output'!E790)))+--(NOT(EXACT(K790,'AI output'!F790)))+--(N790&lt;&gt;'AI output'!L790)+--(NOT('AI output'!M790)),0)</f>
        <v>0</v>
      </c>
      <c r="Z790" s="1">
        <f t="shared" si="103"/>
        <v>0</v>
      </c>
      <c r="AA790" s="1">
        <f>--EXACT(A790,"L00784")</f>
        <v>1</v>
      </c>
    </row>
    <row r="791" spans="1:27" ht="18.95" customHeight="1">
      <c r="A791" s="1" t="str">
        <f>IF(Raw!A791="","",Raw!A791)</f>
        <v>L00785</v>
      </c>
      <c r="B791" s="1" t="str">
        <f>IF(Raw!B791="","",Raw!B791)</f>
        <v>T00393</v>
      </c>
      <c r="C791" s="1" t="str">
        <f>IF(Raw!C791="","",Raw!C791)</f>
        <v>2026-02-14</v>
      </c>
      <c r="D791" s="1">
        <f t="shared" si="96"/>
        <v>2026</v>
      </c>
      <c r="E791" s="1">
        <f>IFERROR(IF(AND(LEN(C791)=10,MID(C791,5,1)="-",MID(C791,8,1)="-"),VALUE(MID(C791,6,2)),IF(AND(LEN(C791)=11,MID(C791,3,1)="-",MID(C791,7,1)="-"),MATCH(UPPER(MID(C791,4,3)),Guide!$D$7:$D$18,0),0)),0)</f>
        <v>2</v>
      </c>
      <c r="F791" s="1">
        <f t="shared" si="97"/>
        <v>14</v>
      </c>
      <c r="G791" s="9">
        <f t="shared" si="98"/>
        <v>46067</v>
      </c>
      <c r="H791" s="1" t="str">
        <f>IF(Raw!D791="","",Raw!D791)</f>
        <v>P-H</v>
      </c>
      <c r="I791" s="1" t="str">
        <f>IFERROR(IF(EXACT(H791,INDEX(Guide!$A$7:$A$9,MATCH(SUBSTITUTE(SUBSTITUTE(SUBSTITUTE(H791,"~","~~"),"*","~*"),"?","~?"),Guide!$A$7:$A$9,0))),INDEX(Guide!$B$7:$B$9,MATCH(SUBSTITUTE(SUBSTITUTE(SUBSTITUTE(H791,"~","~~"),"*","~*"),"?","~?"),Guide!$A$7:$A$9,0)),""),"")</f>
        <v>Home</v>
      </c>
      <c r="J791" s="1" t="str">
        <f>IF(TRIM(Raw!E791)="",I791,IF(UPPER(TRIM(Raw!E791))=UPPER(I791),I791,""))</f>
        <v>Home</v>
      </c>
      <c r="K791" s="1" t="str">
        <f>IF(Raw!F791="","",Raw!F791)</f>
        <v>sale</v>
      </c>
      <c r="L791" s="1" t="str">
        <f>IF(LEFT(TRIM(Raw!G791),2)="-$","-"&amp;MID(TRIM(Raw!G791),3,99),IF(LEFT(TRIM(Raw!G791),1)="$",MID(TRIM(Raw!G791),2,99),TRIM(Raw!G791)))</f>
        <v>220.28</v>
      </c>
      <c r="M791" s="1">
        <f t="shared" si="99"/>
        <v>220.28</v>
      </c>
      <c r="N791" s="10">
        <f t="shared" si="100"/>
        <v>22028</v>
      </c>
      <c r="O791" s="1" t="b">
        <f>IFERROR(IF(ISNUMBER(Raw!G791),TRUE,OR(EXACT(L791,TEXT(M791,"0.00")),EXACT(L791,TEXT(M791,"#,##0.00")))),FALSE)</f>
        <v>1</v>
      </c>
      <c r="P791" s="1" t="str">
        <f>LEN(IF(Raw!A791="","",Raw!A791))&amp;":"&amp;IF(Raw!A791="","",Raw!A791)&amp;"|"&amp;LEN(IF(Raw!B791="","",Raw!B791))&amp;":"&amp;IF(Raw!B791="","",Raw!B791)&amp;"|"&amp;LEN(IF(Raw!C791="","",Raw!C791))&amp;":"&amp;IF(Raw!C791="","",Raw!C791)&amp;"|"&amp;LEN(IF(Raw!D791="","",Raw!D791))&amp;":"&amp;IF(Raw!D791="","",Raw!D791)&amp;"|"&amp;LEN(IF(Raw!E791="","",Raw!E791))&amp;":"&amp;IF(Raw!E791="","",Raw!E791)&amp;"|"&amp;LEN(IF(Raw!F791="","",Raw!F791))&amp;":"&amp;IF(Raw!F791="","",Raw!F791)&amp;"|"&amp;LEN(IF(Raw!G791="","",Raw!G791))&amp;":"&amp;IF(Raw!G791="","",Raw!G791)</f>
        <v>6:L00785|6:T00393|10:2026-02-14|3:P-H|4:Home|4:sale|6:220.28</v>
      </c>
      <c r="Q791" s="1">
        <f>1</f>
        <v>1</v>
      </c>
      <c r="R791" s="1" t="b">
        <f>FALSE</f>
        <v>0</v>
      </c>
      <c r="S791" s="1">
        <f>1</f>
        <v>1</v>
      </c>
      <c r="T791" s="1" t="str">
        <f>IF(AND(Raw!A791="",Raw!B791="",Raw!C791="",Raw!D791="",Raw!E791="",Raw!F791="",Raw!G791=""),"UNUSED",IF(A791="","missing line ID",IF(B791="","missing transaction ID",IF(G791="",IF(C791="","missing date","invalid date"),IF(I791="","unknown product",IF(J791="","conflicting category",IF(NOT(OR(EXACT(K791,"sale"),EXACT(K791,"refund"))),"unknown event",IF(OR(N791="",NOT(O791)),"invalid amount",IF(OR(AND(K791="sale",N791&lt;=0),AND(K791="refund",N791&gt;=0)),"invalid sign","")))))))))</f>
        <v/>
      </c>
      <c r="U791" s="1" t="str">
        <f t="shared" si="101"/>
        <v>INCLUDED</v>
      </c>
      <c r="V791" s="1" t="str">
        <f t="shared" si="102"/>
        <v>2026-02</v>
      </c>
      <c r="W791" s="1">
        <f>IF(AND(U791="INCLUDED",X791&gt;0,EXACT(A791,'AI output'!A791)),1,0)</f>
        <v>1</v>
      </c>
      <c r="X791" s="1">
        <f>791</f>
        <v>791</v>
      </c>
      <c r="Y791" s="1">
        <f>IF(AND(U791="INCLUDED",W791=1),--(NOT(EXACT(A791,'AI output'!A791)))+--(NOT(EXACT(B791,'AI output'!B791)))+--(NOT(EXACT(TEXT(G791,"yyyy-mm-dd"),'AI output'!C791)))+--(NOT(EXACT(H791,'AI output'!D791)))+--(NOT(EXACT(J791,'AI output'!E791)))+--(NOT(EXACT(K791,'AI output'!F791)))+--(N791&lt;&gt;'AI output'!L791)+--(NOT('AI output'!M791)),0)</f>
        <v>0</v>
      </c>
      <c r="Z791" s="1">
        <f t="shared" si="103"/>
        <v>0</v>
      </c>
      <c r="AA791" s="1">
        <f>--EXACT(A791,"L00785")</f>
        <v>1</v>
      </c>
    </row>
    <row r="792" spans="1:27" ht="18.95" customHeight="1">
      <c r="A792" s="1" t="str">
        <f>IF(Raw!A792="","",Raw!A792)</f>
        <v>L00786</v>
      </c>
      <c r="B792" s="1" t="str">
        <f>IF(Raw!B792="","",Raw!B792)</f>
        <v>T00393</v>
      </c>
      <c r="C792" s="1" t="str">
        <f>IF(Raw!C792="","",Raw!C792)</f>
        <v>2026-02-14</v>
      </c>
      <c r="D792" s="1">
        <f t="shared" si="96"/>
        <v>2026</v>
      </c>
      <c r="E792" s="1">
        <f>IFERROR(IF(AND(LEN(C792)=10,MID(C792,5,1)="-",MID(C792,8,1)="-"),VALUE(MID(C792,6,2)),IF(AND(LEN(C792)=11,MID(C792,3,1)="-",MID(C792,7,1)="-"),MATCH(UPPER(MID(C792,4,3)),Guide!$D$7:$D$18,0),0)),0)</f>
        <v>2</v>
      </c>
      <c r="F792" s="1">
        <f t="shared" si="97"/>
        <v>14</v>
      </c>
      <c r="G792" s="9">
        <f t="shared" si="98"/>
        <v>46067</v>
      </c>
      <c r="H792" s="1" t="str">
        <f>IF(Raw!D792="","",Raw!D792)</f>
        <v>P-O</v>
      </c>
      <c r="I792" s="1" t="str">
        <f>IFERROR(IF(EXACT(H792,INDEX(Guide!$A$7:$A$9,MATCH(SUBSTITUTE(SUBSTITUTE(SUBSTITUTE(H792,"~","~~"),"*","~*"),"?","~?"),Guide!$A$7:$A$9,0))),INDEX(Guide!$B$7:$B$9,MATCH(SUBSTITUTE(SUBSTITUTE(SUBSTITUTE(H792,"~","~~"),"*","~*"),"?","~?"),Guide!$A$7:$A$9,0)),""),"")</f>
        <v>Office</v>
      </c>
      <c r="J792" s="1" t="str">
        <f>IF(TRIM(Raw!E792)="",I792,IF(UPPER(TRIM(Raw!E792))=UPPER(I792),I792,""))</f>
        <v>Office</v>
      </c>
      <c r="K792" s="1" t="str">
        <f>IF(Raw!F792="","",Raw!F792)</f>
        <v>sale</v>
      </c>
      <c r="L792" s="1" t="str">
        <f>IF(LEFT(TRIM(Raw!G792),2)="-$","-"&amp;MID(TRIM(Raw!G792),3,99),IF(LEFT(TRIM(Raw!G792),1)="$",MID(TRIM(Raw!G792),2,99),TRIM(Raw!G792)))</f>
        <v>55.44</v>
      </c>
      <c r="M792" s="1">
        <f t="shared" si="99"/>
        <v>55.44</v>
      </c>
      <c r="N792" s="10">
        <f t="shared" si="100"/>
        <v>5544</v>
      </c>
      <c r="O792" s="1" t="b">
        <f>IFERROR(IF(ISNUMBER(Raw!G792),TRUE,OR(EXACT(L792,TEXT(M792,"0.00")),EXACT(L792,TEXT(M792,"#,##0.00")))),FALSE)</f>
        <v>1</v>
      </c>
      <c r="P792" s="1" t="str">
        <f>LEN(IF(Raw!A792="","",Raw!A792))&amp;":"&amp;IF(Raw!A792="","",Raw!A792)&amp;"|"&amp;LEN(IF(Raw!B792="","",Raw!B792))&amp;":"&amp;IF(Raw!B792="","",Raw!B792)&amp;"|"&amp;LEN(IF(Raw!C792="","",Raw!C792))&amp;":"&amp;IF(Raw!C792="","",Raw!C792)&amp;"|"&amp;LEN(IF(Raw!D792="","",Raw!D792))&amp;":"&amp;IF(Raw!D792="","",Raw!D792)&amp;"|"&amp;LEN(IF(Raw!E792="","",Raw!E792))&amp;":"&amp;IF(Raw!E792="","",Raw!E792)&amp;"|"&amp;LEN(IF(Raw!F792="","",Raw!F792))&amp;":"&amp;IF(Raw!F792="","",Raw!F792)&amp;"|"&amp;LEN(IF(Raw!G792="","",Raw!G792))&amp;":"&amp;IF(Raw!G792="","",Raw!G792)</f>
        <v>6:L00786|6:T00393|10:2026-02-14|3:P-O|6:Office|4:sale|5:55.44</v>
      </c>
      <c r="Q792" s="1">
        <f>1</f>
        <v>1</v>
      </c>
      <c r="R792" s="1" t="b">
        <f>FALSE</f>
        <v>0</v>
      </c>
      <c r="S792" s="1">
        <f>1</f>
        <v>1</v>
      </c>
      <c r="T792" s="1" t="str">
        <f>IF(AND(Raw!A792="",Raw!B792="",Raw!C792="",Raw!D792="",Raw!E792="",Raw!F792="",Raw!G792=""),"UNUSED",IF(A792="","missing line ID",IF(B792="","missing transaction ID",IF(G792="",IF(C792="","missing date","invalid date"),IF(I792="","unknown product",IF(J792="","conflicting category",IF(NOT(OR(EXACT(K792,"sale"),EXACT(K792,"refund"))),"unknown event",IF(OR(N792="",NOT(O792)),"invalid amount",IF(OR(AND(K792="sale",N792&lt;=0),AND(K792="refund",N792&gt;=0)),"invalid sign","")))))))))</f>
        <v/>
      </c>
      <c r="U792" s="1" t="str">
        <f t="shared" si="101"/>
        <v>INCLUDED</v>
      </c>
      <c r="V792" s="1" t="str">
        <f t="shared" si="102"/>
        <v>2026-02</v>
      </c>
      <c r="W792" s="1">
        <f>IF(AND(U792="INCLUDED",X792&gt;0,EXACT(A792,'AI output'!A792)),1,0)</f>
        <v>1</v>
      </c>
      <c r="X792" s="1">
        <f>792</f>
        <v>792</v>
      </c>
      <c r="Y792" s="1">
        <f>IF(AND(U792="INCLUDED",W792=1),--(NOT(EXACT(A792,'AI output'!A792)))+--(NOT(EXACT(B792,'AI output'!B792)))+--(NOT(EXACT(TEXT(G792,"yyyy-mm-dd"),'AI output'!C792)))+--(NOT(EXACT(H792,'AI output'!D792)))+--(NOT(EXACT(J792,'AI output'!E792)))+--(NOT(EXACT(K792,'AI output'!F792)))+--(N792&lt;&gt;'AI output'!L792)+--(NOT('AI output'!M792)),0)</f>
        <v>0</v>
      </c>
      <c r="Z792" s="1">
        <f t="shared" si="103"/>
        <v>0</v>
      </c>
      <c r="AA792" s="1">
        <f>--EXACT(A792,"L00786")</f>
        <v>1</v>
      </c>
    </row>
    <row r="793" spans="1:27" ht="18.95" customHeight="1">
      <c r="A793" s="1" t="str">
        <f>IF(Raw!A793="","",Raw!A793)</f>
        <v>L00787</v>
      </c>
      <c r="B793" s="1" t="str">
        <f>IF(Raw!B793="","",Raw!B793)</f>
        <v>T00394</v>
      </c>
      <c r="C793" s="1" t="str">
        <f>IF(Raw!C793="","",Raw!C793)</f>
        <v>2026-02-21</v>
      </c>
      <c r="D793" s="1">
        <f t="shared" si="96"/>
        <v>2026</v>
      </c>
      <c r="E793" s="1">
        <f>IFERROR(IF(AND(LEN(C793)=10,MID(C793,5,1)="-",MID(C793,8,1)="-"),VALUE(MID(C793,6,2)),IF(AND(LEN(C793)=11,MID(C793,3,1)="-",MID(C793,7,1)="-"),MATCH(UPPER(MID(C793,4,3)),Guide!$D$7:$D$18,0),0)),0)</f>
        <v>2</v>
      </c>
      <c r="F793" s="1">
        <f t="shared" si="97"/>
        <v>21</v>
      </c>
      <c r="G793" s="9">
        <f t="shared" si="98"/>
        <v>46074</v>
      </c>
      <c r="H793" s="1" t="str">
        <f>IF(Raw!D793="","",Raw!D793)</f>
        <v>P-A</v>
      </c>
      <c r="I793" s="1" t="str">
        <f>IFERROR(IF(EXACT(H793,INDEX(Guide!$A$7:$A$9,MATCH(SUBSTITUTE(SUBSTITUTE(SUBSTITUTE(H793,"~","~~"),"*","~*"),"?","~?"),Guide!$A$7:$A$9,0))),INDEX(Guide!$B$7:$B$9,MATCH(SUBSTITUTE(SUBSTITUTE(SUBSTITUTE(H793,"~","~~"),"*","~*"),"?","~?"),Guide!$A$7:$A$9,0)),""),"")</f>
        <v>Accessories</v>
      </c>
      <c r="J793" s="1" t="str">
        <f>IF(TRIM(Raw!E793)="",I793,IF(UPPER(TRIM(Raw!E793))=UPPER(I793),I793,""))</f>
        <v>Accessories</v>
      </c>
      <c r="K793" s="1" t="str">
        <f>IF(Raw!F793="","",Raw!F793)</f>
        <v>sale</v>
      </c>
      <c r="L793" s="1" t="str">
        <f>IF(LEFT(TRIM(Raw!G793),2)="-$","-"&amp;MID(TRIM(Raw!G793),3,99),IF(LEFT(TRIM(Raw!G793),1)="$",MID(TRIM(Raw!G793),2,99),TRIM(Raw!G793)))</f>
        <v>167.43</v>
      </c>
      <c r="M793" s="1">
        <f t="shared" si="99"/>
        <v>167.43</v>
      </c>
      <c r="N793" s="10">
        <f t="shared" si="100"/>
        <v>16743</v>
      </c>
      <c r="O793" s="1" t="b">
        <f>IFERROR(IF(ISNUMBER(Raw!G793),TRUE,OR(EXACT(L793,TEXT(M793,"0.00")),EXACT(L793,TEXT(M793,"#,##0.00")))),FALSE)</f>
        <v>1</v>
      </c>
      <c r="P793" s="1" t="str">
        <f>LEN(IF(Raw!A793="","",Raw!A793))&amp;":"&amp;IF(Raw!A793="","",Raw!A793)&amp;"|"&amp;LEN(IF(Raw!B793="","",Raw!B793))&amp;":"&amp;IF(Raw!B793="","",Raw!B793)&amp;"|"&amp;LEN(IF(Raw!C793="","",Raw!C793))&amp;":"&amp;IF(Raw!C793="","",Raw!C793)&amp;"|"&amp;LEN(IF(Raw!D793="","",Raw!D793))&amp;":"&amp;IF(Raw!D793="","",Raw!D793)&amp;"|"&amp;LEN(IF(Raw!E793="","",Raw!E793))&amp;":"&amp;IF(Raw!E793="","",Raw!E793)&amp;"|"&amp;LEN(IF(Raw!F793="","",Raw!F793))&amp;":"&amp;IF(Raw!F793="","",Raw!F793)&amp;"|"&amp;LEN(IF(Raw!G793="","",Raw!G793))&amp;":"&amp;IF(Raw!G793="","",Raw!G793)</f>
        <v>6:L00787|6:T00394|10:2026-02-21|3:P-A|11:Accessories|4:sale|6:167.43</v>
      </c>
      <c r="Q793" s="1">
        <f>1</f>
        <v>1</v>
      </c>
      <c r="R793" s="1" t="b">
        <f>FALSE</f>
        <v>0</v>
      </c>
      <c r="S793" s="1">
        <f>1</f>
        <v>1</v>
      </c>
      <c r="T793" s="1" t="str">
        <f>IF(AND(Raw!A793="",Raw!B793="",Raw!C793="",Raw!D793="",Raw!E793="",Raw!F793="",Raw!G793=""),"UNUSED",IF(A793="","missing line ID",IF(B793="","missing transaction ID",IF(G793="",IF(C793="","missing date","invalid date"),IF(I793="","unknown product",IF(J793="","conflicting category",IF(NOT(OR(EXACT(K793,"sale"),EXACT(K793,"refund"))),"unknown event",IF(OR(N793="",NOT(O793)),"invalid amount",IF(OR(AND(K793="sale",N793&lt;=0),AND(K793="refund",N793&gt;=0)),"invalid sign","")))))))))</f>
        <v/>
      </c>
      <c r="U793" s="1" t="str">
        <f t="shared" si="101"/>
        <v>INCLUDED</v>
      </c>
      <c r="V793" s="1" t="str">
        <f t="shared" si="102"/>
        <v>2026-02</v>
      </c>
      <c r="W793" s="1">
        <f>IF(AND(U793="INCLUDED",X793&gt;0,EXACT(A793,'AI output'!A793)),1,0)</f>
        <v>1</v>
      </c>
      <c r="X793" s="1">
        <f>793</f>
        <v>793</v>
      </c>
      <c r="Y793" s="1">
        <f>IF(AND(U793="INCLUDED",W793=1),--(NOT(EXACT(A793,'AI output'!A793)))+--(NOT(EXACT(B793,'AI output'!B793)))+--(NOT(EXACT(TEXT(G793,"yyyy-mm-dd"),'AI output'!C793)))+--(NOT(EXACT(H793,'AI output'!D793)))+--(NOT(EXACT(J793,'AI output'!E793)))+--(NOT(EXACT(K793,'AI output'!F793)))+--(N793&lt;&gt;'AI output'!L793)+--(NOT('AI output'!M793)),0)</f>
        <v>0</v>
      </c>
      <c r="Z793" s="1">
        <f t="shared" si="103"/>
        <v>0</v>
      </c>
      <c r="AA793" s="1">
        <f>--EXACT(A793,"L00787")</f>
        <v>1</v>
      </c>
    </row>
    <row r="794" spans="1:27" ht="18.95" customHeight="1">
      <c r="A794" s="1" t="str">
        <f>IF(Raw!A794="","",Raw!A794)</f>
        <v>L00788</v>
      </c>
      <c r="B794" s="1" t="str">
        <f>IF(Raw!B794="","",Raw!B794)</f>
        <v>T00394</v>
      </c>
      <c r="C794" s="1" t="str">
        <f>IF(Raw!C794="","",Raw!C794)</f>
        <v>2026-02-21</v>
      </c>
      <c r="D794" s="1">
        <f t="shared" si="96"/>
        <v>2026</v>
      </c>
      <c r="E794" s="1">
        <f>IFERROR(IF(AND(LEN(C794)=10,MID(C794,5,1)="-",MID(C794,8,1)="-"),VALUE(MID(C794,6,2)),IF(AND(LEN(C794)=11,MID(C794,3,1)="-",MID(C794,7,1)="-"),MATCH(UPPER(MID(C794,4,3)),Guide!$D$7:$D$18,0),0)),0)</f>
        <v>2</v>
      </c>
      <c r="F794" s="1">
        <f t="shared" si="97"/>
        <v>21</v>
      </c>
      <c r="G794" s="9">
        <f t="shared" si="98"/>
        <v>46074</v>
      </c>
      <c r="H794" s="1" t="str">
        <f>IF(Raw!D794="","",Raw!D794)</f>
        <v>P-H</v>
      </c>
      <c r="I794" s="1" t="str">
        <f>IFERROR(IF(EXACT(H794,INDEX(Guide!$A$7:$A$9,MATCH(SUBSTITUTE(SUBSTITUTE(SUBSTITUTE(H794,"~","~~"),"*","~*"),"?","~?"),Guide!$A$7:$A$9,0))),INDEX(Guide!$B$7:$B$9,MATCH(SUBSTITUTE(SUBSTITUTE(SUBSTITUTE(H794,"~","~~"),"*","~*"),"?","~?"),Guide!$A$7:$A$9,0)),""),"")</f>
        <v>Home</v>
      </c>
      <c r="J794" s="1" t="str">
        <f>IF(TRIM(Raw!E794)="",I794,IF(UPPER(TRIM(Raw!E794))=UPPER(I794),I794,""))</f>
        <v>Home</v>
      </c>
      <c r="K794" s="1" t="str">
        <f>IF(Raw!F794="","",Raw!F794)</f>
        <v>sale</v>
      </c>
      <c r="L794" s="1" t="str">
        <f>IF(LEFT(TRIM(Raw!G794),2)="-$","-"&amp;MID(TRIM(Raw!G794),3,99),IF(LEFT(TRIM(Raw!G794),1)="$",MID(TRIM(Raw!G794),2,99),TRIM(Raw!G794)))</f>
        <v>280.90</v>
      </c>
      <c r="M794" s="1">
        <f t="shared" si="99"/>
        <v>280.89999999999998</v>
      </c>
      <c r="N794" s="10">
        <f t="shared" si="100"/>
        <v>28090</v>
      </c>
      <c r="O794" s="1" t="b">
        <f>IFERROR(IF(ISNUMBER(Raw!G794),TRUE,OR(EXACT(L794,TEXT(M794,"0.00")),EXACT(L794,TEXT(M794,"#,##0.00")))),FALSE)</f>
        <v>1</v>
      </c>
      <c r="P794" s="1" t="str">
        <f>LEN(IF(Raw!A794="","",Raw!A794))&amp;":"&amp;IF(Raw!A794="","",Raw!A794)&amp;"|"&amp;LEN(IF(Raw!B794="","",Raw!B794))&amp;":"&amp;IF(Raw!B794="","",Raw!B794)&amp;"|"&amp;LEN(IF(Raw!C794="","",Raw!C794))&amp;":"&amp;IF(Raw!C794="","",Raw!C794)&amp;"|"&amp;LEN(IF(Raw!D794="","",Raw!D794))&amp;":"&amp;IF(Raw!D794="","",Raw!D794)&amp;"|"&amp;LEN(IF(Raw!E794="","",Raw!E794))&amp;":"&amp;IF(Raw!E794="","",Raw!E794)&amp;"|"&amp;LEN(IF(Raw!F794="","",Raw!F794))&amp;":"&amp;IF(Raw!F794="","",Raw!F794)&amp;"|"&amp;LEN(IF(Raw!G794="","",Raw!G794))&amp;":"&amp;IF(Raw!G794="","",Raw!G794)</f>
        <v>6:L00788|6:T00394|10:2026-02-21|3:P-H|4:Home|4:sale|6:280.90</v>
      </c>
      <c r="Q794" s="1">
        <f>1</f>
        <v>1</v>
      </c>
      <c r="R794" s="1" t="b">
        <f>FALSE</f>
        <v>0</v>
      </c>
      <c r="S794" s="1">
        <f>1</f>
        <v>1</v>
      </c>
      <c r="T794" s="1" t="str">
        <f>IF(AND(Raw!A794="",Raw!B794="",Raw!C794="",Raw!D794="",Raw!E794="",Raw!F794="",Raw!G794=""),"UNUSED",IF(A794="","missing line ID",IF(B794="","missing transaction ID",IF(G794="",IF(C794="","missing date","invalid date"),IF(I794="","unknown product",IF(J794="","conflicting category",IF(NOT(OR(EXACT(K794,"sale"),EXACT(K794,"refund"))),"unknown event",IF(OR(N794="",NOT(O794)),"invalid amount",IF(OR(AND(K794="sale",N794&lt;=0),AND(K794="refund",N794&gt;=0)),"invalid sign","")))))))))</f>
        <v/>
      </c>
      <c r="U794" s="1" t="str">
        <f t="shared" si="101"/>
        <v>INCLUDED</v>
      </c>
      <c r="V794" s="1" t="str">
        <f t="shared" si="102"/>
        <v>2026-02</v>
      </c>
      <c r="W794" s="1">
        <f>IF(AND(U794="INCLUDED",X794&gt;0,EXACT(A794,'AI output'!A794)),1,0)</f>
        <v>1</v>
      </c>
      <c r="X794" s="1">
        <f>794</f>
        <v>794</v>
      </c>
      <c r="Y794" s="1">
        <f>IF(AND(U794="INCLUDED",W794=1),--(NOT(EXACT(A794,'AI output'!A794)))+--(NOT(EXACT(B794,'AI output'!B794)))+--(NOT(EXACT(TEXT(G794,"yyyy-mm-dd"),'AI output'!C794)))+--(NOT(EXACT(H794,'AI output'!D794)))+--(NOT(EXACT(J794,'AI output'!E794)))+--(NOT(EXACT(K794,'AI output'!F794)))+--(N794&lt;&gt;'AI output'!L794)+--(NOT('AI output'!M794)),0)</f>
        <v>0</v>
      </c>
      <c r="Z794" s="1">
        <f t="shared" si="103"/>
        <v>0</v>
      </c>
      <c r="AA794" s="1">
        <f>--EXACT(A794,"L00788")</f>
        <v>1</v>
      </c>
    </row>
    <row r="795" spans="1:27" ht="18.95" customHeight="1">
      <c r="A795" s="1" t="str">
        <f>IF(Raw!A795="","",Raw!A795)</f>
        <v>L00789</v>
      </c>
      <c r="B795" s="1" t="str">
        <f>IF(Raw!B795="","",Raw!B795)</f>
        <v>T00395</v>
      </c>
      <c r="C795" s="1" t="str">
        <f>IF(Raw!C795="","",Raw!C795)</f>
        <v>2026-02-28</v>
      </c>
      <c r="D795" s="1">
        <f t="shared" si="96"/>
        <v>2026</v>
      </c>
      <c r="E795" s="1">
        <f>IFERROR(IF(AND(LEN(C795)=10,MID(C795,5,1)="-",MID(C795,8,1)="-"),VALUE(MID(C795,6,2)),IF(AND(LEN(C795)=11,MID(C795,3,1)="-",MID(C795,7,1)="-"),MATCH(UPPER(MID(C795,4,3)),Guide!$D$7:$D$18,0),0)),0)</f>
        <v>2</v>
      </c>
      <c r="F795" s="1">
        <f t="shared" si="97"/>
        <v>28</v>
      </c>
      <c r="G795" s="9">
        <f t="shared" si="98"/>
        <v>46081</v>
      </c>
      <c r="H795" s="1" t="str">
        <f>IF(Raw!D795="","",Raw!D795)</f>
        <v>P-O</v>
      </c>
      <c r="I795" s="1" t="str">
        <f>IFERROR(IF(EXACT(H795,INDEX(Guide!$A$7:$A$9,MATCH(SUBSTITUTE(SUBSTITUTE(SUBSTITUTE(H795,"~","~~"),"*","~*"),"?","~?"),Guide!$A$7:$A$9,0))),INDEX(Guide!$B$7:$B$9,MATCH(SUBSTITUTE(SUBSTITUTE(SUBSTITUTE(H795,"~","~~"),"*","~*"),"?","~?"),Guide!$A$7:$A$9,0)),""),"")</f>
        <v>Office</v>
      </c>
      <c r="J795" s="1" t="str">
        <f>IF(TRIM(Raw!E795)="",I795,IF(UPPER(TRIM(Raw!E795))=UPPER(I795),I795,""))</f>
        <v>Office</v>
      </c>
      <c r="K795" s="1" t="str">
        <f>IF(Raw!F795="","",Raw!F795)</f>
        <v>sale</v>
      </c>
      <c r="L795" s="1" t="str">
        <f>IF(LEFT(TRIM(Raw!G795),2)="-$","-"&amp;MID(TRIM(Raw!G795),3,99),IF(LEFT(TRIM(Raw!G795),1)="$",MID(TRIM(Raw!G795),2,99),TRIM(Raw!G795)))</f>
        <v>113.10</v>
      </c>
      <c r="M795" s="1">
        <f t="shared" si="99"/>
        <v>113.1</v>
      </c>
      <c r="N795" s="10">
        <f t="shared" si="100"/>
        <v>11310</v>
      </c>
      <c r="O795" s="1" t="b">
        <f>IFERROR(IF(ISNUMBER(Raw!G795),TRUE,OR(EXACT(L795,TEXT(M795,"0.00")),EXACT(L795,TEXT(M795,"#,##0.00")))),FALSE)</f>
        <v>1</v>
      </c>
      <c r="P795" s="1" t="str">
        <f>LEN(IF(Raw!A795="","",Raw!A795))&amp;":"&amp;IF(Raw!A795="","",Raw!A795)&amp;"|"&amp;LEN(IF(Raw!B795="","",Raw!B795))&amp;":"&amp;IF(Raw!B795="","",Raw!B795)&amp;"|"&amp;LEN(IF(Raw!C795="","",Raw!C795))&amp;":"&amp;IF(Raw!C795="","",Raw!C795)&amp;"|"&amp;LEN(IF(Raw!D795="","",Raw!D795))&amp;":"&amp;IF(Raw!D795="","",Raw!D795)&amp;"|"&amp;LEN(IF(Raw!E795="","",Raw!E795))&amp;":"&amp;IF(Raw!E795="","",Raw!E795)&amp;"|"&amp;LEN(IF(Raw!F795="","",Raw!F795))&amp;":"&amp;IF(Raw!F795="","",Raw!F795)&amp;"|"&amp;LEN(IF(Raw!G795="","",Raw!G795))&amp;":"&amp;IF(Raw!G795="","",Raw!G795)</f>
        <v>6:L00789|6:T00395|10:2026-02-28|3:P-O|6:Office|4:sale|6:113.10</v>
      </c>
      <c r="Q795" s="1">
        <f>1</f>
        <v>1</v>
      </c>
      <c r="R795" s="1" t="b">
        <f>FALSE</f>
        <v>0</v>
      </c>
      <c r="S795" s="1">
        <f>1</f>
        <v>1</v>
      </c>
      <c r="T795" s="1" t="str">
        <f>IF(AND(Raw!A795="",Raw!B795="",Raw!C795="",Raw!D795="",Raw!E795="",Raw!F795="",Raw!G795=""),"UNUSED",IF(A795="","missing line ID",IF(B795="","missing transaction ID",IF(G795="",IF(C795="","missing date","invalid date"),IF(I795="","unknown product",IF(J795="","conflicting category",IF(NOT(OR(EXACT(K795,"sale"),EXACT(K795,"refund"))),"unknown event",IF(OR(N795="",NOT(O795)),"invalid amount",IF(OR(AND(K795="sale",N795&lt;=0),AND(K795="refund",N795&gt;=0)),"invalid sign","")))))))))</f>
        <v/>
      </c>
      <c r="U795" s="1" t="str">
        <f t="shared" si="101"/>
        <v>INCLUDED</v>
      </c>
      <c r="V795" s="1" t="str">
        <f t="shared" si="102"/>
        <v>2026-02</v>
      </c>
      <c r="W795" s="1">
        <f>IF(AND(U795="INCLUDED",X795&gt;0,EXACT(A795,'AI output'!A795)),1,0)</f>
        <v>1</v>
      </c>
      <c r="X795" s="1">
        <f>795</f>
        <v>795</v>
      </c>
      <c r="Y795" s="1">
        <f>IF(AND(U795="INCLUDED",W795=1),--(NOT(EXACT(A795,'AI output'!A795)))+--(NOT(EXACT(B795,'AI output'!B795)))+--(NOT(EXACT(TEXT(G795,"yyyy-mm-dd"),'AI output'!C795)))+--(NOT(EXACT(H795,'AI output'!D795)))+--(NOT(EXACT(J795,'AI output'!E795)))+--(NOT(EXACT(K795,'AI output'!F795)))+--(N795&lt;&gt;'AI output'!L795)+--(NOT('AI output'!M795)),0)</f>
        <v>0</v>
      </c>
      <c r="Z795" s="1">
        <f t="shared" si="103"/>
        <v>0</v>
      </c>
      <c r="AA795" s="1">
        <f>--EXACT(A795,"L00789")</f>
        <v>1</v>
      </c>
    </row>
    <row r="796" spans="1:27" ht="18.95" customHeight="1">
      <c r="A796" s="1" t="str">
        <f>IF(Raw!A796="","",Raw!A796)</f>
        <v>L00790</v>
      </c>
      <c r="B796" s="1" t="str">
        <f>IF(Raw!B796="","",Raw!B796)</f>
        <v>T00395</v>
      </c>
      <c r="C796" s="1" t="str">
        <f>IF(Raw!C796="","",Raw!C796)</f>
        <v>2026-02-28</v>
      </c>
      <c r="D796" s="1">
        <f t="shared" si="96"/>
        <v>2026</v>
      </c>
      <c r="E796" s="1">
        <f>IFERROR(IF(AND(LEN(C796)=10,MID(C796,5,1)="-",MID(C796,8,1)="-"),VALUE(MID(C796,6,2)),IF(AND(LEN(C796)=11,MID(C796,3,1)="-",MID(C796,7,1)="-"),MATCH(UPPER(MID(C796,4,3)),Guide!$D$7:$D$18,0),0)),0)</f>
        <v>2</v>
      </c>
      <c r="F796" s="1">
        <f t="shared" si="97"/>
        <v>28</v>
      </c>
      <c r="G796" s="9">
        <f t="shared" si="98"/>
        <v>46081</v>
      </c>
      <c r="H796" s="1" t="str">
        <f>IF(Raw!D796="","",Raw!D796)</f>
        <v>P-A</v>
      </c>
      <c r="I796" s="1" t="str">
        <f>IFERROR(IF(EXACT(H796,INDEX(Guide!$A$7:$A$9,MATCH(SUBSTITUTE(SUBSTITUTE(SUBSTITUTE(H796,"~","~~"),"*","~*"),"?","~?"),Guide!$A$7:$A$9,0))),INDEX(Guide!$B$7:$B$9,MATCH(SUBSTITUTE(SUBSTITUTE(SUBSTITUTE(H796,"~","~~"),"*","~*"),"?","~?"),Guide!$A$7:$A$9,0)),""),"")</f>
        <v>Accessories</v>
      </c>
      <c r="J796" s="1" t="str">
        <f>IF(TRIM(Raw!E796)="",I796,IF(UPPER(TRIM(Raw!E796))=UPPER(I796),I796,""))</f>
        <v>Accessories</v>
      </c>
      <c r="K796" s="1" t="str">
        <f>IF(Raw!F796="","",Raw!F796)</f>
        <v>sale</v>
      </c>
      <c r="L796" s="1" t="str">
        <f>IF(LEFT(TRIM(Raw!G796),2)="-$","-"&amp;MID(TRIM(Raw!G796),3,99),IF(LEFT(TRIM(Raw!G796),1)="$",MID(TRIM(Raw!G796),2,99),TRIM(Raw!G796)))</f>
        <v>227.68</v>
      </c>
      <c r="M796" s="1">
        <f t="shared" si="99"/>
        <v>227.68</v>
      </c>
      <c r="N796" s="10">
        <f t="shared" si="100"/>
        <v>22768</v>
      </c>
      <c r="O796" s="1" t="b">
        <f>IFERROR(IF(ISNUMBER(Raw!G796),TRUE,OR(EXACT(L796,TEXT(M796,"0.00")),EXACT(L796,TEXT(M796,"#,##0.00")))),FALSE)</f>
        <v>1</v>
      </c>
      <c r="P796" s="1" t="str">
        <f>LEN(IF(Raw!A796="","",Raw!A796))&amp;":"&amp;IF(Raw!A796="","",Raw!A796)&amp;"|"&amp;LEN(IF(Raw!B796="","",Raw!B796))&amp;":"&amp;IF(Raw!B796="","",Raw!B796)&amp;"|"&amp;LEN(IF(Raw!C796="","",Raw!C796))&amp;":"&amp;IF(Raw!C796="","",Raw!C796)&amp;"|"&amp;LEN(IF(Raw!D796="","",Raw!D796))&amp;":"&amp;IF(Raw!D796="","",Raw!D796)&amp;"|"&amp;LEN(IF(Raw!E796="","",Raw!E796))&amp;":"&amp;IF(Raw!E796="","",Raw!E796)&amp;"|"&amp;LEN(IF(Raw!F796="","",Raw!F796))&amp;":"&amp;IF(Raw!F796="","",Raw!F796)&amp;"|"&amp;LEN(IF(Raw!G796="","",Raw!G796))&amp;":"&amp;IF(Raw!G796="","",Raw!G796)</f>
        <v>6:L00790|6:T00395|10:2026-02-28|3:P-A|11:Accessories|4:sale|6:227.68</v>
      </c>
      <c r="Q796" s="1">
        <f>1</f>
        <v>1</v>
      </c>
      <c r="R796" s="1" t="b">
        <f>FALSE</f>
        <v>0</v>
      </c>
      <c r="S796" s="1">
        <f>1</f>
        <v>1</v>
      </c>
      <c r="T796" s="1" t="str">
        <f>IF(AND(Raw!A796="",Raw!B796="",Raw!C796="",Raw!D796="",Raw!E796="",Raw!F796="",Raw!G796=""),"UNUSED",IF(A796="","missing line ID",IF(B796="","missing transaction ID",IF(G796="",IF(C796="","missing date","invalid date"),IF(I796="","unknown product",IF(J796="","conflicting category",IF(NOT(OR(EXACT(K796,"sale"),EXACT(K796,"refund"))),"unknown event",IF(OR(N796="",NOT(O796)),"invalid amount",IF(OR(AND(K796="sale",N796&lt;=0),AND(K796="refund",N796&gt;=0)),"invalid sign","")))))))))</f>
        <v/>
      </c>
      <c r="U796" s="1" t="str">
        <f t="shared" si="101"/>
        <v>INCLUDED</v>
      </c>
      <c r="V796" s="1" t="str">
        <f t="shared" si="102"/>
        <v>2026-02</v>
      </c>
      <c r="W796" s="1">
        <f>IF(AND(U796="INCLUDED",X796&gt;0,EXACT(A796,'AI output'!A796)),1,0)</f>
        <v>1</v>
      </c>
      <c r="X796" s="1">
        <f>796</f>
        <v>796</v>
      </c>
      <c r="Y796" s="1">
        <f>IF(AND(U796="INCLUDED",W796=1),--(NOT(EXACT(A796,'AI output'!A796)))+--(NOT(EXACT(B796,'AI output'!B796)))+--(NOT(EXACT(TEXT(G796,"yyyy-mm-dd"),'AI output'!C796)))+--(NOT(EXACT(H796,'AI output'!D796)))+--(NOT(EXACT(J796,'AI output'!E796)))+--(NOT(EXACT(K796,'AI output'!F796)))+--(N796&lt;&gt;'AI output'!L796)+--(NOT('AI output'!M796)),0)</f>
        <v>0</v>
      </c>
      <c r="Z796" s="1">
        <f t="shared" si="103"/>
        <v>0</v>
      </c>
      <c r="AA796" s="1">
        <f>--EXACT(A796,"L00790")</f>
        <v>1</v>
      </c>
    </row>
    <row r="797" spans="1:27" ht="18.95" customHeight="1">
      <c r="A797" s="1" t="str">
        <f>IF(Raw!A797="","",Raw!A797)</f>
        <v>L00791</v>
      </c>
      <c r="B797" s="1" t="str">
        <f>IF(Raw!B797="","",Raw!B797)</f>
        <v>T00396</v>
      </c>
      <c r="C797" s="1" t="str">
        <f>IF(Raw!C797="","",Raw!C797)</f>
        <v>2026-03-07</v>
      </c>
      <c r="D797" s="1">
        <f t="shared" si="96"/>
        <v>2026</v>
      </c>
      <c r="E797" s="1">
        <f>IFERROR(IF(AND(LEN(C797)=10,MID(C797,5,1)="-",MID(C797,8,1)="-"),VALUE(MID(C797,6,2)),IF(AND(LEN(C797)=11,MID(C797,3,1)="-",MID(C797,7,1)="-"),MATCH(UPPER(MID(C797,4,3)),Guide!$D$7:$D$18,0),0)),0)</f>
        <v>3</v>
      </c>
      <c r="F797" s="1">
        <f t="shared" si="97"/>
        <v>7</v>
      </c>
      <c r="G797" s="9">
        <f t="shared" si="98"/>
        <v>46088</v>
      </c>
      <c r="H797" s="1" t="str">
        <f>IF(Raw!D797="","",Raw!D797)</f>
        <v>P-H</v>
      </c>
      <c r="I797" s="1" t="str">
        <f>IFERROR(IF(EXACT(H797,INDEX(Guide!$A$7:$A$9,MATCH(SUBSTITUTE(SUBSTITUTE(SUBSTITUTE(H797,"~","~~"),"*","~*"),"?","~?"),Guide!$A$7:$A$9,0))),INDEX(Guide!$B$7:$B$9,MATCH(SUBSTITUTE(SUBSTITUTE(SUBSTITUTE(H797,"~","~~"),"*","~*"),"?","~?"),Guide!$A$7:$A$9,0)),""),"")</f>
        <v>Home</v>
      </c>
      <c r="J797" s="1" t="str">
        <f>IF(TRIM(Raw!E797)="",I797,IF(UPPER(TRIM(Raw!E797))=UPPER(I797),I797,""))</f>
        <v>Home</v>
      </c>
      <c r="K797" s="1" t="str">
        <f>IF(Raw!F797="","",Raw!F797)</f>
        <v>sale</v>
      </c>
      <c r="L797" s="1" t="str">
        <f>IF(LEFT(TRIM(Raw!G797),2)="-$","-"&amp;MID(TRIM(Raw!G797),3,99),IF(LEFT(TRIM(Raw!G797),1)="$",MID(TRIM(Raw!G797),2,99),TRIM(Raw!G797)))</f>
        <v>57.29</v>
      </c>
      <c r="M797" s="1">
        <f t="shared" si="99"/>
        <v>57.29</v>
      </c>
      <c r="N797" s="10">
        <f t="shared" si="100"/>
        <v>5729</v>
      </c>
      <c r="O797" s="1" t="b">
        <f>IFERROR(IF(ISNUMBER(Raw!G797),TRUE,OR(EXACT(L797,TEXT(M797,"0.00")),EXACT(L797,TEXT(M797,"#,##0.00")))),FALSE)</f>
        <v>1</v>
      </c>
      <c r="P797" s="1" t="str">
        <f>LEN(IF(Raw!A797="","",Raw!A797))&amp;":"&amp;IF(Raw!A797="","",Raw!A797)&amp;"|"&amp;LEN(IF(Raw!B797="","",Raw!B797))&amp;":"&amp;IF(Raw!B797="","",Raw!B797)&amp;"|"&amp;LEN(IF(Raw!C797="","",Raw!C797))&amp;":"&amp;IF(Raw!C797="","",Raw!C797)&amp;"|"&amp;LEN(IF(Raw!D797="","",Raw!D797))&amp;":"&amp;IF(Raw!D797="","",Raw!D797)&amp;"|"&amp;LEN(IF(Raw!E797="","",Raw!E797))&amp;":"&amp;IF(Raw!E797="","",Raw!E797)&amp;"|"&amp;LEN(IF(Raw!F797="","",Raw!F797))&amp;":"&amp;IF(Raw!F797="","",Raw!F797)&amp;"|"&amp;LEN(IF(Raw!G797="","",Raw!G797))&amp;":"&amp;IF(Raw!G797="","",Raw!G797)</f>
        <v>6:L00791|6:T00396|10:2026-03-07|3:P-H|4:Home|4:sale|5:57.29</v>
      </c>
      <c r="Q797" s="1">
        <f>1</f>
        <v>1</v>
      </c>
      <c r="R797" s="1" t="b">
        <f>FALSE</f>
        <v>0</v>
      </c>
      <c r="S797" s="1">
        <f>1</f>
        <v>1</v>
      </c>
      <c r="T797" s="1" t="str">
        <f>IF(AND(Raw!A797="",Raw!B797="",Raw!C797="",Raw!D797="",Raw!E797="",Raw!F797="",Raw!G797=""),"UNUSED",IF(A797="","missing line ID",IF(B797="","missing transaction ID",IF(G797="",IF(C797="","missing date","invalid date"),IF(I797="","unknown product",IF(J797="","conflicting category",IF(NOT(OR(EXACT(K797,"sale"),EXACT(K797,"refund"))),"unknown event",IF(OR(N797="",NOT(O797)),"invalid amount",IF(OR(AND(K797="sale",N797&lt;=0),AND(K797="refund",N797&gt;=0)),"invalid sign","")))))))))</f>
        <v/>
      </c>
      <c r="U797" s="1" t="str">
        <f t="shared" si="101"/>
        <v>INCLUDED</v>
      </c>
      <c r="V797" s="1" t="str">
        <f t="shared" si="102"/>
        <v>2026-03</v>
      </c>
      <c r="W797" s="1">
        <f>IF(AND(U797="INCLUDED",X797&gt;0,EXACT(A797,'AI output'!A797)),1,0)</f>
        <v>1</v>
      </c>
      <c r="X797" s="1">
        <f>797</f>
        <v>797</v>
      </c>
      <c r="Y797" s="1">
        <f>IF(AND(U797="INCLUDED",W797=1),--(NOT(EXACT(A797,'AI output'!A797)))+--(NOT(EXACT(B797,'AI output'!B797)))+--(NOT(EXACT(TEXT(G797,"yyyy-mm-dd"),'AI output'!C797)))+--(NOT(EXACT(H797,'AI output'!D797)))+--(NOT(EXACT(J797,'AI output'!E797)))+--(NOT(EXACT(K797,'AI output'!F797)))+--(N797&lt;&gt;'AI output'!L797)+--(NOT('AI output'!M797)),0)</f>
        <v>0</v>
      </c>
      <c r="Z797" s="1">
        <f t="shared" si="103"/>
        <v>0</v>
      </c>
      <c r="AA797" s="1">
        <f>--EXACT(A797,"L00791")</f>
        <v>1</v>
      </c>
    </row>
    <row r="798" spans="1:27" ht="18.95" customHeight="1">
      <c r="A798" s="1" t="str">
        <f>IF(Raw!A798="","",Raw!A798)</f>
        <v>L00792</v>
      </c>
      <c r="B798" s="1" t="str">
        <f>IF(Raw!B798="","",Raw!B798)</f>
        <v>T00396</v>
      </c>
      <c r="C798" s="1" t="str">
        <f>IF(Raw!C798="","",Raw!C798)</f>
        <v>2026-03-07</v>
      </c>
      <c r="D798" s="1">
        <f t="shared" si="96"/>
        <v>2026</v>
      </c>
      <c r="E798" s="1">
        <f>IFERROR(IF(AND(LEN(C798)=10,MID(C798,5,1)="-",MID(C798,8,1)="-"),VALUE(MID(C798,6,2)),IF(AND(LEN(C798)=11,MID(C798,3,1)="-",MID(C798,7,1)="-"),MATCH(UPPER(MID(C798,4,3)),Guide!$D$7:$D$18,0),0)),0)</f>
        <v>3</v>
      </c>
      <c r="F798" s="1">
        <f t="shared" si="97"/>
        <v>7</v>
      </c>
      <c r="G798" s="9">
        <f t="shared" si="98"/>
        <v>46088</v>
      </c>
      <c r="H798" s="1" t="str">
        <f>IF(Raw!D798="","",Raw!D798)</f>
        <v>P-O</v>
      </c>
      <c r="I798" s="1" t="str">
        <f>IFERROR(IF(EXACT(H798,INDEX(Guide!$A$7:$A$9,MATCH(SUBSTITUTE(SUBSTITUTE(SUBSTITUTE(H798,"~","~~"),"*","~*"),"?","~?"),Guide!$A$7:$A$9,0))),INDEX(Guide!$B$7:$B$9,MATCH(SUBSTITUTE(SUBSTITUTE(SUBSTITUTE(H798,"~","~~"),"*","~*"),"?","~?"),Guide!$A$7:$A$9,0)),""),"")</f>
        <v>Office</v>
      </c>
      <c r="J798" s="1" t="str">
        <f>IF(TRIM(Raw!E798)="",I798,IF(UPPER(TRIM(Raw!E798))=UPPER(I798),I798,""))</f>
        <v>Office</v>
      </c>
      <c r="K798" s="1" t="str">
        <f>IF(Raw!F798="","",Raw!F798)</f>
        <v>sale</v>
      </c>
      <c r="L798" s="1" t="str">
        <f>IF(LEFT(TRIM(Raw!G798),2)="-$","-"&amp;MID(TRIM(Raw!G798),3,99),IF(LEFT(TRIM(Raw!G798),1)="$",MID(TRIM(Raw!G798),2,99),TRIM(Raw!G798)))</f>
        <v>172.98</v>
      </c>
      <c r="M798" s="1">
        <f t="shared" si="99"/>
        <v>172.98</v>
      </c>
      <c r="N798" s="10">
        <f t="shared" si="100"/>
        <v>17298</v>
      </c>
      <c r="O798" s="1" t="b">
        <f>IFERROR(IF(ISNUMBER(Raw!G798),TRUE,OR(EXACT(L798,TEXT(M798,"0.00")),EXACT(L798,TEXT(M798,"#,##0.00")))),FALSE)</f>
        <v>1</v>
      </c>
      <c r="P798" s="1" t="str">
        <f>LEN(IF(Raw!A798="","",Raw!A798))&amp;":"&amp;IF(Raw!A798="","",Raw!A798)&amp;"|"&amp;LEN(IF(Raw!B798="","",Raw!B798))&amp;":"&amp;IF(Raw!B798="","",Raw!B798)&amp;"|"&amp;LEN(IF(Raw!C798="","",Raw!C798))&amp;":"&amp;IF(Raw!C798="","",Raw!C798)&amp;"|"&amp;LEN(IF(Raw!D798="","",Raw!D798))&amp;":"&amp;IF(Raw!D798="","",Raw!D798)&amp;"|"&amp;LEN(IF(Raw!E798="","",Raw!E798))&amp;":"&amp;IF(Raw!E798="","",Raw!E798)&amp;"|"&amp;LEN(IF(Raw!F798="","",Raw!F798))&amp;":"&amp;IF(Raw!F798="","",Raw!F798)&amp;"|"&amp;LEN(IF(Raw!G798="","",Raw!G798))&amp;":"&amp;IF(Raw!G798="","",Raw!G798)</f>
        <v>6:L00792|6:T00396|10:2026-03-07|3:P-O|6:Office|4:sale|6:172.98</v>
      </c>
      <c r="Q798" s="1">
        <f>1</f>
        <v>1</v>
      </c>
      <c r="R798" s="1" t="b">
        <f>FALSE</f>
        <v>0</v>
      </c>
      <c r="S798" s="1">
        <f>1</f>
        <v>1</v>
      </c>
      <c r="T798" s="1" t="str">
        <f>IF(AND(Raw!A798="",Raw!B798="",Raw!C798="",Raw!D798="",Raw!E798="",Raw!F798="",Raw!G798=""),"UNUSED",IF(A798="","missing line ID",IF(B798="","missing transaction ID",IF(G798="",IF(C798="","missing date","invalid date"),IF(I798="","unknown product",IF(J798="","conflicting category",IF(NOT(OR(EXACT(K798,"sale"),EXACT(K798,"refund"))),"unknown event",IF(OR(N798="",NOT(O798)),"invalid amount",IF(OR(AND(K798="sale",N798&lt;=0),AND(K798="refund",N798&gt;=0)),"invalid sign","")))))))))</f>
        <v/>
      </c>
      <c r="U798" s="1" t="str">
        <f t="shared" si="101"/>
        <v>INCLUDED</v>
      </c>
      <c r="V798" s="1" t="str">
        <f t="shared" si="102"/>
        <v>2026-03</v>
      </c>
      <c r="W798" s="1">
        <f>IF(AND(U798="INCLUDED",X798&gt;0,EXACT(A798,'AI output'!A798)),1,0)</f>
        <v>1</v>
      </c>
      <c r="X798" s="1">
        <f>798</f>
        <v>798</v>
      </c>
      <c r="Y798" s="1">
        <f>IF(AND(U798="INCLUDED",W798=1),--(NOT(EXACT(A798,'AI output'!A798)))+--(NOT(EXACT(B798,'AI output'!B798)))+--(NOT(EXACT(TEXT(G798,"yyyy-mm-dd"),'AI output'!C798)))+--(NOT(EXACT(H798,'AI output'!D798)))+--(NOT(EXACT(J798,'AI output'!E798)))+--(NOT(EXACT(K798,'AI output'!F798)))+--(N798&lt;&gt;'AI output'!L798)+--(NOT('AI output'!M798)),0)</f>
        <v>0</v>
      </c>
      <c r="Z798" s="1">
        <f t="shared" si="103"/>
        <v>0</v>
      </c>
      <c r="AA798" s="1">
        <f>--EXACT(A798,"L00792")</f>
        <v>1</v>
      </c>
    </row>
    <row r="799" spans="1:27" ht="18.95" customHeight="1">
      <c r="A799" s="1" t="str">
        <f>IF(Raw!A799="","",Raw!A799)</f>
        <v>L00793</v>
      </c>
      <c r="B799" s="1" t="str">
        <f>IF(Raw!B799="","",Raw!B799)</f>
        <v>T00397</v>
      </c>
      <c r="C799" s="1" t="str">
        <f>IF(Raw!C799="","",Raw!C799)</f>
        <v>2026-03-14</v>
      </c>
      <c r="D799" s="1">
        <f t="shared" si="96"/>
        <v>2026</v>
      </c>
      <c r="E799" s="1">
        <f>IFERROR(IF(AND(LEN(C799)=10,MID(C799,5,1)="-",MID(C799,8,1)="-"),VALUE(MID(C799,6,2)),IF(AND(LEN(C799)=11,MID(C799,3,1)="-",MID(C799,7,1)="-"),MATCH(UPPER(MID(C799,4,3)),Guide!$D$7:$D$18,0),0)),0)</f>
        <v>3</v>
      </c>
      <c r="F799" s="1">
        <f t="shared" si="97"/>
        <v>14</v>
      </c>
      <c r="G799" s="9">
        <f t="shared" si="98"/>
        <v>46095</v>
      </c>
      <c r="H799" s="1" t="str">
        <f>IF(Raw!D799="","",Raw!D799)</f>
        <v>P-A</v>
      </c>
      <c r="I799" s="1" t="str">
        <f>IFERROR(IF(EXACT(H799,INDEX(Guide!$A$7:$A$9,MATCH(SUBSTITUTE(SUBSTITUTE(SUBSTITUTE(H799,"~","~~"),"*","~*"),"?","~?"),Guide!$A$7:$A$9,0))),INDEX(Guide!$B$7:$B$9,MATCH(SUBSTITUTE(SUBSTITUTE(SUBSTITUTE(H799,"~","~~"),"*","~*"),"?","~?"),Guide!$A$7:$A$9,0)),""),"")</f>
        <v>Accessories</v>
      </c>
      <c r="J799" s="1" t="str">
        <f>IF(TRIM(Raw!E799)="",I799,IF(UPPER(TRIM(Raw!E799))=UPPER(I799),I799,""))</f>
        <v>Accessories</v>
      </c>
      <c r="K799" s="1" t="str">
        <f>IF(Raw!F799="","",Raw!F799)</f>
        <v>sale</v>
      </c>
      <c r="L799" s="1" t="str">
        <f>IF(LEFT(TRIM(Raw!G799),2)="-$","-"&amp;MID(TRIM(Raw!G799),3,99),IF(LEFT(TRIM(Raw!G799),1)="$",MID(TRIM(Raw!G799),2,99),TRIM(Raw!G799)))</f>
        <v>290.15</v>
      </c>
      <c r="M799" s="1">
        <f t="shared" si="99"/>
        <v>290.14999999999998</v>
      </c>
      <c r="N799" s="10">
        <f t="shared" si="100"/>
        <v>29015</v>
      </c>
      <c r="O799" s="1" t="b">
        <f>IFERROR(IF(ISNUMBER(Raw!G799),TRUE,OR(EXACT(L799,TEXT(M799,"0.00")),EXACT(L799,TEXT(M799,"#,##0.00")))),FALSE)</f>
        <v>1</v>
      </c>
      <c r="P799" s="1" t="str">
        <f>LEN(IF(Raw!A799="","",Raw!A799))&amp;":"&amp;IF(Raw!A799="","",Raw!A799)&amp;"|"&amp;LEN(IF(Raw!B799="","",Raw!B799))&amp;":"&amp;IF(Raw!B799="","",Raw!B799)&amp;"|"&amp;LEN(IF(Raw!C799="","",Raw!C799))&amp;":"&amp;IF(Raw!C799="","",Raw!C799)&amp;"|"&amp;LEN(IF(Raw!D799="","",Raw!D799))&amp;":"&amp;IF(Raw!D799="","",Raw!D799)&amp;"|"&amp;LEN(IF(Raw!E799="","",Raw!E799))&amp;":"&amp;IF(Raw!E799="","",Raw!E799)&amp;"|"&amp;LEN(IF(Raw!F799="","",Raw!F799))&amp;":"&amp;IF(Raw!F799="","",Raw!F799)&amp;"|"&amp;LEN(IF(Raw!G799="","",Raw!G799))&amp;":"&amp;IF(Raw!G799="","",Raw!G799)</f>
        <v>6:L00793|6:T00397|10:2026-03-14|3:P-A|11:Accessories|4:sale|6:290.15</v>
      </c>
      <c r="Q799" s="1">
        <f>1</f>
        <v>1</v>
      </c>
      <c r="R799" s="1" t="b">
        <f>FALSE</f>
        <v>0</v>
      </c>
      <c r="S799" s="1">
        <f>1</f>
        <v>1</v>
      </c>
      <c r="T799" s="1" t="str">
        <f>IF(AND(Raw!A799="",Raw!B799="",Raw!C799="",Raw!D799="",Raw!E799="",Raw!F799="",Raw!G799=""),"UNUSED",IF(A799="","missing line ID",IF(B799="","missing transaction ID",IF(G799="",IF(C799="","missing date","invalid date"),IF(I799="","unknown product",IF(J799="","conflicting category",IF(NOT(OR(EXACT(K799,"sale"),EXACT(K799,"refund"))),"unknown event",IF(OR(N799="",NOT(O799)),"invalid amount",IF(OR(AND(K799="sale",N799&lt;=0),AND(K799="refund",N799&gt;=0)),"invalid sign","")))))))))</f>
        <v/>
      </c>
      <c r="U799" s="1" t="str">
        <f t="shared" si="101"/>
        <v>INCLUDED</v>
      </c>
      <c r="V799" s="1" t="str">
        <f t="shared" si="102"/>
        <v>2026-03</v>
      </c>
      <c r="W799" s="1">
        <f>IF(AND(U799="INCLUDED",X799&gt;0,EXACT(A799,'AI output'!A799)),1,0)</f>
        <v>1</v>
      </c>
      <c r="X799" s="1">
        <f>799</f>
        <v>799</v>
      </c>
      <c r="Y799" s="1">
        <f>IF(AND(U799="INCLUDED",W799=1),--(NOT(EXACT(A799,'AI output'!A799)))+--(NOT(EXACT(B799,'AI output'!B799)))+--(NOT(EXACT(TEXT(G799,"yyyy-mm-dd"),'AI output'!C799)))+--(NOT(EXACT(H799,'AI output'!D799)))+--(NOT(EXACT(J799,'AI output'!E799)))+--(NOT(EXACT(K799,'AI output'!F799)))+--(N799&lt;&gt;'AI output'!L799)+--(NOT('AI output'!M799)),0)</f>
        <v>0</v>
      </c>
      <c r="Z799" s="1">
        <f t="shared" si="103"/>
        <v>0</v>
      </c>
      <c r="AA799" s="1">
        <f>--EXACT(A799,"L00793")</f>
        <v>1</v>
      </c>
    </row>
    <row r="800" spans="1:27" ht="18.95" customHeight="1">
      <c r="A800" s="1" t="str">
        <f>IF(Raw!A800="","",Raw!A800)</f>
        <v>L00794</v>
      </c>
      <c r="B800" s="1" t="str">
        <f>IF(Raw!B800="","",Raw!B800)</f>
        <v>T00397</v>
      </c>
      <c r="C800" s="1" t="str">
        <f>IF(Raw!C800="","",Raw!C800)</f>
        <v>2026-03-14</v>
      </c>
      <c r="D800" s="1">
        <f t="shared" si="96"/>
        <v>2026</v>
      </c>
      <c r="E800" s="1">
        <f>IFERROR(IF(AND(LEN(C800)=10,MID(C800,5,1)="-",MID(C800,8,1)="-"),VALUE(MID(C800,6,2)),IF(AND(LEN(C800)=11,MID(C800,3,1)="-",MID(C800,7,1)="-"),MATCH(UPPER(MID(C800,4,3)),Guide!$D$7:$D$18,0),0)),0)</f>
        <v>3</v>
      </c>
      <c r="F800" s="1">
        <f t="shared" si="97"/>
        <v>14</v>
      </c>
      <c r="G800" s="9">
        <f t="shared" si="98"/>
        <v>46095</v>
      </c>
      <c r="H800" s="1" t="str">
        <f>IF(Raw!D800="","",Raw!D800)</f>
        <v>P-H</v>
      </c>
      <c r="I800" s="1" t="str">
        <f>IFERROR(IF(EXACT(H800,INDEX(Guide!$A$7:$A$9,MATCH(SUBSTITUTE(SUBSTITUTE(SUBSTITUTE(H800,"~","~~"),"*","~*"),"?","~?"),Guide!$A$7:$A$9,0))),INDEX(Guide!$B$7:$B$9,MATCH(SUBSTITUTE(SUBSTITUTE(SUBSTITUTE(H800,"~","~~"),"*","~*"),"?","~?"),Guide!$A$7:$A$9,0)),""),"")</f>
        <v>Home</v>
      </c>
      <c r="J800" s="1" t="str">
        <f>IF(TRIM(Raw!E800)="",I800,IF(UPPER(TRIM(Raw!E800))=UPPER(I800),I800,""))</f>
        <v>Home</v>
      </c>
      <c r="K800" s="1" t="str">
        <f>IF(Raw!F800="","",Raw!F800)</f>
        <v>sale</v>
      </c>
      <c r="L800" s="1" t="str">
        <f>IF(LEFT(TRIM(Raw!G800),2)="-$","-"&amp;MID(TRIM(Raw!G800),3,99),IF(LEFT(TRIM(Raw!G800),1)="$",MID(TRIM(Raw!G800),2,99),TRIM(Raw!G800)))</f>
        <v>116.80</v>
      </c>
      <c r="M800" s="1">
        <f t="shared" si="99"/>
        <v>116.8</v>
      </c>
      <c r="N800" s="10">
        <f t="shared" si="100"/>
        <v>11680</v>
      </c>
      <c r="O800" s="1" t="b">
        <f>IFERROR(IF(ISNUMBER(Raw!G800),TRUE,OR(EXACT(L800,TEXT(M800,"0.00")),EXACT(L800,TEXT(M800,"#,##0.00")))),FALSE)</f>
        <v>1</v>
      </c>
      <c r="P800" s="1" t="str">
        <f>LEN(IF(Raw!A800="","",Raw!A800))&amp;":"&amp;IF(Raw!A800="","",Raw!A800)&amp;"|"&amp;LEN(IF(Raw!B800="","",Raw!B800))&amp;":"&amp;IF(Raw!B800="","",Raw!B800)&amp;"|"&amp;LEN(IF(Raw!C800="","",Raw!C800))&amp;":"&amp;IF(Raw!C800="","",Raw!C800)&amp;"|"&amp;LEN(IF(Raw!D800="","",Raw!D800))&amp;":"&amp;IF(Raw!D800="","",Raw!D800)&amp;"|"&amp;LEN(IF(Raw!E800="","",Raw!E800))&amp;":"&amp;IF(Raw!E800="","",Raw!E800)&amp;"|"&amp;LEN(IF(Raw!F800="","",Raw!F800))&amp;":"&amp;IF(Raw!F800="","",Raw!F800)&amp;"|"&amp;LEN(IF(Raw!G800="","",Raw!G800))&amp;":"&amp;IF(Raw!G800="","",Raw!G800)</f>
        <v>6:L00794|6:T00397|10:2026-03-14|3:P-H|4:Home|4:sale|6:116.80</v>
      </c>
      <c r="Q800" s="1">
        <f>1</f>
        <v>1</v>
      </c>
      <c r="R800" s="1" t="b">
        <f>FALSE</f>
        <v>0</v>
      </c>
      <c r="S800" s="1">
        <f>1</f>
        <v>1</v>
      </c>
      <c r="T800" s="1" t="str">
        <f>IF(AND(Raw!A800="",Raw!B800="",Raw!C800="",Raw!D800="",Raw!E800="",Raw!F800="",Raw!G800=""),"UNUSED",IF(A800="","missing line ID",IF(B800="","missing transaction ID",IF(G800="",IF(C800="","missing date","invalid date"),IF(I800="","unknown product",IF(J800="","conflicting category",IF(NOT(OR(EXACT(K800,"sale"),EXACT(K800,"refund"))),"unknown event",IF(OR(N800="",NOT(O800)),"invalid amount",IF(OR(AND(K800="sale",N800&lt;=0),AND(K800="refund",N800&gt;=0)),"invalid sign","")))))))))</f>
        <v/>
      </c>
      <c r="U800" s="1" t="str">
        <f t="shared" si="101"/>
        <v>INCLUDED</v>
      </c>
      <c r="V800" s="1" t="str">
        <f t="shared" si="102"/>
        <v>2026-03</v>
      </c>
      <c r="W800" s="1">
        <f>IF(AND(U800="INCLUDED",X800&gt;0,EXACT(A800,'AI output'!A800)),1,0)</f>
        <v>1</v>
      </c>
      <c r="X800" s="1">
        <f>800</f>
        <v>800</v>
      </c>
      <c r="Y800" s="1">
        <f>IF(AND(U800="INCLUDED",W800=1),--(NOT(EXACT(A800,'AI output'!A800)))+--(NOT(EXACT(B800,'AI output'!B800)))+--(NOT(EXACT(TEXT(G800,"yyyy-mm-dd"),'AI output'!C800)))+--(NOT(EXACT(H800,'AI output'!D800)))+--(NOT(EXACT(J800,'AI output'!E800)))+--(NOT(EXACT(K800,'AI output'!F800)))+--(N800&lt;&gt;'AI output'!L800)+--(NOT('AI output'!M800)),0)</f>
        <v>0</v>
      </c>
      <c r="Z800" s="1">
        <f t="shared" si="103"/>
        <v>0</v>
      </c>
      <c r="AA800" s="1">
        <f>--EXACT(A800,"L00794")</f>
        <v>1</v>
      </c>
    </row>
    <row r="801" spans="1:27" ht="18.95" customHeight="1">
      <c r="A801" s="1" t="str">
        <f>IF(Raw!A801="","",Raw!A801)</f>
        <v>L00795</v>
      </c>
      <c r="B801" s="1" t="str">
        <f>IF(Raw!B801="","",Raw!B801)</f>
        <v>T00398</v>
      </c>
      <c r="C801" s="1" t="str">
        <f>IF(Raw!C801="","",Raw!C801)</f>
        <v>2026-03-21</v>
      </c>
      <c r="D801" s="1">
        <f t="shared" si="96"/>
        <v>2026</v>
      </c>
      <c r="E801" s="1">
        <f>IFERROR(IF(AND(LEN(C801)=10,MID(C801,5,1)="-",MID(C801,8,1)="-"),VALUE(MID(C801,6,2)),IF(AND(LEN(C801)=11,MID(C801,3,1)="-",MID(C801,7,1)="-"),MATCH(UPPER(MID(C801,4,3)),Guide!$D$7:$D$18,0),0)),0)</f>
        <v>3</v>
      </c>
      <c r="F801" s="1">
        <f t="shared" si="97"/>
        <v>21</v>
      </c>
      <c r="G801" s="9">
        <f t="shared" si="98"/>
        <v>46102</v>
      </c>
      <c r="H801" s="1" t="str">
        <f>IF(Raw!D801="","",Raw!D801)</f>
        <v>P-O</v>
      </c>
      <c r="I801" s="1" t="str">
        <f>IFERROR(IF(EXACT(H801,INDEX(Guide!$A$7:$A$9,MATCH(SUBSTITUTE(SUBSTITUTE(SUBSTITUTE(H801,"~","~~"),"*","~*"),"?","~?"),Guide!$A$7:$A$9,0))),INDEX(Guide!$B$7:$B$9,MATCH(SUBSTITUTE(SUBSTITUTE(SUBSTITUTE(H801,"~","~~"),"*","~*"),"?","~?"),Guide!$A$7:$A$9,0)),""),"")</f>
        <v>Office</v>
      </c>
      <c r="J801" s="1" t="str">
        <f>IF(TRIM(Raw!E801)="",I801,IF(UPPER(TRIM(Raw!E801))=UPPER(I801),I801,""))</f>
        <v>Office</v>
      </c>
      <c r="K801" s="1" t="str">
        <f>IF(Raw!F801="","",Raw!F801)</f>
        <v>sale</v>
      </c>
      <c r="L801" s="1" t="str">
        <f>IF(LEFT(TRIM(Raw!G801),2)="-$","-"&amp;MID(TRIM(Raw!G801),3,99),IF(LEFT(TRIM(Raw!G801),1)="$",MID(TRIM(Raw!G801),2,99),TRIM(Raw!G801)))</f>
        <v>235.08</v>
      </c>
      <c r="M801" s="1">
        <f t="shared" si="99"/>
        <v>235.08</v>
      </c>
      <c r="N801" s="10">
        <f t="shared" si="100"/>
        <v>23508</v>
      </c>
      <c r="O801" s="1" t="b">
        <f>IFERROR(IF(ISNUMBER(Raw!G801),TRUE,OR(EXACT(L801,TEXT(M801,"0.00")),EXACT(L801,TEXT(M801,"#,##0.00")))),FALSE)</f>
        <v>1</v>
      </c>
      <c r="P801" s="1" t="str">
        <f>LEN(IF(Raw!A801="","",Raw!A801))&amp;":"&amp;IF(Raw!A801="","",Raw!A801)&amp;"|"&amp;LEN(IF(Raw!B801="","",Raw!B801))&amp;":"&amp;IF(Raw!B801="","",Raw!B801)&amp;"|"&amp;LEN(IF(Raw!C801="","",Raw!C801))&amp;":"&amp;IF(Raw!C801="","",Raw!C801)&amp;"|"&amp;LEN(IF(Raw!D801="","",Raw!D801))&amp;":"&amp;IF(Raw!D801="","",Raw!D801)&amp;"|"&amp;LEN(IF(Raw!E801="","",Raw!E801))&amp;":"&amp;IF(Raw!E801="","",Raw!E801)&amp;"|"&amp;LEN(IF(Raw!F801="","",Raw!F801))&amp;":"&amp;IF(Raw!F801="","",Raw!F801)&amp;"|"&amp;LEN(IF(Raw!G801="","",Raw!G801))&amp;":"&amp;IF(Raw!G801="","",Raw!G801)</f>
        <v>6:L00795|6:T00398|10:2026-03-21|3:P-O|6:Office|4:sale|6:235.08</v>
      </c>
      <c r="Q801" s="1">
        <f>2</f>
        <v>2</v>
      </c>
      <c r="R801" s="1" t="b">
        <f>OR(NOT(EXACT(P801,P1996)))</f>
        <v>0</v>
      </c>
      <c r="S801" s="1">
        <f>1</f>
        <v>1</v>
      </c>
      <c r="T801" s="1" t="str">
        <f>IF(AND(Raw!A801="",Raw!B801="",Raw!C801="",Raw!D801="",Raw!E801="",Raw!F801="",Raw!G801=""),"UNUSED",IF(A801="","missing line ID",IF(B801="","missing transaction ID",IF(G801="",IF(C801="","missing date","invalid date"),IF(I801="","unknown product",IF(J801="","conflicting category",IF(NOT(OR(EXACT(K801,"sale"),EXACT(K801,"refund"))),"unknown event",IF(OR(N801="",NOT(O801)),"invalid amount",IF(OR(AND(K801="sale",N801&lt;=0),AND(K801="refund",N801&gt;=0)),"invalid sign","")))))))))</f>
        <v/>
      </c>
      <c r="U801" s="1" t="str">
        <f t="shared" si="101"/>
        <v>INCLUDED</v>
      </c>
      <c r="V801" s="1" t="str">
        <f t="shared" si="102"/>
        <v>2026-03</v>
      </c>
      <c r="W801" s="1">
        <f>IF(AND(U801="INCLUDED",X801&gt;0,EXACT(A801,'AI output'!A801)),1,0)</f>
        <v>1</v>
      </c>
      <c r="X801" s="1">
        <f>801</f>
        <v>801</v>
      </c>
      <c r="Y801" s="1">
        <f>IF(AND(U801="INCLUDED",W801=1),--(NOT(EXACT(A801,'AI output'!A801)))+--(NOT(EXACT(B801,'AI output'!B801)))+--(NOT(EXACT(TEXT(G801,"yyyy-mm-dd"),'AI output'!C801)))+--(NOT(EXACT(H801,'AI output'!D801)))+--(NOT(EXACT(J801,'AI output'!E801)))+--(NOT(EXACT(K801,'AI output'!F801)))+--(N801&lt;&gt;'AI output'!L801)+--(NOT('AI output'!M801)),0)</f>
        <v>0</v>
      </c>
      <c r="Z801" s="1">
        <f t="shared" si="103"/>
        <v>0</v>
      </c>
      <c r="AA801" s="1">
        <f>--EXACT(A801,"L00795")</f>
        <v>1</v>
      </c>
    </row>
    <row r="802" spans="1:27" ht="18.95" customHeight="1">
      <c r="A802" s="1" t="str">
        <f>IF(Raw!A802="","",Raw!A802)</f>
        <v>L00796</v>
      </c>
      <c r="B802" s="1" t="str">
        <f>IF(Raw!B802="","",Raw!B802)</f>
        <v>T00398</v>
      </c>
      <c r="C802" s="1" t="str">
        <f>IF(Raw!C802="","",Raw!C802)</f>
        <v>2026-03-21</v>
      </c>
      <c r="D802" s="1">
        <f t="shared" si="96"/>
        <v>2026</v>
      </c>
      <c r="E802" s="1">
        <f>IFERROR(IF(AND(LEN(C802)=10,MID(C802,5,1)="-",MID(C802,8,1)="-"),VALUE(MID(C802,6,2)),IF(AND(LEN(C802)=11,MID(C802,3,1)="-",MID(C802,7,1)="-"),MATCH(UPPER(MID(C802,4,3)),Guide!$D$7:$D$18,0),0)),0)</f>
        <v>3</v>
      </c>
      <c r="F802" s="1">
        <f t="shared" si="97"/>
        <v>21</v>
      </c>
      <c r="G802" s="9">
        <f t="shared" si="98"/>
        <v>46102</v>
      </c>
      <c r="H802" s="1" t="str">
        <f>IF(Raw!D802="","",Raw!D802)</f>
        <v>P-A</v>
      </c>
      <c r="I802" s="1" t="str">
        <f>IFERROR(IF(EXACT(H802,INDEX(Guide!$A$7:$A$9,MATCH(SUBSTITUTE(SUBSTITUTE(SUBSTITUTE(H802,"~","~~"),"*","~*"),"?","~?"),Guide!$A$7:$A$9,0))),INDEX(Guide!$B$7:$B$9,MATCH(SUBSTITUTE(SUBSTITUTE(SUBSTITUTE(H802,"~","~~"),"*","~*"),"?","~?"),Guide!$A$7:$A$9,0)),""),"")</f>
        <v>Accessories</v>
      </c>
      <c r="J802" s="1" t="str">
        <f>IF(TRIM(Raw!E802)="",I802,IF(UPPER(TRIM(Raw!E802))=UPPER(I802),I802,""))</f>
        <v>Accessories</v>
      </c>
      <c r="K802" s="1" t="str">
        <f>IF(Raw!F802="","",Raw!F802)</f>
        <v>sale</v>
      </c>
      <c r="L802" s="1" t="str">
        <f>IF(LEFT(TRIM(Raw!G802),2)="-$","-"&amp;MID(TRIM(Raw!G802),3,99),IF(LEFT(TRIM(Raw!G802),1)="$",MID(TRIM(Raw!G802),2,99),TRIM(Raw!G802)))</f>
        <v>59.14</v>
      </c>
      <c r="M802" s="1">
        <f t="shared" si="99"/>
        <v>59.14</v>
      </c>
      <c r="N802" s="10">
        <f t="shared" si="100"/>
        <v>5914</v>
      </c>
      <c r="O802" s="1" t="b">
        <f>IFERROR(IF(ISNUMBER(Raw!G802),TRUE,OR(EXACT(L802,TEXT(M802,"0.00")),EXACT(L802,TEXT(M802,"#,##0.00")))),FALSE)</f>
        <v>1</v>
      </c>
      <c r="P802" s="1" t="str">
        <f>LEN(IF(Raw!A802="","",Raw!A802))&amp;":"&amp;IF(Raw!A802="","",Raw!A802)&amp;"|"&amp;LEN(IF(Raw!B802="","",Raw!B802))&amp;":"&amp;IF(Raw!B802="","",Raw!B802)&amp;"|"&amp;LEN(IF(Raw!C802="","",Raw!C802))&amp;":"&amp;IF(Raw!C802="","",Raw!C802)&amp;"|"&amp;LEN(IF(Raw!D802="","",Raw!D802))&amp;":"&amp;IF(Raw!D802="","",Raw!D802)&amp;"|"&amp;LEN(IF(Raw!E802="","",Raw!E802))&amp;":"&amp;IF(Raw!E802="","",Raw!E802)&amp;"|"&amp;LEN(IF(Raw!F802="","",Raw!F802))&amp;":"&amp;IF(Raw!F802="","",Raw!F802)&amp;"|"&amp;LEN(IF(Raw!G802="","",Raw!G802))&amp;":"&amp;IF(Raw!G802="","",Raw!G802)</f>
        <v>6:L00796|6:T00398|10:2026-03-21|3:P-A|11:Accessories|4:sale|5:59.14</v>
      </c>
      <c r="Q802" s="1">
        <f>1</f>
        <v>1</v>
      </c>
      <c r="R802" s="1" t="b">
        <f>FALSE</f>
        <v>0</v>
      </c>
      <c r="S802" s="1">
        <f>1</f>
        <v>1</v>
      </c>
      <c r="T802" s="1" t="str">
        <f>IF(AND(Raw!A802="",Raw!B802="",Raw!C802="",Raw!D802="",Raw!E802="",Raw!F802="",Raw!G802=""),"UNUSED",IF(A802="","missing line ID",IF(B802="","missing transaction ID",IF(G802="",IF(C802="","missing date","invalid date"),IF(I802="","unknown product",IF(J802="","conflicting category",IF(NOT(OR(EXACT(K802,"sale"),EXACT(K802,"refund"))),"unknown event",IF(OR(N802="",NOT(O802)),"invalid amount",IF(OR(AND(K802="sale",N802&lt;=0),AND(K802="refund",N802&gt;=0)),"invalid sign","")))))))))</f>
        <v/>
      </c>
      <c r="U802" s="1" t="str">
        <f t="shared" si="101"/>
        <v>INCLUDED</v>
      </c>
      <c r="V802" s="1" t="str">
        <f t="shared" si="102"/>
        <v>2026-03</v>
      </c>
      <c r="W802" s="1">
        <f>IF(AND(U802="INCLUDED",X802&gt;0,EXACT(A802,'AI output'!A802)),1,0)</f>
        <v>1</v>
      </c>
      <c r="X802" s="1">
        <f>802</f>
        <v>802</v>
      </c>
      <c r="Y802" s="1">
        <f>IF(AND(U802="INCLUDED",W802=1),--(NOT(EXACT(A802,'AI output'!A802)))+--(NOT(EXACT(B802,'AI output'!B802)))+--(NOT(EXACT(TEXT(G802,"yyyy-mm-dd"),'AI output'!C802)))+--(NOT(EXACT(H802,'AI output'!D802)))+--(NOT(EXACT(J802,'AI output'!E802)))+--(NOT(EXACT(K802,'AI output'!F802)))+--(N802&lt;&gt;'AI output'!L802)+--(NOT('AI output'!M802)),0)</f>
        <v>0</v>
      </c>
      <c r="Z802" s="1">
        <f t="shared" si="103"/>
        <v>0</v>
      </c>
      <c r="AA802" s="1">
        <f>--EXACT(A802,"L00796")</f>
        <v>1</v>
      </c>
    </row>
    <row r="803" spans="1:27" ht="18.95" customHeight="1">
      <c r="A803" s="1" t="str">
        <f>IF(Raw!A803="","",Raw!A803)</f>
        <v>L00797</v>
      </c>
      <c r="B803" s="1" t="str">
        <f>IF(Raw!B803="","",Raw!B803)</f>
        <v>T00399</v>
      </c>
      <c r="C803" s="1" t="str">
        <f>IF(Raw!C803="","",Raw!C803)</f>
        <v>2026-03-28</v>
      </c>
      <c r="D803" s="1">
        <f t="shared" si="96"/>
        <v>2026</v>
      </c>
      <c r="E803" s="1">
        <f>IFERROR(IF(AND(LEN(C803)=10,MID(C803,5,1)="-",MID(C803,8,1)="-"),VALUE(MID(C803,6,2)),IF(AND(LEN(C803)=11,MID(C803,3,1)="-",MID(C803,7,1)="-"),MATCH(UPPER(MID(C803,4,3)),Guide!$D$7:$D$18,0),0)),0)</f>
        <v>3</v>
      </c>
      <c r="F803" s="1">
        <f t="shared" si="97"/>
        <v>28</v>
      </c>
      <c r="G803" s="9">
        <f t="shared" si="98"/>
        <v>46109</v>
      </c>
      <c r="H803" s="1" t="str">
        <f>IF(Raw!D803="","",Raw!D803)</f>
        <v>P-H</v>
      </c>
      <c r="I803" s="1" t="str">
        <f>IFERROR(IF(EXACT(H803,INDEX(Guide!$A$7:$A$9,MATCH(SUBSTITUTE(SUBSTITUTE(SUBSTITUTE(H803,"~","~~"),"*","~*"),"?","~?"),Guide!$A$7:$A$9,0))),INDEX(Guide!$B$7:$B$9,MATCH(SUBSTITUTE(SUBSTITUTE(SUBSTITUTE(H803,"~","~~"),"*","~*"),"?","~?"),Guide!$A$7:$A$9,0)),""),"")</f>
        <v>Home</v>
      </c>
      <c r="J803" s="1" t="str">
        <f>IF(TRIM(Raw!E803)="",I803,IF(UPPER(TRIM(Raw!E803))=UPPER(I803),I803,""))</f>
        <v>Home</v>
      </c>
      <c r="K803" s="1" t="str">
        <f>IF(Raw!F803="","",Raw!F803)</f>
        <v>sale</v>
      </c>
      <c r="L803" s="1" t="str">
        <f>IF(LEFT(TRIM(Raw!G803),2)="-$","-"&amp;MID(TRIM(Raw!G803),3,99),IF(LEFT(TRIM(Raw!G803),1)="$",MID(TRIM(Raw!G803),2,99),TRIM(Raw!G803)))</f>
        <v>178.53</v>
      </c>
      <c r="M803" s="1">
        <f t="shared" si="99"/>
        <v>178.53</v>
      </c>
      <c r="N803" s="10">
        <f t="shared" si="100"/>
        <v>17853</v>
      </c>
      <c r="O803" s="1" t="b">
        <f>IFERROR(IF(ISNUMBER(Raw!G803),TRUE,OR(EXACT(L803,TEXT(M803,"0.00")),EXACT(L803,TEXT(M803,"#,##0.00")))),FALSE)</f>
        <v>1</v>
      </c>
      <c r="P803" s="1" t="str">
        <f>LEN(IF(Raw!A803="","",Raw!A803))&amp;":"&amp;IF(Raw!A803="","",Raw!A803)&amp;"|"&amp;LEN(IF(Raw!B803="","",Raw!B803))&amp;":"&amp;IF(Raw!B803="","",Raw!B803)&amp;"|"&amp;LEN(IF(Raw!C803="","",Raw!C803))&amp;":"&amp;IF(Raw!C803="","",Raw!C803)&amp;"|"&amp;LEN(IF(Raw!D803="","",Raw!D803))&amp;":"&amp;IF(Raw!D803="","",Raw!D803)&amp;"|"&amp;LEN(IF(Raw!E803="","",Raw!E803))&amp;":"&amp;IF(Raw!E803="","",Raw!E803)&amp;"|"&amp;LEN(IF(Raw!F803="","",Raw!F803))&amp;":"&amp;IF(Raw!F803="","",Raw!F803)&amp;"|"&amp;LEN(IF(Raw!G803="","",Raw!G803))&amp;":"&amp;IF(Raw!G803="","",Raw!G803)</f>
        <v>6:L00797|6:T00399|10:2026-03-28|3:P-H|4:Home|4:sale|6:178.53</v>
      </c>
      <c r="Q803" s="1">
        <f>1</f>
        <v>1</v>
      </c>
      <c r="R803" s="1" t="b">
        <f>FALSE</f>
        <v>0</v>
      </c>
      <c r="S803" s="1">
        <f>1</f>
        <v>1</v>
      </c>
      <c r="T803" s="1" t="str">
        <f>IF(AND(Raw!A803="",Raw!B803="",Raw!C803="",Raw!D803="",Raw!E803="",Raw!F803="",Raw!G803=""),"UNUSED",IF(A803="","missing line ID",IF(B803="","missing transaction ID",IF(G803="",IF(C803="","missing date","invalid date"),IF(I803="","unknown product",IF(J803="","conflicting category",IF(NOT(OR(EXACT(K803,"sale"),EXACT(K803,"refund"))),"unknown event",IF(OR(N803="",NOT(O803)),"invalid amount",IF(OR(AND(K803="sale",N803&lt;=0),AND(K803="refund",N803&gt;=0)),"invalid sign","")))))))))</f>
        <v/>
      </c>
      <c r="U803" s="1" t="str">
        <f t="shared" si="101"/>
        <v>INCLUDED</v>
      </c>
      <c r="V803" s="1" t="str">
        <f t="shared" si="102"/>
        <v>2026-03</v>
      </c>
      <c r="W803" s="1">
        <f>IF(AND(U803="INCLUDED",X803&gt;0,EXACT(A803,'AI output'!A803)),1,0)</f>
        <v>1</v>
      </c>
      <c r="X803" s="1">
        <f>803</f>
        <v>803</v>
      </c>
      <c r="Y803" s="1">
        <f>IF(AND(U803="INCLUDED",W803=1),--(NOT(EXACT(A803,'AI output'!A803)))+--(NOT(EXACT(B803,'AI output'!B803)))+--(NOT(EXACT(TEXT(G803,"yyyy-mm-dd"),'AI output'!C803)))+--(NOT(EXACT(H803,'AI output'!D803)))+--(NOT(EXACT(J803,'AI output'!E803)))+--(NOT(EXACT(K803,'AI output'!F803)))+--(N803&lt;&gt;'AI output'!L803)+--(NOT('AI output'!M803)),0)</f>
        <v>0</v>
      </c>
      <c r="Z803" s="1">
        <f t="shared" si="103"/>
        <v>0</v>
      </c>
      <c r="AA803" s="1">
        <f>--EXACT(A803,"L00797")</f>
        <v>1</v>
      </c>
    </row>
    <row r="804" spans="1:27" ht="18.95" customHeight="1">
      <c r="A804" s="1" t="str">
        <f>IF(Raw!A804="","",Raw!A804)</f>
        <v>L00798</v>
      </c>
      <c r="B804" s="1" t="str">
        <f>IF(Raw!B804="","",Raw!B804)</f>
        <v>T00399</v>
      </c>
      <c r="C804" s="1" t="str">
        <f>IF(Raw!C804="","",Raw!C804)</f>
        <v>2026-03-28</v>
      </c>
      <c r="D804" s="1">
        <f t="shared" si="96"/>
        <v>2026</v>
      </c>
      <c r="E804" s="1">
        <f>IFERROR(IF(AND(LEN(C804)=10,MID(C804,5,1)="-",MID(C804,8,1)="-"),VALUE(MID(C804,6,2)),IF(AND(LEN(C804)=11,MID(C804,3,1)="-",MID(C804,7,1)="-"),MATCH(UPPER(MID(C804,4,3)),Guide!$D$7:$D$18,0),0)),0)</f>
        <v>3</v>
      </c>
      <c r="F804" s="1">
        <f t="shared" si="97"/>
        <v>28</v>
      </c>
      <c r="G804" s="9">
        <f t="shared" si="98"/>
        <v>46109</v>
      </c>
      <c r="H804" s="1" t="str">
        <f>IF(Raw!D804="","",Raw!D804)</f>
        <v>P-O</v>
      </c>
      <c r="I804" s="1" t="str">
        <f>IFERROR(IF(EXACT(H804,INDEX(Guide!$A$7:$A$9,MATCH(SUBSTITUTE(SUBSTITUTE(SUBSTITUTE(H804,"~","~~"),"*","~*"),"?","~?"),Guide!$A$7:$A$9,0))),INDEX(Guide!$B$7:$B$9,MATCH(SUBSTITUTE(SUBSTITUTE(SUBSTITUTE(H804,"~","~~"),"*","~*"),"?","~?"),Guide!$A$7:$A$9,0)),""),"")</f>
        <v>Office</v>
      </c>
      <c r="J804" s="1" t="str">
        <f>IF(TRIM(Raw!E804)="",I804,IF(UPPER(TRIM(Raw!E804))=UPPER(I804),I804,""))</f>
        <v>Office</v>
      </c>
      <c r="K804" s="1" t="str">
        <f>IF(Raw!F804="","",Raw!F804)</f>
        <v>sale</v>
      </c>
      <c r="L804" s="1" t="str">
        <f>IF(LEFT(TRIM(Raw!G804),2)="-$","-"&amp;MID(TRIM(Raw!G804),3,99),IF(LEFT(TRIM(Raw!G804),1)="$",MID(TRIM(Raw!G804),2,99),TRIM(Raw!G804)))</f>
        <v>299.40</v>
      </c>
      <c r="M804" s="1">
        <f t="shared" si="99"/>
        <v>299.39999999999998</v>
      </c>
      <c r="N804" s="10">
        <f t="shared" si="100"/>
        <v>29940</v>
      </c>
      <c r="O804" s="1" t="b">
        <f>IFERROR(IF(ISNUMBER(Raw!G804),TRUE,OR(EXACT(L804,TEXT(M804,"0.00")),EXACT(L804,TEXT(M804,"#,##0.00")))),FALSE)</f>
        <v>1</v>
      </c>
      <c r="P804" s="1" t="str">
        <f>LEN(IF(Raw!A804="","",Raw!A804))&amp;":"&amp;IF(Raw!A804="","",Raw!A804)&amp;"|"&amp;LEN(IF(Raw!B804="","",Raw!B804))&amp;":"&amp;IF(Raw!B804="","",Raw!B804)&amp;"|"&amp;LEN(IF(Raw!C804="","",Raw!C804))&amp;":"&amp;IF(Raw!C804="","",Raw!C804)&amp;"|"&amp;LEN(IF(Raw!D804="","",Raw!D804))&amp;":"&amp;IF(Raw!D804="","",Raw!D804)&amp;"|"&amp;LEN(IF(Raw!E804="","",Raw!E804))&amp;":"&amp;IF(Raw!E804="","",Raw!E804)&amp;"|"&amp;LEN(IF(Raw!F804="","",Raw!F804))&amp;":"&amp;IF(Raw!F804="","",Raw!F804)&amp;"|"&amp;LEN(IF(Raw!G804="","",Raw!G804))&amp;":"&amp;IF(Raw!G804="","",Raw!G804)</f>
        <v>6:L00798|6:T00399|10:2026-03-28|3:P-O|6:Office|4:sale|6:299.40</v>
      </c>
      <c r="Q804" s="1">
        <f>1</f>
        <v>1</v>
      </c>
      <c r="R804" s="1" t="b">
        <f>FALSE</f>
        <v>0</v>
      </c>
      <c r="S804" s="1">
        <f>1</f>
        <v>1</v>
      </c>
      <c r="T804" s="1" t="str">
        <f>IF(AND(Raw!A804="",Raw!B804="",Raw!C804="",Raw!D804="",Raw!E804="",Raw!F804="",Raw!G804=""),"UNUSED",IF(A804="","missing line ID",IF(B804="","missing transaction ID",IF(G804="",IF(C804="","missing date","invalid date"),IF(I804="","unknown product",IF(J804="","conflicting category",IF(NOT(OR(EXACT(K804,"sale"),EXACT(K804,"refund"))),"unknown event",IF(OR(N804="",NOT(O804)),"invalid amount",IF(OR(AND(K804="sale",N804&lt;=0),AND(K804="refund",N804&gt;=0)),"invalid sign","")))))))))</f>
        <v/>
      </c>
      <c r="U804" s="1" t="str">
        <f t="shared" si="101"/>
        <v>INCLUDED</v>
      </c>
      <c r="V804" s="1" t="str">
        <f t="shared" si="102"/>
        <v>2026-03</v>
      </c>
      <c r="W804" s="1">
        <f>IF(AND(U804="INCLUDED",X804&gt;0,EXACT(A804,'AI output'!A804)),1,0)</f>
        <v>1</v>
      </c>
      <c r="X804" s="1">
        <f>804</f>
        <v>804</v>
      </c>
      <c r="Y804" s="1">
        <f>IF(AND(U804="INCLUDED",W804=1),--(NOT(EXACT(A804,'AI output'!A804)))+--(NOT(EXACT(B804,'AI output'!B804)))+--(NOT(EXACT(TEXT(G804,"yyyy-mm-dd"),'AI output'!C804)))+--(NOT(EXACT(H804,'AI output'!D804)))+--(NOT(EXACT(J804,'AI output'!E804)))+--(NOT(EXACT(K804,'AI output'!F804)))+--(N804&lt;&gt;'AI output'!L804)+--(NOT('AI output'!M804)),0)</f>
        <v>0</v>
      </c>
      <c r="Z804" s="1">
        <f t="shared" si="103"/>
        <v>0</v>
      </c>
      <c r="AA804" s="1">
        <f>--EXACT(A804,"L00798")</f>
        <v>1</v>
      </c>
    </row>
    <row r="805" spans="1:27" ht="18.95" customHeight="1">
      <c r="A805" s="1" t="str">
        <f>IF(Raw!A805="","",Raw!A805)</f>
        <v>L00799</v>
      </c>
      <c r="B805" s="1" t="str">
        <f>IF(Raw!B805="","",Raw!B805)</f>
        <v>T00400</v>
      </c>
      <c r="C805" s="1" t="str">
        <f>IF(Raw!C805="","",Raw!C805)</f>
        <v>2026-01-04</v>
      </c>
      <c r="D805" s="1">
        <f t="shared" si="96"/>
        <v>2026</v>
      </c>
      <c r="E805" s="1">
        <f>IFERROR(IF(AND(LEN(C805)=10,MID(C805,5,1)="-",MID(C805,8,1)="-"),VALUE(MID(C805,6,2)),IF(AND(LEN(C805)=11,MID(C805,3,1)="-",MID(C805,7,1)="-"),MATCH(UPPER(MID(C805,4,3)),Guide!$D$7:$D$18,0),0)),0)</f>
        <v>1</v>
      </c>
      <c r="F805" s="1">
        <f t="shared" si="97"/>
        <v>4</v>
      </c>
      <c r="G805" s="9">
        <f t="shared" si="98"/>
        <v>46026</v>
      </c>
      <c r="H805" s="1" t="str">
        <f>IF(Raw!D805="","",Raw!D805)</f>
        <v>P-A</v>
      </c>
      <c r="I805" s="1" t="str">
        <f>IFERROR(IF(EXACT(H805,INDEX(Guide!$A$7:$A$9,MATCH(SUBSTITUTE(SUBSTITUTE(SUBSTITUTE(H805,"~","~~"),"*","~*"),"?","~?"),Guide!$A$7:$A$9,0))),INDEX(Guide!$B$7:$B$9,MATCH(SUBSTITUTE(SUBSTITUTE(SUBSTITUTE(H805,"~","~~"),"*","~*"),"?","~?"),Guide!$A$7:$A$9,0)),""),"")</f>
        <v>Accessories</v>
      </c>
      <c r="J805" s="1" t="str">
        <f>IF(TRIM(Raw!E805)="",I805,IF(UPPER(TRIM(Raw!E805))=UPPER(I805),I805,""))</f>
        <v>Accessories</v>
      </c>
      <c r="K805" s="1" t="str">
        <f>IF(Raw!F805="","",Raw!F805)</f>
        <v>sale</v>
      </c>
      <c r="L805" s="1" t="str">
        <f>IF(LEFT(TRIM(Raw!G805),2)="-$","-"&amp;MID(TRIM(Raw!G805),3,99),IF(LEFT(TRIM(Raw!G805),1)="$",MID(TRIM(Raw!G805),2,99),TRIM(Raw!G805)))</f>
        <v>120.50</v>
      </c>
      <c r="M805" s="1">
        <f t="shared" si="99"/>
        <v>120.5</v>
      </c>
      <c r="N805" s="10">
        <f t="shared" si="100"/>
        <v>12050</v>
      </c>
      <c r="O805" s="1" t="b">
        <f>IFERROR(IF(ISNUMBER(Raw!G805),TRUE,OR(EXACT(L805,TEXT(M805,"0.00")),EXACT(L805,TEXT(M805,"#,##0.00")))),FALSE)</f>
        <v>1</v>
      </c>
      <c r="P805" s="1" t="str">
        <f>LEN(IF(Raw!A805="","",Raw!A805))&amp;":"&amp;IF(Raw!A805="","",Raw!A805)&amp;"|"&amp;LEN(IF(Raw!B805="","",Raw!B805))&amp;":"&amp;IF(Raw!B805="","",Raw!B805)&amp;"|"&amp;LEN(IF(Raw!C805="","",Raw!C805))&amp;":"&amp;IF(Raw!C805="","",Raw!C805)&amp;"|"&amp;LEN(IF(Raw!D805="","",Raw!D805))&amp;":"&amp;IF(Raw!D805="","",Raw!D805)&amp;"|"&amp;LEN(IF(Raw!E805="","",Raw!E805))&amp;":"&amp;IF(Raw!E805="","",Raw!E805)&amp;"|"&amp;LEN(IF(Raw!F805="","",Raw!F805))&amp;":"&amp;IF(Raw!F805="","",Raw!F805)&amp;"|"&amp;LEN(IF(Raw!G805="","",Raw!G805))&amp;":"&amp;IF(Raw!G805="","",Raw!G805)</f>
        <v>6:L00799|6:T00400|10:2026-01-04|3:P-A|11:Accessories|4:sale|6:120.50</v>
      </c>
      <c r="Q805" s="1">
        <f>1</f>
        <v>1</v>
      </c>
      <c r="R805" s="1" t="b">
        <f>FALSE</f>
        <v>0</v>
      </c>
      <c r="S805" s="1">
        <f>1</f>
        <v>1</v>
      </c>
      <c r="T805" s="1" t="str">
        <f>IF(AND(Raw!A805="",Raw!B805="",Raw!C805="",Raw!D805="",Raw!E805="",Raw!F805="",Raw!G805=""),"UNUSED",IF(A805="","missing line ID",IF(B805="","missing transaction ID",IF(G805="",IF(C805="","missing date","invalid date"),IF(I805="","unknown product",IF(J805="","conflicting category",IF(NOT(OR(EXACT(K805,"sale"),EXACT(K805,"refund"))),"unknown event",IF(OR(N805="",NOT(O805)),"invalid amount",IF(OR(AND(K805="sale",N805&lt;=0),AND(K805="refund",N805&gt;=0)),"invalid sign","")))))))))</f>
        <v/>
      </c>
      <c r="U805" s="1" t="str">
        <f t="shared" si="101"/>
        <v>INCLUDED</v>
      </c>
      <c r="V805" s="1" t="str">
        <f t="shared" si="102"/>
        <v>2026-01</v>
      </c>
      <c r="W805" s="1">
        <f>IF(AND(U805="INCLUDED",X805&gt;0,EXACT(A805,'AI output'!A805)),1,0)</f>
        <v>1</v>
      </c>
      <c r="X805" s="1">
        <f>805</f>
        <v>805</v>
      </c>
      <c r="Y805" s="1">
        <f>IF(AND(U805="INCLUDED",W805=1),--(NOT(EXACT(A805,'AI output'!A805)))+--(NOT(EXACT(B805,'AI output'!B805)))+--(NOT(EXACT(TEXT(G805,"yyyy-mm-dd"),'AI output'!C805)))+--(NOT(EXACT(H805,'AI output'!D805)))+--(NOT(EXACT(J805,'AI output'!E805)))+--(NOT(EXACT(K805,'AI output'!F805)))+--(N805&lt;&gt;'AI output'!L805)+--(NOT('AI output'!M805)),0)</f>
        <v>0</v>
      </c>
      <c r="Z805" s="1">
        <f t="shared" si="103"/>
        <v>0</v>
      </c>
      <c r="AA805" s="1">
        <f>--EXACT(A805,"L00799")</f>
        <v>1</v>
      </c>
    </row>
    <row r="806" spans="1:27" ht="18.95" customHeight="1">
      <c r="A806" s="1" t="str">
        <f>IF(Raw!A806="","",Raw!A806)</f>
        <v>L00800</v>
      </c>
      <c r="B806" s="1" t="str">
        <f>IF(Raw!B806="","",Raw!B806)</f>
        <v>T00400</v>
      </c>
      <c r="C806" s="1" t="str">
        <f>IF(Raw!C806="","",Raw!C806)</f>
        <v>2026-01-04</v>
      </c>
      <c r="D806" s="1">
        <f t="shared" si="96"/>
        <v>2026</v>
      </c>
      <c r="E806" s="1">
        <f>IFERROR(IF(AND(LEN(C806)=10,MID(C806,5,1)="-",MID(C806,8,1)="-"),VALUE(MID(C806,6,2)),IF(AND(LEN(C806)=11,MID(C806,3,1)="-",MID(C806,7,1)="-"),MATCH(UPPER(MID(C806,4,3)),Guide!$D$7:$D$18,0),0)),0)</f>
        <v>1</v>
      </c>
      <c r="F806" s="1">
        <f t="shared" si="97"/>
        <v>4</v>
      </c>
      <c r="G806" s="9">
        <f t="shared" si="98"/>
        <v>46026</v>
      </c>
      <c r="H806" s="1" t="str">
        <f>IF(Raw!D806="","",Raw!D806)</f>
        <v>P-H</v>
      </c>
      <c r="I806" s="1" t="str">
        <f>IFERROR(IF(EXACT(H806,INDEX(Guide!$A$7:$A$9,MATCH(SUBSTITUTE(SUBSTITUTE(SUBSTITUTE(H806,"~","~~"),"*","~*"),"?","~?"),Guide!$A$7:$A$9,0))),INDEX(Guide!$B$7:$B$9,MATCH(SUBSTITUTE(SUBSTITUTE(SUBSTITUTE(H806,"~","~~"),"*","~*"),"?","~?"),Guide!$A$7:$A$9,0)),""),"")</f>
        <v>Home</v>
      </c>
      <c r="J806" s="1" t="str">
        <f>IF(TRIM(Raw!E806)="",I806,IF(UPPER(TRIM(Raw!E806))=UPPER(I806),I806,""))</f>
        <v>Home</v>
      </c>
      <c r="K806" s="1" t="str">
        <f>IF(Raw!F806="","",Raw!F806)</f>
        <v>sale</v>
      </c>
      <c r="L806" s="1" t="str">
        <f>IF(LEFT(TRIM(Raw!G806),2)="-$","-"&amp;MID(TRIM(Raw!G806),3,99),IF(LEFT(TRIM(Raw!G806),1)="$",MID(TRIM(Raw!G806),2,99),TRIM(Raw!G806)))</f>
        <v>242.48</v>
      </c>
      <c r="M806" s="1">
        <f t="shared" si="99"/>
        <v>242.48</v>
      </c>
      <c r="N806" s="10">
        <f t="shared" si="100"/>
        <v>24248</v>
      </c>
      <c r="O806" s="1" t="b">
        <f>IFERROR(IF(ISNUMBER(Raw!G806),TRUE,OR(EXACT(L806,TEXT(M806,"0.00")),EXACT(L806,TEXT(M806,"#,##0.00")))),FALSE)</f>
        <v>1</v>
      </c>
      <c r="P806" s="1" t="str">
        <f>LEN(IF(Raw!A806="","",Raw!A806))&amp;":"&amp;IF(Raw!A806="","",Raw!A806)&amp;"|"&amp;LEN(IF(Raw!B806="","",Raw!B806))&amp;":"&amp;IF(Raw!B806="","",Raw!B806)&amp;"|"&amp;LEN(IF(Raw!C806="","",Raw!C806))&amp;":"&amp;IF(Raw!C806="","",Raw!C806)&amp;"|"&amp;LEN(IF(Raw!D806="","",Raw!D806))&amp;":"&amp;IF(Raw!D806="","",Raw!D806)&amp;"|"&amp;LEN(IF(Raw!E806="","",Raw!E806))&amp;":"&amp;IF(Raw!E806="","",Raw!E806)&amp;"|"&amp;LEN(IF(Raw!F806="","",Raw!F806))&amp;":"&amp;IF(Raw!F806="","",Raw!F806)&amp;"|"&amp;LEN(IF(Raw!G806="","",Raw!G806))&amp;":"&amp;IF(Raw!G806="","",Raw!G806)</f>
        <v>6:L00800|6:T00400|10:2026-01-04|3:P-H|4:Home|4:sale|6:242.48</v>
      </c>
      <c r="Q806" s="1">
        <f>1</f>
        <v>1</v>
      </c>
      <c r="R806" s="1" t="b">
        <f>FALSE</f>
        <v>0</v>
      </c>
      <c r="S806" s="1">
        <f>1</f>
        <v>1</v>
      </c>
      <c r="T806" s="1" t="str">
        <f>IF(AND(Raw!A806="",Raw!B806="",Raw!C806="",Raw!D806="",Raw!E806="",Raw!F806="",Raw!G806=""),"UNUSED",IF(A806="","missing line ID",IF(B806="","missing transaction ID",IF(G806="",IF(C806="","missing date","invalid date"),IF(I806="","unknown product",IF(J806="","conflicting category",IF(NOT(OR(EXACT(K806,"sale"),EXACT(K806,"refund"))),"unknown event",IF(OR(N806="",NOT(O806)),"invalid amount",IF(OR(AND(K806="sale",N806&lt;=0),AND(K806="refund",N806&gt;=0)),"invalid sign","")))))))))</f>
        <v/>
      </c>
      <c r="U806" s="1" t="str">
        <f t="shared" si="101"/>
        <v>INCLUDED</v>
      </c>
      <c r="V806" s="1" t="str">
        <f t="shared" si="102"/>
        <v>2026-01</v>
      </c>
      <c r="W806" s="1">
        <f>IF(AND(U806="INCLUDED",X806&gt;0,EXACT(A806,'AI output'!A806)),1,0)</f>
        <v>1</v>
      </c>
      <c r="X806" s="1">
        <f>806</f>
        <v>806</v>
      </c>
      <c r="Y806" s="1">
        <f>IF(AND(U806="INCLUDED",W806=1),--(NOT(EXACT(A806,'AI output'!A806)))+--(NOT(EXACT(B806,'AI output'!B806)))+--(NOT(EXACT(TEXT(G806,"yyyy-mm-dd"),'AI output'!C806)))+--(NOT(EXACT(H806,'AI output'!D806)))+--(NOT(EXACT(J806,'AI output'!E806)))+--(NOT(EXACT(K806,'AI output'!F806)))+--(N806&lt;&gt;'AI output'!L806)+--(NOT('AI output'!M806)),0)</f>
        <v>0</v>
      </c>
      <c r="Z806" s="1">
        <f t="shared" si="103"/>
        <v>0</v>
      </c>
      <c r="AA806" s="1">
        <f>--EXACT(A806,"L00800")</f>
        <v>1</v>
      </c>
    </row>
    <row r="807" spans="1:27" ht="18.95" customHeight="1">
      <c r="A807" s="1" t="str">
        <f>IF(Raw!A807="","",Raw!A807)</f>
        <v>L00801</v>
      </c>
      <c r="B807" s="1" t="str">
        <f>IF(Raw!B807="","",Raw!B807)</f>
        <v>T00401</v>
      </c>
      <c r="C807" s="1" t="str">
        <f>IF(Raw!C807="","",Raw!C807)</f>
        <v>2026-01-11</v>
      </c>
      <c r="D807" s="1">
        <f t="shared" si="96"/>
        <v>2026</v>
      </c>
      <c r="E807" s="1">
        <f>IFERROR(IF(AND(LEN(C807)=10,MID(C807,5,1)="-",MID(C807,8,1)="-"),VALUE(MID(C807,6,2)),IF(AND(LEN(C807)=11,MID(C807,3,1)="-",MID(C807,7,1)="-"),MATCH(UPPER(MID(C807,4,3)),Guide!$D$7:$D$18,0),0)),0)</f>
        <v>1</v>
      </c>
      <c r="F807" s="1">
        <f t="shared" si="97"/>
        <v>11</v>
      </c>
      <c r="G807" s="9">
        <f t="shared" si="98"/>
        <v>46033</v>
      </c>
      <c r="H807" s="1" t="str">
        <f>IF(Raw!D807="","",Raw!D807)</f>
        <v>P-O</v>
      </c>
      <c r="I807" s="1" t="str">
        <f>IFERROR(IF(EXACT(H807,INDEX(Guide!$A$7:$A$9,MATCH(SUBSTITUTE(SUBSTITUTE(SUBSTITUTE(H807,"~","~~"),"*","~*"),"?","~?"),Guide!$A$7:$A$9,0))),INDEX(Guide!$B$7:$B$9,MATCH(SUBSTITUTE(SUBSTITUTE(SUBSTITUTE(H807,"~","~~"),"*","~*"),"?","~?"),Guide!$A$7:$A$9,0)),""),"")</f>
        <v>Office</v>
      </c>
      <c r="J807" s="1" t="str">
        <f>IF(TRIM(Raw!E807)="",I807,IF(UPPER(TRIM(Raw!E807))=UPPER(I807),I807,""))</f>
        <v>Office</v>
      </c>
      <c r="K807" s="1" t="str">
        <f>IF(Raw!F807="","",Raw!F807)</f>
        <v>sale</v>
      </c>
      <c r="L807" s="1" t="str">
        <f>IF(LEFT(TRIM(Raw!G807),2)="-$","-"&amp;MID(TRIM(Raw!G807),3,99),IF(LEFT(TRIM(Raw!G807),1)="$",MID(TRIM(Raw!G807),2,99),TRIM(Raw!G807)))</f>
        <v>60.99</v>
      </c>
      <c r="M807" s="1">
        <f t="shared" si="99"/>
        <v>60.99</v>
      </c>
      <c r="N807" s="10">
        <f t="shared" si="100"/>
        <v>6099</v>
      </c>
      <c r="O807" s="1" t="b">
        <f>IFERROR(IF(ISNUMBER(Raw!G807),TRUE,OR(EXACT(L807,TEXT(M807,"0.00")),EXACT(L807,TEXT(M807,"#,##0.00")))),FALSE)</f>
        <v>1</v>
      </c>
      <c r="P807" s="1" t="str">
        <f>LEN(IF(Raw!A807="","",Raw!A807))&amp;":"&amp;IF(Raw!A807="","",Raw!A807)&amp;"|"&amp;LEN(IF(Raw!B807="","",Raw!B807))&amp;":"&amp;IF(Raw!B807="","",Raw!B807)&amp;"|"&amp;LEN(IF(Raw!C807="","",Raw!C807))&amp;":"&amp;IF(Raw!C807="","",Raw!C807)&amp;"|"&amp;LEN(IF(Raw!D807="","",Raw!D807))&amp;":"&amp;IF(Raw!D807="","",Raw!D807)&amp;"|"&amp;LEN(IF(Raw!E807="","",Raw!E807))&amp;":"&amp;IF(Raw!E807="","",Raw!E807)&amp;"|"&amp;LEN(IF(Raw!F807="","",Raw!F807))&amp;":"&amp;IF(Raw!F807="","",Raw!F807)&amp;"|"&amp;LEN(IF(Raw!G807="","",Raw!G807))&amp;":"&amp;IF(Raw!G807="","",Raw!G807)</f>
        <v>6:L00801|6:T00401|10:2026-01-11|3:P-O|10:  office  |4:sale|5:60.99</v>
      </c>
      <c r="Q807" s="1">
        <f>1</f>
        <v>1</v>
      </c>
      <c r="R807" s="1" t="b">
        <f>FALSE</f>
        <v>0</v>
      </c>
      <c r="S807" s="1">
        <f>1</f>
        <v>1</v>
      </c>
      <c r="T807" s="1" t="str">
        <f>IF(AND(Raw!A807="",Raw!B807="",Raw!C807="",Raw!D807="",Raw!E807="",Raw!F807="",Raw!G807=""),"UNUSED",IF(A807="","missing line ID",IF(B807="","missing transaction ID",IF(G807="",IF(C807="","missing date","invalid date"),IF(I807="","unknown product",IF(J807="","conflicting category",IF(NOT(OR(EXACT(K807,"sale"),EXACT(K807,"refund"))),"unknown event",IF(OR(N807="",NOT(O807)),"invalid amount",IF(OR(AND(K807="sale",N807&lt;=0),AND(K807="refund",N807&gt;=0)),"invalid sign","")))))))))</f>
        <v/>
      </c>
      <c r="U807" s="1" t="str">
        <f t="shared" si="101"/>
        <v>INCLUDED</v>
      </c>
      <c r="V807" s="1" t="str">
        <f t="shared" si="102"/>
        <v>2026-01</v>
      </c>
      <c r="W807" s="1">
        <f>IF(AND(U807="INCLUDED",X807&gt;0,EXACT(A807,'AI output'!A807)),1,0)</f>
        <v>1</v>
      </c>
      <c r="X807" s="1">
        <f>807</f>
        <v>807</v>
      </c>
      <c r="Y807" s="1">
        <f>IF(AND(U807="INCLUDED",W807=1),--(NOT(EXACT(A807,'AI output'!A807)))+--(NOT(EXACT(B807,'AI output'!B807)))+--(NOT(EXACT(TEXT(G807,"yyyy-mm-dd"),'AI output'!C807)))+--(NOT(EXACT(H807,'AI output'!D807)))+--(NOT(EXACT(J807,'AI output'!E807)))+--(NOT(EXACT(K807,'AI output'!F807)))+--(N807&lt;&gt;'AI output'!L807)+--(NOT('AI output'!M807)),0)</f>
        <v>0</v>
      </c>
      <c r="Z807" s="1">
        <f t="shared" si="103"/>
        <v>0</v>
      </c>
      <c r="AA807" s="1">
        <f>--EXACT(A807,"L00801")</f>
        <v>1</v>
      </c>
    </row>
    <row r="808" spans="1:27" ht="18.95" customHeight="1">
      <c r="A808" s="1" t="str">
        <f>IF(Raw!A808="","",Raw!A808)</f>
        <v>L00802</v>
      </c>
      <c r="B808" s="1" t="str">
        <f>IF(Raw!B808="","",Raw!B808)</f>
        <v>T00401</v>
      </c>
      <c r="C808" s="1" t="str">
        <f>IF(Raw!C808="","",Raw!C808)</f>
        <v>2026-01-11</v>
      </c>
      <c r="D808" s="1">
        <f t="shared" si="96"/>
        <v>2026</v>
      </c>
      <c r="E808" s="1">
        <f>IFERROR(IF(AND(LEN(C808)=10,MID(C808,5,1)="-",MID(C808,8,1)="-"),VALUE(MID(C808,6,2)),IF(AND(LEN(C808)=11,MID(C808,3,1)="-",MID(C808,7,1)="-"),MATCH(UPPER(MID(C808,4,3)),Guide!$D$7:$D$18,0),0)),0)</f>
        <v>1</v>
      </c>
      <c r="F808" s="1">
        <f t="shared" si="97"/>
        <v>11</v>
      </c>
      <c r="G808" s="9">
        <f t="shared" si="98"/>
        <v>46033</v>
      </c>
      <c r="H808" s="1" t="str">
        <f>IF(Raw!D808="","",Raw!D808)</f>
        <v>P-A</v>
      </c>
      <c r="I808" s="1" t="str">
        <f>IFERROR(IF(EXACT(H808,INDEX(Guide!$A$7:$A$9,MATCH(SUBSTITUTE(SUBSTITUTE(SUBSTITUTE(H808,"~","~~"),"*","~*"),"?","~?"),Guide!$A$7:$A$9,0))),INDEX(Guide!$B$7:$B$9,MATCH(SUBSTITUTE(SUBSTITUTE(SUBSTITUTE(H808,"~","~~"),"*","~*"),"?","~?"),Guide!$A$7:$A$9,0)),""),"")</f>
        <v>Accessories</v>
      </c>
      <c r="J808" s="1" t="str">
        <f>IF(TRIM(Raw!E808)="",I808,IF(UPPER(TRIM(Raw!E808))=UPPER(I808),I808,""))</f>
        <v>Accessories</v>
      </c>
      <c r="K808" s="1" t="str">
        <f>IF(Raw!F808="","",Raw!F808)</f>
        <v>sale</v>
      </c>
      <c r="L808" s="1" t="str">
        <f>IF(LEFT(TRIM(Raw!G808),2)="-$","-"&amp;MID(TRIM(Raw!G808),3,99),IF(LEFT(TRIM(Raw!G808),1)="$",MID(TRIM(Raw!G808),2,99),TRIM(Raw!G808)))</f>
        <v>184.08</v>
      </c>
      <c r="M808" s="1">
        <f t="shared" si="99"/>
        <v>184.08</v>
      </c>
      <c r="N808" s="10">
        <f t="shared" si="100"/>
        <v>18408</v>
      </c>
      <c r="O808" s="1" t="b">
        <f>IFERROR(IF(ISNUMBER(Raw!G808),TRUE,OR(EXACT(L808,TEXT(M808,"0.00")),EXACT(L808,TEXT(M808,"#,##0.00")))),FALSE)</f>
        <v>1</v>
      </c>
      <c r="P808" s="1" t="str">
        <f>LEN(IF(Raw!A808="","",Raw!A808))&amp;":"&amp;IF(Raw!A808="","",Raw!A808)&amp;"|"&amp;LEN(IF(Raw!B808="","",Raw!B808))&amp;":"&amp;IF(Raw!B808="","",Raw!B808)&amp;"|"&amp;LEN(IF(Raw!C808="","",Raw!C808))&amp;":"&amp;IF(Raw!C808="","",Raw!C808)&amp;"|"&amp;LEN(IF(Raw!D808="","",Raw!D808))&amp;":"&amp;IF(Raw!D808="","",Raw!D808)&amp;"|"&amp;LEN(IF(Raw!E808="","",Raw!E808))&amp;":"&amp;IF(Raw!E808="","",Raw!E808)&amp;"|"&amp;LEN(IF(Raw!F808="","",Raw!F808))&amp;":"&amp;IF(Raw!F808="","",Raw!F808)&amp;"|"&amp;LEN(IF(Raw!G808="","",Raw!G808))&amp;":"&amp;IF(Raw!G808="","",Raw!G808)</f>
        <v>6:L00802|6:T00401|10:2026-01-11|3:P-A|11:Accessories|4:sale|6:184.08</v>
      </c>
      <c r="Q808" s="1">
        <f>1</f>
        <v>1</v>
      </c>
      <c r="R808" s="1" t="b">
        <f>FALSE</f>
        <v>0</v>
      </c>
      <c r="S808" s="1">
        <f>1</f>
        <v>1</v>
      </c>
      <c r="T808" s="1" t="str">
        <f>IF(AND(Raw!A808="",Raw!B808="",Raw!C808="",Raw!D808="",Raw!E808="",Raw!F808="",Raw!G808=""),"UNUSED",IF(A808="","missing line ID",IF(B808="","missing transaction ID",IF(G808="",IF(C808="","missing date","invalid date"),IF(I808="","unknown product",IF(J808="","conflicting category",IF(NOT(OR(EXACT(K808,"sale"),EXACT(K808,"refund"))),"unknown event",IF(OR(N808="",NOT(O808)),"invalid amount",IF(OR(AND(K808="sale",N808&lt;=0),AND(K808="refund",N808&gt;=0)),"invalid sign","")))))))))</f>
        <v/>
      </c>
      <c r="U808" s="1" t="str">
        <f t="shared" si="101"/>
        <v>INCLUDED</v>
      </c>
      <c r="V808" s="1" t="str">
        <f t="shared" si="102"/>
        <v>2026-01</v>
      </c>
      <c r="W808" s="1">
        <f>IF(AND(U808="INCLUDED",X808&gt;0,EXACT(A808,'AI output'!A808)),1,0)</f>
        <v>1</v>
      </c>
      <c r="X808" s="1">
        <f>808</f>
        <v>808</v>
      </c>
      <c r="Y808" s="1">
        <f>IF(AND(U808="INCLUDED",W808=1),--(NOT(EXACT(A808,'AI output'!A808)))+--(NOT(EXACT(B808,'AI output'!B808)))+--(NOT(EXACT(TEXT(G808,"yyyy-mm-dd"),'AI output'!C808)))+--(NOT(EXACT(H808,'AI output'!D808)))+--(NOT(EXACT(J808,'AI output'!E808)))+--(NOT(EXACT(K808,'AI output'!F808)))+--(N808&lt;&gt;'AI output'!L808)+--(NOT('AI output'!M808)),0)</f>
        <v>0</v>
      </c>
      <c r="Z808" s="1">
        <f t="shared" si="103"/>
        <v>0</v>
      </c>
      <c r="AA808" s="1">
        <f>--EXACT(A808,"L00802")</f>
        <v>1</v>
      </c>
    </row>
    <row r="809" spans="1:27" ht="18.95" customHeight="1">
      <c r="A809" s="1" t="str">
        <f>IF(Raw!A809="","",Raw!A809)</f>
        <v>L00803</v>
      </c>
      <c r="B809" s="1" t="str">
        <f>IF(Raw!B809="","",Raw!B809)</f>
        <v>T00402</v>
      </c>
      <c r="C809" s="1" t="str">
        <f>IF(Raw!C809="","",Raw!C809)</f>
        <v>2026-01-18</v>
      </c>
      <c r="D809" s="1">
        <f t="shared" si="96"/>
        <v>2026</v>
      </c>
      <c r="E809" s="1">
        <f>IFERROR(IF(AND(LEN(C809)=10,MID(C809,5,1)="-",MID(C809,8,1)="-"),VALUE(MID(C809,6,2)),IF(AND(LEN(C809)=11,MID(C809,3,1)="-",MID(C809,7,1)="-"),MATCH(UPPER(MID(C809,4,3)),Guide!$D$7:$D$18,0),0)),0)</f>
        <v>1</v>
      </c>
      <c r="F809" s="1">
        <f t="shared" si="97"/>
        <v>18</v>
      </c>
      <c r="G809" s="9">
        <f t="shared" si="98"/>
        <v>46040</v>
      </c>
      <c r="H809" s="1" t="str">
        <f>IF(Raw!D809="","",Raw!D809)</f>
        <v>P-H</v>
      </c>
      <c r="I809" s="1" t="str">
        <f>IFERROR(IF(EXACT(H809,INDEX(Guide!$A$7:$A$9,MATCH(SUBSTITUTE(SUBSTITUTE(SUBSTITUTE(H809,"~","~~"),"*","~*"),"?","~?"),Guide!$A$7:$A$9,0))),INDEX(Guide!$B$7:$B$9,MATCH(SUBSTITUTE(SUBSTITUTE(SUBSTITUTE(H809,"~","~~"),"*","~*"),"?","~?"),Guide!$A$7:$A$9,0)),""),"")</f>
        <v>Home</v>
      </c>
      <c r="J809" s="1" t="str">
        <f>IF(TRIM(Raw!E809)="",I809,IF(UPPER(TRIM(Raw!E809))=UPPER(I809),I809,""))</f>
        <v>Home</v>
      </c>
      <c r="K809" s="1" t="str">
        <f>IF(Raw!F809="","",Raw!F809)</f>
        <v>sale</v>
      </c>
      <c r="L809" s="1" t="str">
        <f>IF(LEFT(TRIM(Raw!G809),2)="-$","-"&amp;MID(TRIM(Raw!G809),3,99),IF(LEFT(TRIM(Raw!G809),1)="$",MID(TRIM(Raw!G809),2,99),TRIM(Raw!G809)))</f>
        <v>308.65</v>
      </c>
      <c r="M809" s="1">
        <f t="shared" si="99"/>
        <v>308.64999999999998</v>
      </c>
      <c r="N809" s="10">
        <f t="shared" si="100"/>
        <v>30865</v>
      </c>
      <c r="O809" s="1" t="b">
        <f>IFERROR(IF(ISNUMBER(Raw!G809),TRUE,OR(EXACT(L809,TEXT(M809,"0.00")),EXACT(L809,TEXT(M809,"#,##0.00")))),FALSE)</f>
        <v>1</v>
      </c>
      <c r="P809" s="1" t="str">
        <f>LEN(IF(Raw!A809="","",Raw!A809))&amp;":"&amp;IF(Raw!A809="","",Raw!A809)&amp;"|"&amp;LEN(IF(Raw!B809="","",Raw!B809))&amp;":"&amp;IF(Raw!B809="","",Raw!B809)&amp;"|"&amp;LEN(IF(Raw!C809="","",Raw!C809))&amp;":"&amp;IF(Raw!C809="","",Raw!C809)&amp;"|"&amp;LEN(IF(Raw!D809="","",Raw!D809))&amp;":"&amp;IF(Raw!D809="","",Raw!D809)&amp;"|"&amp;LEN(IF(Raw!E809="","",Raw!E809))&amp;":"&amp;IF(Raw!E809="","",Raw!E809)&amp;"|"&amp;LEN(IF(Raw!F809="","",Raw!F809))&amp;":"&amp;IF(Raw!F809="","",Raw!F809)&amp;"|"&amp;LEN(IF(Raw!G809="","",Raw!G809))&amp;":"&amp;IF(Raw!G809="","",Raw!G809)</f>
        <v>6:L00803|6:T00402|10:2026-01-18|3:P-H|4:Home|4:sale|6:308.65</v>
      </c>
      <c r="Q809" s="1">
        <f>1</f>
        <v>1</v>
      </c>
      <c r="R809" s="1" t="b">
        <f>FALSE</f>
        <v>0</v>
      </c>
      <c r="S809" s="1">
        <f>1</f>
        <v>1</v>
      </c>
      <c r="T809" s="1" t="str">
        <f>IF(AND(Raw!A809="",Raw!B809="",Raw!C809="",Raw!D809="",Raw!E809="",Raw!F809="",Raw!G809=""),"UNUSED",IF(A809="","missing line ID",IF(B809="","missing transaction ID",IF(G809="",IF(C809="","missing date","invalid date"),IF(I809="","unknown product",IF(J809="","conflicting category",IF(NOT(OR(EXACT(K809,"sale"),EXACT(K809,"refund"))),"unknown event",IF(OR(N809="",NOT(O809)),"invalid amount",IF(OR(AND(K809="sale",N809&lt;=0),AND(K809="refund",N809&gt;=0)),"invalid sign","")))))))))</f>
        <v/>
      </c>
      <c r="U809" s="1" t="str">
        <f t="shared" si="101"/>
        <v>INCLUDED</v>
      </c>
      <c r="V809" s="1" t="str">
        <f t="shared" si="102"/>
        <v>2026-01</v>
      </c>
      <c r="W809" s="1">
        <f>IF(AND(U809="INCLUDED",X809&gt;0,EXACT(A809,'AI output'!A809)),1,0)</f>
        <v>1</v>
      </c>
      <c r="X809" s="1">
        <f>809</f>
        <v>809</v>
      </c>
      <c r="Y809" s="1">
        <f>IF(AND(U809="INCLUDED",W809=1),--(NOT(EXACT(A809,'AI output'!A809)))+--(NOT(EXACT(B809,'AI output'!B809)))+--(NOT(EXACT(TEXT(G809,"yyyy-mm-dd"),'AI output'!C809)))+--(NOT(EXACT(H809,'AI output'!D809)))+--(NOT(EXACT(J809,'AI output'!E809)))+--(NOT(EXACT(K809,'AI output'!F809)))+--(N809&lt;&gt;'AI output'!L809)+--(NOT('AI output'!M809)),0)</f>
        <v>0</v>
      </c>
      <c r="Z809" s="1">
        <f t="shared" si="103"/>
        <v>0</v>
      </c>
      <c r="AA809" s="1">
        <f>--EXACT(A809,"L00803")</f>
        <v>1</v>
      </c>
    </row>
    <row r="810" spans="1:27" ht="18.95" customHeight="1">
      <c r="A810" s="1" t="str">
        <f>IF(Raw!A810="","",Raw!A810)</f>
        <v>L00804</v>
      </c>
      <c r="B810" s="1" t="str">
        <f>IF(Raw!B810="","",Raw!B810)</f>
        <v>T00402</v>
      </c>
      <c r="C810" s="1" t="str">
        <f>IF(Raw!C810="","",Raw!C810)</f>
        <v>2026-01-18</v>
      </c>
      <c r="D810" s="1">
        <f t="shared" si="96"/>
        <v>2026</v>
      </c>
      <c r="E810" s="1">
        <f>IFERROR(IF(AND(LEN(C810)=10,MID(C810,5,1)="-",MID(C810,8,1)="-"),VALUE(MID(C810,6,2)),IF(AND(LEN(C810)=11,MID(C810,3,1)="-",MID(C810,7,1)="-"),MATCH(UPPER(MID(C810,4,3)),Guide!$D$7:$D$18,0),0)),0)</f>
        <v>1</v>
      </c>
      <c r="F810" s="1">
        <f t="shared" si="97"/>
        <v>18</v>
      </c>
      <c r="G810" s="9">
        <f t="shared" si="98"/>
        <v>46040</v>
      </c>
      <c r="H810" s="1" t="str">
        <f>IF(Raw!D810="","",Raw!D810)</f>
        <v>P-O</v>
      </c>
      <c r="I810" s="1" t="str">
        <f>IFERROR(IF(EXACT(H810,INDEX(Guide!$A$7:$A$9,MATCH(SUBSTITUTE(SUBSTITUTE(SUBSTITUTE(H810,"~","~~"),"*","~*"),"?","~?"),Guide!$A$7:$A$9,0))),INDEX(Guide!$B$7:$B$9,MATCH(SUBSTITUTE(SUBSTITUTE(SUBSTITUTE(H810,"~","~~"),"*","~*"),"?","~?"),Guide!$A$7:$A$9,0)),""),"")</f>
        <v>Office</v>
      </c>
      <c r="J810" s="1" t="str">
        <f>IF(TRIM(Raw!E810)="",I810,IF(UPPER(TRIM(Raw!E810))=UPPER(I810),I810,""))</f>
        <v>Office</v>
      </c>
      <c r="K810" s="1" t="str">
        <f>IF(Raw!F810="","",Raw!F810)</f>
        <v>sale</v>
      </c>
      <c r="L810" s="1" t="str">
        <f>IF(LEFT(TRIM(Raw!G810),2)="-$","-"&amp;MID(TRIM(Raw!G810),3,99),IF(LEFT(TRIM(Raw!G810),1)="$",MID(TRIM(Raw!G810),2,99),TRIM(Raw!G810)))</f>
        <v>124.20</v>
      </c>
      <c r="M810" s="1">
        <f t="shared" si="99"/>
        <v>124.2</v>
      </c>
      <c r="N810" s="10">
        <f t="shared" si="100"/>
        <v>12420</v>
      </c>
      <c r="O810" s="1" t="b">
        <f>IFERROR(IF(ISNUMBER(Raw!G810),TRUE,OR(EXACT(L810,TEXT(M810,"0.00")),EXACT(L810,TEXT(M810,"#,##0.00")))),FALSE)</f>
        <v>1</v>
      </c>
      <c r="P810" s="1" t="str">
        <f>LEN(IF(Raw!A810="","",Raw!A810))&amp;":"&amp;IF(Raw!A810="","",Raw!A810)&amp;"|"&amp;LEN(IF(Raw!B810="","",Raw!B810))&amp;":"&amp;IF(Raw!B810="","",Raw!B810)&amp;"|"&amp;LEN(IF(Raw!C810="","",Raw!C810))&amp;":"&amp;IF(Raw!C810="","",Raw!C810)&amp;"|"&amp;LEN(IF(Raw!D810="","",Raw!D810))&amp;":"&amp;IF(Raw!D810="","",Raw!D810)&amp;"|"&amp;LEN(IF(Raw!E810="","",Raw!E810))&amp;":"&amp;IF(Raw!E810="","",Raw!E810)&amp;"|"&amp;LEN(IF(Raw!F810="","",Raw!F810))&amp;":"&amp;IF(Raw!F810="","",Raw!F810)&amp;"|"&amp;LEN(IF(Raw!G810="","",Raw!G810))&amp;":"&amp;IF(Raw!G810="","",Raw!G810)</f>
        <v>6:L00804|6:T00402|10:2026-01-18|3:P-O|6:Office|4:sale|6:124.20</v>
      </c>
      <c r="Q810" s="1">
        <f>1</f>
        <v>1</v>
      </c>
      <c r="R810" s="1" t="b">
        <f>FALSE</f>
        <v>0</v>
      </c>
      <c r="S810" s="1">
        <f>1</f>
        <v>1</v>
      </c>
      <c r="T810" s="1" t="str">
        <f>IF(AND(Raw!A810="",Raw!B810="",Raw!C810="",Raw!D810="",Raw!E810="",Raw!F810="",Raw!G810=""),"UNUSED",IF(A810="","missing line ID",IF(B810="","missing transaction ID",IF(G810="",IF(C810="","missing date","invalid date"),IF(I810="","unknown product",IF(J810="","conflicting category",IF(NOT(OR(EXACT(K810,"sale"),EXACT(K810,"refund"))),"unknown event",IF(OR(N810="",NOT(O810)),"invalid amount",IF(OR(AND(K810="sale",N810&lt;=0),AND(K810="refund",N810&gt;=0)),"invalid sign","")))))))))</f>
        <v/>
      </c>
      <c r="U810" s="1" t="str">
        <f t="shared" si="101"/>
        <v>INCLUDED</v>
      </c>
      <c r="V810" s="1" t="str">
        <f t="shared" si="102"/>
        <v>2026-01</v>
      </c>
      <c r="W810" s="1">
        <f>IF(AND(U810="INCLUDED",X810&gt;0,EXACT(A810,'AI output'!A810)),1,0)</f>
        <v>1</v>
      </c>
      <c r="X810" s="1">
        <f>810</f>
        <v>810</v>
      </c>
      <c r="Y810" s="1">
        <f>IF(AND(U810="INCLUDED",W810=1),--(NOT(EXACT(A810,'AI output'!A810)))+--(NOT(EXACT(B810,'AI output'!B810)))+--(NOT(EXACT(TEXT(G810,"yyyy-mm-dd"),'AI output'!C810)))+--(NOT(EXACT(H810,'AI output'!D810)))+--(NOT(EXACT(J810,'AI output'!E810)))+--(NOT(EXACT(K810,'AI output'!F810)))+--(N810&lt;&gt;'AI output'!L810)+--(NOT('AI output'!M810)),0)</f>
        <v>0</v>
      </c>
      <c r="Z810" s="1">
        <f t="shared" si="103"/>
        <v>0</v>
      </c>
      <c r="AA810" s="1">
        <f>--EXACT(A810,"L00804")</f>
        <v>1</v>
      </c>
    </row>
    <row r="811" spans="1:27" ht="18.95" customHeight="1">
      <c r="A811" s="1" t="str">
        <f>IF(Raw!A811="","",Raw!A811)</f>
        <v>L00805</v>
      </c>
      <c r="B811" s="1" t="str">
        <f>IF(Raw!B811="","",Raw!B811)</f>
        <v>T00403</v>
      </c>
      <c r="C811" s="1" t="str">
        <f>IF(Raw!C811="","",Raw!C811)</f>
        <v>2026-01-25</v>
      </c>
      <c r="D811" s="1">
        <f t="shared" si="96"/>
        <v>2026</v>
      </c>
      <c r="E811" s="1">
        <f>IFERROR(IF(AND(LEN(C811)=10,MID(C811,5,1)="-",MID(C811,8,1)="-"),VALUE(MID(C811,6,2)),IF(AND(LEN(C811)=11,MID(C811,3,1)="-",MID(C811,7,1)="-"),MATCH(UPPER(MID(C811,4,3)),Guide!$D$7:$D$18,0),0)),0)</f>
        <v>1</v>
      </c>
      <c r="F811" s="1">
        <f t="shared" si="97"/>
        <v>25</v>
      </c>
      <c r="G811" s="9">
        <f t="shared" si="98"/>
        <v>46047</v>
      </c>
      <c r="H811" s="1" t="str">
        <f>IF(Raw!D811="","",Raw!D811)</f>
        <v>P-A</v>
      </c>
      <c r="I811" s="1" t="str">
        <f>IFERROR(IF(EXACT(H811,INDEX(Guide!$A$7:$A$9,MATCH(SUBSTITUTE(SUBSTITUTE(SUBSTITUTE(H811,"~","~~"),"*","~*"),"?","~?"),Guide!$A$7:$A$9,0))),INDEX(Guide!$B$7:$B$9,MATCH(SUBSTITUTE(SUBSTITUTE(SUBSTITUTE(H811,"~","~~"),"*","~*"),"?","~?"),Guide!$A$7:$A$9,0)),""),"")</f>
        <v>Accessories</v>
      </c>
      <c r="J811" s="1" t="str">
        <f>IF(TRIM(Raw!E811)="",I811,IF(UPPER(TRIM(Raw!E811))=UPPER(I811),I811,""))</f>
        <v>Accessories</v>
      </c>
      <c r="K811" s="1" t="str">
        <f>IF(Raw!F811="","",Raw!F811)</f>
        <v>sale</v>
      </c>
      <c r="L811" s="1" t="str">
        <f>IF(LEFT(TRIM(Raw!G811),2)="-$","-"&amp;MID(TRIM(Raw!G811),3,99),IF(LEFT(TRIM(Raw!G811),1)="$",MID(TRIM(Raw!G811),2,99),TRIM(Raw!G811)))</f>
        <v>249.88</v>
      </c>
      <c r="M811" s="1">
        <f t="shared" si="99"/>
        <v>249.88</v>
      </c>
      <c r="N811" s="10">
        <f t="shared" si="100"/>
        <v>24988</v>
      </c>
      <c r="O811" s="1" t="b">
        <f>IFERROR(IF(ISNUMBER(Raw!G811),TRUE,OR(EXACT(L811,TEXT(M811,"0.00")),EXACT(L811,TEXT(M811,"#,##0.00")))),FALSE)</f>
        <v>1</v>
      </c>
      <c r="P811" s="1" t="str">
        <f>LEN(IF(Raw!A811="","",Raw!A811))&amp;":"&amp;IF(Raw!A811="","",Raw!A811)&amp;"|"&amp;LEN(IF(Raw!B811="","",Raw!B811))&amp;":"&amp;IF(Raw!B811="","",Raw!B811)&amp;"|"&amp;LEN(IF(Raw!C811="","",Raw!C811))&amp;":"&amp;IF(Raw!C811="","",Raw!C811)&amp;"|"&amp;LEN(IF(Raw!D811="","",Raw!D811))&amp;":"&amp;IF(Raw!D811="","",Raw!D811)&amp;"|"&amp;LEN(IF(Raw!E811="","",Raw!E811))&amp;":"&amp;IF(Raw!E811="","",Raw!E811)&amp;"|"&amp;LEN(IF(Raw!F811="","",Raw!F811))&amp;":"&amp;IF(Raw!F811="","",Raw!F811)&amp;"|"&amp;LEN(IF(Raw!G811="","",Raw!G811))&amp;":"&amp;IF(Raw!G811="","",Raw!G811)</f>
        <v>6:L00805|6:T00403|10:2026-01-25|3:P-A|11:Accessories|4:sale|6:249.88</v>
      </c>
      <c r="Q811" s="1">
        <f>1</f>
        <v>1</v>
      </c>
      <c r="R811" s="1" t="b">
        <f>FALSE</f>
        <v>0</v>
      </c>
      <c r="S811" s="1">
        <f>1</f>
        <v>1</v>
      </c>
      <c r="T811" s="1" t="str">
        <f>IF(AND(Raw!A811="",Raw!B811="",Raw!C811="",Raw!D811="",Raw!E811="",Raw!F811="",Raw!G811=""),"UNUSED",IF(A811="","missing line ID",IF(B811="","missing transaction ID",IF(G811="",IF(C811="","missing date","invalid date"),IF(I811="","unknown product",IF(J811="","conflicting category",IF(NOT(OR(EXACT(K811,"sale"),EXACT(K811,"refund"))),"unknown event",IF(OR(N811="",NOT(O811)),"invalid amount",IF(OR(AND(K811="sale",N811&lt;=0),AND(K811="refund",N811&gt;=0)),"invalid sign","")))))))))</f>
        <v/>
      </c>
      <c r="U811" s="1" t="str">
        <f t="shared" si="101"/>
        <v>INCLUDED</v>
      </c>
      <c r="V811" s="1" t="str">
        <f t="shared" si="102"/>
        <v>2026-01</v>
      </c>
      <c r="W811" s="1">
        <f>IF(AND(U811="INCLUDED",X811&gt;0,EXACT(A811,'AI output'!A811)),1,0)</f>
        <v>1</v>
      </c>
      <c r="X811" s="1">
        <f>811</f>
        <v>811</v>
      </c>
      <c r="Y811" s="1">
        <f>IF(AND(U811="INCLUDED",W811=1),--(NOT(EXACT(A811,'AI output'!A811)))+--(NOT(EXACT(B811,'AI output'!B811)))+--(NOT(EXACT(TEXT(G811,"yyyy-mm-dd"),'AI output'!C811)))+--(NOT(EXACT(H811,'AI output'!D811)))+--(NOT(EXACT(J811,'AI output'!E811)))+--(NOT(EXACT(K811,'AI output'!F811)))+--(N811&lt;&gt;'AI output'!L811)+--(NOT('AI output'!M811)),0)</f>
        <v>0</v>
      </c>
      <c r="Z811" s="1">
        <f t="shared" si="103"/>
        <v>0</v>
      </c>
      <c r="AA811" s="1">
        <f>--EXACT(A811,"L00805")</f>
        <v>1</v>
      </c>
    </row>
    <row r="812" spans="1:27" ht="18.95" customHeight="1">
      <c r="A812" s="1" t="str">
        <f>IF(Raw!A812="","",Raw!A812)</f>
        <v>L00806</v>
      </c>
      <c r="B812" s="1" t="str">
        <f>IF(Raw!B812="","",Raw!B812)</f>
        <v>T00403</v>
      </c>
      <c r="C812" s="1" t="str">
        <f>IF(Raw!C812="","",Raw!C812)</f>
        <v>2026-01-25</v>
      </c>
      <c r="D812" s="1">
        <f t="shared" si="96"/>
        <v>2026</v>
      </c>
      <c r="E812" s="1">
        <f>IFERROR(IF(AND(LEN(C812)=10,MID(C812,5,1)="-",MID(C812,8,1)="-"),VALUE(MID(C812,6,2)),IF(AND(LEN(C812)=11,MID(C812,3,1)="-",MID(C812,7,1)="-"),MATCH(UPPER(MID(C812,4,3)),Guide!$D$7:$D$18,0),0)),0)</f>
        <v>1</v>
      </c>
      <c r="F812" s="1">
        <f t="shared" si="97"/>
        <v>25</v>
      </c>
      <c r="G812" s="9">
        <f t="shared" si="98"/>
        <v>46047</v>
      </c>
      <c r="H812" s="1" t="str">
        <f>IF(Raw!D812="","",Raw!D812)</f>
        <v>P-H</v>
      </c>
      <c r="I812" s="1" t="str">
        <f>IFERROR(IF(EXACT(H812,INDEX(Guide!$A$7:$A$9,MATCH(SUBSTITUTE(SUBSTITUTE(SUBSTITUTE(H812,"~","~~"),"*","~*"),"?","~?"),Guide!$A$7:$A$9,0))),INDEX(Guide!$B$7:$B$9,MATCH(SUBSTITUTE(SUBSTITUTE(SUBSTITUTE(H812,"~","~~"),"*","~*"),"?","~?"),Guide!$A$7:$A$9,0)),""),"")</f>
        <v>Home</v>
      </c>
      <c r="J812" s="1" t="str">
        <f>IF(TRIM(Raw!E812)="",I812,IF(UPPER(TRIM(Raw!E812))=UPPER(I812),I812,""))</f>
        <v>Home</v>
      </c>
      <c r="K812" s="1" t="str">
        <f>IF(Raw!F812="","",Raw!F812)</f>
        <v>refund</v>
      </c>
      <c r="L812" s="1" t="str">
        <f>IF(LEFT(TRIM(Raw!G812),2)="-$","-"&amp;MID(TRIM(Raw!G812),3,99),IF(LEFT(TRIM(Raw!G812),1)="$",MID(TRIM(Raw!G812),2,99),TRIM(Raw!G812)))</f>
        <v>-62.84</v>
      </c>
      <c r="M812" s="1">
        <f t="shared" si="99"/>
        <v>-62.84</v>
      </c>
      <c r="N812" s="10">
        <f t="shared" si="100"/>
        <v>-6284</v>
      </c>
      <c r="O812" s="1" t="b">
        <f>IFERROR(IF(ISNUMBER(Raw!G812),TRUE,OR(EXACT(L812,TEXT(M812,"0.00")),EXACT(L812,TEXT(M812,"#,##0.00")))),FALSE)</f>
        <v>1</v>
      </c>
      <c r="P812" s="1" t="str">
        <f>LEN(IF(Raw!A812="","",Raw!A812))&amp;":"&amp;IF(Raw!A812="","",Raw!A812)&amp;"|"&amp;LEN(IF(Raw!B812="","",Raw!B812))&amp;":"&amp;IF(Raw!B812="","",Raw!B812)&amp;"|"&amp;LEN(IF(Raw!C812="","",Raw!C812))&amp;":"&amp;IF(Raw!C812="","",Raw!C812)&amp;"|"&amp;LEN(IF(Raw!D812="","",Raw!D812))&amp;":"&amp;IF(Raw!D812="","",Raw!D812)&amp;"|"&amp;LEN(IF(Raw!E812="","",Raw!E812))&amp;":"&amp;IF(Raw!E812="","",Raw!E812)&amp;"|"&amp;LEN(IF(Raw!F812="","",Raw!F812))&amp;":"&amp;IF(Raw!F812="","",Raw!F812)&amp;"|"&amp;LEN(IF(Raw!G812="","",Raw!G812))&amp;":"&amp;IF(Raw!G812="","",Raw!G812)</f>
        <v>6:L00806|6:T00403|10:2026-01-25|3:P-H|4:Home|6:refund|6:-62.84</v>
      </c>
      <c r="Q812" s="1">
        <f>1</f>
        <v>1</v>
      </c>
      <c r="R812" s="1" t="b">
        <f>FALSE</f>
        <v>0</v>
      </c>
      <c r="S812" s="1">
        <f>1</f>
        <v>1</v>
      </c>
      <c r="T812" s="1" t="str">
        <f>IF(AND(Raw!A812="",Raw!B812="",Raw!C812="",Raw!D812="",Raw!E812="",Raw!F812="",Raw!G812=""),"UNUSED",IF(A812="","missing line ID",IF(B812="","missing transaction ID",IF(G812="",IF(C812="","missing date","invalid date"),IF(I812="","unknown product",IF(J812="","conflicting category",IF(NOT(OR(EXACT(K812,"sale"),EXACT(K812,"refund"))),"unknown event",IF(OR(N812="",NOT(O812)),"invalid amount",IF(OR(AND(K812="sale",N812&lt;=0),AND(K812="refund",N812&gt;=0)),"invalid sign","")))))))))</f>
        <v/>
      </c>
      <c r="U812" s="1" t="str">
        <f t="shared" si="101"/>
        <v>INCLUDED</v>
      </c>
      <c r="V812" s="1" t="str">
        <f t="shared" si="102"/>
        <v>2026-01</v>
      </c>
      <c r="W812" s="1">
        <f>IF(AND(U812="INCLUDED",X812&gt;0,EXACT(A812,'AI output'!A812)),1,0)</f>
        <v>1</v>
      </c>
      <c r="X812" s="1">
        <f>812</f>
        <v>812</v>
      </c>
      <c r="Y812" s="1">
        <f>IF(AND(U812="INCLUDED",W812=1),--(NOT(EXACT(A812,'AI output'!A812)))+--(NOT(EXACT(B812,'AI output'!B812)))+--(NOT(EXACT(TEXT(G812,"yyyy-mm-dd"),'AI output'!C812)))+--(NOT(EXACT(H812,'AI output'!D812)))+--(NOT(EXACT(J812,'AI output'!E812)))+--(NOT(EXACT(K812,'AI output'!F812)))+--(N812&lt;&gt;'AI output'!L812)+--(NOT('AI output'!M812)),0)</f>
        <v>0</v>
      </c>
      <c r="Z812" s="1">
        <f t="shared" si="103"/>
        <v>0</v>
      </c>
      <c r="AA812" s="1">
        <f>--EXACT(A812,"L00806")</f>
        <v>1</v>
      </c>
    </row>
    <row r="813" spans="1:27" ht="18.95" customHeight="1">
      <c r="A813" s="1" t="str">
        <f>IF(Raw!A813="","",Raw!A813)</f>
        <v>L00807</v>
      </c>
      <c r="B813" s="1" t="str">
        <f>IF(Raw!B813="","",Raw!B813)</f>
        <v>T00404</v>
      </c>
      <c r="C813" s="1" t="str">
        <f>IF(Raw!C813="","",Raw!C813)</f>
        <v>2026-02-01</v>
      </c>
      <c r="D813" s="1">
        <f t="shared" si="96"/>
        <v>2026</v>
      </c>
      <c r="E813" s="1">
        <f>IFERROR(IF(AND(LEN(C813)=10,MID(C813,5,1)="-",MID(C813,8,1)="-"),VALUE(MID(C813,6,2)),IF(AND(LEN(C813)=11,MID(C813,3,1)="-",MID(C813,7,1)="-"),MATCH(UPPER(MID(C813,4,3)),Guide!$D$7:$D$18,0),0)),0)</f>
        <v>2</v>
      </c>
      <c r="F813" s="1">
        <f t="shared" si="97"/>
        <v>1</v>
      </c>
      <c r="G813" s="9">
        <f t="shared" si="98"/>
        <v>46054</v>
      </c>
      <c r="H813" s="1" t="str">
        <f>IF(Raw!D813="","",Raw!D813)</f>
        <v>P-O</v>
      </c>
      <c r="I813" s="1" t="str">
        <f>IFERROR(IF(EXACT(H813,INDEX(Guide!$A$7:$A$9,MATCH(SUBSTITUTE(SUBSTITUTE(SUBSTITUTE(H813,"~","~~"),"*","~*"),"?","~?"),Guide!$A$7:$A$9,0))),INDEX(Guide!$B$7:$B$9,MATCH(SUBSTITUTE(SUBSTITUTE(SUBSTITUTE(H813,"~","~~"),"*","~*"),"?","~?"),Guide!$A$7:$A$9,0)),""),"")</f>
        <v>Office</v>
      </c>
      <c r="J813" s="1" t="str">
        <f>IF(TRIM(Raw!E813)="",I813,IF(UPPER(TRIM(Raw!E813))=UPPER(I813),I813,""))</f>
        <v>Office</v>
      </c>
      <c r="K813" s="1" t="str">
        <f>IF(Raw!F813="","",Raw!F813)</f>
        <v>sale</v>
      </c>
      <c r="L813" s="1" t="str">
        <f>IF(LEFT(TRIM(Raw!G813),2)="-$","-"&amp;MID(TRIM(Raw!G813),3,99),IF(LEFT(TRIM(Raw!G813),1)="$",MID(TRIM(Raw!G813),2,99),TRIM(Raw!G813)))</f>
        <v>189.63</v>
      </c>
      <c r="M813" s="1">
        <f t="shared" si="99"/>
        <v>189.63</v>
      </c>
      <c r="N813" s="10">
        <f t="shared" si="100"/>
        <v>18963</v>
      </c>
      <c r="O813" s="1" t="b">
        <f>IFERROR(IF(ISNUMBER(Raw!G813),TRUE,OR(EXACT(L813,TEXT(M813,"0.00")),EXACT(L813,TEXT(M813,"#,##0.00")))),FALSE)</f>
        <v>1</v>
      </c>
      <c r="P813" s="1" t="str">
        <f>LEN(IF(Raw!A813="","",Raw!A813))&amp;":"&amp;IF(Raw!A813="","",Raw!A813)&amp;"|"&amp;LEN(IF(Raw!B813="","",Raw!B813))&amp;":"&amp;IF(Raw!B813="","",Raw!B813)&amp;"|"&amp;LEN(IF(Raw!C813="","",Raw!C813))&amp;":"&amp;IF(Raw!C813="","",Raw!C813)&amp;"|"&amp;LEN(IF(Raw!D813="","",Raw!D813))&amp;":"&amp;IF(Raw!D813="","",Raw!D813)&amp;"|"&amp;LEN(IF(Raw!E813="","",Raw!E813))&amp;":"&amp;IF(Raw!E813="","",Raw!E813)&amp;"|"&amp;LEN(IF(Raw!F813="","",Raw!F813))&amp;":"&amp;IF(Raw!F813="","",Raw!F813)&amp;"|"&amp;LEN(IF(Raw!G813="","",Raw!G813))&amp;":"&amp;IF(Raw!G813="","",Raw!G813)</f>
        <v>6:L00807|6:T00404|10:2026-02-01|3:P-O|6:Office|4:sale|6:189.63</v>
      </c>
      <c r="Q813" s="1">
        <f>1</f>
        <v>1</v>
      </c>
      <c r="R813" s="1" t="b">
        <f>FALSE</f>
        <v>0</v>
      </c>
      <c r="S813" s="1">
        <f>1</f>
        <v>1</v>
      </c>
      <c r="T813" s="1" t="str">
        <f>IF(AND(Raw!A813="",Raw!B813="",Raw!C813="",Raw!D813="",Raw!E813="",Raw!F813="",Raw!G813=""),"UNUSED",IF(A813="","missing line ID",IF(B813="","missing transaction ID",IF(G813="",IF(C813="","missing date","invalid date"),IF(I813="","unknown product",IF(J813="","conflicting category",IF(NOT(OR(EXACT(K813,"sale"),EXACT(K813,"refund"))),"unknown event",IF(OR(N813="",NOT(O813)),"invalid amount",IF(OR(AND(K813="sale",N813&lt;=0),AND(K813="refund",N813&gt;=0)),"invalid sign","")))))))))</f>
        <v/>
      </c>
      <c r="U813" s="1" t="str">
        <f t="shared" si="101"/>
        <v>INCLUDED</v>
      </c>
      <c r="V813" s="1" t="str">
        <f t="shared" si="102"/>
        <v>2026-02</v>
      </c>
      <c r="W813" s="1">
        <f>IF(AND(U813="INCLUDED",X813&gt;0,EXACT(A813,'AI output'!A813)),1,0)</f>
        <v>1</v>
      </c>
      <c r="X813" s="1">
        <f>813</f>
        <v>813</v>
      </c>
      <c r="Y813" s="1">
        <f>IF(AND(U813="INCLUDED",W813=1),--(NOT(EXACT(A813,'AI output'!A813)))+--(NOT(EXACT(B813,'AI output'!B813)))+--(NOT(EXACT(TEXT(G813,"yyyy-mm-dd"),'AI output'!C813)))+--(NOT(EXACT(H813,'AI output'!D813)))+--(NOT(EXACT(J813,'AI output'!E813)))+--(NOT(EXACT(K813,'AI output'!F813)))+--(N813&lt;&gt;'AI output'!L813)+--(NOT('AI output'!M813)),0)</f>
        <v>0</v>
      </c>
      <c r="Z813" s="1">
        <f t="shared" si="103"/>
        <v>0</v>
      </c>
      <c r="AA813" s="1">
        <f>--EXACT(A813,"L00807")</f>
        <v>1</v>
      </c>
    </row>
    <row r="814" spans="1:27" ht="18.95" customHeight="1">
      <c r="A814" s="1" t="str">
        <f>IF(Raw!A814="","",Raw!A814)</f>
        <v>L00808</v>
      </c>
      <c r="B814" s="1" t="str">
        <f>IF(Raw!B814="","",Raw!B814)</f>
        <v>T00404</v>
      </c>
      <c r="C814" s="1" t="str">
        <f>IF(Raw!C814="","",Raw!C814)</f>
        <v>2026-02-01</v>
      </c>
      <c r="D814" s="1">
        <f t="shared" si="96"/>
        <v>2026</v>
      </c>
      <c r="E814" s="1">
        <f>IFERROR(IF(AND(LEN(C814)=10,MID(C814,5,1)="-",MID(C814,8,1)="-"),VALUE(MID(C814,6,2)),IF(AND(LEN(C814)=11,MID(C814,3,1)="-",MID(C814,7,1)="-"),MATCH(UPPER(MID(C814,4,3)),Guide!$D$7:$D$18,0),0)),0)</f>
        <v>2</v>
      </c>
      <c r="F814" s="1">
        <f t="shared" si="97"/>
        <v>1</v>
      </c>
      <c r="G814" s="9">
        <f t="shared" si="98"/>
        <v>46054</v>
      </c>
      <c r="H814" s="1" t="str">
        <f>IF(Raw!D814="","",Raw!D814)</f>
        <v>P-A</v>
      </c>
      <c r="I814" s="1" t="str">
        <f>IFERROR(IF(EXACT(H814,INDEX(Guide!$A$7:$A$9,MATCH(SUBSTITUTE(SUBSTITUTE(SUBSTITUTE(H814,"~","~~"),"*","~*"),"?","~?"),Guide!$A$7:$A$9,0))),INDEX(Guide!$B$7:$B$9,MATCH(SUBSTITUTE(SUBSTITUTE(SUBSTITUTE(H814,"~","~~"),"*","~*"),"?","~?"),Guide!$A$7:$A$9,0)),""),"")</f>
        <v>Accessories</v>
      </c>
      <c r="J814" s="1" t="str">
        <f>IF(TRIM(Raw!E814)="",I814,IF(UPPER(TRIM(Raw!E814))=UPPER(I814),I814,""))</f>
        <v>Accessories</v>
      </c>
      <c r="K814" s="1" t="str">
        <f>IF(Raw!F814="","",Raw!F814)</f>
        <v>sale</v>
      </c>
      <c r="L814" s="1" t="str">
        <f>IF(LEFT(TRIM(Raw!G814),2)="-$","-"&amp;MID(TRIM(Raw!G814),3,99),IF(LEFT(TRIM(Raw!G814),1)="$",MID(TRIM(Raw!G814),2,99),TRIM(Raw!G814)))</f>
        <v>317.90</v>
      </c>
      <c r="M814" s="1">
        <f t="shared" si="99"/>
        <v>317.89999999999998</v>
      </c>
      <c r="N814" s="10">
        <f t="shared" si="100"/>
        <v>31790</v>
      </c>
      <c r="O814" s="1" t="b">
        <f>IFERROR(IF(ISNUMBER(Raw!G814),TRUE,OR(EXACT(L814,TEXT(M814,"0.00")),EXACT(L814,TEXT(M814,"#,##0.00")))),FALSE)</f>
        <v>1</v>
      </c>
      <c r="P814" s="1" t="str">
        <f>LEN(IF(Raw!A814="","",Raw!A814))&amp;":"&amp;IF(Raw!A814="","",Raw!A814)&amp;"|"&amp;LEN(IF(Raw!B814="","",Raw!B814))&amp;":"&amp;IF(Raw!B814="","",Raw!B814)&amp;"|"&amp;LEN(IF(Raw!C814="","",Raw!C814))&amp;":"&amp;IF(Raw!C814="","",Raw!C814)&amp;"|"&amp;LEN(IF(Raw!D814="","",Raw!D814))&amp;":"&amp;IF(Raw!D814="","",Raw!D814)&amp;"|"&amp;LEN(IF(Raw!E814="","",Raw!E814))&amp;":"&amp;IF(Raw!E814="","",Raw!E814)&amp;"|"&amp;LEN(IF(Raw!F814="","",Raw!F814))&amp;":"&amp;IF(Raw!F814="","",Raw!F814)&amp;"|"&amp;LEN(IF(Raw!G814="","",Raw!G814))&amp;":"&amp;IF(Raw!G814="","",Raw!G814)</f>
        <v>6:L00808|6:T00404|10:2026-02-01|3:P-A|11:Accessories|4:sale|6:317.90</v>
      </c>
      <c r="Q814" s="1">
        <f>1</f>
        <v>1</v>
      </c>
      <c r="R814" s="1" t="b">
        <f>FALSE</f>
        <v>0</v>
      </c>
      <c r="S814" s="1">
        <f>1</f>
        <v>1</v>
      </c>
      <c r="T814" s="1" t="str">
        <f>IF(AND(Raw!A814="",Raw!B814="",Raw!C814="",Raw!D814="",Raw!E814="",Raw!F814="",Raw!G814=""),"UNUSED",IF(A814="","missing line ID",IF(B814="","missing transaction ID",IF(G814="",IF(C814="","missing date","invalid date"),IF(I814="","unknown product",IF(J814="","conflicting category",IF(NOT(OR(EXACT(K814,"sale"),EXACT(K814,"refund"))),"unknown event",IF(OR(N814="",NOT(O814)),"invalid amount",IF(OR(AND(K814="sale",N814&lt;=0),AND(K814="refund",N814&gt;=0)),"invalid sign","")))))))))</f>
        <v/>
      </c>
      <c r="U814" s="1" t="str">
        <f t="shared" si="101"/>
        <v>INCLUDED</v>
      </c>
      <c r="V814" s="1" t="str">
        <f t="shared" si="102"/>
        <v>2026-02</v>
      </c>
      <c r="W814" s="1">
        <f>IF(AND(U814="INCLUDED",X814&gt;0,EXACT(A814,'AI output'!A814)),1,0)</f>
        <v>1</v>
      </c>
      <c r="X814" s="1">
        <f>814</f>
        <v>814</v>
      </c>
      <c r="Y814" s="1">
        <f>IF(AND(U814="INCLUDED",W814=1),--(NOT(EXACT(A814,'AI output'!A814)))+--(NOT(EXACT(B814,'AI output'!B814)))+--(NOT(EXACT(TEXT(G814,"yyyy-mm-dd"),'AI output'!C814)))+--(NOT(EXACT(H814,'AI output'!D814)))+--(NOT(EXACT(J814,'AI output'!E814)))+--(NOT(EXACT(K814,'AI output'!F814)))+--(N814&lt;&gt;'AI output'!L814)+--(NOT('AI output'!M814)),0)</f>
        <v>0</v>
      </c>
      <c r="Z814" s="1">
        <f t="shared" si="103"/>
        <v>0</v>
      </c>
      <c r="AA814" s="1">
        <f>--EXACT(A814,"L00808")</f>
        <v>1</v>
      </c>
    </row>
    <row r="815" spans="1:27" ht="18.95" customHeight="1">
      <c r="A815" s="1" t="str">
        <f>IF(Raw!A815="","",Raw!A815)</f>
        <v>L00809</v>
      </c>
      <c r="B815" s="1" t="str">
        <f>IF(Raw!B815="","",Raw!B815)</f>
        <v>T00405</v>
      </c>
      <c r="C815" s="1" t="str">
        <f>IF(Raw!C815="","",Raw!C815)</f>
        <v>2026-02-08</v>
      </c>
      <c r="D815" s="1">
        <f t="shared" si="96"/>
        <v>2026</v>
      </c>
      <c r="E815" s="1">
        <f>IFERROR(IF(AND(LEN(C815)=10,MID(C815,5,1)="-",MID(C815,8,1)="-"),VALUE(MID(C815,6,2)),IF(AND(LEN(C815)=11,MID(C815,3,1)="-",MID(C815,7,1)="-"),MATCH(UPPER(MID(C815,4,3)),Guide!$D$7:$D$18,0),0)),0)</f>
        <v>2</v>
      </c>
      <c r="F815" s="1">
        <f t="shared" si="97"/>
        <v>8</v>
      </c>
      <c r="G815" s="9">
        <f t="shared" si="98"/>
        <v>46061</v>
      </c>
      <c r="H815" s="1" t="str">
        <f>IF(Raw!D815="","",Raw!D815)</f>
        <v>P-H</v>
      </c>
      <c r="I815" s="1" t="str">
        <f>IFERROR(IF(EXACT(H815,INDEX(Guide!$A$7:$A$9,MATCH(SUBSTITUTE(SUBSTITUTE(SUBSTITUTE(H815,"~","~~"),"*","~*"),"?","~?"),Guide!$A$7:$A$9,0))),INDEX(Guide!$B$7:$B$9,MATCH(SUBSTITUTE(SUBSTITUTE(SUBSTITUTE(H815,"~","~~"),"*","~*"),"?","~?"),Guide!$A$7:$A$9,0)),""),"")</f>
        <v>Home</v>
      </c>
      <c r="J815" s="1" t="str">
        <f>IF(TRIM(Raw!E815)="",I815,IF(UPPER(TRIM(Raw!E815))=UPPER(I815),I815,""))</f>
        <v>Home</v>
      </c>
      <c r="K815" s="1" t="str">
        <f>IF(Raw!F815="","",Raw!F815)</f>
        <v>sale</v>
      </c>
      <c r="L815" s="1" t="str">
        <f>IF(LEFT(TRIM(Raw!G815),2)="-$","-"&amp;MID(TRIM(Raw!G815),3,99),IF(LEFT(TRIM(Raw!G815),1)="$",MID(TRIM(Raw!G815),2,99),TRIM(Raw!G815)))</f>
        <v>127.90</v>
      </c>
      <c r="M815" s="1">
        <f t="shared" si="99"/>
        <v>127.9</v>
      </c>
      <c r="N815" s="10">
        <f t="shared" si="100"/>
        <v>12790</v>
      </c>
      <c r="O815" s="1" t="b">
        <f>IFERROR(IF(ISNUMBER(Raw!G815),TRUE,OR(EXACT(L815,TEXT(M815,"0.00")),EXACT(L815,TEXT(M815,"#,##0.00")))),FALSE)</f>
        <v>1</v>
      </c>
      <c r="P815" s="1" t="str">
        <f>LEN(IF(Raw!A815="","",Raw!A815))&amp;":"&amp;IF(Raw!A815="","",Raw!A815)&amp;"|"&amp;LEN(IF(Raw!B815="","",Raw!B815))&amp;":"&amp;IF(Raw!B815="","",Raw!B815)&amp;"|"&amp;LEN(IF(Raw!C815="","",Raw!C815))&amp;":"&amp;IF(Raw!C815="","",Raw!C815)&amp;"|"&amp;LEN(IF(Raw!D815="","",Raw!D815))&amp;":"&amp;IF(Raw!D815="","",Raw!D815)&amp;"|"&amp;LEN(IF(Raw!E815="","",Raw!E815))&amp;":"&amp;IF(Raw!E815="","",Raw!E815)&amp;"|"&amp;LEN(IF(Raw!F815="","",Raw!F815))&amp;":"&amp;IF(Raw!F815="","",Raw!F815)&amp;"|"&amp;LEN(IF(Raw!G815="","",Raw!G815))&amp;":"&amp;IF(Raw!G815="","",Raw!G815)</f>
        <v>6:L00809|6:T00405|10:2026-02-08|3:P-H|4:Home|4:sale|6:127.90</v>
      </c>
      <c r="Q815" s="1">
        <f>1</f>
        <v>1</v>
      </c>
      <c r="R815" s="1" t="b">
        <f>FALSE</f>
        <v>0</v>
      </c>
      <c r="S815" s="1">
        <f>1</f>
        <v>1</v>
      </c>
      <c r="T815" s="1" t="str">
        <f>IF(AND(Raw!A815="",Raw!B815="",Raw!C815="",Raw!D815="",Raw!E815="",Raw!F815="",Raw!G815=""),"UNUSED",IF(A815="","missing line ID",IF(B815="","missing transaction ID",IF(G815="",IF(C815="","missing date","invalid date"),IF(I815="","unknown product",IF(J815="","conflicting category",IF(NOT(OR(EXACT(K815,"sale"),EXACT(K815,"refund"))),"unknown event",IF(OR(N815="",NOT(O815)),"invalid amount",IF(OR(AND(K815="sale",N815&lt;=0),AND(K815="refund",N815&gt;=0)),"invalid sign","")))))))))</f>
        <v/>
      </c>
      <c r="U815" s="1" t="str">
        <f t="shared" si="101"/>
        <v>INCLUDED</v>
      </c>
      <c r="V815" s="1" t="str">
        <f t="shared" si="102"/>
        <v>2026-02</v>
      </c>
      <c r="W815" s="1">
        <f>IF(AND(U815="INCLUDED",X815&gt;0,EXACT(A815,'AI output'!A815)),1,0)</f>
        <v>1</v>
      </c>
      <c r="X815" s="1">
        <f>815</f>
        <v>815</v>
      </c>
      <c r="Y815" s="1">
        <f>IF(AND(U815="INCLUDED",W815=1),--(NOT(EXACT(A815,'AI output'!A815)))+--(NOT(EXACT(B815,'AI output'!B815)))+--(NOT(EXACT(TEXT(G815,"yyyy-mm-dd"),'AI output'!C815)))+--(NOT(EXACT(H815,'AI output'!D815)))+--(NOT(EXACT(J815,'AI output'!E815)))+--(NOT(EXACT(K815,'AI output'!F815)))+--(N815&lt;&gt;'AI output'!L815)+--(NOT('AI output'!M815)),0)</f>
        <v>0</v>
      </c>
      <c r="Z815" s="1">
        <f t="shared" si="103"/>
        <v>0</v>
      </c>
      <c r="AA815" s="1">
        <f>--EXACT(A815,"L00809")</f>
        <v>1</v>
      </c>
    </row>
    <row r="816" spans="1:27" ht="18.95" customHeight="1">
      <c r="A816" s="1" t="str">
        <f>IF(Raw!A816="","",Raw!A816)</f>
        <v>L00810</v>
      </c>
      <c r="B816" s="1" t="str">
        <f>IF(Raw!B816="","",Raw!B816)</f>
        <v>T00405</v>
      </c>
      <c r="C816" s="1" t="str">
        <f>IF(Raw!C816="","",Raw!C816)</f>
        <v>2026-02-08</v>
      </c>
      <c r="D816" s="1">
        <f t="shared" si="96"/>
        <v>2026</v>
      </c>
      <c r="E816" s="1">
        <f>IFERROR(IF(AND(LEN(C816)=10,MID(C816,5,1)="-",MID(C816,8,1)="-"),VALUE(MID(C816,6,2)),IF(AND(LEN(C816)=11,MID(C816,3,1)="-",MID(C816,7,1)="-"),MATCH(UPPER(MID(C816,4,3)),Guide!$D$7:$D$18,0),0)),0)</f>
        <v>2</v>
      </c>
      <c r="F816" s="1">
        <f t="shared" si="97"/>
        <v>8</v>
      </c>
      <c r="G816" s="9">
        <f t="shared" si="98"/>
        <v>46061</v>
      </c>
      <c r="H816" s="1" t="str">
        <f>IF(Raw!D816="","",Raw!D816)</f>
        <v>P-O</v>
      </c>
      <c r="I816" s="1" t="str">
        <f>IFERROR(IF(EXACT(H816,INDEX(Guide!$A$7:$A$9,MATCH(SUBSTITUTE(SUBSTITUTE(SUBSTITUTE(H816,"~","~~"),"*","~*"),"?","~?"),Guide!$A$7:$A$9,0))),INDEX(Guide!$B$7:$B$9,MATCH(SUBSTITUTE(SUBSTITUTE(SUBSTITUTE(H816,"~","~~"),"*","~*"),"?","~?"),Guide!$A$7:$A$9,0)),""),"")</f>
        <v>Office</v>
      </c>
      <c r="J816" s="1" t="str">
        <f>IF(TRIM(Raw!E816)="",I816,IF(UPPER(TRIM(Raw!E816))=UPPER(I816),I816,""))</f>
        <v>Office</v>
      </c>
      <c r="K816" s="1" t="str">
        <f>IF(Raw!F816="","",Raw!F816)</f>
        <v>sale</v>
      </c>
      <c r="L816" s="1" t="str">
        <f>IF(LEFT(TRIM(Raw!G816),2)="-$","-"&amp;MID(TRIM(Raw!G816),3,99),IF(LEFT(TRIM(Raw!G816),1)="$",MID(TRIM(Raw!G816),2,99),TRIM(Raw!G816)))</f>
        <v>257.28</v>
      </c>
      <c r="M816" s="1">
        <f t="shared" si="99"/>
        <v>257.27999999999997</v>
      </c>
      <c r="N816" s="10">
        <f t="shared" si="100"/>
        <v>25728</v>
      </c>
      <c r="O816" s="1" t="b">
        <f>IFERROR(IF(ISNUMBER(Raw!G816),TRUE,OR(EXACT(L816,TEXT(M816,"0.00")),EXACT(L816,TEXT(M816,"#,##0.00")))),FALSE)</f>
        <v>1</v>
      </c>
      <c r="P816" s="1" t="str">
        <f>LEN(IF(Raw!A816="","",Raw!A816))&amp;":"&amp;IF(Raw!A816="","",Raw!A816)&amp;"|"&amp;LEN(IF(Raw!B816="","",Raw!B816))&amp;":"&amp;IF(Raw!B816="","",Raw!B816)&amp;"|"&amp;LEN(IF(Raw!C816="","",Raw!C816))&amp;":"&amp;IF(Raw!C816="","",Raw!C816)&amp;"|"&amp;LEN(IF(Raw!D816="","",Raw!D816))&amp;":"&amp;IF(Raw!D816="","",Raw!D816)&amp;"|"&amp;LEN(IF(Raw!E816="","",Raw!E816))&amp;":"&amp;IF(Raw!E816="","",Raw!E816)&amp;"|"&amp;LEN(IF(Raw!F816="","",Raw!F816))&amp;":"&amp;IF(Raw!F816="","",Raw!F816)&amp;"|"&amp;LEN(IF(Raw!G816="","",Raw!G816))&amp;":"&amp;IF(Raw!G816="","",Raw!G816)</f>
        <v>6:L00810|6:T00405|10:2026-02-08|3:P-O|6:Office|4:sale|6:257.28</v>
      </c>
      <c r="Q816" s="1">
        <f>1</f>
        <v>1</v>
      </c>
      <c r="R816" s="1" t="b">
        <f>FALSE</f>
        <v>0</v>
      </c>
      <c r="S816" s="1">
        <f>1</f>
        <v>1</v>
      </c>
      <c r="T816" s="1" t="str">
        <f>IF(AND(Raw!A816="",Raw!B816="",Raw!C816="",Raw!D816="",Raw!E816="",Raw!F816="",Raw!G816=""),"UNUSED",IF(A816="","missing line ID",IF(B816="","missing transaction ID",IF(G816="",IF(C816="","missing date","invalid date"),IF(I816="","unknown product",IF(J816="","conflicting category",IF(NOT(OR(EXACT(K816,"sale"),EXACT(K816,"refund"))),"unknown event",IF(OR(N816="",NOT(O816)),"invalid amount",IF(OR(AND(K816="sale",N816&lt;=0),AND(K816="refund",N816&gt;=0)),"invalid sign","")))))))))</f>
        <v/>
      </c>
      <c r="U816" s="1" t="str">
        <f t="shared" si="101"/>
        <v>INCLUDED</v>
      </c>
      <c r="V816" s="1" t="str">
        <f t="shared" si="102"/>
        <v>2026-02</v>
      </c>
      <c r="W816" s="1">
        <f>IF(AND(U816="INCLUDED",X816&gt;0,EXACT(A816,'AI output'!A816)),1,0)</f>
        <v>1</v>
      </c>
      <c r="X816" s="1">
        <f>816</f>
        <v>816</v>
      </c>
      <c r="Y816" s="1">
        <f>IF(AND(U816="INCLUDED",W816=1),--(NOT(EXACT(A816,'AI output'!A816)))+--(NOT(EXACT(B816,'AI output'!B816)))+--(NOT(EXACT(TEXT(G816,"yyyy-mm-dd"),'AI output'!C816)))+--(NOT(EXACT(H816,'AI output'!D816)))+--(NOT(EXACT(J816,'AI output'!E816)))+--(NOT(EXACT(K816,'AI output'!F816)))+--(N816&lt;&gt;'AI output'!L816)+--(NOT('AI output'!M816)),0)</f>
        <v>0</v>
      </c>
      <c r="Z816" s="1">
        <f t="shared" si="103"/>
        <v>0</v>
      </c>
      <c r="AA816" s="1">
        <f>--EXACT(A816,"L00810")</f>
        <v>1</v>
      </c>
    </row>
    <row r="817" spans="1:27" ht="18.95" customHeight="1">
      <c r="A817" s="1" t="str">
        <f>IF(Raw!A817="","",Raw!A817)</f>
        <v>L00811</v>
      </c>
      <c r="B817" s="1" t="str">
        <f>IF(Raw!B817="","",Raw!B817)</f>
        <v>T00406</v>
      </c>
      <c r="C817" s="1" t="str">
        <f>IF(Raw!C817="","",Raw!C817)</f>
        <v>2026-02-15</v>
      </c>
      <c r="D817" s="1">
        <f t="shared" si="96"/>
        <v>2026</v>
      </c>
      <c r="E817" s="1">
        <f>IFERROR(IF(AND(LEN(C817)=10,MID(C817,5,1)="-",MID(C817,8,1)="-"),VALUE(MID(C817,6,2)),IF(AND(LEN(C817)=11,MID(C817,3,1)="-",MID(C817,7,1)="-"),MATCH(UPPER(MID(C817,4,3)),Guide!$D$7:$D$18,0),0)),0)</f>
        <v>2</v>
      </c>
      <c r="F817" s="1">
        <f t="shared" si="97"/>
        <v>15</v>
      </c>
      <c r="G817" s="9">
        <f t="shared" si="98"/>
        <v>46068</v>
      </c>
      <c r="H817" s="1" t="str">
        <f>IF(Raw!D817="","",Raw!D817)</f>
        <v>P-A</v>
      </c>
      <c r="I817" s="1" t="str">
        <f>IFERROR(IF(EXACT(H817,INDEX(Guide!$A$7:$A$9,MATCH(SUBSTITUTE(SUBSTITUTE(SUBSTITUTE(H817,"~","~~"),"*","~*"),"?","~?"),Guide!$A$7:$A$9,0))),INDEX(Guide!$B$7:$B$9,MATCH(SUBSTITUTE(SUBSTITUTE(SUBSTITUTE(H817,"~","~~"),"*","~*"),"?","~?"),Guide!$A$7:$A$9,0)),""),"")</f>
        <v>Accessories</v>
      </c>
      <c r="J817" s="1" t="str">
        <f>IF(TRIM(Raw!E817)="",I817,IF(UPPER(TRIM(Raw!E817))=UPPER(I817),I817,""))</f>
        <v>Accessories</v>
      </c>
      <c r="K817" s="1" t="str">
        <f>IF(Raw!F817="","",Raw!F817)</f>
        <v>sale</v>
      </c>
      <c r="L817" s="1" t="str">
        <f>IF(LEFT(TRIM(Raw!G817),2)="-$","-"&amp;MID(TRIM(Raw!G817),3,99),IF(LEFT(TRIM(Raw!G817),1)="$",MID(TRIM(Raw!G817),2,99),TRIM(Raw!G817)))</f>
        <v>64.69</v>
      </c>
      <c r="M817" s="1">
        <f t="shared" si="99"/>
        <v>64.69</v>
      </c>
      <c r="N817" s="10">
        <f t="shared" si="100"/>
        <v>6469</v>
      </c>
      <c r="O817" s="1" t="b">
        <f>IFERROR(IF(ISNUMBER(Raw!G817),TRUE,OR(EXACT(L817,TEXT(M817,"0.00")),EXACT(L817,TEXT(M817,"#,##0.00")))),FALSE)</f>
        <v>1</v>
      </c>
      <c r="P817" s="1" t="str">
        <f>LEN(IF(Raw!A817="","",Raw!A817))&amp;":"&amp;IF(Raw!A817="","",Raw!A817)&amp;"|"&amp;LEN(IF(Raw!B817="","",Raw!B817))&amp;":"&amp;IF(Raw!B817="","",Raw!B817)&amp;"|"&amp;LEN(IF(Raw!C817="","",Raw!C817))&amp;":"&amp;IF(Raw!C817="","",Raw!C817)&amp;"|"&amp;LEN(IF(Raw!D817="","",Raw!D817))&amp;":"&amp;IF(Raw!D817="","",Raw!D817)&amp;"|"&amp;LEN(IF(Raw!E817="","",Raw!E817))&amp;":"&amp;IF(Raw!E817="","",Raw!E817)&amp;"|"&amp;LEN(IF(Raw!F817="","",Raw!F817))&amp;":"&amp;IF(Raw!F817="","",Raw!F817)&amp;"|"&amp;LEN(IF(Raw!G817="","",Raw!G817))&amp;":"&amp;IF(Raw!G817="","",Raw!G817)</f>
        <v>6:L00811|6:T00406|10:2026-02-15|3:P-A|11:Accessories|4:sale|5:64.69</v>
      </c>
      <c r="Q817" s="1">
        <f>1</f>
        <v>1</v>
      </c>
      <c r="R817" s="1" t="b">
        <f>FALSE</f>
        <v>0</v>
      </c>
      <c r="S817" s="1">
        <f>1</f>
        <v>1</v>
      </c>
      <c r="T817" s="1" t="str">
        <f>IF(AND(Raw!A817="",Raw!B817="",Raw!C817="",Raw!D817="",Raw!E817="",Raw!F817="",Raw!G817=""),"UNUSED",IF(A817="","missing line ID",IF(B817="","missing transaction ID",IF(G817="",IF(C817="","missing date","invalid date"),IF(I817="","unknown product",IF(J817="","conflicting category",IF(NOT(OR(EXACT(K817,"sale"),EXACT(K817,"refund"))),"unknown event",IF(OR(N817="",NOT(O817)),"invalid amount",IF(OR(AND(K817="sale",N817&lt;=0),AND(K817="refund",N817&gt;=0)),"invalid sign","")))))))))</f>
        <v/>
      </c>
      <c r="U817" s="1" t="str">
        <f t="shared" si="101"/>
        <v>INCLUDED</v>
      </c>
      <c r="V817" s="1" t="str">
        <f t="shared" si="102"/>
        <v>2026-02</v>
      </c>
      <c r="W817" s="1">
        <f>IF(AND(U817="INCLUDED",X817&gt;0,EXACT(A817,'AI output'!A817)),1,0)</f>
        <v>1</v>
      </c>
      <c r="X817" s="1">
        <f>817</f>
        <v>817</v>
      </c>
      <c r="Y817" s="1">
        <f>IF(AND(U817="INCLUDED",W817=1),--(NOT(EXACT(A817,'AI output'!A817)))+--(NOT(EXACT(B817,'AI output'!B817)))+--(NOT(EXACT(TEXT(G817,"yyyy-mm-dd"),'AI output'!C817)))+--(NOT(EXACT(H817,'AI output'!D817)))+--(NOT(EXACT(J817,'AI output'!E817)))+--(NOT(EXACT(K817,'AI output'!F817)))+--(N817&lt;&gt;'AI output'!L817)+--(NOT('AI output'!M817)),0)</f>
        <v>0</v>
      </c>
      <c r="Z817" s="1">
        <f t="shared" si="103"/>
        <v>0</v>
      </c>
      <c r="AA817" s="1">
        <f>--EXACT(A817,"L00811")</f>
        <v>1</v>
      </c>
    </row>
    <row r="818" spans="1:27" ht="18.95" customHeight="1">
      <c r="A818" s="1" t="str">
        <f>IF(Raw!A818="","",Raw!A818)</f>
        <v>L00812</v>
      </c>
      <c r="B818" s="1" t="str">
        <f>IF(Raw!B818="","",Raw!B818)</f>
        <v>T00406</v>
      </c>
      <c r="C818" s="1" t="str">
        <f>IF(Raw!C818="","",Raw!C818)</f>
        <v>2026-02-15</v>
      </c>
      <c r="D818" s="1">
        <f t="shared" si="96"/>
        <v>2026</v>
      </c>
      <c r="E818" s="1">
        <f>IFERROR(IF(AND(LEN(C818)=10,MID(C818,5,1)="-",MID(C818,8,1)="-"),VALUE(MID(C818,6,2)),IF(AND(LEN(C818)=11,MID(C818,3,1)="-",MID(C818,7,1)="-"),MATCH(UPPER(MID(C818,4,3)),Guide!$D$7:$D$18,0),0)),0)</f>
        <v>2</v>
      </c>
      <c r="F818" s="1">
        <f t="shared" si="97"/>
        <v>15</v>
      </c>
      <c r="G818" s="9">
        <f t="shared" si="98"/>
        <v>46068</v>
      </c>
      <c r="H818" s="1" t="str">
        <f>IF(Raw!D818="","",Raw!D818)</f>
        <v>P-H</v>
      </c>
      <c r="I818" s="1" t="str">
        <f>IFERROR(IF(EXACT(H818,INDEX(Guide!$A$7:$A$9,MATCH(SUBSTITUTE(SUBSTITUTE(SUBSTITUTE(H818,"~","~~"),"*","~*"),"?","~?"),Guide!$A$7:$A$9,0))),INDEX(Guide!$B$7:$B$9,MATCH(SUBSTITUTE(SUBSTITUTE(SUBSTITUTE(H818,"~","~~"),"*","~*"),"?","~?"),Guide!$A$7:$A$9,0)),""),"")</f>
        <v>Home</v>
      </c>
      <c r="J818" s="1" t="str">
        <f>IF(TRIM(Raw!E818)="",I818,IF(UPPER(TRIM(Raw!E818))=UPPER(I818),I818,""))</f>
        <v>Home</v>
      </c>
      <c r="K818" s="1" t="str">
        <f>IF(Raw!F818="","",Raw!F818)</f>
        <v>sale</v>
      </c>
      <c r="L818" s="1" t="str">
        <f>IF(LEFT(TRIM(Raw!G818),2)="-$","-"&amp;MID(TRIM(Raw!G818),3,99),IF(LEFT(TRIM(Raw!G818),1)="$",MID(TRIM(Raw!G818),2,99),TRIM(Raw!G818)))</f>
        <v>195.18</v>
      </c>
      <c r="M818" s="1">
        <f t="shared" si="99"/>
        <v>195.18</v>
      </c>
      <c r="N818" s="10">
        <f t="shared" si="100"/>
        <v>19518</v>
      </c>
      <c r="O818" s="1" t="b">
        <f>IFERROR(IF(ISNUMBER(Raw!G818),TRUE,OR(EXACT(L818,TEXT(M818,"0.00")),EXACT(L818,TEXT(M818,"#,##0.00")))),FALSE)</f>
        <v>1</v>
      </c>
      <c r="P818" s="1" t="str">
        <f>LEN(IF(Raw!A818="","",Raw!A818))&amp;":"&amp;IF(Raw!A818="","",Raw!A818)&amp;"|"&amp;LEN(IF(Raw!B818="","",Raw!B818))&amp;":"&amp;IF(Raw!B818="","",Raw!B818)&amp;"|"&amp;LEN(IF(Raw!C818="","",Raw!C818))&amp;":"&amp;IF(Raw!C818="","",Raw!C818)&amp;"|"&amp;LEN(IF(Raw!D818="","",Raw!D818))&amp;":"&amp;IF(Raw!D818="","",Raw!D818)&amp;"|"&amp;LEN(IF(Raw!E818="","",Raw!E818))&amp;":"&amp;IF(Raw!E818="","",Raw!E818)&amp;"|"&amp;LEN(IF(Raw!F818="","",Raw!F818))&amp;":"&amp;IF(Raw!F818="","",Raw!F818)&amp;"|"&amp;LEN(IF(Raw!G818="","",Raw!G818))&amp;":"&amp;IF(Raw!G818="","",Raw!G818)</f>
        <v>6:L00812|6:T00406|10:2026-02-15|3:P-H|4:Home|4:sale|6:195.18</v>
      </c>
      <c r="Q818" s="1">
        <f>1</f>
        <v>1</v>
      </c>
      <c r="R818" s="1" t="b">
        <f>FALSE</f>
        <v>0</v>
      </c>
      <c r="S818" s="1">
        <f>1</f>
        <v>1</v>
      </c>
      <c r="T818" s="1" t="str">
        <f>IF(AND(Raw!A818="",Raw!B818="",Raw!C818="",Raw!D818="",Raw!E818="",Raw!F818="",Raw!G818=""),"UNUSED",IF(A818="","missing line ID",IF(B818="","missing transaction ID",IF(G818="",IF(C818="","missing date","invalid date"),IF(I818="","unknown product",IF(J818="","conflicting category",IF(NOT(OR(EXACT(K818,"sale"),EXACT(K818,"refund"))),"unknown event",IF(OR(N818="",NOT(O818)),"invalid amount",IF(OR(AND(K818="sale",N818&lt;=0),AND(K818="refund",N818&gt;=0)),"invalid sign","")))))))))</f>
        <v/>
      </c>
      <c r="U818" s="1" t="str">
        <f t="shared" si="101"/>
        <v>INCLUDED</v>
      </c>
      <c r="V818" s="1" t="str">
        <f t="shared" si="102"/>
        <v>2026-02</v>
      </c>
      <c r="W818" s="1">
        <f>IF(AND(U818="INCLUDED",X818&gt;0,EXACT(A818,'AI output'!A818)),1,0)</f>
        <v>1</v>
      </c>
      <c r="X818" s="1">
        <f>818</f>
        <v>818</v>
      </c>
      <c r="Y818" s="1">
        <f>IF(AND(U818="INCLUDED",W818=1),--(NOT(EXACT(A818,'AI output'!A818)))+--(NOT(EXACT(B818,'AI output'!B818)))+--(NOT(EXACT(TEXT(G818,"yyyy-mm-dd"),'AI output'!C818)))+--(NOT(EXACT(H818,'AI output'!D818)))+--(NOT(EXACT(J818,'AI output'!E818)))+--(NOT(EXACT(K818,'AI output'!F818)))+--(N818&lt;&gt;'AI output'!L818)+--(NOT('AI output'!M818)),0)</f>
        <v>0</v>
      </c>
      <c r="Z818" s="1">
        <f t="shared" si="103"/>
        <v>0</v>
      </c>
      <c r="AA818" s="1">
        <f>--EXACT(A818,"L00812")</f>
        <v>1</v>
      </c>
    </row>
    <row r="819" spans="1:27" ht="18.95" customHeight="1">
      <c r="A819" s="1" t="str">
        <f>IF(Raw!A819="","",Raw!A819)</f>
        <v>L00813</v>
      </c>
      <c r="B819" s="1" t="str">
        <f>IF(Raw!B819="","",Raw!B819)</f>
        <v>T00407</v>
      </c>
      <c r="C819" s="1" t="str">
        <f>IF(Raw!C819="","",Raw!C819)</f>
        <v>2026-02-22</v>
      </c>
      <c r="D819" s="1">
        <f t="shared" si="96"/>
        <v>2026</v>
      </c>
      <c r="E819" s="1">
        <f>IFERROR(IF(AND(LEN(C819)=10,MID(C819,5,1)="-",MID(C819,8,1)="-"),VALUE(MID(C819,6,2)),IF(AND(LEN(C819)=11,MID(C819,3,1)="-",MID(C819,7,1)="-"),MATCH(UPPER(MID(C819,4,3)),Guide!$D$7:$D$18,0),0)),0)</f>
        <v>2</v>
      </c>
      <c r="F819" s="1">
        <f t="shared" si="97"/>
        <v>22</v>
      </c>
      <c r="G819" s="9">
        <f t="shared" si="98"/>
        <v>46075</v>
      </c>
      <c r="H819" s="1" t="str">
        <f>IF(Raw!D819="","",Raw!D819)</f>
        <v>P-O</v>
      </c>
      <c r="I819" s="1" t="str">
        <f>IFERROR(IF(EXACT(H819,INDEX(Guide!$A$7:$A$9,MATCH(SUBSTITUTE(SUBSTITUTE(SUBSTITUTE(H819,"~","~~"),"*","~*"),"?","~?"),Guide!$A$7:$A$9,0))),INDEX(Guide!$B$7:$B$9,MATCH(SUBSTITUTE(SUBSTITUTE(SUBSTITUTE(H819,"~","~~"),"*","~*"),"?","~?"),Guide!$A$7:$A$9,0)),""),"")</f>
        <v>Office</v>
      </c>
      <c r="J819" s="1" t="str">
        <f>IF(TRIM(Raw!E819)="",I819,IF(UPPER(TRIM(Raw!E819))=UPPER(I819),I819,""))</f>
        <v>Office</v>
      </c>
      <c r="K819" s="1" t="str">
        <f>IF(Raw!F819="","",Raw!F819)</f>
        <v>sale</v>
      </c>
      <c r="L819" s="1" t="str">
        <f>IF(LEFT(TRIM(Raw!G819),2)="-$","-"&amp;MID(TRIM(Raw!G819),3,99),IF(LEFT(TRIM(Raw!G819),1)="$",MID(TRIM(Raw!G819),2,99),TRIM(Raw!G819)))</f>
        <v>327.15</v>
      </c>
      <c r="M819" s="1">
        <f t="shared" si="99"/>
        <v>327.14999999999998</v>
      </c>
      <c r="N819" s="10">
        <f t="shared" si="100"/>
        <v>32715</v>
      </c>
      <c r="O819" s="1" t="b">
        <f>IFERROR(IF(ISNUMBER(Raw!G819),TRUE,OR(EXACT(L819,TEXT(M819,"0.00")),EXACT(L819,TEXT(M819,"#,##0.00")))),FALSE)</f>
        <v>1</v>
      </c>
      <c r="P819" s="1" t="str">
        <f>LEN(IF(Raw!A819="","",Raw!A819))&amp;":"&amp;IF(Raw!A819="","",Raw!A819)&amp;"|"&amp;LEN(IF(Raw!B819="","",Raw!B819))&amp;":"&amp;IF(Raw!B819="","",Raw!B819)&amp;"|"&amp;LEN(IF(Raw!C819="","",Raw!C819))&amp;":"&amp;IF(Raw!C819="","",Raw!C819)&amp;"|"&amp;LEN(IF(Raw!D819="","",Raw!D819))&amp;":"&amp;IF(Raw!D819="","",Raw!D819)&amp;"|"&amp;LEN(IF(Raw!E819="","",Raw!E819))&amp;":"&amp;IF(Raw!E819="","",Raw!E819)&amp;"|"&amp;LEN(IF(Raw!F819="","",Raw!F819))&amp;":"&amp;IF(Raw!F819="","",Raw!F819)&amp;"|"&amp;LEN(IF(Raw!G819="","",Raw!G819))&amp;":"&amp;IF(Raw!G819="","",Raw!G819)</f>
        <v>6:L00813|6:T00407|10:2026-02-22|3:P-O|6:Office|4:sale|6:327.15</v>
      </c>
      <c r="Q819" s="1">
        <f>1</f>
        <v>1</v>
      </c>
      <c r="R819" s="1" t="b">
        <f>FALSE</f>
        <v>0</v>
      </c>
      <c r="S819" s="1">
        <f>1</f>
        <v>1</v>
      </c>
      <c r="T819" s="1" t="str">
        <f>IF(AND(Raw!A819="",Raw!B819="",Raw!C819="",Raw!D819="",Raw!E819="",Raw!F819="",Raw!G819=""),"UNUSED",IF(A819="","missing line ID",IF(B819="","missing transaction ID",IF(G819="",IF(C819="","missing date","invalid date"),IF(I819="","unknown product",IF(J819="","conflicting category",IF(NOT(OR(EXACT(K819,"sale"),EXACT(K819,"refund"))),"unknown event",IF(OR(N819="",NOT(O819)),"invalid amount",IF(OR(AND(K819="sale",N819&lt;=0),AND(K819="refund",N819&gt;=0)),"invalid sign","")))))))))</f>
        <v/>
      </c>
      <c r="U819" s="1" t="str">
        <f t="shared" si="101"/>
        <v>INCLUDED</v>
      </c>
      <c r="V819" s="1" t="str">
        <f t="shared" si="102"/>
        <v>2026-02</v>
      </c>
      <c r="W819" s="1">
        <f>IF(AND(U819="INCLUDED",X819&gt;0,EXACT(A819,'AI output'!A819)),1,0)</f>
        <v>1</v>
      </c>
      <c r="X819" s="1">
        <f>819</f>
        <v>819</v>
      </c>
      <c r="Y819" s="1">
        <f>IF(AND(U819="INCLUDED",W819=1),--(NOT(EXACT(A819,'AI output'!A819)))+--(NOT(EXACT(B819,'AI output'!B819)))+--(NOT(EXACT(TEXT(G819,"yyyy-mm-dd"),'AI output'!C819)))+--(NOT(EXACT(H819,'AI output'!D819)))+--(NOT(EXACT(J819,'AI output'!E819)))+--(NOT(EXACT(K819,'AI output'!F819)))+--(N819&lt;&gt;'AI output'!L819)+--(NOT('AI output'!M819)),0)</f>
        <v>0</v>
      </c>
      <c r="Z819" s="1">
        <f t="shared" si="103"/>
        <v>0</v>
      </c>
      <c r="AA819" s="1">
        <f>--EXACT(A819,"L00813")</f>
        <v>1</v>
      </c>
    </row>
    <row r="820" spans="1:27" ht="18.95" customHeight="1">
      <c r="A820" s="1" t="str">
        <f>IF(Raw!A820="","",Raw!A820)</f>
        <v>L00814</v>
      </c>
      <c r="B820" s="1" t="str">
        <f>IF(Raw!B820="","",Raw!B820)</f>
        <v>T00407</v>
      </c>
      <c r="C820" s="1" t="str">
        <f>IF(Raw!C820="","",Raw!C820)</f>
        <v>2026-02-22</v>
      </c>
      <c r="D820" s="1">
        <f t="shared" si="96"/>
        <v>2026</v>
      </c>
      <c r="E820" s="1">
        <f>IFERROR(IF(AND(LEN(C820)=10,MID(C820,5,1)="-",MID(C820,8,1)="-"),VALUE(MID(C820,6,2)),IF(AND(LEN(C820)=11,MID(C820,3,1)="-",MID(C820,7,1)="-"),MATCH(UPPER(MID(C820,4,3)),Guide!$D$7:$D$18,0),0)),0)</f>
        <v>2</v>
      </c>
      <c r="F820" s="1">
        <f t="shared" si="97"/>
        <v>22</v>
      </c>
      <c r="G820" s="9">
        <f t="shared" si="98"/>
        <v>46075</v>
      </c>
      <c r="H820" s="1" t="str">
        <f>IF(Raw!D820="","",Raw!D820)</f>
        <v>P-A</v>
      </c>
      <c r="I820" s="1" t="str">
        <f>IFERROR(IF(EXACT(H820,INDEX(Guide!$A$7:$A$9,MATCH(SUBSTITUTE(SUBSTITUTE(SUBSTITUTE(H820,"~","~~"),"*","~*"),"?","~?"),Guide!$A$7:$A$9,0))),INDEX(Guide!$B$7:$B$9,MATCH(SUBSTITUTE(SUBSTITUTE(SUBSTITUTE(H820,"~","~~"),"*","~*"),"?","~?"),Guide!$A$7:$A$9,0)),""),"")</f>
        <v>Accessories</v>
      </c>
      <c r="J820" s="1" t="str">
        <f>IF(TRIM(Raw!E820)="",I820,IF(UPPER(TRIM(Raw!E820))=UPPER(I820),I820,""))</f>
        <v>Accessories</v>
      </c>
      <c r="K820" s="1" t="str">
        <f>IF(Raw!F820="","",Raw!F820)</f>
        <v>sale</v>
      </c>
      <c r="L820" s="1" t="str">
        <f>IF(LEFT(TRIM(Raw!G820),2)="-$","-"&amp;MID(TRIM(Raw!G820),3,99),IF(LEFT(TRIM(Raw!G820),1)="$",MID(TRIM(Raw!G820),2,99),TRIM(Raw!G820)))</f>
        <v>131.60</v>
      </c>
      <c r="M820" s="1">
        <f t="shared" si="99"/>
        <v>131.6</v>
      </c>
      <c r="N820" s="10">
        <f t="shared" si="100"/>
        <v>13160</v>
      </c>
      <c r="O820" s="1" t="b">
        <f>IFERROR(IF(ISNUMBER(Raw!G820),TRUE,OR(EXACT(L820,TEXT(M820,"0.00")),EXACT(L820,TEXT(M820,"#,##0.00")))),FALSE)</f>
        <v>1</v>
      </c>
      <c r="P820" s="1" t="str">
        <f>LEN(IF(Raw!A820="","",Raw!A820))&amp;":"&amp;IF(Raw!A820="","",Raw!A820)&amp;"|"&amp;LEN(IF(Raw!B820="","",Raw!B820))&amp;":"&amp;IF(Raw!B820="","",Raw!B820)&amp;"|"&amp;LEN(IF(Raw!C820="","",Raw!C820))&amp;":"&amp;IF(Raw!C820="","",Raw!C820)&amp;"|"&amp;LEN(IF(Raw!D820="","",Raw!D820))&amp;":"&amp;IF(Raw!D820="","",Raw!D820)&amp;"|"&amp;LEN(IF(Raw!E820="","",Raw!E820))&amp;":"&amp;IF(Raw!E820="","",Raw!E820)&amp;"|"&amp;LEN(IF(Raw!F820="","",Raw!F820))&amp;":"&amp;IF(Raw!F820="","",Raw!F820)&amp;"|"&amp;LEN(IF(Raw!G820="","",Raw!G820))&amp;":"&amp;IF(Raw!G820="","",Raw!G820)</f>
        <v>6:L00814|6:T00407|10:2026-02-22|3:P-A|11:Accessories|4:sale|6:131.60</v>
      </c>
      <c r="Q820" s="1">
        <f>1</f>
        <v>1</v>
      </c>
      <c r="R820" s="1" t="b">
        <f>FALSE</f>
        <v>0</v>
      </c>
      <c r="S820" s="1">
        <f>1</f>
        <v>1</v>
      </c>
      <c r="T820" s="1" t="str">
        <f>IF(AND(Raw!A820="",Raw!B820="",Raw!C820="",Raw!D820="",Raw!E820="",Raw!F820="",Raw!G820=""),"UNUSED",IF(A820="","missing line ID",IF(B820="","missing transaction ID",IF(G820="",IF(C820="","missing date","invalid date"),IF(I820="","unknown product",IF(J820="","conflicting category",IF(NOT(OR(EXACT(K820,"sale"),EXACT(K820,"refund"))),"unknown event",IF(OR(N820="",NOT(O820)),"invalid amount",IF(OR(AND(K820="sale",N820&lt;=0),AND(K820="refund",N820&gt;=0)),"invalid sign","")))))))))</f>
        <v/>
      </c>
      <c r="U820" s="1" t="str">
        <f t="shared" si="101"/>
        <v>INCLUDED</v>
      </c>
      <c r="V820" s="1" t="str">
        <f t="shared" si="102"/>
        <v>2026-02</v>
      </c>
      <c r="W820" s="1">
        <f>IF(AND(U820="INCLUDED",X820&gt;0,EXACT(A820,'AI output'!A820)),1,0)</f>
        <v>1</v>
      </c>
      <c r="X820" s="1">
        <f>820</f>
        <v>820</v>
      </c>
      <c r="Y820" s="1">
        <f>IF(AND(U820="INCLUDED",W820=1),--(NOT(EXACT(A820,'AI output'!A820)))+--(NOT(EXACT(B820,'AI output'!B820)))+--(NOT(EXACT(TEXT(G820,"yyyy-mm-dd"),'AI output'!C820)))+--(NOT(EXACT(H820,'AI output'!D820)))+--(NOT(EXACT(J820,'AI output'!E820)))+--(NOT(EXACT(K820,'AI output'!F820)))+--(N820&lt;&gt;'AI output'!L820)+--(NOT('AI output'!M820)),0)</f>
        <v>0</v>
      </c>
      <c r="Z820" s="1">
        <f t="shared" si="103"/>
        <v>0</v>
      </c>
      <c r="AA820" s="1">
        <f>--EXACT(A820,"L00814")</f>
        <v>1</v>
      </c>
    </row>
    <row r="821" spans="1:27" ht="18.95" customHeight="1">
      <c r="A821" s="1" t="str">
        <f>IF(Raw!A821="","",Raw!A821)</f>
        <v>L00815</v>
      </c>
      <c r="B821" s="1" t="str">
        <f>IF(Raw!B821="","",Raw!B821)</f>
        <v>T00408</v>
      </c>
      <c r="C821" s="1" t="str">
        <f>IF(Raw!C821="","",Raw!C821)</f>
        <v>2026-03-01</v>
      </c>
      <c r="D821" s="1">
        <f t="shared" si="96"/>
        <v>2026</v>
      </c>
      <c r="E821" s="1">
        <f>IFERROR(IF(AND(LEN(C821)=10,MID(C821,5,1)="-",MID(C821,8,1)="-"),VALUE(MID(C821,6,2)),IF(AND(LEN(C821)=11,MID(C821,3,1)="-",MID(C821,7,1)="-"),MATCH(UPPER(MID(C821,4,3)),Guide!$D$7:$D$18,0),0)),0)</f>
        <v>3</v>
      </c>
      <c r="F821" s="1">
        <f t="shared" si="97"/>
        <v>1</v>
      </c>
      <c r="G821" s="9">
        <f t="shared" si="98"/>
        <v>46082</v>
      </c>
      <c r="H821" s="1" t="str">
        <f>IF(Raw!D821="","",Raw!D821)</f>
        <v>P-H</v>
      </c>
      <c r="I821" s="1" t="str">
        <f>IFERROR(IF(EXACT(H821,INDEX(Guide!$A$7:$A$9,MATCH(SUBSTITUTE(SUBSTITUTE(SUBSTITUTE(H821,"~","~~"),"*","~*"),"?","~?"),Guide!$A$7:$A$9,0))),INDEX(Guide!$B$7:$B$9,MATCH(SUBSTITUTE(SUBSTITUTE(SUBSTITUTE(H821,"~","~~"),"*","~*"),"?","~?"),Guide!$A$7:$A$9,0)),""),"")</f>
        <v>Home</v>
      </c>
      <c r="J821" s="1" t="str">
        <f>IF(TRIM(Raw!E821)="",I821,IF(UPPER(TRIM(Raw!E821))=UPPER(I821),I821,""))</f>
        <v>Home</v>
      </c>
      <c r="K821" s="1" t="str">
        <f>IF(Raw!F821="","",Raw!F821)</f>
        <v>sale</v>
      </c>
      <c r="L821" s="1" t="str">
        <f>IF(LEFT(TRIM(Raw!G821),2)="-$","-"&amp;MID(TRIM(Raw!G821),3,99),IF(LEFT(TRIM(Raw!G821),1)="$",MID(TRIM(Raw!G821),2,99),TRIM(Raw!G821)))</f>
        <v>264.68</v>
      </c>
      <c r="M821" s="1">
        <f t="shared" si="99"/>
        <v>264.68</v>
      </c>
      <c r="N821" s="10">
        <f t="shared" si="100"/>
        <v>26468</v>
      </c>
      <c r="O821" s="1" t="b">
        <f>IFERROR(IF(ISNUMBER(Raw!G821),TRUE,OR(EXACT(L821,TEXT(M821,"0.00")),EXACT(L821,TEXT(M821,"#,##0.00")))),FALSE)</f>
        <v>1</v>
      </c>
      <c r="P821" s="1" t="str">
        <f>LEN(IF(Raw!A821="","",Raw!A821))&amp;":"&amp;IF(Raw!A821="","",Raw!A821)&amp;"|"&amp;LEN(IF(Raw!B821="","",Raw!B821))&amp;":"&amp;IF(Raw!B821="","",Raw!B821)&amp;"|"&amp;LEN(IF(Raw!C821="","",Raw!C821))&amp;":"&amp;IF(Raw!C821="","",Raw!C821)&amp;"|"&amp;LEN(IF(Raw!D821="","",Raw!D821))&amp;":"&amp;IF(Raw!D821="","",Raw!D821)&amp;"|"&amp;LEN(IF(Raw!E821="","",Raw!E821))&amp;":"&amp;IF(Raw!E821="","",Raw!E821)&amp;"|"&amp;LEN(IF(Raw!F821="","",Raw!F821))&amp;":"&amp;IF(Raw!F821="","",Raw!F821)&amp;"|"&amp;LEN(IF(Raw!G821="","",Raw!G821))&amp;":"&amp;IF(Raw!G821="","",Raw!G821)</f>
        <v>6:L00815|6:T00408|10:2026-03-01|3:P-H|4:Home|4:sale|6:264.68</v>
      </c>
      <c r="Q821" s="1">
        <f>1</f>
        <v>1</v>
      </c>
      <c r="R821" s="1" t="b">
        <f>FALSE</f>
        <v>0</v>
      </c>
      <c r="S821" s="1">
        <f>1</f>
        <v>1</v>
      </c>
      <c r="T821" s="1" t="str">
        <f>IF(AND(Raw!A821="",Raw!B821="",Raw!C821="",Raw!D821="",Raw!E821="",Raw!F821="",Raw!G821=""),"UNUSED",IF(A821="","missing line ID",IF(B821="","missing transaction ID",IF(G821="",IF(C821="","missing date","invalid date"),IF(I821="","unknown product",IF(J821="","conflicting category",IF(NOT(OR(EXACT(K821,"sale"),EXACT(K821,"refund"))),"unknown event",IF(OR(N821="",NOT(O821)),"invalid amount",IF(OR(AND(K821="sale",N821&lt;=0),AND(K821="refund",N821&gt;=0)),"invalid sign","")))))))))</f>
        <v/>
      </c>
      <c r="U821" s="1" t="str">
        <f t="shared" si="101"/>
        <v>INCLUDED</v>
      </c>
      <c r="V821" s="1" t="str">
        <f t="shared" si="102"/>
        <v>2026-03</v>
      </c>
      <c r="W821" s="1">
        <f>IF(AND(U821="INCLUDED",X821&gt;0,EXACT(A821,'AI output'!A821)),1,0)</f>
        <v>1</v>
      </c>
      <c r="X821" s="1">
        <f>821</f>
        <v>821</v>
      </c>
      <c r="Y821" s="1">
        <f>IF(AND(U821="INCLUDED",W821=1),--(NOT(EXACT(A821,'AI output'!A821)))+--(NOT(EXACT(B821,'AI output'!B821)))+--(NOT(EXACT(TEXT(G821,"yyyy-mm-dd"),'AI output'!C821)))+--(NOT(EXACT(H821,'AI output'!D821)))+--(NOT(EXACT(J821,'AI output'!E821)))+--(NOT(EXACT(K821,'AI output'!F821)))+--(N821&lt;&gt;'AI output'!L821)+--(NOT('AI output'!M821)),0)</f>
        <v>0</v>
      </c>
      <c r="Z821" s="1">
        <f t="shared" si="103"/>
        <v>0</v>
      </c>
      <c r="AA821" s="1">
        <f>--EXACT(A821,"L00815")</f>
        <v>1</v>
      </c>
    </row>
    <row r="822" spans="1:27" ht="18.95" customHeight="1">
      <c r="A822" s="1" t="str">
        <f>IF(Raw!A822="","",Raw!A822)</f>
        <v>L00816</v>
      </c>
      <c r="B822" s="1" t="str">
        <f>IF(Raw!B822="","",Raw!B822)</f>
        <v>T00408</v>
      </c>
      <c r="C822" s="1" t="str">
        <f>IF(Raw!C822="","",Raw!C822)</f>
        <v>2026-03-01</v>
      </c>
      <c r="D822" s="1">
        <f t="shared" si="96"/>
        <v>2026</v>
      </c>
      <c r="E822" s="1">
        <f>IFERROR(IF(AND(LEN(C822)=10,MID(C822,5,1)="-",MID(C822,8,1)="-"),VALUE(MID(C822,6,2)),IF(AND(LEN(C822)=11,MID(C822,3,1)="-",MID(C822,7,1)="-"),MATCH(UPPER(MID(C822,4,3)),Guide!$D$7:$D$18,0),0)),0)</f>
        <v>3</v>
      </c>
      <c r="F822" s="1">
        <f t="shared" si="97"/>
        <v>1</v>
      </c>
      <c r="G822" s="9">
        <f t="shared" si="98"/>
        <v>46082</v>
      </c>
      <c r="H822" s="1" t="str">
        <f>IF(Raw!D822="","",Raw!D822)</f>
        <v>P-O</v>
      </c>
      <c r="I822" s="1" t="str">
        <f>IFERROR(IF(EXACT(H822,INDEX(Guide!$A$7:$A$9,MATCH(SUBSTITUTE(SUBSTITUTE(SUBSTITUTE(H822,"~","~~"),"*","~*"),"?","~?"),Guide!$A$7:$A$9,0))),INDEX(Guide!$B$7:$B$9,MATCH(SUBSTITUTE(SUBSTITUTE(SUBSTITUTE(H822,"~","~~"),"*","~*"),"?","~?"),Guide!$A$7:$A$9,0)),""),"")</f>
        <v>Office</v>
      </c>
      <c r="J822" s="1" t="str">
        <f>IF(TRIM(Raw!E822)="",I822,IF(UPPER(TRIM(Raw!E822))=UPPER(I822),I822,""))</f>
        <v>Office</v>
      </c>
      <c r="K822" s="1" t="str">
        <f>IF(Raw!F822="","",Raw!F822)</f>
        <v>sale</v>
      </c>
      <c r="L822" s="1" t="str">
        <f>IF(LEFT(TRIM(Raw!G822),2)="-$","-"&amp;MID(TRIM(Raw!G822),3,99),IF(LEFT(TRIM(Raw!G822),1)="$",MID(TRIM(Raw!G822),2,99),TRIM(Raw!G822)))</f>
        <v>66.54</v>
      </c>
      <c r="M822" s="1">
        <f t="shared" si="99"/>
        <v>66.540000000000006</v>
      </c>
      <c r="N822" s="10">
        <f t="shared" si="100"/>
        <v>6654</v>
      </c>
      <c r="O822" s="1" t="b">
        <f>IFERROR(IF(ISNUMBER(Raw!G822),TRUE,OR(EXACT(L822,TEXT(M822,"0.00")),EXACT(L822,TEXT(M822,"#,##0.00")))),FALSE)</f>
        <v>1</v>
      </c>
      <c r="P822" s="1" t="str">
        <f>LEN(IF(Raw!A822="","",Raw!A822))&amp;":"&amp;IF(Raw!A822="","",Raw!A822)&amp;"|"&amp;LEN(IF(Raw!B822="","",Raw!B822))&amp;":"&amp;IF(Raw!B822="","",Raw!B822)&amp;"|"&amp;LEN(IF(Raw!C822="","",Raw!C822))&amp;":"&amp;IF(Raw!C822="","",Raw!C822)&amp;"|"&amp;LEN(IF(Raw!D822="","",Raw!D822))&amp;":"&amp;IF(Raw!D822="","",Raw!D822)&amp;"|"&amp;LEN(IF(Raw!E822="","",Raw!E822))&amp;":"&amp;IF(Raw!E822="","",Raw!E822)&amp;"|"&amp;LEN(IF(Raw!F822="","",Raw!F822))&amp;":"&amp;IF(Raw!F822="","",Raw!F822)&amp;"|"&amp;LEN(IF(Raw!G822="","",Raw!G822))&amp;":"&amp;IF(Raw!G822="","",Raw!G822)</f>
        <v>6:L00816|6:T00408|10:2026-03-01|3:P-O|6:Office|4:sale|5:66.54</v>
      </c>
      <c r="Q822" s="1">
        <f>1</f>
        <v>1</v>
      </c>
      <c r="R822" s="1" t="b">
        <f>FALSE</f>
        <v>0</v>
      </c>
      <c r="S822" s="1">
        <f>1</f>
        <v>1</v>
      </c>
      <c r="T822" s="1" t="str">
        <f>IF(AND(Raw!A822="",Raw!B822="",Raw!C822="",Raw!D822="",Raw!E822="",Raw!F822="",Raw!G822=""),"UNUSED",IF(A822="","missing line ID",IF(B822="","missing transaction ID",IF(G822="",IF(C822="","missing date","invalid date"),IF(I822="","unknown product",IF(J822="","conflicting category",IF(NOT(OR(EXACT(K822,"sale"),EXACT(K822,"refund"))),"unknown event",IF(OR(N822="",NOT(O822)),"invalid amount",IF(OR(AND(K822="sale",N822&lt;=0),AND(K822="refund",N822&gt;=0)),"invalid sign","")))))))))</f>
        <v/>
      </c>
      <c r="U822" s="1" t="str">
        <f t="shared" si="101"/>
        <v>INCLUDED</v>
      </c>
      <c r="V822" s="1" t="str">
        <f t="shared" si="102"/>
        <v>2026-03</v>
      </c>
      <c r="W822" s="1">
        <f>IF(AND(U822="INCLUDED",X822&gt;0,EXACT(A822,'AI output'!A822)),1,0)</f>
        <v>1</v>
      </c>
      <c r="X822" s="1">
        <f>822</f>
        <v>822</v>
      </c>
      <c r="Y822" s="1">
        <f>IF(AND(U822="INCLUDED",W822=1),--(NOT(EXACT(A822,'AI output'!A822)))+--(NOT(EXACT(B822,'AI output'!B822)))+--(NOT(EXACT(TEXT(G822,"yyyy-mm-dd"),'AI output'!C822)))+--(NOT(EXACT(H822,'AI output'!D822)))+--(NOT(EXACT(J822,'AI output'!E822)))+--(NOT(EXACT(K822,'AI output'!F822)))+--(N822&lt;&gt;'AI output'!L822)+--(NOT('AI output'!M822)),0)</f>
        <v>0</v>
      </c>
      <c r="Z822" s="1">
        <f t="shared" si="103"/>
        <v>0</v>
      </c>
      <c r="AA822" s="1">
        <f>--EXACT(A822,"L00816")</f>
        <v>1</v>
      </c>
    </row>
    <row r="823" spans="1:27" ht="18.95" customHeight="1">
      <c r="A823" s="1" t="str">
        <f>IF(Raw!A823="","",Raw!A823)</f>
        <v>L00817</v>
      </c>
      <c r="B823" s="1" t="str">
        <f>IF(Raw!B823="","",Raw!B823)</f>
        <v>T00409</v>
      </c>
      <c r="C823" s="1" t="str">
        <f>IF(Raw!C823="","",Raw!C823)</f>
        <v>2026-03-08</v>
      </c>
      <c r="D823" s="1">
        <f t="shared" si="96"/>
        <v>2026</v>
      </c>
      <c r="E823" s="1">
        <f>IFERROR(IF(AND(LEN(C823)=10,MID(C823,5,1)="-",MID(C823,8,1)="-"),VALUE(MID(C823,6,2)),IF(AND(LEN(C823)=11,MID(C823,3,1)="-",MID(C823,7,1)="-"),MATCH(UPPER(MID(C823,4,3)),Guide!$D$7:$D$18,0),0)),0)</f>
        <v>3</v>
      </c>
      <c r="F823" s="1">
        <f t="shared" si="97"/>
        <v>8</v>
      </c>
      <c r="G823" s="9">
        <f t="shared" si="98"/>
        <v>46089</v>
      </c>
      <c r="H823" s="1" t="str">
        <f>IF(Raw!D823="","",Raw!D823)</f>
        <v>P-A</v>
      </c>
      <c r="I823" s="1" t="str">
        <f>IFERROR(IF(EXACT(H823,INDEX(Guide!$A$7:$A$9,MATCH(SUBSTITUTE(SUBSTITUTE(SUBSTITUTE(H823,"~","~~"),"*","~*"),"?","~?"),Guide!$A$7:$A$9,0))),INDEX(Guide!$B$7:$B$9,MATCH(SUBSTITUTE(SUBSTITUTE(SUBSTITUTE(H823,"~","~~"),"*","~*"),"?","~?"),Guide!$A$7:$A$9,0)),""),"")</f>
        <v>Accessories</v>
      </c>
      <c r="J823" s="1" t="str">
        <f>IF(TRIM(Raw!E823)="",I823,IF(UPPER(TRIM(Raw!E823))=UPPER(I823),I823,""))</f>
        <v>Accessories</v>
      </c>
      <c r="K823" s="1" t="str">
        <f>IF(Raw!F823="","",Raw!F823)</f>
        <v>sale</v>
      </c>
      <c r="L823" s="1" t="str">
        <f>IF(LEFT(TRIM(Raw!G823),2)="-$","-"&amp;MID(TRIM(Raw!G823),3,99),IF(LEFT(TRIM(Raw!G823),1)="$",MID(TRIM(Raw!G823),2,99),TRIM(Raw!G823)))</f>
        <v>200.73</v>
      </c>
      <c r="M823" s="1">
        <f t="shared" si="99"/>
        <v>200.73</v>
      </c>
      <c r="N823" s="10">
        <f t="shared" si="100"/>
        <v>20073</v>
      </c>
      <c r="O823" s="1" t="b">
        <f>IFERROR(IF(ISNUMBER(Raw!G823),TRUE,OR(EXACT(L823,TEXT(M823,"0.00")),EXACT(L823,TEXT(M823,"#,##0.00")))),FALSE)</f>
        <v>1</v>
      </c>
      <c r="P823" s="1" t="str">
        <f>LEN(IF(Raw!A823="","",Raw!A823))&amp;":"&amp;IF(Raw!A823="","",Raw!A823)&amp;"|"&amp;LEN(IF(Raw!B823="","",Raw!B823))&amp;":"&amp;IF(Raw!B823="","",Raw!B823)&amp;"|"&amp;LEN(IF(Raw!C823="","",Raw!C823))&amp;":"&amp;IF(Raw!C823="","",Raw!C823)&amp;"|"&amp;LEN(IF(Raw!D823="","",Raw!D823))&amp;":"&amp;IF(Raw!D823="","",Raw!D823)&amp;"|"&amp;LEN(IF(Raw!E823="","",Raw!E823))&amp;":"&amp;IF(Raw!E823="","",Raw!E823)&amp;"|"&amp;LEN(IF(Raw!F823="","",Raw!F823))&amp;":"&amp;IF(Raw!F823="","",Raw!F823)&amp;"|"&amp;LEN(IF(Raw!G823="","",Raw!G823))&amp;":"&amp;IF(Raw!G823="","",Raw!G823)</f>
        <v>6:L00817|6:T00409|10:2026-03-08|3:P-A|11:Accessories|4:sale|6:200.73</v>
      </c>
      <c r="Q823" s="1">
        <f>1</f>
        <v>1</v>
      </c>
      <c r="R823" s="1" t="b">
        <f>FALSE</f>
        <v>0</v>
      </c>
      <c r="S823" s="1">
        <f>1</f>
        <v>1</v>
      </c>
      <c r="T823" s="1" t="str">
        <f>IF(AND(Raw!A823="",Raw!B823="",Raw!C823="",Raw!D823="",Raw!E823="",Raw!F823="",Raw!G823=""),"UNUSED",IF(A823="","missing line ID",IF(B823="","missing transaction ID",IF(G823="",IF(C823="","missing date","invalid date"),IF(I823="","unknown product",IF(J823="","conflicting category",IF(NOT(OR(EXACT(K823,"sale"),EXACT(K823,"refund"))),"unknown event",IF(OR(N823="",NOT(O823)),"invalid amount",IF(OR(AND(K823="sale",N823&lt;=0),AND(K823="refund",N823&gt;=0)),"invalid sign","")))))))))</f>
        <v/>
      </c>
      <c r="U823" s="1" t="str">
        <f t="shared" si="101"/>
        <v>INCLUDED</v>
      </c>
      <c r="V823" s="1" t="str">
        <f t="shared" si="102"/>
        <v>2026-03</v>
      </c>
      <c r="W823" s="1">
        <f>IF(AND(U823="INCLUDED",X823&gt;0,EXACT(A823,'AI output'!A823)),1,0)</f>
        <v>1</v>
      </c>
      <c r="X823" s="1">
        <f>823</f>
        <v>823</v>
      </c>
      <c r="Y823" s="1">
        <f>IF(AND(U823="INCLUDED",W823=1),--(NOT(EXACT(A823,'AI output'!A823)))+--(NOT(EXACT(B823,'AI output'!B823)))+--(NOT(EXACT(TEXT(G823,"yyyy-mm-dd"),'AI output'!C823)))+--(NOT(EXACT(H823,'AI output'!D823)))+--(NOT(EXACT(J823,'AI output'!E823)))+--(NOT(EXACT(K823,'AI output'!F823)))+--(N823&lt;&gt;'AI output'!L823)+--(NOT('AI output'!M823)),0)</f>
        <v>0</v>
      </c>
      <c r="Z823" s="1">
        <f t="shared" si="103"/>
        <v>0</v>
      </c>
      <c r="AA823" s="1">
        <f>--EXACT(A823,"L00817")</f>
        <v>1</v>
      </c>
    </row>
    <row r="824" spans="1:27" ht="18.95" customHeight="1">
      <c r="A824" s="1" t="str">
        <f>IF(Raw!A824="","",Raw!A824)</f>
        <v>L00818</v>
      </c>
      <c r="B824" s="1" t="str">
        <f>IF(Raw!B824="","",Raw!B824)</f>
        <v>T00409</v>
      </c>
      <c r="C824" s="1" t="str">
        <f>IF(Raw!C824="","",Raw!C824)</f>
        <v>2026-03-08</v>
      </c>
      <c r="D824" s="1">
        <f t="shared" si="96"/>
        <v>2026</v>
      </c>
      <c r="E824" s="1">
        <f>IFERROR(IF(AND(LEN(C824)=10,MID(C824,5,1)="-",MID(C824,8,1)="-"),VALUE(MID(C824,6,2)),IF(AND(LEN(C824)=11,MID(C824,3,1)="-",MID(C824,7,1)="-"),MATCH(UPPER(MID(C824,4,3)),Guide!$D$7:$D$18,0),0)),0)</f>
        <v>3</v>
      </c>
      <c r="F824" s="1">
        <f t="shared" si="97"/>
        <v>8</v>
      </c>
      <c r="G824" s="9">
        <f t="shared" si="98"/>
        <v>46089</v>
      </c>
      <c r="H824" s="1" t="str">
        <f>IF(Raw!D824="","",Raw!D824)</f>
        <v>P-H</v>
      </c>
      <c r="I824" s="1" t="str">
        <f>IFERROR(IF(EXACT(H824,INDEX(Guide!$A$7:$A$9,MATCH(SUBSTITUTE(SUBSTITUTE(SUBSTITUTE(H824,"~","~~"),"*","~*"),"?","~?"),Guide!$A$7:$A$9,0))),INDEX(Guide!$B$7:$B$9,MATCH(SUBSTITUTE(SUBSTITUTE(SUBSTITUTE(H824,"~","~~"),"*","~*"),"?","~?"),Guide!$A$7:$A$9,0)),""),"")</f>
        <v>Home</v>
      </c>
      <c r="J824" s="1" t="str">
        <f>IF(TRIM(Raw!E824)="",I824,IF(UPPER(TRIM(Raw!E824))=UPPER(I824),I824,""))</f>
        <v>Home</v>
      </c>
      <c r="K824" s="1" t="str">
        <f>IF(Raw!F824="","",Raw!F824)</f>
        <v>sale</v>
      </c>
      <c r="L824" s="1" t="str">
        <f>IF(LEFT(TRIM(Raw!G824),2)="-$","-"&amp;MID(TRIM(Raw!G824),3,99),IF(LEFT(TRIM(Raw!G824),1)="$",MID(TRIM(Raw!G824),2,99),TRIM(Raw!G824)))</f>
        <v>336.40</v>
      </c>
      <c r="M824" s="1">
        <f t="shared" si="99"/>
        <v>336.4</v>
      </c>
      <c r="N824" s="10">
        <f t="shared" si="100"/>
        <v>33640</v>
      </c>
      <c r="O824" s="1" t="b">
        <f>IFERROR(IF(ISNUMBER(Raw!G824),TRUE,OR(EXACT(L824,TEXT(M824,"0.00")),EXACT(L824,TEXT(M824,"#,##0.00")))),FALSE)</f>
        <v>1</v>
      </c>
      <c r="P824" s="1" t="str">
        <f>LEN(IF(Raw!A824="","",Raw!A824))&amp;":"&amp;IF(Raw!A824="","",Raw!A824)&amp;"|"&amp;LEN(IF(Raw!B824="","",Raw!B824))&amp;":"&amp;IF(Raw!B824="","",Raw!B824)&amp;"|"&amp;LEN(IF(Raw!C824="","",Raw!C824))&amp;":"&amp;IF(Raw!C824="","",Raw!C824)&amp;"|"&amp;LEN(IF(Raw!D824="","",Raw!D824))&amp;":"&amp;IF(Raw!D824="","",Raw!D824)&amp;"|"&amp;LEN(IF(Raw!E824="","",Raw!E824))&amp;":"&amp;IF(Raw!E824="","",Raw!E824)&amp;"|"&amp;LEN(IF(Raw!F824="","",Raw!F824))&amp;":"&amp;IF(Raw!F824="","",Raw!F824)&amp;"|"&amp;LEN(IF(Raw!G824="","",Raw!G824))&amp;":"&amp;IF(Raw!G824="","",Raw!G824)</f>
        <v>6:L00818|6:T00409|10:2026-03-08|3:P-H|4:Home|4:sale|6:336.40</v>
      </c>
      <c r="Q824" s="1">
        <f>1</f>
        <v>1</v>
      </c>
      <c r="R824" s="1" t="b">
        <f>FALSE</f>
        <v>0</v>
      </c>
      <c r="S824" s="1">
        <f>1</f>
        <v>1</v>
      </c>
      <c r="T824" s="1" t="str">
        <f>IF(AND(Raw!A824="",Raw!B824="",Raw!C824="",Raw!D824="",Raw!E824="",Raw!F824="",Raw!G824=""),"UNUSED",IF(A824="","missing line ID",IF(B824="","missing transaction ID",IF(G824="",IF(C824="","missing date","invalid date"),IF(I824="","unknown product",IF(J824="","conflicting category",IF(NOT(OR(EXACT(K824,"sale"),EXACT(K824,"refund"))),"unknown event",IF(OR(N824="",NOT(O824)),"invalid amount",IF(OR(AND(K824="sale",N824&lt;=0),AND(K824="refund",N824&gt;=0)),"invalid sign","")))))))))</f>
        <v/>
      </c>
      <c r="U824" s="1" t="str">
        <f t="shared" si="101"/>
        <v>INCLUDED</v>
      </c>
      <c r="V824" s="1" t="str">
        <f t="shared" si="102"/>
        <v>2026-03</v>
      </c>
      <c r="W824" s="1">
        <f>IF(AND(U824="INCLUDED",X824&gt;0,EXACT(A824,'AI output'!A824)),1,0)</f>
        <v>1</v>
      </c>
      <c r="X824" s="1">
        <f>824</f>
        <v>824</v>
      </c>
      <c r="Y824" s="1">
        <f>IF(AND(U824="INCLUDED",W824=1),--(NOT(EXACT(A824,'AI output'!A824)))+--(NOT(EXACT(B824,'AI output'!B824)))+--(NOT(EXACT(TEXT(G824,"yyyy-mm-dd"),'AI output'!C824)))+--(NOT(EXACT(H824,'AI output'!D824)))+--(NOT(EXACT(J824,'AI output'!E824)))+--(NOT(EXACT(K824,'AI output'!F824)))+--(N824&lt;&gt;'AI output'!L824)+--(NOT('AI output'!M824)),0)</f>
        <v>0</v>
      </c>
      <c r="Z824" s="1">
        <f t="shared" si="103"/>
        <v>0</v>
      </c>
      <c r="AA824" s="1">
        <f>--EXACT(A824,"L00818")</f>
        <v>1</v>
      </c>
    </row>
    <row r="825" spans="1:27" ht="18.95" customHeight="1">
      <c r="A825" s="1" t="str">
        <f>IF(Raw!A825="","",Raw!A825)</f>
        <v>L00819</v>
      </c>
      <c r="B825" s="1" t="str">
        <f>IF(Raw!B825="","",Raw!B825)</f>
        <v>T00410</v>
      </c>
      <c r="C825" s="1" t="str">
        <f>IF(Raw!C825="","",Raw!C825)</f>
        <v>2026-03-15</v>
      </c>
      <c r="D825" s="1">
        <f t="shared" si="96"/>
        <v>2026</v>
      </c>
      <c r="E825" s="1">
        <f>IFERROR(IF(AND(LEN(C825)=10,MID(C825,5,1)="-",MID(C825,8,1)="-"),VALUE(MID(C825,6,2)),IF(AND(LEN(C825)=11,MID(C825,3,1)="-",MID(C825,7,1)="-"),MATCH(UPPER(MID(C825,4,3)),Guide!$D$7:$D$18,0),0)),0)</f>
        <v>3</v>
      </c>
      <c r="F825" s="1">
        <f t="shared" si="97"/>
        <v>15</v>
      </c>
      <c r="G825" s="9">
        <f t="shared" si="98"/>
        <v>46096</v>
      </c>
      <c r="H825" s="1" t="str">
        <f>IF(Raw!D825="","",Raw!D825)</f>
        <v>P-O</v>
      </c>
      <c r="I825" s="1" t="str">
        <f>IFERROR(IF(EXACT(H825,INDEX(Guide!$A$7:$A$9,MATCH(SUBSTITUTE(SUBSTITUTE(SUBSTITUTE(H825,"~","~~"),"*","~*"),"?","~?"),Guide!$A$7:$A$9,0))),INDEX(Guide!$B$7:$B$9,MATCH(SUBSTITUTE(SUBSTITUTE(SUBSTITUTE(H825,"~","~~"),"*","~*"),"?","~?"),Guide!$A$7:$A$9,0)),""),"")</f>
        <v>Office</v>
      </c>
      <c r="J825" s="1" t="str">
        <f>IF(TRIM(Raw!E825)="",I825,IF(UPPER(TRIM(Raw!E825))=UPPER(I825),I825,""))</f>
        <v>Office</v>
      </c>
      <c r="K825" s="1" t="str">
        <f>IF(Raw!F825="","",Raw!F825)</f>
        <v>sale</v>
      </c>
      <c r="L825" s="1" t="str">
        <f>IF(LEFT(TRIM(Raw!G825),2)="-$","-"&amp;MID(TRIM(Raw!G825),3,99),IF(LEFT(TRIM(Raw!G825),1)="$",MID(TRIM(Raw!G825),2,99),TRIM(Raw!G825)))</f>
        <v>135.30</v>
      </c>
      <c r="M825" s="1">
        <f t="shared" si="99"/>
        <v>135.30000000000001</v>
      </c>
      <c r="N825" s="10">
        <f t="shared" si="100"/>
        <v>13530</v>
      </c>
      <c r="O825" s="1" t="b">
        <f>IFERROR(IF(ISNUMBER(Raw!G825),TRUE,OR(EXACT(L825,TEXT(M825,"0.00")),EXACT(L825,TEXT(M825,"#,##0.00")))),FALSE)</f>
        <v>1</v>
      </c>
      <c r="P825" s="1" t="str">
        <f>LEN(IF(Raw!A825="","",Raw!A825))&amp;":"&amp;IF(Raw!A825="","",Raw!A825)&amp;"|"&amp;LEN(IF(Raw!B825="","",Raw!B825))&amp;":"&amp;IF(Raw!B825="","",Raw!B825)&amp;"|"&amp;LEN(IF(Raw!C825="","",Raw!C825))&amp;":"&amp;IF(Raw!C825="","",Raw!C825)&amp;"|"&amp;LEN(IF(Raw!D825="","",Raw!D825))&amp;":"&amp;IF(Raw!D825="","",Raw!D825)&amp;"|"&amp;LEN(IF(Raw!E825="","",Raw!E825))&amp;":"&amp;IF(Raw!E825="","",Raw!E825)&amp;"|"&amp;LEN(IF(Raw!F825="","",Raw!F825))&amp;":"&amp;IF(Raw!F825="","",Raw!F825)&amp;"|"&amp;LEN(IF(Raw!G825="","",Raw!G825))&amp;":"&amp;IF(Raw!G825="","",Raw!G825)</f>
        <v>6:L00819|6:T00410|10:2026-03-15|3:P-O|6:Office|4:sale|6:135.30</v>
      </c>
      <c r="Q825" s="1">
        <f>1</f>
        <v>1</v>
      </c>
      <c r="R825" s="1" t="b">
        <f>FALSE</f>
        <v>0</v>
      </c>
      <c r="S825" s="1">
        <f>1</f>
        <v>1</v>
      </c>
      <c r="T825" s="1" t="str">
        <f>IF(AND(Raw!A825="",Raw!B825="",Raw!C825="",Raw!D825="",Raw!E825="",Raw!F825="",Raw!G825=""),"UNUSED",IF(A825="","missing line ID",IF(B825="","missing transaction ID",IF(G825="",IF(C825="","missing date","invalid date"),IF(I825="","unknown product",IF(J825="","conflicting category",IF(NOT(OR(EXACT(K825,"sale"),EXACT(K825,"refund"))),"unknown event",IF(OR(N825="",NOT(O825)),"invalid amount",IF(OR(AND(K825="sale",N825&lt;=0),AND(K825="refund",N825&gt;=0)),"invalid sign","")))))))))</f>
        <v/>
      </c>
      <c r="U825" s="1" t="str">
        <f t="shared" si="101"/>
        <v>INCLUDED</v>
      </c>
      <c r="V825" s="1" t="str">
        <f t="shared" si="102"/>
        <v>2026-03</v>
      </c>
      <c r="W825" s="1">
        <f>IF(AND(U825="INCLUDED",X825&gt;0,EXACT(A825,'AI output'!A825)),1,0)</f>
        <v>1</v>
      </c>
      <c r="X825" s="1">
        <f>825</f>
        <v>825</v>
      </c>
      <c r="Y825" s="1">
        <f>IF(AND(U825="INCLUDED",W825=1),--(NOT(EXACT(A825,'AI output'!A825)))+--(NOT(EXACT(B825,'AI output'!B825)))+--(NOT(EXACT(TEXT(G825,"yyyy-mm-dd"),'AI output'!C825)))+--(NOT(EXACT(H825,'AI output'!D825)))+--(NOT(EXACT(J825,'AI output'!E825)))+--(NOT(EXACT(K825,'AI output'!F825)))+--(N825&lt;&gt;'AI output'!L825)+--(NOT('AI output'!M825)),0)</f>
        <v>0</v>
      </c>
      <c r="Z825" s="1">
        <f t="shared" si="103"/>
        <v>0</v>
      </c>
      <c r="AA825" s="1">
        <f>--EXACT(A825,"L00819")</f>
        <v>1</v>
      </c>
    </row>
    <row r="826" spans="1:27" ht="18.95" customHeight="1">
      <c r="A826" s="1" t="str">
        <f>IF(Raw!A826="","",Raw!A826)</f>
        <v>L00820</v>
      </c>
      <c r="B826" s="1" t="str">
        <f>IF(Raw!B826="","",Raw!B826)</f>
        <v>T00410</v>
      </c>
      <c r="C826" s="1" t="str">
        <f>IF(Raw!C826="","",Raw!C826)</f>
        <v>2026-03-15</v>
      </c>
      <c r="D826" s="1">
        <f t="shared" si="96"/>
        <v>2026</v>
      </c>
      <c r="E826" s="1">
        <f>IFERROR(IF(AND(LEN(C826)=10,MID(C826,5,1)="-",MID(C826,8,1)="-"),VALUE(MID(C826,6,2)),IF(AND(LEN(C826)=11,MID(C826,3,1)="-",MID(C826,7,1)="-"),MATCH(UPPER(MID(C826,4,3)),Guide!$D$7:$D$18,0),0)),0)</f>
        <v>3</v>
      </c>
      <c r="F826" s="1">
        <f t="shared" si="97"/>
        <v>15</v>
      </c>
      <c r="G826" s="9">
        <f t="shared" si="98"/>
        <v>46096</v>
      </c>
      <c r="H826" s="1" t="str">
        <f>IF(Raw!D826="","",Raw!D826)</f>
        <v>P-A</v>
      </c>
      <c r="I826" s="1" t="str">
        <f>IFERROR(IF(EXACT(H826,INDEX(Guide!$A$7:$A$9,MATCH(SUBSTITUTE(SUBSTITUTE(SUBSTITUTE(H826,"~","~~"),"*","~*"),"?","~?"),Guide!$A$7:$A$9,0))),INDEX(Guide!$B$7:$B$9,MATCH(SUBSTITUTE(SUBSTITUTE(SUBSTITUTE(H826,"~","~~"),"*","~*"),"?","~?"),Guide!$A$7:$A$9,0)),""),"")</f>
        <v>Accessories</v>
      </c>
      <c r="J826" s="1" t="str">
        <f>IF(TRIM(Raw!E826)="",I826,IF(UPPER(TRIM(Raw!E826))=UPPER(I826),I826,""))</f>
        <v>Accessories</v>
      </c>
      <c r="K826" s="1" t="str">
        <f>IF(Raw!F826="","",Raw!F826)</f>
        <v>sale</v>
      </c>
      <c r="L826" s="1" t="str">
        <f>IF(LEFT(TRIM(Raw!G826),2)="-$","-"&amp;MID(TRIM(Raw!G826),3,99),IF(LEFT(TRIM(Raw!G826),1)="$",MID(TRIM(Raw!G826),2,99),TRIM(Raw!G826)))</f>
        <v>272.08</v>
      </c>
      <c r="M826" s="1">
        <f t="shared" si="99"/>
        <v>272.08</v>
      </c>
      <c r="N826" s="10">
        <f t="shared" si="100"/>
        <v>27208</v>
      </c>
      <c r="O826" s="1" t="b">
        <f>IFERROR(IF(ISNUMBER(Raw!G826),TRUE,OR(EXACT(L826,TEXT(M826,"0.00")),EXACT(L826,TEXT(M826,"#,##0.00")))),FALSE)</f>
        <v>1</v>
      </c>
      <c r="P826" s="1" t="str">
        <f>LEN(IF(Raw!A826="","",Raw!A826))&amp;":"&amp;IF(Raw!A826="","",Raw!A826)&amp;"|"&amp;LEN(IF(Raw!B826="","",Raw!B826))&amp;":"&amp;IF(Raw!B826="","",Raw!B826)&amp;"|"&amp;LEN(IF(Raw!C826="","",Raw!C826))&amp;":"&amp;IF(Raw!C826="","",Raw!C826)&amp;"|"&amp;LEN(IF(Raw!D826="","",Raw!D826))&amp;":"&amp;IF(Raw!D826="","",Raw!D826)&amp;"|"&amp;LEN(IF(Raw!E826="","",Raw!E826))&amp;":"&amp;IF(Raw!E826="","",Raw!E826)&amp;"|"&amp;LEN(IF(Raw!F826="","",Raw!F826))&amp;":"&amp;IF(Raw!F826="","",Raw!F826)&amp;"|"&amp;LEN(IF(Raw!G826="","",Raw!G826))&amp;":"&amp;IF(Raw!G826="","",Raw!G826)</f>
        <v>6:L00820|6:T00410|10:2026-03-15|3:P-A|11:Accessories|4:sale|6:272.08</v>
      </c>
      <c r="Q826" s="1">
        <f>1</f>
        <v>1</v>
      </c>
      <c r="R826" s="1" t="b">
        <f>FALSE</f>
        <v>0</v>
      </c>
      <c r="S826" s="1">
        <f>1</f>
        <v>1</v>
      </c>
      <c r="T826" s="1" t="str">
        <f>IF(AND(Raw!A826="",Raw!B826="",Raw!C826="",Raw!D826="",Raw!E826="",Raw!F826="",Raw!G826=""),"UNUSED",IF(A826="","missing line ID",IF(B826="","missing transaction ID",IF(G826="",IF(C826="","missing date","invalid date"),IF(I826="","unknown product",IF(J826="","conflicting category",IF(NOT(OR(EXACT(K826,"sale"),EXACT(K826,"refund"))),"unknown event",IF(OR(N826="",NOT(O826)),"invalid amount",IF(OR(AND(K826="sale",N826&lt;=0),AND(K826="refund",N826&gt;=0)),"invalid sign","")))))))))</f>
        <v/>
      </c>
      <c r="U826" s="1" t="str">
        <f t="shared" si="101"/>
        <v>INCLUDED</v>
      </c>
      <c r="V826" s="1" t="str">
        <f t="shared" si="102"/>
        <v>2026-03</v>
      </c>
      <c r="W826" s="1">
        <f>IF(AND(U826="INCLUDED",X826&gt;0,EXACT(A826,'AI output'!A826)),1,0)</f>
        <v>1</v>
      </c>
      <c r="X826" s="1">
        <f>826</f>
        <v>826</v>
      </c>
      <c r="Y826" s="1">
        <f>IF(AND(U826="INCLUDED",W826=1),--(NOT(EXACT(A826,'AI output'!A826)))+--(NOT(EXACT(B826,'AI output'!B826)))+--(NOT(EXACT(TEXT(G826,"yyyy-mm-dd"),'AI output'!C826)))+--(NOT(EXACT(H826,'AI output'!D826)))+--(NOT(EXACT(J826,'AI output'!E826)))+--(NOT(EXACT(K826,'AI output'!F826)))+--(N826&lt;&gt;'AI output'!L826)+--(NOT('AI output'!M826)),0)</f>
        <v>0</v>
      </c>
      <c r="Z826" s="1">
        <f t="shared" si="103"/>
        <v>0</v>
      </c>
      <c r="AA826" s="1">
        <f>--EXACT(A826,"L00820")</f>
        <v>1</v>
      </c>
    </row>
    <row r="827" spans="1:27" ht="18.95" customHeight="1">
      <c r="A827" s="1" t="str">
        <f>IF(Raw!A827="","",Raw!A827)</f>
        <v>L00821</v>
      </c>
      <c r="B827" s="1" t="str">
        <f>IF(Raw!B827="","",Raw!B827)</f>
        <v>T00411</v>
      </c>
      <c r="C827" s="1" t="str">
        <f>IF(Raw!C827="","",Raw!C827)</f>
        <v>2026-03-22</v>
      </c>
      <c r="D827" s="1">
        <f t="shared" si="96"/>
        <v>2026</v>
      </c>
      <c r="E827" s="1">
        <f>IFERROR(IF(AND(LEN(C827)=10,MID(C827,5,1)="-",MID(C827,8,1)="-"),VALUE(MID(C827,6,2)),IF(AND(LEN(C827)=11,MID(C827,3,1)="-",MID(C827,7,1)="-"),MATCH(UPPER(MID(C827,4,3)),Guide!$D$7:$D$18,0),0)),0)</f>
        <v>3</v>
      </c>
      <c r="F827" s="1">
        <f t="shared" si="97"/>
        <v>22</v>
      </c>
      <c r="G827" s="9">
        <f t="shared" si="98"/>
        <v>46103</v>
      </c>
      <c r="H827" s="1" t="str">
        <f>IF(Raw!D827="","",Raw!D827)</f>
        <v>P-H</v>
      </c>
      <c r="I827" s="1" t="str">
        <f>IFERROR(IF(EXACT(H827,INDEX(Guide!$A$7:$A$9,MATCH(SUBSTITUTE(SUBSTITUTE(SUBSTITUTE(H827,"~","~~"),"*","~*"),"?","~?"),Guide!$A$7:$A$9,0))),INDEX(Guide!$B$7:$B$9,MATCH(SUBSTITUTE(SUBSTITUTE(SUBSTITUTE(H827,"~","~~"),"*","~*"),"?","~?"),Guide!$A$7:$A$9,0)),""),"")</f>
        <v>Home</v>
      </c>
      <c r="J827" s="1" t="str">
        <f>IF(TRIM(Raw!E827)="",I827,IF(UPPER(TRIM(Raw!E827))=UPPER(I827),I827,""))</f>
        <v>Home</v>
      </c>
      <c r="K827" s="1" t="str">
        <f>IF(Raw!F827="","",Raw!F827)</f>
        <v>sale</v>
      </c>
      <c r="L827" s="1" t="str">
        <f>IF(LEFT(TRIM(Raw!G827),2)="-$","-"&amp;MID(TRIM(Raw!G827),3,99),IF(LEFT(TRIM(Raw!G827),1)="$",MID(TRIM(Raw!G827),2,99),TRIM(Raw!G827)))</f>
        <v>68.39</v>
      </c>
      <c r="M827" s="1">
        <f t="shared" si="99"/>
        <v>68.39</v>
      </c>
      <c r="N827" s="10">
        <f t="shared" si="100"/>
        <v>6839</v>
      </c>
      <c r="O827" s="1" t="b">
        <f>IFERROR(IF(ISNUMBER(Raw!G827),TRUE,OR(EXACT(L827,TEXT(M827,"0.00")),EXACT(L827,TEXT(M827,"#,##0.00")))),FALSE)</f>
        <v>1</v>
      </c>
      <c r="P827" s="1" t="str">
        <f>LEN(IF(Raw!A827="","",Raw!A827))&amp;":"&amp;IF(Raw!A827="","",Raw!A827)&amp;"|"&amp;LEN(IF(Raw!B827="","",Raw!B827))&amp;":"&amp;IF(Raw!B827="","",Raw!B827)&amp;"|"&amp;LEN(IF(Raw!C827="","",Raw!C827))&amp;":"&amp;IF(Raw!C827="","",Raw!C827)&amp;"|"&amp;LEN(IF(Raw!D827="","",Raw!D827))&amp;":"&amp;IF(Raw!D827="","",Raw!D827)&amp;"|"&amp;LEN(IF(Raw!E827="","",Raw!E827))&amp;":"&amp;IF(Raw!E827="","",Raw!E827)&amp;"|"&amp;LEN(IF(Raw!F827="","",Raw!F827))&amp;":"&amp;IF(Raw!F827="","",Raw!F827)&amp;"|"&amp;LEN(IF(Raw!G827="","",Raw!G827))&amp;":"&amp;IF(Raw!G827="","",Raw!G827)</f>
        <v>6:L00821|6:T00411|10:2026-03-22|3:P-H|4:Home|4:sale|5:68.39</v>
      </c>
      <c r="Q827" s="1">
        <f>1</f>
        <v>1</v>
      </c>
      <c r="R827" s="1" t="b">
        <f>FALSE</f>
        <v>0</v>
      </c>
      <c r="S827" s="1">
        <f>1</f>
        <v>1</v>
      </c>
      <c r="T827" s="1" t="str">
        <f>IF(AND(Raw!A827="",Raw!B827="",Raw!C827="",Raw!D827="",Raw!E827="",Raw!F827="",Raw!G827=""),"UNUSED",IF(A827="","missing line ID",IF(B827="","missing transaction ID",IF(G827="",IF(C827="","missing date","invalid date"),IF(I827="","unknown product",IF(J827="","conflicting category",IF(NOT(OR(EXACT(K827,"sale"),EXACT(K827,"refund"))),"unknown event",IF(OR(N827="",NOT(O827)),"invalid amount",IF(OR(AND(K827="sale",N827&lt;=0),AND(K827="refund",N827&gt;=0)),"invalid sign","")))))))))</f>
        <v/>
      </c>
      <c r="U827" s="1" t="str">
        <f t="shared" si="101"/>
        <v>INCLUDED</v>
      </c>
      <c r="V827" s="1" t="str">
        <f t="shared" si="102"/>
        <v>2026-03</v>
      </c>
      <c r="W827" s="1">
        <f>IF(AND(U827="INCLUDED",X827&gt;0,EXACT(A827,'AI output'!A827)),1,0)</f>
        <v>1</v>
      </c>
      <c r="X827" s="1">
        <f>827</f>
        <v>827</v>
      </c>
      <c r="Y827" s="1">
        <f>IF(AND(U827="INCLUDED",W827=1),--(NOT(EXACT(A827,'AI output'!A827)))+--(NOT(EXACT(B827,'AI output'!B827)))+--(NOT(EXACT(TEXT(G827,"yyyy-mm-dd"),'AI output'!C827)))+--(NOT(EXACT(H827,'AI output'!D827)))+--(NOT(EXACT(J827,'AI output'!E827)))+--(NOT(EXACT(K827,'AI output'!F827)))+--(N827&lt;&gt;'AI output'!L827)+--(NOT('AI output'!M827)),0)</f>
        <v>0</v>
      </c>
      <c r="Z827" s="1">
        <f t="shared" si="103"/>
        <v>0</v>
      </c>
      <c r="AA827" s="1">
        <f>--EXACT(A827,"L00821")</f>
        <v>1</v>
      </c>
    </row>
    <row r="828" spans="1:27" ht="18.95" customHeight="1">
      <c r="A828" s="1" t="str">
        <f>IF(Raw!A828="","",Raw!A828)</f>
        <v>L00822</v>
      </c>
      <c r="B828" s="1" t="str">
        <f>IF(Raw!B828="","",Raw!B828)</f>
        <v>T00411</v>
      </c>
      <c r="C828" s="1" t="str">
        <f>IF(Raw!C828="","",Raw!C828)</f>
        <v>2026-03-22</v>
      </c>
      <c r="D828" s="1">
        <f t="shared" si="96"/>
        <v>2026</v>
      </c>
      <c r="E828" s="1">
        <f>IFERROR(IF(AND(LEN(C828)=10,MID(C828,5,1)="-",MID(C828,8,1)="-"),VALUE(MID(C828,6,2)),IF(AND(LEN(C828)=11,MID(C828,3,1)="-",MID(C828,7,1)="-"),MATCH(UPPER(MID(C828,4,3)),Guide!$D$7:$D$18,0),0)),0)</f>
        <v>3</v>
      </c>
      <c r="F828" s="1">
        <f t="shared" si="97"/>
        <v>22</v>
      </c>
      <c r="G828" s="9">
        <f t="shared" si="98"/>
        <v>46103</v>
      </c>
      <c r="H828" s="1" t="str">
        <f>IF(Raw!D828="","",Raw!D828)</f>
        <v>P-O</v>
      </c>
      <c r="I828" s="1" t="str">
        <f>IFERROR(IF(EXACT(H828,INDEX(Guide!$A$7:$A$9,MATCH(SUBSTITUTE(SUBSTITUTE(SUBSTITUTE(H828,"~","~~"),"*","~*"),"?","~?"),Guide!$A$7:$A$9,0))),INDEX(Guide!$B$7:$B$9,MATCH(SUBSTITUTE(SUBSTITUTE(SUBSTITUTE(H828,"~","~~"),"*","~*"),"?","~?"),Guide!$A$7:$A$9,0)),""),"")</f>
        <v>Office</v>
      </c>
      <c r="J828" s="1" t="str">
        <f>IF(TRIM(Raw!E828)="",I828,IF(UPPER(TRIM(Raw!E828))=UPPER(I828),I828,""))</f>
        <v>Office</v>
      </c>
      <c r="K828" s="1" t="str">
        <f>IF(Raw!F828="","",Raw!F828)</f>
        <v>sale</v>
      </c>
      <c r="L828" s="1" t="str">
        <f>IF(LEFT(TRIM(Raw!G828),2)="-$","-"&amp;MID(TRIM(Raw!G828),3,99),IF(LEFT(TRIM(Raw!G828),1)="$",MID(TRIM(Raw!G828),2,99),TRIM(Raw!G828)))</f>
        <v>206.28</v>
      </c>
      <c r="M828" s="1">
        <f t="shared" si="99"/>
        <v>206.28</v>
      </c>
      <c r="N828" s="10">
        <f t="shared" si="100"/>
        <v>20628</v>
      </c>
      <c r="O828" s="1" t="b">
        <f>IFERROR(IF(ISNUMBER(Raw!G828),TRUE,OR(EXACT(L828,TEXT(M828,"0.00")),EXACT(L828,TEXT(M828,"#,##0.00")))),FALSE)</f>
        <v>1</v>
      </c>
      <c r="P828" s="1" t="str">
        <f>LEN(IF(Raw!A828="","",Raw!A828))&amp;":"&amp;IF(Raw!A828="","",Raw!A828)&amp;"|"&amp;LEN(IF(Raw!B828="","",Raw!B828))&amp;":"&amp;IF(Raw!B828="","",Raw!B828)&amp;"|"&amp;LEN(IF(Raw!C828="","",Raw!C828))&amp;":"&amp;IF(Raw!C828="","",Raw!C828)&amp;"|"&amp;LEN(IF(Raw!D828="","",Raw!D828))&amp;":"&amp;IF(Raw!D828="","",Raw!D828)&amp;"|"&amp;LEN(IF(Raw!E828="","",Raw!E828))&amp;":"&amp;IF(Raw!E828="","",Raw!E828)&amp;"|"&amp;LEN(IF(Raw!F828="","",Raw!F828))&amp;":"&amp;IF(Raw!F828="","",Raw!F828)&amp;"|"&amp;LEN(IF(Raw!G828="","",Raw!G828))&amp;":"&amp;IF(Raw!G828="","",Raw!G828)</f>
        <v>6:L00822|6:T00411|10:2026-03-22|3:P-O|6:Office|4:sale|6:206.28</v>
      </c>
      <c r="Q828" s="1">
        <f>1</f>
        <v>1</v>
      </c>
      <c r="R828" s="1" t="b">
        <f>FALSE</f>
        <v>0</v>
      </c>
      <c r="S828" s="1">
        <f>1</f>
        <v>1</v>
      </c>
      <c r="T828" s="1" t="str">
        <f>IF(AND(Raw!A828="",Raw!B828="",Raw!C828="",Raw!D828="",Raw!E828="",Raw!F828="",Raw!G828=""),"UNUSED",IF(A828="","missing line ID",IF(B828="","missing transaction ID",IF(G828="",IF(C828="","missing date","invalid date"),IF(I828="","unknown product",IF(J828="","conflicting category",IF(NOT(OR(EXACT(K828,"sale"),EXACT(K828,"refund"))),"unknown event",IF(OR(N828="",NOT(O828)),"invalid amount",IF(OR(AND(K828="sale",N828&lt;=0),AND(K828="refund",N828&gt;=0)),"invalid sign","")))))))))</f>
        <v/>
      </c>
      <c r="U828" s="1" t="str">
        <f t="shared" si="101"/>
        <v>INCLUDED</v>
      </c>
      <c r="V828" s="1" t="str">
        <f t="shared" si="102"/>
        <v>2026-03</v>
      </c>
      <c r="W828" s="1">
        <f>IF(AND(U828="INCLUDED",X828&gt;0,EXACT(A828,'AI output'!A828)),1,0)</f>
        <v>1</v>
      </c>
      <c r="X828" s="1">
        <f>828</f>
        <v>828</v>
      </c>
      <c r="Y828" s="1">
        <f>IF(AND(U828="INCLUDED",W828=1),--(NOT(EXACT(A828,'AI output'!A828)))+--(NOT(EXACT(B828,'AI output'!B828)))+--(NOT(EXACT(TEXT(G828,"yyyy-mm-dd"),'AI output'!C828)))+--(NOT(EXACT(H828,'AI output'!D828)))+--(NOT(EXACT(J828,'AI output'!E828)))+--(NOT(EXACT(K828,'AI output'!F828)))+--(N828&lt;&gt;'AI output'!L828)+--(NOT('AI output'!M828)),0)</f>
        <v>0</v>
      </c>
      <c r="Z828" s="1">
        <f t="shared" si="103"/>
        <v>0</v>
      </c>
      <c r="AA828" s="1">
        <f>--EXACT(A828,"L00822")</f>
        <v>1</v>
      </c>
    </row>
    <row r="829" spans="1:27" ht="18.95" customHeight="1">
      <c r="A829" s="1" t="str">
        <f>IF(Raw!A829="","",Raw!A829)</f>
        <v>L00823</v>
      </c>
      <c r="B829" s="1" t="str">
        <f>IF(Raw!B829="","",Raw!B829)</f>
        <v>T00412</v>
      </c>
      <c r="C829" s="1" t="str">
        <f>IF(Raw!C829="","",Raw!C829)</f>
        <v>2026-03-29</v>
      </c>
      <c r="D829" s="1">
        <f t="shared" si="96"/>
        <v>2026</v>
      </c>
      <c r="E829" s="1">
        <f>IFERROR(IF(AND(LEN(C829)=10,MID(C829,5,1)="-",MID(C829,8,1)="-"),VALUE(MID(C829,6,2)),IF(AND(LEN(C829)=11,MID(C829,3,1)="-",MID(C829,7,1)="-"),MATCH(UPPER(MID(C829,4,3)),Guide!$D$7:$D$18,0),0)),0)</f>
        <v>3</v>
      </c>
      <c r="F829" s="1">
        <f t="shared" si="97"/>
        <v>29</v>
      </c>
      <c r="G829" s="9">
        <f t="shared" si="98"/>
        <v>46110</v>
      </c>
      <c r="H829" s="1" t="str">
        <f>IF(Raw!D829="","",Raw!D829)</f>
        <v>P-A</v>
      </c>
      <c r="I829" s="1" t="str">
        <f>IFERROR(IF(EXACT(H829,INDEX(Guide!$A$7:$A$9,MATCH(SUBSTITUTE(SUBSTITUTE(SUBSTITUTE(H829,"~","~~"),"*","~*"),"?","~?"),Guide!$A$7:$A$9,0))),INDEX(Guide!$B$7:$B$9,MATCH(SUBSTITUTE(SUBSTITUTE(SUBSTITUTE(H829,"~","~~"),"*","~*"),"?","~?"),Guide!$A$7:$A$9,0)),""),"")</f>
        <v>Accessories</v>
      </c>
      <c r="J829" s="1" t="str">
        <f>IF(TRIM(Raw!E829)="",I829,IF(UPPER(TRIM(Raw!E829))=UPPER(I829),I829,""))</f>
        <v>Accessories</v>
      </c>
      <c r="K829" s="1" t="str">
        <f>IF(Raw!F829="","",Raw!F829)</f>
        <v>sale</v>
      </c>
      <c r="L829" s="1" t="str">
        <f>IF(LEFT(TRIM(Raw!G829),2)="-$","-"&amp;MID(TRIM(Raw!G829),3,99),IF(LEFT(TRIM(Raw!G829),1)="$",MID(TRIM(Raw!G829),2,99),TRIM(Raw!G829)))</f>
        <v>345.65</v>
      </c>
      <c r="M829" s="1">
        <f t="shared" si="99"/>
        <v>345.65</v>
      </c>
      <c r="N829" s="10">
        <f t="shared" si="100"/>
        <v>34565</v>
      </c>
      <c r="O829" s="1" t="b">
        <f>IFERROR(IF(ISNUMBER(Raw!G829),TRUE,OR(EXACT(L829,TEXT(M829,"0.00")),EXACT(L829,TEXT(M829,"#,##0.00")))),FALSE)</f>
        <v>1</v>
      </c>
      <c r="P829" s="1" t="str">
        <f>LEN(IF(Raw!A829="","",Raw!A829))&amp;":"&amp;IF(Raw!A829="","",Raw!A829)&amp;"|"&amp;LEN(IF(Raw!B829="","",Raw!B829))&amp;":"&amp;IF(Raw!B829="","",Raw!B829)&amp;"|"&amp;LEN(IF(Raw!C829="","",Raw!C829))&amp;":"&amp;IF(Raw!C829="","",Raw!C829)&amp;"|"&amp;LEN(IF(Raw!D829="","",Raw!D829))&amp;":"&amp;IF(Raw!D829="","",Raw!D829)&amp;"|"&amp;LEN(IF(Raw!E829="","",Raw!E829))&amp;":"&amp;IF(Raw!E829="","",Raw!E829)&amp;"|"&amp;LEN(IF(Raw!F829="","",Raw!F829))&amp;":"&amp;IF(Raw!F829="","",Raw!F829)&amp;"|"&amp;LEN(IF(Raw!G829="","",Raw!G829))&amp;":"&amp;IF(Raw!G829="","",Raw!G829)</f>
        <v>6:L00823|6:T00412|10:2026-03-29|3:P-A|11:Accessories|4:sale|6:345.65</v>
      </c>
      <c r="Q829" s="1">
        <f>1</f>
        <v>1</v>
      </c>
      <c r="R829" s="1" t="b">
        <f>FALSE</f>
        <v>0</v>
      </c>
      <c r="S829" s="1">
        <f>1</f>
        <v>1</v>
      </c>
      <c r="T829" s="1" t="str">
        <f>IF(AND(Raw!A829="",Raw!B829="",Raw!C829="",Raw!D829="",Raw!E829="",Raw!F829="",Raw!G829=""),"UNUSED",IF(A829="","missing line ID",IF(B829="","missing transaction ID",IF(G829="",IF(C829="","missing date","invalid date"),IF(I829="","unknown product",IF(J829="","conflicting category",IF(NOT(OR(EXACT(K829,"sale"),EXACT(K829,"refund"))),"unknown event",IF(OR(N829="",NOT(O829)),"invalid amount",IF(OR(AND(K829="sale",N829&lt;=0),AND(K829="refund",N829&gt;=0)),"invalid sign","")))))))))</f>
        <v/>
      </c>
      <c r="U829" s="1" t="str">
        <f t="shared" si="101"/>
        <v>INCLUDED</v>
      </c>
      <c r="V829" s="1" t="str">
        <f t="shared" si="102"/>
        <v>2026-03</v>
      </c>
      <c r="W829" s="1">
        <f>IF(AND(U829="INCLUDED",X829&gt;0,EXACT(A829,'AI output'!A829)),1,0)</f>
        <v>1</v>
      </c>
      <c r="X829" s="1">
        <f>829</f>
        <v>829</v>
      </c>
      <c r="Y829" s="1">
        <f>IF(AND(U829="INCLUDED",W829=1),--(NOT(EXACT(A829,'AI output'!A829)))+--(NOT(EXACT(B829,'AI output'!B829)))+--(NOT(EXACT(TEXT(G829,"yyyy-mm-dd"),'AI output'!C829)))+--(NOT(EXACT(H829,'AI output'!D829)))+--(NOT(EXACT(J829,'AI output'!E829)))+--(NOT(EXACT(K829,'AI output'!F829)))+--(N829&lt;&gt;'AI output'!L829)+--(NOT('AI output'!M829)),0)</f>
        <v>0</v>
      </c>
      <c r="Z829" s="1">
        <f t="shared" si="103"/>
        <v>0</v>
      </c>
      <c r="AA829" s="1">
        <f>--EXACT(A829,"L00823")</f>
        <v>1</v>
      </c>
    </row>
    <row r="830" spans="1:27" ht="18.95" customHeight="1">
      <c r="A830" s="1" t="str">
        <f>IF(Raw!A830="","",Raw!A830)</f>
        <v>L00824</v>
      </c>
      <c r="B830" s="1" t="str">
        <f>IF(Raw!B830="","",Raw!B830)</f>
        <v>T00412</v>
      </c>
      <c r="C830" s="1" t="str">
        <f>IF(Raw!C830="","",Raw!C830)</f>
        <v>2026-03-29</v>
      </c>
      <c r="D830" s="1">
        <f t="shared" si="96"/>
        <v>2026</v>
      </c>
      <c r="E830" s="1">
        <f>IFERROR(IF(AND(LEN(C830)=10,MID(C830,5,1)="-",MID(C830,8,1)="-"),VALUE(MID(C830,6,2)),IF(AND(LEN(C830)=11,MID(C830,3,1)="-",MID(C830,7,1)="-"),MATCH(UPPER(MID(C830,4,3)),Guide!$D$7:$D$18,0),0)),0)</f>
        <v>3</v>
      </c>
      <c r="F830" s="1">
        <f t="shared" si="97"/>
        <v>29</v>
      </c>
      <c r="G830" s="9">
        <f t="shared" si="98"/>
        <v>46110</v>
      </c>
      <c r="H830" s="1" t="str">
        <f>IF(Raw!D830="","",Raw!D830)</f>
        <v>P-H</v>
      </c>
      <c r="I830" s="1" t="str">
        <f>IFERROR(IF(EXACT(H830,INDEX(Guide!$A$7:$A$9,MATCH(SUBSTITUTE(SUBSTITUTE(SUBSTITUTE(H830,"~","~~"),"*","~*"),"?","~?"),Guide!$A$7:$A$9,0))),INDEX(Guide!$B$7:$B$9,MATCH(SUBSTITUTE(SUBSTITUTE(SUBSTITUTE(H830,"~","~~"),"*","~*"),"?","~?"),Guide!$A$7:$A$9,0)),""),"")</f>
        <v>Home</v>
      </c>
      <c r="J830" s="1" t="str">
        <f>IF(TRIM(Raw!E830)="",I830,IF(UPPER(TRIM(Raw!E830))=UPPER(I830),I830,""))</f>
        <v>Home</v>
      </c>
      <c r="K830" s="1" t="str">
        <f>IF(Raw!F830="","",Raw!F830)</f>
        <v>sale</v>
      </c>
      <c r="L830" s="1" t="str">
        <f>IF(LEFT(TRIM(Raw!G830),2)="-$","-"&amp;MID(TRIM(Raw!G830),3,99),IF(LEFT(TRIM(Raw!G830),1)="$",MID(TRIM(Raw!G830),2,99),TRIM(Raw!G830)))</f>
        <v>139.00</v>
      </c>
      <c r="M830" s="1">
        <f t="shared" si="99"/>
        <v>139</v>
      </c>
      <c r="N830" s="10">
        <f t="shared" si="100"/>
        <v>13900</v>
      </c>
      <c r="O830" s="1" t="b">
        <f>IFERROR(IF(ISNUMBER(Raw!G830),TRUE,OR(EXACT(L830,TEXT(M830,"0.00")),EXACT(L830,TEXT(M830,"#,##0.00")))),FALSE)</f>
        <v>1</v>
      </c>
      <c r="P830" s="1" t="str">
        <f>LEN(IF(Raw!A830="","",Raw!A830))&amp;":"&amp;IF(Raw!A830="","",Raw!A830)&amp;"|"&amp;LEN(IF(Raw!B830="","",Raw!B830))&amp;":"&amp;IF(Raw!B830="","",Raw!B830)&amp;"|"&amp;LEN(IF(Raw!C830="","",Raw!C830))&amp;":"&amp;IF(Raw!C830="","",Raw!C830)&amp;"|"&amp;LEN(IF(Raw!D830="","",Raw!D830))&amp;":"&amp;IF(Raw!D830="","",Raw!D830)&amp;"|"&amp;LEN(IF(Raw!E830="","",Raw!E830))&amp;":"&amp;IF(Raw!E830="","",Raw!E830)&amp;"|"&amp;LEN(IF(Raw!F830="","",Raw!F830))&amp;":"&amp;IF(Raw!F830="","",Raw!F830)&amp;"|"&amp;LEN(IF(Raw!G830="","",Raw!G830))&amp;":"&amp;IF(Raw!G830="","",Raw!G830)</f>
        <v>6:L00824|6:T00412|10:2026-03-29|3:P-H|4:Home|4:sale|6:139.00</v>
      </c>
      <c r="Q830" s="1">
        <f>1</f>
        <v>1</v>
      </c>
      <c r="R830" s="1" t="b">
        <f>FALSE</f>
        <v>0</v>
      </c>
      <c r="S830" s="1">
        <f>1</f>
        <v>1</v>
      </c>
      <c r="T830" s="1" t="str">
        <f>IF(AND(Raw!A830="",Raw!B830="",Raw!C830="",Raw!D830="",Raw!E830="",Raw!F830="",Raw!G830=""),"UNUSED",IF(A830="","missing line ID",IF(B830="","missing transaction ID",IF(G830="",IF(C830="","missing date","invalid date"),IF(I830="","unknown product",IF(J830="","conflicting category",IF(NOT(OR(EXACT(K830,"sale"),EXACT(K830,"refund"))),"unknown event",IF(OR(N830="",NOT(O830)),"invalid amount",IF(OR(AND(K830="sale",N830&lt;=0),AND(K830="refund",N830&gt;=0)),"invalid sign","")))))))))</f>
        <v/>
      </c>
      <c r="U830" s="1" t="str">
        <f t="shared" si="101"/>
        <v>INCLUDED</v>
      </c>
      <c r="V830" s="1" t="str">
        <f t="shared" si="102"/>
        <v>2026-03</v>
      </c>
      <c r="W830" s="1">
        <f>IF(AND(U830="INCLUDED",X830&gt;0,EXACT(A830,'AI output'!A830)),1,0)</f>
        <v>1</v>
      </c>
      <c r="X830" s="1">
        <f>830</f>
        <v>830</v>
      </c>
      <c r="Y830" s="1">
        <f>IF(AND(U830="INCLUDED",W830=1),--(NOT(EXACT(A830,'AI output'!A830)))+--(NOT(EXACT(B830,'AI output'!B830)))+--(NOT(EXACT(TEXT(G830,"yyyy-mm-dd"),'AI output'!C830)))+--(NOT(EXACT(H830,'AI output'!D830)))+--(NOT(EXACT(J830,'AI output'!E830)))+--(NOT(EXACT(K830,'AI output'!F830)))+--(N830&lt;&gt;'AI output'!L830)+--(NOT('AI output'!M830)),0)</f>
        <v>0</v>
      </c>
      <c r="Z830" s="1">
        <f t="shared" si="103"/>
        <v>0</v>
      </c>
      <c r="AA830" s="1">
        <f>--EXACT(A830,"L00824")</f>
        <v>1</v>
      </c>
    </row>
    <row r="831" spans="1:27" ht="18.95" customHeight="1">
      <c r="A831" s="1" t="str">
        <f>IF(Raw!A831="","",Raw!A831)</f>
        <v>L00825</v>
      </c>
      <c r="B831" s="1" t="str">
        <f>IF(Raw!B831="","",Raw!B831)</f>
        <v>T00413</v>
      </c>
      <c r="C831" s="1" t="str">
        <f>IF(Raw!C831="","",Raw!C831)</f>
        <v>2026-01-05</v>
      </c>
      <c r="D831" s="1">
        <f t="shared" si="96"/>
        <v>2026</v>
      </c>
      <c r="E831" s="1">
        <f>IFERROR(IF(AND(LEN(C831)=10,MID(C831,5,1)="-",MID(C831,8,1)="-"),VALUE(MID(C831,6,2)),IF(AND(LEN(C831)=11,MID(C831,3,1)="-",MID(C831,7,1)="-"),MATCH(UPPER(MID(C831,4,3)),Guide!$D$7:$D$18,0),0)),0)</f>
        <v>1</v>
      </c>
      <c r="F831" s="1">
        <f t="shared" si="97"/>
        <v>5</v>
      </c>
      <c r="G831" s="9">
        <f t="shared" si="98"/>
        <v>46027</v>
      </c>
      <c r="H831" s="1" t="str">
        <f>IF(Raw!D831="","",Raw!D831)</f>
        <v>P-O</v>
      </c>
      <c r="I831" s="1" t="str">
        <f>IFERROR(IF(EXACT(H831,INDEX(Guide!$A$7:$A$9,MATCH(SUBSTITUTE(SUBSTITUTE(SUBSTITUTE(H831,"~","~~"),"*","~*"),"?","~?"),Guide!$A$7:$A$9,0))),INDEX(Guide!$B$7:$B$9,MATCH(SUBSTITUTE(SUBSTITUTE(SUBSTITUTE(H831,"~","~~"),"*","~*"),"?","~?"),Guide!$A$7:$A$9,0)),""),"")</f>
        <v>Office</v>
      </c>
      <c r="J831" s="1" t="str">
        <f>IF(TRIM(Raw!E831)="",I831,IF(UPPER(TRIM(Raw!E831))=UPPER(I831),I831,""))</f>
        <v>Office</v>
      </c>
      <c r="K831" s="1" t="str">
        <f>IF(Raw!F831="","",Raw!F831)</f>
        <v>sale</v>
      </c>
      <c r="L831" s="1" t="str">
        <f>IF(LEFT(TRIM(Raw!G831),2)="-$","-"&amp;MID(TRIM(Raw!G831),3,99),IF(LEFT(TRIM(Raw!G831),1)="$",MID(TRIM(Raw!G831),2,99),TRIM(Raw!G831)))</f>
        <v>279.48</v>
      </c>
      <c r="M831" s="1">
        <f t="shared" si="99"/>
        <v>279.48</v>
      </c>
      <c r="N831" s="10">
        <f t="shared" si="100"/>
        <v>27948</v>
      </c>
      <c r="O831" s="1" t="b">
        <f>IFERROR(IF(ISNUMBER(Raw!G831),TRUE,OR(EXACT(L831,TEXT(M831,"0.00")),EXACT(L831,TEXT(M831,"#,##0.00")))),FALSE)</f>
        <v>1</v>
      </c>
      <c r="P831" s="1" t="str">
        <f>LEN(IF(Raw!A831="","",Raw!A831))&amp;":"&amp;IF(Raw!A831="","",Raw!A831)&amp;"|"&amp;LEN(IF(Raw!B831="","",Raw!B831))&amp;":"&amp;IF(Raw!B831="","",Raw!B831)&amp;"|"&amp;LEN(IF(Raw!C831="","",Raw!C831))&amp;":"&amp;IF(Raw!C831="","",Raw!C831)&amp;"|"&amp;LEN(IF(Raw!D831="","",Raw!D831))&amp;":"&amp;IF(Raw!D831="","",Raw!D831)&amp;"|"&amp;LEN(IF(Raw!E831="","",Raw!E831))&amp;":"&amp;IF(Raw!E831="","",Raw!E831)&amp;"|"&amp;LEN(IF(Raw!F831="","",Raw!F831))&amp;":"&amp;IF(Raw!F831="","",Raw!F831)&amp;"|"&amp;LEN(IF(Raw!G831="","",Raw!G831))&amp;":"&amp;IF(Raw!G831="","",Raw!G831)</f>
        <v>6:L00825|6:T00413|10:2026-01-05|3:P-O|6:Office|4:sale|6:279.48</v>
      </c>
      <c r="Q831" s="1">
        <f>1</f>
        <v>1</v>
      </c>
      <c r="R831" s="1" t="b">
        <f>FALSE</f>
        <v>0</v>
      </c>
      <c r="S831" s="1">
        <f>1</f>
        <v>1</v>
      </c>
      <c r="T831" s="1" t="str">
        <f>IF(AND(Raw!A831="",Raw!B831="",Raw!C831="",Raw!D831="",Raw!E831="",Raw!F831="",Raw!G831=""),"UNUSED",IF(A831="","missing line ID",IF(B831="","missing transaction ID",IF(G831="",IF(C831="","missing date","invalid date"),IF(I831="","unknown product",IF(J831="","conflicting category",IF(NOT(OR(EXACT(K831,"sale"),EXACT(K831,"refund"))),"unknown event",IF(OR(N831="",NOT(O831)),"invalid amount",IF(OR(AND(K831="sale",N831&lt;=0),AND(K831="refund",N831&gt;=0)),"invalid sign","")))))))))</f>
        <v/>
      </c>
      <c r="U831" s="1" t="str">
        <f t="shared" si="101"/>
        <v>INCLUDED</v>
      </c>
      <c r="V831" s="1" t="str">
        <f t="shared" si="102"/>
        <v>2026-01</v>
      </c>
      <c r="W831" s="1">
        <f>IF(AND(U831="INCLUDED",X831&gt;0,EXACT(A831,'AI output'!A831)),1,0)</f>
        <v>1</v>
      </c>
      <c r="X831" s="1">
        <f>831</f>
        <v>831</v>
      </c>
      <c r="Y831" s="1">
        <f>IF(AND(U831="INCLUDED",W831=1),--(NOT(EXACT(A831,'AI output'!A831)))+--(NOT(EXACT(B831,'AI output'!B831)))+--(NOT(EXACT(TEXT(G831,"yyyy-mm-dd"),'AI output'!C831)))+--(NOT(EXACT(H831,'AI output'!D831)))+--(NOT(EXACT(J831,'AI output'!E831)))+--(NOT(EXACT(K831,'AI output'!F831)))+--(N831&lt;&gt;'AI output'!L831)+--(NOT('AI output'!M831)),0)</f>
        <v>0</v>
      </c>
      <c r="Z831" s="1">
        <f t="shared" si="103"/>
        <v>0</v>
      </c>
      <c r="AA831" s="1">
        <f>--EXACT(A831,"L00825")</f>
        <v>1</v>
      </c>
    </row>
    <row r="832" spans="1:27" ht="18.95" customHeight="1">
      <c r="A832" s="1" t="str">
        <f>IF(Raw!A832="","",Raw!A832)</f>
        <v>L00826</v>
      </c>
      <c r="B832" s="1" t="str">
        <f>IF(Raw!B832="","",Raw!B832)</f>
        <v>T00413</v>
      </c>
      <c r="C832" s="1" t="str">
        <f>IF(Raw!C832="","",Raw!C832)</f>
        <v>2026-01-05</v>
      </c>
      <c r="D832" s="1">
        <f t="shared" si="96"/>
        <v>2026</v>
      </c>
      <c r="E832" s="1">
        <f>IFERROR(IF(AND(LEN(C832)=10,MID(C832,5,1)="-",MID(C832,8,1)="-"),VALUE(MID(C832,6,2)),IF(AND(LEN(C832)=11,MID(C832,3,1)="-",MID(C832,7,1)="-"),MATCH(UPPER(MID(C832,4,3)),Guide!$D$7:$D$18,0),0)),0)</f>
        <v>1</v>
      </c>
      <c r="F832" s="1">
        <f t="shared" si="97"/>
        <v>5</v>
      </c>
      <c r="G832" s="9">
        <f t="shared" si="98"/>
        <v>46027</v>
      </c>
      <c r="H832" s="1" t="str">
        <f>IF(Raw!D832="","",Raw!D832)</f>
        <v>P-A</v>
      </c>
      <c r="I832" s="1" t="str">
        <f>IFERROR(IF(EXACT(H832,INDEX(Guide!$A$7:$A$9,MATCH(SUBSTITUTE(SUBSTITUTE(SUBSTITUTE(H832,"~","~~"),"*","~*"),"?","~?"),Guide!$A$7:$A$9,0))),INDEX(Guide!$B$7:$B$9,MATCH(SUBSTITUTE(SUBSTITUTE(SUBSTITUTE(H832,"~","~~"),"*","~*"),"?","~?"),Guide!$A$7:$A$9,0)),""),"")</f>
        <v>Accessories</v>
      </c>
      <c r="J832" s="1" t="str">
        <f>IF(TRIM(Raw!E832)="",I832,IF(UPPER(TRIM(Raw!E832))=UPPER(I832),I832,""))</f>
        <v>Accessories</v>
      </c>
      <c r="K832" s="1" t="str">
        <f>IF(Raw!F832="","",Raw!F832)</f>
        <v>sale</v>
      </c>
      <c r="L832" s="1" t="str">
        <f>IF(LEFT(TRIM(Raw!G832),2)="-$","-"&amp;MID(TRIM(Raw!G832),3,99),IF(LEFT(TRIM(Raw!G832),1)="$",MID(TRIM(Raw!G832),2,99),TRIM(Raw!G832)))</f>
        <v>70.24</v>
      </c>
      <c r="M832" s="1">
        <f t="shared" si="99"/>
        <v>70.239999999999995</v>
      </c>
      <c r="N832" s="10">
        <f t="shared" si="100"/>
        <v>7024</v>
      </c>
      <c r="O832" s="1" t="b">
        <f>IFERROR(IF(ISNUMBER(Raw!G832),TRUE,OR(EXACT(L832,TEXT(M832,"0.00")),EXACT(L832,TEXT(M832,"#,##0.00")))),FALSE)</f>
        <v>1</v>
      </c>
      <c r="P832" s="1" t="str">
        <f>LEN(IF(Raw!A832="","",Raw!A832))&amp;":"&amp;IF(Raw!A832="","",Raw!A832)&amp;"|"&amp;LEN(IF(Raw!B832="","",Raw!B832))&amp;":"&amp;IF(Raw!B832="","",Raw!B832)&amp;"|"&amp;LEN(IF(Raw!C832="","",Raw!C832))&amp;":"&amp;IF(Raw!C832="","",Raw!C832)&amp;"|"&amp;LEN(IF(Raw!D832="","",Raw!D832))&amp;":"&amp;IF(Raw!D832="","",Raw!D832)&amp;"|"&amp;LEN(IF(Raw!E832="","",Raw!E832))&amp;":"&amp;IF(Raw!E832="","",Raw!E832)&amp;"|"&amp;LEN(IF(Raw!F832="","",Raw!F832))&amp;":"&amp;IF(Raw!F832="","",Raw!F832)&amp;"|"&amp;LEN(IF(Raw!G832="","",Raw!G832))&amp;":"&amp;IF(Raw!G832="","",Raw!G832)</f>
        <v>6:L00826|6:T00413|10:2026-01-05|3:P-A|11:Accessories|4:sale|5:70.24</v>
      </c>
      <c r="Q832" s="1">
        <f>1</f>
        <v>1</v>
      </c>
      <c r="R832" s="1" t="b">
        <f>FALSE</f>
        <v>0</v>
      </c>
      <c r="S832" s="1">
        <f>1</f>
        <v>1</v>
      </c>
      <c r="T832" s="1" t="str">
        <f>IF(AND(Raw!A832="",Raw!B832="",Raw!C832="",Raw!D832="",Raw!E832="",Raw!F832="",Raw!G832=""),"UNUSED",IF(A832="","missing line ID",IF(B832="","missing transaction ID",IF(G832="",IF(C832="","missing date","invalid date"),IF(I832="","unknown product",IF(J832="","conflicting category",IF(NOT(OR(EXACT(K832,"sale"),EXACT(K832,"refund"))),"unknown event",IF(OR(N832="",NOT(O832)),"invalid amount",IF(OR(AND(K832="sale",N832&lt;=0),AND(K832="refund",N832&gt;=0)),"invalid sign","")))))))))</f>
        <v/>
      </c>
      <c r="U832" s="1" t="str">
        <f t="shared" si="101"/>
        <v>INCLUDED</v>
      </c>
      <c r="V832" s="1" t="str">
        <f t="shared" si="102"/>
        <v>2026-01</v>
      </c>
      <c r="W832" s="1">
        <f>IF(AND(U832="INCLUDED",X832&gt;0,EXACT(A832,'AI output'!A832)),1,0)</f>
        <v>1</v>
      </c>
      <c r="X832" s="1">
        <f>832</f>
        <v>832</v>
      </c>
      <c r="Y832" s="1">
        <f>IF(AND(U832="INCLUDED",W832=1),--(NOT(EXACT(A832,'AI output'!A832)))+--(NOT(EXACT(B832,'AI output'!B832)))+--(NOT(EXACT(TEXT(G832,"yyyy-mm-dd"),'AI output'!C832)))+--(NOT(EXACT(H832,'AI output'!D832)))+--(NOT(EXACT(J832,'AI output'!E832)))+--(NOT(EXACT(K832,'AI output'!F832)))+--(N832&lt;&gt;'AI output'!L832)+--(NOT('AI output'!M832)),0)</f>
        <v>0</v>
      </c>
      <c r="Z832" s="1">
        <f t="shared" si="103"/>
        <v>0</v>
      </c>
      <c r="AA832" s="1">
        <f>--EXACT(A832,"L00826")</f>
        <v>1</v>
      </c>
    </row>
    <row r="833" spans="1:27" ht="18.95" customHeight="1">
      <c r="A833" s="1" t="str">
        <f>IF(Raw!A833="","",Raw!A833)</f>
        <v>L00827</v>
      </c>
      <c r="B833" s="1" t="str">
        <f>IF(Raw!B833="","",Raw!B833)</f>
        <v>T00414</v>
      </c>
      <c r="C833" s="1" t="str">
        <f>IF(Raw!C833="","",Raw!C833)</f>
        <v>2026-01-12</v>
      </c>
      <c r="D833" s="1">
        <f t="shared" si="96"/>
        <v>2026</v>
      </c>
      <c r="E833" s="1">
        <f>IFERROR(IF(AND(LEN(C833)=10,MID(C833,5,1)="-",MID(C833,8,1)="-"),VALUE(MID(C833,6,2)),IF(AND(LEN(C833)=11,MID(C833,3,1)="-",MID(C833,7,1)="-"),MATCH(UPPER(MID(C833,4,3)),Guide!$D$7:$D$18,0),0)),0)</f>
        <v>1</v>
      </c>
      <c r="F833" s="1">
        <f t="shared" si="97"/>
        <v>12</v>
      </c>
      <c r="G833" s="9">
        <f t="shared" si="98"/>
        <v>46034</v>
      </c>
      <c r="H833" s="1" t="str">
        <f>IF(Raw!D833="","",Raw!D833)</f>
        <v>P-H</v>
      </c>
      <c r="I833" s="1" t="str">
        <f>IFERROR(IF(EXACT(H833,INDEX(Guide!$A$7:$A$9,MATCH(SUBSTITUTE(SUBSTITUTE(SUBSTITUTE(H833,"~","~~"),"*","~*"),"?","~?"),Guide!$A$7:$A$9,0))),INDEX(Guide!$B$7:$B$9,MATCH(SUBSTITUTE(SUBSTITUTE(SUBSTITUTE(H833,"~","~~"),"*","~*"),"?","~?"),Guide!$A$7:$A$9,0)),""),"")</f>
        <v>Home</v>
      </c>
      <c r="J833" s="1" t="str">
        <f>IF(TRIM(Raw!E833)="",I833,IF(UPPER(TRIM(Raw!E833))=UPPER(I833),I833,""))</f>
        <v>Home</v>
      </c>
      <c r="K833" s="1" t="str">
        <f>IF(Raw!F833="","",Raw!F833)</f>
        <v>sale</v>
      </c>
      <c r="L833" s="1" t="str">
        <f>IF(LEFT(TRIM(Raw!G833),2)="-$","-"&amp;MID(TRIM(Raw!G833),3,99),IF(LEFT(TRIM(Raw!G833),1)="$",MID(TRIM(Raw!G833),2,99),TRIM(Raw!G833)))</f>
        <v>211.83</v>
      </c>
      <c r="M833" s="1">
        <f t="shared" si="99"/>
        <v>211.83</v>
      </c>
      <c r="N833" s="10">
        <f t="shared" si="100"/>
        <v>21183</v>
      </c>
      <c r="O833" s="1" t="b">
        <f>IFERROR(IF(ISNUMBER(Raw!G833),TRUE,OR(EXACT(L833,TEXT(M833,"0.00")),EXACT(L833,TEXT(M833,"#,##0.00")))),FALSE)</f>
        <v>1</v>
      </c>
      <c r="P833" s="1" t="str">
        <f>LEN(IF(Raw!A833="","",Raw!A833))&amp;":"&amp;IF(Raw!A833="","",Raw!A833)&amp;"|"&amp;LEN(IF(Raw!B833="","",Raw!B833))&amp;":"&amp;IF(Raw!B833="","",Raw!B833)&amp;"|"&amp;LEN(IF(Raw!C833="","",Raw!C833))&amp;":"&amp;IF(Raw!C833="","",Raw!C833)&amp;"|"&amp;LEN(IF(Raw!D833="","",Raw!D833))&amp;":"&amp;IF(Raw!D833="","",Raw!D833)&amp;"|"&amp;LEN(IF(Raw!E833="","",Raw!E833))&amp;":"&amp;IF(Raw!E833="","",Raw!E833)&amp;"|"&amp;LEN(IF(Raw!F833="","",Raw!F833))&amp;":"&amp;IF(Raw!F833="","",Raw!F833)&amp;"|"&amp;LEN(IF(Raw!G833="","",Raw!G833))&amp;":"&amp;IF(Raw!G833="","",Raw!G833)</f>
        <v>6:L00827|6:T00414|10:2026-01-12|3:P-H|4:Home|4:sale|6:211.83</v>
      </c>
      <c r="Q833" s="1">
        <f>1</f>
        <v>1</v>
      </c>
      <c r="R833" s="1" t="b">
        <f>FALSE</f>
        <v>0</v>
      </c>
      <c r="S833" s="1">
        <f>1</f>
        <v>1</v>
      </c>
      <c r="T833" s="1" t="str">
        <f>IF(AND(Raw!A833="",Raw!B833="",Raw!C833="",Raw!D833="",Raw!E833="",Raw!F833="",Raw!G833=""),"UNUSED",IF(A833="","missing line ID",IF(B833="","missing transaction ID",IF(G833="",IF(C833="","missing date","invalid date"),IF(I833="","unknown product",IF(J833="","conflicting category",IF(NOT(OR(EXACT(K833,"sale"),EXACT(K833,"refund"))),"unknown event",IF(OR(N833="",NOT(O833)),"invalid amount",IF(OR(AND(K833="sale",N833&lt;=0),AND(K833="refund",N833&gt;=0)),"invalid sign","")))))))))</f>
        <v/>
      </c>
      <c r="U833" s="1" t="str">
        <f t="shared" si="101"/>
        <v>INCLUDED</v>
      </c>
      <c r="V833" s="1" t="str">
        <f t="shared" si="102"/>
        <v>2026-01</v>
      </c>
      <c r="W833" s="1">
        <f>IF(AND(U833="INCLUDED",X833&gt;0,EXACT(A833,'AI output'!A833)),1,0)</f>
        <v>1</v>
      </c>
      <c r="X833" s="1">
        <f>833</f>
        <v>833</v>
      </c>
      <c r="Y833" s="1">
        <f>IF(AND(U833="INCLUDED",W833=1),--(NOT(EXACT(A833,'AI output'!A833)))+--(NOT(EXACT(B833,'AI output'!B833)))+--(NOT(EXACT(TEXT(G833,"yyyy-mm-dd"),'AI output'!C833)))+--(NOT(EXACT(H833,'AI output'!D833)))+--(NOT(EXACT(J833,'AI output'!E833)))+--(NOT(EXACT(K833,'AI output'!F833)))+--(N833&lt;&gt;'AI output'!L833)+--(NOT('AI output'!M833)),0)</f>
        <v>0</v>
      </c>
      <c r="Z833" s="1">
        <f t="shared" si="103"/>
        <v>0</v>
      </c>
      <c r="AA833" s="1">
        <f>--EXACT(A833,"L00827")</f>
        <v>1</v>
      </c>
    </row>
    <row r="834" spans="1:27" ht="18.95" customHeight="1">
      <c r="A834" s="1" t="str">
        <f>IF(Raw!A834="","",Raw!A834)</f>
        <v>L00828</v>
      </c>
      <c r="B834" s="1" t="str">
        <f>IF(Raw!B834="","",Raw!B834)</f>
        <v>T00414</v>
      </c>
      <c r="C834" s="1" t="str">
        <f>IF(Raw!C834="","",Raw!C834)</f>
        <v>2026-01-12</v>
      </c>
      <c r="D834" s="1">
        <f t="shared" si="96"/>
        <v>2026</v>
      </c>
      <c r="E834" s="1">
        <f>IFERROR(IF(AND(LEN(C834)=10,MID(C834,5,1)="-",MID(C834,8,1)="-"),VALUE(MID(C834,6,2)),IF(AND(LEN(C834)=11,MID(C834,3,1)="-",MID(C834,7,1)="-"),MATCH(UPPER(MID(C834,4,3)),Guide!$D$7:$D$18,0),0)),0)</f>
        <v>1</v>
      </c>
      <c r="F834" s="1">
        <f t="shared" si="97"/>
        <v>12</v>
      </c>
      <c r="G834" s="9">
        <f t="shared" si="98"/>
        <v>46034</v>
      </c>
      <c r="H834" s="1" t="str">
        <f>IF(Raw!D834="","",Raw!D834)</f>
        <v>P-O</v>
      </c>
      <c r="I834" s="1" t="str">
        <f>IFERROR(IF(EXACT(H834,INDEX(Guide!$A$7:$A$9,MATCH(SUBSTITUTE(SUBSTITUTE(SUBSTITUTE(H834,"~","~~"),"*","~*"),"?","~?"),Guide!$A$7:$A$9,0))),INDEX(Guide!$B$7:$B$9,MATCH(SUBSTITUTE(SUBSTITUTE(SUBSTITUTE(H834,"~","~~"),"*","~*"),"?","~?"),Guide!$A$7:$A$9,0)),""),"")</f>
        <v>Office</v>
      </c>
      <c r="J834" s="1" t="str">
        <f>IF(TRIM(Raw!E834)="",I834,IF(UPPER(TRIM(Raw!E834))=UPPER(I834),I834,""))</f>
        <v>Office</v>
      </c>
      <c r="K834" s="1" t="str">
        <f>IF(Raw!F834="","",Raw!F834)</f>
        <v>sale</v>
      </c>
      <c r="L834" s="1" t="str">
        <f>IF(LEFT(TRIM(Raw!G834),2)="-$","-"&amp;MID(TRIM(Raw!G834),3,99),IF(LEFT(TRIM(Raw!G834),1)="$",MID(TRIM(Raw!G834),2,99),TRIM(Raw!G834)))</f>
        <v>354.90</v>
      </c>
      <c r="M834" s="1">
        <f t="shared" si="99"/>
        <v>354.9</v>
      </c>
      <c r="N834" s="10">
        <f t="shared" si="100"/>
        <v>35490</v>
      </c>
      <c r="O834" s="1" t="b">
        <f>IFERROR(IF(ISNUMBER(Raw!G834),TRUE,OR(EXACT(L834,TEXT(M834,"0.00")),EXACT(L834,TEXT(M834,"#,##0.00")))),FALSE)</f>
        <v>1</v>
      </c>
      <c r="P834" s="1" t="str">
        <f>LEN(IF(Raw!A834="","",Raw!A834))&amp;":"&amp;IF(Raw!A834="","",Raw!A834)&amp;"|"&amp;LEN(IF(Raw!B834="","",Raw!B834))&amp;":"&amp;IF(Raw!B834="","",Raw!B834)&amp;"|"&amp;LEN(IF(Raw!C834="","",Raw!C834))&amp;":"&amp;IF(Raw!C834="","",Raw!C834)&amp;"|"&amp;LEN(IF(Raw!D834="","",Raw!D834))&amp;":"&amp;IF(Raw!D834="","",Raw!D834)&amp;"|"&amp;LEN(IF(Raw!E834="","",Raw!E834))&amp;":"&amp;IF(Raw!E834="","",Raw!E834)&amp;"|"&amp;LEN(IF(Raw!F834="","",Raw!F834))&amp;":"&amp;IF(Raw!F834="","",Raw!F834)&amp;"|"&amp;LEN(IF(Raw!G834="","",Raw!G834))&amp;":"&amp;IF(Raw!G834="","",Raw!G834)</f>
        <v>6:L00828|6:T00414|10:2026-01-12|3:P-O|6:Office|4:sale|6:354.90</v>
      </c>
      <c r="Q834" s="1">
        <f>1</f>
        <v>1</v>
      </c>
      <c r="R834" s="1" t="b">
        <f>FALSE</f>
        <v>0</v>
      </c>
      <c r="S834" s="1">
        <f>1</f>
        <v>1</v>
      </c>
      <c r="T834" s="1" t="str">
        <f>IF(AND(Raw!A834="",Raw!B834="",Raw!C834="",Raw!D834="",Raw!E834="",Raw!F834="",Raw!G834=""),"UNUSED",IF(A834="","missing line ID",IF(B834="","missing transaction ID",IF(G834="",IF(C834="","missing date","invalid date"),IF(I834="","unknown product",IF(J834="","conflicting category",IF(NOT(OR(EXACT(K834,"sale"),EXACT(K834,"refund"))),"unknown event",IF(OR(N834="",NOT(O834)),"invalid amount",IF(OR(AND(K834="sale",N834&lt;=0),AND(K834="refund",N834&gt;=0)),"invalid sign","")))))))))</f>
        <v/>
      </c>
      <c r="U834" s="1" t="str">
        <f t="shared" si="101"/>
        <v>INCLUDED</v>
      </c>
      <c r="V834" s="1" t="str">
        <f t="shared" si="102"/>
        <v>2026-01</v>
      </c>
      <c r="W834" s="1">
        <f>IF(AND(U834="INCLUDED",X834&gt;0,EXACT(A834,'AI output'!A834)),1,0)</f>
        <v>1</v>
      </c>
      <c r="X834" s="1">
        <f>834</f>
        <v>834</v>
      </c>
      <c r="Y834" s="1">
        <f>IF(AND(U834="INCLUDED",W834=1),--(NOT(EXACT(A834,'AI output'!A834)))+--(NOT(EXACT(B834,'AI output'!B834)))+--(NOT(EXACT(TEXT(G834,"yyyy-mm-dd"),'AI output'!C834)))+--(NOT(EXACT(H834,'AI output'!D834)))+--(NOT(EXACT(J834,'AI output'!E834)))+--(NOT(EXACT(K834,'AI output'!F834)))+--(N834&lt;&gt;'AI output'!L834)+--(NOT('AI output'!M834)),0)</f>
        <v>0</v>
      </c>
      <c r="Z834" s="1">
        <f t="shared" si="103"/>
        <v>0</v>
      </c>
      <c r="AA834" s="1">
        <f>--EXACT(A834,"L00828")</f>
        <v>1</v>
      </c>
    </row>
    <row r="835" spans="1:27" ht="18.95" customHeight="1">
      <c r="A835" s="1" t="str">
        <f>IF(Raw!A835="","",Raw!A835)</f>
        <v>L00829</v>
      </c>
      <c r="B835" s="1" t="str">
        <f>IF(Raw!B835="","",Raw!B835)</f>
        <v>T00415</v>
      </c>
      <c r="C835" s="1" t="str">
        <f>IF(Raw!C835="","",Raw!C835)</f>
        <v>2026-01-19</v>
      </c>
      <c r="D835" s="1">
        <f t="shared" si="96"/>
        <v>2026</v>
      </c>
      <c r="E835" s="1">
        <f>IFERROR(IF(AND(LEN(C835)=10,MID(C835,5,1)="-",MID(C835,8,1)="-"),VALUE(MID(C835,6,2)),IF(AND(LEN(C835)=11,MID(C835,3,1)="-",MID(C835,7,1)="-"),MATCH(UPPER(MID(C835,4,3)),Guide!$D$7:$D$18,0),0)),0)</f>
        <v>1</v>
      </c>
      <c r="F835" s="1">
        <f t="shared" si="97"/>
        <v>19</v>
      </c>
      <c r="G835" s="9">
        <f t="shared" si="98"/>
        <v>46041</v>
      </c>
      <c r="H835" s="1" t="str">
        <f>IF(Raw!D835="","",Raw!D835)</f>
        <v>P-A</v>
      </c>
      <c r="I835" s="1" t="str">
        <f>IFERROR(IF(EXACT(H835,INDEX(Guide!$A$7:$A$9,MATCH(SUBSTITUTE(SUBSTITUTE(SUBSTITUTE(H835,"~","~~"),"*","~*"),"?","~?"),Guide!$A$7:$A$9,0))),INDEX(Guide!$B$7:$B$9,MATCH(SUBSTITUTE(SUBSTITUTE(SUBSTITUTE(H835,"~","~~"),"*","~*"),"?","~?"),Guide!$A$7:$A$9,0)),""),"")</f>
        <v>Accessories</v>
      </c>
      <c r="J835" s="1" t="str">
        <f>IF(TRIM(Raw!E835)="",I835,IF(UPPER(TRIM(Raw!E835))=UPPER(I835),I835,""))</f>
        <v>Accessories</v>
      </c>
      <c r="K835" s="1" t="str">
        <f>IF(Raw!F835="","",Raw!F835)</f>
        <v>refund</v>
      </c>
      <c r="L835" s="1" t="str">
        <f>IF(LEFT(TRIM(Raw!G835),2)="-$","-"&amp;MID(TRIM(Raw!G835),3,99),IF(LEFT(TRIM(Raw!G835),1)="$",MID(TRIM(Raw!G835),2,99),TRIM(Raw!G835)))</f>
        <v>-142.70</v>
      </c>
      <c r="M835" s="1">
        <f t="shared" si="99"/>
        <v>-142.69999999999999</v>
      </c>
      <c r="N835" s="10">
        <f t="shared" si="100"/>
        <v>-14270</v>
      </c>
      <c r="O835" s="1" t="b">
        <f>IFERROR(IF(ISNUMBER(Raw!G835),TRUE,OR(EXACT(L835,TEXT(M835,"0.00")),EXACT(L835,TEXT(M835,"#,##0.00")))),FALSE)</f>
        <v>1</v>
      </c>
      <c r="P835" s="1" t="str">
        <f>LEN(IF(Raw!A835="","",Raw!A835))&amp;":"&amp;IF(Raw!A835="","",Raw!A835)&amp;"|"&amp;LEN(IF(Raw!B835="","",Raw!B835))&amp;":"&amp;IF(Raw!B835="","",Raw!B835)&amp;"|"&amp;LEN(IF(Raw!C835="","",Raw!C835))&amp;":"&amp;IF(Raw!C835="","",Raw!C835)&amp;"|"&amp;LEN(IF(Raw!D835="","",Raw!D835))&amp;":"&amp;IF(Raw!D835="","",Raw!D835)&amp;"|"&amp;LEN(IF(Raw!E835="","",Raw!E835))&amp;":"&amp;IF(Raw!E835="","",Raw!E835)&amp;"|"&amp;LEN(IF(Raw!F835="","",Raw!F835))&amp;":"&amp;IF(Raw!F835="","",Raw!F835)&amp;"|"&amp;LEN(IF(Raw!G835="","",Raw!G835))&amp;":"&amp;IF(Raw!G835="","",Raw!G835)</f>
        <v>6:L00829|6:T00415|10:2026-01-19|3:P-A|11:Accessories|6:refund|7:-142.70</v>
      </c>
      <c r="Q835" s="1">
        <f>1</f>
        <v>1</v>
      </c>
      <c r="R835" s="1" t="b">
        <f>FALSE</f>
        <v>0</v>
      </c>
      <c r="S835" s="1">
        <f>1</f>
        <v>1</v>
      </c>
      <c r="T835" s="1" t="str">
        <f>IF(AND(Raw!A835="",Raw!B835="",Raw!C835="",Raw!D835="",Raw!E835="",Raw!F835="",Raw!G835=""),"UNUSED",IF(A835="","missing line ID",IF(B835="","missing transaction ID",IF(G835="",IF(C835="","missing date","invalid date"),IF(I835="","unknown product",IF(J835="","conflicting category",IF(NOT(OR(EXACT(K835,"sale"),EXACT(K835,"refund"))),"unknown event",IF(OR(N835="",NOT(O835)),"invalid amount",IF(OR(AND(K835="sale",N835&lt;=0),AND(K835="refund",N835&gt;=0)),"invalid sign","")))))))))</f>
        <v/>
      </c>
      <c r="U835" s="1" t="str">
        <f t="shared" si="101"/>
        <v>INCLUDED</v>
      </c>
      <c r="V835" s="1" t="str">
        <f t="shared" si="102"/>
        <v>2026-01</v>
      </c>
      <c r="W835" s="1">
        <f>IF(AND(U835="INCLUDED",X835&gt;0,EXACT(A835,'AI output'!A835)),1,0)</f>
        <v>1</v>
      </c>
      <c r="X835" s="1">
        <f>835</f>
        <v>835</v>
      </c>
      <c r="Y835" s="1">
        <f>IF(AND(U835="INCLUDED",W835=1),--(NOT(EXACT(A835,'AI output'!A835)))+--(NOT(EXACT(B835,'AI output'!B835)))+--(NOT(EXACT(TEXT(G835,"yyyy-mm-dd"),'AI output'!C835)))+--(NOT(EXACT(H835,'AI output'!D835)))+--(NOT(EXACT(J835,'AI output'!E835)))+--(NOT(EXACT(K835,'AI output'!F835)))+--(N835&lt;&gt;'AI output'!L835)+--(NOT('AI output'!M835)),0)</f>
        <v>0</v>
      </c>
      <c r="Z835" s="1">
        <f t="shared" si="103"/>
        <v>0</v>
      </c>
      <c r="AA835" s="1">
        <f>--EXACT(A835,"L00829")</f>
        <v>1</v>
      </c>
    </row>
    <row r="836" spans="1:27" ht="18.95" customHeight="1">
      <c r="A836" s="1" t="str">
        <f>IF(Raw!A836="","",Raw!A836)</f>
        <v>L00830</v>
      </c>
      <c r="B836" s="1" t="str">
        <f>IF(Raw!B836="","",Raw!B836)</f>
        <v>T00415</v>
      </c>
      <c r="C836" s="1" t="str">
        <f>IF(Raw!C836="","",Raw!C836)</f>
        <v>2026-01-19</v>
      </c>
      <c r="D836" s="1">
        <f t="shared" si="96"/>
        <v>2026</v>
      </c>
      <c r="E836" s="1">
        <f>IFERROR(IF(AND(LEN(C836)=10,MID(C836,5,1)="-",MID(C836,8,1)="-"),VALUE(MID(C836,6,2)),IF(AND(LEN(C836)=11,MID(C836,3,1)="-",MID(C836,7,1)="-"),MATCH(UPPER(MID(C836,4,3)),Guide!$D$7:$D$18,0),0)),0)</f>
        <v>1</v>
      </c>
      <c r="F836" s="1">
        <f t="shared" si="97"/>
        <v>19</v>
      </c>
      <c r="G836" s="9">
        <f t="shared" si="98"/>
        <v>46041</v>
      </c>
      <c r="H836" s="1" t="str">
        <f>IF(Raw!D836="","",Raw!D836)</f>
        <v>P-H</v>
      </c>
      <c r="I836" s="1" t="str">
        <f>IFERROR(IF(EXACT(H836,INDEX(Guide!$A$7:$A$9,MATCH(SUBSTITUTE(SUBSTITUTE(SUBSTITUTE(H836,"~","~~"),"*","~*"),"?","~?"),Guide!$A$7:$A$9,0))),INDEX(Guide!$B$7:$B$9,MATCH(SUBSTITUTE(SUBSTITUTE(SUBSTITUTE(H836,"~","~~"),"*","~*"),"?","~?"),Guide!$A$7:$A$9,0)),""),"")</f>
        <v>Home</v>
      </c>
      <c r="J836" s="1" t="str">
        <f>IF(TRIM(Raw!E836)="",I836,IF(UPPER(TRIM(Raw!E836))=UPPER(I836),I836,""))</f>
        <v>Home</v>
      </c>
      <c r="K836" s="1" t="str">
        <f>IF(Raw!F836="","",Raw!F836)</f>
        <v>sale</v>
      </c>
      <c r="L836" s="1" t="str">
        <f>IF(LEFT(TRIM(Raw!G836),2)="-$","-"&amp;MID(TRIM(Raw!G836),3,99),IF(LEFT(TRIM(Raw!G836),1)="$",MID(TRIM(Raw!G836),2,99),TRIM(Raw!G836)))</f>
        <v>286.88</v>
      </c>
      <c r="M836" s="1">
        <f t="shared" si="99"/>
        <v>286.88</v>
      </c>
      <c r="N836" s="10">
        <f t="shared" si="100"/>
        <v>28688</v>
      </c>
      <c r="O836" s="1" t="b">
        <f>IFERROR(IF(ISNUMBER(Raw!G836),TRUE,OR(EXACT(L836,TEXT(M836,"0.00")),EXACT(L836,TEXT(M836,"#,##0.00")))),FALSE)</f>
        <v>1</v>
      </c>
      <c r="P836" s="1" t="str">
        <f>LEN(IF(Raw!A836="","",Raw!A836))&amp;":"&amp;IF(Raw!A836="","",Raw!A836)&amp;"|"&amp;LEN(IF(Raw!B836="","",Raw!B836))&amp;":"&amp;IF(Raw!B836="","",Raw!B836)&amp;"|"&amp;LEN(IF(Raw!C836="","",Raw!C836))&amp;":"&amp;IF(Raw!C836="","",Raw!C836)&amp;"|"&amp;LEN(IF(Raw!D836="","",Raw!D836))&amp;":"&amp;IF(Raw!D836="","",Raw!D836)&amp;"|"&amp;LEN(IF(Raw!E836="","",Raw!E836))&amp;":"&amp;IF(Raw!E836="","",Raw!E836)&amp;"|"&amp;LEN(IF(Raw!F836="","",Raw!F836))&amp;":"&amp;IF(Raw!F836="","",Raw!F836)&amp;"|"&amp;LEN(IF(Raw!G836="","",Raw!G836))&amp;":"&amp;IF(Raw!G836="","",Raw!G836)</f>
        <v>6:L00830|6:T00415|10:2026-01-19|3:P-H|4:Home|4:sale|6:286.88</v>
      </c>
      <c r="Q836" s="1">
        <f>1</f>
        <v>1</v>
      </c>
      <c r="R836" s="1" t="b">
        <f>FALSE</f>
        <v>0</v>
      </c>
      <c r="S836" s="1">
        <f>1</f>
        <v>1</v>
      </c>
      <c r="T836" s="1" t="str">
        <f>IF(AND(Raw!A836="",Raw!B836="",Raw!C836="",Raw!D836="",Raw!E836="",Raw!F836="",Raw!G836=""),"UNUSED",IF(A836="","missing line ID",IF(B836="","missing transaction ID",IF(G836="",IF(C836="","missing date","invalid date"),IF(I836="","unknown product",IF(J836="","conflicting category",IF(NOT(OR(EXACT(K836,"sale"),EXACT(K836,"refund"))),"unknown event",IF(OR(N836="",NOT(O836)),"invalid amount",IF(OR(AND(K836="sale",N836&lt;=0),AND(K836="refund",N836&gt;=0)),"invalid sign","")))))))))</f>
        <v/>
      </c>
      <c r="U836" s="1" t="str">
        <f t="shared" si="101"/>
        <v>INCLUDED</v>
      </c>
      <c r="V836" s="1" t="str">
        <f t="shared" si="102"/>
        <v>2026-01</v>
      </c>
      <c r="W836" s="1">
        <f>IF(AND(U836="INCLUDED",X836&gt;0,EXACT(A836,'AI output'!A836)),1,0)</f>
        <v>1</v>
      </c>
      <c r="X836" s="1">
        <f>836</f>
        <v>836</v>
      </c>
      <c r="Y836" s="1">
        <f>IF(AND(U836="INCLUDED",W836=1),--(NOT(EXACT(A836,'AI output'!A836)))+--(NOT(EXACT(B836,'AI output'!B836)))+--(NOT(EXACT(TEXT(G836,"yyyy-mm-dd"),'AI output'!C836)))+--(NOT(EXACT(H836,'AI output'!D836)))+--(NOT(EXACT(J836,'AI output'!E836)))+--(NOT(EXACT(K836,'AI output'!F836)))+--(N836&lt;&gt;'AI output'!L836)+--(NOT('AI output'!M836)),0)</f>
        <v>0</v>
      </c>
      <c r="Z836" s="1">
        <f t="shared" si="103"/>
        <v>0</v>
      </c>
      <c r="AA836" s="1">
        <f>--EXACT(A836,"L00830")</f>
        <v>1</v>
      </c>
    </row>
    <row r="837" spans="1:27" ht="18.95" customHeight="1">
      <c r="A837" s="1" t="str">
        <f>IF(Raw!A837="","",Raw!A837)</f>
        <v>L00831</v>
      </c>
      <c r="B837" s="1" t="str">
        <f>IF(Raw!B837="","",Raw!B837)</f>
        <v>T00416</v>
      </c>
      <c r="C837" s="1" t="str">
        <f>IF(Raw!C837="","",Raw!C837)</f>
        <v>2026-01-26</v>
      </c>
      <c r="D837" s="1">
        <f t="shared" si="96"/>
        <v>2026</v>
      </c>
      <c r="E837" s="1">
        <f>IFERROR(IF(AND(LEN(C837)=10,MID(C837,5,1)="-",MID(C837,8,1)="-"),VALUE(MID(C837,6,2)),IF(AND(LEN(C837)=11,MID(C837,3,1)="-",MID(C837,7,1)="-"),MATCH(UPPER(MID(C837,4,3)),Guide!$D$7:$D$18,0),0)),0)</f>
        <v>1</v>
      </c>
      <c r="F837" s="1">
        <f t="shared" si="97"/>
        <v>26</v>
      </c>
      <c r="G837" s="9">
        <f t="shared" si="98"/>
        <v>46048</v>
      </c>
      <c r="H837" s="1" t="str">
        <f>IF(Raw!D837="","",Raw!D837)</f>
        <v>P-O</v>
      </c>
      <c r="I837" s="1" t="str">
        <f>IFERROR(IF(EXACT(H837,INDEX(Guide!$A$7:$A$9,MATCH(SUBSTITUTE(SUBSTITUTE(SUBSTITUTE(H837,"~","~~"),"*","~*"),"?","~?"),Guide!$A$7:$A$9,0))),INDEX(Guide!$B$7:$B$9,MATCH(SUBSTITUTE(SUBSTITUTE(SUBSTITUTE(H837,"~","~~"),"*","~*"),"?","~?"),Guide!$A$7:$A$9,0)),""),"")</f>
        <v>Office</v>
      </c>
      <c r="J837" s="1" t="str">
        <f>IF(TRIM(Raw!E837)="",I837,IF(UPPER(TRIM(Raw!E837))=UPPER(I837),I837,""))</f>
        <v>Office</v>
      </c>
      <c r="K837" s="1" t="str">
        <f>IF(Raw!F837="","",Raw!F837)</f>
        <v>sale</v>
      </c>
      <c r="L837" s="1" t="str">
        <f>IF(LEFT(TRIM(Raw!G837),2)="-$","-"&amp;MID(TRIM(Raw!G837),3,99),IF(LEFT(TRIM(Raw!G837),1)="$",MID(TRIM(Raw!G837),2,99),TRIM(Raw!G837)))</f>
        <v>72.09</v>
      </c>
      <c r="M837" s="1">
        <f t="shared" si="99"/>
        <v>72.09</v>
      </c>
      <c r="N837" s="10">
        <f t="shared" si="100"/>
        <v>7209</v>
      </c>
      <c r="O837" s="1" t="b">
        <f>IFERROR(IF(ISNUMBER(Raw!G837),TRUE,OR(EXACT(L837,TEXT(M837,"0.00")),EXACT(L837,TEXT(M837,"#,##0.00")))),FALSE)</f>
        <v>1</v>
      </c>
      <c r="P837" s="1" t="str">
        <f>LEN(IF(Raw!A837="","",Raw!A837))&amp;":"&amp;IF(Raw!A837="","",Raw!A837)&amp;"|"&amp;LEN(IF(Raw!B837="","",Raw!B837))&amp;":"&amp;IF(Raw!B837="","",Raw!B837)&amp;"|"&amp;LEN(IF(Raw!C837="","",Raw!C837))&amp;":"&amp;IF(Raw!C837="","",Raw!C837)&amp;"|"&amp;LEN(IF(Raw!D837="","",Raw!D837))&amp;":"&amp;IF(Raw!D837="","",Raw!D837)&amp;"|"&amp;LEN(IF(Raw!E837="","",Raw!E837))&amp;":"&amp;IF(Raw!E837="","",Raw!E837)&amp;"|"&amp;LEN(IF(Raw!F837="","",Raw!F837))&amp;":"&amp;IF(Raw!F837="","",Raw!F837)&amp;"|"&amp;LEN(IF(Raw!G837="","",Raw!G837))&amp;":"&amp;IF(Raw!G837="","",Raw!G837)</f>
        <v>6:L00831|6:T00416|10:2026-01-26|3:P-O|6:Office|4:sale|5:72.09</v>
      </c>
      <c r="Q837" s="1">
        <f>1</f>
        <v>1</v>
      </c>
      <c r="R837" s="1" t="b">
        <f>FALSE</f>
        <v>0</v>
      </c>
      <c r="S837" s="1">
        <f>1</f>
        <v>1</v>
      </c>
      <c r="T837" s="1" t="str">
        <f>IF(AND(Raw!A837="",Raw!B837="",Raw!C837="",Raw!D837="",Raw!E837="",Raw!F837="",Raw!G837=""),"UNUSED",IF(A837="","missing line ID",IF(B837="","missing transaction ID",IF(G837="",IF(C837="","missing date","invalid date"),IF(I837="","unknown product",IF(J837="","conflicting category",IF(NOT(OR(EXACT(K837,"sale"),EXACT(K837,"refund"))),"unknown event",IF(OR(N837="",NOT(O837)),"invalid amount",IF(OR(AND(K837="sale",N837&lt;=0),AND(K837="refund",N837&gt;=0)),"invalid sign","")))))))))</f>
        <v/>
      </c>
      <c r="U837" s="1" t="str">
        <f t="shared" si="101"/>
        <v>INCLUDED</v>
      </c>
      <c r="V837" s="1" t="str">
        <f t="shared" si="102"/>
        <v>2026-01</v>
      </c>
      <c r="W837" s="1">
        <f>IF(AND(U837="INCLUDED",X837&gt;0,EXACT(A837,'AI output'!A837)),1,0)</f>
        <v>1</v>
      </c>
      <c r="X837" s="1">
        <f>837</f>
        <v>837</v>
      </c>
      <c r="Y837" s="1">
        <f>IF(AND(U837="INCLUDED",W837=1),--(NOT(EXACT(A837,'AI output'!A837)))+--(NOT(EXACT(B837,'AI output'!B837)))+--(NOT(EXACT(TEXT(G837,"yyyy-mm-dd"),'AI output'!C837)))+--(NOT(EXACT(H837,'AI output'!D837)))+--(NOT(EXACT(J837,'AI output'!E837)))+--(NOT(EXACT(K837,'AI output'!F837)))+--(N837&lt;&gt;'AI output'!L837)+--(NOT('AI output'!M837)),0)</f>
        <v>0</v>
      </c>
      <c r="Z837" s="1">
        <f t="shared" si="103"/>
        <v>0</v>
      </c>
      <c r="AA837" s="1">
        <f>--EXACT(A837,"L00831")</f>
        <v>1</v>
      </c>
    </row>
    <row r="838" spans="1:27" ht="18.95" customHeight="1">
      <c r="A838" s="1" t="str">
        <f>IF(Raw!A838="","",Raw!A838)</f>
        <v>L00832</v>
      </c>
      <c r="B838" s="1" t="str">
        <f>IF(Raw!B838="","",Raw!B838)</f>
        <v>T00416</v>
      </c>
      <c r="C838" s="1" t="str">
        <f>IF(Raw!C838="","",Raw!C838)</f>
        <v>2026-01-26</v>
      </c>
      <c r="D838" s="1">
        <f t="shared" si="96"/>
        <v>2026</v>
      </c>
      <c r="E838" s="1">
        <f>IFERROR(IF(AND(LEN(C838)=10,MID(C838,5,1)="-",MID(C838,8,1)="-"),VALUE(MID(C838,6,2)),IF(AND(LEN(C838)=11,MID(C838,3,1)="-",MID(C838,7,1)="-"),MATCH(UPPER(MID(C838,4,3)),Guide!$D$7:$D$18,0),0)),0)</f>
        <v>1</v>
      </c>
      <c r="F838" s="1">
        <f t="shared" si="97"/>
        <v>26</v>
      </c>
      <c r="G838" s="9">
        <f t="shared" si="98"/>
        <v>46048</v>
      </c>
      <c r="H838" s="1" t="str">
        <f>IF(Raw!D838="","",Raw!D838)</f>
        <v>P-A</v>
      </c>
      <c r="I838" s="1" t="str">
        <f>IFERROR(IF(EXACT(H838,INDEX(Guide!$A$7:$A$9,MATCH(SUBSTITUTE(SUBSTITUTE(SUBSTITUTE(H838,"~","~~"),"*","~*"),"?","~?"),Guide!$A$7:$A$9,0))),INDEX(Guide!$B$7:$B$9,MATCH(SUBSTITUTE(SUBSTITUTE(SUBSTITUTE(H838,"~","~~"),"*","~*"),"?","~?"),Guide!$A$7:$A$9,0)),""),"")</f>
        <v>Accessories</v>
      </c>
      <c r="J838" s="1" t="str">
        <f>IF(TRIM(Raw!E838)="",I838,IF(UPPER(TRIM(Raw!E838))=UPPER(I838),I838,""))</f>
        <v>Accessories</v>
      </c>
      <c r="K838" s="1" t="str">
        <f>IF(Raw!F838="","",Raw!F838)</f>
        <v>sale</v>
      </c>
      <c r="L838" s="1" t="str">
        <f>IF(LEFT(TRIM(Raw!G838),2)="-$","-"&amp;MID(TRIM(Raw!G838),3,99),IF(LEFT(TRIM(Raw!G838),1)="$",MID(TRIM(Raw!G838),2,99),TRIM(Raw!G838)))</f>
        <v>217.38</v>
      </c>
      <c r="M838" s="1">
        <f t="shared" si="99"/>
        <v>217.38</v>
      </c>
      <c r="N838" s="10">
        <f t="shared" si="100"/>
        <v>21738</v>
      </c>
      <c r="O838" s="1" t="b">
        <f>IFERROR(IF(ISNUMBER(Raw!G838),TRUE,OR(EXACT(L838,TEXT(M838,"0.00")),EXACT(L838,TEXT(M838,"#,##0.00")))),FALSE)</f>
        <v>1</v>
      </c>
      <c r="P838" s="1" t="str">
        <f>LEN(IF(Raw!A838="","",Raw!A838))&amp;":"&amp;IF(Raw!A838="","",Raw!A838)&amp;"|"&amp;LEN(IF(Raw!B838="","",Raw!B838))&amp;":"&amp;IF(Raw!B838="","",Raw!B838)&amp;"|"&amp;LEN(IF(Raw!C838="","",Raw!C838))&amp;":"&amp;IF(Raw!C838="","",Raw!C838)&amp;"|"&amp;LEN(IF(Raw!D838="","",Raw!D838))&amp;":"&amp;IF(Raw!D838="","",Raw!D838)&amp;"|"&amp;LEN(IF(Raw!E838="","",Raw!E838))&amp;":"&amp;IF(Raw!E838="","",Raw!E838)&amp;"|"&amp;LEN(IF(Raw!F838="","",Raw!F838))&amp;":"&amp;IF(Raw!F838="","",Raw!F838)&amp;"|"&amp;LEN(IF(Raw!G838="","",Raw!G838))&amp;":"&amp;IF(Raw!G838="","",Raw!G838)</f>
        <v>6:L00832|6:T00416|10:2026-01-26|3:P-A|11:Accessories|4:sale|6:217.38</v>
      </c>
      <c r="Q838" s="1">
        <f>1</f>
        <v>1</v>
      </c>
      <c r="R838" s="1" t="b">
        <f>FALSE</f>
        <v>0</v>
      </c>
      <c r="S838" s="1">
        <f>1</f>
        <v>1</v>
      </c>
      <c r="T838" s="1" t="str">
        <f>IF(AND(Raw!A838="",Raw!B838="",Raw!C838="",Raw!D838="",Raw!E838="",Raw!F838="",Raw!G838=""),"UNUSED",IF(A838="","missing line ID",IF(B838="","missing transaction ID",IF(G838="",IF(C838="","missing date","invalid date"),IF(I838="","unknown product",IF(J838="","conflicting category",IF(NOT(OR(EXACT(K838,"sale"),EXACT(K838,"refund"))),"unknown event",IF(OR(N838="",NOT(O838)),"invalid amount",IF(OR(AND(K838="sale",N838&lt;=0),AND(K838="refund",N838&gt;=0)),"invalid sign","")))))))))</f>
        <v/>
      </c>
      <c r="U838" s="1" t="str">
        <f t="shared" si="101"/>
        <v>INCLUDED</v>
      </c>
      <c r="V838" s="1" t="str">
        <f t="shared" si="102"/>
        <v>2026-01</v>
      </c>
      <c r="W838" s="1">
        <f>IF(AND(U838="INCLUDED",X838&gt;0,EXACT(A838,'AI output'!A838)),1,0)</f>
        <v>1</v>
      </c>
      <c r="X838" s="1">
        <f>838</f>
        <v>838</v>
      </c>
      <c r="Y838" s="1">
        <f>IF(AND(U838="INCLUDED",W838=1),--(NOT(EXACT(A838,'AI output'!A838)))+--(NOT(EXACT(B838,'AI output'!B838)))+--(NOT(EXACT(TEXT(G838,"yyyy-mm-dd"),'AI output'!C838)))+--(NOT(EXACT(H838,'AI output'!D838)))+--(NOT(EXACT(J838,'AI output'!E838)))+--(NOT(EXACT(K838,'AI output'!F838)))+--(N838&lt;&gt;'AI output'!L838)+--(NOT('AI output'!M838)),0)</f>
        <v>0</v>
      </c>
      <c r="Z838" s="1">
        <f t="shared" si="103"/>
        <v>0</v>
      </c>
      <c r="AA838" s="1">
        <f>--EXACT(A838,"L00832")</f>
        <v>1</v>
      </c>
    </row>
    <row r="839" spans="1:27" ht="18.95" customHeight="1">
      <c r="A839" s="1" t="str">
        <f>IF(Raw!A839="","",Raw!A839)</f>
        <v>L00833</v>
      </c>
      <c r="B839" s="1" t="str">
        <f>IF(Raw!B839="","",Raw!B839)</f>
        <v>T00417</v>
      </c>
      <c r="C839" s="1" t="str">
        <f>IF(Raw!C839="","",Raw!C839)</f>
        <v>2026-02-02</v>
      </c>
      <c r="D839" s="1">
        <f t="shared" ref="D839:D902" si="104">IFERROR(IF(AND(LEN(C839)=10,MID(C839,5,1)="-",MID(C839,8,1)="-"),VALUE(LEFT(C839,4)),IF(AND(LEN(C839)=11,MID(C839,3,1)="-",MID(C839,7,1)="-"),VALUE(RIGHT(C839,4)),0)),0)</f>
        <v>2026</v>
      </c>
      <c r="E839" s="1">
        <f>IFERROR(IF(AND(LEN(C839)=10,MID(C839,5,1)="-",MID(C839,8,1)="-"),VALUE(MID(C839,6,2)),IF(AND(LEN(C839)=11,MID(C839,3,1)="-",MID(C839,7,1)="-"),MATCH(UPPER(MID(C839,4,3)),Guide!$D$7:$D$18,0),0)),0)</f>
        <v>2</v>
      </c>
      <c r="F839" s="1">
        <f t="shared" ref="F839:F902" si="105">IFERROR(IF(AND(LEN(C839)=10,MID(C839,5,1)="-",MID(C839,8,1)="-"),VALUE(RIGHT(C839,2)),IF(AND(LEN(C839)=11,MID(C839,3,1)="-",MID(C839,7,1)="-"),VALUE(LEFT(C839,2)),0)),0)</f>
        <v>2</v>
      </c>
      <c r="G839" s="9">
        <f t="shared" ref="G839:G902" si="106">IFERROR(IF(AND(D839&gt;=1900,D839&lt;=9999,YEAR(DATE(D839,E839,F839))=D839,MONTH(DATE(D839,E839,F839))=E839,DAY(DATE(D839,E839,F839))=F839),DATE(D839,E839,F839),""),"")</f>
        <v>46055</v>
      </c>
      <c r="H839" s="1" t="str">
        <f>IF(Raw!D839="","",Raw!D839)</f>
        <v>P-H</v>
      </c>
      <c r="I839" s="1" t="str">
        <f>IFERROR(IF(EXACT(H839,INDEX(Guide!$A$7:$A$9,MATCH(SUBSTITUTE(SUBSTITUTE(SUBSTITUTE(H839,"~","~~"),"*","~*"),"?","~?"),Guide!$A$7:$A$9,0))),INDEX(Guide!$B$7:$B$9,MATCH(SUBSTITUTE(SUBSTITUTE(SUBSTITUTE(H839,"~","~~"),"*","~*"),"?","~?"),Guide!$A$7:$A$9,0)),""),"")</f>
        <v>Home</v>
      </c>
      <c r="J839" s="1" t="str">
        <f>IF(TRIM(Raw!E839)="",I839,IF(UPPER(TRIM(Raw!E839))=UPPER(I839),I839,""))</f>
        <v>Home</v>
      </c>
      <c r="K839" s="1" t="str">
        <f>IF(Raw!F839="","",Raw!F839)</f>
        <v>sale</v>
      </c>
      <c r="L839" s="1" t="str">
        <f>IF(LEFT(TRIM(Raw!G839),2)="-$","-"&amp;MID(TRIM(Raw!G839),3,99),IF(LEFT(TRIM(Raw!G839),1)="$",MID(TRIM(Raw!G839),2,99),TRIM(Raw!G839)))</f>
        <v>364.15</v>
      </c>
      <c r="M839" s="1">
        <f t="shared" ref="M839:M902" si="107">IFERROR(VALUE(L839),"")</f>
        <v>364.15</v>
      </c>
      <c r="N839" s="10">
        <f t="shared" ref="N839:N902" si="108">IF(AND(ISNUMBER(M839),ABS(M839*100-ROUND(M839*100,0))&lt;0.0000001),ROUND(M839*100,0),"")</f>
        <v>36415</v>
      </c>
      <c r="O839" s="1" t="b">
        <f>IFERROR(IF(ISNUMBER(Raw!G839),TRUE,OR(EXACT(L839,TEXT(M839,"0.00")),EXACT(L839,TEXT(M839,"#,##0.00")))),FALSE)</f>
        <v>1</v>
      </c>
      <c r="P839" s="1" t="str">
        <f>LEN(IF(Raw!A839="","",Raw!A839))&amp;":"&amp;IF(Raw!A839="","",Raw!A839)&amp;"|"&amp;LEN(IF(Raw!B839="","",Raw!B839))&amp;":"&amp;IF(Raw!B839="","",Raw!B839)&amp;"|"&amp;LEN(IF(Raw!C839="","",Raw!C839))&amp;":"&amp;IF(Raw!C839="","",Raw!C839)&amp;"|"&amp;LEN(IF(Raw!D839="","",Raw!D839))&amp;":"&amp;IF(Raw!D839="","",Raw!D839)&amp;"|"&amp;LEN(IF(Raw!E839="","",Raw!E839))&amp;":"&amp;IF(Raw!E839="","",Raw!E839)&amp;"|"&amp;LEN(IF(Raw!F839="","",Raw!F839))&amp;":"&amp;IF(Raw!F839="","",Raw!F839)&amp;"|"&amp;LEN(IF(Raw!G839="","",Raw!G839))&amp;":"&amp;IF(Raw!G839="","",Raw!G839)</f>
        <v>6:L00833|6:T00417|10:2026-02-02|3:P-H|4:Home|4:sale|6:364.15</v>
      </c>
      <c r="Q839" s="1">
        <f>1</f>
        <v>1</v>
      </c>
      <c r="R839" s="1" t="b">
        <f>FALSE</f>
        <v>0</v>
      </c>
      <c r="S839" s="1">
        <f>1</f>
        <v>1</v>
      </c>
      <c r="T839" s="1" t="str">
        <f>IF(AND(Raw!A839="",Raw!B839="",Raw!C839="",Raw!D839="",Raw!E839="",Raw!F839="",Raw!G839=""),"UNUSED",IF(A839="","missing line ID",IF(B839="","missing transaction ID",IF(G839="",IF(C839="","missing date","invalid date"),IF(I839="","unknown product",IF(J839="","conflicting category",IF(NOT(OR(EXACT(K839,"sale"),EXACT(K839,"refund"))),"unknown event",IF(OR(N839="",NOT(O839)),"invalid amount",IF(OR(AND(K839="sale",N839&lt;=0),AND(K839="refund",N839&gt;=0)),"invalid sign","")))))))))</f>
        <v/>
      </c>
      <c r="U839" s="1" t="str">
        <f t="shared" ref="U839:U902" si="109">IF(T839="UNUSED","UNUSED",IF(R839,"QUARANTINE",IF(S839&gt;1,"DUPLICATE",IF(T839&lt;&gt;"","QUARANTINE","INCLUDED"))))</f>
        <v>INCLUDED</v>
      </c>
      <c r="V839" s="1" t="str">
        <f t="shared" ref="V839:V902" si="110">IF(G839="","",TEXT(G839,"yyyy-mm"))</f>
        <v>2026-02</v>
      </c>
      <c r="W839" s="1">
        <f>IF(AND(U839="INCLUDED",X839&gt;0,EXACT(A839,'AI output'!A839)),1,0)</f>
        <v>1</v>
      </c>
      <c r="X839" s="1">
        <f>839</f>
        <v>839</v>
      </c>
      <c r="Y839" s="1">
        <f>IF(AND(U839="INCLUDED",W839=1),--(NOT(EXACT(A839,'AI output'!A839)))+--(NOT(EXACT(B839,'AI output'!B839)))+--(NOT(EXACT(TEXT(G839,"yyyy-mm-dd"),'AI output'!C839)))+--(NOT(EXACT(H839,'AI output'!D839)))+--(NOT(EXACT(J839,'AI output'!E839)))+--(NOT(EXACT(K839,'AI output'!F839)))+--(N839&lt;&gt;'AI output'!L839)+--(NOT('AI output'!M839)),0)</f>
        <v>0</v>
      </c>
      <c r="Z839" s="1">
        <f t="shared" ref="Z839:Z902" si="111">IF(U839="INCLUDED",IF(OR(W839&lt;&gt;1,Y839&lt;&gt;0),1,0),0)</f>
        <v>0</v>
      </c>
      <c r="AA839" s="1">
        <f>--EXACT(A839,"L00833")</f>
        <v>1</v>
      </c>
    </row>
    <row r="840" spans="1:27" ht="18.95" customHeight="1">
      <c r="A840" s="1" t="str">
        <f>IF(Raw!A840="","",Raw!A840)</f>
        <v>L00834</v>
      </c>
      <c r="B840" s="1" t="str">
        <f>IF(Raw!B840="","",Raw!B840)</f>
        <v>T00417</v>
      </c>
      <c r="C840" s="1" t="str">
        <f>IF(Raw!C840="","",Raw!C840)</f>
        <v>2026-02-02</v>
      </c>
      <c r="D840" s="1">
        <f t="shared" si="104"/>
        <v>2026</v>
      </c>
      <c r="E840" s="1">
        <f>IFERROR(IF(AND(LEN(C840)=10,MID(C840,5,1)="-",MID(C840,8,1)="-"),VALUE(MID(C840,6,2)),IF(AND(LEN(C840)=11,MID(C840,3,1)="-",MID(C840,7,1)="-"),MATCH(UPPER(MID(C840,4,3)),Guide!$D$7:$D$18,0),0)),0)</f>
        <v>2</v>
      </c>
      <c r="F840" s="1">
        <f t="shared" si="105"/>
        <v>2</v>
      </c>
      <c r="G840" s="9">
        <f t="shared" si="106"/>
        <v>46055</v>
      </c>
      <c r="H840" s="1" t="str">
        <f>IF(Raw!D840="","",Raw!D840)</f>
        <v>P-O</v>
      </c>
      <c r="I840" s="1" t="str">
        <f>IFERROR(IF(EXACT(H840,INDEX(Guide!$A$7:$A$9,MATCH(SUBSTITUTE(SUBSTITUTE(SUBSTITUTE(H840,"~","~~"),"*","~*"),"?","~?"),Guide!$A$7:$A$9,0))),INDEX(Guide!$B$7:$B$9,MATCH(SUBSTITUTE(SUBSTITUTE(SUBSTITUTE(H840,"~","~~"),"*","~*"),"?","~?"),Guide!$A$7:$A$9,0)),""),"")</f>
        <v>Office</v>
      </c>
      <c r="J840" s="1" t="str">
        <f>IF(TRIM(Raw!E840)="",I840,IF(UPPER(TRIM(Raw!E840))=UPPER(I840),I840,""))</f>
        <v>Office</v>
      </c>
      <c r="K840" s="1" t="str">
        <f>IF(Raw!F840="","",Raw!F840)</f>
        <v>sale</v>
      </c>
      <c r="L840" s="1" t="str">
        <f>IF(LEFT(TRIM(Raw!G840),2)="-$","-"&amp;MID(TRIM(Raw!G840),3,99),IF(LEFT(TRIM(Raw!G840),1)="$",MID(TRIM(Raw!G840),2,99),TRIM(Raw!G840)))</f>
        <v>146.40</v>
      </c>
      <c r="M840" s="1">
        <f t="shared" si="107"/>
        <v>146.4</v>
      </c>
      <c r="N840" s="10">
        <f t="shared" si="108"/>
        <v>14640</v>
      </c>
      <c r="O840" s="1" t="b">
        <f>IFERROR(IF(ISNUMBER(Raw!G840),TRUE,OR(EXACT(L840,TEXT(M840,"0.00")),EXACT(L840,TEXT(M840,"#,##0.00")))),FALSE)</f>
        <v>1</v>
      </c>
      <c r="P840" s="1" t="str">
        <f>LEN(IF(Raw!A840="","",Raw!A840))&amp;":"&amp;IF(Raw!A840="","",Raw!A840)&amp;"|"&amp;LEN(IF(Raw!B840="","",Raw!B840))&amp;":"&amp;IF(Raw!B840="","",Raw!B840)&amp;"|"&amp;LEN(IF(Raw!C840="","",Raw!C840))&amp;":"&amp;IF(Raw!C840="","",Raw!C840)&amp;"|"&amp;LEN(IF(Raw!D840="","",Raw!D840))&amp;":"&amp;IF(Raw!D840="","",Raw!D840)&amp;"|"&amp;LEN(IF(Raw!E840="","",Raw!E840))&amp;":"&amp;IF(Raw!E840="","",Raw!E840)&amp;"|"&amp;LEN(IF(Raw!F840="","",Raw!F840))&amp;":"&amp;IF(Raw!F840="","",Raw!F840)&amp;"|"&amp;LEN(IF(Raw!G840="","",Raw!G840))&amp;":"&amp;IF(Raw!G840="","",Raw!G840)</f>
        <v>6:L00834|6:T00417|10:2026-02-02|3:P-O|6:Office|4:sale|6:146.40</v>
      </c>
      <c r="Q840" s="1">
        <f>1</f>
        <v>1</v>
      </c>
      <c r="R840" s="1" t="b">
        <f>FALSE</f>
        <v>0</v>
      </c>
      <c r="S840" s="1">
        <f>1</f>
        <v>1</v>
      </c>
      <c r="T840" s="1" t="str">
        <f>IF(AND(Raw!A840="",Raw!B840="",Raw!C840="",Raw!D840="",Raw!E840="",Raw!F840="",Raw!G840=""),"UNUSED",IF(A840="","missing line ID",IF(B840="","missing transaction ID",IF(G840="",IF(C840="","missing date","invalid date"),IF(I840="","unknown product",IF(J840="","conflicting category",IF(NOT(OR(EXACT(K840,"sale"),EXACT(K840,"refund"))),"unknown event",IF(OR(N840="",NOT(O840)),"invalid amount",IF(OR(AND(K840="sale",N840&lt;=0),AND(K840="refund",N840&gt;=0)),"invalid sign","")))))))))</f>
        <v/>
      </c>
      <c r="U840" s="1" t="str">
        <f t="shared" si="109"/>
        <v>INCLUDED</v>
      </c>
      <c r="V840" s="1" t="str">
        <f t="shared" si="110"/>
        <v>2026-02</v>
      </c>
      <c r="W840" s="1">
        <f>IF(AND(U840="INCLUDED",X840&gt;0,EXACT(A840,'AI output'!A840)),1,0)</f>
        <v>1</v>
      </c>
      <c r="X840" s="1">
        <f>840</f>
        <v>840</v>
      </c>
      <c r="Y840" s="1">
        <f>IF(AND(U840="INCLUDED",W840=1),--(NOT(EXACT(A840,'AI output'!A840)))+--(NOT(EXACT(B840,'AI output'!B840)))+--(NOT(EXACT(TEXT(G840,"yyyy-mm-dd"),'AI output'!C840)))+--(NOT(EXACT(H840,'AI output'!D840)))+--(NOT(EXACT(J840,'AI output'!E840)))+--(NOT(EXACT(K840,'AI output'!F840)))+--(N840&lt;&gt;'AI output'!L840)+--(NOT('AI output'!M840)),0)</f>
        <v>0</v>
      </c>
      <c r="Z840" s="1">
        <f t="shared" si="111"/>
        <v>0</v>
      </c>
      <c r="AA840" s="1">
        <f>--EXACT(A840,"L00834")</f>
        <v>1</v>
      </c>
    </row>
    <row r="841" spans="1:27" ht="18.95" customHeight="1">
      <c r="A841" s="1" t="str">
        <f>IF(Raw!A841="","",Raw!A841)</f>
        <v>L00835</v>
      </c>
      <c r="B841" s="1" t="str">
        <f>IF(Raw!B841="","",Raw!B841)</f>
        <v>T00418</v>
      </c>
      <c r="C841" s="1" t="str">
        <f>IF(Raw!C841="","",Raw!C841)</f>
        <v>2026-02-09</v>
      </c>
      <c r="D841" s="1">
        <f t="shared" si="104"/>
        <v>2026</v>
      </c>
      <c r="E841" s="1">
        <f>IFERROR(IF(AND(LEN(C841)=10,MID(C841,5,1)="-",MID(C841,8,1)="-"),VALUE(MID(C841,6,2)),IF(AND(LEN(C841)=11,MID(C841,3,1)="-",MID(C841,7,1)="-"),MATCH(UPPER(MID(C841,4,3)),Guide!$D$7:$D$18,0),0)),0)</f>
        <v>2</v>
      </c>
      <c r="F841" s="1">
        <f t="shared" si="105"/>
        <v>9</v>
      </c>
      <c r="G841" s="9">
        <f t="shared" si="106"/>
        <v>46062</v>
      </c>
      <c r="H841" s="1" t="str">
        <f>IF(Raw!D841="","",Raw!D841)</f>
        <v>P-A</v>
      </c>
      <c r="I841" s="1" t="str">
        <f>IFERROR(IF(EXACT(H841,INDEX(Guide!$A$7:$A$9,MATCH(SUBSTITUTE(SUBSTITUTE(SUBSTITUTE(H841,"~","~~"),"*","~*"),"?","~?"),Guide!$A$7:$A$9,0))),INDEX(Guide!$B$7:$B$9,MATCH(SUBSTITUTE(SUBSTITUTE(SUBSTITUTE(H841,"~","~~"),"*","~*"),"?","~?"),Guide!$A$7:$A$9,0)),""),"")</f>
        <v>Accessories</v>
      </c>
      <c r="J841" s="1" t="str">
        <f>IF(TRIM(Raw!E841)="",I841,IF(UPPER(TRIM(Raw!E841))=UPPER(I841),I841,""))</f>
        <v>Accessories</v>
      </c>
      <c r="K841" s="1" t="str">
        <f>IF(Raw!F841="","",Raw!F841)</f>
        <v>sale</v>
      </c>
      <c r="L841" s="1" t="str">
        <f>IF(LEFT(TRIM(Raw!G841),2)="-$","-"&amp;MID(TRIM(Raw!G841),3,99),IF(LEFT(TRIM(Raw!G841),1)="$",MID(TRIM(Raw!G841),2,99),TRIM(Raw!G841)))</f>
        <v>294.28</v>
      </c>
      <c r="M841" s="1">
        <f t="shared" si="107"/>
        <v>294.27999999999997</v>
      </c>
      <c r="N841" s="10">
        <f t="shared" si="108"/>
        <v>29428</v>
      </c>
      <c r="O841" s="1" t="b">
        <f>IFERROR(IF(ISNUMBER(Raw!G841),TRUE,OR(EXACT(L841,TEXT(M841,"0.00")),EXACT(L841,TEXT(M841,"#,##0.00")))),FALSE)</f>
        <v>1</v>
      </c>
      <c r="P841" s="1" t="str">
        <f>LEN(IF(Raw!A841="","",Raw!A841))&amp;":"&amp;IF(Raw!A841="","",Raw!A841)&amp;"|"&amp;LEN(IF(Raw!B841="","",Raw!B841))&amp;":"&amp;IF(Raw!B841="","",Raw!B841)&amp;"|"&amp;LEN(IF(Raw!C841="","",Raw!C841))&amp;":"&amp;IF(Raw!C841="","",Raw!C841)&amp;"|"&amp;LEN(IF(Raw!D841="","",Raw!D841))&amp;":"&amp;IF(Raw!D841="","",Raw!D841)&amp;"|"&amp;LEN(IF(Raw!E841="","",Raw!E841))&amp;":"&amp;IF(Raw!E841="","",Raw!E841)&amp;"|"&amp;LEN(IF(Raw!F841="","",Raw!F841))&amp;":"&amp;IF(Raw!F841="","",Raw!F841)&amp;"|"&amp;LEN(IF(Raw!G841="","",Raw!G841))&amp;":"&amp;IF(Raw!G841="","",Raw!G841)</f>
        <v>6:L00835|6:T00418|10:2026-02-09|3:P-A|11:Accessories|4:sale|6:294.28</v>
      </c>
      <c r="Q841" s="1">
        <f>1</f>
        <v>1</v>
      </c>
      <c r="R841" s="1" t="b">
        <f>FALSE</f>
        <v>0</v>
      </c>
      <c r="S841" s="1">
        <f>1</f>
        <v>1</v>
      </c>
      <c r="T841" s="1" t="str">
        <f>IF(AND(Raw!A841="",Raw!B841="",Raw!C841="",Raw!D841="",Raw!E841="",Raw!F841="",Raw!G841=""),"UNUSED",IF(A841="","missing line ID",IF(B841="","missing transaction ID",IF(G841="",IF(C841="","missing date","invalid date"),IF(I841="","unknown product",IF(J841="","conflicting category",IF(NOT(OR(EXACT(K841,"sale"),EXACT(K841,"refund"))),"unknown event",IF(OR(N841="",NOT(O841)),"invalid amount",IF(OR(AND(K841="sale",N841&lt;=0),AND(K841="refund",N841&gt;=0)),"invalid sign","")))))))))</f>
        <v/>
      </c>
      <c r="U841" s="1" t="str">
        <f t="shared" si="109"/>
        <v>INCLUDED</v>
      </c>
      <c r="V841" s="1" t="str">
        <f t="shared" si="110"/>
        <v>2026-02</v>
      </c>
      <c r="W841" s="1">
        <f>IF(AND(U841="INCLUDED",X841&gt;0,EXACT(A841,'AI output'!A841)),1,0)</f>
        <v>1</v>
      </c>
      <c r="X841" s="1">
        <f>841</f>
        <v>841</v>
      </c>
      <c r="Y841" s="1">
        <f>IF(AND(U841="INCLUDED",W841=1),--(NOT(EXACT(A841,'AI output'!A841)))+--(NOT(EXACT(B841,'AI output'!B841)))+--(NOT(EXACT(TEXT(G841,"yyyy-mm-dd"),'AI output'!C841)))+--(NOT(EXACT(H841,'AI output'!D841)))+--(NOT(EXACT(J841,'AI output'!E841)))+--(NOT(EXACT(K841,'AI output'!F841)))+--(N841&lt;&gt;'AI output'!L841)+--(NOT('AI output'!M841)),0)</f>
        <v>0</v>
      </c>
      <c r="Z841" s="1">
        <f t="shared" si="111"/>
        <v>0</v>
      </c>
      <c r="AA841" s="1">
        <f>--EXACT(A841,"L00835")</f>
        <v>1</v>
      </c>
    </row>
    <row r="842" spans="1:27" ht="18.95" customHeight="1">
      <c r="A842" s="1" t="str">
        <f>IF(Raw!A842="","",Raw!A842)</f>
        <v>L00836</v>
      </c>
      <c r="B842" s="1" t="str">
        <f>IF(Raw!B842="","",Raw!B842)</f>
        <v>T00418</v>
      </c>
      <c r="C842" s="1" t="str">
        <f>IF(Raw!C842="","",Raw!C842)</f>
        <v>2026-02-09</v>
      </c>
      <c r="D842" s="1">
        <f t="shared" si="104"/>
        <v>2026</v>
      </c>
      <c r="E842" s="1">
        <f>IFERROR(IF(AND(LEN(C842)=10,MID(C842,5,1)="-",MID(C842,8,1)="-"),VALUE(MID(C842,6,2)),IF(AND(LEN(C842)=11,MID(C842,3,1)="-",MID(C842,7,1)="-"),MATCH(UPPER(MID(C842,4,3)),Guide!$D$7:$D$18,0),0)),0)</f>
        <v>2</v>
      </c>
      <c r="F842" s="1">
        <f t="shared" si="105"/>
        <v>9</v>
      </c>
      <c r="G842" s="9">
        <f t="shared" si="106"/>
        <v>46062</v>
      </c>
      <c r="H842" s="1" t="str">
        <f>IF(Raw!D842="","",Raw!D842)</f>
        <v>P-H</v>
      </c>
      <c r="I842" s="1" t="str">
        <f>IFERROR(IF(EXACT(H842,INDEX(Guide!$A$7:$A$9,MATCH(SUBSTITUTE(SUBSTITUTE(SUBSTITUTE(H842,"~","~~"),"*","~*"),"?","~?"),Guide!$A$7:$A$9,0))),INDEX(Guide!$B$7:$B$9,MATCH(SUBSTITUTE(SUBSTITUTE(SUBSTITUTE(H842,"~","~~"),"*","~*"),"?","~?"),Guide!$A$7:$A$9,0)),""),"")</f>
        <v>Home</v>
      </c>
      <c r="J842" s="1" t="str">
        <f>IF(TRIM(Raw!E842)="",I842,IF(UPPER(TRIM(Raw!E842))=UPPER(I842),I842,""))</f>
        <v>Home</v>
      </c>
      <c r="K842" s="1" t="str">
        <f>IF(Raw!F842="","",Raw!F842)</f>
        <v>sale</v>
      </c>
      <c r="L842" s="1" t="str">
        <f>IF(LEFT(TRIM(Raw!G842),2)="-$","-"&amp;MID(TRIM(Raw!G842),3,99),IF(LEFT(TRIM(Raw!G842),1)="$",MID(TRIM(Raw!G842),2,99),TRIM(Raw!G842)))</f>
        <v>73.94</v>
      </c>
      <c r="M842" s="1">
        <f t="shared" si="107"/>
        <v>73.94</v>
      </c>
      <c r="N842" s="10">
        <f t="shared" si="108"/>
        <v>7394</v>
      </c>
      <c r="O842" s="1" t="b">
        <f>IFERROR(IF(ISNUMBER(Raw!G842),TRUE,OR(EXACT(L842,TEXT(M842,"0.00")),EXACT(L842,TEXT(M842,"#,##0.00")))),FALSE)</f>
        <v>1</v>
      </c>
      <c r="P842" s="1" t="str">
        <f>LEN(IF(Raw!A842="","",Raw!A842))&amp;":"&amp;IF(Raw!A842="","",Raw!A842)&amp;"|"&amp;LEN(IF(Raw!B842="","",Raw!B842))&amp;":"&amp;IF(Raw!B842="","",Raw!B842)&amp;"|"&amp;LEN(IF(Raw!C842="","",Raw!C842))&amp;":"&amp;IF(Raw!C842="","",Raw!C842)&amp;"|"&amp;LEN(IF(Raw!D842="","",Raw!D842))&amp;":"&amp;IF(Raw!D842="","",Raw!D842)&amp;"|"&amp;LEN(IF(Raw!E842="","",Raw!E842))&amp;":"&amp;IF(Raw!E842="","",Raw!E842)&amp;"|"&amp;LEN(IF(Raw!F842="","",Raw!F842))&amp;":"&amp;IF(Raw!F842="","",Raw!F842)&amp;"|"&amp;LEN(IF(Raw!G842="","",Raw!G842))&amp;":"&amp;IF(Raw!G842="","",Raw!G842)</f>
        <v>6:L00836|6:T00418|10:2026-02-09|3:P-H|4:Home|4:sale|5:73.94</v>
      </c>
      <c r="Q842" s="1">
        <f>1</f>
        <v>1</v>
      </c>
      <c r="R842" s="1" t="b">
        <f>FALSE</f>
        <v>0</v>
      </c>
      <c r="S842" s="1">
        <f>1</f>
        <v>1</v>
      </c>
      <c r="T842" s="1" t="str">
        <f>IF(AND(Raw!A842="",Raw!B842="",Raw!C842="",Raw!D842="",Raw!E842="",Raw!F842="",Raw!G842=""),"UNUSED",IF(A842="","missing line ID",IF(B842="","missing transaction ID",IF(G842="",IF(C842="","missing date","invalid date"),IF(I842="","unknown product",IF(J842="","conflicting category",IF(NOT(OR(EXACT(K842,"sale"),EXACT(K842,"refund"))),"unknown event",IF(OR(N842="",NOT(O842)),"invalid amount",IF(OR(AND(K842="sale",N842&lt;=0),AND(K842="refund",N842&gt;=0)),"invalid sign","")))))))))</f>
        <v/>
      </c>
      <c r="U842" s="1" t="str">
        <f t="shared" si="109"/>
        <v>INCLUDED</v>
      </c>
      <c r="V842" s="1" t="str">
        <f t="shared" si="110"/>
        <v>2026-02</v>
      </c>
      <c r="W842" s="1">
        <f>IF(AND(U842="INCLUDED",X842&gt;0,EXACT(A842,'AI output'!A842)),1,0)</f>
        <v>1</v>
      </c>
      <c r="X842" s="1">
        <f>842</f>
        <v>842</v>
      </c>
      <c r="Y842" s="1">
        <f>IF(AND(U842="INCLUDED",W842=1),--(NOT(EXACT(A842,'AI output'!A842)))+--(NOT(EXACT(B842,'AI output'!B842)))+--(NOT(EXACT(TEXT(G842,"yyyy-mm-dd"),'AI output'!C842)))+--(NOT(EXACT(H842,'AI output'!D842)))+--(NOT(EXACT(J842,'AI output'!E842)))+--(NOT(EXACT(K842,'AI output'!F842)))+--(N842&lt;&gt;'AI output'!L842)+--(NOT('AI output'!M842)),0)</f>
        <v>0</v>
      </c>
      <c r="Z842" s="1">
        <f t="shared" si="111"/>
        <v>0</v>
      </c>
      <c r="AA842" s="1">
        <f>--EXACT(A842,"L00836")</f>
        <v>1</v>
      </c>
    </row>
    <row r="843" spans="1:27" ht="18.95" customHeight="1">
      <c r="A843" s="1" t="str">
        <f>IF(Raw!A843="","",Raw!A843)</f>
        <v>L00837</v>
      </c>
      <c r="B843" s="1" t="str">
        <f>IF(Raw!B843="","",Raw!B843)</f>
        <v>T00419</v>
      </c>
      <c r="C843" s="1" t="str">
        <f>IF(Raw!C843="","",Raw!C843)</f>
        <v>2026-02-16</v>
      </c>
      <c r="D843" s="1">
        <f t="shared" si="104"/>
        <v>2026</v>
      </c>
      <c r="E843" s="1">
        <f>IFERROR(IF(AND(LEN(C843)=10,MID(C843,5,1)="-",MID(C843,8,1)="-"),VALUE(MID(C843,6,2)),IF(AND(LEN(C843)=11,MID(C843,3,1)="-",MID(C843,7,1)="-"),MATCH(UPPER(MID(C843,4,3)),Guide!$D$7:$D$18,0),0)),0)</f>
        <v>2</v>
      </c>
      <c r="F843" s="1">
        <f t="shared" si="105"/>
        <v>16</v>
      </c>
      <c r="G843" s="9">
        <f t="shared" si="106"/>
        <v>46069</v>
      </c>
      <c r="H843" s="1" t="str">
        <f>IF(Raw!D843="","",Raw!D843)</f>
        <v>P-O</v>
      </c>
      <c r="I843" s="1" t="str">
        <f>IFERROR(IF(EXACT(H843,INDEX(Guide!$A$7:$A$9,MATCH(SUBSTITUTE(SUBSTITUTE(SUBSTITUTE(H843,"~","~~"),"*","~*"),"?","~?"),Guide!$A$7:$A$9,0))),INDEX(Guide!$B$7:$B$9,MATCH(SUBSTITUTE(SUBSTITUTE(SUBSTITUTE(H843,"~","~~"),"*","~*"),"?","~?"),Guide!$A$7:$A$9,0)),""),"")</f>
        <v>Office</v>
      </c>
      <c r="J843" s="1" t="str">
        <f>IF(TRIM(Raw!E843)="",I843,IF(UPPER(TRIM(Raw!E843))=UPPER(I843),I843,""))</f>
        <v>Office</v>
      </c>
      <c r="K843" s="1" t="str">
        <f>IF(Raw!F843="","",Raw!F843)</f>
        <v>sale</v>
      </c>
      <c r="L843" s="1" t="str">
        <f>IF(LEFT(TRIM(Raw!G843),2)="-$","-"&amp;MID(TRIM(Raw!G843),3,99),IF(LEFT(TRIM(Raw!G843),1)="$",MID(TRIM(Raw!G843),2,99),TRIM(Raw!G843)))</f>
        <v>222.93</v>
      </c>
      <c r="M843" s="1">
        <f t="shared" si="107"/>
        <v>222.93</v>
      </c>
      <c r="N843" s="10">
        <f t="shared" si="108"/>
        <v>22293</v>
      </c>
      <c r="O843" s="1" t="b">
        <f>IFERROR(IF(ISNUMBER(Raw!G843),TRUE,OR(EXACT(L843,TEXT(M843,"0.00")),EXACT(L843,TEXT(M843,"#,##0.00")))),FALSE)</f>
        <v>1</v>
      </c>
      <c r="P843" s="1" t="str">
        <f>LEN(IF(Raw!A843="","",Raw!A843))&amp;":"&amp;IF(Raw!A843="","",Raw!A843)&amp;"|"&amp;LEN(IF(Raw!B843="","",Raw!B843))&amp;":"&amp;IF(Raw!B843="","",Raw!B843)&amp;"|"&amp;LEN(IF(Raw!C843="","",Raw!C843))&amp;":"&amp;IF(Raw!C843="","",Raw!C843)&amp;"|"&amp;LEN(IF(Raw!D843="","",Raw!D843))&amp;":"&amp;IF(Raw!D843="","",Raw!D843)&amp;"|"&amp;LEN(IF(Raw!E843="","",Raw!E843))&amp;":"&amp;IF(Raw!E843="","",Raw!E843)&amp;"|"&amp;LEN(IF(Raw!F843="","",Raw!F843))&amp;":"&amp;IF(Raw!F843="","",Raw!F843)&amp;"|"&amp;LEN(IF(Raw!G843="","",Raw!G843))&amp;":"&amp;IF(Raw!G843="","",Raw!G843)</f>
        <v>6:L00837|6:T00419|10:2026-02-16|3:P-O|6:Office|4:sale|6:222.93</v>
      </c>
      <c r="Q843" s="1">
        <f>1</f>
        <v>1</v>
      </c>
      <c r="R843" s="1" t="b">
        <f>FALSE</f>
        <v>0</v>
      </c>
      <c r="S843" s="1">
        <f>1</f>
        <v>1</v>
      </c>
      <c r="T843" s="1" t="str">
        <f>IF(AND(Raw!A843="",Raw!B843="",Raw!C843="",Raw!D843="",Raw!E843="",Raw!F843="",Raw!G843=""),"UNUSED",IF(A843="","missing line ID",IF(B843="","missing transaction ID",IF(G843="",IF(C843="","missing date","invalid date"),IF(I843="","unknown product",IF(J843="","conflicting category",IF(NOT(OR(EXACT(K843,"sale"),EXACT(K843,"refund"))),"unknown event",IF(OR(N843="",NOT(O843)),"invalid amount",IF(OR(AND(K843="sale",N843&lt;=0),AND(K843="refund",N843&gt;=0)),"invalid sign","")))))))))</f>
        <v/>
      </c>
      <c r="U843" s="1" t="str">
        <f t="shared" si="109"/>
        <v>INCLUDED</v>
      </c>
      <c r="V843" s="1" t="str">
        <f t="shared" si="110"/>
        <v>2026-02</v>
      </c>
      <c r="W843" s="1">
        <f>IF(AND(U843="INCLUDED",X843&gt;0,EXACT(A843,'AI output'!A843)),1,0)</f>
        <v>1</v>
      </c>
      <c r="X843" s="1">
        <f>843</f>
        <v>843</v>
      </c>
      <c r="Y843" s="1">
        <f>IF(AND(U843="INCLUDED",W843=1),--(NOT(EXACT(A843,'AI output'!A843)))+--(NOT(EXACT(B843,'AI output'!B843)))+--(NOT(EXACT(TEXT(G843,"yyyy-mm-dd"),'AI output'!C843)))+--(NOT(EXACT(H843,'AI output'!D843)))+--(NOT(EXACT(J843,'AI output'!E843)))+--(NOT(EXACT(K843,'AI output'!F843)))+--(N843&lt;&gt;'AI output'!L843)+--(NOT('AI output'!M843)),0)</f>
        <v>0</v>
      </c>
      <c r="Z843" s="1">
        <f t="shared" si="111"/>
        <v>0</v>
      </c>
      <c r="AA843" s="1">
        <f>--EXACT(A843,"L00837")</f>
        <v>1</v>
      </c>
    </row>
    <row r="844" spans="1:27" ht="18.95" customHeight="1">
      <c r="A844" s="1" t="str">
        <f>IF(Raw!A844="","",Raw!A844)</f>
        <v>L00838</v>
      </c>
      <c r="B844" s="1" t="str">
        <f>IF(Raw!B844="","",Raw!B844)</f>
        <v>T00419</v>
      </c>
      <c r="C844" s="1" t="str">
        <f>IF(Raw!C844="","",Raw!C844)</f>
        <v>2026-02-16</v>
      </c>
      <c r="D844" s="1">
        <f t="shared" si="104"/>
        <v>2026</v>
      </c>
      <c r="E844" s="1">
        <f>IFERROR(IF(AND(LEN(C844)=10,MID(C844,5,1)="-",MID(C844,8,1)="-"),VALUE(MID(C844,6,2)),IF(AND(LEN(C844)=11,MID(C844,3,1)="-",MID(C844,7,1)="-"),MATCH(UPPER(MID(C844,4,3)),Guide!$D$7:$D$18,0),0)),0)</f>
        <v>2</v>
      </c>
      <c r="F844" s="1">
        <f t="shared" si="105"/>
        <v>16</v>
      </c>
      <c r="G844" s="9">
        <f t="shared" si="106"/>
        <v>46069</v>
      </c>
      <c r="H844" s="1" t="str">
        <f>IF(Raw!D844="","",Raw!D844)</f>
        <v>P-A</v>
      </c>
      <c r="I844" s="1" t="str">
        <f>IFERROR(IF(EXACT(H844,INDEX(Guide!$A$7:$A$9,MATCH(SUBSTITUTE(SUBSTITUTE(SUBSTITUTE(H844,"~","~~"),"*","~*"),"?","~?"),Guide!$A$7:$A$9,0))),INDEX(Guide!$B$7:$B$9,MATCH(SUBSTITUTE(SUBSTITUTE(SUBSTITUTE(H844,"~","~~"),"*","~*"),"?","~?"),Guide!$A$7:$A$9,0)),""),"")</f>
        <v>Accessories</v>
      </c>
      <c r="J844" s="1" t="str">
        <f>IF(TRIM(Raw!E844)="",I844,IF(UPPER(TRIM(Raw!E844))=UPPER(I844),I844,""))</f>
        <v>Accessories</v>
      </c>
      <c r="K844" s="1" t="str">
        <f>IF(Raw!F844="","",Raw!F844)</f>
        <v>sale</v>
      </c>
      <c r="L844" s="1" t="str">
        <f>IF(LEFT(TRIM(Raw!G844),2)="-$","-"&amp;MID(TRIM(Raw!G844),3,99),IF(LEFT(TRIM(Raw!G844),1)="$",MID(TRIM(Raw!G844),2,99),TRIM(Raw!G844)))</f>
        <v>373.40</v>
      </c>
      <c r="M844" s="1">
        <f t="shared" si="107"/>
        <v>373.4</v>
      </c>
      <c r="N844" s="10">
        <f t="shared" si="108"/>
        <v>37340</v>
      </c>
      <c r="O844" s="1" t="b">
        <f>IFERROR(IF(ISNUMBER(Raw!G844),TRUE,OR(EXACT(L844,TEXT(M844,"0.00")),EXACT(L844,TEXT(M844,"#,##0.00")))),FALSE)</f>
        <v>1</v>
      </c>
      <c r="P844" s="1" t="str">
        <f>LEN(IF(Raw!A844="","",Raw!A844))&amp;":"&amp;IF(Raw!A844="","",Raw!A844)&amp;"|"&amp;LEN(IF(Raw!B844="","",Raw!B844))&amp;":"&amp;IF(Raw!B844="","",Raw!B844)&amp;"|"&amp;LEN(IF(Raw!C844="","",Raw!C844))&amp;":"&amp;IF(Raw!C844="","",Raw!C844)&amp;"|"&amp;LEN(IF(Raw!D844="","",Raw!D844))&amp;":"&amp;IF(Raw!D844="","",Raw!D844)&amp;"|"&amp;LEN(IF(Raw!E844="","",Raw!E844))&amp;":"&amp;IF(Raw!E844="","",Raw!E844)&amp;"|"&amp;LEN(IF(Raw!F844="","",Raw!F844))&amp;":"&amp;IF(Raw!F844="","",Raw!F844)&amp;"|"&amp;LEN(IF(Raw!G844="","",Raw!G844))&amp;":"&amp;IF(Raw!G844="","",Raw!G844)</f>
        <v>6:L00838|6:T00419|10:2026-02-16|3:P-A|11:Accessories|4:sale|6:373.40</v>
      </c>
      <c r="Q844" s="1">
        <f>1</f>
        <v>1</v>
      </c>
      <c r="R844" s="1" t="b">
        <f>FALSE</f>
        <v>0</v>
      </c>
      <c r="S844" s="1">
        <f>1</f>
        <v>1</v>
      </c>
      <c r="T844" s="1" t="str">
        <f>IF(AND(Raw!A844="",Raw!B844="",Raw!C844="",Raw!D844="",Raw!E844="",Raw!F844="",Raw!G844=""),"UNUSED",IF(A844="","missing line ID",IF(B844="","missing transaction ID",IF(G844="",IF(C844="","missing date","invalid date"),IF(I844="","unknown product",IF(J844="","conflicting category",IF(NOT(OR(EXACT(K844,"sale"),EXACT(K844,"refund"))),"unknown event",IF(OR(N844="",NOT(O844)),"invalid amount",IF(OR(AND(K844="sale",N844&lt;=0),AND(K844="refund",N844&gt;=0)),"invalid sign","")))))))))</f>
        <v/>
      </c>
      <c r="U844" s="1" t="str">
        <f t="shared" si="109"/>
        <v>INCLUDED</v>
      </c>
      <c r="V844" s="1" t="str">
        <f t="shared" si="110"/>
        <v>2026-02</v>
      </c>
      <c r="W844" s="1">
        <f>IF(AND(U844="INCLUDED",X844&gt;0,EXACT(A844,'AI output'!A844)),1,0)</f>
        <v>1</v>
      </c>
      <c r="X844" s="1">
        <f>844</f>
        <v>844</v>
      </c>
      <c r="Y844" s="1">
        <f>IF(AND(U844="INCLUDED",W844=1),--(NOT(EXACT(A844,'AI output'!A844)))+--(NOT(EXACT(B844,'AI output'!B844)))+--(NOT(EXACT(TEXT(G844,"yyyy-mm-dd"),'AI output'!C844)))+--(NOT(EXACT(H844,'AI output'!D844)))+--(NOT(EXACT(J844,'AI output'!E844)))+--(NOT(EXACT(K844,'AI output'!F844)))+--(N844&lt;&gt;'AI output'!L844)+--(NOT('AI output'!M844)),0)</f>
        <v>0</v>
      </c>
      <c r="Z844" s="1">
        <f t="shared" si="111"/>
        <v>0</v>
      </c>
      <c r="AA844" s="1">
        <f>--EXACT(A844,"L00838")</f>
        <v>1</v>
      </c>
    </row>
    <row r="845" spans="1:27" ht="18.95" customHeight="1">
      <c r="A845" s="1" t="str">
        <f>IF(Raw!A845="","",Raw!A845)</f>
        <v>L00839</v>
      </c>
      <c r="B845" s="1" t="str">
        <f>IF(Raw!B845="","",Raw!B845)</f>
        <v>T00420</v>
      </c>
      <c r="C845" s="1" t="str">
        <f>IF(Raw!C845="","",Raw!C845)</f>
        <v>2026-02-23</v>
      </c>
      <c r="D845" s="1">
        <f t="shared" si="104"/>
        <v>2026</v>
      </c>
      <c r="E845" s="1">
        <f>IFERROR(IF(AND(LEN(C845)=10,MID(C845,5,1)="-",MID(C845,8,1)="-"),VALUE(MID(C845,6,2)),IF(AND(LEN(C845)=11,MID(C845,3,1)="-",MID(C845,7,1)="-"),MATCH(UPPER(MID(C845,4,3)),Guide!$D$7:$D$18,0),0)),0)</f>
        <v>2</v>
      </c>
      <c r="F845" s="1">
        <f t="shared" si="105"/>
        <v>23</v>
      </c>
      <c r="G845" s="9">
        <f t="shared" si="106"/>
        <v>46076</v>
      </c>
      <c r="H845" s="1" t="str">
        <f>IF(Raw!D845="","",Raw!D845)</f>
        <v>P-H</v>
      </c>
      <c r="I845" s="1" t="str">
        <f>IFERROR(IF(EXACT(H845,INDEX(Guide!$A$7:$A$9,MATCH(SUBSTITUTE(SUBSTITUTE(SUBSTITUTE(H845,"~","~~"),"*","~*"),"?","~?"),Guide!$A$7:$A$9,0))),INDEX(Guide!$B$7:$B$9,MATCH(SUBSTITUTE(SUBSTITUTE(SUBSTITUTE(H845,"~","~~"),"*","~*"),"?","~?"),Guide!$A$7:$A$9,0)),""),"")</f>
        <v>Home</v>
      </c>
      <c r="J845" s="1" t="str">
        <f>IF(TRIM(Raw!E845)="",I845,IF(UPPER(TRIM(Raw!E845))=UPPER(I845),I845,""))</f>
        <v>Home</v>
      </c>
      <c r="K845" s="1" t="str">
        <f>IF(Raw!F845="","",Raw!F845)</f>
        <v>sale</v>
      </c>
      <c r="L845" s="1" t="str">
        <f>IF(LEFT(TRIM(Raw!G845),2)="-$","-"&amp;MID(TRIM(Raw!G845),3,99),IF(LEFT(TRIM(Raw!G845),1)="$",MID(TRIM(Raw!G845),2,99),TRIM(Raw!G845)))</f>
        <v>150.10</v>
      </c>
      <c r="M845" s="1">
        <f t="shared" si="107"/>
        <v>150.1</v>
      </c>
      <c r="N845" s="10">
        <f t="shared" si="108"/>
        <v>15010</v>
      </c>
      <c r="O845" s="1" t="b">
        <f>IFERROR(IF(ISNUMBER(Raw!G845),TRUE,OR(EXACT(L845,TEXT(M845,"0.00")),EXACT(L845,TEXT(M845,"#,##0.00")))),FALSE)</f>
        <v>1</v>
      </c>
      <c r="P845" s="1" t="str">
        <f>LEN(IF(Raw!A845="","",Raw!A845))&amp;":"&amp;IF(Raw!A845="","",Raw!A845)&amp;"|"&amp;LEN(IF(Raw!B845="","",Raw!B845))&amp;":"&amp;IF(Raw!B845="","",Raw!B845)&amp;"|"&amp;LEN(IF(Raw!C845="","",Raw!C845))&amp;":"&amp;IF(Raw!C845="","",Raw!C845)&amp;"|"&amp;LEN(IF(Raw!D845="","",Raw!D845))&amp;":"&amp;IF(Raw!D845="","",Raw!D845)&amp;"|"&amp;LEN(IF(Raw!E845="","",Raw!E845))&amp;":"&amp;IF(Raw!E845="","",Raw!E845)&amp;"|"&amp;LEN(IF(Raw!F845="","",Raw!F845))&amp;":"&amp;IF(Raw!F845="","",Raw!F845)&amp;"|"&amp;LEN(IF(Raw!G845="","",Raw!G845))&amp;":"&amp;IF(Raw!G845="","",Raw!G845)</f>
        <v>6:L00839|6:T00420|10:2026-02-23|3:P-H|4:Home|4:sale|6:150.10</v>
      </c>
      <c r="Q845" s="1">
        <f>1</f>
        <v>1</v>
      </c>
      <c r="R845" s="1" t="b">
        <f>FALSE</f>
        <v>0</v>
      </c>
      <c r="S845" s="1">
        <f>1</f>
        <v>1</v>
      </c>
      <c r="T845" s="1" t="str">
        <f>IF(AND(Raw!A845="",Raw!B845="",Raw!C845="",Raw!D845="",Raw!E845="",Raw!F845="",Raw!G845=""),"UNUSED",IF(A845="","missing line ID",IF(B845="","missing transaction ID",IF(G845="",IF(C845="","missing date","invalid date"),IF(I845="","unknown product",IF(J845="","conflicting category",IF(NOT(OR(EXACT(K845,"sale"),EXACT(K845,"refund"))),"unknown event",IF(OR(N845="",NOT(O845)),"invalid amount",IF(OR(AND(K845="sale",N845&lt;=0),AND(K845="refund",N845&gt;=0)),"invalid sign","")))))))))</f>
        <v/>
      </c>
      <c r="U845" s="1" t="str">
        <f t="shared" si="109"/>
        <v>INCLUDED</v>
      </c>
      <c r="V845" s="1" t="str">
        <f t="shared" si="110"/>
        <v>2026-02</v>
      </c>
      <c r="W845" s="1">
        <f>IF(AND(U845="INCLUDED",X845&gt;0,EXACT(A845,'AI output'!A845)),1,0)</f>
        <v>1</v>
      </c>
      <c r="X845" s="1">
        <f>845</f>
        <v>845</v>
      </c>
      <c r="Y845" s="1">
        <f>IF(AND(U845="INCLUDED",W845=1),--(NOT(EXACT(A845,'AI output'!A845)))+--(NOT(EXACT(B845,'AI output'!B845)))+--(NOT(EXACT(TEXT(G845,"yyyy-mm-dd"),'AI output'!C845)))+--(NOT(EXACT(H845,'AI output'!D845)))+--(NOT(EXACT(J845,'AI output'!E845)))+--(NOT(EXACT(K845,'AI output'!F845)))+--(N845&lt;&gt;'AI output'!L845)+--(NOT('AI output'!M845)),0)</f>
        <v>0</v>
      </c>
      <c r="Z845" s="1">
        <f t="shared" si="111"/>
        <v>0</v>
      </c>
      <c r="AA845" s="1">
        <f>--EXACT(A845,"L00839")</f>
        <v>1</v>
      </c>
    </row>
    <row r="846" spans="1:27" ht="18.95" customHeight="1">
      <c r="A846" s="1" t="str">
        <f>IF(Raw!A846="","",Raw!A846)</f>
        <v>L00840</v>
      </c>
      <c r="B846" s="1" t="str">
        <f>IF(Raw!B846="","",Raw!B846)</f>
        <v>T00420</v>
      </c>
      <c r="C846" s="1" t="str">
        <f>IF(Raw!C846="","",Raw!C846)</f>
        <v>2026-02-23</v>
      </c>
      <c r="D846" s="1">
        <f t="shared" si="104"/>
        <v>2026</v>
      </c>
      <c r="E846" s="1">
        <f>IFERROR(IF(AND(LEN(C846)=10,MID(C846,5,1)="-",MID(C846,8,1)="-"),VALUE(MID(C846,6,2)),IF(AND(LEN(C846)=11,MID(C846,3,1)="-",MID(C846,7,1)="-"),MATCH(UPPER(MID(C846,4,3)),Guide!$D$7:$D$18,0),0)),0)</f>
        <v>2</v>
      </c>
      <c r="F846" s="1">
        <f t="shared" si="105"/>
        <v>23</v>
      </c>
      <c r="G846" s="9">
        <f t="shared" si="106"/>
        <v>46076</v>
      </c>
      <c r="H846" s="1" t="str">
        <f>IF(Raw!D846="","",Raw!D846)</f>
        <v>P-O</v>
      </c>
      <c r="I846" s="1" t="str">
        <f>IFERROR(IF(EXACT(H846,INDEX(Guide!$A$7:$A$9,MATCH(SUBSTITUTE(SUBSTITUTE(SUBSTITUTE(H846,"~","~~"),"*","~*"),"?","~?"),Guide!$A$7:$A$9,0))),INDEX(Guide!$B$7:$B$9,MATCH(SUBSTITUTE(SUBSTITUTE(SUBSTITUTE(H846,"~","~~"),"*","~*"),"?","~?"),Guide!$A$7:$A$9,0)),""),"")</f>
        <v>Office</v>
      </c>
      <c r="J846" s="1" t="str">
        <f>IF(TRIM(Raw!E846)="",I846,IF(UPPER(TRIM(Raw!E846))=UPPER(I846),I846,""))</f>
        <v>Office</v>
      </c>
      <c r="K846" s="1" t="str">
        <f>IF(Raw!F846="","",Raw!F846)</f>
        <v>sale</v>
      </c>
      <c r="L846" s="1" t="str">
        <f>IF(LEFT(TRIM(Raw!G846),2)="-$","-"&amp;MID(TRIM(Raw!G846),3,99),IF(LEFT(TRIM(Raw!G846),1)="$",MID(TRIM(Raw!G846),2,99),TRIM(Raw!G846)))</f>
        <v>301.68</v>
      </c>
      <c r="M846" s="1">
        <f t="shared" si="107"/>
        <v>301.68</v>
      </c>
      <c r="N846" s="10">
        <f t="shared" si="108"/>
        <v>30168</v>
      </c>
      <c r="O846" s="1" t="b">
        <f>IFERROR(IF(ISNUMBER(Raw!G846),TRUE,OR(EXACT(L846,TEXT(M846,"0.00")),EXACT(L846,TEXT(M846,"#,##0.00")))),FALSE)</f>
        <v>1</v>
      </c>
      <c r="P846" s="1" t="str">
        <f>LEN(IF(Raw!A846="","",Raw!A846))&amp;":"&amp;IF(Raw!A846="","",Raw!A846)&amp;"|"&amp;LEN(IF(Raw!B846="","",Raw!B846))&amp;":"&amp;IF(Raw!B846="","",Raw!B846)&amp;"|"&amp;LEN(IF(Raw!C846="","",Raw!C846))&amp;":"&amp;IF(Raw!C846="","",Raw!C846)&amp;"|"&amp;LEN(IF(Raw!D846="","",Raw!D846))&amp;":"&amp;IF(Raw!D846="","",Raw!D846)&amp;"|"&amp;LEN(IF(Raw!E846="","",Raw!E846))&amp;":"&amp;IF(Raw!E846="","",Raw!E846)&amp;"|"&amp;LEN(IF(Raw!F846="","",Raw!F846))&amp;":"&amp;IF(Raw!F846="","",Raw!F846)&amp;"|"&amp;LEN(IF(Raw!G846="","",Raw!G846))&amp;":"&amp;IF(Raw!G846="","",Raw!G846)</f>
        <v>6:L00840|6:T00420|10:2026-02-23|3:P-O|6:Office|4:sale|6:301.68</v>
      </c>
      <c r="Q846" s="1">
        <f>1</f>
        <v>1</v>
      </c>
      <c r="R846" s="1" t="b">
        <f>FALSE</f>
        <v>0</v>
      </c>
      <c r="S846" s="1">
        <f>1</f>
        <v>1</v>
      </c>
      <c r="T846" s="1" t="str">
        <f>IF(AND(Raw!A846="",Raw!B846="",Raw!C846="",Raw!D846="",Raw!E846="",Raw!F846="",Raw!G846=""),"UNUSED",IF(A846="","missing line ID",IF(B846="","missing transaction ID",IF(G846="",IF(C846="","missing date","invalid date"),IF(I846="","unknown product",IF(J846="","conflicting category",IF(NOT(OR(EXACT(K846,"sale"),EXACT(K846,"refund"))),"unknown event",IF(OR(N846="",NOT(O846)),"invalid amount",IF(OR(AND(K846="sale",N846&lt;=0),AND(K846="refund",N846&gt;=0)),"invalid sign","")))))))))</f>
        <v/>
      </c>
      <c r="U846" s="1" t="str">
        <f t="shared" si="109"/>
        <v>INCLUDED</v>
      </c>
      <c r="V846" s="1" t="str">
        <f t="shared" si="110"/>
        <v>2026-02</v>
      </c>
      <c r="W846" s="1">
        <f>IF(AND(U846="INCLUDED",X846&gt;0,EXACT(A846,'AI output'!A846)),1,0)</f>
        <v>1</v>
      </c>
      <c r="X846" s="1">
        <f>846</f>
        <v>846</v>
      </c>
      <c r="Y846" s="1">
        <f>IF(AND(U846="INCLUDED",W846=1),--(NOT(EXACT(A846,'AI output'!A846)))+--(NOT(EXACT(B846,'AI output'!B846)))+--(NOT(EXACT(TEXT(G846,"yyyy-mm-dd"),'AI output'!C846)))+--(NOT(EXACT(H846,'AI output'!D846)))+--(NOT(EXACT(J846,'AI output'!E846)))+--(NOT(EXACT(K846,'AI output'!F846)))+--(N846&lt;&gt;'AI output'!L846)+--(NOT('AI output'!M846)),0)</f>
        <v>0</v>
      </c>
      <c r="Z846" s="1">
        <f t="shared" si="111"/>
        <v>0</v>
      </c>
      <c r="AA846" s="1">
        <f>--EXACT(A846,"L00840")</f>
        <v>1</v>
      </c>
    </row>
    <row r="847" spans="1:27" ht="18.95" customHeight="1">
      <c r="A847" s="1" t="str">
        <f>IF(Raw!A847="","",Raw!A847)</f>
        <v>L00841</v>
      </c>
      <c r="B847" s="1" t="str">
        <f>IF(Raw!B847="","",Raw!B847)</f>
        <v>T00421</v>
      </c>
      <c r="C847" s="1" t="str">
        <f>IF(Raw!C847="","",Raw!C847)</f>
        <v>2026-03-02</v>
      </c>
      <c r="D847" s="1">
        <f t="shared" si="104"/>
        <v>2026</v>
      </c>
      <c r="E847" s="1">
        <f>IFERROR(IF(AND(LEN(C847)=10,MID(C847,5,1)="-",MID(C847,8,1)="-"),VALUE(MID(C847,6,2)),IF(AND(LEN(C847)=11,MID(C847,3,1)="-",MID(C847,7,1)="-"),MATCH(UPPER(MID(C847,4,3)),Guide!$D$7:$D$18,0),0)),0)</f>
        <v>3</v>
      </c>
      <c r="F847" s="1">
        <f t="shared" si="105"/>
        <v>2</v>
      </c>
      <c r="G847" s="9">
        <f t="shared" si="106"/>
        <v>46083</v>
      </c>
      <c r="H847" s="1" t="str">
        <f>IF(Raw!D847="","",Raw!D847)</f>
        <v>P-A</v>
      </c>
      <c r="I847" s="1" t="str">
        <f>IFERROR(IF(EXACT(H847,INDEX(Guide!$A$7:$A$9,MATCH(SUBSTITUTE(SUBSTITUTE(SUBSTITUTE(H847,"~","~~"),"*","~*"),"?","~?"),Guide!$A$7:$A$9,0))),INDEX(Guide!$B$7:$B$9,MATCH(SUBSTITUTE(SUBSTITUTE(SUBSTITUTE(H847,"~","~~"),"*","~*"),"?","~?"),Guide!$A$7:$A$9,0)),""),"")</f>
        <v>Accessories</v>
      </c>
      <c r="J847" s="1" t="str">
        <f>IF(TRIM(Raw!E847)="",I847,IF(UPPER(TRIM(Raw!E847))=UPPER(I847),I847,""))</f>
        <v>Accessories</v>
      </c>
      <c r="K847" s="1" t="str">
        <f>IF(Raw!F847="","",Raw!F847)</f>
        <v>sale</v>
      </c>
      <c r="L847" s="1" t="str">
        <f>IF(LEFT(TRIM(Raw!G847),2)="-$","-"&amp;MID(TRIM(Raw!G847),3,99),IF(LEFT(TRIM(Raw!G847),1)="$",MID(TRIM(Raw!G847),2,99),TRIM(Raw!G847)))</f>
        <v>75.79</v>
      </c>
      <c r="M847" s="1">
        <f t="shared" si="107"/>
        <v>75.790000000000006</v>
      </c>
      <c r="N847" s="10">
        <f t="shared" si="108"/>
        <v>7579</v>
      </c>
      <c r="O847" s="1" t="b">
        <f>IFERROR(IF(ISNUMBER(Raw!G847),TRUE,OR(EXACT(L847,TEXT(M847,"0.00")),EXACT(L847,TEXT(M847,"#,##0.00")))),FALSE)</f>
        <v>1</v>
      </c>
      <c r="P847" s="1" t="str">
        <f>LEN(IF(Raw!A847="","",Raw!A847))&amp;":"&amp;IF(Raw!A847="","",Raw!A847)&amp;"|"&amp;LEN(IF(Raw!B847="","",Raw!B847))&amp;":"&amp;IF(Raw!B847="","",Raw!B847)&amp;"|"&amp;LEN(IF(Raw!C847="","",Raw!C847))&amp;":"&amp;IF(Raw!C847="","",Raw!C847)&amp;"|"&amp;LEN(IF(Raw!D847="","",Raw!D847))&amp;":"&amp;IF(Raw!D847="","",Raw!D847)&amp;"|"&amp;LEN(IF(Raw!E847="","",Raw!E847))&amp;":"&amp;IF(Raw!E847="","",Raw!E847)&amp;"|"&amp;LEN(IF(Raw!F847="","",Raw!F847))&amp;":"&amp;IF(Raw!F847="","",Raw!F847)&amp;"|"&amp;LEN(IF(Raw!G847="","",Raw!G847))&amp;":"&amp;IF(Raw!G847="","",Raw!G847)</f>
        <v>6:L00841|6:T00421|10:2026-03-02|3:P-A|11:Accessories|4:sale|5:75.79</v>
      </c>
      <c r="Q847" s="1">
        <f>1</f>
        <v>1</v>
      </c>
      <c r="R847" s="1" t="b">
        <f>FALSE</f>
        <v>0</v>
      </c>
      <c r="S847" s="1">
        <f>1</f>
        <v>1</v>
      </c>
      <c r="T847" s="1" t="str">
        <f>IF(AND(Raw!A847="",Raw!B847="",Raw!C847="",Raw!D847="",Raw!E847="",Raw!F847="",Raw!G847=""),"UNUSED",IF(A847="","missing line ID",IF(B847="","missing transaction ID",IF(G847="",IF(C847="","missing date","invalid date"),IF(I847="","unknown product",IF(J847="","conflicting category",IF(NOT(OR(EXACT(K847,"sale"),EXACT(K847,"refund"))),"unknown event",IF(OR(N847="",NOT(O847)),"invalid amount",IF(OR(AND(K847="sale",N847&lt;=0),AND(K847="refund",N847&gt;=0)),"invalid sign","")))))))))</f>
        <v/>
      </c>
      <c r="U847" s="1" t="str">
        <f t="shared" si="109"/>
        <v>INCLUDED</v>
      </c>
      <c r="V847" s="1" t="str">
        <f t="shared" si="110"/>
        <v>2026-03</v>
      </c>
      <c r="W847" s="1">
        <f>IF(AND(U847="INCLUDED",X847&gt;0,EXACT(A847,'AI output'!A847)),1,0)</f>
        <v>1</v>
      </c>
      <c r="X847" s="1">
        <f>847</f>
        <v>847</v>
      </c>
      <c r="Y847" s="1">
        <f>IF(AND(U847="INCLUDED",W847=1),--(NOT(EXACT(A847,'AI output'!A847)))+--(NOT(EXACT(B847,'AI output'!B847)))+--(NOT(EXACT(TEXT(G847,"yyyy-mm-dd"),'AI output'!C847)))+--(NOT(EXACT(H847,'AI output'!D847)))+--(NOT(EXACT(J847,'AI output'!E847)))+--(NOT(EXACT(K847,'AI output'!F847)))+--(N847&lt;&gt;'AI output'!L847)+--(NOT('AI output'!M847)),0)</f>
        <v>0</v>
      </c>
      <c r="Z847" s="1">
        <f t="shared" si="111"/>
        <v>0</v>
      </c>
      <c r="AA847" s="1">
        <f>--EXACT(A847,"L00841")</f>
        <v>1</v>
      </c>
    </row>
    <row r="848" spans="1:27" ht="18.95" customHeight="1">
      <c r="A848" s="1" t="str">
        <f>IF(Raw!A848="","",Raw!A848)</f>
        <v>L00842</v>
      </c>
      <c r="B848" s="1" t="str">
        <f>IF(Raw!B848="","",Raw!B848)</f>
        <v>T00421</v>
      </c>
      <c r="C848" s="1" t="str">
        <f>IF(Raw!C848="","",Raw!C848)</f>
        <v>2026-03-02</v>
      </c>
      <c r="D848" s="1">
        <f t="shared" si="104"/>
        <v>2026</v>
      </c>
      <c r="E848" s="1">
        <f>IFERROR(IF(AND(LEN(C848)=10,MID(C848,5,1)="-",MID(C848,8,1)="-"),VALUE(MID(C848,6,2)),IF(AND(LEN(C848)=11,MID(C848,3,1)="-",MID(C848,7,1)="-"),MATCH(UPPER(MID(C848,4,3)),Guide!$D$7:$D$18,0),0)),0)</f>
        <v>3</v>
      </c>
      <c r="F848" s="1">
        <f t="shared" si="105"/>
        <v>2</v>
      </c>
      <c r="G848" s="9">
        <f t="shared" si="106"/>
        <v>46083</v>
      </c>
      <c r="H848" s="1" t="str">
        <f>IF(Raw!D848="","",Raw!D848)</f>
        <v>P-H</v>
      </c>
      <c r="I848" s="1" t="str">
        <f>IFERROR(IF(EXACT(H848,INDEX(Guide!$A$7:$A$9,MATCH(SUBSTITUTE(SUBSTITUTE(SUBSTITUTE(H848,"~","~~"),"*","~*"),"?","~?"),Guide!$A$7:$A$9,0))),INDEX(Guide!$B$7:$B$9,MATCH(SUBSTITUTE(SUBSTITUTE(SUBSTITUTE(H848,"~","~~"),"*","~*"),"?","~?"),Guide!$A$7:$A$9,0)),""),"")</f>
        <v>Home</v>
      </c>
      <c r="J848" s="1" t="str">
        <f>IF(TRIM(Raw!E848)="",I848,IF(UPPER(TRIM(Raw!E848))=UPPER(I848),I848,""))</f>
        <v>Home</v>
      </c>
      <c r="K848" s="1" t="str">
        <f>IF(Raw!F848="","",Raw!F848)</f>
        <v>sale</v>
      </c>
      <c r="L848" s="1" t="str">
        <f>IF(LEFT(TRIM(Raw!G848),2)="-$","-"&amp;MID(TRIM(Raw!G848),3,99),IF(LEFT(TRIM(Raw!G848),1)="$",MID(TRIM(Raw!G848),2,99),TRIM(Raw!G848)))</f>
        <v>228.48</v>
      </c>
      <c r="M848" s="1">
        <f t="shared" si="107"/>
        <v>228.48</v>
      </c>
      <c r="N848" s="10">
        <f t="shared" si="108"/>
        <v>22848</v>
      </c>
      <c r="O848" s="1" t="b">
        <f>IFERROR(IF(ISNUMBER(Raw!G848),TRUE,OR(EXACT(L848,TEXT(M848,"0.00")),EXACT(L848,TEXT(M848,"#,##0.00")))),FALSE)</f>
        <v>1</v>
      </c>
      <c r="P848" s="1" t="str">
        <f>LEN(IF(Raw!A848="","",Raw!A848))&amp;":"&amp;IF(Raw!A848="","",Raw!A848)&amp;"|"&amp;LEN(IF(Raw!B848="","",Raw!B848))&amp;":"&amp;IF(Raw!B848="","",Raw!B848)&amp;"|"&amp;LEN(IF(Raw!C848="","",Raw!C848))&amp;":"&amp;IF(Raw!C848="","",Raw!C848)&amp;"|"&amp;LEN(IF(Raw!D848="","",Raw!D848))&amp;":"&amp;IF(Raw!D848="","",Raw!D848)&amp;"|"&amp;LEN(IF(Raw!E848="","",Raw!E848))&amp;":"&amp;IF(Raw!E848="","",Raw!E848)&amp;"|"&amp;LEN(IF(Raw!F848="","",Raw!F848))&amp;":"&amp;IF(Raw!F848="","",Raw!F848)&amp;"|"&amp;LEN(IF(Raw!G848="","",Raw!G848))&amp;":"&amp;IF(Raw!G848="","",Raw!G848)</f>
        <v>6:L00842|6:T00421|10:2026-03-02|3:P-H|4:Home|4:sale|6:228.48</v>
      </c>
      <c r="Q848" s="1">
        <f>1</f>
        <v>1</v>
      </c>
      <c r="R848" s="1" t="b">
        <f>FALSE</f>
        <v>0</v>
      </c>
      <c r="S848" s="1">
        <f>1</f>
        <v>1</v>
      </c>
      <c r="T848" s="1" t="str">
        <f>IF(AND(Raw!A848="",Raw!B848="",Raw!C848="",Raw!D848="",Raw!E848="",Raw!F848="",Raw!G848=""),"UNUSED",IF(A848="","missing line ID",IF(B848="","missing transaction ID",IF(G848="",IF(C848="","missing date","invalid date"),IF(I848="","unknown product",IF(J848="","conflicting category",IF(NOT(OR(EXACT(K848,"sale"),EXACT(K848,"refund"))),"unknown event",IF(OR(N848="",NOT(O848)),"invalid amount",IF(OR(AND(K848="sale",N848&lt;=0),AND(K848="refund",N848&gt;=0)),"invalid sign","")))))))))</f>
        <v/>
      </c>
      <c r="U848" s="1" t="str">
        <f t="shared" si="109"/>
        <v>INCLUDED</v>
      </c>
      <c r="V848" s="1" t="str">
        <f t="shared" si="110"/>
        <v>2026-03</v>
      </c>
      <c r="W848" s="1">
        <f>IF(AND(U848="INCLUDED",X848&gt;0,EXACT(A848,'AI output'!A848)),1,0)</f>
        <v>1</v>
      </c>
      <c r="X848" s="1">
        <f>848</f>
        <v>848</v>
      </c>
      <c r="Y848" s="1">
        <f>IF(AND(U848="INCLUDED",W848=1),--(NOT(EXACT(A848,'AI output'!A848)))+--(NOT(EXACT(B848,'AI output'!B848)))+--(NOT(EXACT(TEXT(G848,"yyyy-mm-dd"),'AI output'!C848)))+--(NOT(EXACT(H848,'AI output'!D848)))+--(NOT(EXACT(J848,'AI output'!E848)))+--(NOT(EXACT(K848,'AI output'!F848)))+--(N848&lt;&gt;'AI output'!L848)+--(NOT('AI output'!M848)),0)</f>
        <v>0</v>
      </c>
      <c r="Z848" s="1">
        <f t="shared" si="111"/>
        <v>0</v>
      </c>
      <c r="AA848" s="1">
        <f>--EXACT(A848,"L00842")</f>
        <v>1</v>
      </c>
    </row>
    <row r="849" spans="1:27" ht="18.95" customHeight="1">
      <c r="A849" s="1" t="str">
        <f>IF(Raw!A849="","",Raw!A849)</f>
        <v>L00843</v>
      </c>
      <c r="B849" s="1" t="str">
        <f>IF(Raw!B849="","",Raw!B849)</f>
        <v>T00422</v>
      </c>
      <c r="C849" s="1" t="str">
        <f>IF(Raw!C849="","",Raw!C849)</f>
        <v>2026-03-09</v>
      </c>
      <c r="D849" s="1">
        <f t="shared" si="104"/>
        <v>2026</v>
      </c>
      <c r="E849" s="1">
        <f>IFERROR(IF(AND(LEN(C849)=10,MID(C849,5,1)="-",MID(C849,8,1)="-"),VALUE(MID(C849,6,2)),IF(AND(LEN(C849)=11,MID(C849,3,1)="-",MID(C849,7,1)="-"),MATCH(UPPER(MID(C849,4,3)),Guide!$D$7:$D$18,0),0)),0)</f>
        <v>3</v>
      </c>
      <c r="F849" s="1">
        <f t="shared" si="105"/>
        <v>9</v>
      </c>
      <c r="G849" s="9">
        <f t="shared" si="106"/>
        <v>46090</v>
      </c>
      <c r="H849" s="1" t="str">
        <f>IF(Raw!D849="","",Raw!D849)</f>
        <v>P-O</v>
      </c>
      <c r="I849" s="1" t="str">
        <f>IFERROR(IF(EXACT(H849,INDEX(Guide!$A$7:$A$9,MATCH(SUBSTITUTE(SUBSTITUTE(SUBSTITUTE(H849,"~","~~"),"*","~*"),"?","~?"),Guide!$A$7:$A$9,0))),INDEX(Guide!$B$7:$B$9,MATCH(SUBSTITUTE(SUBSTITUTE(SUBSTITUTE(H849,"~","~~"),"*","~*"),"?","~?"),Guide!$A$7:$A$9,0)),""),"")</f>
        <v>Office</v>
      </c>
      <c r="J849" s="1" t="str">
        <f>IF(TRIM(Raw!E849)="",I849,IF(UPPER(TRIM(Raw!E849))=UPPER(I849),I849,""))</f>
        <v>Office</v>
      </c>
      <c r="K849" s="1" t="str">
        <f>IF(Raw!F849="","",Raw!F849)</f>
        <v>sale</v>
      </c>
      <c r="L849" s="1" t="str">
        <f>IF(LEFT(TRIM(Raw!G849),2)="-$","-"&amp;MID(TRIM(Raw!G849),3,99),IF(LEFT(TRIM(Raw!G849),1)="$",MID(TRIM(Raw!G849),2,99),TRIM(Raw!G849)))</f>
        <v>382.65</v>
      </c>
      <c r="M849" s="1">
        <f t="shared" si="107"/>
        <v>382.65</v>
      </c>
      <c r="N849" s="10">
        <f t="shared" si="108"/>
        <v>38265</v>
      </c>
      <c r="O849" s="1" t="b">
        <f>IFERROR(IF(ISNUMBER(Raw!G849),TRUE,OR(EXACT(L849,TEXT(M849,"0.00")),EXACT(L849,TEXT(M849,"#,##0.00")))),FALSE)</f>
        <v>1</v>
      </c>
      <c r="P849" s="1" t="str">
        <f>LEN(IF(Raw!A849="","",Raw!A849))&amp;":"&amp;IF(Raw!A849="","",Raw!A849)&amp;"|"&amp;LEN(IF(Raw!B849="","",Raw!B849))&amp;":"&amp;IF(Raw!B849="","",Raw!B849)&amp;"|"&amp;LEN(IF(Raw!C849="","",Raw!C849))&amp;":"&amp;IF(Raw!C849="","",Raw!C849)&amp;"|"&amp;LEN(IF(Raw!D849="","",Raw!D849))&amp;":"&amp;IF(Raw!D849="","",Raw!D849)&amp;"|"&amp;LEN(IF(Raw!E849="","",Raw!E849))&amp;":"&amp;IF(Raw!E849="","",Raw!E849)&amp;"|"&amp;LEN(IF(Raw!F849="","",Raw!F849))&amp;":"&amp;IF(Raw!F849="","",Raw!F849)&amp;"|"&amp;LEN(IF(Raw!G849="","",Raw!G849))&amp;":"&amp;IF(Raw!G849="","",Raw!G849)</f>
        <v>6:L00843|6:T00422|10:2026-03-09|3:P-O|6:Office|4:sale|6:382.65</v>
      </c>
      <c r="Q849" s="1">
        <f>1</f>
        <v>1</v>
      </c>
      <c r="R849" s="1" t="b">
        <f>FALSE</f>
        <v>0</v>
      </c>
      <c r="S849" s="1">
        <f>1</f>
        <v>1</v>
      </c>
      <c r="T849" s="1" t="str">
        <f>IF(AND(Raw!A849="",Raw!B849="",Raw!C849="",Raw!D849="",Raw!E849="",Raw!F849="",Raw!G849=""),"UNUSED",IF(A849="","missing line ID",IF(B849="","missing transaction ID",IF(G849="",IF(C849="","missing date","invalid date"),IF(I849="","unknown product",IF(J849="","conflicting category",IF(NOT(OR(EXACT(K849,"sale"),EXACT(K849,"refund"))),"unknown event",IF(OR(N849="",NOT(O849)),"invalid amount",IF(OR(AND(K849="sale",N849&lt;=0),AND(K849="refund",N849&gt;=0)),"invalid sign","")))))))))</f>
        <v/>
      </c>
      <c r="U849" s="1" t="str">
        <f t="shared" si="109"/>
        <v>INCLUDED</v>
      </c>
      <c r="V849" s="1" t="str">
        <f t="shared" si="110"/>
        <v>2026-03</v>
      </c>
      <c r="W849" s="1">
        <f>IF(AND(U849="INCLUDED",X849&gt;0,EXACT(A849,'AI output'!A849)),1,0)</f>
        <v>1</v>
      </c>
      <c r="X849" s="1">
        <f>849</f>
        <v>849</v>
      </c>
      <c r="Y849" s="1">
        <f>IF(AND(U849="INCLUDED",W849=1),--(NOT(EXACT(A849,'AI output'!A849)))+--(NOT(EXACT(B849,'AI output'!B849)))+--(NOT(EXACT(TEXT(G849,"yyyy-mm-dd"),'AI output'!C849)))+--(NOT(EXACT(H849,'AI output'!D849)))+--(NOT(EXACT(J849,'AI output'!E849)))+--(NOT(EXACT(K849,'AI output'!F849)))+--(N849&lt;&gt;'AI output'!L849)+--(NOT('AI output'!M849)),0)</f>
        <v>0</v>
      </c>
      <c r="Z849" s="1">
        <f t="shared" si="111"/>
        <v>0</v>
      </c>
      <c r="AA849" s="1">
        <f>--EXACT(A849,"L00843")</f>
        <v>1</v>
      </c>
    </row>
    <row r="850" spans="1:27" ht="18.95" customHeight="1">
      <c r="A850" s="1" t="str">
        <f>IF(Raw!A850="","",Raw!A850)</f>
        <v>L00844</v>
      </c>
      <c r="B850" s="1" t="str">
        <f>IF(Raw!B850="","",Raw!B850)</f>
        <v>T00422</v>
      </c>
      <c r="C850" s="1" t="str">
        <f>IF(Raw!C850="","",Raw!C850)</f>
        <v>2026-03-09</v>
      </c>
      <c r="D850" s="1">
        <f t="shared" si="104"/>
        <v>2026</v>
      </c>
      <c r="E850" s="1">
        <f>IFERROR(IF(AND(LEN(C850)=10,MID(C850,5,1)="-",MID(C850,8,1)="-"),VALUE(MID(C850,6,2)),IF(AND(LEN(C850)=11,MID(C850,3,1)="-",MID(C850,7,1)="-"),MATCH(UPPER(MID(C850,4,3)),Guide!$D$7:$D$18,0),0)),0)</f>
        <v>3</v>
      </c>
      <c r="F850" s="1">
        <f t="shared" si="105"/>
        <v>9</v>
      </c>
      <c r="G850" s="9">
        <f t="shared" si="106"/>
        <v>46090</v>
      </c>
      <c r="H850" s="1" t="str">
        <f>IF(Raw!D850="","",Raw!D850)</f>
        <v>P-A</v>
      </c>
      <c r="I850" s="1" t="str">
        <f>IFERROR(IF(EXACT(H850,INDEX(Guide!$A$7:$A$9,MATCH(SUBSTITUTE(SUBSTITUTE(SUBSTITUTE(H850,"~","~~"),"*","~*"),"?","~?"),Guide!$A$7:$A$9,0))),INDEX(Guide!$B$7:$B$9,MATCH(SUBSTITUTE(SUBSTITUTE(SUBSTITUTE(H850,"~","~~"),"*","~*"),"?","~?"),Guide!$A$7:$A$9,0)),""),"")</f>
        <v>Accessories</v>
      </c>
      <c r="J850" s="1" t="str">
        <f>IF(TRIM(Raw!E850)="",I850,IF(UPPER(TRIM(Raw!E850))=UPPER(I850),I850,""))</f>
        <v>Accessories</v>
      </c>
      <c r="K850" s="1" t="str">
        <f>IF(Raw!F850="","",Raw!F850)</f>
        <v>sale</v>
      </c>
      <c r="L850" s="1" t="str">
        <f>IF(LEFT(TRIM(Raw!G850),2)="-$","-"&amp;MID(TRIM(Raw!G850),3,99),IF(LEFT(TRIM(Raw!G850),1)="$",MID(TRIM(Raw!G850),2,99),TRIM(Raw!G850)))</f>
        <v>153.80</v>
      </c>
      <c r="M850" s="1">
        <f t="shared" si="107"/>
        <v>153.80000000000001</v>
      </c>
      <c r="N850" s="10">
        <f t="shared" si="108"/>
        <v>15380</v>
      </c>
      <c r="O850" s="1" t="b">
        <f>IFERROR(IF(ISNUMBER(Raw!G850),TRUE,OR(EXACT(L850,TEXT(M850,"0.00")),EXACT(L850,TEXT(M850,"#,##0.00")))),FALSE)</f>
        <v>1</v>
      </c>
      <c r="P850" s="1" t="str">
        <f>LEN(IF(Raw!A850="","",Raw!A850))&amp;":"&amp;IF(Raw!A850="","",Raw!A850)&amp;"|"&amp;LEN(IF(Raw!B850="","",Raw!B850))&amp;":"&amp;IF(Raw!B850="","",Raw!B850)&amp;"|"&amp;LEN(IF(Raw!C850="","",Raw!C850))&amp;":"&amp;IF(Raw!C850="","",Raw!C850)&amp;"|"&amp;LEN(IF(Raw!D850="","",Raw!D850))&amp;":"&amp;IF(Raw!D850="","",Raw!D850)&amp;"|"&amp;LEN(IF(Raw!E850="","",Raw!E850))&amp;":"&amp;IF(Raw!E850="","",Raw!E850)&amp;"|"&amp;LEN(IF(Raw!F850="","",Raw!F850))&amp;":"&amp;IF(Raw!F850="","",Raw!F850)&amp;"|"&amp;LEN(IF(Raw!G850="","",Raw!G850))&amp;":"&amp;IF(Raw!G850="","",Raw!G850)</f>
        <v>6:L00844|6:T00422|10:2026-03-09|3:P-A|11:Accessories|4:sale|6:153.80</v>
      </c>
      <c r="Q850" s="1">
        <f>1</f>
        <v>1</v>
      </c>
      <c r="R850" s="1" t="b">
        <f>FALSE</f>
        <v>0</v>
      </c>
      <c r="S850" s="1">
        <f>1</f>
        <v>1</v>
      </c>
      <c r="T850" s="1" t="str">
        <f>IF(AND(Raw!A850="",Raw!B850="",Raw!C850="",Raw!D850="",Raw!E850="",Raw!F850="",Raw!G850=""),"UNUSED",IF(A850="","missing line ID",IF(B850="","missing transaction ID",IF(G850="",IF(C850="","missing date","invalid date"),IF(I850="","unknown product",IF(J850="","conflicting category",IF(NOT(OR(EXACT(K850,"sale"),EXACT(K850,"refund"))),"unknown event",IF(OR(N850="",NOT(O850)),"invalid amount",IF(OR(AND(K850="sale",N850&lt;=0),AND(K850="refund",N850&gt;=0)),"invalid sign","")))))))))</f>
        <v/>
      </c>
      <c r="U850" s="1" t="str">
        <f t="shared" si="109"/>
        <v>INCLUDED</v>
      </c>
      <c r="V850" s="1" t="str">
        <f t="shared" si="110"/>
        <v>2026-03</v>
      </c>
      <c r="W850" s="1">
        <f>IF(AND(U850="INCLUDED",X850&gt;0,EXACT(A850,'AI output'!A850)),1,0)</f>
        <v>1</v>
      </c>
      <c r="X850" s="1">
        <f>850</f>
        <v>850</v>
      </c>
      <c r="Y850" s="1">
        <f>IF(AND(U850="INCLUDED",W850=1),--(NOT(EXACT(A850,'AI output'!A850)))+--(NOT(EXACT(B850,'AI output'!B850)))+--(NOT(EXACT(TEXT(G850,"yyyy-mm-dd"),'AI output'!C850)))+--(NOT(EXACT(H850,'AI output'!D850)))+--(NOT(EXACT(J850,'AI output'!E850)))+--(NOT(EXACT(K850,'AI output'!F850)))+--(N850&lt;&gt;'AI output'!L850)+--(NOT('AI output'!M850)),0)</f>
        <v>0</v>
      </c>
      <c r="Z850" s="1">
        <f t="shared" si="111"/>
        <v>0</v>
      </c>
      <c r="AA850" s="1">
        <f>--EXACT(A850,"L00844")</f>
        <v>1</v>
      </c>
    </row>
    <row r="851" spans="1:27" ht="18.95" customHeight="1">
      <c r="A851" s="1" t="str">
        <f>IF(Raw!A851="","",Raw!A851)</f>
        <v>L00845</v>
      </c>
      <c r="B851" s="1" t="str">
        <f>IF(Raw!B851="","",Raw!B851)</f>
        <v>T00423</v>
      </c>
      <c r="C851" s="1" t="str">
        <f>IF(Raw!C851="","",Raw!C851)</f>
        <v>2026-03-16</v>
      </c>
      <c r="D851" s="1">
        <f t="shared" si="104"/>
        <v>2026</v>
      </c>
      <c r="E851" s="1">
        <f>IFERROR(IF(AND(LEN(C851)=10,MID(C851,5,1)="-",MID(C851,8,1)="-"),VALUE(MID(C851,6,2)),IF(AND(LEN(C851)=11,MID(C851,3,1)="-",MID(C851,7,1)="-"),MATCH(UPPER(MID(C851,4,3)),Guide!$D$7:$D$18,0),0)),0)</f>
        <v>3</v>
      </c>
      <c r="F851" s="1">
        <f t="shared" si="105"/>
        <v>16</v>
      </c>
      <c r="G851" s="9">
        <f t="shared" si="106"/>
        <v>46097</v>
      </c>
      <c r="H851" s="1" t="str">
        <f>IF(Raw!D851="","",Raw!D851)</f>
        <v>P-H</v>
      </c>
      <c r="I851" s="1" t="str">
        <f>IFERROR(IF(EXACT(H851,INDEX(Guide!$A$7:$A$9,MATCH(SUBSTITUTE(SUBSTITUTE(SUBSTITUTE(H851,"~","~~"),"*","~*"),"?","~?"),Guide!$A$7:$A$9,0))),INDEX(Guide!$B$7:$B$9,MATCH(SUBSTITUTE(SUBSTITUTE(SUBSTITUTE(H851,"~","~~"),"*","~*"),"?","~?"),Guide!$A$7:$A$9,0)),""),"")</f>
        <v>Home</v>
      </c>
      <c r="J851" s="1" t="str">
        <f>IF(TRIM(Raw!E851)="",I851,IF(UPPER(TRIM(Raw!E851))=UPPER(I851),I851,""))</f>
        <v>Home</v>
      </c>
      <c r="K851" s="1" t="str">
        <f>IF(Raw!F851="","",Raw!F851)</f>
        <v>sale</v>
      </c>
      <c r="L851" s="1" t="str">
        <f>IF(LEFT(TRIM(Raw!G851),2)="-$","-"&amp;MID(TRIM(Raw!G851),3,99),IF(LEFT(TRIM(Raw!G851),1)="$",MID(TRIM(Raw!G851),2,99),TRIM(Raw!G851)))</f>
        <v>309.08</v>
      </c>
      <c r="M851" s="1">
        <f t="shared" si="107"/>
        <v>309.08</v>
      </c>
      <c r="N851" s="10">
        <f t="shared" si="108"/>
        <v>30908</v>
      </c>
      <c r="O851" s="1" t="b">
        <f>IFERROR(IF(ISNUMBER(Raw!G851),TRUE,OR(EXACT(L851,TEXT(M851,"0.00")),EXACT(L851,TEXT(M851,"#,##0.00")))),FALSE)</f>
        <v>1</v>
      </c>
      <c r="P851" s="1" t="str">
        <f>LEN(IF(Raw!A851="","",Raw!A851))&amp;":"&amp;IF(Raw!A851="","",Raw!A851)&amp;"|"&amp;LEN(IF(Raw!B851="","",Raw!B851))&amp;":"&amp;IF(Raw!B851="","",Raw!B851)&amp;"|"&amp;LEN(IF(Raw!C851="","",Raw!C851))&amp;":"&amp;IF(Raw!C851="","",Raw!C851)&amp;"|"&amp;LEN(IF(Raw!D851="","",Raw!D851))&amp;":"&amp;IF(Raw!D851="","",Raw!D851)&amp;"|"&amp;LEN(IF(Raw!E851="","",Raw!E851))&amp;":"&amp;IF(Raw!E851="","",Raw!E851)&amp;"|"&amp;LEN(IF(Raw!F851="","",Raw!F851))&amp;":"&amp;IF(Raw!F851="","",Raw!F851)&amp;"|"&amp;LEN(IF(Raw!G851="","",Raw!G851))&amp;":"&amp;IF(Raw!G851="","",Raw!G851)</f>
        <v>6:L00845|6:T00423|10:2026-03-16|3:P-H|4:Home|4:sale|6:309.08</v>
      </c>
      <c r="Q851" s="1">
        <f>1</f>
        <v>1</v>
      </c>
      <c r="R851" s="1" t="b">
        <f>FALSE</f>
        <v>0</v>
      </c>
      <c r="S851" s="1">
        <f>1</f>
        <v>1</v>
      </c>
      <c r="T851" s="1" t="str">
        <f>IF(AND(Raw!A851="",Raw!B851="",Raw!C851="",Raw!D851="",Raw!E851="",Raw!F851="",Raw!G851=""),"UNUSED",IF(A851="","missing line ID",IF(B851="","missing transaction ID",IF(G851="",IF(C851="","missing date","invalid date"),IF(I851="","unknown product",IF(J851="","conflicting category",IF(NOT(OR(EXACT(K851,"sale"),EXACT(K851,"refund"))),"unknown event",IF(OR(N851="",NOT(O851)),"invalid amount",IF(OR(AND(K851="sale",N851&lt;=0),AND(K851="refund",N851&gt;=0)),"invalid sign","")))))))))</f>
        <v/>
      </c>
      <c r="U851" s="1" t="str">
        <f t="shared" si="109"/>
        <v>INCLUDED</v>
      </c>
      <c r="V851" s="1" t="str">
        <f t="shared" si="110"/>
        <v>2026-03</v>
      </c>
      <c r="W851" s="1">
        <f>IF(AND(U851="INCLUDED",X851&gt;0,EXACT(A851,'AI output'!A851)),1,0)</f>
        <v>1</v>
      </c>
      <c r="X851" s="1">
        <f>851</f>
        <v>851</v>
      </c>
      <c r="Y851" s="1">
        <f>IF(AND(U851="INCLUDED",W851=1),--(NOT(EXACT(A851,'AI output'!A851)))+--(NOT(EXACT(B851,'AI output'!B851)))+--(NOT(EXACT(TEXT(G851,"yyyy-mm-dd"),'AI output'!C851)))+--(NOT(EXACT(H851,'AI output'!D851)))+--(NOT(EXACT(J851,'AI output'!E851)))+--(NOT(EXACT(K851,'AI output'!F851)))+--(N851&lt;&gt;'AI output'!L851)+--(NOT('AI output'!M851)),0)</f>
        <v>0</v>
      </c>
      <c r="Z851" s="1">
        <f t="shared" si="111"/>
        <v>0</v>
      </c>
      <c r="AA851" s="1">
        <f>--EXACT(A851,"L00845")</f>
        <v>1</v>
      </c>
    </row>
    <row r="852" spans="1:27" ht="18.95" customHeight="1">
      <c r="A852" s="1" t="str">
        <f>IF(Raw!A852="","",Raw!A852)</f>
        <v>L00846</v>
      </c>
      <c r="B852" s="1" t="str">
        <f>IF(Raw!B852="","",Raw!B852)</f>
        <v>T00423</v>
      </c>
      <c r="C852" s="1" t="str">
        <f>IF(Raw!C852="","",Raw!C852)</f>
        <v>2026-03-16</v>
      </c>
      <c r="D852" s="1">
        <f t="shared" si="104"/>
        <v>2026</v>
      </c>
      <c r="E852" s="1">
        <f>IFERROR(IF(AND(LEN(C852)=10,MID(C852,5,1)="-",MID(C852,8,1)="-"),VALUE(MID(C852,6,2)),IF(AND(LEN(C852)=11,MID(C852,3,1)="-",MID(C852,7,1)="-"),MATCH(UPPER(MID(C852,4,3)),Guide!$D$7:$D$18,0),0)),0)</f>
        <v>3</v>
      </c>
      <c r="F852" s="1">
        <f t="shared" si="105"/>
        <v>16</v>
      </c>
      <c r="G852" s="9">
        <f t="shared" si="106"/>
        <v>46097</v>
      </c>
      <c r="H852" s="1" t="str">
        <f>IF(Raw!D852="","",Raw!D852)</f>
        <v>P-O</v>
      </c>
      <c r="I852" s="1" t="str">
        <f>IFERROR(IF(EXACT(H852,INDEX(Guide!$A$7:$A$9,MATCH(SUBSTITUTE(SUBSTITUTE(SUBSTITUTE(H852,"~","~~"),"*","~*"),"?","~?"),Guide!$A$7:$A$9,0))),INDEX(Guide!$B$7:$B$9,MATCH(SUBSTITUTE(SUBSTITUTE(SUBSTITUTE(H852,"~","~~"),"*","~*"),"?","~?"),Guide!$A$7:$A$9,0)),""),"")</f>
        <v>Office</v>
      </c>
      <c r="J852" s="1" t="str">
        <f>IF(TRIM(Raw!E852)="",I852,IF(UPPER(TRIM(Raw!E852))=UPPER(I852),I852,""))</f>
        <v>Office</v>
      </c>
      <c r="K852" s="1" t="str">
        <f>IF(Raw!F852="","",Raw!F852)</f>
        <v>sale</v>
      </c>
      <c r="L852" s="1" t="str">
        <f>IF(LEFT(TRIM(Raw!G852),2)="-$","-"&amp;MID(TRIM(Raw!G852),3,99),IF(LEFT(TRIM(Raw!G852),1)="$",MID(TRIM(Raw!G852),2,99),TRIM(Raw!G852)))</f>
        <v>77.64</v>
      </c>
      <c r="M852" s="1">
        <f t="shared" si="107"/>
        <v>77.64</v>
      </c>
      <c r="N852" s="10">
        <f t="shared" si="108"/>
        <v>7764</v>
      </c>
      <c r="O852" s="1" t="b">
        <f>IFERROR(IF(ISNUMBER(Raw!G852),TRUE,OR(EXACT(L852,TEXT(M852,"0.00")),EXACT(L852,TEXT(M852,"#,##0.00")))),FALSE)</f>
        <v>1</v>
      </c>
      <c r="P852" s="1" t="str">
        <f>LEN(IF(Raw!A852="","",Raw!A852))&amp;":"&amp;IF(Raw!A852="","",Raw!A852)&amp;"|"&amp;LEN(IF(Raw!B852="","",Raw!B852))&amp;":"&amp;IF(Raw!B852="","",Raw!B852)&amp;"|"&amp;LEN(IF(Raw!C852="","",Raw!C852))&amp;":"&amp;IF(Raw!C852="","",Raw!C852)&amp;"|"&amp;LEN(IF(Raw!D852="","",Raw!D852))&amp;":"&amp;IF(Raw!D852="","",Raw!D852)&amp;"|"&amp;LEN(IF(Raw!E852="","",Raw!E852))&amp;":"&amp;IF(Raw!E852="","",Raw!E852)&amp;"|"&amp;LEN(IF(Raw!F852="","",Raw!F852))&amp;":"&amp;IF(Raw!F852="","",Raw!F852)&amp;"|"&amp;LEN(IF(Raw!G852="","",Raw!G852))&amp;":"&amp;IF(Raw!G852="","",Raw!G852)</f>
        <v>6:L00846|6:T00423|10:2026-03-16|3:P-O|6:Office|4:sale|5:77.64</v>
      </c>
      <c r="Q852" s="1">
        <f>1</f>
        <v>1</v>
      </c>
      <c r="R852" s="1" t="b">
        <f>FALSE</f>
        <v>0</v>
      </c>
      <c r="S852" s="1">
        <f>1</f>
        <v>1</v>
      </c>
      <c r="T852" s="1" t="str">
        <f>IF(AND(Raw!A852="",Raw!B852="",Raw!C852="",Raw!D852="",Raw!E852="",Raw!F852="",Raw!G852=""),"UNUSED",IF(A852="","missing line ID",IF(B852="","missing transaction ID",IF(G852="",IF(C852="","missing date","invalid date"),IF(I852="","unknown product",IF(J852="","conflicting category",IF(NOT(OR(EXACT(K852,"sale"),EXACT(K852,"refund"))),"unknown event",IF(OR(N852="",NOT(O852)),"invalid amount",IF(OR(AND(K852="sale",N852&lt;=0),AND(K852="refund",N852&gt;=0)),"invalid sign","")))))))))</f>
        <v/>
      </c>
      <c r="U852" s="1" t="str">
        <f t="shared" si="109"/>
        <v>INCLUDED</v>
      </c>
      <c r="V852" s="1" t="str">
        <f t="shared" si="110"/>
        <v>2026-03</v>
      </c>
      <c r="W852" s="1">
        <f>IF(AND(U852="INCLUDED",X852&gt;0,EXACT(A852,'AI output'!A852)),1,0)</f>
        <v>1</v>
      </c>
      <c r="X852" s="1">
        <f>852</f>
        <v>852</v>
      </c>
      <c r="Y852" s="1">
        <f>IF(AND(U852="INCLUDED",W852=1),--(NOT(EXACT(A852,'AI output'!A852)))+--(NOT(EXACT(B852,'AI output'!B852)))+--(NOT(EXACT(TEXT(G852,"yyyy-mm-dd"),'AI output'!C852)))+--(NOT(EXACT(H852,'AI output'!D852)))+--(NOT(EXACT(J852,'AI output'!E852)))+--(NOT(EXACT(K852,'AI output'!F852)))+--(N852&lt;&gt;'AI output'!L852)+--(NOT('AI output'!M852)),0)</f>
        <v>0</v>
      </c>
      <c r="Z852" s="1">
        <f t="shared" si="111"/>
        <v>0</v>
      </c>
      <c r="AA852" s="1">
        <f>--EXACT(A852,"L00846")</f>
        <v>1</v>
      </c>
    </row>
    <row r="853" spans="1:27" ht="18.95" customHeight="1">
      <c r="A853" s="1" t="str">
        <f>IF(Raw!A853="","",Raw!A853)</f>
        <v>L00847</v>
      </c>
      <c r="B853" s="1" t="str">
        <f>IF(Raw!B853="","",Raw!B853)</f>
        <v>T00424</v>
      </c>
      <c r="C853" s="1" t="str">
        <f>IF(Raw!C853="","",Raw!C853)</f>
        <v>2026-03-23</v>
      </c>
      <c r="D853" s="1">
        <f t="shared" si="104"/>
        <v>2026</v>
      </c>
      <c r="E853" s="1">
        <f>IFERROR(IF(AND(LEN(C853)=10,MID(C853,5,1)="-",MID(C853,8,1)="-"),VALUE(MID(C853,6,2)),IF(AND(LEN(C853)=11,MID(C853,3,1)="-",MID(C853,7,1)="-"),MATCH(UPPER(MID(C853,4,3)),Guide!$D$7:$D$18,0),0)),0)</f>
        <v>3</v>
      </c>
      <c r="F853" s="1">
        <f t="shared" si="105"/>
        <v>23</v>
      </c>
      <c r="G853" s="9">
        <f t="shared" si="106"/>
        <v>46104</v>
      </c>
      <c r="H853" s="1" t="str">
        <f>IF(Raw!D853="","",Raw!D853)</f>
        <v>P-A</v>
      </c>
      <c r="I853" s="1" t="str">
        <f>IFERROR(IF(EXACT(H853,INDEX(Guide!$A$7:$A$9,MATCH(SUBSTITUTE(SUBSTITUTE(SUBSTITUTE(H853,"~","~~"),"*","~*"),"?","~?"),Guide!$A$7:$A$9,0))),INDEX(Guide!$B$7:$B$9,MATCH(SUBSTITUTE(SUBSTITUTE(SUBSTITUTE(H853,"~","~~"),"*","~*"),"?","~?"),Guide!$A$7:$A$9,0)),""),"")</f>
        <v>Accessories</v>
      </c>
      <c r="J853" s="1" t="str">
        <f>IF(TRIM(Raw!E853)="",I853,IF(UPPER(TRIM(Raw!E853))=UPPER(I853),I853,""))</f>
        <v>Accessories</v>
      </c>
      <c r="K853" s="1" t="str">
        <f>IF(Raw!F853="","",Raw!F853)</f>
        <v>sale</v>
      </c>
      <c r="L853" s="1" t="str">
        <f>IF(LEFT(TRIM(Raw!G853),2)="-$","-"&amp;MID(TRIM(Raw!G853),3,99),IF(LEFT(TRIM(Raw!G853),1)="$",MID(TRIM(Raw!G853),2,99),TRIM(Raw!G853)))</f>
        <v>234.03</v>
      </c>
      <c r="M853" s="1">
        <f t="shared" si="107"/>
        <v>234.03</v>
      </c>
      <c r="N853" s="10">
        <f t="shared" si="108"/>
        <v>23403</v>
      </c>
      <c r="O853" s="1" t="b">
        <f>IFERROR(IF(ISNUMBER(Raw!G853),TRUE,OR(EXACT(L853,TEXT(M853,"0.00")),EXACT(L853,TEXT(M853,"#,##0.00")))),FALSE)</f>
        <v>1</v>
      </c>
      <c r="P853" s="1" t="str">
        <f>LEN(IF(Raw!A853="","",Raw!A853))&amp;":"&amp;IF(Raw!A853="","",Raw!A853)&amp;"|"&amp;LEN(IF(Raw!B853="","",Raw!B853))&amp;":"&amp;IF(Raw!B853="","",Raw!B853)&amp;"|"&amp;LEN(IF(Raw!C853="","",Raw!C853))&amp;":"&amp;IF(Raw!C853="","",Raw!C853)&amp;"|"&amp;LEN(IF(Raw!D853="","",Raw!D853))&amp;":"&amp;IF(Raw!D853="","",Raw!D853)&amp;"|"&amp;LEN(IF(Raw!E853="","",Raw!E853))&amp;":"&amp;IF(Raw!E853="","",Raw!E853)&amp;"|"&amp;LEN(IF(Raw!F853="","",Raw!F853))&amp;":"&amp;IF(Raw!F853="","",Raw!F853)&amp;"|"&amp;LEN(IF(Raw!G853="","",Raw!G853))&amp;":"&amp;IF(Raw!G853="","",Raw!G853)</f>
        <v>6:L00847|6:T00424|10:2026-03-23|3:P-A|11:Accessories|4:sale|7:$234.03</v>
      </c>
      <c r="Q853" s="1">
        <f>1</f>
        <v>1</v>
      </c>
      <c r="R853" s="1" t="b">
        <f>FALSE</f>
        <v>0</v>
      </c>
      <c r="S853" s="1">
        <f>1</f>
        <v>1</v>
      </c>
      <c r="T853" s="1" t="str">
        <f>IF(AND(Raw!A853="",Raw!B853="",Raw!C853="",Raw!D853="",Raw!E853="",Raw!F853="",Raw!G853=""),"UNUSED",IF(A853="","missing line ID",IF(B853="","missing transaction ID",IF(G853="",IF(C853="","missing date","invalid date"),IF(I853="","unknown product",IF(J853="","conflicting category",IF(NOT(OR(EXACT(K853,"sale"),EXACT(K853,"refund"))),"unknown event",IF(OR(N853="",NOT(O853)),"invalid amount",IF(OR(AND(K853="sale",N853&lt;=0),AND(K853="refund",N853&gt;=0)),"invalid sign","")))))))))</f>
        <v/>
      </c>
      <c r="U853" s="1" t="str">
        <f t="shared" si="109"/>
        <v>INCLUDED</v>
      </c>
      <c r="V853" s="1" t="str">
        <f t="shared" si="110"/>
        <v>2026-03</v>
      </c>
      <c r="W853" s="1">
        <f>IF(AND(U853="INCLUDED",X853&gt;0,EXACT(A853,'AI output'!A853)),1,0)</f>
        <v>1</v>
      </c>
      <c r="X853" s="1">
        <f>853</f>
        <v>853</v>
      </c>
      <c r="Y853" s="1">
        <f>IF(AND(U853="INCLUDED",W853=1),--(NOT(EXACT(A853,'AI output'!A853)))+--(NOT(EXACT(B853,'AI output'!B853)))+--(NOT(EXACT(TEXT(G853,"yyyy-mm-dd"),'AI output'!C853)))+--(NOT(EXACT(H853,'AI output'!D853)))+--(NOT(EXACT(J853,'AI output'!E853)))+--(NOT(EXACT(K853,'AI output'!F853)))+--(N853&lt;&gt;'AI output'!L853)+--(NOT('AI output'!M853)),0)</f>
        <v>0</v>
      </c>
      <c r="Z853" s="1">
        <f t="shared" si="111"/>
        <v>0</v>
      </c>
      <c r="AA853" s="1">
        <f>--EXACT(A853,"L00847")</f>
        <v>1</v>
      </c>
    </row>
    <row r="854" spans="1:27" ht="18.95" customHeight="1">
      <c r="A854" s="1" t="str">
        <f>IF(Raw!A854="","",Raw!A854)</f>
        <v>L00848</v>
      </c>
      <c r="B854" s="1" t="str">
        <f>IF(Raw!B854="","",Raw!B854)</f>
        <v>T00424</v>
      </c>
      <c r="C854" s="1" t="str">
        <f>IF(Raw!C854="","",Raw!C854)</f>
        <v>2026-03-23</v>
      </c>
      <c r="D854" s="1">
        <f t="shared" si="104"/>
        <v>2026</v>
      </c>
      <c r="E854" s="1">
        <f>IFERROR(IF(AND(LEN(C854)=10,MID(C854,5,1)="-",MID(C854,8,1)="-"),VALUE(MID(C854,6,2)),IF(AND(LEN(C854)=11,MID(C854,3,1)="-",MID(C854,7,1)="-"),MATCH(UPPER(MID(C854,4,3)),Guide!$D$7:$D$18,0),0)),0)</f>
        <v>3</v>
      </c>
      <c r="F854" s="1">
        <f t="shared" si="105"/>
        <v>23</v>
      </c>
      <c r="G854" s="9">
        <f t="shared" si="106"/>
        <v>46104</v>
      </c>
      <c r="H854" s="1" t="str">
        <f>IF(Raw!D854="","",Raw!D854)</f>
        <v>P-H</v>
      </c>
      <c r="I854" s="1" t="str">
        <f>IFERROR(IF(EXACT(H854,INDEX(Guide!$A$7:$A$9,MATCH(SUBSTITUTE(SUBSTITUTE(SUBSTITUTE(H854,"~","~~"),"*","~*"),"?","~?"),Guide!$A$7:$A$9,0))),INDEX(Guide!$B$7:$B$9,MATCH(SUBSTITUTE(SUBSTITUTE(SUBSTITUTE(H854,"~","~~"),"*","~*"),"?","~?"),Guide!$A$7:$A$9,0)),""),"")</f>
        <v>Home</v>
      </c>
      <c r="J854" s="1" t="str">
        <f>IF(TRIM(Raw!E854)="",I854,IF(UPPER(TRIM(Raw!E854))=UPPER(I854),I854,""))</f>
        <v>Home</v>
      </c>
      <c r="K854" s="1" t="str">
        <f>IF(Raw!F854="","",Raw!F854)</f>
        <v>sale</v>
      </c>
      <c r="L854" s="1" t="str">
        <f>IF(LEFT(TRIM(Raw!G854),2)="-$","-"&amp;MID(TRIM(Raw!G854),3,99),IF(LEFT(TRIM(Raw!G854),1)="$",MID(TRIM(Raw!G854),2,99),TRIM(Raw!G854)))</f>
        <v>391.90</v>
      </c>
      <c r="M854" s="1">
        <f t="shared" si="107"/>
        <v>391.9</v>
      </c>
      <c r="N854" s="10">
        <f t="shared" si="108"/>
        <v>39190</v>
      </c>
      <c r="O854" s="1" t="b">
        <f>IFERROR(IF(ISNUMBER(Raw!G854),TRUE,OR(EXACT(L854,TEXT(M854,"0.00")),EXACT(L854,TEXT(M854,"#,##0.00")))),FALSE)</f>
        <v>1</v>
      </c>
      <c r="P854" s="1" t="str">
        <f>LEN(IF(Raw!A854="","",Raw!A854))&amp;":"&amp;IF(Raw!A854="","",Raw!A854)&amp;"|"&amp;LEN(IF(Raw!B854="","",Raw!B854))&amp;":"&amp;IF(Raw!B854="","",Raw!B854)&amp;"|"&amp;LEN(IF(Raw!C854="","",Raw!C854))&amp;":"&amp;IF(Raw!C854="","",Raw!C854)&amp;"|"&amp;LEN(IF(Raw!D854="","",Raw!D854))&amp;":"&amp;IF(Raw!D854="","",Raw!D854)&amp;"|"&amp;LEN(IF(Raw!E854="","",Raw!E854))&amp;":"&amp;IF(Raw!E854="","",Raw!E854)&amp;"|"&amp;LEN(IF(Raw!F854="","",Raw!F854))&amp;":"&amp;IF(Raw!F854="","",Raw!F854)&amp;"|"&amp;LEN(IF(Raw!G854="","",Raw!G854))&amp;":"&amp;IF(Raw!G854="","",Raw!G854)</f>
        <v>6:L00848|6:T00424|10:2026-03-23|3:P-H|4:Home|4:sale|6:391.90</v>
      </c>
      <c r="Q854" s="1">
        <f>1</f>
        <v>1</v>
      </c>
      <c r="R854" s="1" t="b">
        <f>FALSE</f>
        <v>0</v>
      </c>
      <c r="S854" s="1">
        <f>1</f>
        <v>1</v>
      </c>
      <c r="T854" s="1" t="str">
        <f>IF(AND(Raw!A854="",Raw!B854="",Raw!C854="",Raw!D854="",Raw!E854="",Raw!F854="",Raw!G854=""),"UNUSED",IF(A854="","missing line ID",IF(B854="","missing transaction ID",IF(G854="",IF(C854="","missing date","invalid date"),IF(I854="","unknown product",IF(J854="","conflicting category",IF(NOT(OR(EXACT(K854,"sale"),EXACT(K854,"refund"))),"unknown event",IF(OR(N854="",NOT(O854)),"invalid amount",IF(OR(AND(K854="sale",N854&lt;=0),AND(K854="refund",N854&gt;=0)),"invalid sign","")))))))))</f>
        <v/>
      </c>
      <c r="U854" s="1" t="str">
        <f t="shared" si="109"/>
        <v>INCLUDED</v>
      </c>
      <c r="V854" s="1" t="str">
        <f t="shared" si="110"/>
        <v>2026-03</v>
      </c>
      <c r="W854" s="1">
        <f>IF(AND(U854="INCLUDED",X854&gt;0,EXACT(A854,'AI output'!A854)),1,0)</f>
        <v>1</v>
      </c>
      <c r="X854" s="1">
        <f>854</f>
        <v>854</v>
      </c>
      <c r="Y854" s="1">
        <f>IF(AND(U854="INCLUDED",W854=1),--(NOT(EXACT(A854,'AI output'!A854)))+--(NOT(EXACT(B854,'AI output'!B854)))+--(NOT(EXACT(TEXT(G854,"yyyy-mm-dd"),'AI output'!C854)))+--(NOT(EXACT(H854,'AI output'!D854)))+--(NOT(EXACT(J854,'AI output'!E854)))+--(NOT(EXACT(K854,'AI output'!F854)))+--(N854&lt;&gt;'AI output'!L854)+--(NOT('AI output'!M854)),0)</f>
        <v>0</v>
      </c>
      <c r="Z854" s="1">
        <f t="shared" si="111"/>
        <v>0</v>
      </c>
      <c r="AA854" s="1">
        <f>--EXACT(A854,"L00848")</f>
        <v>1</v>
      </c>
    </row>
    <row r="855" spans="1:27" ht="18.95" customHeight="1">
      <c r="A855" s="1" t="str">
        <f>IF(Raw!A855="","",Raw!A855)</f>
        <v>L00849</v>
      </c>
      <c r="B855" s="1" t="str">
        <f>IF(Raw!B855="","",Raw!B855)</f>
        <v>T00425</v>
      </c>
      <c r="C855" s="1" t="str">
        <f>IF(Raw!C855="","",Raw!C855)</f>
        <v>2026-03-30</v>
      </c>
      <c r="D855" s="1">
        <f t="shared" si="104"/>
        <v>2026</v>
      </c>
      <c r="E855" s="1">
        <f>IFERROR(IF(AND(LEN(C855)=10,MID(C855,5,1)="-",MID(C855,8,1)="-"),VALUE(MID(C855,6,2)),IF(AND(LEN(C855)=11,MID(C855,3,1)="-",MID(C855,7,1)="-"),MATCH(UPPER(MID(C855,4,3)),Guide!$D$7:$D$18,0),0)),0)</f>
        <v>3</v>
      </c>
      <c r="F855" s="1">
        <f t="shared" si="105"/>
        <v>30</v>
      </c>
      <c r="G855" s="9">
        <f t="shared" si="106"/>
        <v>46111</v>
      </c>
      <c r="H855" s="1" t="str">
        <f>IF(Raw!D855="","",Raw!D855)</f>
        <v>P-O</v>
      </c>
      <c r="I855" s="1" t="str">
        <f>IFERROR(IF(EXACT(H855,INDEX(Guide!$A$7:$A$9,MATCH(SUBSTITUTE(SUBSTITUTE(SUBSTITUTE(H855,"~","~~"),"*","~*"),"?","~?"),Guide!$A$7:$A$9,0))),INDEX(Guide!$B$7:$B$9,MATCH(SUBSTITUTE(SUBSTITUTE(SUBSTITUTE(H855,"~","~~"),"*","~*"),"?","~?"),Guide!$A$7:$A$9,0)),""),"")</f>
        <v>Office</v>
      </c>
      <c r="J855" s="1" t="str">
        <f>IF(TRIM(Raw!E855)="",I855,IF(UPPER(TRIM(Raw!E855))=UPPER(I855),I855,""))</f>
        <v>Office</v>
      </c>
      <c r="K855" s="1" t="str">
        <f>IF(Raw!F855="","",Raw!F855)</f>
        <v>sale</v>
      </c>
      <c r="L855" s="1" t="str">
        <f>IF(LEFT(TRIM(Raw!G855),2)="-$","-"&amp;MID(TRIM(Raw!G855),3,99),IF(LEFT(TRIM(Raw!G855),1)="$",MID(TRIM(Raw!G855),2,99),TRIM(Raw!G855)))</f>
        <v>157.50</v>
      </c>
      <c r="M855" s="1">
        <f t="shared" si="107"/>
        <v>157.5</v>
      </c>
      <c r="N855" s="10">
        <f t="shared" si="108"/>
        <v>15750</v>
      </c>
      <c r="O855" s="1" t="b">
        <f>IFERROR(IF(ISNUMBER(Raw!G855),TRUE,OR(EXACT(L855,TEXT(M855,"0.00")),EXACT(L855,TEXT(M855,"#,##0.00")))),FALSE)</f>
        <v>1</v>
      </c>
      <c r="P855" s="1" t="str">
        <f>LEN(IF(Raw!A855="","",Raw!A855))&amp;":"&amp;IF(Raw!A855="","",Raw!A855)&amp;"|"&amp;LEN(IF(Raw!B855="","",Raw!B855))&amp;":"&amp;IF(Raw!B855="","",Raw!B855)&amp;"|"&amp;LEN(IF(Raw!C855="","",Raw!C855))&amp;":"&amp;IF(Raw!C855="","",Raw!C855)&amp;"|"&amp;LEN(IF(Raw!D855="","",Raw!D855))&amp;":"&amp;IF(Raw!D855="","",Raw!D855)&amp;"|"&amp;LEN(IF(Raw!E855="","",Raw!E855))&amp;":"&amp;IF(Raw!E855="","",Raw!E855)&amp;"|"&amp;LEN(IF(Raw!F855="","",Raw!F855))&amp;":"&amp;IF(Raw!F855="","",Raw!F855)&amp;"|"&amp;LEN(IF(Raw!G855="","",Raw!G855))&amp;":"&amp;IF(Raw!G855="","",Raw!G855)</f>
        <v>6:L00849|6:T00425|10:2026-03-30|3:P-O|6:Office|4:sale|6:157.50</v>
      </c>
      <c r="Q855" s="1">
        <f>1</f>
        <v>1</v>
      </c>
      <c r="R855" s="1" t="b">
        <f>FALSE</f>
        <v>0</v>
      </c>
      <c r="S855" s="1">
        <f>1</f>
        <v>1</v>
      </c>
      <c r="T855" s="1" t="str">
        <f>IF(AND(Raw!A855="",Raw!B855="",Raw!C855="",Raw!D855="",Raw!E855="",Raw!F855="",Raw!G855=""),"UNUSED",IF(A855="","missing line ID",IF(B855="","missing transaction ID",IF(G855="",IF(C855="","missing date","invalid date"),IF(I855="","unknown product",IF(J855="","conflicting category",IF(NOT(OR(EXACT(K855,"sale"),EXACT(K855,"refund"))),"unknown event",IF(OR(N855="",NOT(O855)),"invalid amount",IF(OR(AND(K855="sale",N855&lt;=0),AND(K855="refund",N855&gt;=0)),"invalid sign","")))))))))</f>
        <v/>
      </c>
      <c r="U855" s="1" t="str">
        <f t="shared" si="109"/>
        <v>INCLUDED</v>
      </c>
      <c r="V855" s="1" t="str">
        <f t="shared" si="110"/>
        <v>2026-03</v>
      </c>
      <c r="W855" s="1">
        <f>IF(AND(U855="INCLUDED",X855&gt;0,EXACT(A855,'AI output'!A855)),1,0)</f>
        <v>1</v>
      </c>
      <c r="X855" s="1">
        <f>855</f>
        <v>855</v>
      </c>
      <c r="Y855" s="1">
        <f>IF(AND(U855="INCLUDED",W855=1),--(NOT(EXACT(A855,'AI output'!A855)))+--(NOT(EXACT(B855,'AI output'!B855)))+--(NOT(EXACT(TEXT(G855,"yyyy-mm-dd"),'AI output'!C855)))+--(NOT(EXACT(H855,'AI output'!D855)))+--(NOT(EXACT(J855,'AI output'!E855)))+--(NOT(EXACT(K855,'AI output'!F855)))+--(N855&lt;&gt;'AI output'!L855)+--(NOT('AI output'!M855)),0)</f>
        <v>0</v>
      </c>
      <c r="Z855" s="1">
        <f t="shared" si="111"/>
        <v>0</v>
      </c>
      <c r="AA855" s="1">
        <f>--EXACT(A855,"L00849")</f>
        <v>1</v>
      </c>
    </row>
    <row r="856" spans="1:27" ht="18.95" customHeight="1">
      <c r="A856" s="1" t="str">
        <f>IF(Raw!A856="","",Raw!A856)</f>
        <v>L00850</v>
      </c>
      <c r="B856" s="1" t="str">
        <f>IF(Raw!B856="","",Raw!B856)</f>
        <v>T00425</v>
      </c>
      <c r="C856" s="1" t="str">
        <f>IF(Raw!C856="","",Raw!C856)</f>
        <v>2026-03-30</v>
      </c>
      <c r="D856" s="1">
        <f t="shared" si="104"/>
        <v>2026</v>
      </c>
      <c r="E856" s="1">
        <f>IFERROR(IF(AND(LEN(C856)=10,MID(C856,5,1)="-",MID(C856,8,1)="-"),VALUE(MID(C856,6,2)),IF(AND(LEN(C856)=11,MID(C856,3,1)="-",MID(C856,7,1)="-"),MATCH(UPPER(MID(C856,4,3)),Guide!$D$7:$D$18,0),0)),0)</f>
        <v>3</v>
      </c>
      <c r="F856" s="1">
        <f t="shared" si="105"/>
        <v>30</v>
      </c>
      <c r="G856" s="9">
        <f t="shared" si="106"/>
        <v>46111</v>
      </c>
      <c r="H856" s="1" t="str">
        <f>IF(Raw!D856="","",Raw!D856)</f>
        <v>P-A</v>
      </c>
      <c r="I856" s="1" t="str">
        <f>IFERROR(IF(EXACT(H856,INDEX(Guide!$A$7:$A$9,MATCH(SUBSTITUTE(SUBSTITUTE(SUBSTITUTE(H856,"~","~~"),"*","~*"),"?","~?"),Guide!$A$7:$A$9,0))),INDEX(Guide!$B$7:$B$9,MATCH(SUBSTITUTE(SUBSTITUTE(SUBSTITUTE(H856,"~","~~"),"*","~*"),"?","~?"),Guide!$A$7:$A$9,0)),""),"")</f>
        <v>Accessories</v>
      </c>
      <c r="J856" s="1" t="str">
        <f>IF(TRIM(Raw!E856)="",I856,IF(UPPER(TRIM(Raw!E856))=UPPER(I856),I856,""))</f>
        <v>Accessories</v>
      </c>
      <c r="K856" s="1" t="str">
        <f>IF(Raw!F856="","",Raw!F856)</f>
        <v>sale</v>
      </c>
      <c r="L856" s="1" t="str">
        <f>IF(LEFT(TRIM(Raw!G856),2)="-$","-"&amp;MID(TRIM(Raw!G856),3,99),IF(LEFT(TRIM(Raw!G856),1)="$",MID(TRIM(Raw!G856),2,99),TRIM(Raw!G856)))</f>
        <v>316.48</v>
      </c>
      <c r="M856" s="1">
        <f t="shared" si="107"/>
        <v>316.48</v>
      </c>
      <c r="N856" s="10">
        <f t="shared" si="108"/>
        <v>31648</v>
      </c>
      <c r="O856" s="1" t="b">
        <f>IFERROR(IF(ISNUMBER(Raw!G856),TRUE,OR(EXACT(L856,TEXT(M856,"0.00")),EXACT(L856,TEXT(M856,"#,##0.00")))),FALSE)</f>
        <v>1</v>
      </c>
      <c r="P856" s="1" t="str">
        <f>LEN(IF(Raw!A856="","",Raw!A856))&amp;":"&amp;IF(Raw!A856="","",Raw!A856)&amp;"|"&amp;LEN(IF(Raw!B856="","",Raw!B856))&amp;":"&amp;IF(Raw!B856="","",Raw!B856)&amp;"|"&amp;LEN(IF(Raw!C856="","",Raw!C856))&amp;":"&amp;IF(Raw!C856="","",Raw!C856)&amp;"|"&amp;LEN(IF(Raw!D856="","",Raw!D856))&amp;":"&amp;IF(Raw!D856="","",Raw!D856)&amp;"|"&amp;LEN(IF(Raw!E856="","",Raw!E856))&amp;":"&amp;IF(Raw!E856="","",Raw!E856)&amp;"|"&amp;LEN(IF(Raw!F856="","",Raw!F856))&amp;":"&amp;IF(Raw!F856="","",Raw!F856)&amp;"|"&amp;LEN(IF(Raw!G856="","",Raw!G856))&amp;":"&amp;IF(Raw!G856="","",Raw!G856)</f>
        <v>6:L00850|6:T00425|10:2026-03-30|3:P-A|11:Accessories|4:sale|6:316.48</v>
      </c>
      <c r="Q856" s="1">
        <f>1</f>
        <v>1</v>
      </c>
      <c r="R856" s="1" t="b">
        <f>FALSE</f>
        <v>0</v>
      </c>
      <c r="S856" s="1">
        <f>1</f>
        <v>1</v>
      </c>
      <c r="T856" s="1" t="str">
        <f>IF(AND(Raw!A856="",Raw!B856="",Raw!C856="",Raw!D856="",Raw!E856="",Raw!F856="",Raw!G856=""),"UNUSED",IF(A856="","missing line ID",IF(B856="","missing transaction ID",IF(G856="",IF(C856="","missing date","invalid date"),IF(I856="","unknown product",IF(J856="","conflicting category",IF(NOT(OR(EXACT(K856,"sale"),EXACT(K856,"refund"))),"unknown event",IF(OR(N856="",NOT(O856)),"invalid amount",IF(OR(AND(K856="sale",N856&lt;=0),AND(K856="refund",N856&gt;=0)),"invalid sign","")))))))))</f>
        <v/>
      </c>
      <c r="U856" s="1" t="str">
        <f t="shared" si="109"/>
        <v>INCLUDED</v>
      </c>
      <c r="V856" s="1" t="str">
        <f t="shared" si="110"/>
        <v>2026-03</v>
      </c>
      <c r="W856" s="1">
        <f>IF(AND(U856="INCLUDED",X856&gt;0,EXACT(A856,'AI output'!A856)),1,0)</f>
        <v>1</v>
      </c>
      <c r="X856" s="1">
        <f>856</f>
        <v>856</v>
      </c>
      <c r="Y856" s="1">
        <f>IF(AND(U856="INCLUDED",W856=1),--(NOT(EXACT(A856,'AI output'!A856)))+--(NOT(EXACT(B856,'AI output'!B856)))+--(NOT(EXACT(TEXT(G856,"yyyy-mm-dd"),'AI output'!C856)))+--(NOT(EXACT(H856,'AI output'!D856)))+--(NOT(EXACT(J856,'AI output'!E856)))+--(NOT(EXACT(K856,'AI output'!F856)))+--(N856&lt;&gt;'AI output'!L856)+--(NOT('AI output'!M856)),0)</f>
        <v>0</v>
      </c>
      <c r="Z856" s="1">
        <f t="shared" si="111"/>
        <v>0</v>
      </c>
      <c r="AA856" s="1">
        <f>--EXACT(A856,"L00850")</f>
        <v>1</v>
      </c>
    </row>
    <row r="857" spans="1:27" ht="18.95" customHeight="1">
      <c r="A857" s="1" t="str">
        <f>IF(Raw!A857="","",Raw!A857)</f>
        <v>L00851</v>
      </c>
      <c r="B857" s="1" t="str">
        <f>IF(Raw!B857="","",Raw!B857)</f>
        <v>T00426</v>
      </c>
      <c r="C857" s="1" t="str">
        <f>IF(Raw!C857="","",Raw!C857)</f>
        <v>2026-01-06</v>
      </c>
      <c r="D857" s="1">
        <f t="shared" si="104"/>
        <v>2026</v>
      </c>
      <c r="E857" s="1">
        <f>IFERROR(IF(AND(LEN(C857)=10,MID(C857,5,1)="-",MID(C857,8,1)="-"),VALUE(MID(C857,6,2)),IF(AND(LEN(C857)=11,MID(C857,3,1)="-",MID(C857,7,1)="-"),MATCH(UPPER(MID(C857,4,3)),Guide!$D$7:$D$18,0),0)),0)</f>
        <v>1</v>
      </c>
      <c r="F857" s="1">
        <f t="shared" si="105"/>
        <v>6</v>
      </c>
      <c r="G857" s="9">
        <f t="shared" si="106"/>
        <v>46028</v>
      </c>
      <c r="H857" s="1" t="str">
        <f>IF(Raw!D857="","",Raw!D857)</f>
        <v>P-H</v>
      </c>
      <c r="I857" s="1" t="str">
        <f>IFERROR(IF(EXACT(H857,INDEX(Guide!$A$7:$A$9,MATCH(SUBSTITUTE(SUBSTITUTE(SUBSTITUTE(H857,"~","~~"),"*","~*"),"?","~?"),Guide!$A$7:$A$9,0))),INDEX(Guide!$B$7:$B$9,MATCH(SUBSTITUTE(SUBSTITUTE(SUBSTITUTE(H857,"~","~~"),"*","~*"),"?","~?"),Guide!$A$7:$A$9,0)),""),"")</f>
        <v>Home</v>
      </c>
      <c r="J857" s="1" t="str">
        <f>IF(TRIM(Raw!E857)="",I857,IF(UPPER(TRIM(Raw!E857))=UPPER(I857),I857,""))</f>
        <v>Home</v>
      </c>
      <c r="K857" s="1" t="str">
        <f>IF(Raw!F857="","",Raw!F857)</f>
        <v>sale</v>
      </c>
      <c r="L857" s="1" t="str">
        <f>IF(LEFT(TRIM(Raw!G857),2)="-$","-"&amp;MID(TRIM(Raw!G857),3,99),IF(LEFT(TRIM(Raw!G857),1)="$",MID(TRIM(Raw!G857),2,99),TRIM(Raw!G857)))</f>
        <v>79.49</v>
      </c>
      <c r="M857" s="1">
        <f t="shared" si="107"/>
        <v>79.489999999999995</v>
      </c>
      <c r="N857" s="10">
        <f t="shared" si="108"/>
        <v>7949</v>
      </c>
      <c r="O857" s="1" t="b">
        <f>IFERROR(IF(ISNUMBER(Raw!G857),TRUE,OR(EXACT(L857,TEXT(M857,"0.00")),EXACT(L857,TEXT(M857,"#,##0.00")))),FALSE)</f>
        <v>1</v>
      </c>
      <c r="P857" s="1" t="str">
        <f>LEN(IF(Raw!A857="","",Raw!A857))&amp;":"&amp;IF(Raw!A857="","",Raw!A857)&amp;"|"&amp;LEN(IF(Raw!B857="","",Raw!B857))&amp;":"&amp;IF(Raw!B857="","",Raw!B857)&amp;"|"&amp;LEN(IF(Raw!C857="","",Raw!C857))&amp;":"&amp;IF(Raw!C857="","",Raw!C857)&amp;"|"&amp;LEN(IF(Raw!D857="","",Raw!D857))&amp;":"&amp;IF(Raw!D857="","",Raw!D857)&amp;"|"&amp;LEN(IF(Raw!E857="","",Raw!E857))&amp;":"&amp;IF(Raw!E857="","",Raw!E857)&amp;"|"&amp;LEN(IF(Raw!F857="","",Raw!F857))&amp;":"&amp;IF(Raw!F857="","",Raw!F857)&amp;"|"&amp;LEN(IF(Raw!G857="","",Raw!G857))&amp;":"&amp;IF(Raw!G857="","",Raw!G857)</f>
        <v>6:L00851|6:T00426|10:2026-01-06|3:P-H|4:Home|4:sale|5:79.49</v>
      </c>
      <c r="Q857" s="1">
        <f>1</f>
        <v>1</v>
      </c>
      <c r="R857" s="1" t="b">
        <f>FALSE</f>
        <v>0</v>
      </c>
      <c r="S857" s="1">
        <f>1</f>
        <v>1</v>
      </c>
      <c r="T857" s="1" t="str">
        <f>IF(AND(Raw!A857="",Raw!B857="",Raw!C857="",Raw!D857="",Raw!E857="",Raw!F857="",Raw!G857=""),"UNUSED",IF(A857="","missing line ID",IF(B857="","missing transaction ID",IF(G857="",IF(C857="","missing date","invalid date"),IF(I857="","unknown product",IF(J857="","conflicting category",IF(NOT(OR(EXACT(K857,"sale"),EXACT(K857,"refund"))),"unknown event",IF(OR(N857="",NOT(O857)),"invalid amount",IF(OR(AND(K857="sale",N857&lt;=0),AND(K857="refund",N857&gt;=0)),"invalid sign","")))))))))</f>
        <v/>
      </c>
      <c r="U857" s="1" t="str">
        <f t="shared" si="109"/>
        <v>INCLUDED</v>
      </c>
      <c r="V857" s="1" t="str">
        <f t="shared" si="110"/>
        <v>2026-01</v>
      </c>
      <c r="W857" s="1">
        <f>IF(AND(U857="INCLUDED",X857&gt;0,EXACT(A857,'AI output'!A857)),1,0)</f>
        <v>1</v>
      </c>
      <c r="X857" s="1">
        <f>857</f>
        <v>857</v>
      </c>
      <c r="Y857" s="1">
        <f>IF(AND(U857="INCLUDED",W857=1),--(NOT(EXACT(A857,'AI output'!A857)))+--(NOT(EXACT(B857,'AI output'!B857)))+--(NOT(EXACT(TEXT(G857,"yyyy-mm-dd"),'AI output'!C857)))+--(NOT(EXACT(H857,'AI output'!D857)))+--(NOT(EXACT(J857,'AI output'!E857)))+--(NOT(EXACT(K857,'AI output'!F857)))+--(N857&lt;&gt;'AI output'!L857)+--(NOT('AI output'!M857)),0)</f>
        <v>0</v>
      </c>
      <c r="Z857" s="1">
        <f t="shared" si="111"/>
        <v>0</v>
      </c>
      <c r="AA857" s="1">
        <f>--EXACT(A857,"L00851")</f>
        <v>1</v>
      </c>
    </row>
    <row r="858" spans="1:27" ht="18.95" customHeight="1">
      <c r="A858" s="1" t="str">
        <f>IF(Raw!A858="","",Raw!A858)</f>
        <v>L00852</v>
      </c>
      <c r="B858" s="1" t="str">
        <f>IF(Raw!B858="","",Raw!B858)</f>
        <v>T00426</v>
      </c>
      <c r="C858" s="1" t="str">
        <f>IF(Raw!C858="","",Raw!C858)</f>
        <v>2026-01-06</v>
      </c>
      <c r="D858" s="1">
        <f t="shared" si="104"/>
        <v>2026</v>
      </c>
      <c r="E858" s="1">
        <f>IFERROR(IF(AND(LEN(C858)=10,MID(C858,5,1)="-",MID(C858,8,1)="-"),VALUE(MID(C858,6,2)),IF(AND(LEN(C858)=11,MID(C858,3,1)="-",MID(C858,7,1)="-"),MATCH(UPPER(MID(C858,4,3)),Guide!$D$7:$D$18,0),0)),0)</f>
        <v>1</v>
      </c>
      <c r="F858" s="1">
        <f t="shared" si="105"/>
        <v>6</v>
      </c>
      <c r="G858" s="9">
        <f t="shared" si="106"/>
        <v>46028</v>
      </c>
      <c r="H858" s="1" t="str">
        <f>IF(Raw!D858="","",Raw!D858)</f>
        <v>P-O</v>
      </c>
      <c r="I858" s="1" t="str">
        <f>IFERROR(IF(EXACT(H858,INDEX(Guide!$A$7:$A$9,MATCH(SUBSTITUTE(SUBSTITUTE(SUBSTITUTE(H858,"~","~~"),"*","~*"),"?","~?"),Guide!$A$7:$A$9,0))),INDEX(Guide!$B$7:$B$9,MATCH(SUBSTITUTE(SUBSTITUTE(SUBSTITUTE(H858,"~","~~"),"*","~*"),"?","~?"),Guide!$A$7:$A$9,0)),""),"")</f>
        <v>Office</v>
      </c>
      <c r="J858" s="1" t="str">
        <f>IF(TRIM(Raw!E858)="",I858,IF(UPPER(TRIM(Raw!E858))=UPPER(I858),I858,""))</f>
        <v>Office</v>
      </c>
      <c r="K858" s="1" t="str">
        <f>IF(Raw!F858="","",Raw!F858)</f>
        <v>refund</v>
      </c>
      <c r="L858" s="1" t="str">
        <f>IF(LEFT(TRIM(Raw!G858),2)="-$","-"&amp;MID(TRIM(Raw!G858),3,99),IF(LEFT(TRIM(Raw!G858),1)="$",MID(TRIM(Raw!G858),2,99),TRIM(Raw!G858)))</f>
        <v>-239.58</v>
      </c>
      <c r="M858" s="1">
        <f t="shared" si="107"/>
        <v>-239.58</v>
      </c>
      <c r="N858" s="10">
        <f t="shared" si="108"/>
        <v>-23958</v>
      </c>
      <c r="O858" s="1" t="b">
        <f>IFERROR(IF(ISNUMBER(Raw!G858),TRUE,OR(EXACT(L858,TEXT(M858,"0.00")),EXACT(L858,TEXT(M858,"#,##0.00")))),FALSE)</f>
        <v>1</v>
      </c>
      <c r="P858" s="1" t="str">
        <f>LEN(IF(Raw!A858="","",Raw!A858))&amp;":"&amp;IF(Raw!A858="","",Raw!A858)&amp;"|"&amp;LEN(IF(Raw!B858="","",Raw!B858))&amp;":"&amp;IF(Raw!B858="","",Raw!B858)&amp;"|"&amp;LEN(IF(Raw!C858="","",Raw!C858))&amp;":"&amp;IF(Raw!C858="","",Raw!C858)&amp;"|"&amp;LEN(IF(Raw!D858="","",Raw!D858))&amp;":"&amp;IF(Raw!D858="","",Raw!D858)&amp;"|"&amp;LEN(IF(Raw!E858="","",Raw!E858))&amp;":"&amp;IF(Raw!E858="","",Raw!E858)&amp;"|"&amp;LEN(IF(Raw!F858="","",Raw!F858))&amp;":"&amp;IF(Raw!F858="","",Raw!F858)&amp;"|"&amp;LEN(IF(Raw!G858="","",Raw!G858))&amp;":"&amp;IF(Raw!G858="","",Raw!G858)</f>
        <v>6:L00852|6:T00426|10:2026-01-06|3:P-O|6:Office|6:refund|7:-239.58</v>
      </c>
      <c r="Q858" s="1">
        <f>1</f>
        <v>1</v>
      </c>
      <c r="R858" s="1" t="b">
        <f>FALSE</f>
        <v>0</v>
      </c>
      <c r="S858" s="1">
        <f>1</f>
        <v>1</v>
      </c>
      <c r="T858" s="1" t="str">
        <f>IF(AND(Raw!A858="",Raw!B858="",Raw!C858="",Raw!D858="",Raw!E858="",Raw!F858="",Raw!G858=""),"UNUSED",IF(A858="","missing line ID",IF(B858="","missing transaction ID",IF(G858="",IF(C858="","missing date","invalid date"),IF(I858="","unknown product",IF(J858="","conflicting category",IF(NOT(OR(EXACT(K858,"sale"),EXACT(K858,"refund"))),"unknown event",IF(OR(N858="",NOT(O858)),"invalid amount",IF(OR(AND(K858="sale",N858&lt;=0),AND(K858="refund",N858&gt;=0)),"invalid sign","")))))))))</f>
        <v/>
      </c>
      <c r="U858" s="1" t="str">
        <f t="shared" si="109"/>
        <v>INCLUDED</v>
      </c>
      <c r="V858" s="1" t="str">
        <f t="shared" si="110"/>
        <v>2026-01</v>
      </c>
      <c r="W858" s="1">
        <f>IF(AND(U858="INCLUDED",X858&gt;0,EXACT(A858,'AI output'!A858)),1,0)</f>
        <v>1</v>
      </c>
      <c r="X858" s="1">
        <f>858</f>
        <v>858</v>
      </c>
      <c r="Y858" s="1">
        <f>IF(AND(U858="INCLUDED",W858=1),--(NOT(EXACT(A858,'AI output'!A858)))+--(NOT(EXACT(B858,'AI output'!B858)))+--(NOT(EXACT(TEXT(G858,"yyyy-mm-dd"),'AI output'!C858)))+--(NOT(EXACT(H858,'AI output'!D858)))+--(NOT(EXACT(J858,'AI output'!E858)))+--(NOT(EXACT(K858,'AI output'!F858)))+--(N858&lt;&gt;'AI output'!L858)+--(NOT('AI output'!M858)),0)</f>
        <v>0</v>
      </c>
      <c r="Z858" s="1">
        <f t="shared" si="111"/>
        <v>0</v>
      </c>
      <c r="AA858" s="1">
        <f>--EXACT(A858,"L00852")</f>
        <v>1</v>
      </c>
    </row>
    <row r="859" spans="1:27" ht="18.95" customHeight="1">
      <c r="A859" s="1" t="str">
        <f>IF(Raw!A859="","",Raw!A859)</f>
        <v>L00853</v>
      </c>
      <c r="B859" s="1" t="str">
        <f>IF(Raw!B859="","",Raw!B859)</f>
        <v>T00427</v>
      </c>
      <c r="C859" s="1" t="str">
        <f>IF(Raw!C859="","",Raw!C859)</f>
        <v>2026-01-13</v>
      </c>
      <c r="D859" s="1">
        <f t="shared" si="104"/>
        <v>2026</v>
      </c>
      <c r="E859" s="1">
        <f>IFERROR(IF(AND(LEN(C859)=10,MID(C859,5,1)="-",MID(C859,8,1)="-"),VALUE(MID(C859,6,2)),IF(AND(LEN(C859)=11,MID(C859,3,1)="-",MID(C859,7,1)="-"),MATCH(UPPER(MID(C859,4,3)),Guide!$D$7:$D$18,0),0)),0)</f>
        <v>1</v>
      </c>
      <c r="F859" s="1">
        <f t="shared" si="105"/>
        <v>13</v>
      </c>
      <c r="G859" s="9">
        <f t="shared" si="106"/>
        <v>46035</v>
      </c>
      <c r="H859" s="1" t="str">
        <f>IF(Raw!D859="","",Raw!D859)</f>
        <v>P-A</v>
      </c>
      <c r="I859" s="1" t="str">
        <f>IFERROR(IF(EXACT(H859,INDEX(Guide!$A$7:$A$9,MATCH(SUBSTITUTE(SUBSTITUTE(SUBSTITUTE(H859,"~","~~"),"*","~*"),"?","~?"),Guide!$A$7:$A$9,0))),INDEX(Guide!$B$7:$B$9,MATCH(SUBSTITUTE(SUBSTITUTE(SUBSTITUTE(H859,"~","~~"),"*","~*"),"?","~?"),Guide!$A$7:$A$9,0)),""),"")</f>
        <v>Accessories</v>
      </c>
      <c r="J859" s="1" t="str">
        <f>IF(TRIM(Raw!E859)="",I859,IF(UPPER(TRIM(Raw!E859))=UPPER(I859),I859,""))</f>
        <v>Accessories</v>
      </c>
      <c r="K859" s="1" t="str">
        <f>IF(Raw!F859="","",Raw!F859)</f>
        <v>sale</v>
      </c>
      <c r="L859" s="1" t="str">
        <f>IF(LEFT(TRIM(Raw!G859),2)="-$","-"&amp;MID(TRIM(Raw!G859),3,99),IF(LEFT(TRIM(Raw!G859),1)="$",MID(TRIM(Raw!G859),2,99),TRIM(Raw!G859)))</f>
        <v>401.15</v>
      </c>
      <c r="M859" s="1">
        <f t="shared" si="107"/>
        <v>401.15</v>
      </c>
      <c r="N859" s="10">
        <f t="shared" si="108"/>
        <v>40115</v>
      </c>
      <c r="O859" s="1" t="b">
        <f>IFERROR(IF(ISNUMBER(Raw!G859),TRUE,OR(EXACT(L859,TEXT(M859,"0.00")),EXACT(L859,TEXT(M859,"#,##0.00")))),FALSE)</f>
        <v>1</v>
      </c>
      <c r="P859" s="1" t="str">
        <f>LEN(IF(Raw!A859="","",Raw!A859))&amp;":"&amp;IF(Raw!A859="","",Raw!A859)&amp;"|"&amp;LEN(IF(Raw!B859="","",Raw!B859))&amp;":"&amp;IF(Raw!B859="","",Raw!B859)&amp;"|"&amp;LEN(IF(Raw!C859="","",Raw!C859))&amp;":"&amp;IF(Raw!C859="","",Raw!C859)&amp;"|"&amp;LEN(IF(Raw!D859="","",Raw!D859))&amp;":"&amp;IF(Raw!D859="","",Raw!D859)&amp;"|"&amp;LEN(IF(Raw!E859="","",Raw!E859))&amp;":"&amp;IF(Raw!E859="","",Raw!E859)&amp;"|"&amp;LEN(IF(Raw!F859="","",Raw!F859))&amp;":"&amp;IF(Raw!F859="","",Raw!F859)&amp;"|"&amp;LEN(IF(Raw!G859="","",Raw!G859))&amp;":"&amp;IF(Raw!G859="","",Raw!G859)</f>
        <v>6:L00853|6:T00427|10:2026-01-13|3:P-A|11:Accessories|4:sale|6:401.15</v>
      </c>
      <c r="Q859" s="1">
        <f>1</f>
        <v>1</v>
      </c>
      <c r="R859" s="1" t="b">
        <f>FALSE</f>
        <v>0</v>
      </c>
      <c r="S859" s="1">
        <f>1</f>
        <v>1</v>
      </c>
      <c r="T859" s="1" t="str">
        <f>IF(AND(Raw!A859="",Raw!B859="",Raw!C859="",Raw!D859="",Raw!E859="",Raw!F859="",Raw!G859=""),"UNUSED",IF(A859="","missing line ID",IF(B859="","missing transaction ID",IF(G859="",IF(C859="","missing date","invalid date"),IF(I859="","unknown product",IF(J859="","conflicting category",IF(NOT(OR(EXACT(K859,"sale"),EXACT(K859,"refund"))),"unknown event",IF(OR(N859="",NOT(O859)),"invalid amount",IF(OR(AND(K859="sale",N859&lt;=0),AND(K859="refund",N859&gt;=0)),"invalid sign","")))))))))</f>
        <v/>
      </c>
      <c r="U859" s="1" t="str">
        <f t="shared" si="109"/>
        <v>INCLUDED</v>
      </c>
      <c r="V859" s="1" t="str">
        <f t="shared" si="110"/>
        <v>2026-01</v>
      </c>
      <c r="W859" s="1">
        <f>IF(AND(U859="INCLUDED",X859&gt;0,EXACT(A859,'AI output'!A859)),1,0)</f>
        <v>1</v>
      </c>
      <c r="X859" s="1">
        <f>859</f>
        <v>859</v>
      </c>
      <c r="Y859" s="1">
        <f>IF(AND(U859="INCLUDED",W859=1),--(NOT(EXACT(A859,'AI output'!A859)))+--(NOT(EXACT(B859,'AI output'!B859)))+--(NOT(EXACT(TEXT(G859,"yyyy-mm-dd"),'AI output'!C859)))+--(NOT(EXACT(H859,'AI output'!D859)))+--(NOT(EXACT(J859,'AI output'!E859)))+--(NOT(EXACT(K859,'AI output'!F859)))+--(N859&lt;&gt;'AI output'!L859)+--(NOT('AI output'!M859)),0)</f>
        <v>0</v>
      </c>
      <c r="Z859" s="1">
        <f t="shared" si="111"/>
        <v>0</v>
      </c>
      <c r="AA859" s="1">
        <f>--EXACT(A859,"L00853")</f>
        <v>1</v>
      </c>
    </row>
    <row r="860" spans="1:27" ht="18.95" customHeight="1">
      <c r="A860" s="1" t="str">
        <f>IF(Raw!A860="","",Raw!A860)</f>
        <v>L00854</v>
      </c>
      <c r="B860" s="1" t="str">
        <f>IF(Raw!B860="","",Raw!B860)</f>
        <v>T00427</v>
      </c>
      <c r="C860" s="1" t="str">
        <f>IF(Raw!C860="","",Raw!C860)</f>
        <v>2026-01-13</v>
      </c>
      <c r="D860" s="1">
        <f t="shared" si="104"/>
        <v>2026</v>
      </c>
      <c r="E860" s="1">
        <f>IFERROR(IF(AND(LEN(C860)=10,MID(C860,5,1)="-",MID(C860,8,1)="-"),VALUE(MID(C860,6,2)),IF(AND(LEN(C860)=11,MID(C860,3,1)="-",MID(C860,7,1)="-"),MATCH(UPPER(MID(C860,4,3)),Guide!$D$7:$D$18,0),0)),0)</f>
        <v>1</v>
      </c>
      <c r="F860" s="1">
        <f t="shared" si="105"/>
        <v>13</v>
      </c>
      <c r="G860" s="9">
        <f t="shared" si="106"/>
        <v>46035</v>
      </c>
      <c r="H860" s="1" t="str">
        <f>IF(Raw!D860="","",Raw!D860)</f>
        <v>P-H</v>
      </c>
      <c r="I860" s="1" t="str">
        <f>IFERROR(IF(EXACT(H860,INDEX(Guide!$A$7:$A$9,MATCH(SUBSTITUTE(SUBSTITUTE(SUBSTITUTE(H860,"~","~~"),"*","~*"),"?","~?"),Guide!$A$7:$A$9,0))),INDEX(Guide!$B$7:$B$9,MATCH(SUBSTITUTE(SUBSTITUTE(SUBSTITUTE(H860,"~","~~"),"*","~*"),"?","~?"),Guide!$A$7:$A$9,0)),""),"")</f>
        <v>Home</v>
      </c>
      <c r="J860" s="1" t="str">
        <f>IF(TRIM(Raw!E860)="",I860,IF(UPPER(TRIM(Raw!E860))=UPPER(I860),I860,""))</f>
        <v>Home</v>
      </c>
      <c r="K860" s="1" t="str">
        <f>IF(Raw!F860="","",Raw!F860)</f>
        <v>sale</v>
      </c>
      <c r="L860" s="1" t="str">
        <f>IF(LEFT(TRIM(Raw!G860),2)="-$","-"&amp;MID(TRIM(Raw!G860),3,99),IF(LEFT(TRIM(Raw!G860),1)="$",MID(TRIM(Raw!G860),2,99),TRIM(Raw!G860)))</f>
        <v>161.20</v>
      </c>
      <c r="M860" s="1">
        <f t="shared" si="107"/>
        <v>161.19999999999999</v>
      </c>
      <c r="N860" s="10">
        <f t="shared" si="108"/>
        <v>16120</v>
      </c>
      <c r="O860" s="1" t="b">
        <f>IFERROR(IF(ISNUMBER(Raw!G860),TRUE,OR(EXACT(L860,TEXT(M860,"0.00")),EXACT(L860,TEXT(M860,"#,##0.00")))),FALSE)</f>
        <v>1</v>
      </c>
      <c r="P860" s="1" t="str">
        <f>LEN(IF(Raw!A860="","",Raw!A860))&amp;":"&amp;IF(Raw!A860="","",Raw!A860)&amp;"|"&amp;LEN(IF(Raw!B860="","",Raw!B860))&amp;":"&amp;IF(Raw!B860="","",Raw!B860)&amp;"|"&amp;LEN(IF(Raw!C860="","",Raw!C860))&amp;":"&amp;IF(Raw!C860="","",Raw!C860)&amp;"|"&amp;LEN(IF(Raw!D860="","",Raw!D860))&amp;":"&amp;IF(Raw!D860="","",Raw!D860)&amp;"|"&amp;LEN(IF(Raw!E860="","",Raw!E860))&amp;":"&amp;IF(Raw!E860="","",Raw!E860)&amp;"|"&amp;LEN(IF(Raw!F860="","",Raw!F860))&amp;":"&amp;IF(Raw!F860="","",Raw!F860)&amp;"|"&amp;LEN(IF(Raw!G860="","",Raw!G860))&amp;":"&amp;IF(Raw!G860="","",Raw!G860)</f>
        <v>6:L00854|6:T00427|10:2026-01-13|3:P-H|4:Home|4:sale|6:161.20</v>
      </c>
      <c r="Q860" s="1">
        <f>1</f>
        <v>1</v>
      </c>
      <c r="R860" s="1" t="b">
        <f>FALSE</f>
        <v>0</v>
      </c>
      <c r="S860" s="1">
        <f>1</f>
        <v>1</v>
      </c>
      <c r="T860" s="1" t="str">
        <f>IF(AND(Raw!A860="",Raw!B860="",Raw!C860="",Raw!D860="",Raw!E860="",Raw!F860="",Raw!G860=""),"UNUSED",IF(A860="","missing line ID",IF(B860="","missing transaction ID",IF(G860="",IF(C860="","missing date","invalid date"),IF(I860="","unknown product",IF(J860="","conflicting category",IF(NOT(OR(EXACT(K860,"sale"),EXACT(K860,"refund"))),"unknown event",IF(OR(N860="",NOT(O860)),"invalid amount",IF(OR(AND(K860="sale",N860&lt;=0),AND(K860="refund",N860&gt;=0)),"invalid sign","")))))))))</f>
        <v/>
      </c>
      <c r="U860" s="1" t="str">
        <f t="shared" si="109"/>
        <v>INCLUDED</v>
      </c>
      <c r="V860" s="1" t="str">
        <f t="shared" si="110"/>
        <v>2026-01</v>
      </c>
      <c r="W860" s="1">
        <f>IF(AND(U860="INCLUDED",X860&gt;0,EXACT(A860,'AI output'!A860)),1,0)</f>
        <v>1</v>
      </c>
      <c r="X860" s="1">
        <f>860</f>
        <v>860</v>
      </c>
      <c r="Y860" s="1">
        <f>IF(AND(U860="INCLUDED",W860=1),--(NOT(EXACT(A860,'AI output'!A860)))+--(NOT(EXACT(B860,'AI output'!B860)))+--(NOT(EXACT(TEXT(G860,"yyyy-mm-dd"),'AI output'!C860)))+--(NOT(EXACT(H860,'AI output'!D860)))+--(NOT(EXACT(J860,'AI output'!E860)))+--(NOT(EXACT(K860,'AI output'!F860)))+--(N860&lt;&gt;'AI output'!L860)+--(NOT('AI output'!M860)),0)</f>
        <v>0</v>
      </c>
      <c r="Z860" s="1">
        <f t="shared" si="111"/>
        <v>0</v>
      </c>
      <c r="AA860" s="1">
        <f>--EXACT(A860,"L00854")</f>
        <v>1</v>
      </c>
    </row>
    <row r="861" spans="1:27" ht="18.95" customHeight="1">
      <c r="A861" s="1" t="str">
        <f>IF(Raw!A861="","",Raw!A861)</f>
        <v>L00855</v>
      </c>
      <c r="B861" s="1" t="str">
        <f>IF(Raw!B861="","",Raw!B861)</f>
        <v>T00428</v>
      </c>
      <c r="C861" s="1" t="str">
        <f>IF(Raw!C861="","",Raw!C861)</f>
        <v>2026-01-20</v>
      </c>
      <c r="D861" s="1">
        <f t="shared" si="104"/>
        <v>2026</v>
      </c>
      <c r="E861" s="1">
        <f>IFERROR(IF(AND(LEN(C861)=10,MID(C861,5,1)="-",MID(C861,8,1)="-"),VALUE(MID(C861,6,2)),IF(AND(LEN(C861)=11,MID(C861,3,1)="-",MID(C861,7,1)="-"),MATCH(UPPER(MID(C861,4,3)),Guide!$D$7:$D$18,0),0)),0)</f>
        <v>1</v>
      </c>
      <c r="F861" s="1">
        <f t="shared" si="105"/>
        <v>20</v>
      </c>
      <c r="G861" s="9">
        <f t="shared" si="106"/>
        <v>46042</v>
      </c>
      <c r="H861" s="1" t="str">
        <f>IF(Raw!D861="","",Raw!D861)</f>
        <v>P-O</v>
      </c>
      <c r="I861" s="1" t="str">
        <f>IFERROR(IF(EXACT(H861,INDEX(Guide!$A$7:$A$9,MATCH(SUBSTITUTE(SUBSTITUTE(SUBSTITUTE(H861,"~","~~"),"*","~*"),"?","~?"),Guide!$A$7:$A$9,0))),INDEX(Guide!$B$7:$B$9,MATCH(SUBSTITUTE(SUBSTITUTE(SUBSTITUTE(H861,"~","~~"),"*","~*"),"?","~?"),Guide!$A$7:$A$9,0)),""),"")</f>
        <v>Office</v>
      </c>
      <c r="J861" s="1" t="str">
        <f>IF(TRIM(Raw!E861)="",I861,IF(UPPER(TRIM(Raw!E861))=UPPER(I861),I861,""))</f>
        <v>Office</v>
      </c>
      <c r="K861" s="1" t="str">
        <f>IF(Raw!F861="","",Raw!F861)</f>
        <v>sale</v>
      </c>
      <c r="L861" s="1" t="str">
        <f>IF(LEFT(TRIM(Raw!G861),2)="-$","-"&amp;MID(TRIM(Raw!G861),3,99),IF(LEFT(TRIM(Raw!G861),1)="$",MID(TRIM(Raw!G861),2,99),TRIM(Raw!G861)))</f>
        <v>323.88</v>
      </c>
      <c r="M861" s="1">
        <f t="shared" si="107"/>
        <v>323.88</v>
      </c>
      <c r="N861" s="10">
        <f t="shared" si="108"/>
        <v>32388</v>
      </c>
      <c r="O861" s="1" t="b">
        <f>IFERROR(IF(ISNUMBER(Raw!G861),TRUE,OR(EXACT(L861,TEXT(M861,"0.00")),EXACT(L861,TEXT(M861,"#,##0.00")))),FALSE)</f>
        <v>1</v>
      </c>
      <c r="P861" s="1" t="str">
        <f>LEN(IF(Raw!A861="","",Raw!A861))&amp;":"&amp;IF(Raw!A861="","",Raw!A861)&amp;"|"&amp;LEN(IF(Raw!B861="","",Raw!B861))&amp;":"&amp;IF(Raw!B861="","",Raw!B861)&amp;"|"&amp;LEN(IF(Raw!C861="","",Raw!C861))&amp;":"&amp;IF(Raw!C861="","",Raw!C861)&amp;"|"&amp;LEN(IF(Raw!D861="","",Raw!D861))&amp;":"&amp;IF(Raw!D861="","",Raw!D861)&amp;"|"&amp;LEN(IF(Raw!E861="","",Raw!E861))&amp;":"&amp;IF(Raw!E861="","",Raw!E861)&amp;"|"&amp;LEN(IF(Raw!F861="","",Raw!F861))&amp;":"&amp;IF(Raw!F861="","",Raw!F861)&amp;"|"&amp;LEN(IF(Raw!G861="","",Raw!G861))&amp;":"&amp;IF(Raw!G861="","",Raw!G861)</f>
        <v>6:L00855|6:T00428|10:2026-01-20|3:P-O|6:Office|4:sale|6:323.88</v>
      </c>
      <c r="Q861" s="1">
        <f>1</f>
        <v>1</v>
      </c>
      <c r="R861" s="1" t="b">
        <f>FALSE</f>
        <v>0</v>
      </c>
      <c r="S861" s="1">
        <f>1</f>
        <v>1</v>
      </c>
      <c r="T861" s="1" t="str">
        <f>IF(AND(Raw!A861="",Raw!B861="",Raw!C861="",Raw!D861="",Raw!E861="",Raw!F861="",Raw!G861=""),"UNUSED",IF(A861="","missing line ID",IF(B861="","missing transaction ID",IF(G861="",IF(C861="","missing date","invalid date"),IF(I861="","unknown product",IF(J861="","conflicting category",IF(NOT(OR(EXACT(K861,"sale"),EXACT(K861,"refund"))),"unknown event",IF(OR(N861="",NOT(O861)),"invalid amount",IF(OR(AND(K861="sale",N861&lt;=0),AND(K861="refund",N861&gt;=0)),"invalid sign","")))))))))</f>
        <v/>
      </c>
      <c r="U861" s="1" t="str">
        <f t="shared" si="109"/>
        <v>INCLUDED</v>
      </c>
      <c r="V861" s="1" t="str">
        <f t="shared" si="110"/>
        <v>2026-01</v>
      </c>
      <c r="W861" s="1">
        <f>IF(AND(U861="INCLUDED",X861&gt;0,EXACT(A861,'AI output'!A861)),1,0)</f>
        <v>1</v>
      </c>
      <c r="X861" s="1">
        <f>861</f>
        <v>861</v>
      </c>
      <c r="Y861" s="1">
        <f>IF(AND(U861="INCLUDED",W861=1),--(NOT(EXACT(A861,'AI output'!A861)))+--(NOT(EXACT(B861,'AI output'!B861)))+--(NOT(EXACT(TEXT(G861,"yyyy-mm-dd"),'AI output'!C861)))+--(NOT(EXACT(H861,'AI output'!D861)))+--(NOT(EXACT(J861,'AI output'!E861)))+--(NOT(EXACT(K861,'AI output'!F861)))+--(N861&lt;&gt;'AI output'!L861)+--(NOT('AI output'!M861)),0)</f>
        <v>0</v>
      </c>
      <c r="Z861" s="1">
        <f t="shared" si="111"/>
        <v>0</v>
      </c>
      <c r="AA861" s="1">
        <f>--EXACT(A861,"L00855")</f>
        <v>1</v>
      </c>
    </row>
    <row r="862" spans="1:27" ht="18.95" customHeight="1">
      <c r="A862" s="1" t="str">
        <f>IF(Raw!A862="","",Raw!A862)</f>
        <v>L00856</v>
      </c>
      <c r="B862" s="1" t="str">
        <f>IF(Raw!B862="","",Raw!B862)</f>
        <v>T00428</v>
      </c>
      <c r="C862" s="1" t="str">
        <f>IF(Raw!C862="","",Raw!C862)</f>
        <v>20-Jan-2026</v>
      </c>
      <c r="D862" s="1">
        <f t="shared" si="104"/>
        <v>2026</v>
      </c>
      <c r="E862" s="1">
        <f>IFERROR(IF(AND(LEN(C862)=10,MID(C862,5,1)="-",MID(C862,8,1)="-"),VALUE(MID(C862,6,2)),IF(AND(LEN(C862)=11,MID(C862,3,1)="-",MID(C862,7,1)="-"),MATCH(UPPER(MID(C862,4,3)),Guide!$D$7:$D$18,0),0)),0)</f>
        <v>1</v>
      </c>
      <c r="F862" s="1">
        <f t="shared" si="105"/>
        <v>20</v>
      </c>
      <c r="G862" s="9">
        <f t="shared" si="106"/>
        <v>46042</v>
      </c>
      <c r="H862" s="1" t="str">
        <f>IF(Raw!D862="","",Raw!D862)</f>
        <v>P-A</v>
      </c>
      <c r="I862" s="1" t="str">
        <f>IFERROR(IF(EXACT(H862,INDEX(Guide!$A$7:$A$9,MATCH(SUBSTITUTE(SUBSTITUTE(SUBSTITUTE(H862,"~","~~"),"*","~*"),"?","~?"),Guide!$A$7:$A$9,0))),INDEX(Guide!$B$7:$B$9,MATCH(SUBSTITUTE(SUBSTITUTE(SUBSTITUTE(H862,"~","~~"),"*","~*"),"?","~?"),Guide!$A$7:$A$9,0)),""),"")</f>
        <v>Accessories</v>
      </c>
      <c r="J862" s="1" t="str">
        <f>IF(TRIM(Raw!E862)="",I862,IF(UPPER(TRIM(Raw!E862))=UPPER(I862),I862,""))</f>
        <v>Accessories</v>
      </c>
      <c r="K862" s="1" t="str">
        <f>IF(Raw!F862="","",Raw!F862)</f>
        <v>sale</v>
      </c>
      <c r="L862" s="1" t="str">
        <f>IF(LEFT(TRIM(Raw!G862),2)="-$","-"&amp;MID(TRIM(Raw!G862),3,99),IF(LEFT(TRIM(Raw!G862),1)="$",MID(TRIM(Raw!G862),2,99),TRIM(Raw!G862)))</f>
        <v>81.34</v>
      </c>
      <c r="M862" s="1">
        <f t="shared" si="107"/>
        <v>81.34</v>
      </c>
      <c r="N862" s="10">
        <f t="shared" si="108"/>
        <v>8134</v>
      </c>
      <c r="O862" s="1" t="b">
        <f>IFERROR(IF(ISNUMBER(Raw!G862),TRUE,OR(EXACT(L862,TEXT(M862,"0.00")),EXACT(L862,TEXT(M862,"#,##0.00")))),FALSE)</f>
        <v>1</v>
      </c>
      <c r="P862" s="1" t="str">
        <f>LEN(IF(Raw!A862="","",Raw!A862))&amp;":"&amp;IF(Raw!A862="","",Raw!A862)&amp;"|"&amp;LEN(IF(Raw!B862="","",Raw!B862))&amp;":"&amp;IF(Raw!B862="","",Raw!B862)&amp;"|"&amp;LEN(IF(Raw!C862="","",Raw!C862))&amp;":"&amp;IF(Raw!C862="","",Raw!C862)&amp;"|"&amp;LEN(IF(Raw!D862="","",Raw!D862))&amp;":"&amp;IF(Raw!D862="","",Raw!D862)&amp;"|"&amp;LEN(IF(Raw!E862="","",Raw!E862))&amp;":"&amp;IF(Raw!E862="","",Raw!E862)&amp;"|"&amp;LEN(IF(Raw!F862="","",Raw!F862))&amp;":"&amp;IF(Raw!F862="","",Raw!F862)&amp;"|"&amp;LEN(IF(Raw!G862="","",Raw!G862))&amp;":"&amp;IF(Raw!G862="","",Raw!G862)</f>
        <v>6:L00856|6:T00428|11:20-Jan-2026|3:P-A|11:Accessories|4:sale|5:81.34</v>
      </c>
      <c r="Q862" s="1">
        <f>1</f>
        <v>1</v>
      </c>
      <c r="R862" s="1" t="b">
        <f>FALSE</f>
        <v>0</v>
      </c>
      <c r="S862" s="1">
        <f>1</f>
        <v>1</v>
      </c>
      <c r="T862" s="1" t="str">
        <f>IF(AND(Raw!A862="",Raw!B862="",Raw!C862="",Raw!D862="",Raw!E862="",Raw!F862="",Raw!G862=""),"UNUSED",IF(A862="","missing line ID",IF(B862="","missing transaction ID",IF(G862="",IF(C862="","missing date","invalid date"),IF(I862="","unknown product",IF(J862="","conflicting category",IF(NOT(OR(EXACT(K862,"sale"),EXACT(K862,"refund"))),"unknown event",IF(OR(N862="",NOT(O862)),"invalid amount",IF(OR(AND(K862="sale",N862&lt;=0),AND(K862="refund",N862&gt;=0)),"invalid sign","")))))))))</f>
        <v/>
      </c>
      <c r="U862" s="1" t="str">
        <f t="shared" si="109"/>
        <v>INCLUDED</v>
      </c>
      <c r="V862" s="1" t="str">
        <f t="shared" si="110"/>
        <v>2026-01</v>
      </c>
      <c r="W862" s="1">
        <f>IF(AND(U862="INCLUDED",X862&gt;0,EXACT(A862,'AI output'!A862)),1,0)</f>
        <v>1</v>
      </c>
      <c r="X862" s="1">
        <f>862</f>
        <v>862</v>
      </c>
      <c r="Y862" s="1">
        <f>IF(AND(U862="INCLUDED",W862=1),--(NOT(EXACT(A862,'AI output'!A862)))+--(NOT(EXACT(B862,'AI output'!B862)))+--(NOT(EXACT(TEXT(G862,"yyyy-mm-dd"),'AI output'!C862)))+--(NOT(EXACT(H862,'AI output'!D862)))+--(NOT(EXACT(J862,'AI output'!E862)))+--(NOT(EXACT(K862,'AI output'!F862)))+--(N862&lt;&gt;'AI output'!L862)+--(NOT('AI output'!M862)),0)</f>
        <v>0</v>
      </c>
      <c r="Z862" s="1">
        <f t="shared" si="111"/>
        <v>0</v>
      </c>
      <c r="AA862" s="1">
        <f>--EXACT(A862,"L00856")</f>
        <v>1</v>
      </c>
    </row>
    <row r="863" spans="1:27" ht="18.95" customHeight="1">
      <c r="A863" s="1" t="str">
        <f>IF(Raw!A863="","",Raw!A863)</f>
        <v>L00857</v>
      </c>
      <c r="B863" s="1" t="str">
        <f>IF(Raw!B863="","",Raw!B863)</f>
        <v>T00429</v>
      </c>
      <c r="C863" s="1" t="str">
        <f>IF(Raw!C863="","",Raw!C863)</f>
        <v>2026-01-27</v>
      </c>
      <c r="D863" s="1">
        <f t="shared" si="104"/>
        <v>2026</v>
      </c>
      <c r="E863" s="1">
        <f>IFERROR(IF(AND(LEN(C863)=10,MID(C863,5,1)="-",MID(C863,8,1)="-"),VALUE(MID(C863,6,2)),IF(AND(LEN(C863)=11,MID(C863,3,1)="-",MID(C863,7,1)="-"),MATCH(UPPER(MID(C863,4,3)),Guide!$D$7:$D$18,0),0)),0)</f>
        <v>1</v>
      </c>
      <c r="F863" s="1">
        <f t="shared" si="105"/>
        <v>27</v>
      </c>
      <c r="G863" s="9">
        <f t="shared" si="106"/>
        <v>46049</v>
      </c>
      <c r="H863" s="1" t="str">
        <f>IF(Raw!D863="","",Raw!D863)</f>
        <v>P-H</v>
      </c>
      <c r="I863" s="1" t="str">
        <f>IFERROR(IF(EXACT(H863,INDEX(Guide!$A$7:$A$9,MATCH(SUBSTITUTE(SUBSTITUTE(SUBSTITUTE(H863,"~","~~"),"*","~*"),"?","~?"),Guide!$A$7:$A$9,0))),INDEX(Guide!$B$7:$B$9,MATCH(SUBSTITUTE(SUBSTITUTE(SUBSTITUTE(H863,"~","~~"),"*","~*"),"?","~?"),Guide!$A$7:$A$9,0)),""),"")</f>
        <v>Home</v>
      </c>
      <c r="J863" s="1" t="str">
        <f>IF(TRIM(Raw!E863)="",I863,IF(UPPER(TRIM(Raw!E863))=UPPER(I863),I863,""))</f>
        <v>Home</v>
      </c>
      <c r="K863" s="1" t="str">
        <f>IF(Raw!F863="","",Raw!F863)</f>
        <v>sale</v>
      </c>
      <c r="L863" s="1" t="str">
        <f>IF(LEFT(TRIM(Raw!G863),2)="-$","-"&amp;MID(TRIM(Raw!G863),3,99),IF(LEFT(TRIM(Raw!G863),1)="$",MID(TRIM(Raw!G863),2,99),TRIM(Raw!G863)))</f>
        <v>245.13</v>
      </c>
      <c r="M863" s="1">
        <f t="shared" si="107"/>
        <v>245.13</v>
      </c>
      <c r="N863" s="10">
        <f t="shared" si="108"/>
        <v>24513</v>
      </c>
      <c r="O863" s="1" t="b">
        <f>IFERROR(IF(ISNUMBER(Raw!G863),TRUE,OR(EXACT(L863,TEXT(M863,"0.00")),EXACT(L863,TEXT(M863,"#,##0.00")))),FALSE)</f>
        <v>1</v>
      </c>
      <c r="P863" s="1" t="str">
        <f>LEN(IF(Raw!A863="","",Raw!A863))&amp;":"&amp;IF(Raw!A863="","",Raw!A863)&amp;"|"&amp;LEN(IF(Raw!B863="","",Raw!B863))&amp;":"&amp;IF(Raw!B863="","",Raw!B863)&amp;"|"&amp;LEN(IF(Raw!C863="","",Raw!C863))&amp;":"&amp;IF(Raw!C863="","",Raw!C863)&amp;"|"&amp;LEN(IF(Raw!D863="","",Raw!D863))&amp;":"&amp;IF(Raw!D863="","",Raw!D863)&amp;"|"&amp;LEN(IF(Raw!E863="","",Raw!E863))&amp;":"&amp;IF(Raw!E863="","",Raw!E863)&amp;"|"&amp;LEN(IF(Raw!F863="","",Raw!F863))&amp;":"&amp;IF(Raw!F863="","",Raw!F863)&amp;"|"&amp;LEN(IF(Raw!G863="","",Raw!G863))&amp;":"&amp;IF(Raw!G863="","",Raw!G863)</f>
        <v>6:L00857|6:T00429|10:2026-01-27|3:P-H|4:Home|4:sale|6:245.13</v>
      </c>
      <c r="Q863" s="1">
        <f>1</f>
        <v>1</v>
      </c>
      <c r="R863" s="1" t="b">
        <f>FALSE</f>
        <v>0</v>
      </c>
      <c r="S863" s="1">
        <f>1</f>
        <v>1</v>
      </c>
      <c r="T863" s="1" t="str">
        <f>IF(AND(Raw!A863="",Raw!B863="",Raw!C863="",Raw!D863="",Raw!E863="",Raw!F863="",Raw!G863=""),"UNUSED",IF(A863="","missing line ID",IF(B863="","missing transaction ID",IF(G863="",IF(C863="","missing date","invalid date"),IF(I863="","unknown product",IF(J863="","conflicting category",IF(NOT(OR(EXACT(K863,"sale"),EXACT(K863,"refund"))),"unknown event",IF(OR(N863="",NOT(O863)),"invalid amount",IF(OR(AND(K863="sale",N863&lt;=0),AND(K863="refund",N863&gt;=0)),"invalid sign","")))))))))</f>
        <v/>
      </c>
      <c r="U863" s="1" t="str">
        <f t="shared" si="109"/>
        <v>INCLUDED</v>
      </c>
      <c r="V863" s="1" t="str">
        <f t="shared" si="110"/>
        <v>2026-01</v>
      </c>
      <c r="W863" s="1">
        <f>IF(AND(U863="INCLUDED",X863&gt;0,EXACT(A863,'AI output'!A863)),1,0)</f>
        <v>1</v>
      </c>
      <c r="X863" s="1">
        <f>863</f>
        <v>863</v>
      </c>
      <c r="Y863" s="1">
        <f>IF(AND(U863="INCLUDED",W863=1),--(NOT(EXACT(A863,'AI output'!A863)))+--(NOT(EXACT(B863,'AI output'!B863)))+--(NOT(EXACT(TEXT(G863,"yyyy-mm-dd"),'AI output'!C863)))+--(NOT(EXACT(H863,'AI output'!D863)))+--(NOT(EXACT(J863,'AI output'!E863)))+--(NOT(EXACT(K863,'AI output'!F863)))+--(N863&lt;&gt;'AI output'!L863)+--(NOT('AI output'!M863)),0)</f>
        <v>0</v>
      </c>
      <c r="Z863" s="1">
        <f t="shared" si="111"/>
        <v>0</v>
      </c>
      <c r="AA863" s="1">
        <f>--EXACT(A863,"L00857")</f>
        <v>1</v>
      </c>
    </row>
    <row r="864" spans="1:27" ht="18.95" customHeight="1">
      <c r="A864" s="1" t="str">
        <f>IF(Raw!A864="","",Raw!A864)</f>
        <v>L00858</v>
      </c>
      <c r="B864" s="1" t="str">
        <f>IF(Raw!B864="","",Raw!B864)</f>
        <v>T00429</v>
      </c>
      <c r="C864" s="1" t="str">
        <f>IF(Raw!C864="","",Raw!C864)</f>
        <v>2026-01-27</v>
      </c>
      <c r="D864" s="1">
        <f t="shared" si="104"/>
        <v>2026</v>
      </c>
      <c r="E864" s="1">
        <f>IFERROR(IF(AND(LEN(C864)=10,MID(C864,5,1)="-",MID(C864,8,1)="-"),VALUE(MID(C864,6,2)),IF(AND(LEN(C864)=11,MID(C864,3,1)="-",MID(C864,7,1)="-"),MATCH(UPPER(MID(C864,4,3)),Guide!$D$7:$D$18,0),0)),0)</f>
        <v>1</v>
      </c>
      <c r="F864" s="1">
        <f t="shared" si="105"/>
        <v>27</v>
      </c>
      <c r="G864" s="9">
        <f t="shared" si="106"/>
        <v>46049</v>
      </c>
      <c r="H864" s="1" t="str">
        <f>IF(Raw!D864="","",Raw!D864)</f>
        <v>P-O</v>
      </c>
      <c r="I864" s="1" t="str">
        <f>IFERROR(IF(EXACT(H864,INDEX(Guide!$A$7:$A$9,MATCH(SUBSTITUTE(SUBSTITUTE(SUBSTITUTE(H864,"~","~~"),"*","~*"),"?","~?"),Guide!$A$7:$A$9,0))),INDEX(Guide!$B$7:$B$9,MATCH(SUBSTITUTE(SUBSTITUTE(SUBSTITUTE(H864,"~","~~"),"*","~*"),"?","~?"),Guide!$A$7:$A$9,0)),""),"")</f>
        <v>Office</v>
      </c>
      <c r="J864" s="1" t="str">
        <f>IF(TRIM(Raw!E864)="",I864,IF(UPPER(TRIM(Raw!E864))=UPPER(I864),I864,""))</f>
        <v>Office</v>
      </c>
      <c r="K864" s="1" t="str">
        <f>IF(Raw!F864="","",Raw!F864)</f>
        <v>sale</v>
      </c>
      <c r="L864" s="1" t="str">
        <f>IF(LEFT(TRIM(Raw!G864),2)="-$","-"&amp;MID(TRIM(Raw!G864),3,99),IF(LEFT(TRIM(Raw!G864),1)="$",MID(TRIM(Raw!G864),2,99),TRIM(Raw!G864)))</f>
        <v>410.40</v>
      </c>
      <c r="M864" s="1">
        <f t="shared" si="107"/>
        <v>410.4</v>
      </c>
      <c r="N864" s="10">
        <f t="shared" si="108"/>
        <v>41040</v>
      </c>
      <c r="O864" s="1" t="b">
        <f>IFERROR(IF(ISNUMBER(Raw!G864),TRUE,OR(EXACT(L864,TEXT(M864,"0.00")),EXACT(L864,TEXT(M864,"#,##0.00")))),FALSE)</f>
        <v>1</v>
      </c>
      <c r="P864" s="1" t="str">
        <f>LEN(IF(Raw!A864="","",Raw!A864))&amp;":"&amp;IF(Raw!A864="","",Raw!A864)&amp;"|"&amp;LEN(IF(Raw!B864="","",Raw!B864))&amp;":"&amp;IF(Raw!B864="","",Raw!B864)&amp;"|"&amp;LEN(IF(Raw!C864="","",Raw!C864))&amp;":"&amp;IF(Raw!C864="","",Raw!C864)&amp;"|"&amp;LEN(IF(Raw!D864="","",Raw!D864))&amp;":"&amp;IF(Raw!D864="","",Raw!D864)&amp;"|"&amp;LEN(IF(Raw!E864="","",Raw!E864))&amp;":"&amp;IF(Raw!E864="","",Raw!E864)&amp;"|"&amp;LEN(IF(Raw!F864="","",Raw!F864))&amp;":"&amp;IF(Raw!F864="","",Raw!F864)&amp;"|"&amp;LEN(IF(Raw!G864="","",Raw!G864))&amp;":"&amp;IF(Raw!G864="","",Raw!G864)</f>
        <v>6:L00858|6:T00429|10:2026-01-27|3:P-O|6:Office|4:sale|6:410.40</v>
      </c>
      <c r="Q864" s="1">
        <f>1</f>
        <v>1</v>
      </c>
      <c r="R864" s="1" t="b">
        <f>FALSE</f>
        <v>0</v>
      </c>
      <c r="S864" s="1">
        <f>1</f>
        <v>1</v>
      </c>
      <c r="T864" s="1" t="str">
        <f>IF(AND(Raw!A864="",Raw!B864="",Raw!C864="",Raw!D864="",Raw!E864="",Raw!F864="",Raw!G864=""),"UNUSED",IF(A864="","missing line ID",IF(B864="","missing transaction ID",IF(G864="",IF(C864="","missing date","invalid date"),IF(I864="","unknown product",IF(J864="","conflicting category",IF(NOT(OR(EXACT(K864,"sale"),EXACT(K864,"refund"))),"unknown event",IF(OR(N864="",NOT(O864)),"invalid amount",IF(OR(AND(K864="sale",N864&lt;=0),AND(K864="refund",N864&gt;=0)),"invalid sign","")))))))))</f>
        <v/>
      </c>
      <c r="U864" s="1" t="str">
        <f t="shared" si="109"/>
        <v>INCLUDED</v>
      </c>
      <c r="V864" s="1" t="str">
        <f t="shared" si="110"/>
        <v>2026-01</v>
      </c>
      <c r="W864" s="1">
        <f>IF(AND(U864="INCLUDED",X864&gt;0,EXACT(A864,'AI output'!A864)),1,0)</f>
        <v>1</v>
      </c>
      <c r="X864" s="1">
        <f>864</f>
        <v>864</v>
      </c>
      <c r="Y864" s="1">
        <f>IF(AND(U864="INCLUDED",W864=1),--(NOT(EXACT(A864,'AI output'!A864)))+--(NOT(EXACT(B864,'AI output'!B864)))+--(NOT(EXACT(TEXT(G864,"yyyy-mm-dd"),'AI output'!C864)))+--(NOT(EXACT(H864,'AI output'!D864)))+--(NOT(EXACT(J864,'AI output'!E864)))+--(NOT(EXACT(K864,'AI output'!F864)))+--(N864&lt;&gt;'AI output'!L864)+--(NOT('AI output'!M864)),0)</f>
        <v>0</v>
      </c>
      <c r="Z864" s="1">
        <f t="shared" si="111"/>
        <v>0</v>
      </c>
      <c r="AA864" s="1">
        <f>--EXACT(A864,"L00858")</f>
        <v>1</v>
      </c>
    </row>
    <row r="865" spans="1:27" ht="18.95" customHeight="1">
      <c r="A865" s="1" t="str">
        <f>IF(Raw!A865="","",Raw!A865)</f>
        <v>L00859</v>
      </c>
      <c r="B865" s="1" t="str">
        <f>IF(Raw!B865="","",Raw!B865)</f>
        <v>T00430</v>
      </c>
      <c r="C865" s="1" t="str">
        <f>IF(Raw!C865="","",Raw!C865)</f>
        <v>2026-02-03</v>
      </c>
      <c r="D865" s="1">
        <f t="shared" si="104"/>
        <v>2026</v>
      </c>
      <c r="E865" s="1">
        <f>IFERROR(IF(AND(LEN(C865)=10,MID(C865,5,1)="-",MID(C865,8,1)="-"),VALUE(MID(C865,6,2)),IF(AND(LEN(C865)=11,MID(C865,3,1)="-",MID(C865,7,1)="-"),MATCH(UPPER(MID(C865,4,3)),Guide!$D$7:$D$18,0),0)),0)</f>
        <v>2</v>
      </c>
      <c r="F865" s="1">
        <f t="shared" si="105"/>
        <v>3</v>
      </c>
      <c r="G865" s="9">
        <f t="shared" si="106"/>
        <v>46056</v>
      </c>
      <c r="H865" s="1" t="str">
        <f>IF(Raw!D865="","",Raw!D865)</f>
        <v>P-A</v>
      </c>
      <c r="I865" s="1" t="str">
        <f>IFERROR(IF(EXACT(H865,INDEX(Guide!$A$7:$A$9,MATCH(SUBSTITUTE(SUBSTITUTE(SUBSTITUTE(H865,"~","~~"),"*","~*"),"?","~?"),Guide!$A$7:$A$9,0))),INDEX(Guide!$B$7:$B$9,MATCH(SUBSTITUTE(SUBSTITUTE(SUBSTITUTE(H865,"~","~~"),"*","~*"),"?","~?"),Guide!$A$7:$A$9,0)),""),"")</f>
        <v>Accessories</v>
      </c>
      <c r="J865" s="1" t="str">
        <f>IF(TRIM(Raw!E865)="",I865,IF(UPPER(TRIM(Raw!E865))=UPPER(I865),I865,""))</f>
        <v>Accessories</v>
      </c>
      <c r="K865" s="1" t="str">
        <f>IF(Raw!F865="","",Raw!F865)</f>
        <v>sale</v>
      </c>
      <c r="L865" s="1" t="str">
        <f>IF(LEFT(TRIM(Raw!G865),2)="-$","-"&amp;MID(TRIM(Raw!G865),3,99),IF(LEFT(TRIM(Raw!G865),1)="$",MID(TRIM(Raw!G865),2,99),TRIM(Raw!G865)))</f>
        <v>164.90</v>
      </c>
      <c r="M865" s="1">
        <f t="shared" si="107"/>
        <v>164.9</v>
      </c>
      <c r="N865" s="10">
        <f t="shared" si="108"/>
        <v>16490</v>
      </c>
      <c r="O865" s="1" t="b">
        <f>IFERROR(IF(ISNUMBER(Raw!G865),TRUE,OR(EXACT(L865,TEXT(M865,"0.00")),EXACT(L865,TEXT(M865,"#,##0.00")))),FALSE)</f>
        <v>1</v>
      </c>
      <c r="P865" s="1" t="str">
        <f>LEN(IF(Raw!A865="","",Raw!A865))&amp;":"&amp;IF(Raw!A865="","",Raw!A865)&amp;"|"&amp;LEN(IF(Raw!B865="","",Raw!B865))&amp;":"&amp;IF(Raw!B865="","",Raw!B865)&amp;"|"&amp;LEN(IF(Raw!C865="","",Raw!C865))&amp;":"&amp;IF(Raw!C865="","",Raw!C865)&amp;"|"&amp;LEN(IF(Raw!D865="","",Raw!D865))&amp;":"&amp;IF(Raw!D865="","",Raw!D865)&amp;"|"&amp;LEN(IF(Raw!E865="","",Raw!E865))&amp;":"&amp;IF(Raw!E865="","",Raw!E865)&amp;"|"&amp;LEN(IF(Raw!F865="","",Raw!F865))&amp;":"&amp;IF(Raw!F865="","",Raw!F865)&amp;"|"&amp;LEN(IF(Raw!G865="","",Raw!G865))&amp;":"&amp;IF(Raw!G865="","",Raw!G865)</f>
        <v>6:L00859|6:T00430|10:2026-02-03|3:P-A|11:Accessories|4:sale|6:164.90</v>
      </c>
      <c r="Q865" s="1">
        <f>1</f>
        <v>1</v>
      </c>
      <c r="R865" s="1" t="b">
        <f>FALSE</f>
        <v>0</v>
      </c>
      <c r="S865" s="1">
        <f>1</f>
        <v>1</v>
      </c>
      <c r="T865" s="1" t="str">
        <f>IF(AND(Raw!A865="",Raw!B865="",Raw!C865="",Raw!D865="",Raw!E865="",Raw!F865="",Raw!G865=""),"UNUSED",IF(A865="","missing line ID",IF(B865="","missing transaction ID",IF(G865="",IF(C865="","missing date","invalid date"),IF(I865="","unknown product",IF(J865="","conflicting category",IF(NOT(OR(EXACT(K865,"sale"),EXACT(K865,"refund"))),"unknown event",IF(OR(N865="",NOT(O865)),"invalid amount",IF(OR(AND(K865="sale",N865&lt;=0),AND(K865="refund",N865&gt;=0)),"invalid sign","")))))))))</f>
        <v/>
      </c>
      <c r="U865" s="1" t="str">
        <f t="shared" si="109"/>
        <v>INCLUDED</v>
      </c>
      <c r="V865" s="1" t="str">
        <f t="shared" si="110"/>
        <v>2026-02</v>
      </c>
      <c r="W865" s="1">
        <f>IF(AND(U865="INCLUDED",X865&gt;0,EXACT(A865,'AI output'!A865)),1,0)</f>
        <v>1</v>
      </c>
      <c r="X865" s="1">
        <f>865</f>
        <v>865</v>
      </c>
      <c r="Y865" s="1">
        <f>IF(AND(U865="INCLUDED",W865=1),--(NOT(EXACT(A865,'AI output'!A865)))+--(NOT(EXACT(B865,'AI output'!B865)))+--(NOT(EXACT(TEXT(G865,"yyyy-mm-dd"),'AI output'!C865)))+--(NOT(EXACT(H865,'AI output'!D865)))+--(NOT(EXACT(J865,'AI output'!E865)))+--(NOT(EXACT(K865,'AI output'!F865)))+--(N865&lt;&gt;'AI output'!L865)+--(NOT('AI output'!M865)),0)</f>
        <v>0</v>
      </c>
      <c r="Z865" s="1">
        <f t="shared" si="111"/>
        <v>0</v>
      </c>
      <c r="AA865" s="1">
        <f>--EXACT(A865,"L00859")</f>
        <v>1</v>
      </c>
    </row>
    <row r="866" spans="1:27" ht="18.95" customHeight="1">
      <c r="A866" s="1" t="str">
        <f>IF(Raw!A866="","",Raw!A866)</f>
        <v>L00860</v>
      </c>
      <c r="B866" s="1" t="str">
        <f>IF(Raw!B866="","",Raw!B866)</f>
        <v>T00430</v>
      </c>
      <c r="C866" s="1" t="str">
        <f>IF(Raw!C866="","",Raw!C866)</f>
        <v>2026-02-03</v>
      </c>
      <c r="D866" s="1">
        <f t="shared" si="104"/>
        <v>2026</v>
      </c>
      <c r="E866" s="1">
        <f>IFERROR(IF(AND(LEN(C866)=10,MID(C866,5,1)="-",MID(C866,8,1)="-"),VALUE(MID(C866,6,2)),IF(AND(LEN(C866)=11,MID(C866,3,1)="-",MID(C866,7,1)="-"),MATCH(UPPER(MID(C866,4,3)),Guide!$D$7:$D$18,0),0)),0)</f>
        <v>2</v>
      </c>
      <c r="F866" s="1">
        <f t="shared" si="105"/>
        <v>3</v>
      </c>
      <c r="G866" s="9">
        <f t="shared" si="106"/>
        <v>46056</v>
      </c>
      <c r="H866" s="1" t="str">
        <f>IF(Raw!D866="","",Raw!D866)</f>
        <v>P-H</v>
      </c>
      <c r="I866" s="1" t="str">
        <f>IFERROR(IF(EXACT(H866,INDEX(Guide!$A$7:$A$9,MATCH(SUBSTITUTE(SUBSTITUTE(SUBSTITUTE(H866,"~","~~"),"*","~*"),"?","~?"),Guide!$A$7:$A$9,0))),INDEX(Guide!$B$7:$B$9,MATCH(SUBSTITUTE(SUBSTITUTE(SUBSTITUTE(H866,"~","~~"),"*","~*"),"?","~?"),Guide!$A$7:$A$9,0)),""),"")</f>
        <v>Home</v>
      </c>
      <c r="J866" s="1" t="str">
        <f>IF(TRIM(Raw!E866)="",I866,IF(UPPER(TRIM(Raw!E866))=UPPER(I866),I866,""))</f>
        <v>Home</v>
      </c>
      <c r="K866" s="1" t="str">
        <f>IF(Raw!F866="","",Raw!F866)</f>
        <v>sale</v>
      </c>
      <c r="L866" s="1" t="str">
        <f>IF(LEFT(TRIM(Raw!G866),2)="-$","-"&amp;MID(TRIM(Raw!G866),3,99),IF(LEFT(TRIM(Raw!G866),1)="$",MID(TRIM(Raw!G866),2,99),TRIM(Raw!G866)))</f>
        <v>331.28</v>
      </c>
      <c r="M866" s="1">
        <f t="shared" si="107"/>
        <v>331.28</v>
      </c>
      <c r="N866" s="10">
        <f t="shared" si="108"/>
        <v>33128</v>
      </c>
      <c r="O866" s="1" t="b">
        <f>IFERROR(IF(ISNUMBER(Raw!G866),TRUE,OR(EXACT(L866,TEXT(M866,"0.00")),EXACT(L866,TEXT(M866,"#,##0.00")))),FALSE)</f>
        <v>1</v>
      </c>
      <c r="P866" s="1" t="str">
        <f>LEN(IF(Raw!A866="","",Raw!A866))&amp;":"&amp;IF(Raw!A866="","",Raw!A866)&amp;"|"&amp;LEN(IF(Raw!B866="","",Raw!B866))&amp;":"&amp;IF(Raw!B866="","",Raw!B866)&amp;"|"&amp;LEN(IF(Raw!C866="","",Raw!C866))&amp;":"&amp;IF(Raw!C866="","",Raw!C866)&amp;"|"&amp;LEN(IF(Raw!D866="","",Raw!D866))&amp;":"&amp;IF(Raw!D866="","",Raw!D866)&amp;"|"&amp;LEN(IF(Raw!E866="","",Raw!E866))&amp;":"&amp;IF(Raw!E866="","",Raw!E866)&amp;"|"&amp;LEN(IF(Raw!F866="","",Raw!F866))&amp;":"&amp;IF(Raw!F866="","",Raw!F866)&amp;"|"&amp;LEN(IF(Raw!G866="","",Raw!G866))&amp;":"&amp;IF(Raw!G866="","",Raw!G866)</f>
        <v>6:L00860|6:T00430|10:2026-02-03|3:P-H|4:Home|4:sale|6:331.28</v>
      </c>
      <c r="Q866" s="1">
        <f>1</f>
        <v>1</v>
      </c>
      <c r="R866" s="1" t="b">
        <f>FALSE</f>
        <v>0</v>
      </c>
      <c r="S866" s="1">
        <f>1</f>
        <v>1</v>
      </c>
      <c r="T866" s="1" t="str">
        <f>IF(AND(Raw!A866="",Raw!B866="",Raw!C866="",Raw!D866="",Raw!E866="",Raw!F866="",Raw!G866=""),"UNUSED",IF(A866="","missing line ID",IF(B866="","missing transaction ID",IF(G866="",IF(C866="","missing date","invalid date"),IF(I866="","unknown product",IF(J866="","conflicting category",IF(NOT(OR(EXACT(K866,"sale"),EXACT(K866,"refund"))),"unknown event",IF(OR(N866="",NOT(O866)),"invalid amount",IF(OR(AND(K866="sale",N866&lt;=0),AND(K866="refund",N866&gt;=0)),"invalid sign","")))))))))</f>
        <v/>
      </c>
      <c r="U866" s="1" t="str">
        <f t="shared" si="109"/>
        <v>INCLUDED</v>
      </c>
      <c r="V866" s="1" t="str">
        <f t="shared" si="110"/>
        <v>2026-02</v>
      </c>
      <c r="W866" s="1">
        <f>IF(AND(U866="INCLUDED",X866&gt;0,EXACT(A866,'AI output'!A866)),1,0)</f>
        <v>1</v>
      </c>
      <c r="X866" s="1">
        <f>866</f>
        <v>866</v>
      </c>
      <c r="Y866" s="1">
        <f>IF(AND(U866="INCLUDED",W866=1),--(NOT(EXACT(A866,'AI output'!A866)))+--(NOT(EXACT(B866,'AI output'!B866)))+--(NOT(EXACT(TEXT(G866,"yyyy-mm-dd"),'AI output'!C866)))+--(NOT(EXACT(H866,'AI output'!D866)))+--(NOT(EXACT(J866,'AI output'!E866)))+--(NOT(EXACT(K866,'AI output'!F866)))+--(N866&lt;&gt;'AI output'!L866)+--(NOT('AI output'!M866)),0)</f>
        <v>0</v>
      </c>
      <c r="Z866" s="1">
        <f t="shared" si="111"/>
        <v>0</v>
      </c>
      <c r="AA866" s="1">
        <f>--EXACT(A866,"L00860")</f>
        <v>1</v>
      </c>
    </row>
    <row r="867" spans="1:27" ht="18.95" customHeight="1">
      <c r="A867" s="1" t="str">
        <f>IF(Raw!A867="","",Raw!A867)</f>
        <v>L00861</v>
      </c>
      <c r="B867" s="1" t="str">
        <f>IF(Raw!B867="","",Raw!B867)</f>
        <v>T00431</v>
      </c>
      <c r="C867" s="1" t="str">
        <f>IF(Raw!C867="","",Raw!C867)</f>
        <v>2026-02-10</v>
      </c>
      <c r="D867" s="1">
        <f t="shared" si="104"/>
        <v>2026</v>
      </c>
      <c r="E867" s="1">
        <f>IFERROR(IF(AND(LEN(C867)=10,MID(C867,5,1)="-",MID(C867,8,1)="-"),VALUE(MID(C867,6,2)),IF(AND(LEN(C867)=11,MID(C867,3,1)="-",MID(C867,7,1)="-"),MATCH(UPPER(MID(C867,4,3)),Guide!$D$7:$D$18,0),0)),0)</f>
        <v>2</v>
      </c>
      <c r="F867" s="1">
        <f t="shared" si="105"/>
        <v>10</v>
      </c>
      <c r="G867" s="9">
        <f t="shared" si="106"/>
        <v>46063</v>
      </c>
      <c r="H867" s="1" t="str">
        <f>IF(Raw!D867="","",Raw!D867)</f>
        <v>P-O</v>
      </c>
      <c r="I867" s="1" t="str">
        <f>IFERROR(IF(EXACT(H867,INDEX(Guide!$A$7:$A$9,MATCH(SUBSTITUTE(SUBSTITUTE(SUBSTITUTE(H867,"~","~~"),"*","~*"),"?","~?"),Guide!$A$7:$A$9,0))),INDEX(Guide!$B$7:$B$9,MATCH(SUBSTITUTE(SUBSTITUTE(SUBSTITUTE(H867,"~","~~"),"*","~*"),"?","~?"),Guide!$A$7:$A$9,0)),""),"")</f>
        <v>Office</v>
      </c>
      <c r="J867" s="1" t="str">
        <f>IF(TRIM(Raw!E867)="",I867,IF(UPPER(TRIM(Raw!E867))=UPPER(I867),I867,""))</f>
        <v>Office</v>
      </c>
      <c r="K867" s="1" t="str">
        <f>IF(Raw!F867="","",Raw!F867)</f>
        <v>sale</v>
      </c>
      <c r="L867" s="1" t="str">
        <f>IF(LEFT(TRIM(Raw!G867),2)="-$","-"&amp;MID(TRIM(Raw!G867),3,99),IF(LEFT(TRIM(Raw!G867),1)="$",MID(TRIM(Raw!G867),2,99),TRIM(Raw!G867)))</f>
        <v>83.19</v>
      </c>
      <c r="M867" s="1">
        <f t="shared" si="107"/>
        <v>83.19</v>
      </c>
      <c r="N867" s="10">
        <f t="shared" si="108"/>
        <v>8319</v>
      </c>
      <c r="O867" s="1" t="b">
        <f>IFERROR(IF(ISNUMBER(Raw!G867),TRUE,OR(EXACT(L867,TEXT(M867,"0.00")),EXACT(L867,TEXT(M867,"#,##0.00")))),FALSE)</f>
        <v>1</v>
      </c>
      <c r="P867" s="1" t="str">
        <f>LEN(IF(Raw!A867="","",Raw!A867))&amp;":"&amp;IF(Raw!A867="","",Raw!A867)&amp;"|"&amp;LEN(IF(Raw!B867="","",Raw!B867))&amp;":"&amp;IF(Raw!B867="","",Raw!B867)&amp;"|"&amp;LEN(IF(Raw!C867="","",Raw!C867))&amp;":"&amp;IF(Raw!C867="","",Raw!C867)&amp;"|"&amp;LEN(IF(Raw!D867="","",Raw!D867))&amp;":"&amp;IF(Raw!D867="","",Raw!D867)&amp;"|"&amp;LEN(IF(Raw!E867="","",Raw!E867))&amp;":"&amp;IF(Raw!E867="","",Raw!E867)&amp;"|"&amp;LEN(IF(Raw!F867="","",Raw!F867))&amp;":"&amp;IF(Raw!F867="","",Raw!F867)&amp;"|"&amp;LEN(IF(Raw!G867="","",Raw!G867))&amp;":"&amp;IF(Raw!G867="","",Raw!G867)</f>
        <v>6:L00861|6:T00431|10:2026-02-10|3:P-O|6:Office|4:sale|5:83.19</v>
      </c>
      <c r="Q867" s="1">
        <f>1</f>
        <v>1</v>
      </c>
      <c r="R867" s="1" t="b">
        <f>FALSE</f>
        <v>0</v>
      </c>
      <c r="S867" s="1">
        <f>1</f>
        <v>1</v>
      </c>
      <c r="T867" s="1" t="str">
        <f>IF(AND(Raw!A867="",Raw!B867="",Raw!C867="",Raw!D867="",Raw!E867="",Raw!F867="",Raw!G867=""),"UNUSED",IF(A867="","missing line ID",IF(B867="","missing transaction ID",IF(G867="",IF(C867="","missing date","invalid date"),IF(I867="","unknown product",IF(J867="","conflicting category",IF(NOT(OR(EXACT(K867,"sale"),EXACT(K867,"refund"))),"unknown event",IF(OR(N867="",NOT(O867)),"invalid amount",IF(OR(AND(K867="sale",N867&lt;=0),AND(K867="refund",N867&gt;=0)),"invalid sign","")))))))))</f>
        <v/>
      </c>
      <c r="U867" s="1" t="str">
        <f t="shared" si="109"/>
        <v>INCLUDED</v>
      </c>
      <c r="V867" s="1" t="str">
        <f t="shared" si="110"/>
        <v>2026-02</v>
      </c>
      <c r="W867" s="1">
        <f>IF(AND(U867="INCLUDED",X867&gt;0,EXACT(A867,'AI output'!A867)),1,0)</f>
        <v>1</v>
      </c>
      <c r="X867" s="1">
        <f>867</f>
        <v>867</v>
      </c>
      <c r="Y867" s="1">
        <f>IF(AND(U867="INCLUDED",W867=1),--(NOT(EXACT(A867,'AI output'!A867)))+--(NOT(EXACT(B867,'AI output'!B867)))+--(NOT(EXACT(TEXT(G867,"yyyy-mm-dd"),'AI output'!C867)))+--(NOT(EXACT(H867,'AI output'!D867)))+--(NOT(EXACT(J867,'AI output'!E867)))+--(NOT(EXACT(K867,'AI output'!F867)))+--(N867&lt;&gt;'AI output'!L867)+--(NOT('AI output'!M867)),0)</f>
        <v>0</v>
      </c>
      <c r="Z867" s="1">
        <f t="shared" si="111"/>
        <v>0</v>
      </c>
      <c r="AA867" s="1">
        <f>--EXACT(A867,"L00861")</f>
        <v>1</v>
      </c>
    </row>
    <row r="868" spans="1:27" ht="18.95" customHeight="1">
      <c r="A868" s="1" t="str">
        <f>IF(Raw!A868="","",Raw!A868)</f>
        <v>L00862</v>
      </c>
      <c r="B868" s="1" t="str">
        <f>IF(Raw!B868="","",Raw!B868)</f>
        <v>T00431</v>
      </c>
      <c r="C868" s="1" t="str">
        <f>IF(Raw!C868="","",Raw!C868)</f>
        <v>2026-02-10</v>
      </c>
      <c r="D868" s="1">
        <f t="shared" si="104"/>
        <v>2026</v>
      </c>
      <c r="E868" s="1">
        <f>IFERROR(IF(AND(LEN(C868)=10,MID(C868,5,1)="-",MID(C868,8,1)="-"),VALUE(MID(C868,6,2)),IF(AND(LEN(C868)=11,MID(C868,3,1)="-",MID(C868,7,1)="-"),MATCH(UPPER(MID(C868,4,3)),Guide!$D$7:$D$18,0),0)),0)</f>
        <v>2</v>
      </c>
      <c r="F868" s="1">
        <f t="shared" si="105"/>
        <v>10</v>
      </c>
      <c r="G868" s="9">
        <f t="shared" si="106"/>
        <v>46063</v>
      </c>
      <c r="H868" s="1" t="str">
        <f>IF(Raw!D868="","",Raw!D868)</f>
        <v>P-A</v>
      </c>
      <c r="I868" s="1" t="str">
        <f>IFERROR(IF(EXACT(H868,INDEX(Guide!$A$7:$A$9,MATCH(SUBSTITUTE(SUBSTITUTE(SUBSTITUTE(H868,"~","~~"),"*","~*"),"?","~?"),Guide!$A$7:$A$9,0))),INDEX(Guide!$B$7:$B$9,MATCH(SUBSTITUTE(SUBSTITUTE(SUBSTITUTE(H868,"~","~~"),"*","~*"),"?","~?"),Guide!$A$7:$A$9,0)),""),"")</f>
        <v>Accessories</v>
      </c>
      <c r="J868" s="1" t="str">
        <f>IF(TRIM(Raw!E868)="",I868,IF(UPPER(TRIM(Raw!E868))=UPPER(I868),I868,""))</f>
        <v>Accessories</v>
      </c>
      <c r="K868" s="1" t="str">
        <f>IF(Raw!F868="","",Raw!F868)</f>
        <v>sale</v>
      </c>
      <c r="L868" s="1" t="str">
        <f>IF(LEFT(TRIM(Raw!G868),2)="-$","-"&amp;MID(TRIM(Raw!G868),3,99),IF(LEFT(TRIM(Raw!G868),1)="$",MID(TRIM(Raw!G868),2,99),TRIM(Raw!G868)))</f>
        <v>250.68</v>
      </c>
      <c r="M868" s="1">
        <f t="shared" si="107"/>
        <v>250.68</v>
      </c>
      <c r="N868" s="10">
        <f t="shared" si="108"/>
        <v>25068</v>
      </c>
      <c r="O868" s="1" t="b">
        <f>IFERROR(IF(ISNUMBER(Raw!G868),TRUE,OR(EXACT(L868,TEXT(M868,"0.00")),EXACT(L868,TEXT(M868,"#,##0.00")))),FALSE)</f>
        <v>1</v>
      </c>
      <c r="P868" s="1" t="str">
        <f>LEN(IF(Raw!A868="","",Raw!A868))&amp;":"&amp;IF(Raw!A868="","",Raw!A868)&amp;"|"&amp;LEN(IF(Raw!B868="","",Raw!B868))&amp;":"&amp;IF(Raw!B868="","",Raw!B868)&amp;"|"&amp;LEN(IF(Raw!C868="","",Raw!C868))&amp;":"&amp;IF(Raw!C868="","",Raw!C868)&amp;"|"&amp;LEN(IF(Raw!D868="","",Raw!D868))&amp;":"&amp;IF(Raw!D868="","",Raw!D868)&amp;"|"&amp;LEN(IF(Raw!E868="","",Raw!E868))&amp;":"&amp;IF(Raw!E868="","",Raw!E868)&amp;"|"&amp;LEN(IF(Raw!F868="","",Raw!F868))&amp;":"&amp;IF(Raw!F868="","",Raw!F868)&amp;"|"&amp;LEN(IF(Raw!G868="","",Raw!G868))&amp;":"&amp;IF(Raw!G868="","",Raw!G868)</f>
        <v>6:L00862|6:T00431|10:2026-02-10|3:P-A|11:Accessories|4:sale|6:250.68</v>
      </c>
      <c r="Q868" s="1">
        <f>1</f>
        <v>1</v>
      </c>
      <c r="R868" s="1" t="b">
        <f>FALSE</f>
        <v>0</v>
      </c>
      <c r="S868" s="1">
        <f>1</f>
        <v>1</v>
      </c>
      <c r="T868" s="1" t="str">
        <f>IF(AND(Raw!A868="",Raw!B868="",Raw!C868="",Raw!D868="",Raw!E868="",Raw!F868="",Raw!G868=""),"UNUSED",IF(A868="","missing line ID",IF(B868="","missing transaction ID",IF(G868="",IF(C868="","missing date","invalid date"),IF(I868="","unknown product",IF(J868="","conflicting category",IF(NOT(OR(EXACT(K868,"sale"),EXACT(K868,"refund"))),"unknown event",IF(OR(N868="",NOT(O868)),"invalid amount",IF(OR(AND(K868="sale",N868&lt;=0),AND(K868="refund",N868&gt;=0)),"invalid sign","")))))))))</f>
        <v/>
      </c>
      <c r="U868" s="1" t="str">
        <f t="shared" si="109"/>
        <v>INCLUDED</v>
      </c>
      <c r="V868" s="1" t="str">
        <f t="shared" si="110"/>
        <v>2026-02</v>
      </c>
      <c r="W868" s="1">
        <f>IF(AND(U868="INCLUDED",X868&gt;0,EXACT(A868,'AI output'!A868)),1,0)</f>
        <v>1</v>
      </c>
      <c r="X868" s="1">
        <f>868</f>
        <v>868</v>
      </c>
      <c r="Y868" s="1">
        <f>IF(AND(U868="INCLUDED",W868=1),--(NOT(EXACT(A868,'AI output'!A868)))+--(NOT(EXACT(B868,'AI output'!B868)))+--(NOT(EXACT(TEXT(G868,"yyyy-mm-dd"),'AI output'!C868)))+--(NOT(EXACT(H868,'AI output'!D868)))+--(NOT(EXACT(J868,'AI output'!E868)))+--(NOT(EXACT(K868,'AI output'!F868)))+--(N868&lt;&gt;'AI output'!L868)+--(NOT('AI output'!M868)),0)</f>
        <v>0</v>
      </c>
      <c r="Z868" s="1">
        <f t="shared" si="111"/>
        <v>0</v>
      </c>
      <c r="AA868" s="1">
        <f>--EXACT(A868,"L00862")</f>
        <v>1</v>
      </c>
    </row>
    <row r="869" spans="1:27" ht="18.95" customHeight="1">
      <c r="A869" s="1" t="str">
        <f>IF(Raw!A869="","",Raw!A869)</f>
        <v>L00863</v>
      </c>
      <c r="B869" s="1" t="str">
        <f>IF(Raw!B869="","",Raw!B869)</f>
        <v>T00432</v>
      </c>
      <c r="C869" s="1" t="str">
        <f>IF(Raw!C869="","",Raw!C869)</f>
        <v>2026-02-17</v>
      </c>
      <c r="D869" s="1">
        <f t="shared" si="104"/>
        <v>2026</v>
      </c>
      <c r="E869" s="1">
        <f>IFERROR(IF(AND(LEN(C869)=10,MID(C869,5,1)="-",MID(C869,8,1)="-"),VALUE(MID(C869,6,2)),IF(AND(LEN(C869)=11,MID(C869,3,1)="-",MID(C869,7,1)="-"),MATCH(UPPER(MID(C869,4,3)),Guide!$D$7:$D$18,0),0)),0)</f>
        <v>2</v>
      </c>
      <c r="F869" s="1">
        <f t="shared" si="105"/>
        <v>17</v>
      </c>
      <c r="G869" s="9">
        <f t="shared" si="106"/>
        <v>46070</v>
      </c>
      <c r="H869" s="1" t="str">
        <f>IF(Raw!D869="","",Raw!D869)</f>
        <v>P-H</v>
      </c>
      <c r="I869" s="1" t="str">
        <f>IFERROR(IF(EXACT(H869,INDEX(Guide!$A$7:$A$9,MATCH(SUBSTITUTE(SUBSTITUTE(SUBSTITUTE(H869,"~","~~"),"*","~*"),"?","~?"),Guide!$A$7:$A$9,0))),INDEX(Guide!$B$7:$B$9,MATCH(SUBSTITUTE(SUBSTITUTE(SUBSTITUTE(H869,"~","~~"),"*","~*"),"?","~?"),Guide!$A$7:$A$9,0)),""),"")</f>
        <v>Home</v>
      </c>
      <c r="J869" s="1" t="str">
        <f>IF(TRIM(Raw!E869)="",I869,IF(UPPER(TRIM(Raw!E869))=UPPER(I869),I869,""))</f>
        <v>Home</v>
      </c>
      <c r="K869" s="1" t="str">
        <f>IF(Raw!F869="","",Raw!F869)</f>
        <v>sale</v>
      </c>
      <c r="L869" s="1" t="str">
        <f>IF(LEFT(TRIM(Raw!G869),2)="-$","-"&amp;MID(TRIM(Raw!G869),3,99),IF(LEFT(TRIM(Raw!G869),1)="$",MID(TRIM(Raw!G869),2,99),TRIM(Raw!G869)))</f>
        <v>419.65</v>
      </c>
      <c r="M869" s="1">
        <f t="shared" si="107"/>
        <v>419.65</v>
      </c>
      <c r="N869" s="10">
        <f t="shared" si="108"/>
        <v>41965</v>
      </c>
      <c r="O869" s="1" t="b">
        <f>IFERROR(IF(ISNUMBER(Raw!G869),TRUE,OR(EXACT(L869,TEXT(M869,"0.00")),EXACT(L869,TEXT(M869,"#,##0.00")))),FALSE)</f>
        <v>1</v>
      </c>
      <c r="P869" s="1" t="str">
        <f>LEN(IF(Raw!A869="","",Raw!A869))&amp;":"&amp;IF(Raw!A869="","",Raw!A869)&amp;"|"&amp;LEN(IF(Raw!B869="","",Raw!B869))&amp;":"&amp;IF(Raw!B869="","",Raw!B869)&amp;"|"&amp;LEN(IF(Raw!C869="","",Raw!C869))&amp;":"&amp;IF(Raw!C869="","",Raw!C869)&amp;"|"&amp;LEN(IF(Raw!D869="","",Raw!D869))&amp;":"&amp;IF(Raw!D869="","",Raw!D869)&amp;"|"&amp;LEN(IF(Raw!E869="","",Raw!E869))&amp;":"&amp;IF(Raw!E869="","",Raw!E869)&amp;"|"&amp;LEN(IF(Raw!F869="","",Raw!F869))&amp;":"&amp;IF(Raw!F869="","",Raw!F869)&amp;"|"&amp;LEN(IF(Raw!G869="","",Raw!G869))&amp;":"&amp;IF(Raw!G869="","",Raw!G869)</f>
        <v>6:L00863|6:T00432|10:2026-02-17|3:P-H|4:Home|4:sale|6:419.65</v>
      </c>
      <c r="Q869" s="1">
        <f>1</f>
        <v>1</v>
      </c>
      <c r="R869" s="1" t="b">
        <f>FALSE</f>
        <v>0</v>
      </c>
      <c r="S869" s="1">
        <f>1</f>
        <v>1</v>
      </c>
      <c r="T869" s="1" t="str">
        <f>IF(AND(Raw!A869="",Raw!B869="",Raw!C869="",Raw!D869="",Raw!E869="",Raw!F869="",Raw!G869=""),"UNUSED",IF(A869="","missing line ID",IF(B869="","missing transaction ID",IF(G869="",IF(C869="","missing date","invalid date"),IF(I869="","unknown product",IF(J869="","conflicting category",IF(NOT(OR(EXACT(K869,"sale"),EXACT(K869,"refund"))),"unknown event",IF(OR(N869="",NOT(O869)),"invalid amount",IF(OR(AND(K869="sale",N869&lt;=0),AND(K869="refund",N869&gt;=0)),"invalid sign","")))))))))</f>
        <v/>
      </c>
      <c r="U869" s="1" t="str">
        <f t="shared" si="109"/>
        <v>INCLUDED</v>
      </c>
      <c r="V869" s="1" t="str">
        <f t="shared" si="110"/>
        <v>2026-02</v>
      </c>
      <c r="W869" s="1">
        <f>IF(AND(U869="INCLUDED",X869&gt;0,EXACT(A869,'AI output'!A869)),1,0)</f>
        <v>1</v>
      </c>
      <c r="X869" s="1">
        <f>869</f>
        <v>869</v>
      </c>
      <c r="Y869" s="1">
        <f>IF(AND(U869="INCLUDED",W869=1),--(NOT(EXACT(A869,'AI output'!A869)))+--(NOT(EXACT(B869,'AI output'!B869)))+--(NOT(EXACT(TEXT(G869,"yyyy-mm-dd"),'AI output'!C869)))+--(NOT(EXACT(H869,'AI output'!D869)))+--(NOT(EXACT(J869,'AI output'!E869)))+--(NOT(EXACT(K869,'AI output'!F869)))+--(N869&lt;&gt;'AI output'!L869)+--(NOT('AI output'!M869)),0)</f>
        <v>0</v>
      </c>
      <c r="Z869" s="1">
        <f t="shared" si="111"/>
        <v>0</v>
      </c>
      <c r="AA869" s="1">
        <f>--EXACT(A869,"L00863")</f>
        <v>1</v>
      </c>
    </row>
    <row r="870" spans="1:27" ht="18.95" customHeight="1">
      <c r="A870" s="1" t="str">
        <f>IF(Raw!A870="","",Raw!A870)</f>
        <v>L00864</v>
      </c>
      <c r="B870" s="1" t="str">
        <f>IF(Raw!B870="","",Raw!B870)</f>
        <v>T00432</v>
      </c>
      <c r="C870" s="1" t="str">
        <f>IF(Raw!C870="","",Raw!C870)</f>
        <v>2026-02-17</v>
      </c>
      <c r="D870" s="1">
        <f t="shared" si="104"/>
        <v>2026</v>
      </c>
      <c r="E870" s="1">
        <f>IFERROR(IF(AND(LEN(C870)=10,MID(C870,5,1)="-",MID(C870,8,1)="-"),VALUE(MID(C870,6,2)),IF(AND(LEN(C870)=11,MID(C870,3,1)="-",MID(C870,7,1)="-"),MATCH(UPPER(MID(C870,4,3)),Guide!$D$7:$D$18,0),0)),0)</f>
        <v>2</v>
      </c>
      <c r="F870" s="1">
        <f t="shared" si="105"/>
        <v>17</v>
      </c>
      <c r="G870" s="9">
        <f t="shared" si="106"/>
        <v>46070</v>
      </c>
      <c r="H870" s="1" t="str">
        <f>IF(Raw!D870="","",Raw!D870)</f>
        <v>P-O</v>
      </c>
      <c r="I870" s="1" t="str">
        <f>IFERROR(IF(EXACT(H870,INDEX(Guide!$A$7:$A$9,MATCH(SUBSTITUTE(SUBSTITUTE(SUBSTITUTE(H870,"~","~~"),"*","~*"),"?","~?"),Guide!$A$7:$A$9,0))),INDEX(Guide!$B$7:$B$9,MATCH(SUBSTITUTE(SUBSTITUTE(SUBSTITUTE(H870,"~","~~"),"*","~*"),"?","~?"),Guide!$A$7:$A$9,0)),""),"")</f>
        <v>Office</v>
      </c>
      <c r="J870" s="1" t="str">
        <f>IF(TRIM(Raw!E870)="",I870,IF(UPPER(TRIM(Raw!E870))=UPPER(I870),I870,""))</f>
        <v>Office</v>
      </c>
      <c r="K870" s="1" t="str">
        <f>IF(Raw!F870="","",Raw!F870)</f>
        <v>sale</v>
      </c>
      <c r="L870" s="1" t="str">
        <f>IF(LEFT(TRIM(Raw!G870),2)="-$","-"&amp;MID(TRIM(Raw!G870),3,99),IF(LEFT(TRIM(Raw!G870),1)="$",MID(TRIM(Raw!G870),2,99),TRIM(Raw!G870)))</f>
        <v>168.60</v>
      </c>
      <c r="M870" s="1">
        <f t="shared" si="107"/>
        <v>168.6</v>
      </c>
      <c r="N870" s="10">
        <f t="shared" si="108"/>
        <v>16860</v>
      </c>
      <c r="O870" s="1" t="b">
        <f>IFERROR(IF(ISNUMBER(Raw!G870),TRUE,OR(EXACT(L870,TEXT(M870,"0.00")),EXACT(L870,TEXT(M870,"#,##0.00")))),FALSE)</f>
        <v>1</v>
      </c>
      <c r="P870" s="1" t="str">
        <f>LEN(IF(Raw!A870="","",Raw!A870))&amp;":"&amp;IF(Raw!A870="","",Raw!A870)&amp;"|"&amp;LEN(IF(Raw!B870="","",Raw!B870))&amp;":"&amp;IF(Raw!B870="","",Raw!B870)&amp;"|"&amp;LEN(IF(Raw!C870="","",Raw!C870))&amp;":"&amp;IF(Raw!C870="","",Raw!C870)&amp;"|"&amp;LEN(IF(Raw!D870="","",Raw!D870))&amp;":"&amp;IF(Raw!D870="","",Raw!D870)&amp;"|"&amp;LEN(IF(Raw!E870="","",Raw!E870))&amp;":"&amp;IF(Raw!E870="","",Raw!E870)&amp;"|"&amp;LEN(IF(Raw!F870="","",Raw!F870))&amp;":"&amp;IF(Raw!F870="","",Raw!F870)&amp;"|"&amp;LEN(IF(Raw!G870="","",Raw!G870))&amp;":"&amp;IF(Raw!G870="","",Raw!G870)</f>
        <v>6:L00864|6:T00432|10:2026-02-17|3:P-O|10:  office  |4:sale|6:168.60</v>
      </c>
      <c r="Q870" s="1">
        <f>1</f>
        <v>1</v>
      </c>
      <c r="R870" s="1" t="b">
        <f>FALSE</f>
        <v>0</v>
      </c>
      <c r="S870" s="1">
        <f>1</f>
        <v>1</v>
      </c>
      <c r="T870" s="1" t="str">
        <f>IF(AND(Raw!A870="",Raw!B870="",Raw!C870="",Raw!D870="",Raw!E870="",Raw!F870="",Raw!G870=""),"UNUSED",IF(A870="","missing line ID",IF(B870="","missing transaction ID",IF(G870="",IF(C870="","missing date","invalid date"),IF(I870="","unknown product",IF(J870="","conflicting category",IF(NOT(OR(EXACT(K870,"sale"),EXACT(K870,"refund"))),"unknown event",IF(OR(N870="",NOT(O870)),"invalid amount",IF(OR(AND(K870="sale",N870&lt;=0),AND(K870="refund",N870&gt;=0)),"invalid sign","")))))))))</f>
        <v/>
      </c>
      <c r="U870" s="1" t="str">
        <f t="shared" si="109"/>
        <v>INCLUDED</v>
      </c>
      <c r="V870" s="1" t="str">
        <f t="shared" si="110"/>
        <v>2026-02</v>
      </c>
      <c r="W870" s="1">
        <f>IF(AND(U870="INCLUDED",X870&gt;0,EXACT(A870,'AI output'!A870)),1,0)</f>
        <v>1</v>
      </c>
      <c r="X870" s="1">
        <f>870</f>
        <v>870</v>
      </c>
      <c r="Y870" s="1">
        <f>IF(AND(U870="INCLUDED",W870=1),--(NOT(EXACT(A870,'AI output'!A870)))+--(NOT(EXACT(B870,'AI output'!B870)))+--(NOT(EXACT(TEXT(G870,"yyyy-mm-dd"),'AI output'!C870)))+--(NOT(EXACT(H870,'AI output'!D870)))+--(NOT(EXACT(J870,'AI output'!E870)))+--(NOT(EXACT(K870,'AI output'!F870)))+--(N870&lt;&gt;'AI output'!L870)+--(NOT('AI output'!M870)),0)</f>
        <v>0</v>
      </c>
      <c r="Z870" s="1">
        <f t="shared" si="111"/>
        <v>0</v>
      </c>
      <c r="AA870" s="1">
        <f>--EXACT(A870,"L00864")</f>
        <v>1</v>
      </c>
    </row>
    <row r="871" spans="1:27" ht="18.95" customHeight="1">
      <c r="A871" s="1" t="str">
        <f>IF(Raw!A871="","",Raw!A871)</f>
        <v>L00865</v>
      </c>
      <c r="B871" s="1" t="str">
        <f>IF(Raw!B871="","",Raw!B871)</f>
        <v>T00433</v>
      </c>
      <c r="C871" s="1" t="str">
        <f>IF(Raw!C871="","",Raw!C871)</f>
        <v>2026-02-24</v>
      </c>
      <c r="D871" s="1">
        <f t="shared" si="104"/>
        <v>2026</v>
      </c>
      <c r="E871" s="1">
        <f>IFERROR(IF(AND(LEN(C871)=10,MID(C871,5,1)="-",MID(C871,8,1)="-"),VALUE(MID(C871,6,2)),IF(AND(LEN(C871)=11,MID(C871,3,1)="-",MID(C871,7,1)="-"),MATCH(UPPER(MID(C871,4,3)),Guide!$D$7:$D$18,0),0)),0)</f>
        <v>2</v>
      </c>
      <c r="F871" s="1">
        <f t="shared" si="105"/>
        <v>24</v>
      </c>
      <c r="G871" s="9">
        <f t="shared" si="106"/>
        <v>46077</v>
      </c>
      <c r="H871" s="1" t="str">
        <f>IF(Raw!D871="","",Raw!D871)</f>
        <v>P-A</v>
      </c>
      <c r="I871" s="1" t="str">
        <f>IFERROR(IF(EXACT(H871,INDEX(Guide!$A$7:$A$9,MATCH(SUBSTITUTE(SUBSTITUTE(SUBSTITUTE(H871,"~","~~"),"*","~*"),"?","~?"),Guide!$A$7:$A$9,0))),INDEX(Guide!$B$7:$B$9,MATCH(SUBSTITUTE(SUBSTITUTE(SUBSTITUTE(H871,"~","~~"),"*","~*"),"?","~?"),Guide!$A$7:$A$9,0)),""),"")</f>
        <v>Accessories</v>
      </c>
      <c r="J871" s="1" t="str">
        <f>IF(TRIM(Raw!E871)="",I871,IF(UPPER(TRIM(Raw!E871))=UPPER(I871),I871,""))</f>
        <v>Accessories</v>
      </c>
      <c r="K871" s="1" t="str">
        <f>IF(Raw!F871="","",Raw!F871)</f>
        <v>sale</v>
      </c>
      <c r="L871" s="1" t="str">
        <f>IF(LEFT(TRIM(Raw!G871),2)="-$","-"&amp;MID(TRIM(Raw!G871),3,99),IF(LEFT(TRIM(Raw!G871),1)="$",MID(TRIM(Raw!G871),2,99),TRIM(Raw!G871)))</f>
        <v>338.68</v>
      </c>
      <c r="M871" s="1">
        <f t="shared" si="107"/>
        <v>338.68</v>
      </c>
      <c r="N871" s="10">
        <f t="shared" si="108"/>
        <v>33868</v>
      </c>
      <c r="O871" s="1" t="b">
        <f>IFERROR(IF(ISNUMBER(Raw!G871),TRUE,OR(EXACT(L871,TEXT(M871,"0.00")),EXACT(L871,TEXT(M871,"#,##0.00")))),FALSE)</f>
        <v>1</v>
      </c>
      <c r="P871" s="1" t="str">
        <f>LEN(IF(Raw!A871="","",Raw!A871))&amp;":"&amp;IF(Raw!A871="","",Raw!A871)&amp;"|"&amp;LEN(IF(Raw!B871="","",Raw!B871))&amp;":"&amp;IF(Raw!B871="","",Raw!B871)&amp;"|"&amp;LEN(IF(Raw!C871="","",Raw!C871))&amp;":"&amp;IF(Raw!C871="","",Raw!C871)&amp;"|"&amp;LEN(IF(Raw!D871="","",Raw!D871))&amp;":"&amp;IF(Raw!D871="","",Raw!D871)&amp;"|"&amp;LEN(IF(Raw!E871="","",Raw!E871))&amp;":"&amp;IF(Raw!E871="","",Raw!E871)&amp;"|"&amp;LEN(IF(Raw!F871="","",Raw!F871))&amp;":"&amp;IF(Raw!F871="","",Raw!F871)&amp;"|"&amp;LEN(IF(Raw!G871="","",Raw!G871))&amp;":"&amp;IF(Raw!G871="","",Raw!G871)</f>
        <v>6:L00865|6:T00433|10:2026-02-24|3:P-A|11:Accessories|4:sale|6:338.68</v>
      </c>
      <c r="Q871" s="1">
        <f>1</f>
        <v>1</v>
      </c>
      <c r="R871" s="1" t="b">
        <f>FALSE</f>
        <v>0</v>
      </c>
      <c r="S871" s="1">
        <f>1</f>
        <v>1</v>
      </c>
      <c r="T871" s="1" t="str">
        <f>IF(AND(Raw!A871="",Raw!B871="",Raw!C871="",Raw!D871="",Raw!E871="",Raw!F871="",Raw!G871=""),"UNUSED",IF(A871="","missing line ID",IF(B871="","missing transaction ID",IF(G871="",IF(C871="","missing date","invalid date"),IF(I871="","unknown product",IF(J871="","conflicting category",IF(NOT(OR(EXACT(K871,"sale"),EXACT(K871,"refund"))),"unknown event",IF(OR(N871="",NOT(O871)),"invalid amount",IF(OR(AND(K871="sale",N871&lt;=0),AND(K871="refund",N871&gt;=0)),"invalid sign","")))))))))</f>
        <v/>
      </c>
      <c r="U871" s="1" t="str">
        <f t="shared" si="109"/>
        <v>INCLUDED</v>
      </c>
      <c r="V871" s="1" t="str">
        <f t="shared" si="110"/>
        <v>2026-02</v>
      </c>
      <c r="W871" s="1">
        <f>IF(AND(U871="INCLUDED",X871&gt;0,EXACT(A871,'AI output'!A871)),1,0)</f>
        <v>1</v>
      </c>
      <c r="X871" s="1">
        <f>871</f>
        <v>871</v>
      </c>
      <c r="Y871" s="1">
        <f>IF(AND(U871="INCLUDED",W871=1),--(NOT(EXACT(A871,'AI output'!A871)))+--(NOT(EXACT(B871,'AI output'!B871)))+--(NOT(EXACT(TEXT(G871,"yyyy-mm-dd"),'AI output'!C871)))+--(NOT(EXACT(H871,'AI output'!D871)))+--(NOT(EXACT(J871,'AI output'!E871)))+--(NOT(EXACT(K871,'AI output'!F871)))+--(N871&lt;&gt;'AI output'!L871)+--(NOT('AI output'!M871)),0)</f>
        <v>0</v>
      </c>
      <c r="Z871" s="1">
        <f t="shared" si="111"/>
        <v>0</v>
      </c>
      <c r="AA871" s="1">
        <f>--EXACT(A871,"L00865")</f>
        <v>1</v>
      </c>
    </row>
    <row r="872" spans="1:27" ht="18.95" customHeight="1">
      <c r="A872" s="1" t="str">
        <f>IF(Raw!A872="","",Raw!A872)</f>
        <v>L00866</v>
      </c>
      <c r="B872" s="1" t="str">
        <f>IF(Raw!B872="","",Raw!B872)</f>
        <v>T00433</v>
      </c>
      <c r="C872" s="1" t="str">
        <f>IF(Raw!C872="","",Raw!C872)</f>
        <v>2026-02-24</v>
      </c>
      <c r="D872" s="1">
        <f t="shared" si="104"/>
        <v>2026</v>
      </c>
      <c r="E872" s="1">
        <f>IFERROR(IF(AND(LEN(C872)=10,MID(C872,5,1)="-",MID(C872,8,1)="-"),VALUE(MID(C872,6,2)),IF(AND(LEN(C872)=11,MID(C872,3,1)="-",MID(C872,7,1)="-"),MATCH(UPPER(MID(C872,4,3)),Guide!$D$7:$D$18,0),0)),0)</f>
        <v>2</v>
      </c>
      <c r="F872" s="1">
        <f t="shared" si="105"/>
        <v>24</v>
      </c>
      <c r="G872" s="9">
        <f t="shared" si="106"/>
        <v>46077</v>
      </c>
      <c r="H872" s="1" t="str">
        <f>IF(Raw!D872="","",Raw!D872)</f>
        <v>P-H</v>
      </c>
      <c r="I872" s="1" t="str">
        <f>IFERROR(IF(EXACT(H872,INDEX(Guide!$A$7:$A$9,MATCH(SUBSTITUTE(SUBSTITUTE(SUBSTITUTE(H872,"~","~~"),"*","~*"),"?","~?"),Guide!$A$7:$A$9,0))),INDEX(Guide!$B$7:$B$9,MATCH(SUBSTITUTE(SUBSTITUTE(SUBSTITUTE(H872,"~","~~"),"*","~*"),"?","~?"),Guide!$A$7:$A$9,0)),""),"")</f>
        <v>Home</v>
      </c>
      <c r="J872" s="1" t="str">
        <f>IF(TRIM(Raw!E872)="",I872,IF(UPPER(TRIM(Raw!E872))=UPPER(I872),I872,""))</f>
        <v>Home</v>
      </c>
      <c r="K872" s="1" t="str">
        <f>IF(Raw!F872="","",Raw!F872)</f>
        <v>sale</v>
      </c>
      <c r="L872" s="1" t="str">
        <f>IF(LEFT(TRIM(Raw!G872),2)="-$","-"&amp;MID(TRIM(Raw!G872),3,99),IF(LEFT(TRIM(Raw!G872),1)="$",MID(TRIM(Raw!G872),2,99),TRIM(Raw!G872)))</f>
        <v>85.04</v>
      </c>
      <c r="M872" s="1">
        <f t="shared" si="107"/>
        <v>85.04</v>
      </c>
      <c r="N872" s="10">
        <f t="shared" si="108"/>
        <v>8504</v>
      </c>
      <c r="O872" s="1" t="b">
        <f>IFERROR(IF(ISNUMBER(Raw!G872),TRUE,OR(EXACT(L872,TEXT(M872,"0.00")),EXACT(L872,TEXT(M872,"#,##0.00")))),FALSE)</f>
        <v>1</v>
      </c>
      <c r="P872" s="1" t="str">
        <f>LEN(IF(Raw!A872="","",Raw!A872))&amp;":"&amp;IF(Raw!A872="","",Raw!A872)&amp;"|"&amp;LEN(IF(Raw!B872="","",Raw!B872))&amp;":"&amp;IF(Raw!B872="","",Raw!B872)&amp;"|"&amp;LEN(IF(Raw!C872="","",Raw!C872))&amp;":"&amp;IF(Raw!C872="","",Raw!C872)&amp;"|"&amp;LEN(IF(Raw!D872="","",Raw!D872))&amp;":"&amp;IF(Raw!D872="","",Raw!D872)&amp;"|"&amp;LEN(IF(Raw!E872="","",Raw!E872))&amp;":"&amp;IF(Raw!E872="","",Raw!E872)&amp;"|"&amp;LEN(IF(Raw!F872="","",Raw!F872))&amp;":"&amp;IF(Raw!F872="","",Raw!F872)&amp;"|"&amp;LEN(IF(Raw!G872="","",Raw!G872))&amp;":"&amp;IF(Raw!G872="","",Raw!G872)</f>
        <v>6:L00866|6:T00433|10:2026-02-24|3:P-H|4:Home|4:sale|5:85.04</v>
      </c>
      <c r="Q872" s="1">
        <f>1</f>
        <v>1</v>
      </c>
      <c r="R872" s="1" t="b">
        <f>FALSE</f>
        <v>0</v>
      </c>
      <c r="S872" s="1">
        <f>1</f>
        <v>1</v>
      </c>
      <c r="T872" s="1" t="str">
        <f>IF(AND(Raw!A872="",Raw!B872="",Raw!C872="",Raw!D872="",Raw!E872="",Raw!F872="",Raw!G872=""),"UNUSED",IF(A872="","missing line ID",IF(B872="","missing transaction ID",IF(G872="",IF(C872="","missing date","invalid date"),IF(I872="","unknown product",IF(J872="","conflicting category",IF(NOT(OR(EXACT(K872,"sale"),EXACT(K872,"refund"))),"unknown event",IF(OR(N872="",NOT(O872)),"invalid amount",IF(OR(AND(K872="sale",N872&lt;=0),AND(K872="refund",N872&gt;=0)),"invalid sign","")))))))))</f>
        <v/>
      </c>
      <c r="U872" s="1" t="str">
        <f t="shared" si="109"/>
        <v>INCLUDED</v>
      </c>
      <c r="V872" s="1" t="str">
        <f t="shared" si="110"/>
        <v>2026-02</v>
      </c>
      <c r="W872" s="1">
        <f>IF(AND(U872="INCLUDED",X872&gt;0,EXACT(A872,'AI output'!A872)),1,0)</f>
        <v>1</v>
      </c>
      <c r="X872" s="1">
        <f>872</f>
        <v>872</v>
      </c>
      <c r="Y872" s="1">
        <f>IF(AND(U872="INCLUDED",W872=1),--(NOT(EXACT(A872,'AI output'!A872)))+--(NOT(EXACT(B872,'AI output'!B872)))+--(NOT(EXACT(TEXT(G872,"yyyy-mm-dd"),'AI output'!C872)))+--(NOT(EXACT(H872,'AI output'!D872)))+--(NOT(EXACT(J872,'AI output'!E872)))+--(NOT(EXACT(K872,'AI output'!F872)))+--(N872&lt;&gt;'AI output'!L872)+--(NOT('AI output'!M872)),0)</f>
        <v>0</v>
      </c>
      <c r="Z872" s="1">
        <f t="shared" si="111"/>
        <v>0</v>
      </c>
      <c r="AA872" s="1">
        <f>--EXACT(A872,"L00866")</f>
        <v>1</v>
      </c>
    </row>
    <row r="873" spans="1:27" ht="18.95" customHeight="1">
      <c r="A873" s="1" t="str">
        <f>IF(Raw!A873="","",Raw!A873)</f>
        <v>L00867</v>
      </c>
      <c r="B873" s="1" t="str">
        <f>IF(Raw!B873="","",Raw!B873)</f>
        <v>T00434</v>
      </c>
      <c r="C873" s="1" t="str">
        <f>IF(Raw!C873="","",Raw!C873)</f>
        <v>2026-03-03</v>
      </c>
      <c r="D873" s="1">
        <f t="shared" si="104"/>
        <v>2026</v>
      </c>
      <c r="E873" s="1">
        <f>IFERROR(IF(AND(LEN(C873)=10,MID(C873,5,1)="-",MID(C873,8,1)="-"),VALUE(MID(C873,6,2)),IF(AND(LEN(C873)=11,MID(C873,3,1)="-",MID(C873,7,1)="-"),MATCH(UPPER(MID(C873,4,3)),Guide!$D$7:$D$18,0),0)),0)</f>
        <v>3</v>
      </c>
      <c r="F873" s="1">
        <f t="shared" si="105"/>
        <v>3</v>
      </c>
      <c r="G873" s="9">
        <f t="shared" si="106"/>
        <v>46084</v>
      </c>
      <c r="H873" s="1" t="str">
        <f>IF(Raw!D873="","",Raw!D873)</f>
        <v>P-O</v>
      </c>
      <c r="I873" s="1" t="str">
        <f>IFERROR(IF(EXACT(H873,INDEX(Guide!$A$7:$A$9,MATCH(SUBSTITUTE(SUBSTITUTE(SUBSTITUTE(H873,"~","~~"),"*","~*"),"?","~?"),Guide!$A$7:$A$9,0))),INDEX(Guide!$B$7:$B$9,MATCH(SUBSTITUTE(SUBSTITUTE(SUBSTITUTE(H873,"~","~~"),"*","~*"),"?","~?"),Guide!$A$7:$A$9,0)),""),"")</f>
        <v>Office</v>
      </c>
      <c r="J873" s="1" t="str">
        <f>IF(TRIM(Raw!E873)="",I873,IF(UPPER(TRIM(Raw!E873))=UPPER(I873),I873,""))</f>
        <v>Office</v>
      </c>
      <c r="K873" s="1" t="str">
        <f>IF(Raw!F873="","",Raw!F873)</f>
        <v>sale</v>
      </c>
      <c r="L873" s="1" t="str">
        <f>IF(LEFT(TRIM(Raw!G873),2)="-$","-"&amp;MID(TRIM(Raw!G873),3,99),IF(LEFT(TRIM(Raw!G873),1)="$",MID(TRIM(Raw!G873),2,99),TRIM(Raw!G873)))</f>
        <v>256.23</v>
      </c>
      <c r="M873" s="1">
        <f t="shared" si="107"/>
        <v>256.23</v>
      </c>
      <c r="N873" s="10">
        <f t="shared" si="108"/>
        <v>25623</v>
      </c>
      <c r="O873" s="1" t="b">
        <f>IFERROR(IF(ISNUMBER(Raw!G873),TRUE,OR(EXACT(L873,TEXT(M873,"0.00")),EXACT(L873,TEXT(M873,"#,##0.00")))),FALSE)</f>
        <v>1</v>
      </c>
      <c r="P873" s="1" t="str">
        <f>LEN(IF(Raw!A873="","",Raw!A873))&amp;":"&amp;IF(Raw!A873="","",Raw!A873)&amp;"|"&amp;LEN(IF(Raw!B873="","",Raw!B873))&amp;":"&amp;IF(Raw!B873="","",Raw!B873)&amp;"|"&amp;LEN(IF(Raw!C873="","",Raw!C873))&amp;":"&amp;IF(Raw!C873="","",Raw!C873)&amp;"|"&amp;LEN(IF(Raw!D873="","",Raw!D873))&amp;":"&amp;IF(Raw!D873="","",Raw!D873)&amp;"|"&amp;LEN(IF(Raw!E873="","",Raw!E873))&amp;":"&amp;IF(Raw!E873="","",Raw!E873)&amp;"|"&amp;LEN(IF(Raw!F873="","",Raw!F873))&amp;":"&amp;IF(Raw!F873="","",Raw!F873)&amp;"|"&amp;LEN(IF(Raw!G873="","",Raw!G873))&amp;":"&amp;IF(Raw!G873="","",Raw!G873)</f>
        <v>6:L00867|6:T00434|10:2026-03-03|3:P-O|6:Office|4:sale|6:256.23</v>
      </c>
      <c r="Q873" s="1">
        <f>1</f>
        <v>1</v>
      </c>
      <c r="R873" s="1" t="b">
        <f>FALSE</f>
        <v>0</v>
      </c>
      <c r="S873" s="1">
        <f>1</f>
        <v>1</v>
      </c>
      <c r="T873" s="1" t="str">
        <f>IF(AND(Raw!A873="",Raw!B873="",Raw!C873="",Raw!D873="",Raw!E873="",Raw!F873="",Raw!G873=""),"UNUSED",IF(A873="","missing line ID",IF(B873="","missing transaction ID",IF(G873="",IF(C873="","missing date","invalid date"),IF(I873="","unknown product",IF(J873="","conflicting category",IF(NOT(OR(EXACT(K873,"sale"),EXACT(K873,"refund"))),"unknown event",IF(OR(N873="",NOT(O873)),"invalid amount",IF(OR(AND(K873="sale",N873&lt;=0),AND(K873="refund",N873&gt;=0)),"invalid sign","")))))))))</f>
        <v/>
      </c>
      <c r="U873" s="1" t="str">
        <f t="shared" si="109"/>
        <v>INCLUDED</v>
      </c>
      <c r="V873" s="1" t="str">
        <f t="shared" si="110"/>
        <v>2026-03</v>
      </c>
      <c r="W873" s="1">
        <f>IF(AND(U873="INCLUDED",X873&gt;0,EXACT(A873,'AI output'!A873)),1,0)</f>
        <v>1</v>
      </c>
      <c r="X873" s="1">
        <f>873</f>
        <v>873</v>
      </c>
      <c r="Y873" s="1">
        <f>IF(AND(U873="INCLUDED",W873=1),--(NOT(EXACT(A873,'AI output'!A873)))+--(NOT(EXACT(B873,'AI output'!B873)))+--(NOT(EXACT(TEXT(G873,"yyyy-mm-dd"),'AI output'!C873)))+--(NOT(EXACT(H873,'AI output'!D873)))+--(NOT(EXACT(J873,'AI output'!E873)))+--(NOT(EXACT(K873,'AI output'!F873)))+--(N873&lt;&gt;'AI output'!L873)+--(NOT('AI output'!M873)),0)</f>
        <v>0</v>
      </c>
      <c r="Z873" s="1">
        <f t="shared" si="111"/>
        <v>0</v>
      </c>
      <c r="AA873" s="1">
        <f>--EXACT(A873,"L00867")</f>
        <v>1</v>
      </c>
    </row>
    <row r="874" spans="1:27" ht="18.95" customHeight="1">
      <c r="A874" s="1" t="str">
        <f>IF(Raw!A874="","",Raw!A874)</f>
        <v>L00868</v>
      </c>
      <c r="B874" s="1" t="str">
        <f>IF(Raw!B874="","",Raw!B874)</f>
        <v>T00434</v>
      </c>
      <c r="C874" s="1" t="str">
        <f>IF(Raw!C874="","",Raw!C874)</f>
        <v>2026-03-03</v>
      </c>
      <c r="D874" s="1">
        <f t="shared" si="104"/>
        <v>2026</v>
      </c>
      <c r="E874" s="1">
        <f>IFERROR(IF(AND(LEN(C874)=10,MID(C874,5,1)="-",MID(C874,8,1)="-"),VALUE(MID(C874,6,2)),IF(AND(LEN(C874)=11,MID(C874,3,1)="-",MID(C874,7,1)="-"),MATCH(UPPER(MID(C874,4,3)),Guide!$D$7:$D$18,0),0)),0)</f>
        <v>3</v>
      </c>
      <c r="F874" s="1">
        <f t="shared" si="105"/>
        <v>3</v>
      </c>
      <c r="G874" s="9">
        <f t="shared" si="106"/>
        <v>46084</v>
      </c>
      <c r="H874" s="1" t="str">
        <f>IF(Raw!D874="","",Raw!D874)</f>
        <v>P-A</v>
      </c>
      <c r="I874" s="1" t="str">
        <f>IFERROR(IF(EXACT(H874,INDEX(Guide!$A$7:$A$9,MATCH(SUBSTITUTE(SUBSTITUTE(SUBSTITUTE(H874,"~","~~"),"*","~*"),"?","~?"),Guide!$A$7:$A$9,0))),INDEX(Guide!$B$7:$B$9,MATCH(SUBSTITUTE(SUBSTITUTE(SUBSTITUTE(H874,"~","~~"),"*","~*"),"?","~?"),Guide!$A$7:$A$9,0)),""),"")</f>
        <v>Accessories</v>
      </c>
      <c r="J874" s="1" t="str">
        <f>IF(TRIM(Raw!E874)="",I874,IF(UPPER(TRIM(Raw!E874))=UPPER(I874),I874,""))</f>
        <v>Accessories</v>
      </c>
      <c r="K874" s="1" t="str">
        <f>IF(Raw!F874="","",Raw!F874)</f>
        <v>sale</v>
      </c>
      <c r="L874" s="1" t="str">
        <f>IF(LEFT(TRIM(Raw!G874),2)="-$","-"&amp;MID(TRIM(Raw!G874),3,99),IF(LEFT(TRIM(Raw!G874),1)="$",MID(TRIM(Raw!G874),2,99),TRIM(Raw!G874)))</f>
        <v>428.90</v>
      </c>
      <c r="M874" s="1">
        <f t="shared" si="107"/>
        <v>428.9</v>
      </c>
      <c r="N874" s="10">
        <f t="shared" si="108"/>
        <v>42890</v>
      </c>
      <c r="O874" s="1" t="b">
        <f>IFERROR(IF(ISNUMBER(Raw!G874),TRUE,OR(EXACT(L874,TEXT(M874,"0.00")),EXACT(L874,TEXT(M874,"#,##0.00")))),FALSE)</f>
        <v>1</v>
      </c>
      <c r="P874" s="1" t="str">
        <f>LEN(IF(Raw!A874="","",Raw!A874))&amp;":"&amp;IF(Raw!A874="","",Raw!A874)&amp;"|"&amp;LEN(IF(Raw!B874="","",Raw!B874))&amp;":"&amp;IF(Raw!B874="","",Raw!B874)&amp;"|"&amp;LEN(IF(Raw!C874="","",Raw!C874))&amp;":"&amp;IF(Raw!C874="","",Raw!C874)&amp;"|"&amp;LEN(IF(Raw!D874="","",Raw!D874))&amp;":"&amp;IF(Raw!D874="","",Raw!D874)&amp;"|"&amp;LEN(IF(Raw!E874="","",Raw!E874))&amp;":"&amp;IF(Raw!E874="","",Raw!E874)&amp;"|"&amp;LEN(IF(Raw!F874="","",Raw!F874))&amp;":"&amp;IF(Raw!F874="","",Raw!F874)&amp;"|"&amp;LEN(IF(Raw!G874="","",Raw!G874))&amp;":"&amp;IF(Raw!G874="","",Raw!G874)</f>
        <v>6:L00868|6:T00434|10:2026-03-03|3:P-A|11:Accessories|4:sale|6:428.90</v>
      </c>
      <c r="Q874" s="1">
        <f>1</f>
        <v>1</v>
      </c>
      <c r="R874" s="1" t="b">
        <f>FALSE</f>
        <v>0</v>
      </c>
      <c r="S874" s="1">
        <f>1</f>
        <v>1</v>
      </c>
      <c r="T874" s="1" t="str">
        <f>IF(AND(Raw!A874="",Raw!B874="",Raw!C874="",Raw!D874="",Raw!E874="",Raw!F874="",Raw!G874=""),"UNUSED",IF(A874="","missing line ID",IF(B874="","missing transaction ID",IF(G874="",IF(C874="","missing date","invalid date"),IF(I874="","unknown product",IF(J874="","conflicting category",IF(NOT(OR(EXACT(K874,"sale"),EXACT(K874,"refund"))),"unknown event",IF(OR(N874="",NOT(O874)),"invalid amount",IF(OR(AND(K874="sale",N874&lt;=0),AND(K874="refund",N874&gt;=0)),"invalid sign","")))))))))</f>
        <v/>
      </c>
      <c r="U874" s="1" t="str">
        <f t="shared" si="109"/>
        <v>INCLUDED</v>
      </c>
      <c r="V874" s="1" t="str">
        <f t="shared" si="110"/>
        <v>2026-03</v>
      </c>
      <c r="W874" s="1">
        <f>IF(AND(U874="INCLUDED",X874&gt;0,EXACT(A874,'AI output'!A874)),1,0)</f>
        <v>1</v>
      </c>
      <c r="X874" s="1">
        <f>874</f>
        <v>874</v>
      </c>
      <c r="Y874" s="1">
        <f>IF(AND(U874="INCLUDED",W874=1),--(NOT(EXACT(A874,'AI output'!A874)))+--(NOT(EXACT(B874,'AI output'!B874)))+--(NOT(EXACT(TEXT(G874,"yyyy-mm-dd"),'AI output'!C874)))+--(NOT(EXACT(H874,'AI output'!D874)))+--(NOT(EXACT(J874,'AI output'!E874)))+--(NOT(EXACT(K874,'AI output'!F874)))+--(N874&lt;&gt;'AI output'!L874)+--(NOT('AI output'!M874)),0)</f>
        <v>0</v>
      </c>
      <c r="Z874" s="1">
        <f t="shared" si="111"/>
        <v>0</v>
      </c>
      <c r="AA874" s="1">
        <f>--EXACT(A874,"L00868")</f>
        <v>1</v>
      </c>
    </row>
    <row r="875" spans="1:27" ht="18.95" customHeight="1">
      <c r="A875" s="1" t="str">
        <f>IF(Raw!A875="","",Raw!A875)</f>
        <v>L00869</v>
      </c>
      <c r="B875" s="1" t="str">
        <f>IF(Raw!B875="","",Raw!B875)</f>
        <v>T00435</v>
      </c>
      <c r="C875" s="1" t="str">
        <f>IF(Raw!C875="","",Raw!C875)</f>
        <v>2026-03-10</v>
      </c>
      <c r="D875" s="1">
        <f t="shared" si="104"/>
        <v>2026</v>
      </c>
      <c r="E875" s="1">
        <f>IFERROR(IF(AND(LEN(C875)=10,MID(C875,5,1)="-",MID(C875,8,1)="-"),VALUE(MID(C875,6,2)),IF(AND(LEN(C875)=11,MID(C875,3,1)="-",MID(C875,7,1)="-"),MATCH(UPPER(MID(C875,4,3)),Guide!$D$7:$D$18,0),0)),0)</f>
        <v>3</v>
      </c>
      <c r="F875" s="1">
        <f t="shared" si="105"/>
        <v>10</v>
      </c>
      <c r="G875" s="9">
        <f t="shared" si="106"/>
        <v>46091</v>
      </c>
      <c r="H875" s="1" t="str">
        <f>IF(Raw!D875="","",Raw!D875)</f>
        <v>P-H</v>
      </c>
      <c r="I875" s="1" t="str">
        <f>IFERROR(IF(EXACT(H875,INDEX(Guide!$A$7:$A$9,MATCH(SUBSTITUTE(SUBSTITUTE(SUBSTITUTE(H875,"~","~~"),"*","~*"),"?","~?"),Guide!$A$7:$A$9,0))),INDEX(Guide!$B$7:$B$9,MATCH(SUBSTITUTE(SUBSTITUTE(SUBSTITUTE(H875,"~","~~"),"*","~*"),"?","~?"),Guide!$A$7:$A$9,0)),""),"")</f>
        <v>Home</v>
      </c>
      <c r="J875" s="1" t="str">
        <f>IF(TRIM(Raw!E875)="",I875,IF(UPPER(TRIM(Raw!E875))=UPPER(I875),I875,""))</f>
        <v>Home</v>
      </c>
      <c r="K875" s="1" t="str">
        <f>IF(Raw!F875="","",Raw!F875)</f>
        <v>sale</v>
      </c>
      <c r="L875" s="1" t="str">
        <f>IF(LEFT(TRIM(Raw!G875),2)="-$","-"&amp;MID(TRIM(Raw!G875),3,99),IF(LEFT(TRIM(Raw!G875),1)="$",MID(TRIM(Raw!G875),2,99),TRIM(Raw!G875)))</f>
        <v>172.30</v>
      </c>
      <c r="M875" s="1">
        <f t="shared" si="107"/>
        <v>172.3</v>
      </c>
      <c r="N875" s="10">
        <f t="shared" si="108"/>
        <v>17230</v>
      </c>
      <c r="O875" s="1" t="b">
        <f>IFERROR(IF(ISNUMBER(Raw!G875),TRUE,OR(EXACT(L875,TEXT(M875,"0.00")),EXACT(L875,TEXT(M875,"#,##0.00")))),FALSE)</f>
        <v>1</v>
      </c>
      <c r="P875" s="1" t="str">
        <f>LEN(IF(Raw!A875="","",Raw!A875))&amp;":"&amp;IF(Raw!A875="","",Raw!A875)&amp;"|"&amp;LEN(IF(Raw!B875="","",Raw!B875))&amp;":"&amp;IF(Raw!B875="","",Raw!B875)&amp;"|"&amp;LEN(IF(Raw!C875="","",Raw!C875))&amp;":"&amp;IF(Raw!C875="","",Raw!C875)&amp;"|"&amp;LEN(IF(Raw!D875="","",Raw!D875))&amp;":"&amp;IF(Raw!D875="","",Raw!D875)&amp;"|"&amp;LEN(IF(Raw!E875="","",Raw!E875))&amp;":"&amp;IF(Raw!E875="","",Raw!E875)&amp;"|"&amp;LEN(IF(Raw!F875="","",Raw!F875))&amp;":"&amp;IF(Raw!F875="","",Raw!F875)&amp;"|"&amp;LEN(IF(Raw!G875="","",Raw!G875))&amp;":"&amp;IF(Raw!G875="","",Raw!G875)</f>
        <v>6:L00869|6:T00435|10:2026-03-10|3:P-H|4:Home|4:sale|6:172.30</v>
      </c>
      <c r="Q875" s="1">
        <f>1</f>
        <v>1</v>
      </c>
      <c r="R875" s="1" t="b">
        <f>FALSE</f>
        <v>0</v>
      </c>
      <c r="S875" s="1">
        <f>1</f>
        <v>1</v>
      </c>
      <c r="T875" s="1" t="str">
        <f>IF(AND(Raw!A875="",Raw!B875="",Raw!C875="",Raw!D875="",Raw!E875="",Raw!F875="",Raw!G875=""),"UNUSED",IF(A875="","missing line ID",IF(B875="","missing transaction ID",IF(G875="",IF(C875="","missing date","invalid date"),IF(I875="","unknown product",IF(J875="","conflicting category",IF(NOT(OR(EXACT(K875,"sale"),EXACT(K875,"refund"))),"unknown event",IF(OR(N875="",NOT(O875)),"invalid amount",IF(OR(AND(K875="sale",N875&lt;=0),AND(K875="refund",N875&gt;=0)),"invalid sign","")))))))))</f>
        <v/>
      </c>
      <c r="U875" s="1" t="str">
        <f t="shared" si="109"/>
        <v>INCLUDED</v>
      </c>
      <c r="V875" s="1" t="str">
        <f t="shared" si="110"/>
        <v>2026-03</v>
      </c>
      <c r="W875" s="1">
        <f>IF(AND(U875="INCLUDED",X875&gt;0,EXACT(A875,'AI output'!A875)),1,0)</f>
        <v>1</v>
      </c>
      <c r="X875" s="1">
        <f>875</f>
        <v>875</v>
      </c>
      <c r="Y875" s="1">
        <f>IF(AND(U875="INCLUDED",W875=1),--(NOT(EXACT(A875,'AI output'!A875)))+--(NOT(EXACT(B875,'AI output'!B875)))+--(NOT(EXACT(TEXT(G875,"yyyy-mm-dd"),'AI output'!C875)))+--(NOT(EXACT(H875,'AI output'!D875)))+--(NOT(EXACT(J875,'AI output'!E875)))+--(NOT(EXACT(K875,'AI output'!F875)))+--(N875&lt;&gt;'AI output'!L875)+--(NOT('AI output'!M875)),0)</f>
        <v>0</v>
      </c>
      <c r="Z875" s="1">
        <f t="shared" si="111"/>
        <v>0</v>
      </c>
      <c r="AA875" s="1">
        <f>--EXACT(A875,"L00869")</f>
        <v>1</v>
      </c>
    </row>
    <row r="876" spans="1:27" ht="18.95" customHeight="1">
      <c r="A876" s="1" t="str">
        <f>IF(Raw!A876="","",Raw!A876)</f>
        <v>L00870</v>
      </c>
      <c r="B876" s="1" t="str">
        <f>IF(Raw!B876="","",Raw!B876)</f>
        <v>T00435</v>
      </c>
      <c r="C876" s="1" t="str">
        <f>IF(Raw!C876="","",Raw!C876)</f>
        <v>2026-03-10</v>
      </c>
      <c r="D876" s="1">
        <f t="shared" si="104"/>
        <v>2026</v>
      </c>
      <c r="E876" s="1">
        <f>IFERROR(IF(AND(LEN(C876)=10,MID(C876,5,1)="-",MID(C876,8,1)="-"),VALUE(MID(C876,6,2)),IF(AND(LEN(C876)=11,MID(C876,3,1)="-",MID(C876,7,1)="-"),MATCH(UPPER(MID(C876,4,3)),Guide!$D$7:$D$18,0),0)),0)</f>
        <v>3</v>
      </c>
      <c r="F876" s="1">
        <f t="shared" si="105"/>
        <v>10</v>
      </c>
      <c r="G876" s="9">
        <f t="shared" si="106"/>
        <v>46091</v>
      </c>
      <c r="H876" s="1" t="str">
        <f>IF(Raw!D876="","",Raw!D876)</f>
        <v>P-O</v>
      </c>
      <c r="I876" s="1" t="str">
        <f>IFERROR(IF(EXACT(H876,INDEX(Guide!$A$7:$A$9,MATCH(SUBSTITUTE(SUBSTITUTE(SUBSTITUTE(H876,"~","~~"),"*","~*"),"?","~?"),Guide!$A$7:$A$9,0))),INDEX(Guide!$B$7:$B$9,MATCH(SUBSTITUTE(SUBSTITUTE(SUBSTITUTE(H876,"~","~~"),"*","~*"),"?","~?"),Guide!$A$7:$A$9,0)),""),"")</f>
        <v>Office</v>
      </c>
      <c r="J876" s="1" t="str">
        <f>IF(TRIM(Raw!E876)="",I876,IF(UPPER(TRIM(Raw!E876))=UPPER(I876),I876,""))</f>
        <v>Office</v>
      </c>
      <c r="K876" s="1" t="str">
        <f>IF(Raw!F876="","",Raw!F876)</f>
        <v>sale</v>
      </c>
      <c r="L876" s="1" t="str">
        <f>IF(LEFT(TRIM(Raw!G876),2)="-$","-"&amp;MID(TRIM(Raw!G876),3,99),IF(LEFT(TRIM(Raw!G876),1)="$",MID(TRIM(Raw!G876),2,99),TRIM(Raw!G876)))</f>
        <v>346.08</v>
      </c>
      <c r="M876" s="1">
        <f t="shared" si="107"/>
        <v>346.08</v>
      </c>
      <c r="N876" s="10">
        <f t="shared" si="108"/>
        <v>34608</v>
      </c>
      <c r="O876" s="1" t="b">
        <f>IFERROR(IF(ISNUMBER(Raw!G876),TRUE,OR(EXACT(L876,TEXT(M876,"0.00")),EXACT(L876,TEXT(M876,"#,##0.00")))),FALSE)</f>
        <v>1</v>
      </c>
      <c r="P876" s="1" t="str">
        <f>LEN(IF(Raw!A876="","",Raw!A876))&amp;":"&amp;IF(Raw!A876="","",Raw!A876)&amp;"|"&amp;LEN(IF(Raw!B876="","",Raw!B876))&amp;":"&amp;IF(Raw!B876="","",Raw!B876)&amp;"|"&amp;LEN(IF(Raw!C876="","",Raw!C876))&amp;":"&amp;IF(Raw!C876="","",Raw!C876)&amp;"|"&amp;LEN(IF(Raw!D876="","",Raw!D876))&amp;":"&amp;IF(Raw!D876="","",Raw!D876)&amp;"|"&amp;LEN(IF(Raw!E876="","",Raw!E876))&amp;":"&amp;IF(Raw!E876="","",Raw!E876)&amp;"|"&amp;LEN(IF(Raw!F876="","",Raw!F876))&amp;":"&amp;IF(Raw!F876="","",Raw!F876)&amp;"|"&amp;LEN(IF(Raw!G876="","",Raw!G876))&amp;":"&amp;IF(Raw!G876="","",Raw!G876)</f>
        <v>6:L00870|6:T00435|10:2026-03-10|3:P-O|6:Office|4:sale|6:346.08</v>
      </c>
      <c r="Q876" s="1">
        <f>1</f>
        <v>1</v>
      </c>
      <c r="R876" s="1" t="b">
        <f>FALSE</f>
        <v>0</v>
      </c>
      <c r="S876" s="1">
        <f>1</f>
        <v>1</v>
      </c>
      <c r="T876" s="1" t="str">
        <f>IF(AND(Raw!A876="",Raw!B876="",Raw!C876="",Raw!D876="",Raw!E876="",Raw!F876="",Raw!G876=""),"UNUSED",IF(A876="","missing line ID",IF(B876="","missing transaction ID",IF(G876="",IF(C876="","missing date","invalid date"),IF(I876="","unknown product",IF(J876="","conflicting category",IF(NOT(OR(EXACT(K876,"sale"),EXACT(K876,"refund"))),"unknown event",IF(OR(N876="",NOT(O876)),"invalid amount",IF(OR(AND(K876="sale",N876&lt;=0),AND(K876="refund",N876&gt;=0)),"invalid sign","")))))))))</f>
        <v/>
      </c>
      <c r="U876" s="1" t="str">
        <f t="shared" si="109"/>
        <v>INCLUDED</v>
      </c>
      <c r="V876" s="1" t="str">
        <f t="shared" si="110"/>
        <v>2026-03</v>
      </c>
      <c r="W876" s="1">
        <f>IF(AND(U876="INCLUDED",X876&gt;0,EXACT(A876,'AI output'!A876)),1,0)</f>
        <v>1</v>
      </c>
      <c r="X876" s="1">
        <f>876</f>
        <v>876</v>
      </c>
      <c r="Y876" s="1">
        <f>IF(AND(U876="INCLUDED",W876=1),--(NOT(EXACT(A876,'AI output'!A876)))+--(NOT(EXACT(B876,'AI output'!B876)))+--(NOT(EXACT(TEXT(G876,"yyyy-mm-dd"),'AI output'!C876)))+--(NOT(EXACT(H876,'AI output'!D876)))+--(NOT(EXACT(J876,'AI output'!E876)))+--(NOT(EXACT(K876,'AI output'!F876)))+--(N876&lt;&gt;'AI output'!L876)+--(NOT('AI output'!M876)),0)</f>
        <v>0</v>
      </c>
      <c r="Z876" s="1">
        <f t="shared" si="111"/>
        <v>0</v>
      </c>
      <c r="AA876" s="1">
        <f>--EXACT(A876,"L00870")</f>
        <v>1</v>
      </c>
    </row>
    <row r="877" spans="1:27" ht="18.95" customHeight="1">
      <c r="A877" s="1" t="str">
        <f>IF(Raw!A877="","",Raw!A877)</f>
        <v>L00871</v>
      </c>
      <c r="B877" s="1" t="str">
        <f>IF(Raw!B877="","",Raw!B877)</f>
        <v>T00436</v>
      </c>
      <c r="C877" s="1" t="str">
        <f>IF(Raw!C877="","",Raw!C877)</f>
        <v>2026-03-17</v>
      </c>
      <c r="D877" s="1">
        <f t="shared" si="104"/>
        <v>2026</v>
      </c>
      <c r="E877" s="1">
        <f>IFERROR(IF(AND(LEN(C877)=10,MID(C877,5,1)="-",MID(C877,8,1)="-"),VALUE(MID(C877,6,2)),IF(AND(LEN(C877)=11,MID(C877,3,1)="-",MID(C877,7,1)="-"),MATCH(UPPER(MID(C877,4,3)),Guide!$D$7:$D$18,0),0)),0)</f>
        <v>3</v>
      </c>
      <c r="F877" s="1">
        <f t="shared" si="105"/>
        <v>17</v>
      </c>
      <c r="G877" s="9">
        <f t="shared" si="106"/>
        <v>46098</v>
      </c>
      <c r="H877" s="1" t="str">
        <f>IF(Raw!D877="","",Raw!D877)</f>
        <v>P-A</v>
      </c>
      <c r="I877" s="1" t="str">
        <f>IFERROR(IF(EXACT(H877,INDEX(Guide!$A$7:$A$9,MATCH(SUBSTITUTE(SUBSTITUTE(SUBSTITUTE(H877,"~","~~"),"*","~*"),"?","~?"),Guide!$A$7:$A$9,0))),INDEX(Guide!$B$7:$B$9,MATCH(SUBSTITUTE(SUBSTITUTE(SUBSTITUTE(H877,"~","~~"),"*","~*"),"?","~?"),Guide!$A$7:$A$9,0)),""),"")</f>
        <v>Accessories</v>
      </c>
      <c r="J877" s="1" t="str">
        <f>IF(TRIM(Raw!E877)="",I877,IF(UPPER(TRIM(Raw!E877))=UPPER(I877),I877,""))</f>
        <v>Accessories</v>
      </c>
      <c r="K877" s="1" t="str">
        <f>IF(Raw!F877="","",Raw!F877)</f>
        <v>sale</v>
      </c>
      <c r="L877" s="1" t="str">
        <f>IF(LEFT(TRIM(Raw!G877),2)="-$","-"&amp;MID(TRIM(Raw!G877),3,99),IF(LEFT(TRIM(Raw!G877),1)="$",MID(TRIM(Raw!G877),2,99),TRIM(Raw!G877)))</f>
        <v>86.89</v>
      </c>
      <c r="M877" s="1">
        <f t="shared" si="107"/>
        <v>86.89</v>
      </c>
      <c r="N877" s="10">
        <f t="shared" si="108"/>
        <v>8689</v>
      </c>
      <c r="O877" s="1" t="b">
        <f>IFERROR(IF(ISNUMBER(Raw!G877),TRUE,OR(EXACT(L877,TEXT(M877,"0.00")),EXACT(L877,TEXT(M877,"#,##0.00")))),FALSE)</f>
        <v>1</v>
      </c>
      <c r="P877" s="1" t="str">
        <f>LEN(IF(Raw!A877="","",Raw!A877))&amp;":"&amp;IF(Raw!A877="","",Raw!A877)&amp;"|"&amp;LEN(IF(Raw!B877="","",Raw!B877))&amp;":"&amp;IF(Raw!B877="","",Raw!B877)&amp;"|"&amp;LEN(IF(Raw!C877="","",Raw!C877))&amp;":"&amp;IF(Raw!C877="","",Raw!C877)&amp;"|"&amp;LEN(IF(Raw!D877="","",Raw!D877))&amp;":"&amp;IF(Raw!D877="","",Raw!D877)&amp;"|"&amp;LEN(IF(Raw!E877="","",Raw!E877))&amp;":"&amp;IF(Raw!E877="","",Raw!E877)&amp;"|"&amp;LEN(IF(Raw!F877="","",Raw!F877))&amp;":"&amp;IF(Raw!F877="","",Raw!F877)&amp;"|"&amp;LEN(IF(Raw!G877="","",Raw!G877))&amp;":"&amp;IF(Raw!G877="","",Raw!G877)</f>
        <v>6:L00871|6:T00436|10:2026-03-17|3:P-A|11:Accessories|4:sale|5:86.89</v>
      </c>
      <c r="Q877" s="1">
        <f>1</f>
        <v>1</v>
      </c>
      <c r="R877" s="1" t="b">
        <f>FALSE</f>
        <v>0</v>
      </c>
      <c r="S877" s="1">
        <f>1</f>
        <v>1</v>
      </c>
      <c r="T877" s="1" t="str">
        <f>IF(AND(Raw!A877="",Raw!B877="",Raw!C877="",Raw!D877="",Raw!E877="",Raw!F877="",Raw!G877=""),"UNUSED",IF(A877="","missing line ID",IF(B877="","missing transaction ID",IF(G877="",IF(C877="","missing date","invalid date"),IF(I877="","unknown product",IF(J877="","conflicting category",IF(NOT(OR(EXACT(K877,"sale"),EXACT(K877,"refund"))),"unknown event",IF(OR(N877="",NOT(O877)),"invalid amount",IF(OR(AND(K877="sale",N877&lt;=0),AND(K877="refund",N877&gt;=0)),"invalid sign","")))))))))</f>
        <v/>
      </c>
      <c r="U877" s="1" t="str">
        <f t="shared" si="109"/>
        <v>INCLUDED</v>
      </c>
      <c r="V877" s="1" t="str">
        <f t="shared" si="110"/>
        <v>2026-03</v>
      </c>
      <c r="W877" s="1">
        <f>IF(AND(U877="INCLUDED",X877&gt;0,EXACT(A877,'AI output'!A877)),1,0)</f>
        <v>1</v>
      </c>
      <c r="X877" s="1">
        <f>877</f>
        <v>877</v>
      </c>
      <c r="Y877" s="1">
        <f>IF(AND(U877="INCLUDED",W877=1),--(NOT(EXACT(A877,'AI output'!A877)))+--(NOT(EXACT(B877,'AI output'!B877)))+--(NOT(EXACT(TEXT(G877,"yyyy-mm-dd"),'AI output'!C877)))+--(NOT(EXACT(H877,'AI output'!D877)))+--(NOT(EXACT(J877,'AI output'!E877)))+--(NOT(EXACT(K877,'AI output'!F877)))+--(N877&lt;&gt;'AI output'!L877)+--(NOT('AI output'!M877)),0)</f>
        <v>0</v>
      </c>
      <c r="Z877" s="1">
        <f t="shared" si="111"/>
        <v>0</v>
      </c>
      <c r="AA877" s="1">
        <f>--EXACT(A877,"L00871")</f>
        <v>1</v>
      </c>
    </row>
    <row r="878" spans="1:27" ht="18.95" customHeight="1">
      <c r="A878" s="1" t="str">
        <f>IF(Raw!A878="","",Raw!A878)</f>
        <v>L00872</v>
      </c>
      <c r="B878" s="1" t="str">
        <f>IF(Raw!B878="","",Raw!B878)</f>
        <v>T00436</v>
      </c>
      <c r="C878" s="1" t="str">
        <f>IF(Raw!C878="","",Raw!C878)</f>
        <v>2026-03-17</v>
      </c>
      <c r="D878" s="1">
        <f t="shared" si="104"/>
        <v>2026</v>
      </c>
      <c r="E878" s="1">
        <f>IFERROR(IF(AND(LEN(C878)=10,MID(C878,5,1)="-",MID(C878,8,1)="-"),VALUE(MID(C878,6,2)),IF(AND(LEN(C878)=11,MID(C878,3,1)="-",MID(C878,7,1)="-"),MATCH(UPPER(MID(C878,4,3)),Guide!$D$7:$D$18,0),0)),0)</f>
        <v>3</v>
      </c>
      <c r="F878" s="1">
        <f t="shared" si="105"/>
        <v>17</v>
      </c>
      <c r="G878" s="9">
        <f t="shared" si="106"/>
        <v>46098</v>
      </c>
      <c r="H878" s="1" t="str">
        <f>IF(Raw!D878="","",Raw!D878)</f>
        <v>P-H</v>
      </c>
      <c r="I878" s="1" t="str">
        <f>IFERROR(IF(EXACT(H878,INDEX(Guide!$A$7:$A$9,MATCH(SUBSTITUTE(SUBSTITUTE(SUBSTITUTE(H878,"~","~~"),"*","~*"),"?","~?"),Guide!$A$7:$A$9,0))),INDEX(Guide!$B$7:$B$9,MATCH(SUBSTITUTE(SUBSTITUTE(SUBSTITUTE(H878,"~","~~"),"*","~*"),"?","~?"),Guide!$A$7:$A$9,0)),""),"")</f>
        <v>Home</v>
      </c>
      <c r="J878" s="1" t="str">
        <f>IF(TRIM(Raw!E878)="",I878,IF(UPPER(TRIM(Raw!E878))=UPPER(I878),I878,""))</f>
        <v>Home</v>
      </c>
      <c r="K878" s="1" t="str">
        <f>IF(Raw!F878="","",Raw!F878)</f>
        <v>sale</v>
      </c>
      <c r="L878" s="1" t="str">
        <f>IF(LEFT(TRIM(Raw!G878),2)="-$","-"&amp;MID(TRIM(Raw!G878),3,99),IF(LEFT(TRIM(Raw!G878),1)="$",MID(TRIM(Raw!G878),2,99),TRIM(Raw!G878)))</f>
        <v>261.78</v>
      </c>
      <c r="M878" s="1">
        <f t="shared" si="107"/>
        <v>261.77999999999997</v>
      </c>
      <c r="N878" s="10">
        <f t="shared" si="108"/>
        <v>26178</v>
      </c>
      <c r="O878" s="1" t="b">
        <f>IFERROR(IF(ISNUMBER(Raw!G878),TRUE,OR(EXACT(L878,TEXT(M878,"0.00")),EXACT(L878,TEXT(M878,"#,##0.00")))),FALSE)</f>
        <v>1</v>
      </c>
      <c r="P878" s="1" t="str">
        <f>LEN(IF(Raw!A878="","",Raw!A878))&amp;":"&amp;IF(Raw!A878="","",Raw!A878)&amp;"|"&amp;LEN(IF(Raw!B878="","",Raw!B878))&amp;":"&amp;IF(Raw!B878="","",Raw!B878)&amp;"|"&amp;LEN(IF(Raw!C878="","",Raw!C878))&amp;":"&amp;IF(Raw!C878="","",Raw!C878)&amp;"|"&amp;LEN(IF(Raw!D878="","",Raw!D878))&amp;":"&amp;IF(Raw!D878="","",Raw!D878)&amp;"|"&amp;LEN(IF(Raw!E878="","",Raw!E878))&amp;":"&amp;IF(Raw!E878="","",Raw!E878)&amp;"|"&amp;LEN(IF(Raw!F878="","",Raw!F878))&amp;":"&amp;IF(Raw!F878="","",Raw!F878)&amp;"|"&amp;LEN(IF(Raw!G878="","",Raw!G878))&amp;":"&amp;IF(Raw!G878="","",Raw!G878)</f>
        <v>6:L00872|6:T00436|10:2026-03-17|3:P-H|4:Home|4:sale|6:261.78</v>
      </c>
      <c r="Q878" s="1">
        <f>1</f>
        <v>1</v>
      </c>
      <c r="R878" s="1" t="b">
        <f>FALSE</f>
        <v>0</v>
      </c>
      <c r="S878" s="1">
        <f>1</f>
        <v>1</v>
      </c>
      <c r="T878" s="1" t="str">
        <f>IF(AND(Raw!A878="",Raw!B878="",Raw!C878="",Raw!D878="",Raw!E878="",Raw!F878="",Raw!G878=""),"UNUSED",IF(A878="","missing line ID",IF(B878="","missing transaction ID",IF(G878="",IF(C878="","missing date","invalid date"),IF(I878="","unknown product",IF(J878="","conflicting category",IF(NOT(OR(EXACT(K878,"sale"),EXACT(K878,"refund"))),"unknown event",IF(OR(N878="",NOT(O878)),"invalid amount",IF(OR(AND(K878="sale",N878&lt;=0),AND(K878="refund",N878&gt;=0)),"invalid sign","")))))))))</f>
        <v/>
      </c>
      <c r="U878" s="1" t="str">
        <f t="shared" si="109"/>
        <v>INCLUDED</v>
      </c>
      <c r="V878" s="1" t="str">
        <f t="shared" si="110"/>
        <v>2026-03</v>
      </c>
      <c r="W878" s="1">
        <f>IF(AND(U878="INCLUDED",X878&gt;0,EXACT(A878,'AI output'!A878)),1,0)</f>
        <v>1</v>
      </c>
      <c r="X878" s="1">
        <f>878</f>
        <v>878</v>
      </c>
      <c r="Y878" s="1">
        <f>IF(AND(U878="INCLUDED",W878=1),--(NOT(EXACT(A878,'AI output'!A878)))+--(NOT(EXACT(B878,'AI output'!B878)))+--(NOT(EXACT(TEXT(G878,"yyyy-mm-dd"),'AI output'!C878)))+--(NOT(EXACT(H878,'AI output'!D878)))+--(NOT(EXACT(J878,'AI output'!E878)))+--(NOT(EXACT(K878,'AI output'!F878)))+--(N878&lt;&gt;'AI output'!L878)+--(NOT('AI output'!M878)),0)</f>
        <v>0</v>
      </c>
      <c r="Z878" s="1">
        <f t="shared" si="111"/>
        <v>0</v>
      </c>
      <c r="AA878" s="1">
        <f>--EXACT(A878,"L00872")</f>
        <v>1</v>
      </c>
    </row>
    <row r="879" spans="1:27" ht="18.95" customHeight="1">
      <c r="A879" s="1" t="str">
        <f>IF(Raw!A879="","",Raw!A879)</f>
        <v>L00873</v>
      </c>
      <c r="B879" s="1" t="str">
        <f>IF(Raw!B879="","",Raw!B879)</f>
        <v>T00437</v>
      </c>
      <c r="C879" s="1" t="str">
        <f>IF(Raw!C879="","",Raw!C879)</f>
        <v>2026-03-24</v>
      </c>
      <c r="D879" s="1">
        <f t="shared" si="104"/>
        <v>2026</v>
      </c>
      <c r="E879" s="1">
        <f>IFERROR(IF(AND(LEN(C879)=10,MID(C879,5,1)="-",MID(C879,8,1)="-"),VALUE(MID(C879,6,2)),IF(AND(LEN(C879)=11,MID(C879,3,1)="-",MID(C879,7,1)="-"),MATCH(UPPER(MID(C879,4,3)),Guide!$D$7:$D$18,0),0)),0)</f>
        <v>3</v>
      </c>
      <c r="F879" s="1">
        <f t="shared" si="105"/>
        <v>24</v>
      </c>
      <c r="G879" s="9">
        <f t="shared" si="106"/>
        <v>46105</v>
      </c>
      <c r="H879" s="1" t="str">
        <f>IF(Raw!D879="","",Raw!D879)</f>
        <v>P-O</v>
      </c>
      <c r="I879" s="1" t="str">
        <f>IFERROR(IF(EXACT(H879,INDEX(Guide!$A$7:$A$9,MATCH(SUBSTITUTE(SUBSTITUTE(SUBSTITUTE(H879,"~","~~"),"*","~*"),"?","~?"),Guide!$A$7:$A$9,0))),INDEX(Guide!$B$7:$B$9,MATCH(SUBSTITUTE(SUBSTITUTE(SUBSTITUTE(H879,"~","~~"),"*","~*"),"?","~?"),Guide!$A$7:$A$9,0)),""),"")</f>
        <v>Office</v>
      </c>
      <c r="J879" s="1" t="str">
        <f>IF(TRIM(Raw!E879)="",I879,IF(UPPER(TRIM(Raw!E879))=UPPER(I879),I879,""))</f>
        <v>Office</v>
      </c>
      <c r="K879" s="1" t="str">
        <f>IF(Raw!F879="","",Raw!F879)</f>
        <v>sale</v>
      </c>
      <c r="L879" s="1" t="str">
        <f>IF(LEFT(TRIM(Raw!G879),2)="-$","-"&amp;MID(TRIM(Raw!G879),3,99),IF(LEFT(TRIM(Raw!G879),1)="$",MID(TRIM(Raw!G879),2,99),TRIM(Raw!G879)))</f>
        <v>438.15</v>
      </c>
      <c r="M879" s="1">
        <f t="shared" si="107"/>
        <v>438.15</v>
      </c>
      <c r="N879" s="10">
        <f t="shared" si="108"/>
        <v>43815</v>
      </c>
      <c r="O879" s="1" t="b">
        <f>IFERROR(IF(ISNUMBER(Raw!G879),TRUE,OR(EXACT(L879,TEXT(M879,"0.00")),EXACT(L879,TEXT(M879,"#,##0.00")))),FALSE)</f>
        <v>1</v>
      </c>
      <c r="P879" s="1" t="str">
        <f>LEN(IF(Raw!A879="","",Raw!A879))&amp;":"&amp;IF(Raw!A879="","",Raw!A879)&amp;"|"&amp;LEN(IF(Raw!B879="","",Raw!B879))&amp;":"&amp;IF(Raw!B879="","",Raw!B879)&amp;"|"&amp;LEN(IF(Raw!C879="","",Raw!C879))&amp;":"&amp;IF(Raw!C879="","",Raw!C879)&amp;"|"&amp;LEN(IF(Raw!D879="","",Raw!D879))&amp;":"&amp;IF(Raw!D879="","",Raw!D879)&amp;"|"&amp;LEN(IF(Raw!E879="","",Raw!E879))&amp;":"&amp;IF(Raw!E879="","",Raw!E879)&amp;"|"&amp;LEN(IF(Raw!F879="","",Raw!F879))&amp;":"&amp;IF(Raw!F879="","",Raw!F879)&amp;"|"&amp;LEN(IF(Raw!G879="","",Raw!G879))&amp;":"&amp;IF(Raw!G879="","",Raw!G879)</f>
        <v>6:L00873|6:T00437|10:2026-03-24|3:P-O|6:Office|4:sale|6:438.15</v>
      </c>
      <c r="Q879" s="1">
        <f>1</f>
        <v>1</v>
      </c>
      <c r="R879" s="1" t="b">
        <f>FALSE</f>
        <v>0</v>
      </c>
      <c r="S879" s="1">
        <f>1</f>
        <v>1</v>
      </c>
      <c r="T879" s="1" t="str">
        <f>IF(AND(Raw!A879="",Raw!B879="",Raw!C879="",Raw!D879="",Raw!E879="",Raw!F879="",Raw!G879=""),"UNUSED",IF(A879="","missing line ID",IF(B879="","missing transaction ID",IF(G879="",IF(C879="","missing date","invalid date"),IF(I879="","unknown product",IF(J879="","conflicting category",IF(NOT(OR(EXACT(K879,"sale"),EXACT(K879,"refund"))),"unknown event",IF(OR(N879="",NOT(O879)),"invalid amount",IF(OR(AND(K879="sale",N879&lt;=0),AND(K879="refund",N879&gt;=0)),"invalid sign","")))))))))</f>
        <v/>
      </c>
      <c r="U879" s="1" t="str">
        <f t="shared" si="109"/>
        <v>INCLUDED</v>
      </c>
      <c r="V879" s="1" t="str">
        <f t="shared" si="110"/>
        <v>2026-03</v>
      </c>
      <c r="W879" s="1">
        <f>IF(AND(U879="INCLUDED",X879&gt;0,EXACT(A879,'AI output'!A879)),1,0)</f>
        <v>1</v>
      </c>
      <c r="X879" s="1">
        <f>879</f>
        <v>879</v>
      </c>
      <c r="Y879" s="1">
        <f>IF(AND(U879="INCLUDED",W879=1),--(NOT(EXACT(A879,'AI output'!A879)))+--(NOT(EXACT(B879,'AI output'!B879)))+--(NOT(EXACT(TEXT(G879,"yyyy-mm-dd"),'AI output'!C879)))+--(NOT(EXACT(H879,'AI output'!D879)))+--(NOT(EXACT(J879,'AI output'!E879)))+--(NOT(EXACT(K879,'AI output'!F879)))+--(N879&lt;&gt;'AI output'!L879)+--(NOT('AI output'!M879)),0)</f>
        <v>0</v>
      </c>
      <c r="Z879" s="1">
        <f t="shared" si="111"/>
        <v>0</v>
      </c>
      <c r="AA879" s="1">
        <f>--EXACT(A879,"L00873")</f>
        <v>1</v>
      </c>
    </row>
    <row r="880" spans="1:27" ht="18.95" customHeight="1">
      <c r="A880" s="1" t="str">
        <f>IF(Raw!A880="","",Raw!A880)</f>
        <v>L00874</v>
      </c>
      <c r="B880" s="1" t="str">
        <f>IF(Raw!B880="","",Raw!B880)</f>
        <v>T00437</v>
      </c>
      <c r="C880" s="1" t="str">
        <f>IF(Raw!C880="","",Raw!C880)</f>
        <v>2026-03-24</v>
      </c>
      <c r="D880" s="1">
        <f t="shared" si="104"/>
        <v>2026</v>
      </c>
      <c r="E880" s="1">
        <f>IFERROR(IF(AND(LEN(C880)=10,MID(C880,5,1)="-",MID(C880,8,1)="-"),VALUE(MID(C880,6,2)),IF(AND(LEN(C880)=11,MID(C880,3,1)="-",MID(C880,7,1)="-"),MATCH(UPPER(MID(C880,4,3)),Guide!$D$7:$D$18,0),0)),0)</f>
        <v>3</v>
      </c>
      <c r="F880" s="1">
        <f t="shared" si="105"/>
        <v>24</v>
      </c>
      <c r="G880" s="9">
        <f t="shared" si="106"/>
        <v>46105</v>
      </c>
      <c r="H880" s="1" t="str">
        <f>IF(Raw!D880="","",Raw!D880)</f>
        <v>P-A</v>
      </c>
      <c r="I880" s="1" t="str">
        <f>IFERROR(IF(EXACT(H880,INDEX(Guide!$A$7:$A$9,MATCH(SUBSTITUTE(SUBSTITUTE(SUBSTITUTE(H880,"~","~~"),"*","~*"),"?","~?"),Guide!$A$7:$A$9,0))),INDEX(Guide!$B$7:$B$9,MATCH(SUBSTITUTE(SUBSTITUTE(SUBSTITUTE(H880,"~","~~"),"*","~*"),"?","~?"),Guide!$A$7:$A$9,0)),""),"")</f>
        <v>Accessories</v>
      </c>
      <c r="J880" s="1" t="str">
        <f>IF(TRIM(Raw!E880)="",I880,IF(UPPER(TRIM(Raw!E880))=UPPER(I880),I880,""))</f>
        <v>Accessories</v>
      </c>
      <c r="K880" s="1" t="str">
        <f>IF(Raw!F880="","",Raw!F880)</f>
        <v>sale</v>
      </c>
      <c r="L880" s="1" t="str">
        <f>IF(LEFT(TRIM(Raw!G880),2)="-$","-"&amp;MID(TRIM(Raw!G880),3,99),IF(LEFT(TRIM(Raw!G880),1)="$",MID(TRIM(Raw!G880),2,99),TRIM(Raw!G880)))</f>
        <v>176.00</v>
      </c>
      <c r="M880" s="1">
        <f t="shared" si="107"/>
        <v>176</v>
      </c>
      <c r="N880" s="10">
        <f t="shared" si="108"/>
        <v>17600</v>
      </c>
      <c r="O880" s="1" t="b">
        <f>IFERROR(IF(ISNUMBER(Raw!G880),TRUE,OR(EXACT(L880,TEXT(M880,"0.00")),EXACT(L880,TEXT(M880,"#,##0.00")))),FALSE)</f>
        <v>1</v>
      </c>
      <c r="P880" s="1" t="str">
        <f>LEN(IF(Raw!A880="","",Raw!A880))&amp;":"&amp;IF(Raw!A880="","",Raw!A880)&amp;"|"&amp;LEN(IF(Raw!B880="","",Raw!B880))&amp;":"&amp;IF(Raw!B880="","",Raw!B880)&amp;"|"&amp;LEN(IF(Raw!C880="","",Raw!C880))&amp;":"&amp;IF(Raw!C880="","",Raw!C880)&amp;"|"&amp;LEN(IF(Raw!D880="","",Raw!D880))&amp;":"&amp;IF(Raw!D880="","",Raw!D880)&amp;"|"&amp;LEN(IF(Raw!E880="","",Raw!E880))&amp;":"&amp;IF(Raw!E880="","",Raw!E880)&amp;"|"&amp;LEN(IF(Raw!F880="","",Raw!F880))&amp;":"&amp;IF(Raw!F880="","",Raw!F880)&amp;"|"&amp;LEN(IF(Raw!G880="","",Raw!G880))&amp;":"&amp;IF(Raw!G880="","",Raw!G880)</f>
        <v>6:L00874|6:T00437|10:2026-03-24|3:P-A|11:Accessories|4:sale|6:176.00</v>
      </c>
      <c r="Q880" s="1">
        <f>1</f>
        <v>1</v>
      </c>
      <c r="R880" s="1" t="b">
        <f>FALSE</f>
        <v>0</v>
      </c>
      <c r="S880" s="1">
        <f>1</f>
        <v>1</v>
      </c>
      <c r="T880" s="1" t="str">
        <f>IF(AND(Raw!A880="",Raw!B880="",Raw!C880="",Raw!D880="",Raw!E880="",Raw!F880="",Raw!G880=""),"UNUSED",IF(A880="","missing line ID",IF(B880="","missing transaction ID",IF(G880="",IF(C880="","missing date","invalid date"),IF(I880="","unknown product",IF(J880="","conflicting category",IF(NOT(OR(EXACT(K880,"sale"),EXACT(K880,"refund"))),"unknown event",IF(OR(N880="",NOT(O880)),"invalid amount",IF(OR(AND(K880="sale",N880&lt;=0),AND(K880="refund",N880&gt;=0)),"invalid sign","")))))))))</f>
        <v/>
      </c>
      <c r="U880" s="1" t="str">
        <f t="shared" si="109"/>
        <v>INCLUDED</v>
      </c>
      <c r="V880" s="1" t="str">
        <f t="shared" si="110"/>
        <v>2026-03</v>
      </c>
      <c r="W880" s="1">
        <f>IF(AND(U880="INCLUDED",X880&gt;0,EXACT(A880,'AI output'!A880)),1,0)</f>
        <v>1</v>
      </c>
      <c r="X880" s="1">
        <f>880</f>
        <v>880</v>
      </c>
      <c r="Y880" s="1">
        <f>IF(AND(U880="INCLUDED",W880=1),--(NOT(EXACT(A880,'AI output'!A880)))+--(NOT(EXACT(B880,'AI output'!B880)))+--(NOT(EXACT(TEXT(G880,"yyyy-mm-dd"),'AI output'!C880)))+--(NOT(EXACT(H880,'AI output'!D880)))+--(NOT(EXACT(J880,'AI output'!E880)))+--(NOT(EXACT(K880,'AI output'!F880)))+--(N880&lt;&gt;'AI output'!L880)+--(NOT('AI output'!M880)),0)</f>
        <v>0</v>
      </c>
      <c r="Z880" s="1">
        <f t="shared" si="111"/>
        <v>0</v>
      </c>
      <c r="AA880" s="1">
        <f>--EXACT(A880,"L00874")</f>
        <v>1</v>
      </c>
    </row>
    <row r="881" spans="1:27" ht="18.95" customHeight="1">
      <c r="A881" s="1" t="str">
        <f>IF(Raw!A881="","",Raw!A881)</f>
        <v>L00875</v>
      </c>
      <c r="B881" s="1" t="str">
        <f>IF(Raw!B881="","",Raw!B881)</f>
        <v>T00438</v>
      </c>
      <c r="C881" s="1" t="str">
        <f>IF(Raw!C881="","",Raw!C881)</f>
        <v>2026-03-31</v>
      </c>
      <c r="D881" s="1">
        <f t="shared" si="104"/>
        <v>2026</v>
      </c>
      <c r="E881" s="1">
        <f>IFERROR(IF(AND(LEN(C881)=10,MID(C881,5,1)="-",MID(C881,8,1)="-"),VALUE(MID(C881,6,2)),IF(AND(LEN(C881)=11,MID(C881,3,1)="-",MID(C881,7,1)="-"),MATCH(UPPER(MID(C881,4,3)),Guide!$D$7:$D$18,0),0)),0)</f>
        <v>3</v>
      </c>
      <c r="F881" s="1">
        <f t="shared" si="105"/>
        <v>31</v>
      </c>
      <c r="G881" s="9">
        <f t="shared" si="106"/>
        <v>46112</v>
      </c>
      <c r="H881" s="1" t="str">
        <f>IF(Raw!D881="","",Raw!D881)</f>
        <v>P-H</v>
      </c>
      <c r="I881" s="1" t="str">
        <f>IFERROR(IF(EXACT(H881,INDEX(Guide!$A$7:$A$9,MATCH(SUBSTITUTE(SUBSTITUTE(SUBSTITUTE(H881,"~","~~"),"*","~*"),"?","~?"),Guide!$A$7:$A$9,0))),INDEX(Guide!$B$7:$B$9,MATCH(SUBSTITUTE(SUBSTITUTE(SUBSTITUTE(H881,"~","~~"),"*","~*"),"?","~?"),Guide!$A$7:$A$9,0)),""),"")</f>
        <v>Home</v>
      </c>
      <c r="J881" s="1" t="str">
        <f>IF(TRIM(Raw!E881)="",I881,IF(UPPER(TRIM(Raw!E881))=UPPER(I881),I881,""))</f>
        <v>Home</v>
      </c>
      <c r="K881" s="1" t="str">
        <f>IF(Raw!F881="","",Raw!F881)</f>
        <v>refund</v>
      </c>
      <c r="L881" s="1" t="str">
        <f>IF(LEFT(TRIM(Raw!G881),2)="-$","-"&amp;MID(TRIM(Raw!G881),3,99),IF(LEFT(TRIM(Raw!G881),1)="$",MID(TRIM(Raw!G881),2,99),TRIM(Raw!G881)))</f>
        <v>-353.48</v>
      </c>
      <c r="M881" s="1">
        <f t="shared" si="107"/>
        <v>-353.48</v>
      </c>
      <c r="N881" s="10">
        <f t="shared" si="108"/>
        <v>-35348</v>
      </c>
      <c r="O881" s="1" t="b">
        <f>IFERROR(IF(ISNUMBER(Raw!G881),TRUE,OR(EXACT(L881,TEXT(M881,"0.00")),EXACT(L881,TEXT(M881,"#,##0.00")))),FALSE)</f>
        <v>1</v>
      </c>
      <c r="P881" s="1" t="str">
        <f>LEN(IF(Raw!A881="","",Raw!A881))&amp;":"&amp;IF(Raw!A881="","",Raw!A881)&amp;"|"&amp;LEN(IF(Raw!B881="","",Raw!B881))&amp;":"&amp;IF(Raw!B881="","",Raw!B881)&amp;"|"&amp;LEN(IF(Raw!C881="","",Raw!C881))&amp;":"&amp;IF(Raw!C881="","",Raw!C881)&amp;"|"&amp;LEN(IF(Raw!D881="","",Raw!D881))&amp;":"&amp;IF(Raw!D881="","",Raw!D881)&amp;"|"&amp;LEN(IF(Raw!E881="","",Raw!E881))&amp;":"&amp;IF(Raw!E881="","",Raw!E881)&amp;"|"&amp;LEN(IF(Raw!F881="","",Raw!F881))&amp;":"&amp;IF(Raw!F881="","",Raw!F881)&amp;"|"&amp;LEN(IF(Raw!G881="","",Raw!G881))&amp;":"&amp;IF(Raw!G881="","",Raw!G881)</f>
        <v>6:L00875|6:T00438|10:2026-03-31|3:P-H|4:Home|6:refund|7:-353.48</v>
      </c>
      <c r="Q881" s="1">
        <f>1</f>
        <v>1</v>
      </c>
      <c r="R881" s="1" t="b">
        <f>FALSE</f>
        <v>0</v>
      </c>
      <c r="S881" s="1">
        <f>1</f>
        <v>1</v>
      </c>
      <c r="T881" s="1" t="str">
        <f>IF(AND(Raw!A881="",Raw!B881="",Raw!C881="",Raw!D881="",Raw!E881="",Raw!F881="",Raw!G881=""),"UNUSED",IF(A881="","missing line ID",IF(B881="","missing transaction ID",IF(G881="",IF(C881="","missing date","invalid date"),IF(I881="","unknown product",IF(J881="","conflicting category",IF(NOT(OR(EXACT(K881,"sale"),EXACT(K881,"refund"))),"unknown event",IF(OR(N881="",NOT(O881)),"invalid amount",IF(OR(AND(K881="sale",N881&lt;=0),AND(K881="refund",N881&gt;=0)),"invalid sign","")))))))))</f>
        <v/>
      </c>
      <c r="U881" s="1" t="str">
        <f t="shared" si="109"/>
        <v>INCLUDED</v>
      </c>
      <c r="V881" s="1" t="str">
        <f t="shared" si="110"/>
        <v>2026-03</v>
      </c>
      <c r="W881" s="1">
        <f>IF(AND(U881="INCLUDED",X881&gt;0,EXACT(A881,'AI output'!A881)),1,0)</f>
        <v>1</v>
      </c>
      <c r="X881" s="1">
        <f>881</f>
        <v>881</v>
      </c>
      <c r="Y881" s="1">
        <f>IF(AND(U881="INCLUDED",W881=1),--(NOT(EXACT(A881,'AI output'!A881)))+--(NOT(EXACT(B881,'AI output'!B881)))+--(NOT(EXACT(TEXT(G881,"yyyy-mm-dd"),'AI output'!C881)))+--(NOT(EXACT(H881,'AI output'!D881)))+--(NOT(EXACT(J881,'AI output'!E881)))+--(NOT(EXACT(K881,'AI output'!F881)))+--(N881&lt;&gt;'AI output'!L881)+--(NOT('AI output'!M881)),0)</f>
        <v>0</v>
      </c>
      <c r="Z881" s="1">
        <f t="shared" si="111"/>
        <v>0</v>
      </c>
      <c r="AA881" s="1">
        <f>--EXACT(A881,"L00875")</f>
        <v>1</v>
      </c>
    </row>
    <row r="882" spans="1:27" ht="18.95" customHeight="1">
      <c r="A882" s="1" t="str">
        <f>IF(Raw!A882="","",Raw!A882)</f>
        <v>L00876</v>
      </c>
      <c r="B882" s="1" t="str">
        <f>IF(Raw!B882="","",Raw!B882)</f>
        <v>T00438</v>
      </c>
      <c r="C882" s="1" t="str">
        <f>IF(Raw!C882="","",Raw!C882)</f>
        <v>2026-03-31</v>
      </c>
      <c r="D882" s="1">
        <f t="shared" si="104"/>
        <v>2026</v>
      </c>
      <c r="E882" s="1">
        <f>IFERROR(IF(AND(LEN(C882)=10,MID(C882,5,1)="-",MID(C882,8,1)="-"),VALUE(MID(C882,6,2)),IF(AND(LEN(C882)=11,MID(C882,3,1)="-",MID(C882,7,1)="-"),MATCH(UPPER(MID(C882,4,3)),Guide!$D$7:$D$18,0),0)),0)</f>
        <v>3</v>
      </c>
      <c r="F882" s="1">
        <f t="shared" si="105"/>
        <v>31</v>
      </c>
      <c r="G882" s="9">
        <f t="shared" si="106"/>
        <v>46112</v>
      </c>
      <c r="H882" s="1" t="str">
        <f>IF(Raw!D882="","",Raw!D882)</f>
        <v>P-O</v>
      </c>
      <c r="I882" s="1" t="str">
        <f>IFERROR(IF(EXACT(H882,INDEX(Guide!$A$7:$A$9,MATCH(SUBSTITUTE(SUBSTITUTE(SUBSTITUTE(H882,"~","~~"),"*","~*"),"?","~?"),Guide!$A$7:$A$9,0))),INDEX(Guide!$B$7:$B$9,MATCH(SUBSTITUTE(SUBSTITUTE(SUBSTITUTE(H882,"~","~~"),"*","~*"),"?","~?"),Guide!$A$7:$A$9,0)),""),"")</f>
        <v>Office</v>
      </c>
      <c r="J882" s="1" t="str">
        <f>IF(TRIM(Raw!E882)="",I882,IF(UPPER(TRIM(Raw!E882))=UPPER(I882),I882,""))</f>
        <v>Office</v>
      </c>
      <c r="K882" s="1" t="str">
        <f>IF(Raw!F882="","",Raw!F882)</f>
        <v>sale</v>
      </c>
      <c r="L882" s="1" t="str">
        <f>IF(LEFT(TRIM(Raw!G882),2)="-$","-"&amp;MID(TRIM(Raw!G882),3,99),IF(LEFT(TRIM(Raw!G882),1)="$",MID(TRIM(Raw!G882),2,99),TRIM(Raw!G882)))</f>
        <v>88.74</v>
      </c>
      <c r="M882" s="1">
        <f t="shared" si="107"/>
        <v>88.74</v>
      </c>
      <c r="N882" s="10">
        <f t="shared" si="108"/>
        <v>8874</v>
      </c>
      <c r="O882" s="1" t="b">
        <f>IFERROR(IF(ISNUMBER(Raw!G882),TRUE,OR(EXACT(L882,TEXT(M882,"0.00")),EXACT(L882,TEXT(M882,"#,##0.00")))),FALSE)</f>
        <v>1</v>
      </c>
      <c r="P882" s="1" t="str">
        <f>LEN(IF(Raw!A882="","",Raw!A882))&amp;":"&amp;IF(Raw!A882="","",Raw!A882)&amp;"|"&amp;LEN(IF(Raw!B882="","",Raw!B882))&amp;":"&amp;IF(Raw!B882="","",Raw!B882)&amp;"|"&amp;LEN(IF(Raw!C882="","",Raw!C882))&amp;":"&amp;IF(Raw!C882="","",Raw!C882)&amp;"|"&amp;LEN(IF(Raw!D882="","",Raw!D882))&amp;":"&amp;IF(Raw!D882="","",Raw!D882)&amp;"|"&amp;LEN(IF(Raw!E882="","",Raw!E882))&amp;":"&amp;IF(Raw!E882="","",Raw!E882)&amp;"|"&amp;LEN(IF(Raw!F882="","",Raw!F882))&amp;":"&amp;IF(Raw!F882="","",Raw!F882)&amp;"|"&amp;LEN(IF(Raw!G882="","",Raw!G882))&amp;":"&amp;IF(Raw!G882="","",Raw!G882)</f>
        <v>6:L00876|6:T00438|10:2026-03-31|3:P-O|6:Office|4:sale|5:88.74</v>
      </c>
      <c r="Q882" s="1">
        <f>1</f>
        <v>1</v>
      </c>
      <c r="R882" s="1" t="b">
        <f>FALSE</f>
        <v>0</v>
      </c>
      <c r="S882" s="1">
        <f>1</f>
        <v>1</v>
      </c>
      <c r="T882" s="1" t="str">
        <f>IF(AND(Raw!A882="",Raw!B882="",Raw!C882="",Raw!D882="",Raw!E882="",Raw!F882="",Raw!G882=""),"UNUSED",IF(A882="","missing line ID",IF(B882="","missing transaction ID",IF(G882="",IF(C882="","missing date","invalid date"),IF(I882="","unknown product",IF(J882="","conflicting category",IF(NOT(OR(EXACT(K882,"sale"),EXACT(K882,"refund"))),"unknown event",IF(OR(N882="",NOT(O882)),"invalid amount",IF(OR(AND(K882="sale",N882&lt;=0),AND(K882="refund",N882&gt;=0)),"invalid sign","")))))))))</f>
        <v/>
      </c>
      <c r="U882" s="1" t="str">
        <f t="shared" si="109"/>
        <v>INCLUDED</v>
      </c>
      <c r="V882" s="1" t="str">
        <f t="shared" si="110"/>
        <v>2026-03</v>
      </c>
      <c r="W882" s="1">
        <f>IF(AND(U882="INCLUDED",X882&gt;0,EXACT(A882,'AI output'!A882)),1,0)</f>
        <v>1</v>
      </c>
      <c r="X882" s="1">
        <f>882</f>
        <v>882</v>
      </c>
      <c r="Y882" s="1">
        <f>IF(AND(U882="INCLUDED",W882=1),--(NOT(EXACT(A882,'AI output'!A882)))+--(NOT(EXACT(B882,'AI output'!B882)))+--(NOT(EXACT(TEXT(G882,"yyyy-mm-dd"),'AI output'!C882)))+--(NOT(EXACT(H882,'AI output'!D882)))+--(NOT(EXACT(J882,'AI output'!E882)))+--(NOT(EXACT(K882,'AI output'!F882)))+--(N882&lt;&gt;'AI output'!L882)+--(NOT('AI output'!M882)),0)</f>
        <v>0</v>
      </c>
      <c r="Z882" s="1">
        <f t="shared" si="111"/>
        <v>0</v>
      </c>
      <c r="AA882" s="1">
        <f>--EXACT(A882,"L00876")</f>
        <v>1</v>
      </c>
    </row>
    <row r="883" spans="1:27" ht="18.95" customHeight="1">
      <c r="A883" s="1" t="str">
        <f>IF(Raw!A883="","",Raw!A883)</f>
        <v>L00877</v>
      </c>
      <c r="B883" s="1" t="str">
        <f>IF(Raw!B883="","",Raw!B883)</f>
        <v>T00439</v>
      </c>
      <c r="C883" s="1" t="str">
        <f>IF(Raw!C883="","",Raw!C883)</f>
        <v>2026-01-07</v>
      </c>
      <c r="D883" s="1">
        <f t="shared" si="104"/>
        <v>2026</v>
      </c>
      <c r="E883" s="1">
        <f>IFERROR(IF(AND(LEN(C883)=10,MID(C883,5,1)="-",MID(C883,8,1)="-"),VALUE(MID(C883,6,2)),IF(AND(LEN(C883)=11,MID(C883,3,1)="-",MID(C883,7,1)="-"),MATCH(UPPER(MID(C883,4,3)),Guide!$D$7:$D$18,0),0)),0)</f>
        <v>1</v>
      </c>
      <c r="F883" s="1">
        <f t="shared" si="105"/>
        <v>7</v>
      </c>
      <c r="G883" s="9">
        <f t="shared" si="106"/>
        <v>46029</v>
      </c>
      <c r="H883" s="1" t="str">
        <f>IF(Raw!D883="","",Raw!D883)</f>
        <v>P-A</v>
      </c>
      <c r="I883" s="1" t="str">
        <f>IFERROR(IF(EXACT(H883,INDEX(Guide!$A$7:$A$9,MATCH(SUBSTITUTE(SUBSTITUTE(SUBSTITUTE(H883,"~","~~"),"*","~*"),"?","~?"),Guide!$A$7:$A$9,0))),INDEX(Guide!$B$7:$B$9,MATCH(SUBSTITUTE(SUBSTITUTE(SUBSTITUTE(H883,"~","~~"),"*","~*"),"?","~?"),Guide!$A$7:$A$9,0)),""),"")</f>
        <v>Accessories</v>
      </c>
      <c r="J883" s="1" t="str">
        <f>IF(TRIM(Raw!E883)="",I883,IF(UPPER(TRIM(Raw!E883))=UPPER(I883),I883,""))</f>
        <v>Accessories</v>
      </c>
      <c r="K883" s="1" t="str">
        <f>IF(Raw!F883="","",Raw!F883)</f>
        <v>sale</v>
      </c>
      <c r="L883" s="1" t="str">
        <f>IF(LEFT(TRIM(Raw!G883),2)="-$","-"&amp;MID(TRIM(Raw!G883),3,99),IF(LEFT(TRIM(Raw!G883),1)="$",MID(TRIM(Raw!G883),2,99),TRIM(Raw!G883)))</f>
        <v>267.33</v>
      </c>
      <c r="M883" s="1">
        <f t="shared" si="107"/>
        <v>267.33</v>
      </c>
      <c r="N883" s="10">
        <f t="shared" si="108"/>
        <v>26733</v>
      </c>
      <c r="O883" s="1" t="b">
        <f>IFERROR(IF(ISNUMBER(Raw!G883),TRUE,OR(EXACT(L883,TEXT(M883,"0.00")),EXACT(L883,TEXT(M883,"#,##0.00")))),FALSE)</f>
        <v>1</v>
      </c>
      <c r="P883" s="1" t="str">
        <f>LEN(IF(Raw!A883="","",Raw!A883))&amp;":"&amp;IF(Raw!A883="","",Raw!A883)&amp;"|"&amp;LEN(IF(Raw!B883="","",Raw!B883))&amp;":"&amp;IF(Raw!B883="","",Raw!B883)&amp;"|"&amp;LEN(IF(Raw!C883="","",Raw!C883))&amp;":"&amp;IF(Raw!C883="","",Raw!C883)&amp;"|"&amp;LEN(IF(Raw!D883="","",Raw!D883))&amp;":"&amp;IF(Raw!D883="","",Raw!D883)&amp;"|"&amp;LEN(IF(Raw!E883="","",Raw!E883))&amp;":"&amp;IF(Raw!E883="","",Raw!E883)&amp;"|"&amp;LEN(IF(Raw!F883="","",Raw!F883))&amp;":"&amp;IF(Raw!F883="","",Raw!F883)&amp;"|"&amp;LEN(IF(Raw!G883="","",Raw!G883))&amp;":"&amp;IF(Raw!G883="","",Raw!G883)</f>
        <v>6:L00877|6:T00439|10:2026-01-07|3:P-A|11:Accessories|4:sale|6:267.33</v>
      </c>
      <c r="Q883" s="1">
        <f>1</f>
        <v>1</v>
      </c>
      <c r="R883" s="1" t="b">
        <f>FALSE</f>
        <v>0</v>
      </c>
      <c r="S883" s="1">
        <f>1</f>
        <v>1</v>
      </c>
      <c r="T883" s="1" t="str">
        <f>IF(AND(Raw!A883="",Raw!B883="",Raw!C883="",Raw!D883="",Raw!E883="",Raw!F883="",Raw!G883=""),"UNUSED",IF(A883="","missing line ID",IF(B883="","missing transaction ID",IF(G883="",IF(C883="","missing date","invalid date"),IF(I883="","unknown product",IF(J883="","conflicting category",IF(NOT(OR(EXACT(K883,"sale"),EXACT(K883,"refund"))),"unknown event",IF(OR(N883="",NOT(O883)),"invalid amount",IF(OR(AND(K883="sale",N883&lt;=0),AND(K883="refund",N883&gt;=0)),"invalid sign","")))))))))</f>
        <v/>
      </c>
      <c r="U883" s="1" t="str">
        <f t="shared" si="109"/>
        <v>INCLUDED</v>
      </c>
      <c r="V883" s="1" t="str">
        <f t="shared" si="110"/>
        <v>2026-01</v>
      </c>
      <c r="W883" s="1">
        <f>IF(AND(U883="INCLUDED",X883&gt;0,EXACT(A883,'AI output'!A883)),1,0)</f>
        <v>1</v>
      </c>
      <c r="X883" s="1">
        <f>883</f>
        <v>883</v>
      </c>
      <c r="Y883" s="1">
        <f>IF(AND(U883="INCLUDED",W883=1),--(NOT(EXACT(A883,'AI output'!A883)))+--(NOT(EXACT(B883,'AI output'!B883)))+--(NOT(EXACT(TEXT(G883,"yyyy-mm-dd"),'AI output'!C883)))+--(NOT(EXACT(H883,'AI output'!D883)))+--(NOT(EXACT(J883,'AI output'!E883)))+--(NOT(EXACT(K883,'AI output'!F883)))+--(N883&lt;&gt;'AI output'!L883)+--(NOT('AI output'!M883)),0)</f>
        <v>0</v>
      </c>
      <c r="Z883" s="1">
        <f t="shared" si="111"/>
        <v>0</v>
      </c>
      <c r="AA883" s="1">
        <f>--EXACT(A883,"L00877")</f>
        <v>1</v>
      </c>
    </row>
    <row r="884" spans="1:27" ht="18.95" customHeight="1">
      <c r="A884" s="1" t="str">
        <f>IF(Raw!A884="","",Raw!A884)</f>
        <v>L00878</v>
      </c>
      <c r="B884" s="1" t="str">
        <f>IF(Raw!B884="","",Raw!B884)</f>
        <v>T00439</v>
      </c>
      <c r="C884" s="1" t="str">
        <f>IF(Raw!C884="","",Raw!C884)</f>
        <v>2026-01-07</v>
      </c>
      <c r="D884" s="1">
        <f t="shared" si="104"/>
        <v>2026</v>
      </c>
      <c r="E884" s="1">
        <f>IFERROR(IF(AND(LEN(C884)=10,MID(C884,5,1)="-",MID(C884,8,1)="-"),VALUE(MID(C884,6,2)),IF(AND(LEN(C884)=11,MID(C884,3,1)="-",MID(C884,7,1)="-"),MATCH(UPPER(MID(C884,4,3)),Guide!$D$7:$D$18,0),0)),0)</f>
        <v>1</v>
      </c>
      <c r="F884" s="1">
        <f t="shared" si="105"/>
        <v>7</v>
      </c>
      <c r="G884" s="9">
        <f t="shared" si="106"/>
        <v>46029</v>
      </c>
      <c r="H884" s="1" t="str">
        <f>IF(Raw!D884="","",Raw!D884)</f>
        <v>P-H</v>
      </c>
      <c r="I884" s="1" t="str">
        <f>IFERROR(IF(EXACT(H884,INDEX(Guide!$A$7:$A$9,MATCH(SUBSTITUTE(SUBSTITUTE(SUBSTITUTE(H884,"~","~~"),"*","~*"),"?","~?"),Guide!$A$7:$A$9,0))),INDEX(Guide!$B$7:$B$9,MATCH(SUBSTITUTE(SUBSTITUTE(SUBSTITUTE(H884,"~","~~"),"*","~*"),"?","~?"),Guide!$A$7:$A$9,0)),""),"")</f>
        <v>Home</v>
      </c>
      <c r="J884" s="1" t="str">
        <f>IF(TRIM(Raw!E884)="",I884,IF(UPPER(TRIM(Raw!E884))=UPPER(I884),I884,""))</f>
        <v>Home</v>
      </c>
      <c r="K884" s="1" t="str">
        <f>IF(Raw!F884="","",Raw!F884)</f>
        <v>sale</v>
      </c>
      <c r="L884" s="1" t="str">
        <f>IF(LEFT(TRIM(Raw!G884),2)="-$","-"&amp;MID(TRIM(Raw!G884),3,99),IF(LEFT(TRIM(Raw!G884),1)="$",MID(TRIM(Raw!G884),2,99),TRIM(Raw!G884)))</f>
        <v>447.40</v>
      </c>
      <c r="M884" s="1">
        <f t="shared" si="107"/>
        <v>447.4</v>
      </c>
      <c r="N884" s="10">
        <f t="shared" si="108"/>
        <v>44740</v>
      </c>
      <c r="O884" s="1" t="b">
        <f>IFERROR(IF(ISNUMBER(Raw!G884),TRUE,OR(EXACT(L884,TEXT(M884,"0.00")),EXACT(L884,TEXT(M884,"#,##0.00")))),FALSE)</f>
        <v>1</v>
      </c>
      <c r="P884" s="1" t="str">
        <f>LEN(IF(Raw!A884="","",Raw!A884))&amp;":"&amp;IF(Raw!A884="","",Raw!A884)&amp;"|"&amp;LEN(IF(Raw!B884="","",Raw!B884))&amp;":"&amp;IF(Raw!B884="","",Raw!B884)&amp;"|"&amp;LEN(IF(Raw!C884="","",Raw!C884))&amp;":"&amp;IF(Raw!C884="","",Raw!C884)&amp;"|"&amp;LEN(IF(Raw!D884="","",Raw!D884))&amp;":"&amp;IF(Raw!D884="","",Raw!D884)&amp;"|"&amp;LEN(IF(Raw!E884="","",Raw!E884))&amp;":"&amp;IF(Raw!E884="","",Raw!E884)&amp;"|"&amp;LEN(IF(Raw!F884="","",Raw!F884))&amp;":"&amp;IF(Raw!F884="","",Raw!F884)&amp;"|"&amp;LEN(IF(Raw!G884="","",Raw!G884))&amp;":"&amp;IF(Raw!G884="","",Raw!G884)</f>
        <v>6:L00878|6:T00439|10:2026-01-07|3:P-H|4:Home|4:sale|6:447.40</v>
      </c>
      <c r="Q884" s="1">
        <f>1</f>
        <v>1</v>
      </c>
      <c r="R884" s="1" t="b">
        <f>FALSE</f>
        <v>0</v>
      </c>
      <c r="S884" s="1">
        <f>1</f>
        <v>1</v>
      </c>
      <c r="T884" s="1" t="str">
        <f>IF(AND(Raw!A884="",Raw!B884="",Raw!C884="",Raw!D884="",Raw!E884="",Raw!F884="",Raw!G884=""),"UNUSED",IF(A884="","missing line ID",IF(B884="","missing transaction ID",IF(G884="",IF(C884="","missing date","invalid date"),IF(I884="","unknown product",IF(J884="","conflicting category",IF(NOT(OR(EXACT(K884,"sale"),EXACT(K884,"refund"))),"unknown event",IF(OR(N884="",NOT(O884)),"invalid amount",IF(OR(AND(K884="sale",N884&lt;=0),AND(K884="refund",N884&gt;=0)),"invalid sign","")))))))))</f>
        <v/>
      </c>
      <c r="U884" s="1" t="str">
        <f t="shared" si="109"/>
        <v>INCLUDED</v>
      </c>
      <c r="V884" s="1" t="str">
        <f t="shared" si="110"/>
        <v>2026-01</v>
      </c>
      <c r="W884" s="1">
        <f>IF(AND(U884="INCLUDED",X884&gt;0,EXACT(A884,'AI output'!A884)),1,0)</f>
        <v>1</v>
      </c>
      <c r="X884" s="1">
        <f>884</f>
        <v>884</v>
      </c>
      <c r="Y884" s="1">
        <f>IF(AND(U884="INCLUDED",W884=1),--(NOT(EXACT(A884,'AI output'!A884)))+--(NOT(EXACT(B884,'AI output'!B884)))+--(NOT(EXACT(TEXT(G884,"yyyy-mm-dd"),'AI output'!C884)))+--(NOT(EXACT(H884,'AI output'!D884)))+--(NOT(EXACT(J884,'AI output'!E884)))+--(NOT(EXACT(K884,'AI output'!F884)))+--(N884&lt;&gt;'AI output'!L884)+--(NOT('AI output'!M884)),0)</f>
        <v>0</v>
      </c>
      <c r="Z884" s="1">
        <f t="shared" si="111"/>
        <v>0</v>
      </c>
      <c r="AA884" s="1">
        <f>--EXACT(A884,"L00878")</f>
        <v>1</v>
      </c>
    </row>
    <row r="885" spans="1:27" ht="18.95" customHeight="1">
      <c r="A885" s="1" t="str">
        <f>IF(Raw!A885="","",Raw!A885)</f>
        <v>L00879</v>
      </c>
      <c r="B885" s="1" t="str">
        <f>IF(Raw!B885="","",Raw!B885)</f>
        <v>T00440</v>
      </c>
      <c r="C885" s="1" t="str">
        <f>IF(Raw!C885="","",Raw!C885)</f>
        <v>2026-01-14</v>
      </c>
      <c r="D885" s="1">
        <f t="shared" si="104"/>
        <v>2026</v>
      </c>
      <c r="E885" s="1">
        <f>IFERROR(IF(AND(LEN(C885)=10,MID(C885,5,1)="-",MID(C885,8,1)="-"),VALUE(MID(C885,6,2)),IF(AND(LEN(C885)=11,MID(C885,3,1)="-",MID(C885,7,1)="-"),MATCH(UPPER(MID(C885,4,3)),Guide!$D$7:$D$18,0),0)),0)</f>
        <v>1</v>
      </c>
      <c r="F885" s="1">
        <f t="shared" si="105"/>
        <v>14</v>
      </c>
      <c r="G885" s="9">
        <f t="shared" si="106"/>
        <v>46036</v>
      </c>
      <c r="H885" s="1" t="str">
        <f>IF(Raw!D885="","",Raw!D885)</f>
        <v>P-O</v>
      </c>
      <c r="I885" s="1" t="str">
        <f>IFERROR(IF(EXACT(H885,INDEX(Guide!$A$7:$A$9,MATCH(SUBSTITUTE(SUBSTITUTE(SUBSTITUTE(H885,"~","~~"),"*","~*"),"?","~?"),Guide!$A$7:$A$9,0))),INDEX(Guide!$B$7:$B$9,MATCH(SUBSTITUTE(SUBSTITUTE(SUBSTITUTE(H885,"~","~~"),"*","~*"),"?","~?"),Guide!$A$7:$A$9,0)),""),"")</f>
        <v>Office</v>
      </c>
      <c r="J885" s="1" t="str">
        <f>IF(TRIM(Raw!E885)="",I885,IF(UPPER(TRIM(Raw!E885))=UPPER(I885),I885,""))</f>
        <v>Office</v>
      </c>
      <c r="K885" s="1" t="str">
        <f>IF(Raw!F885="","",Raw!F885)</f>
        <v>sale</v>
      </c>
      <c r="L885" s="1" t="str">
        <f>IF(LEFT(TRIM(Raw!G885),2)="-$","-"&amp;MID(TRIM(Raw!G885),3,99),IF(LEFT(TRIM(Raw!G885),1)="$",MID(TRIM(Raw!G885),2,99),TRIM(Raw!G885)))</f>
        <v>179.70</v>
      </c>
      <c r="M885" s="1">
        <f t="shared" si="107"/>
        <v>179.7</v>
      </c>
      <c r="N885" s="10">
        <f t="shared" si="108"/>
        <v>17970</v>
      </c>
      <c r="O885" s="1" t="b">
        <f>IFERROR(IF(ISNUMBER(Raw!G885),TRUE,OR(EXACT(L885,TEXT(M885,"0.00")),EXACT(L885,TEXT(M885,"#,##0.00")))),FALSE)</f>
        <v>1</v>
      </c>
      <c r="P885" s="1" t="str">
        <f>LEN(IF(Raw!A885="","",Raw!A885))&amp;":"&amp;IF(Raw!A885="","",Raw!A885)&amp;"|"&amp;LEN(IF(Raw!B885="","",Raw!B885))&amp;":"&amp;IF(Raw!B885="","",Raw!B885)&amp;"|"&amp;LEN(IF(Raw!C885="","",Raw!C885))&amp;":"&amp;IF(Raw!C885="","",Raw!C885)&amp;"|"&amp;LEN(IF(Raw!D885="","",Raw!D885))&amp;":"&amp;IF(Raw!D885="","",Raw!D885)&amp;"|"&amp;LEN(IF(Raw!E885="","",Raw!E885))&amp;":"&amp;IF(Raw!E885="","",Raw!E885)&amp;"|"&amp;LEN(IF(Raw!F885="","",Raw!F885))&amp;":"&amp;IF(Raw!F885="","",Raw!F885)&amp;"|"&amp;LEN(IF(Raw!G885="","",Raw!G885))&amp;":"&amp;IF(Raw!G885="","",Raw!G885)</f>
        <v>6:L00879|6:T00440|10:2026-01-14|3:P-O|6:Office|4:sale|6:179.70</v>
      </c>
      <c r="Q885" s="1">
        <f>1</f>
        <v>1</v>
      </c>
      <c r="R885" s="1" t="b">
        <f>FALSE</f>
        <v>0</v>
      </c>
      <c r="S885" s="1">
        <f>1</f>
        <v>1</v>
      </c>
      <c r="T885" s="1" t="str">
        <f>IF(AND(Raw!A885="",Raw!B885="",Raw!C885="",Raw!D885="",Raw!E885="",Raw!F885="",Raw!G885=""),"UNUSED",IF(A885="","missing line ID",IF(B885="","missing transaction ID",IF(G885="",IF(C885="","missing date","invalid date"),IF(I885="","unknown product",IF(J885="","conflicting category",IF(NOT(OR(EXACT(K885,"sale"),EXACT(K885,"refund"))),"unknown event",IF(OR(N885="",NOT(O885)),"invalid amount",IF(OR(AND(K885="sale",N885&lt;=0),AND(K885="refund",N885&gt;=0)),"invalid sign","")))))))))</f>
        <v/>
      </c>
      <c r="U885" s="1" t="str">
        <f t="shared" si="109"/>
        <v>INCLUDED</v>
      </c>
      <c r="V885" s="1" t="str">
        <f t="shared" si="110"/>
        <v>2026-01</v>
      </c>
      <c r="W885" s="1">
        <f>IF(AND(U885="INCLUDED",X885&gt;0,EXACT(A885,'AI output'!A885)),1,0)</f>
        <v>1</v>
      </c>
      <c r="X885" s="1">
        <f>885</f>
        <v>885</v>
      </c>
      <c r="Y885" s="1">
        <f>IF(AND(U885="INCLUDED",W885=1),--(NOT(EXACT(A885,'AI output'!A885)))+--(NOT(EXACT(B885,'AI output'!B885)))+--(NOT(EXACT(TEXT(G885,"yyyy-mm-dd"),'AI output'!C885)))+--(NOT(EXACT(H885,'AI output'!D885)))+--(NOT(EXACT(J885,'AI output'!E885)))+--(NOT(EXACT(K885,'AI output'!F885)))+--(N885&lt;&gt;'AI output'!L885)+--(NOT('AI output'!M885)),0)</f>
        <v>0</v>
      </c>
      <c r="Z885" s="1">
        <f t="shared" si="111"/>
        <v>0</v>
      </c>
      <c r="AA885" s="1">
        <f>--EXACT(A885,"L00879")</f>
        <v>1</v>
      </c>
    </row>
    <row r="886" spans="1:27" ht="18.95" customHeight="1">
      <c r="A886" s="1" t="str">
        <f>IF(Raw!A886="","",Raw!A886)</f>
        <v>L00880</v>
      </c>
      <c r="B886" s="1" t="str">
        <f>IF(Raw!B886="","",Raw!B886)</f>
        <v>T00440</v>
      </c>
      <c r="C886" s="1" t="str">
        <f>IF(Raw!C886="","",Raw!C886)</f>
        <v>2026-01-14</v>
      </c>
      <c r="D886" s="1">
        <f t="shared" si="104"/>
        <v>2026</v>
      </c>
      <c r="E886" s="1">
        <f>IFERROR(IF(AND(LEN(C886)=10,MID(C886,5,1)="-",MID(C886,8,1)="-"),VALUE(MID(C886,6,2)),IF(AND(LEN(C886)=11,MID(C886,3,1)="-",MID(C886,7,1)="-"),MATCH(UPPER(MID(C886,4,3)),Guide!$D$7:$D$18,0),0)),0)</f>
        <v>1</v>
      </c>
      <c r="F886" s="1">
        <f t="shared" si="105"/>
        <v>14</v>
      </c>
      <c r="G886" s="9">
        <f t="shared" si="106"/>
        <v>46036</v>
      </c>
      <c r="H886" s="1" t="str">
        <f>IF(Raw!D886="","",Raw!D886)</f>
        <v>P-A</v>
      </c>
      <c r="I886" s="1" t="str">
        <f>IFERROR(IF(EXACT(H886,INDEX(Guide!$A$7:$A$9,MATCH(SUBSTITUTE(SUBSTITUTE(SUBSTITUTE(H886,"~","~~"),"*","~*"),"?","~?"),Guide!$A$7:$A$9,0))),INDEX(Guide!$B$7:$B$9,MATCH(SUBSTITUTE(SUBSTITUTE(SUBSTITUTE(H886,"~","~~"),"*","~*"),"?","~?"),Guide!$A$7:$A$9,0)),""),"")</f>
        <v>Accessories</v>
      </c>
      <c r="J886" s="1" t="str">
        <f>IF(TRIM(Raw!E886)="",I886,IF(UPPER(TRIM(Raw!E886))=UPPER(I886),I886,""))</f>
        <v>Accessories</v>
      </c>
      <c r="K886" s="1" t="str">
        <f>IF(Raw!F886="","",Raw!F886)</f>
        <v>sale</v>
      </c>
      <c r="L886" s="1" t="str">
        <f>IF(LEFT(TRIM(Raw!G886),2)="-$","-"&amp;MID(TRIM(Raw!G886),3,99),IF(LEFT(TRIM(Raw!G886),1)="$",MID(TRIM(Raw!G886),2,99),TRIM(Raw!G886)))</f>
        <v>360.88</v>
      </c>
      <c r="M886" s="1">
        <f t="shared" si="107"/>
        <v>360.88</v>
      </c>
      <c r="N886" s="10">
        <f t="shared" si="108"/>
        <v>36088</v>
      </c>
      <c r="O886" s="1" t="b">
        <f>IFERROR(IF(ISNUMBER(Raw!G886),TRUE,OR(EXACT(L886,TEXT(M886,"0.00")),EXACT(L886,TEXT(M886,"#,##0.00")))),FALSE)</f>
        <v>1</v>
      </c>
      <c r="P886" s="1" t="str">
        <f>LEN(IF(Raw!A886="","",Raw!A886))&amp;":"&amp;IF(Raw!A886="","",Raw!A886)&amp;"|"&amp;LEN(IF(Raw!B886="","",Raw!B886))&amp;":"&amp;IF(Raw!B886="","",Raw!B886)&amp;"|"&amp;LEN(IF(Raw!C886="","",Raw!C886))&amp;":"&amp;IF(Raw!C886="","",Raw!C886)&amp;"|"&amp;LEN(IF(Raw!D886="","",Raw!D886))&amp;":"&amp;IF(Raw!D886="","",Raw!D886)&amp;"|"&amp;LEN(IF(Raw!E886="","",Raw!E886))&amp;":"&amp;IF(Raw!E886="","",Raw!E886)&amp;"|"&amp;LEN(IF(Raw!F886="","",Raw!F886))&amp;":"&amp;IF(Raw!F886="","",Raw!F886)&amp;"|"&amp;LEN(IF(Raw!G886="","",Raw!G886))&amp;":"&amp;IF(Raw!G886="","",Raw!G886)</f>
        <v>6:L00880|6:T00440|10:2026-01-14|3:P-A|11:Accessories|4:sale|6:360.88</v>
      </c>
      <c r="Q886" s="1">
        <f>1</f>
        <v>1</v>
      </c>
      <c r="R886" s="1" t="b">
        <f>FALSE</f>
        <v>0</v>
      </c>
      <c r="S886" s="1">
        <f>1</f>
        <v>1</v>
      </c>
      <c r="T886" s="1" t="str">
        <f>IF(AND(Raw!A886="",Raw!B886="",Raw!C886="",Raw!D886="",Raw!E886="",Raw!F886="",Raw!G886=""),"UNUSED",IF(A886="","missing line ID",IF(B886="","missing transaction ID",IF(G886="",IF(C886="","missing date","invalid date"),IF(I886="","unknown product",IF(J886="","conflicting category",IF(NOT(OR(EXACT(K886,"sale"),EXACT(K886,"refund"))),"unknown event",IF(OR(N886="",NOT(O886)),"invalid amount",IF(OR(AND(K886="sale",N886&lt;=0),AND(K886="refund",N886&gt;=0)),"invalid sign","")))))))))</f>
        <v/>
      </c>
      <c r="U886" s="1" t="str">
        <f t="shared" si="109"/>
        <v>INCLUDED</v>
      </c>
      <c r="V886" s="1" t="str">
        <f t="shared" si="110"/>
        <v>2026-01</v>
      </c>
      <c r="W886" s="1">
        <f>IF(AND(U886="INCLUDED",X886&gt;0,EXACT(A886,'AI output'!A886)),1,0)</f>
        <v>1</v>
      </c>
      <c r="X886" s="1">
        <f>886</f>
        <v>886</v>
      </c>
      <c r="Y886" s="1">
        <f>IF(AND(U886="INCLUDED",W886=1),--(NOT(EXACT(A886,'AI output'!A886)))+--(NOT(EXACT(B886,'AI output'!B886)))+--(NOT(EXACT(TEXT(G886,"yyyy-mm-dd"),'AI output'!C886)))+--(NOT(EXACT(H886,'AI output'!D886)))+--(NOT(EXACT(J886,'AI output'!E886)))+--(NOT(EXACT(K886,'AI output'!F886)))+--(N886&lt;&gt;'AI output'!L886)+--(NOT('AI output'!M886)),0)</f>
        <v>0</v>
      </c>
      <c r="Z886" s="1">
        <f t="shared" si="111"/>
        <v>0</v>
      </c>
      <c r="AA886" s="1">
        <f>--EXACT(A886,"L00880")</f>
        <v>1</v>
      </c>
    </row>
    <row r="887" spans="1:27" ht="18.95" customHeight="1">
      <c r="A887" s="1" t="str">
        <f>IF(Raw!A887="","",Raw!A887)</f>
        <v>L00881</v>
      </c>
      <c r="B887" s="1" t="str">
        <f>IF(Raw!B887="","",Raw!B887)</f>
        <v>T00441</v>
      </c>
      <c r="C887" s="1" t="str">
        <f>IF(Raw!C887="","",Raw!C887)</f>
        <v>2026-01-21</v>
      </c>
      <c r="D887" s="1">
        <f t="shared" si="104"/>
        <v>2026</v>
      </c>
      <c r="E887" s="1">
        <f>IFERROR(IF(AND(LEN(C887)=10,MID(C887,5,1)="-",MID(C887,8,1)="-"),VALUE(MID(C887,6,2)),IF(AND(LEN(C887)=11,MID(C887,3,1)="-",MID(C887,7,1)="-"),MATCH(UPPER(MID(C887,4,3)),Guide!$D$7:$D$18,0),0)),0)</f>
        <v>1</v>
      </c>
      <c r="F887" s="1">
        <f t="shared" si="105"/>
        <v>21</v>
      </c>
      <c r="G887" s="9">
        <f t="shared" si="106"/>
        <v>46043</v>
      </c>
      <c r="H887" s="1" t="str">
        <f>IF(Raw!D887="","",Raw!D887)</f>
        <v>P-H</v>
      </c>
      <c r="I887" s="1" t="str">
        <f>IFERROR(IF(EXACT(H887,INDEX(Guide!$A$7:$A$9,MATCH(SUBSTITUTE(SUBSTITUTE(SUBSTITUTE(H887,"~","~~"),"*","~*"),"?","~?"),Guide!$A$7:$A$9,0))),INDEX(Guide!$B$7:$B$9,MATCH(SUBSTITUTE(SUBSTITUTE(SUBSTITUTE(H887,"~","~~"),"*","~*"),"?","~?"),Guide!$A$7:$A$9,0)),""),"")</f>
        <v>Home</v>
      </c>
      <c r="J887" s="1" t="str">
        <f>IF(TRIM(Raw!E887)="",I887,IF(UPPER(TRIM(Raw!E887))=UPPER(I887),I887,""))</f>
        <v>Home</v>
      </c>
      <c r="K887" s="1" t="str">
        <f>IF(Raw!F887="","",Raw!F887)</f>
        <v>sale</v>
      </c>
      <c r="L887" s="1" t="str">
        <f>IF(LEFT(TRIM(Raw!G887),2)="-$","-"&amp;MID(TRIM(Raw!G887),3,99),IF(LEFT(TRIM(Raw!G887),1)="$",MID(TRIM(Raw!G887),2,99),TRIM(Raw!G887)))</f>
        <v>90.59</v>
      </c>
      <c r="M887" s="1">
        <f t="shared" si="107"/>
        <v>90.59</v>
      </c>
      <c r="N887" s="10">
        <f t="shared" si="108"/>
        <v>9059</v>
      </c>
      <c r="O887" s="1" t="b">
        <f>IFERROR(IF(ISNUMBER(Raw!G887),TRUE,OR(EXACT(L887,TEXT(M887,"0.00")),EXACT(L887,TEXT(M887,"#,##0.00")))),FALSE)</f>
        <v>1</v>
      </c>
      <c r="P887" s="1" t="str">
        <f>LEN(IF(Raw!A887="","",Raw!A887))&amp;":"&amp;IF(Raw!A887="","",Raw!A887)&amp;"|"&amp;LEN(IF(Raw!B887="","",Raw!B887))&amp;":"&amp;IF(Raw!B887="","",Raw!B887)&amp;"|"&amp;LEN(IF(Raw!C887="","",Raw!C887))&amp;":"&amp;IF(Raw!C887="","",Raw!C887)&amp;"|"&amp;LEN(IF(Raw!D887="","",Raw!D887))&amp;":"&amp;IF(Raw!D887="","",Raw!D887)&amp;"|"&amp;LEN(IF(Raw!E887="","",Raw!E887))&amp;":"&amp;IF(Raw!E887="","",Raw!E887)&amp;"|"&amp;LEN(IF(Raw!F887="","",Raw!F887))&amp;":"&amp;IF(Raw!F887="","",Raw!F887)&amp;"|"&amp;LEN(IF(Raw!G887="","",Raw!G887))&amp;":"&amp;IF(Raw!G887="","",Raw!G887)</f>
        <v>6:L00881|6:T00441|10:2026-01-21|3:P-H|4:Home|4:sale|5:90.59</v>
      </c>
      <c r="Q887" s="1">
        <f>1</f>
        <v>1</v>
      </c>
      <c r="R887" s="1" t="b">
        <f>FALSE</f>
        <v>0</v>
      </c>
      <c r="S887" s="1">
        <f>1</f>
        <v>1</v>
      </c>
      <c r="T887" s="1" t="str">
        <f>IF(AND(Raw!A887="",Raw!B887="",Raw!C887="",Raw!D887="",Raw!E887="",Raw!F887="",Raw!G887=""),"UNUSED",IF(A887="","missing line ID",IF(B887="","missing transaction ID",IF(G887="",IF(C887="","missing date","invalid date"),IF(I887="","unknown product",IF(J887="","conflicting category",IF(NOT(OR(EXACT(K887,"sale"),EXACT(K887,"refund"))),"unknown event",IF(OR(N887="",NOT(O887)),"invalid amount",IF(OR(AND(K887="sale",N887&lt;=0),AND(K887="refund",N887&gt;=0)),"invalid sign","")))))))))</f>
        <v/>
      </c>
      <c r="U887" s="1" t="str">
        <f t="shared" si="109"/>
        <v>INCLUDED</v>
      </c>
      <c r="V887" s="1" t="str">
        <f t="shared" si="110"/>
        <v>2026-01</v>
      </c>
      <c r="W887" s="1">
        <f>IF(AND(U887="INCLUDED",X887&gt;0,EXACT(A887,'AI output'!A887)),1,0)</f>
        <v>1</v>
      </c>
      <c r="X887" s="1">
        <f>887</f>
        <v>887</v>
      </c>
      <c r="Y887" s="1">
        <f>IF(AND(U887="INCLUDED",W887=1),--(NOT(EXACT(A887,'AI output'!A887)))+--(NOT(EXACT(B887,'AI output'!B887)))+--(NOT(EXACT(TEXT(G887,"yyyy-mm-dd"),'AI output'!C887)))+--(NOT(EXACT(H887,'AI output'!D887)))+--(NOT(EXACT(J887,'AI output'!E887)))+--(NOT(EXACT(K887,'AI output'!F887)))+--(N887&lt;&gt;'AI output'!L887)+--(NOT('AI output'!M887)),0)</f>
        <v>0</v>
      </c>
      <c r="Z887" s="1">
        <f t="shared" si="111"/>
        <v>0</v>
      </c>
      <c r="AA887" s="1">
        <f>--EXACT(A887,"L00881")</f>
        <v>1</v>
      </c>
    </row>
    <row r="888" spans="1:27" ht="18.95" customHeight="1">
      <c r="A888" s="1" t="str">
        <f>IF(Raw!A888="","",Raw!A888)</f>
        <v>L00882</v>
      </c>
      <c r="B888" s="1" t="str">
        <f>IF(Raw!B888="","",Raw!B888)</f>
        <v>T00441</v>
      </c>
      <c r="C888" s="1" t="str">
        <f>IF(Raw!C888="","",Raw!C888)</f>
        <v>2026-01-21</v>
      </c>
      <c r="D888" s="1">
        <f t="shared" si="104"/>
        <v>2026</v>
      </c>
      <c r="E888" s="1">
        <f>IFERROR(IF(AND(LEN(C888)=10,MID(C888,5,1)="-",MID(C888,8,1)="-"),VALUE(MID(C888,6,2)),IF(AND(LEN(C888)=11,MID(C888,3,1)="-",MID(C888,7,1)="-"),MATCH(UPPER(MID(C888,4,3)),Guide!$D$7:$D$18,0),0)),0)</f>
        <v>1</v>
      </c>
      <c r="F888" s="1">
        <f t="shared" si="105"/>
        <v>21</v>
      </c>
      <c r="G888" s="9">
        <f t="shared" si="106"/>
        <v>46043</v>
      </c>
      <c r="H888" s="1" t="str">
        <f>IF(Raw!D888="","",Raw!D888)</f>
        <v>P-O</v>
      </c>
      <c r="I888" s="1" t="str">
        <f>IFERROR(IF(EXACT(H888,INDEX(Guide!$A$7:$A$9,MATCH(SUBSTITUTE(SUBSTITUTE(SUBSTITUTE(H888,"~","~~"),"*","~*"),"?","~?"),Guide!$A$7:$A$9,0))),INDEX(Guide!$B$7:$B$9,MATCH(SUBSTITUTE(SUBSTITUTE(SUBSTITUTE(H888,"~","~~"),"*","~*"),"?","~?"),Guide!$A$7:$A$9,0)),""),"")</f>
        <v>Office</v>
      </c>
      <c r="J888" s="1" t="str">
        <f>IF(TRIM(Raw!E888)="",I888,IF(UPPER(TRIM(Raw!E888))=UPPER(I888),I888,""))</f>
        <v>Office</v>
      </c>
      <c r="K888" s="1" t="str">
        <f>IF(Raw!F888="","",Raw!F888)</f>
        <v>sale</v>
      </c>
      <c r="L888" s="1" t="str">
        <f>IF(LEFT(TRIM(Raw!G888),2)="-$","-"&amp;MID(TRIM(Raw!G888),3,99),IF(LEFT(TRIM(Raw!G888),1)="$",MID(TRIM(Raw!G888),2,99),TRIM(Raw!G888)))</f>
        <v>272.88</v>
      </c>
      <c r="M888" s="1">
        <f t="shared" si="107"/>
        <v>272.88</v>
      </c>
      <c r="N888" s="10">
        <f t="shared" si="108"/>
        <v>27288</v>
      </c>
      <c r="O888" s="1" t="b">
        <f>IFERROR(IF(ISNUMBER(Raw!G888),TRUE,OR(EXACT(L888,TEXT(M888,"0.00")),EXACT(L888,TEXT(M888,"#,##0.00")))),FALSE)</f>
        <v>1</v>
      </c>
      <c r="P888" s="1" t="str">
        <f>LEN(IF(Raw!A888="","",Raw!A888))&amp;":"&amp;IF(Raw!A888="","",Raw!A888)&amp;"|"&amp;LEN(IF(Raw!B888="","",Raw!B888))&amp;":"&amp;IF(Raw!B888="","",Raw!B888)&amp;"|"&amp;LEN(IF(Raw!C888="","",Raw!C888))&amp;":"&amp;IF(Raw!C888="","",Raw!C888)&amp;"|"&amp;LEN(IF(Raw!D888="","",Raw!D888))&amp;":"&amp;IF(Raw!D888="","",Raw!D888)&amp;"|"&amp;LEN(IF(Raw!E888="","",Raw!E888))&amp;":"&amp;IF(Raw!E888="","",Raw!E888)&amp;"|"&amp;LEN(IF(Raw!F888="","",Raw!F888))&amp;":"&amp;IF(Raw!F888="","",Raw!F888)&amp;"|"&amp;LEN(IF(Raw!G888="","",Raw!G888))&amp;":"&amp;IF(Raw!G888="","",Raw!G888)</f>
        <v>6:L00882|6:T00441|10:2026-01-21|3:P-O|6:Office|4:sale|6:272.88</v>
      </c>
      <c r="Q888" s="1">
        <f>2</f>
        <v>2</v>
      </c>
      <c r="R888" s="1" t="b">
        <f>OR(NOT(EXACT(P888,P1997)))</f>
        <v>0</v>
      </c>
      <c r="S888" s="1">
        <f>1</f>
        <v>1</v>
      </c>
      <c r="T888" s="1" t="str">
        <f>IF(AND(Raw!A888="",Raw!B888="",Raw!C888="",Raw!D888="",Raw!E888="",Raw!F888="",Raw!G888=""),"UNUSED",IF(A888="","missing line ID",IF(B888="","missing transaction ID",IF(G888="",IF(C888="","missing date","invalid date"),IF(I888="","unknown product",IF(J888="","conflicting category",IF(NOT(OR(EXACT(K888,"sale"),EXACT(K888,"refund"))),"unknown event",IF(OR(N888="",NOT(O888)),"invalid amount",IF(OR(AND(K888="sale",N888&lt;=0),AND(K888="refund",N888&gt;=0)),"invalid sign","")))))))))</f>
        <v/>
      </c>
      <c r="U888" s="1" t="str">
        <f t="shared" si="109"/>
        <v>INCLUDED</v>
      </c>
      <c r="V888" s="1" t="str">
        <f t="shared" si="110"/>
        <v>2026-01</v>
      </c>
      <c r="W888" s="1">
        <f>IF(AND(U888="INCLUDED",X888&gt;0,EXACT(A888,'AI output'!A888)),1,0)</f>
        <v>1</v>
      </c>
      <c r="X888" s="1">
        <f>888</f>
        <v>888</v>
      </c>
      <c r="Y888" s="1">
        <f>IF(AND(U888="INCLUDED",W888=1),--(NOT(EXACT(A888,'AI output'!A888)))+--(NOT(EXACT(B888,'AI output'!B888)))+--(NOT(EXACT(TEXT(G888,"yyyy-mm-dd"),'AI output'!C888)))+--(NOT(EXACT(H888,'AI output'!D888)))+--(NOT(EXACT(J888,'AI output'!E888)))+--(NOT(EXACT(K888,'AI output'!F888)))+--(N888&lt;&gt;'AI output'!L888)+--(NOT('AI output'!M888)),0)</f>
        <v>0</v>
      </c>
      <c r="Z888" s="1">
        <f t="shared" si="111"/>
        <v>0</v>
      </c>
      <c r="AA888" s="1">
        <f>--EXACT(A888,"L00882")</f>
        <v>1</v>
      </c>
    </row>
    <row r="889" spans="1:27" ht="18.95" customHeight="1">
      <c r="A889" s="1" t="str">
        <f>IF(Raw!A889="","",Raw!A889)</f>
        <v>L00883</v>
      </c>
      <c r="B889" s="1" t="str">
        <f>IF(Raw!B889="","",Raw!B889)</f>
        <v>T00442</v>
      </c>
      <c r="C889" s="1" t="str">
        <f>IF(Raw!C889="","",Raw!C889)</f>
        <v>2026-01-28</v>
      </c>
      <c r="D889" s="1">
        <f t="shared" si="104"/>
        <v>2026</v>
      </c>
      <c r="E889" s="1">
        <f>IFERROR(IF(AND(LEN(C889)=10,MID(C889,5,1)="-",MID(C889,8,1)="-"),VALUE(MID(C889,6,2)),IF(AND(LEN(C889)=11,MID(C889,3,1)="-",MID(C889,7,1)="-"),MATCH(UPPER(MID(C889,4,3)),Guide!$D$7:$D$18,0),0)),0)</f>
        <v>1</v>
      </c>
      <c r="F889" s="1">
        <f t="shared" si="105"/>
        <v>28</v>
      </c>
      <c r="G889" s="9">
        <f t="shared" si="106"/>
        <v>46050</v>
      </c>
      <c r="H889" s="1" t="str">
        <f>IF(Raw!D889="","",Raw!D889)</f>
        <v>P-A</v>
      </c>
      <c r="I889" s="1" t="str">
        <f>IFERROR(IF(EXACT(H889,INDEX(Guide!$A$7:$A$9,MATCH(SUBSTITUTE(SUBSTITUTE(SUBSTITUTE(H889,"~","~~"),"*","~*"),"?","~?"),Guide!$A$7:$A$9,0))),INDEX(Guide!$B$7:$B$9,MATCH(SUBSTITUTE(SUBSTITUTE(SUBSTITUTE(H889,"~","~~"),"*","~*"),"?","~?"),Guide!$A$7:$A$9,0)),""),"")</f>
        <v>Accessories</v>
      </c>
      <c r="J889" s="1" t="str">
        <f>IF(TRIM(Raw!E889)="",I889,IF(UPPER(TRIM(Raw!E889))=UPPER(I889),I889,""))</f>
        <v>Accessories</v>
      </c>
      <c r="K889" s="1" t="str">
        <f>IF(Raw!F889="","",Raw!F889)</f>
        <v>sale</v>
      </c>
      <c r="L889" s="1" t="str">
        <f>IF(LEFT(TRIM(Raw!G889),2)="-$","-"&amp;MID(TRIM(Raw!G889),3,99),IF(LEFT(TRIM(Raw!G889),1)="$",MID(TRIM(Raw!G889),2,99),TRIM(Raw!G889)))</f>
        <v>456.65</v>
      </c>
      <c r="M889" s="1">
        <f t="shared" si="107"/>
        <v>456.65</v>
      </c>
      <c r="N889" s="10">
        <f t="shared" si="108"/>
        <v>45665</v>
      </c>
      <c r="O889" s="1" t="b">
        <f>IFERROR(IF(ISNUMBER(Raw!G889),TRUE,OR(EXACT(L889,TEXT(M889,"0.00")),EXACT(L889,TEXT(M889,"#,##0.00")))),FALSE)</f>
        <v>1</v>
      </c>
      <c r="P889" s="1" t="str">
        <f>LEN(IF(Raw!A889="","",Raw!A889))&amp;":"&amp;IF(Raw!A889="","",Raw!A889)&amp;"|"&amp;LEN(IF(Raw!B889="","",Raw!B889))&amp;":"&amp;IF(Raw!B889="","",Raw!B889)&amp;"|"&amp;LEN(IF(Raw!C889="","",Raw!C889))&amp;":"&amp;IF(Raw!C889="","",Raw!C889)&amp;"|"&amp;LEN(IF(Raw!D889="","",Raw!D889))&amp;":"&amp;IF(Raw!D889="","",Raw!D889)&amp;"|"&amp;LEN(IF(Raw!E889="","",Raw!E889))&amp;":"&amp;IF(Raw!E889="","",Raw!E889)&amp;"|"&amp;LEN(IF(Raw!F889="","",Raw!F889))&amp;":"&amp;IF(Raw!F889="","",Raw!F889)&amp;"|"&amp;LEN(IF(Raw!G889="","",Raw!G889))&amp;":"&amp;IF(Raw!G889="","",Raw!G889)</f>
        <v>6:L00883|6:T00442|10:2026-01-28|3:P-A|11:Accessories|4:sale|6:456.65</v>
      </c>
      <c r="Q889" s="1">
        <f>1</f>
        <v>1</v>
      </c>
      <c r="R889" s="1" t="b">
        <f>FALSE</f>
        <v>0</v>
      </c>
      <c r="S889" s="1">
        <f>1</f>
        <v>1</v>
      </c>
      <c r="T889" s="1" t="str">
        <f>IF(AND(Raw!A889="",Raw!B889="",Raw!C889="",Raw!D889="",Raw!E889="",Raw!F889="",Raw!G889=""),"UNUSED",IF(A889="","missing line ID",IF(B889="","missing transaction ID",IF(G889="",IF(C889="","missing date","invalid date"),IF(I889="","unknown product",IF(J889="","conflicting category",IF(NOT(OR(EXACT(K889,"sale"),EXACT(K889,"refund"))),"unknown event",IF(OR(N889="",NOT(O889)),"invalid amount",IF(OR(AND(K889="sale",N889&lt;=0),AND(K889="refund",N889&gt;=0)),"invalid sign","")))))))))</f>
        <v/>
      </c>
      <c r="U889" s="1" t="str">
        <f t="shared" si="109"/>
        <v>INCLUDED</v>
      </c>
      <c r="V889" s="1" t="str">
        <f t="shared" si="110"/>
        <v>2026-01</v>
      </c>
      <c r="W889" s="1">
        <f>IF(AND(U889="INCLUDED",X889&gt;0,EXACT(A889,'AI output'!A889)),1,0)</f>
        <v>1</v>
      </c>
      <c r="X889" s="1">
        <f>889</f>
        <v>889</v>
      </c>
      <c r="Y889" s="1">
        <f>IF(AND(U889="INCLUDED",W889=1),--(NOT(EXACT(A889,'AI output'!A889)))+--(NOT(EXACT(B889,'AI output'!B889)))+--(NOT(EXACT(TEXT(G889,"yyyy-mm-dd"),'AI output'!C889)))+--(NOT(EXACT(H889,'AI output'!D889)))+--(NOT(EXACT(J889,'AI output'!E889)))+--(NOT(EXACT(K889,'AI output'!F889)))+--(N889&lt;&gt;'AI output'!L889)+--(NOT('AI output'!M889)),0)</f>
        <v>0</v>
      </c>
      <c r="Z889" s="1">
        <f t="shared" si="111"/>
        <v>0</v>
      </c>
      <c r="AA889" s="1">
        <f>--EXACT(A889,"L00883")</f>
        <v>1</v>
      </c>
    </row>
    <row r="890" spans="1:27" ht="18.95" customHeight="1">
      <c r="A890" s="1" t="str">
        <f>IF(Raw!A890="","",Raw!A890)</f>
        <v>L00884</v>
      </c>
      <c r="B890" s="1" t="str">
        <f>IF(Raw!B890="","",Raw!B890)</f>
        <v>T00442</v>
      </c>
      <c r="C890" s="1" t="str">
        <f>IF(Raw!C890="","",Raw!C890)</f>
        <v>2026-01-28</v>
      </c>
      <c r="D890" s="1">
        <f t="shared" si="104"/>
        <v>2026</v>
      </c>
      <c r="E890" s="1">
        <f>IFERROR(IF(AND(LEN(C890)=10,MID(C890,5,1)="-",MID(C890,8,1)="-"),VALUE(MID(C890,6,2)),IF(AND(LEN(C890)=11,MID(C890,3,1)="-",MID(C890,7,1)="-"),MATCH(UPPER(MID(C890,4,3)),Guide!$D$7:$D$18,0),0)),0)</f>
        <v>1</v>
      </c>
      <c r="F890" s="1">
        <f t="shared" si="105"/>
        <v>28</v>
      </c>
      <c r="G890" s="9">
        <f t="shared" si="106"/>
        <v>46050</v>
      </c>
      <c r="H890" s="1" t="str">
        <f>IF(Raw!D890="","",Raw!D890)</f>
        <v>P-H</v>
      </c>
      <c r="I890" s="1" t="str">
        <f>IFERROR(IF(EXACT(H890,INDEX(Guide!$A$7:$A$9,MATCH(SUBSTITUTE(SUBSTITUTE(SUBSTITUTE(H890,"~","~~"),"*","~*"),"?","~?"),Guide!$A$7:$A$9,0))),INDEX(Guide!$B$7:$B$9,MATCH(SUBSTITUTE(SUBSTITUTE(SUBSTITUTE(H890,"~","~~"),"*","~*"),"?","~?"),Guide!$A$7:$A$9,0)),""),"")</f>
        <v>Home</v>
      </c>
      <c r="J890" s="1" t="str">
        <f>IF(TRIM(Raw!E890)="",I890,IF(UPPER(TRIM(Raw!E890))=UPPER(I890),I890,""))</f>
        <v>Home</v>
      </c>
      <c r="K890" s="1" t="str">
        <f>IF(Raw!F890="","",Raw!F890)</f>
        <v>sale</v>
      </c>
      <c r="L890" s="1" t="str">
        <f>IF(LEFT(TRIM(Raw!G890),2)="-$","-"&amp;MID(TRIM(Raw!G890),3,99),IF(LEFT(TRIM(Raw!G890),1)="$",MID(TRIM(Raw!G890),2,99),TRIM(Raw!G890)))</f>
        <v>183.40</v>
      </c>
      <c r="M890" s="1">
        <f t="shared" si="107"/>
        <v>183.4</v>
      </c>
      <c r="N890" s="10">
        <f t="shared" si="108"/>
        <v>18340</v>
      </c>
      <c r="O890" s="1" t="b">
        <f>IFERROR(IF(ISNUMBER(Raw!G890),TRUE,OR(EXACT(L890,TEXT(M890,"0.00")),EXACT(L890,TEXT(M890,"#,##0.00")))),FALSE)</f>
        <v>1</v>
      </c>
      <c r="P890" s="1" t="str">
        <f>LEN(IF(Raw!A890="","",Raw!A890))&amp;":"&amp;IF(Raw!A890="","",Raw!A890)&amp;"|"&amp;LEN(IF(Raw!B890="","",Raw!B890))&amp;":"&amp;IF(Raw!B890="","",Raw!B890)&amp;"|"&amp;LEN(IF(Raw!C890="","",Raw!C890))&amp;":"&amp;IF(Raw!C890="","",Raw!C890)&amp;"|"&amp;LEN(IF(Raw!D890="","",Raw!D890))&amp;":"&amp;IF(Raw!D890="","",Raw!D890)&amp;"|"&amp;LEN(IF(Raw!E890="","",Raw!E890))&amp;":"&amp;IF(Raw!E890="","",Raw!E890)&amp;"|"&amp;LEN(IF(Raw!F890="","",Raw!F890))&amp;":"&amp;IF(Raw!F890="","",Raw!F890)&amp;"|"&amp;LEN(IF(Raw!G890="","",Raw!G890))&amp;":"&amp;IF(Raw!G890="","",Raw!G890)</f>
        <v>6:L00884|6:T00442|10:2026-01-28|3:P-H|4:Home|4:sale|6:183.40</v>
      </c>
      <c r="Q890" s="1">
        <f>1</f>
        <v>1</v>
      </c>
      <c r="R890" s="1" t="b">
        <f>FALSE</f>
        <v>0</v>
      </c>
      <c r="S890" s="1">
        <f>1</f>
        <v>1</v>
      </c>
      <c r="T890" s="1" t="str">
        <f>IF(AND(Raw!A890="",Raw!B890="",Raw!C890="",Raw!D890="",Raw!E890="",Raw!F890="",Raw!G890=""),"UNUSED",IF(A890="","missing line ID",IF(B890="","missing transaction ID",IF(G890="",IF(C890="","missing date","invalid date"),IF(I890="","unknown product",IF(J890="","conflicting category",IF(NOT(OR(EXACT(K890,"sale"),EXACT(K890,"refund"))),"unknown event",IF(OR(N890="",NOT(O890)),"invalid amount",IF(OR(AND(K890="sale",N890&lt;=0),AND(K890="refund",N890&gt;=0)),"invalid sign","")))))))))</f>
        <v/>
      </c>
      <c r="U890" s="1" t="str">
        <f t="shared" si="109"/>
        <v>INCLUDED</v>
      </c>
      <c r="V890" s="1" t="str">
        <f t="shared" si="110"/>
        <v>2026-01</v>
      </c>
      <c r="W890" s="1">
        <f>IF(AND(U890="INCLUDED",X890&gt;0,EXACT(A890,'AI output'!A890)),1,0)</f>
        <v>1</v>
      </c>
      <c r="X890" s="1">
        <f>890</f>
        <v>890</v>
      </c>
      <c r="Y890" s="1">
        <f>IF(AND(U890="INCLUDED",W890=1),--(NOT(EXACT(A890,'AI output'!A890)))+--(NOT(EXACT(B890,'AI output'!B890)))+--(NOT(EXACT(TEXT(G890,"yyyy-mm-dd"),'AI output'!C890)))+--(NOT(EXACT(H890,'AI output'!D890)))+--(NOT(EXACT(J890,'AI output'!E890)))+--(NOT(EXACT(K890,'AI output'!F890)))+--(N890&lt;&gt;'AI output'!L890)+--(NOT('AI output'!M890)),0)</f>
        <v>0</v>
      </c>
      <c r="Z890" s="1">
        <f t="shared" si="111"/>
        <v>0</v>
      </c>
      <c r="AA890" s="1">
        <f>--EXACT(A890,"L00884")</f>
        <v>1</v>
      </c>
    </row>
    <row r="891" spans="1:27" ht="18.95" customHeight="1">
      <c r="A891" s="1" t="str">
        <f>IF(Raw!A891="","",Raw!A891)</f>
        <v>L00885</v>
      </c>
      <c r="B891" s="1" t="str">
        <f>IF(Raw!B891="","",Raw!B891)</f>
        <v>T00443</v>
      </c>
      <c r="C891" s="1" t="str">
        <f>IF(Raw!C891="","",Raw!C891)</f>
        <v>2026-02-04</v>
      </c>
      <c r="D891" s="1">
        <f t="shared" si="104"/>
        <v>2026</v>
      </c>
      <c r="E891" s="1">
        <f>IFERROR(IF(AND(LEN(C891)=10,MID(C891,5,1)="-",MID(C891,8,1)="-"),VALUE(MID(C891,6,2)),IF(AND(LEN(C891)=11,MID(C891,3,1)="-",MID(C891,7,1)="-"),MATCH(UPPER(MID(C891,4,3)),Guide!$D$7:$D$18,0),0)),0)</f>
        <v>2</v>
      </c>
      <c r="F891" s="1">
        <f t="shared" si="105"/>
        <v>4</v>
      </c>
      <c r="G891" s="9">
        <f t="shared" si="106"/>
        <v>46057</v>
      </c>
      <c r="H891" s="1" t="str">
        <f>IF(Raw!D891="","",Raw!D891)</f>
        <v>P-O</v>
      </c>
      <c r="I891" s="1" t="str">
        <f>IFERROR(IF(EXACT(H891,INDEX(Guide!$A$7:$A$9,MATCH(SUBSTITUTE(SUBSTITUTE(SUBSTITUTE(H891,"~","~~"),"*","~*"),"?","~?"),Guide!$A$7:$A$9,0))),INDEX(Guide!$B$7:$B$9,MATCH(SUBSTITUTE(SUBSTITUTE(SUBSTITUTE(H891,"~","~~"),"*","~*"),"?","~?"),Guide!$A$7:$A$9,0)),""),"")</f>
        <v>Office</v>
      </c>
      <c r="J891" s="1" t="str">
        <f>IF(TRIM(Raw!E891)="",I891,IF(UPPER(TRIM(Raw!E891))=UPPER(I891),I891,""))</f>
        <v>Office</v>
      </c>
      <c r="K891" s="1" t="str">
        <f>IF(Raw!F891="","",Raw!F891)</f>
        <v>sale</v>
      </c>
      <c r="L891" s="1" t="str">
        <f>IF(LEFT(TRIM(Raw!G891),2)="-$","-"&amp;MID(TRIM(Raw!G891),3,99),IF(LEFT(TRIM(Raw!G891),1)="$",MID(TRIM(Raw!G891),2,99),TRIM(Raw!G891)))</f>
        <v>368.28</v>
      </c>
      <c r="M891" s="1">
        <f t="shared" si="107"/>
        <v>368.28</v>
      </c>
      <c r="N891" s="10">
        <f t="shared" si="108"/>
        <v>36828</v>
      </c>
      <c r="O891" s="1" t="b">
        <f>IFERROR(IF(ISNUMBER(Raw!G891),TRUE,OR(EXACT(L891,TEXT(M891,"0.00")),EXACT(L891,TEXT(M891,"#,##0.00")))),FALSE)</f>
        <v>1</v>
      </c>
      <c r="P891" s="1" t="str">
        <f>LEN(IF(Raw!A891="","",Raw!A891))&amp;":"&amp;IF(Raw!A891="","",Raw!A891)&amp;"|"&amp;LEN(IF(Raw!B891="","",Raw!B891))&amp;":"&amp;IF(Raw!B891="","",Raw!B891)&amp;"|"&amp;LEN(IF(Raw!C891="","",Raw!C891))&amp;":"&amp;IF(Raw!C891="","",Raw!C891)&amp;"|"&amp;LEN(IF(Raw!D891="","",Raw!D891))&amp;":"&amp;IF(Raw!D891="","",Raw!D891)&amp;"|"&amp;LEN(IF(Raw!E891="","",Raw!E891))&amp;":"&amp;IF(Raw!E891="","",Raw!E891)&amp;"|"&amp;LEN(IF(Raw!F891="","",Raw!F891))&amp;":"&amp;IF(Raw!F891="","",Raw!F891)&amp;"|"&amp;LEN(IF(Raw!G891="","",Raw!G891))&amp;":"&amp;IF(Raw!G891="","",Raw!G891)</f>
        <v>6:L00885|6:T00443|10:2026-02-04|3:P-O|6:Office|4:sale|6:368.28</v>
      </c>
      <c r="Q891" s="1">
        <f>1</f>
        <v>1</v>
      </c>
      <c r="R891" s="1" t="b">
        <f>FALSE</f>
        <v>0</v>
      </c>
      <c r="S891" s="1">
        <f>1</f>
        <v>1</v>
      </c>
      <c r="T891" s="1" t="str">
        <f>IF(AND(Raw!A891="",Raw!B891="",Raw!C891="",Raw!D891="",Raw!E891="",Raw!F891="",Raw!G891=""),"UNUSED",IF(A891="","missing line ID",IF(B891="","missing transaction ID",IF(G891="",IF(C891="","missing date","invalid date"),IF(I891="","unknown product",IF(J891="","conflicting category",IF(NOT(OR(EXACT(K891,"sale"),EXACT(K891,"refund"))),"unknown event",IF(OR(N891="",NOT(O891)),"invalid amount",IF(OR(AND(K891="sale",N891&lt;=0),AND(K891="refund",N891&gt;=0)),"invalid sign","")))))))))</f>
        <v/>
      </c>
      <c r="U891" s="1" t="str">
        <f t="shared" si="109"/>
        <v>INCLUDED</v>
      </c>
      <c r="V891" s="1" t="str">
        <f t="shared" si="110"/>
        <v>2026-02</v>
      </c>
      <c r="W891" s="1">
        <f>IF(AND(U891="INCLUDED",X891&gt;0,EXACT(A891,'AI output'!A891)),1,0)</f>
        <v>1</v>
      </c>
      <c r="X891" s="1">
        <f>891</f>
        <v>891</v>
      </c>
      <c r="Y891" s="1">
        <f>IF(AND(U891="INCLUDED",W891=1),--(NOT(EXACT(A891,'AI output'!A891)))+--(NOT(EXACT(B891,'AI output'!B891)))+--(NOT(EXACT(TEXT(G891,"yyyy-mm-dd"),'AI output'!C891)))+--(NOT(EXACT(H891,'AI output'!D891)))+--(NOT(EXACT(J891,'AI output'!E891)))+--(NOT(EXACT(K891,'AI output'!F891)))+--(N891&lt;&gt;'AI output'!L891)+--(NOT('AI output'!M891)),0)</f>
        <v>0</v>
      </c>
      <c r="Z891" s="1">
        <f t="shared" si="111"/>
        <v>0</v>
      </c>
      <c r="AA891" s="1">
        <f>--EXACT(A891,"L00885")</f>
        <v>1</v>
      </c>
    </row>
    <row r="892" spans="1:27" ht="18.95" customHeight="1">
      <c r="A892" s="1" t="str">
        <f>IF(Raw!A892="","",Raw!A892)</f>
        <v>L00886</v>
      </c>
      <c r="B892" s="1" t="str">
        <f>IF(Raw!B892="","",Raw!B892)</f>
        <v>T00443</v>
      </c>
      <c r="C892" s="1" t="str">
        <f>IF(Raw!C892="","",Raw!C892)</f>
        <v>2026-02-04</v>
      </c>
      <c r="D892" s="1">
        <f t="shared" si="104"/>
        <v>2026</v>
      </c>
      <c r="E892" s="1">
        <f>IFERROR(IF(AND(LEN(C892)=10,MID(C892,5,1)="-",MID(C892,8,1)="-"),VALUE(MID(C892,6,2)),IF(AND(LEN(C892)=11,MID(C892,3,1)="-",MID(C892,7,1)="-"),MATCH(UPPER(MID(C892,4,3)),Guide!$D$7:$D$18,0),0)),0)</f>
        <v>2</v>
      </c>
      <c r="F892" s="1">
        <f t="shared" si="105"/>
        <v>4</v>
      </c>
      <c r="G892" s="9">
        <f t="shared" si="106"/>
        <v>46057</v>
      </c>
      <c r="H892" s="1" t="str">
        <f>IF(Raw!D892="","",Raw!D892)</f>
        <v>P-A</v>
      </c>
      <c r="I892" s="1" t="str">
        <f>IFERROR(IF(EXACT(H892,INDEX(Guide!$A$7:$A$9,MATCH(SUBSTITUTE(SUBSTITUTE(SUBSTITUTE(H892,"~","~~"),"*","~*"),"?","~?"),Guide!$A$7:$A$9,0))),INDEX(Guide!$B$7:$B$9,MATCH(SUBSTITUTE(SUBSTITUTE(SUBSTITUTE(H892,"~","~~"),"*","~*"),"?","~?"),Guide!$A$7:$A$9,0)),""),"")</f>
        <v>Accessories</v>
      </c>
      <c r="J892" s="1" t="str">
        <f>IF(TRIM(Raw!E892)="",I892,IF(UPPER(TRIM(Raw!E892))=UPPER(I892),I892,""))</f>
        <v>Accessories</v>
      </c>
      <c r="K892" s="1" t="str">
        <f>IF(Raw!F892="","",Raw!F892)</f>
        <v>sale</v>
      </c>
      <c r="L892" s="1" t="str">
        <f>IF(LEFT(TRIM(Raw!G892),2)="-$","-"&amp;MID(TRIM(Raw!G892),3,99),IF(LEFT(TRIM(Raw!G892),1)="$",MID(TRIM(Raw!G892),2,99),TRIM(Raw!G892)))</f>
        <v>92.44</v>
      </c>
      <c r="M892" s="1">
        <f t="shared" si="107"/>
        <v>92.44</v>
      </c>
      <c r="N892" s="10">
        <f t="shared" si="108"/>
        <v>9244</v>
      </c>
      <c r="O892" s="1" t="b">
        <f>IFERROR(IF(ISNUMBER(Raw!G892),TRUE,OR(EXACT(L892,TEXT(M892,"0.00")),EXACT(L892,TEXT(M892,"#,##0.00")))),FALSE)</f>
        <v>1</v>
      </c>
      <c r="P892" s="1" t="str">
        <f>LEN(IF(Raw!A892="","",Raw!A892))&amp;":"&amp;IF(Raw!A892="","",Raw!A892)&amp;"|"&amp;LEN(IF(Raw!B892="","",Raw!B892))&amp;":"&amp;IF(Raw!B892="","",Raw!B892)&amp;"|"&amp;LEN(IF(Raw!C892="","",Raw!C892))&amp;":"&amp;IF(Raw!C892="","",Raw!C892)&amp;"|"&amp;LEN(IF(Raw!D892="","",Raw!D892))&amp;":"&amp;IF(Raw!D892="","",Raw!D892)&amp;"|"&amp;LEN(IF(Raw!E892="","",Raw!E892))&amp;":"&amp;IF(Raw!E892="","",Raw!E892)&amp;"|"&amp;LEN(IF(Raw!F892="","",Raw!F892))&amp;":"&amp;IF(Raw!F892="","",Raw!F892)&amp;"|"&amp;LEN(IF(Raw!G892="","",Raw!G892))&amp;":"&amp;IF(Raw!G892="","",Raw!G892)</f>
        <v>6:L00886|6:T00443|10:2026-02-04|3:P-A|11:Accessories|4:sale|5:92.44</v>
      </c>
      <c r="Q892" s="1">
        <f>1</f>
        <v>1</v>
      </c>
      <c r="R892" s="1" t="b">
        <f>FALSE</f>
        <v>0</v>
      </c>
      <c r="S892" s="1">
        <f>1</f>
        <v>1</v>
      </c>
      <c r="T892" s="1" t="str">
        <f>IF(AND(Raw!A892="",Raw!B892="",Raw!C892="",Raw!D892="",Raw!E892="",Raw!F892="",Raw!G892=""),"UNUSED",IF(A892="","missing line ID",IF(B892="","missing transaction ID",IF(G892="",IF(C892="","missing date","invalid date"),IF(I892="","unknown product",IF(J892="","conflicting category",IF(NOT(OR(EXACT(K892,"sale"),EXACT(K892,"refund"))),"unknown event",IF(OR(N892="",NOT(O892)),"invalid amount",IF(OR(AND(K892="sale",N892&lt;=0),AND(K892="refund",N892&gt;=0)),"invalid sign","")))))))))</f>
        <v/>
      </c>
      <c r="U892" s="1" t="str">
        <f t="shared" si="109"/>
        <v>INCLUDED</v>
      </c>
      <c r="V892" s="1" t="str">
        <f t="shared" si="110"/>
        <v>2026-02</v>
      </c>
      <c r="W892" s="1">
        <f>IF(AND(U892="INCLUDED",X892&gt;0,EXACT(A892,'AI output'!A892)),1,0)</f>
        <v>1</v>
      </c>
      <c r="X892" s="1">
        <f>892</f>
        <v>892</v>
      </c>
      <c r="Y892" s="1">
        <f>IF(AND(U892="INCLUDED",W892=1),--(NOT(EXACT(A892,'AI output'!A892)))+--(NOT(EXACT(B892,'AI output'!B892)))+--(NOT(EXACT(TEXT(G892,"yyyy-mm-dd"),'AI output'!C892)))+--(NOT(EXACT(H892,'AI output'!D892)))+--(NOT(EXACT(J892,'AI output'!E892)))+--(NOT(EXACT(K892,'AI output'!F892)))+--(N892&lt;&gt;'AI output'!L892)+--(NOT('AI output'!M892)),0)</f>
        <v>0</v>
      </c>
      <c r="Z892" s="1">
        <f t="shared" si="111"/>
        <v>0</v>
      </c>
      <c r="AA892" s="1">
        <f>--EXACT(A892,"L00886")</f>
        <v>1</v>
      </c>
    </row>
    <row r="893" spans="1:27" ht="18.95" customHeight="1">
      <c r="A893" s="1" t="str">
        <f>IF(Raw!A893="","",Raw!A893)</f>
        <v>L00887</v>
      </c>
      <c r="B893" s="1" t="str">
        <f>IF(Raw!B893="","",Raw!B893)</f>
        <v>T00444</v>
      </c>
      <c r="C893" s="1" t="str">
        <f>IF(Raw!C893="","",Raw!C893)</f>
        <v>2026-02-11</v>
      </c>
      <c r="D893" s="1">
        <f t="shared" si="104"/>
        <v>2026</v>
      </c>
      <c r="E893" s="1">
        <f>IFERROR(IF(AND(LEN(C893)=10,MID(C893,5,1)="-",MID(C893,8,1)="-"),VALUE(MID(C893,6,2)),IF(AND(LEN(C893)=11,MID(C893,3,1)="-",MID(C893,7,1)="-"),MATCH(UPPER(MID(C893,4,3)),Guide!$D$7:$D$18,0),0)),0)</f>
        <v>2</v>
      </c>
      <c r="F893" s="1">
        <f t="shared" si="105"/>
        <v>11</v>
      </c>
      <c r="G893" s="9">
        <f t="shared" si="106"/>
        <v>46064</v>
      </c>
      <c r="H893" s="1" t="str">
        <f>IF(Raw!D893="","",Raw!D893)</f>
        <v>P-H</v>
      </c>
      <c r="I893" s="1" t="str">
        <f>IFERROR(IF(EXACT(H893,INDEX(Guide!$A$7:$A$9,MATCH(SUBSTITUTE(SUBSTITUTE(SUBSTITUTE(H893,"~","~~"),"*","~*"),"?","~?"),Guide!$A$7:$A$9,0))),INDEX(Guide!$B$7:$B$9,MATCH(SUBSTITUTE(SUBSTITUTE(SUBSTITUTE(H893,"~","~~"),"*","~*"),"?","~?"),Guide!$A$7:$A$9,0)),""),"")</f>
        <v>Home</v>
      </c>
      <c r="J893" s="1" t="str">
        <f>IF(TRIM(Raw!E893)="",I893,IF(UPPER(TRIM(Raw!E893))=UPPER(I893),I893,""))</f>
        <v>Home</v>
      </c>
      <c r="K893" s="1" t="str">
        <f>IF(Raw!F893="","",Raw!F893)</f>
        <v>sale</v>
      </c>
      <c r="L893" s="1" t="str">
        <f>IF(LEFT(TRIM(Raw!G893),2)="-$","-"&amp;MID(TRIM(Raw!G893),3,99),IF(LEFT(TRIM(Raw!G893),1)="$",MID(TRIM(Raw!G893),2,99),TRIM(Raw!G893)))</f>
        <v>278.43</v>
      </c>
      <c r="M893" s="1">
        <f t="shared" si="107"/>
        <v>278.43</v>
      </c>
      <c r="N893" s="10">
        <f t="shared" si="108"/>
        <v>27843</v>
      </c>
      <c r="O893" s="1" t="b">
        <f>IFERROR(IF(ISNUMBER(Raw!G893),TRUE,OR(EXACT(L893,TEXT(M893,"0.00")),EXACT(L893,TEXT(M893,"#,##0.00")))),FALSE)</f>
        <v>1</v>
      </c>
      <c r="P893" s="1" t="str">
        <f>LEN(IF(Raw!A893="","",Raw!A893))&amp;":"&amp;IF(Raw!A893="","",Raw!A893)&amp;"|"&amp;LEN(IF(Raw!B893="","",Raw!B893))&amp;":"&amp;IF(Raw!B893="","",Raw!B893)&amp;"|"&amp;LEN(IF(Raw!C893="","",Raw!C893))&amp;":"&amp;IF(Raw!C893="","",Raw!C893)&amp;"|"&amp;LEN(IF(Raw!D893="","",Raw!D893))&amp;":"&amp;IF(Raw!D893="","",Raw!D893)&amp;"|"&amp;LEN(IF(Raw!E893="","",Raw!E893))&amp;":"&amp;IF(Raw!E893="","",Raw!E893)&amp;"|"&amp;LEN(IF(Raw!F893="","",Raw!F893))&amp;":"&amp;IF(Raw!F893="","",Raw!F893)&amp;"|"&amp;LEN(IF(Raw!G893="","",Raw!G893))&amp;":"&amp;IF(Raw!G893="","",Raw!G893)</f>
        <v>6:L00887|6:T00444|10:2026-02-11|3:P-H|4:Home|4:sale|6:278.43</v>
      </c>
      <c r="Q893" s="1">
        <f>1</f>
        <v>1</v>
      </c>
      <c r="R893" s="1" t="b">
        <f>FALSE</f>
        <v>0</v>
      </c>
      <c r="S893" s="1">
        <f>1</f>
        <v>1</v>
      </c>
      <c r="T893" s="1" t="str">
        <f>IF(AND(Raw!A893="",Raw!B893="",Raw!C893="",Raw!D893="",Raw!E893="",Raw!F893="",Raw!G893=""),"UNUSED",IF(A893="","missing line ID",IF(B893="","missing transaction ID",IF(G893="",IF(C893="","missing date","invalid date"),IF(I893="","unknown product",IF(J893="","conflicting category",IF(NOT(OR(EXACT(K893,"sale"),EXACT(K893,"refund"))),"unknown event",IF(OR(N893="",NOT(O893)),"invalid amount",IF(OR(AND(K893="sale",N893&lt;=0),AND(K893="refund",N893&gt;=0)),"invalid sign","")))))))))</f>
        <v/>
      </c>
      <c r="U893" s="1" t="str">
        <f t="shared" si="109"/>
        <v>INCLUDED</v>
      </c>
      <c r="V893" s="1" t="str">
        <f t="shared" si="110"/>
        <v>2026-02</v>
      </c>
      <c r="W893" s="1">
        <f>IF(AND(U893="INCLUDED",X893&gt;0,EXACT(A893,'AI output'!A893)),1,0)</f>
        <v>1</v>
      </c>
      <c r="X893" s="1">
        <f>893</f>
        <v>893</v>
      </c>
      <c r="Y893" s="1">
        <f>IF(AND(U893="INCLUDED",W893=1),--(NOT(EXACT(A893,'AI output'!A893)))+--(NOT(EXACT(B893,'AI output'!B893)))+--(NOT(EXACT(TEXT(G893,"yyyy-mm-dd"),'AI output'!C893)))+--(NOT(EXACT(H893,'AI output'!D893)))+--(NOT(EXACT(J893,'AI output'!E893)))+--(NOT(EXACT(K893,'AI output'!F893)))+--(N893&lt;&gt;'AI output'!L893)+--(NOT('AI output'!M893)),0)</f>
        <v>0</v>
      </c>
      <c r="Z893" s="1">
        <f t="shared" si="111"/>
        <v>0</v>
      </c>
      <c r="AA893" s="1">
        <f>--EXACT(A893,"L00887")</f>
        <v>1</v>
      </c>
    </row>
    <row r="894" spans="1:27" ht="18.95" customHeight="1">
      <c r="A894" s="1" t="str">
        <f>IF(Raw!A894="","",Raw!A894)</f>
        <v>L00888</v>
      </c>
      <c r="B894" s="1" t="str">
        <f>IF(Raw!B894="","",Raw!B894)</f>
        <v>T00444</v>
      </c>
      <c r="C894" s="1" t="str">
        <f>IF(Raw!C894="","",Raw!C894)</f>
        <v>2026-02-11</v>
      </c>
      <c r="D894" s="1">
        <f t="shared" si="104"/>
        <v>2026</v>
      </c>
      <c r="E894" s="1">
        <f>IFERROR(IF(AND(LEN(C894)=10,MID(C894,5,1)="-",MID(C894,8,1)="-"),VALUE(MID(C894,6,2)),IF(AND(LEN(C894)=11,MID(C894,3,1)="-",MID(C894,7,1)="-"),MATCH(UPPER(MID(C894,4,3)),Guide!$D$7:$D$18,0),0)),0)</f>
        <v>2</v>
      </c>
      <c r="F894" s="1">
        <f t="shared" si="105"/>
        <v>11</v>
      </c>
      <c r="G894" s="9">
        <f t="shared" si="106"/>
        <v>46064</v>
      </c>
      <c r="H894" s="1" t="str">
        <f>IF(Raw!D894="","",Raw!D894)</f>
        <v>P-O</v>
      </c>
      <c r="I894" s="1" t="str">
        <f>IFERROR(IF(EXACT(H894,INDEX(Guide!$A$7:$A$9,MATCH(SUBSTITUTE(SUBSTITUTE(SUBSTITUTE(H894,"~","~~"),"*","~*"),"?","~?"),Guide!$A$7:$A$9,0))),INDEX(Guide!$B$7:$B$9,MATCH(SUBSTITUTE(SUBSTITUTE(SUBSTITUTE(H894,"~","~~"),"*","~*"),"?","~?"),Guide!$A$7:$A$9,0)),""),"")</f>
        <v>Office</v>
      </c>
      <c r="J894" s="1" t="str">
        <f>IF(TRIM(Raw!E894)="",I894,IF(UPPER(TRIM(Raw!E894))=UPPER(I894),I894,""))</f>
        <v>Office</v>
      </c>
      <c r="K894" s="1" t="str">
        <f>IF(Raw!F894="","",Raw!F894)</f>
        <v>sale</v>
      </c>
      <c r="L894" s="1" t="str">
        <f>IF(LEFT(TRIM(Raw!G894),2)="-$","-"&amp;MID(TRIM(Raw!G894),3,99),IF(LEFT(TRIM(Raw!G894),1)="$",MID(TRIM(Raw!G894),2,99),TRIM(Raw!G894)))</f>
        <v>465.90</v>
      </c>
      <c r="M894" s="1">
        <f t="shared" si="107"/>
        <v>465.9</v>
      </c>
      <c r="N894" s="10">
        <f t="shared" si="108"/>
        <v>46590</v>
      </c>
      <c r="O894" s="1" t="b">
        <f>IFERROR(IF(ISNUMBER(Raw!G894),TRUE,OR(EXACT(L894,TEXT(M894,"0.00")),EXACT(L894,TEXT(M894,"#,##0.00")))),FALSE)</f>
        <v>1</v>
      </c>
      <c r="P894" s="1" t="str">
        <f>LEN(IF(Raw!A894="","",Raw!A894))&amp;":"&amp;IF(Raw!A894="","",Raw!A894)&amp;"|"&amp;LEN(IF(Raw!B894="","",Raw!B894))&amp;":"&amp;IF(Raw!B894="","",Raw!B894)&amp;"|"&amp;LEN(IF(Raw!C894="","",Raw!C894))&amp;":"&amp;IF(Raw!C894="","",Raw!C894)&amp;"|"&amp;LEN(IF(Raw!D894="","",Raw!D894))&amp;":"&amp;IF(Raw!D894="","",Raw!D894)&amp;"|"&amp;LEN(IF(Raw!E894="","",Raw!E894))&amp;":"&amp;IF(Raw!E894="","",Raw!E894)&amp;"|"&amp;LEN(IF(Raw!F894="","",Raw!F894))&amp;":"&amp;IF(Raw!F894="","",Raw!F894)&amp;"|"&amp;LEN(IF(Raw!G894="","",Raw!G894))&amp;":"&amp;IF(Raw!G894="","",Raw!G894)</f>
        <v>6:L00888|6:T00444|10:2026-02-11|3:P-O|6:Office|4:sale|6:465.90</v>
      </c>
      <c r="Q894" s="1">
        <f>1</f>
        <v>1</v>
      </c>
      <c r="R894" s="1" t="b">
        <f>FALSE</f>
        <v>0</v>
      </c>
      <c r="S894" s="1">
        <f>1</f>
        <v>1</v>
      </c>
      <c r="T894" s="1" t="str">
        <f>IF(AND(Raw!A894="",Raw!B894="",Raw!C894="",Raw!D894="",Raw!E894="",Raw!F894="",Raw!G894=""),"UNUSED",IF(A894="","missing line ID",IF(B894="","missing transaction ID",IF(G894="",IF(C894="","missing date","invalid date"),IF(I894="","unknown product",IF(J894="","conflicting category",IF(NOT(OR(EXACT(K894,"sale"),EXACT(K894,"refund"))),"unknown event",IF(OR(N894="",NOT(O894)),"invalid amount",IF(OR(AND(K894="sale",N894&lt;=0),AND(K894="refund",N894&gt;=0)),"invalid sign","")))))))))</f>
        <v/>
      </c>
      <c r="U894" s="1" t="str">
        <f t="shared" si="109"/>
        <v>INCLUDED</v>
      </c>
      <c r="V894" s="1" t="str">
        <f t="shared" si="110"/>
        <v>2026-02</v>
      </c>
      <c r="W894" s="1">
        <f>IF(AND(U894="INCLUDED",X894&gt;0,EXACT(A894,'AI output'!A894)),1,0)</f>
        <v>1</v>
      </c>
      <c r="X894" s="1">
        <f>894</f>
        <v>894</v>
      </c>
      <c r="Y894" s="1">
        <f>IF(AND(U894="INCLUDED",W894=1),--(NOT(EXACT(A894,'AI output'!A894)))+--(NOT(EXACT(B894,'AI output'!B894)))+--(NOT(EXACT(TEXT(G894,"yyyy-mm-dd"),'AI output'!C894)))+--(NOT(EXACT(H894,'AI output'!D894)))+--(NOT(EXACT(J894,'AI output'!E894)))+--(NOT(EXACT(K894,'AI output'!F894)))+--(N894&lt;&gt;'AI output'!L894)+--(NOT('AI output'!M894)),0)</f>
        <v>0</v>
      </c>
      <c r="Z894" s="1">
        <f t="shared" si="111"/>
        <v>0</v>
      </c>
      <c r="AA894" s="1">
        <f>--EXACT(A894,"L00888")</f>
        <v>1</v>
      </c>
    </row>
    <row r="895" spans="1:27" ht="18.95" customHeight="1">
      <c r="A895" s="1" t="str">
        <f>IF(Raw!A895="","",Raw!A895)</f>
        <v>L00889</v>
      </c>
      <c r="B895" s="1" t="str">
        <f>IF(Raw!B895="","",Raw!B895)</f>
        <v>T00445</v>
      </c>
      <c r="C895" s="1" t="str">
        <f>IF(Raw!C895="","",Raw!C895)</f>
        <v>2026-02-18</v>
      </c>
      <c r="D895" s="1">
        <f t="shared" si="104"/>
        <v>2026</v>
      </c>
      <c r="E895" s="1">
        <f>IFERROR(IF(AND(LEN(C895)=10,MID(C895,5,1)="-",MID(C895,8,1)="-"),VALUE(MID(C895,6,2)),IF(AND(LEN(C895)=11,MID(C895,3,1)="-",MID(C895,7,1)="-"),MATCH(UPPER(MID(C895,4,3)),Guide!$D$7:$D$18,0),0)),0)</f>
        <v>2</v>
      </c>
      <c r="F895" s="1">
        <f t="shared" si="105"/>
        <v>18</v>
      </c>
      <c r="G895" s="9">
        <f t="shared" si="106"/>
        <v>46071</v>
      </c>
      <c r="H895" s="1" t="str">
        <f>IF(Raw!D895="","",Raw!D895)</f>
        <v>P-A</v>
      </c>
      <c r="I895" s="1" t="str">
        <f>IFERROR(IF(EXACT(H895,INDEX(Guide!$A$7:$A$9,MATCH(SUBSTITUTE(SUBSTITUTE(SUBSTITUTE(H895,"~","~~"),"*","~*"),"?","~?"),Guide!$A$7:$A$9,0))),INDEX(Guide!$B$7:$B$9,MATCH(SUBSTITUTE(SUBSTITUTE(SUBSTITUTE(H895,"~","~~"),"*","~*"),"?","~?"),Guide!$A$7:$A$9,0)),""),"")</f>
        <v>Accessories</v>
      </c>
      <c r="J895" s="1" t="str">
        <f>IF(TRIM(Raw!E895)="",I895,IF(UPPER(TRIM(Raw!E895))=UPPER(I895),I895,""))</f>
        <v>Accessories</v>
      </c>
      <c r="K895" s="1" t="str">
        <f>IF(Raw!F895="","",Raw!F895)</f>
        <v>sale</v>
      </c>
      <c r="L895" s="1" t="str">
        <f>IF(LEFT(TRIM(Raw!G895),2)="-$","-"&amp;MID(TRIM(Raw!G895),3,99),IF(LEFT(TRIM(Raw!G895),1)="$",MID(TRIM(Raw!G895),2,99),TRIM(Raw!G895)))</f>
        <v>187.10</v>
      </c>
      <c r="M895" s="1">
        <f t="shared" si="107"/>
        <v>187.1</v>
      </c>
      <c r="N895" s="10">
        <f t="shared" si="108"/>
        <v>18710</v>
      </c>
      <c r="O895" s="1" t="b">
        <f>IFERROR(IF(ISNUMBER(Raw!G895),TRUE,OR(EXACT(L895,TEXT(M895,"0.00")),EXACT(L895,TEXT(M895,"#,##0.00")))),FALSE)</f>
        <v>1</v>
      </c>
      <c r="P895" s="1" t="str">
        <f>LEN(IF(Raw!A895="","",Raw!A895))&amp;":"&amp;IF(Raw!A895="","",Raw!A895)&amp;"|"&amp;LEN(IF(Raw!B895="","",Raw!B895))&amp;":"&amp;IF(Raw!B895="","",Raw!B895)&amp;"|"&amp;LEN(IF(Raw!C895="","",Raw!C895))&amp;":"&amp;IF(Raw!C895="","",Raw!C895)&amp;"|"&amp;LEN(IF(Raw!D895="","",Raw!D895))&amp;":"&amp;IF(Raw!D895="","",Raw!D895)&amp;"|"&amp;LEN(IF(Raw!E895="","",Raw!E895))&amp;":"&amp;IF(Raw!E895="","",Raw!E895)&amp;"|"&amp;LEN(IF(Raw!F895="","",Raw!F895))&amp;":"&amp;IF(Raw!F895="","",Raw!F895)&amp;"|"&amp;LEN(IF(Raw!G895="","",Raw!G895))&amp;":"&amp;IF(Raw!G895="","",Raw!G895)</f>
        <v>6:L00889|6:T00445|10:2026-02-18|3:P-A|11:Accessories|4:sale|6:187.10</v>
      </c>
      <c r="Q895" s="1">
        <f>1</f>
        <v>1</v>
      </c>
      <c r="R895" s="1" t="b">
        <f>FALSE</f>
        <v>0</v>
      </c>
      <c r="S895" s="1">
        <f>1</f>
        <v>1</v>
      </c>
      <c r="T895" s="1" t="str">
        <f>IF(AND(Raw!A895="",Raw!B895="",Raw!C895="",Raw!D895="",Raw!E895="",Raw!F895="",Raw!G895=""),"UNUSED",IF(A895="","missing line ID",IF(B895="","missing transaction ID",IF(G895="",IF(C895="","missing date","invalid date"),IF(I895="","unknown product",IF(J895="","conflicting category",IF(NOT(OR(EXACT(K895,"sale"),EXACT(K895,"refund"))),"unknown event",IF(OR(N895="",NOT(O895)),"invalid amount",IF(OR(AND(K895="sale",N895&lt;=0),AND(K895="refund",N895&gt;=0)),"invalid sign","")))))))))</f>
        <v/>
      </c>
      <c r="U895" s="1" t="str">
        <f t="shared" si="109"/>
        <v>INCLUDED</v>
      </c>
      <c r="V895" s="1" t="str">
        <f t="shared" si="110"/>
        <v>2026-02</v>
      </c>
      <c r="W895" s="1">
        <f>IF(AND(U895="INCLUDED",X895&gt;0,EXACT(A895,'AI output'!A895)),1,0)</f>
        <v>1</v>
      </c>
      <c r="X895" s="1">
        <f>895</f>
        <v>895</v>
      </c>
      <c r="Y895" s="1">
        <f>IF(AND(U895="INCLUDED",W895=1),--(NOT(EXACT(A895,'AI output'!A895)))+--(NOT(EXACT(B895,'AI output'!B895)))+--(NOT(EXACT(TEXT(G895,"yyyy-mm-dd"),'AI output'!C895)))+--(NOT(EXACT(H895,'AI output'!D895)))+--(NOT(EXACT(J895,'AI output'!E895)))+--(NOT(EXACT(K895,'AI output'!F895)))+--(N895&lt;&gt;'AI output'!L895)+--(NOT('AI output'!M895)),0)</f>
        <v>0</v>
      </c>
      <c r="Z895" s="1">
        <f t="shared" si="111"/>
        <v>0</v>
      </c>
      <c r="AA895" s="1">
        <f>--EXACT(A895,"L00889")</f>
        <v>1</v>
      </c>
    </row>
    <row r="896" spans="1:27" ht="18.95" customHeight="1">
      <c r="A896" s="1" t="str">
        <f>IF(Raw!A896="","",Raw!A896)</f>
        <v>L00890</v>
      </c>
      <c r="B896" s="1" t="str">
        <f>IF(Raw!B896="","",Raw!B896)</f>
        <v>T00445</v>
      </c>
      <c r="C896" s="1" t="str">
        <f>IF(Raw!C896="","",Raw!C896)</f>
        <v>2026-02-18</v>
      </c>
      <c r="D896" s="1">
        <f t="shared" si="104"/>
        <v>2026</v>
      </c>
      <c r="E896" s="1">
        <f>IFERROR(IF(AND(LEN(C896)=10,MID(C896,5,1)="-",MID(C896,8,1)="-"),VALUE(MID(C896,6,2)),IF(AND(LEN(C896)=11,MID(C896,3,1)="-",MID(C896,7,1)="-"),MATCH(UPPER(MID(C896,4,3)),Guide!$D$7:$D$18,0),0)),0)</f>
        <v>2</v>
      </c>
      <c r="F896" s="1">
        <f t="shared" si="105"/>
        <v>18</v>
      </c>
      <c r="G896" s="9">
        <f t="shared" si="106"/>
        <v>46071</v>
      </c>
      <c r="H896" s="1" t="str">
        <f>IF(Raw!D896="","",Raw!D896)</f>
        <v>P-H</v>
      </c>
      <c r="I896" s="1" t="str">
        <f>IFERROR(IF(EXACT(H896,INDEX(Guide!$A$7:$A$9,MATCH(SUBSTITUTE(SUBSTITUTE(SUBSTITUTE(H896,"~","~~"),"*","~*"),"?","~?"),Guide!$A$7:$A$9,0))),INDEX(Guide!$B$7:$B$9,MATCH(SUBSTITUTE(SUBSTITUTE(SUBSTITUTE(H896,"~","~~"),"*","~*"),"?","~?"),Guide!$A$7:$A$9,0)),""),"")</f>
        <v>Home</v>
      </c>
      <c r="J896" s="1" t="str">
        <f>IF(TRIM(Raw!E896)="",I896,IF(UPPER(TRIM(Raw!E896))=UPPER(I896),I896,""))</f>
        <v>Home</v>
      </c>
      <c r="K896" s="1" t="str">
        <f>IF(Raw!F896="","",Raw!F896)</f>
        <v>sale</v>
      </c>
      <c r="L896" s="1" t="str">
        <f>IF(LEFT(TRIM(Raw!G896),2)="-$","-"&amp;MID(TRIM(Raw!G896),3,99),IF(LEFT(TRIM(Raw!G896),1)="$",MID(TRIM(Raw!G896),2,99),TRIM(Raw!G896)))</f>
        <v>375.68</v>
      </c>
      <c r="M896" s="1">
        <f t="shared" si="107"/>
        <v>375.68</v>
      </c>
      <c r="N896" s="10">
        <f t="shared" si="108"/>
        <v>37568</v>
      </c>
      <c r="O896" s="1" t="b">
        <f>IFERROR(IF(ISNUMBER(Raw!G896),TRUE,OR(EXACT(L896,TEXT(M896,"0.00")),EXACT(L896,TEXT(M896,"#,##0.00")))),FALSE)</f>
        <v>1</v>
      </c>
      <c r="P896" s="1" t="str">
        <f>LEN(IF(Raw!A896="","",Raw!A896))&amp;":"&amp;IF(Raw!A896="","",Raw!A896)&amp;"|"&amp;LEN(IF(Raw!B896="","",Raw!B896))&amp;":"&amp;IF(Raw!B896="","",Raw!B896)&amp;"|"&amp;LEN(IF(Raw!C896="","",Raw!C896))&amp;":"&amp;IF(Raw!C896="","",Raw!C896)&amp;"|"&amp;LEN(IF(Raw!D896="","",Raw!D896))&amp;":"&amp;IF(Raw!D896="","",Raw!D896)&amp;"|"&amp;LEN(IF(Raw!E896="","",Raw!E896))&amp;":"&amp;IF(Raw!E896="","",Raw!E896)&amp;"|"&amp;LEN(IF(Raw!F896="","",Raw!F896))&amp;":"&amp;IF(Raw!F896="","",Raw!F896)&amp;"|"&amp;LEN(IF(Raw!G896="","",Raw!G896))&amp;":"&amp;IF(Raw!G896="","",Raw!G896)</f>
        <v>6:L00890|6:T00445|10:2026-02-18|3:P-H|4:Home|4:sale|6:375.68</v>
      </c>
      <c r="Q896" s="1">
        <f>1</f>
        <v>1</v>
      </c>
      <c r="R896" s="1" t="b">
        <f>FALSE</f>
        <v>0</v>
      </c>
      <c r="S896" s="1">
        <f>1</f>
        <v>1</v>
      </c>
      <c r="T896" s="1" t="str">
        <f>IF(AND(Raw!A896="",Raw!B896="",Raw!C896="",Raw!D896="",Raw!E896="",Raw!F896="",Raw!G896=""),"UNUSED",IF(A896="","missing line ID",IF(B896="","missing transaction ID",IF(G896="",IF(C896="","missing date","invalid date"),IF(I896="","unknown product",IF(J896="","conflicting category",IF(NOT(OR(EXACT(K896,"sale"),EXACT(K896,"refund"))),"unknown event",IF(OR(N896="",NOT(O896)),"invalid amount",IF(OR(AND(K896="sale",N896&lt;=0),AND(K896="refund",N896&gt;=0)),"invalid sign","")))))))))</f>
        <v/>
      </c>
      <c r="U896" s="1" t="str">
        <f t="shared" si="109"/>
        <v>INCLUDED</v>
      </c>
      <c r="V896" s="1" t="str">
        <f t="shared" si="110"/>
        <v>2026-02</v>
      </c>
      <c r="W896" s="1">
        <f>IF(AND(U896="INCLUDED",X896&gt;0,EXACT(A896,'AI output'!A896)),1,0)</f>
        <v>1</v>
      </c>
      <c r="X896" s="1">
        <f>896</f>
        <v>896</v>
      </c>
      <c r="Y896" s="1">
        <f>IF(AND(U896="INCLUDED",W896=1),--(NOT(EXACT(A896,'AI output'!A896)))+--(NOT(EXACT(B896,'AI output'!B896)))+--(NOT(EXACT(TEXT(G896,"yyyy-mm-dd"),'AI output'!C896)))+--(NOT(EXACT(H896,'AI output'!D896)))+--(NOT(EXACT(J896,'AI output'!E896)))+--(NOT(EXACT(K896,'AI output'!F896)))+--(N896&lt;&gt;'AI output'!L896)+--(NOT('AI output'!M896)),0)</f>
        <v>0</v>
      </c>
      <c r="Z896" s="1">
        <f t="shared" si="111"/>
        <v>0</v>
      </c>
      <c r="AA896" s="1">
        <f>--EXACT(A896,"L00890")</f>
        <v>1</v>
      </c>
    </row>
    <row r="897" spans="1:27" ht="18.95" customHeight="1">
      <c r="A897" s="1" t="str">
        <f>IF(Raw!A897="","",Raw!A897)</f>
        <v>L00891</v>
      </c>
      <c r="B897" s="1" t="str">
        <f>IF(Raw!B897="","",Raw!B897)</f>
        <v>T00446</v>
      </c>
      <c r="C897" s="1" t="str">
        <f>IF(Raw!C897="","",Raw!C897)</f>
        <v>2026-02-25</v>
      </c>
      <c r="D897" s="1">
        <f t="shared" si="104"/>
        <v>2026</v>
      </c>
      <c r="E897" s="1">
        <f>IFERROR(IF(AND(LEN(C897)=10,MID(C897,5,1)="-",MID(C897,8,1)="-"),VALUE(MID(C897,6,2)),IF(AND(LEN(C897)=11,MID(C897,3,1)="-",MID(C897,7,1)="-"),MATCH(UPPER(MID(C897,4,3)),Guide!$D$7:$D$18,0),0)),0)</f>
        <v>2</v>
      </c>
      <c r="F897" s="1">
        <f t="shared" si="105"/>
        <v>25</v>
      </c>
      <c r="G897" s="9">
        <f t="shared" si="106"/>
        <v>46078</v>
      </c>
      <c r="H897" s="1" t="str">
        <f>IF(Raw!D897="","",Raw!D897)</f>
        <v>P-O</v>
      </c>
      <c r="I897" s="1" t="str">
        <f>IFERROR(IF(EXACT(H897,INDEX(Guide!$A$7:$A$9,MATCH(SUBSTITUTE(SUBSTITUTE(SUBSTITUTE(H897,"~","~~"),"*","~*"),"?","~?"),Guide!$A$7:$A$9,0))),INDEX(Guide!$B$7:$B$9,MATCH(SUBSTITUTE(SUBSTITUTE(SUBSTITUTE(H897,"~","~~"),"*","~*"),"?","~?"),Guide!$A$7:$A$9,0)),""),"")</f>
        <v>Office</v>
      </c>
      <c r="J897" s="1" t="str">
        <f>IF(TRIM(Raw!E897)="",I897,IF(UPPER(TRIM(Raw!E897))=UPPER(I897),I897,""))</f>
        <v>Office</v>
      </c>
      <c r="K897" s="1" t="str">
        <f>IF(Raw!F897="","",Raw!F897)</f>
        <v>sale</v>
      </c>
      <c r="L897" s="1" t="str">
        <f>IF(LEFT(TRIM(Raw!G897),2)="-$","-"&amp;MID(TRIM(Raw!G897),3,99),IF(LEFT(TRIM(Raw!G897),1)="$",MID(TRIM(Raw!G897),2,99),TRIM(Raw!G897)))</f>
        <v>94.29</v>
      </c>
      <c r="M897" s="1">
        <f t="shared" si="107"/>
        <v>94.29</v>
      </c>
      <c r="N897" s="10">
        <f t="shared" si="108"/>
        <v>9429</v>
      </c>
      <c r="O897" s="1" t="b">
        <f>IFERROR(IF(ISNUMBER(Raw!G897),TRUE,OR(EXACT(L897,TEXT(M897,"0.00")),EXACT(L897,TEXT(M897,"#,##0.00")))),FALSE)</f>
        <v>1</v>
      </c>
      <c r="P897" s="1" t="str">
        <f>LEN(IF(Raw!A897="","",Raw!A897))&amp;":"&amp;IF(Raw!A897="","",Raw!A897)&amp;"|"&amp;LEN(IF(Raw!B897="","",Raw!B897))&amp;":"&amp;IF(Raw!B897="","",Raw!B897)&amp;"|"&amp;LEN(IF(Raw!C897="","",Raw!C897))&amp;":"&amp;IF(Raw!C897="","",Raw!C897)&amp;"|"&amp;LEN(IF(Raw!D897="","",Raw!D897))&amp;":"&amp;IF(Raw!D897="","",Raw!D897)&amp;"|"&amp;LEN(IF(Raw!E897="","",Raw!E897))&amp;":"&amp;IF(Raw!E897="","",Raw!E897)&amp;"|"&amp;LEN(IF(Raw!F897="","",Raw!F897))&amp;":"&amp;IF(Raw!F897="","",Raw!F897)&amp;"|"&amp;LEN(IF(Raw!G897="","",Raw!G897))&amp;":"&amp;IF(Raw!G897="","",Raw!G897)</f>
        <v>6:L00891|6:T00446|10:2026-02-25|3:P-O|6:Office|4:sale|5:94.29</v>
      </c>
      <c r="Q897" s="1">
        <f>1</f>
        <v>1</v>
      </c>
      <c r="R897" s="1" t="b">
        <f>FALSE</f>
        <v>0</v>
      </c>
      <c r="S897" s="1">
        <f>1</f>
        <v>1</v>
      </c>
      <c r="T897" s="1" t="str">
        <f>IF(AND(Raw!A897="",Raw!B897="",Raw!C897="",Raw!D897="",Raw!E897="",Raw!F897="",Raw!G897=""),"UNUSED",IF(A897="","missing line ID",IF(B897="","missing transaction ID",IF(G897="",IF(C897="","missing date","invalid date"),IF(I897="","unknown product",IF(J897="","conflicting category",IF(NOT(OR(EXACT(K897,"sale"),EXACT(K897,"refund"))),"unknown event",IF(OR(N897="",NOT(O897)),"invalid amount",IF(OR(AND(K897="sale",N897&lt;=0),AND(K897="refund",N897&gt;=0)),"invalid sign","")))))))))</f>
        <v/>
      </c>
      <c r="U897" s="1" t="str">
        <f t="shared" si="109"/>
        <v>INCLUDED</v>
      </c>
      <c r="V897" s="1" t="str">
        <f t="shared" si="110"/>
        <v>2026-02</v>
      </c>
      <c r="W897" s="1">
        <f>IF(AND(U897="INCLUDED",X897&gt;0,EXACT(A897,'AI output'!A897)),1,0)</f>
        <v>1</v>
      </c>
      <c r="X897" s="1">
        <f>897</f>
        <v>897</v>
      </c>
      <c r="Y897" s="1">
        <f>IF(AND(U897="INCLUDED",W897=1),--(NOT(EXACT(A897,'AI output'!A897)))+--(NOT(EXACT(B897,'AI output'!B897)))+--(NOT(EXACT(TEXT(G897,"yyyy-mm-dd"),'AI output'!C897)))+--(NOT(EXACT(H897,'AI output'!D897)))+--(NOT(EXACT(J897,'AI output'!E897)))+--(NOT(EXACT(K897,'AI output'!F897)))+--(N897&lt;&gt;'AI output'!L897)+--(NOT('AI output'!M897)),0)</f>
        <v>0</v>
      </c>
      <c r="Z897" s="1">
        <f t="shared" si="111"/>
        <v>0</v>
      </c>
      <c r="AA897" s="1">
        <f>--EXACT(A897,"L00891")</f>
        <v>1</v>
      </c>
    </row>
    <row r="898" spans="1:27" ht="18.95" customHeight="1">
      <c r="A898" s="1" t="str">
        <f>IF(Raw!A898="","",Raw!A898)</f>
        <v>L00892</v>
      </c>
      <c r="B898" s="1" t="str">
        <f>IF(Raw!B898="","",Raw!B898)</f>
        <v>T00446</v>
      </c>
      <c r="C898" s="1" t="str">
        <f>IF(Raw!C898="","",Raw!C898)</f>
        <v>2026-02-25</v>
      </c>
      <c r="D898" s="1">
        <f t="shared" si="104"/>
        <v>2026</v>
      </c>
      <c r="E898" s="1">
        <f>IFERROR(IF(AND(LEN(C898)=10,MID(C898,5,1)="-",MID(C898,8,1)="-"),VALUE(MID(C898,6,2)),IF(AND(LEN(C898)=11,MID(C898,3,1)="-",MID(C898,7,1)="-"),MATCH(UPPER(MID(C898,4,3)),Guide!$D$7:$D$18,0),0)),0)</f>
        <v>2</v>
      </c>
      <c r="F898" s="1">
        <f t="shared" si="105"/>
        <v>25</v>
      </c>
      <c r="G898" s="9">
        <f t="shared" si="106"/>
        <v>46078</v>
      </c>
      <c r="H898" s="1" t="str">
        <f>IF(Raw!D898="","",Raw!D898)</f>
        <v>P-A</v>
      </c>
      <c r="I898" s="1" t="str">
        <f>IFERROR(IF(EXACT(H898,INDEX(Guide!$A$7:$A$9,MATCH(SUBSTITUTE(SUBSTITUTE(SUBSTITUTE(H898,"~","~~"),"*","~*"),"?","~?"),Guide!$A$7:$A$9,0))),INDEX(Guide!$B$7:$B$9,MATCH(SUBSTITUTE(SUBSTITUTE(SUBSTITUTE(H898,"~","~~"),"*","~*"),"?","~?"),Guide!$A$7:$A$9,0)),""),"")</f>
        <v>Accessories</v>
      </c>
      <c r="J898" s="1" t="str">
        <f>IF(TRIM(Raw!E898)="",I898,IF(UPPER(TRIM(Raw!E898))=UPPER(I898),I898,""))</f>
        <v>Accessories</v>
      </c>
      <c r="K898" s="1" t="str">
        <f>IF(Raw!F898="","",Raw!F898)</f>
        <v>sale</v>
      </c>
      <c r="L898" s="1" t="str">
        <f>IF(LEFT(TRIM(Raw!G898),2)="-$","-"&amp;MID(TRIM(Raw!G898),3,99),IF(LEFT(TRIM(Raw!G898),1)="$",MID(TRIM(Raw!G898),2,99),TRIM(Raw!G898)))</f>
        <v>283.98</v>
      </c>
      <c r="M898" s="1">
        <f t="shared" si="107"/>
        <v>283.98</v>
      </c>
      <c r="N898" s="10">
        <f t="shared" si="108"/>
        <v>28398</v>
      </c>
      <c r="O898" s="1" t="b">
        <f>IFERROR(IF(ISNUMBER(Raw!G898),TRUE,OR(EXACT(L898,TEXT(M898,"0.00")),EXACT(L898,TEXT(M898,"#,##0.00")))),FALSE)</f>
        <v>1</v>
      </c>
      <c r="P898" s="1" t="str">
        <f>LEN(IF(Raw!A898="","",Raw!A898))&amp;":"&amp;IF(Raw!A898="","",Raw!A898)&amp;"|"&amp;LEN(IF(Raw!B898="","",Raw!B898))&amp;":"&amp;IF(Raw!B898="","",Raw!B898)&amp;"|"&amp;LEN(IF(Raw!C898="","",Raw!C898))&amp;":"&amp;IF(Raw!C898="","",Raw!C898)&amp;"|"&amp;LEN(IF(Raw!D898="","",Raw!D898))&amp;":"&amp;IF(Raw!D898="","",Raw!D898)&amp;"|"&amp;LEN(IF(Raw!E898="","",Raw!E898))&amp;":"&amp;IF(Raw!E898="","",Raw!E898)&amp;"|"&amp;LEN(IF(Raw!F898="","",Raw!F898))&amp;":"&amp;IF(Raw!F898="","",Raw!F898)&amp;"|"&amp;LEN(IF(Raw!G898="","",Raw!G898))&amp;":"&amp;IF(Raw!G898="","",Raw!G898)</f>
        <v>6:L00892|6:T00446|10:2026-02-25|3:P-A|11:Accessories|4:sale|6:283.98</v>
      </c>
      <c r="Q898" s="1">
        <f>1</f>
        <v>1</v>
      </c>
      <c r="R898" s="1" t="b">
        <f>FALSE</f>
        <v>0</v>
      </c>
      <c r="S898" s="1">
        <f>1</f>
        <v>1</v>
      </c>
      <c r="T898" s="1" t="str">
        <f>IF(AND(Raw!A898="",Raw!B898="",Raw!C898="",Raw!D898="",Raw!E898="",Raw!F898="",Raw!G898=""),"UNUSED",IF(A898="","missing line ID",IF(B898="","missing transaction ID",IF(G898="",IF(C898="","missing date","invalid date"),IF(I898="","unknown product",IF(J898="","conflicting category",IF(NOT(OR(EXACT(K898,"sale"),EXACT(K898,"refund"))),"unknown event",IF(OR(N898="",NOT(O898)),"invalid amount",IF(OR(AND(K898="sale",N898&lt;=0),AND(K898="refund",N898&gt;=0)),"invalid sign","")))))))))</f>
        <v/>
      </c>
      <c r="U898" s="1" t="str">
        <f t="shared" si="109"/>
        <v>INCLUDED</v>
      </c>
      <c r="V898" s="1" t="str">
        <f t="shared" si="110"/>
        <v>2026-02</v>
      </c>
      <c r="W898" s="1">
        <f>IF(AND(U898="INCLUDED",X898&gt;0,EXACT(A898,'AI output'!A898)),1,0)</f>
        <v>1</v>
      </c>
      <c r="X898" s="1">
        <f>898</f>
        <v>898</v>
      </c>
      <c r="Y898" s="1">
        <f>IF(AND(U898="INCLUDED",W898=1),--(NOT(EXACT(A898,'AI output'!A898)))+--(NOT(EXACT(B898,'AI output'!B898)))+--(NOT(EXACT(TEXT(G898,"yyyy-mm-dd"),'AI output'!C898)))+--(NOT(EXACT(H898,'AI output'!D898)))+--(NOT(EXACT(J898,'AI output'!E898)))+--(NOT(EXACT(K898,'AI output'!F898)))+--(N898&lt;&gt;'AI output'!L898)+--(NOT('AI output'!M898)),0)</f>
        <v>0</v>
      </c>
      <c r="Z898" s="1">
        <f t="shared" si="111"/>
        <v>0</v>
      </c>
      <c r="AA898" s="1">
        <f>--EXACT(A898,"L00892")</f>
        <v>1</v>
      </c>
    </row>
    <row r="899" spans="1:27" ht="18.95" customHeight="1">
      <c r="A899" s="1" t="str">
        <f>IF(Raw!A899="","",Raw!A899)</f>
        <v>L00893</v>
      </c>
      <c r="B899" s="1" t="str">
        <f>IF(Raw!B899="","",Raw!B899)</f>
        <v>T00447</v>
      </c>
      <c r="C899" s="1" t="str">
        <f>IF(Raw!C899="","",Raw!C899)</f>
        <v>2026-03-04</v>
      </c>
      <c r="D899" s="1">
        <f t="shared" si="104"/>
        <v>2026</v>
      </c>
      <c r="E899" s="1">
        <f>IFERROR(IF(AND(LEN(C899)=10,MID(C899,5,1)="-",MID(C899,8,1)="-"),VALUE(MID(C899,6,2)),IF(AND(LEN(C899)=11,MID(C899,3,1)="-",MID(C899,7,1)="-"),MATCH(UPPER(MID(C899,4,3)),Guide!$D$7:$D$18,0),0)),0)</f>
        <v>3</v>
      </c>
      <c r="F899" s="1">
        <f t="shared" si="105"/>
        <v>4</v>
      </c>
      <c r="G899" s="9">
        <f t="shared" si="106"/>
        <v>46085</v>
      </c>
      <c r="H899" s="1" t="str">
        <f>IF(Raw!D899="","",Raw!D899)</f>
        <v>P-H</v>
      </c>
      <c r="I899" s="1" t="str">
        <f>IFERROR(IF(EXACT(H899,INDEX(Guide!$A$7:$A$9,MATCH(SUBSTITUTE(SUBSTITUTE(SUBSTITUTE(H899,"~","~~"),"*","~*"),"?","~?"),Guide!$A$7:$A$9,0))),INDEX(Guide!$B$7:$B$9,MATCH(SUBSTITUTE(SUBSTITUTE(SUBSTITUTE(H899,"~","~~"),"*","~*"),"?","~?"),Guide!$A$7:$A$9,0)),""),"")</f>
        <v>Home</v>
      </c>
      <c r="J899" s="1" t="str">
        <f>IF(TRIM(Raw!E899)="",I899,IF(UPPER(TRIM(Raw!E899))=UPPER(I899),I899,""))</f>
        <v>Home</v>
      </c>
      <c r="K899" s="1" t="str">
        <f>IF(Raw!F899="","",Raw!F899)</f>
        <v>sale</v>
      </c>
      <c r="L899" s="1" t="str">
        <f>IF(LEFT(TRIM(Raw!G899),2)="-$","-"&amp;MID(TRIM(Raw!G899),3,99),IF(LEFT(TRIM(Raw!G899),1)="$",MID(TRIM(Raw!G899),2,99),TRIM(Raw!G899)))</f>
        <v>475.15</v>
      </c>
      <c r="M899" s="1">
        <f t="shared" si="107"/>
        <v>475.15</v>
      </c>
      <c r="N899" s="10">
        <f t="shared" si="108"/>
        <v>47515</v>
      </c>
      <c r="O899" s="1" t="b">
        <f>IFERROR(IF(ISNUMBER(Raw!G899),TRUE,OR(EXACT(L899,TEXT(M899,"0.00")),EXACT(L899,TEXT(M899,"#,##0.00")))),FALSE)</f>
        <v>1</v>
      </c>
      <c r="P899" s="1" t="str">
        <f>LEN(IF(Raw!A899="","",Raw!A899))&amp;":"&amp;IF(Raw!A899="","",Raw!A899)&amp;"|"&amp;LEN(IF(Raw!B899="","",Raw!B899))&amp;":"&amp;IF(Raw!B899="","",Raw!B899)&amp;"|"&amp;LEN(IF(Raw!C899="","",Raw!C899))&amp;":"&amp;IF(Raw!C899="","",Raw!C899)&amp;"|"&amp;LEN(IF(Raw!D899="","",Raw!D899))&amp;":"&amp;IF(Raw!D899="","",Raw!D899)&amp;"|"&amp;LEN(IF(Raw!E899="","",Raw!E899))&amp;":"&amp;IF(Raw!E899="","",Raw!E899)&amp;"|"&amp;LEN(IF(Raw!F899="","",Raw!F899))&amp;":"&amp;IF(Raw!F899="","",Raw!F899)&amp;"|"&amp;LEN(IF(Raw!G899="","",Raw!G899))&amp;":"&amp;IF(Raw!G899="","",Raw!G899)</f>
        <v>6:L00893|6:T00447|10:2026-03-04|3:P-H|4:Home|4:sale|6:475.15</v>
      </c>
      <c r="Q899" s="1">
        <f>1</f>
        <v>1</v>
      </c>
      <c r="R899" s="1" t="b">
        <f>FALSE</f>
        <v>0</v>
      </c>
      <c r="S899" s="1">
        <f>1</f>
        <v>1</v>
      </c>
      <c r="T899" s="1" t="str">
        <f>IF(AND(Raw!A899="",Raw!B899="",Raw!C899="",Raw!D899="",Raw!E899="",Raw!F899="",Raw!G899=""),"UNUSED",IF(A899="","missing line ID",IF(B899="","missing transaction ID",IF(G899="",IF(C899="","missing date","invalid date"),IF(I899="","unknown product",IF(J899="","conflicting category",IF(NOT(OR(EXACT(K899,"sale"),EXACT(K899,"refund"))),"unknown event",IF(OR(N899="",NOT(O899)),"invalid amount",IF(OR(AND(K899="sale",N899&lt;=0),AND(K899="refund",N899&gt;=0)),"invalid sign","")))))))))</f>
        <v/>
      </c>
      <c r="U899" s="1" t="str">
        <f t="shared" si="109"/>
        <v>INCLUDED</v>
      </c>
      <c r="V899" s="1" t="str">
        <f t="shared" si="110"/>
        <v>2026-03</v>
      </c>
      <c r="W899" s="1">
        <f>IF(AND(U899="INCLUDED",X899&gt;0,EXACT(A899,'AI output'!A899)),1,0)</f>
        <v>1</v>
      </c>
      <c r="X899" s="1">
        <f>899</f>
        <v>899</v>
      </c>
      <c r="Y899" s="1">
        <f>IF(AND(U899="INCLUDED",W899=1),--(NOT(EXACT(A899,'AI output'!A899)))+--(NOT(EXACT(B899,'AI output'!B899)))+--(NOT(EXACT(TEXT(G899,"yyyy-mm-dd"),'AI output'!C899)))+--(NOT(EXACT(H899,'AI output'!D899)))+--(NOT(EXACT(J899,'AI output'!E899)))+--(NOT(EXACT(K899,'AI output'!F899)))+--(N899&lt;&gt;'AI output'!L899)+--(NOT('AI output'!M899)),0)</f>
        <v>0</v>
      </c>
      <c r="Z899" s="1">
        <f t="shared" si="111"/>
        <v>0</v>
      </c>
      <c r="AA899" s="1">
        <f>--EXACT(A899,"L00893")</f>
        <v>1</v>
      </c>
    </row>
    <row r="900" spans="1:27" ht="18.95" customHeight="1">
      <c r="A900" s="1" t="str">
        <f>IF(Raw!A900="","",Raw!A900)</f>
        <v>L00894</v>
      </c>
      <c r="B900" s="1" t="str">
        <f>IF(Raw!B900="","",Raw!B900)</f>
        <v>T00447</v>
      </c>
      <c r="C900" s="1" t="str">
        <f>IF(Raw!C900="","",Raw!C900)</f>
        <v>2026-03-04</v>
      </c>
      <c r="D900" s="1">
        <f t="shared" si="104"/>
        <v>2026</v>
      </c>
      <c r="E900" s="1">
        <f>IFERROR(IF(AND(LEN(C900)=10,MID(C900,5,1)="-",MID(C900,8,1)="-"),VALUE(MID(C900,6,2)),IF(AND(LEN(C900)=11,MID(C900,3,1)="-",MID(C900,7,1)="-"),MATCH(UPPER(MID(C900,4,3)),Guide!$D$7:$D$18,0),0)),0)</f>
        <v>3</v>
      </c>
      <c r="F900" s="1">
        <f t="shared" si="105"/>
        <v>4</v>
      </c>
      <c r="G900" s="9">
        <f t="shared" si="106"/>
        <v>46085</v>
      </c>
      <c r="H900" s="1" t="str">
        <f>IF(Raw!D900="","",Raw!D900)</f>
        <v>P-O</v>
      </c>
      <c r="I900" s="1" t="str">
        <f>IFERROR(IF(EXACT(H900,INDEX(Guide!$A$7:$A$9,MATCH(SUBSTITUTE(SUBSTITUTE(SUBSTITUTE(H900,"~","~~"),"*","~*"),"?","~?"),Guide!$A$7:$A$9,0))),INDEX(Guide!$B$7:$B$9,MATCH(SUBSTITUTE(SUBSTITUTE(SUBSTITUTE(H900,"~","~~"),"*","~*"),"?","~?"),Guide!$A$7:$A$9,0)),""),"")</f>
        <v>Office</v>
      </c>
      <c r="J900" s="1" t="str">
        <f>IF(TRIM(Raw!E900)="",I900,IF(UPPER(TRIM(Raw!E900))=UPPER(I900),I900,""))</f>
        <v>Office</v>
      </c>
      <c r="K900" s="1" t="str">
        <f>IF(Raw!F900="","",Raw!F900)</f>
        <v>sale</v>
      </c>
      <c r="L900" s="1" t="str">
        <f>IF(LEFT(TRIM(Raw!G900),2)="-$","-"&amp;MID(TRIM(Raw!G900),3,99),IF(LEFT(TRIM(Raw!G900),1)="$",MID(TRIM(Raw!G900),2,99),TRIM(Raw!G900)))</f>
        <v>190.80</v>
      </c>
      <c r="M900" s="1">
        <f t="shared" si="107"/>
        <v>190.8</v>
      </c>
      <c r="N900" s="10">
        <f t="shared" si="108"/>
        <v>19080</v>
      </c>
      <c r="O900" s="1" t="b">
        <f>IFERROR(IF(ISNUMBER(Raw!G900),TRUE,OR(EXACT(L900,TEXT(M900,"0.00")),EXACT(L900,TEXT(M900,"#,##0.00")))),FALSE)</f>
        <v>1</v>
      </c>
      <c r="P900" s="1" t="str">
        <f>LEN(IF(Raw!A900="","",Raw!A900))&amp;":"&amp;IF(Raw!A900="","",Raw!A900)&amp;"|"&amp;LEN(IF(Raw!B900="","",Raw!B900))&amp;":"&amp;IF(Raw!B900="","",Raw!B900)&amp;"|"&amp;LEN(IF(Raw!C900="","",Raw!C900))&amp;":"&amp;IF(Raw!C900="","",Raw!C900)&amp;"|"&amp;LEN(IF(Raw!D900="","",Raw!D900))&amp;":"&amp;IF(Raw!D900="","",Raw!D900)&amp;"|"&amp;LEN(IF(Raw!E900="","",Raw!E900))&amp;":"&amp;IF(Raw!E900="","",Raw!E900)&amp;"|"&amp;LEN(IF(Raw!F900="","",Raw!F900))&amp;":"&amp;IF(Raw!F900="","",Raw!F900)&amp;"|"&amp;LEN(IF(Raw!G900="","",Raw!G900))&amp;":"&amp;IF(Raw!G900="","",Raw!G900)</f>
        <v>6:L00894|6:T00447|10:2026-03-04|3:P-O|6:Office|4:sale|6:190.80</v>
      </c>
      <c r="Q900" s="1">
        <f>1</f>
        <v>1</v>
      </c>
      <c r="R900" s="1" t="b">
        <f>FALSE</f>
        <v>0</v>
      </c>
      <c r="S900" s="1">
        <f>1</f>
        <v>1</v>
      </c>
      <c r="T900" s="1" t="str">
        <f>IF(AND(Raw!A900="",Raw!B900="",Raw!C900="",Raw!D900="",Raw!E900="",Raw!F900="",Raw!G900=""),"UNUSED",IF(A900="","missing line ID",IF(B900="","missing transaction ID",IF(G900="",IF(C900="","missing date","invalid date"),IF(I900="","unknown product",IF(J900="","conflicting category",IF(NOT(OR(EXACT(K900,"sale"),EXACT(K900,"refund"))),"unknown event",IF(OR(N900="",NOT(O900)),"invalid amount",IF(OR(AND(K900="sale",N900&lt;=0),AND(K900="refund",N900&gt;=0)),"invalid sign","")))))))))</f>
        <v/>
      </c>
      <c r="U900" s="1" t="str">
        <f t="shared" si="109"/>
        <v>INCLUDED</v>
      </c>
      <c r="V900" s="1" t="str">
        <f t="shared" si="110"/>
        <v>2026-03</v>
      </c>
      <c r="W900" s="1">
        <f>IF(AND(U900="INCLUDED",X900&gt;0,EXACT(A900,'AI output'!A900)),1,0)</f>
        <v>1</v>
      </c>
      <c r="X900" s="1">
        <f>900</f>
        <v>900</v>
      </c>
      <c r="Y900" s="1">
        <f>IF(AND(U900="INCLUDED",W900=1),--(NOT(EXACT(A900,'AI output'!A900)))+--(NOT(EXACT(B900,'AI output'!B900)))+--(NOT(EXACT(TEXT(G900,"yyyy-mm-dd"),'AI output'!C900)))+--(NOT(EXACT(H900,'AI output'!D900)))+--(NOT(EXACT(J900,'AI output'!E900)))+--(NOT(EXACT(K900,'AI output'!F900)))+--(N900&lt;&gt;'AI output'!L900)+--(NOT('AI output'!M900)),0)</f>
        <v>0</v>
      </c>
      <c r="Z900" s="1">
        <f t="shared" si="111"/>
        <v>0</v>
      </c>
      <c r="AA900" s="1">
        <f>--EXACT(A900,"L00894")</f>
        <v>1</v>
      </c>
    </row>
    <row r="901" spans="1:27" ht="18.95" customHeight="1">
      <c r="A901" s="1" t="str">
        <f>IF(Raw!A901="","",Raw!A901)</f>
        <v>L00895</v>
      </c>
      <c r="B901" s="1" t="str">
        <f>IF(Raw!B901="","",Raw!B901)</f>
        <v>T00448</v>
      </c>
      <c r="C901" s="1" t="str">
        <f>IF(Raw!C901="","",Raw!C901)</f>
        <v>2026-03-11</v>
      </c>
      <c r="D901" s="1">
        <f t="shared" si="104"/>
        <v>2026</v>
      </c>
      <c r="E901" s="1">
        <f>IFERROR(IF(AND(LEN(C901)=10,MID(C901,5,1)="-",MID(C901,8,1)="-"),VALUE(MID(C901,6,2)),IF(AND(LEN(C901)=11,MID(C901,3,1)="-",MID(C901,7,1)="-"),MATCH(UPPER(MID(C901,4,3)),Guide!$D$7:$D$18,0),0)),0)</f>
        <v>3</v>
      </c>
      <c r="F901" s="1">
        <f t="shared" si="105"/>
        <v>11</v>
      </c>
      <c r="G901" s="9">
        <f t="shared" si="106"/>
        <v>46092</v>
      </c>
      <c r="H901" s="1" t="str">
        <f>IF(Raw!D901="","",Raw!D901)</f>
        <v>P-A</v>
      </c>
      <c r="I901" s="1" t="str">
        <f>IFERROR(IF(EXACT(H901,INDEX(Guide!$A$7:$A$9,MATCH(SUBSTITUTE(SUBSTITUTE(SUBSTITUTE(H901,"~","~~"),"*","~*"),"?","~?"),Guide!$A$7:$A$9,0))),INDEX(Guide!$B$7:$B$9,MATCH(SUBSTITUTE(SUBSTITUTE(SUBSTITUTE(H901,"~","~~"),"*","~*"),"?","~?"),Guide!$A$7:$A$9,0)),""),"")</f>
        <v>Accessories</v>
      </c>
      <c r="J901" s="1" t="str">
        <f>IF(TRIM(Raw!E901)="",I901,IF(UPPER(TRIM(Raw!E901))=UPPER(I901),I901,""))</f>
        <v>Accessories</v>
      </c>
      <c r="K901" s="1" t="str">
        <f>IF(Raw!F901="","",Raw!F901)</f>
        <v>sale</v>
      </c>
      <c r="L901" s="1" t="str">
        <f>IF(LEFT(TRIM(Raw!G901),2)="-$","-"&amp;MID(TRIM(Raw!G901),3,99),IF(LEFT(TRIM(Raw!G901),1)="$",MID(TRIM(Raw!G901),2,99),TRIM(Raw!G901)))</f>
        <v>383.08</v>
      </c>
      <c r="M901" s="1">
        <f t="shared" si="107"/>
        <v>383.08</v>
      </c>
      <c r="N901" s="10">
        <f t="shared" si="108"/>
        <v>38308</v>
      </c>
      <c r="O901" s="1" t="b">
        <f>IFERROR(IF(ISNUMBER(Raw!G901),TRUE,OR(EXACT(L901,TEXT(M901,"0.00")),EXACT(L901,TEXT(M901,"#,##0.00")))),FALSE)</f>
        <v>1</v>
      </c>
      <c r="P901" s="1" t="str">
        <f>LEN(IF(Raw!A901="","",Raw!A901))&amp;":"&amp;IF(Raw!A901="","",Raw!A901)&amp;"|"&amp;LEN(IF(Raw!B901="","",Raw!B901))&amp;":"&amp;IF(Raw!B901="","",Raw!B901)&amp;"|"&amp;LEN(IF(Raw!C901="","",Raw!C901))&amp;":"&amp;IF(Raw!C901="","",Raw!C901)&amp;"|"&amp;LEN(IF(Raw!D901="","",Raw!D901))&amp;":"&amp;IF(Raw!D901="","",Raw!D901)&amp;"|"&amp;LEN(IF(Raw!E901="","",Raw!E901))&amp;":"&amp;IF(Raw!E901="","",Raw!E901)&amp;"|"&amp;LEN(IF(Raw!F901="","",Raw!F901))&amp;":"&amp;IF(Raw!F901="","",Raw!F901)&amp;"|"&amp;LEN(IF(Raw!G901="","",Raw!G901))&amp;":"&amp;IF(Raw!G901="","",Raw!G901)</f>
        <v>6:L00895|6:T00448|10:2026-03-11|3:P-A|11:Accessories|4:sale|6:383.08</v>
      </c>
      <c r="Q901" s="1">
        <f>1</f>
        <v>1</v>
      </c>
      <c r="R901" s="1" t="b">
        <f>FALSE</f>
        <v>0</v>
      </c>
      <c r="S901" s="1">
        <f>1</f>
        <v>1</v>
      </c>
      <c r="T901" s="1" t="str">
        <f>IF(AND(Raw!A901="",Raw!B901="",Raw!C901="",Raw!D901="",Raw!E901="",Raw!F901="",Raw!G901=""),"UNUSED",IF(A901="","missing line ID",IF(B901="","missing transaction ID",IF(G901="",IF(C901="","missing date","invalid date"),IF(I901="","unknown product",IF(J901="","conflicting category",IF(NOT(OR(EXACT(K901,"sale"),EXACT(K901,"refund"))),"unknown event",IF(OR(N901="",NOT(O901)),"invalid amount",IF(OR(AND(K901="sale",N901&lt;=0),AND(K901="refund",N901&gt;=0)),"invalid sign","")))))))))</f>
        <v/>
      </c>
      <c r="U901" s="1" t="str">
        <f t="shared" si="109"/>
        <v>INCLUDED</v>
      </c>
      <c r="V901" s="1" t="str">
        <f t="shared" si="110"/>
        <v>2026-03</v>
      </c>
      <c r="W901" s="1">
        <f>IF(AND(U901="INCLUDED",X901&gt;0,EXACT(A901,'AI output'!A901)),1,0)</f>
        <v>1</v>
      </c>
      <c r="X901" s="1">
        <f>901</f>
        <v>901</v>
      </c>
      <c r="Y901" s="1">
        <f>IF(AND(U901="INCLUDED",W901=1),--(NOT(EXACT(A901,'AI output'!A901)))+--(NOT(EXACT(B901,'AI output'!B901)))+--(NOT(EXACT(TEXT(G901,"yyyy-mm-dd"),'AI output'!C901)))+--(NOT(EXACT(H901,'AI output'!D901)))+--(NOT(EXACT(J901,'AI output'!E901)))+--(NOT(EXACT(K901,'AI output'!F901)))+--(N901&lt;&gt;'AI output'!L901)+--(NOT('AI output'!M901)),0)</f>
        <v>0</v>
      </c>
      <c r="Z901" s="1">
        <f t="shared" si="111"/>
        <v>0</v>
      </c>
      <c r="AA901" s="1">
        <f>--EXACT(A901,"L00895")</f>
        <v>1</v>
      </c>
    </row>
    <row r="902" spans="1:27" ht="18.95" customHeight="1">
      <c r="A902" s="1" t="str">
        <f>IF(Raw!A902="","",Raw!A902)</f>
        <v>L00896</v>
      </c>
      <c r="B902" s="1" t="str">
        <f>IF(Raw!B902="","",Raw!B902)</f>
        <v>T00448</v>
      </c>
      <c r="C902" s="1" t="str">
        <f>IF(Raw!C902="","",Raw!C902)</f>
        <v>2026-03-11</v>
      </c>
      <c r="D902" s="1">
        <f t="shared" si="104"/>
        <v>2026</v>
      </c>
      <c r="E902" s="1">
        <f>IFERROR(IF(AND(LEN(C902)=10,MID(C902,5,1)="-",MID(C902,8,1)="-"),VALUE(MID(C902,6,2)),IF(AND(LEN(C902)=11,MID(C902,3,1)="-",MID(C902,7,1)="-"),MATCH(UPPER(MID(C902,4,3)),Guide!$D$7:$D$18,0),0)),0)</f>
        <v>3</v>
      </c>
      <c r="F902" s="1">
        <f t="shared" si="105"/>
        <v>11</v>
      </c>
      <c r="G902" s="9">
        <f t="shared" si="106"/>
        <v>46092</v>
      </c>
      <c r="H902" s="1" t="str">
        <f>IF(Raw!D902="","",Raw!D902)</f>
        <v>P-H</v>
      </c>
      <c r="I902" s="1" t="str">
        <f>IFERROR(IF(EXACT(H902,INDEX(Guide!$A$7:$A$9,MATCH(SUBSTITUTE(SUBSTITUTE(SUBSTITUTE(H902,"~","~~"),"*","~*"),"?","~?"),Guide!$A$7:$A$9,0))),INDEX(Guide!$B$7:$B$9,MATCH(SUBSTITUTE(SUBSTITUTE(SUBSTITUTE(H902,"~","~~"),"*","~*"),"?","~?"),Guide!$A$7:$A$9,0)),""),"")</f>
        <v>Home</v>
      </c>
      <c r="J902" s="1" t="str">
        <f>IF(TRIM(Raw!E902)="",I902,IF(UPPER(TRIM(Raw!E902))=UPPER(I902),I902,""))</f>
        <v>Home</v>
      </c>
      <c r="K902" s="1" t="str">
        <f>IF(Raw!F902="","",Raw!F902)</f>
        <v>sale</v>
      </c>
      <c r="L902" s="1" t="str">
        <f>IF(LEFT(TRIM(Raw!G902),2)="-$","-"&amp;MID(TRIM(Raw!G902),3,99),IF(LEFT(TRIM(Raw!G902),1)="$",MID(TRIM(Raw!G902),2,99),TRIM(Raw!G902)))</f>
        <v>96.14</v>
      </c>
      <c r="M902" s="1">
        <f t="shared" si="107"/>
        <v>96.14</v>
      </c>
      <c r="N902" s="10">
        <f t="shared" si="108"/>
        <v>9614</v>
      </c>
      <c r="O902" s="1" t="b">
        <f>IFERROR(IF(ISNUMBER(Raw!G902),TRUE,OR(EXACT(L902,TEXT(M902,"0.00")),EXACT(L902,TEXT(M902,"#,##0.00")))),FALSE)</f>
        <v>1</v>
      </c>
      <c r="P902" s="1" t="str">
        <f>LEN(IF(Raw!A902="","",Raw!A902))&amp;":"&amp;IF(Raw!A902="","",Raw!A902)&amp;"|"&amp;LEN(IF(Raw!B902="","",Raw!B902))&amp;":"&amp;IF(Raw!B902="","",Raw!B902)&amp;"|"&amp;LEN(IF(Raw!C902="","",Raw!C902))&amp;":"&amp;IF(Raw!C902="","",Raw!C902)&amp;"|"&amp;LEN(IF(Raw!D902="","",Raw!D902))&amp;":"&amp;IF(Raw!D902="","",Raw!D902)&amp;"|"&amp;LEN(IF(Raw!E902="","",Raw!E902))&amp;":"&amp;IF(Raw!E902="","",Raw!E902)&amp;"|"&amp;LEN(IF(Raw!F902="","",Raw!F902))&amp;":"&amp;IF(Raw!F902="","",Raw!F902)&amp;"|"&amp;LEN(IF(Raw!G902="","",Raw!G902))&amp;":"&amp;IF(Raw!G902="","",Raw!G902)</f>
        <v>6:L00896|6:T00448|10:2026-03-11|3:P-H|4:Home|4:sale|5:96.14</v>
      </c>
      <c r="Q902" s="1">
        <f>1</f>
        <v>1</v>
      </c>
      <c r="R902" s="1" t="b">
        <f>FALSE</f>
        <v>0</v>
      </c>
      <c r="S902" s="1">
        <f>1</f>
        <v>1</v>
      </c>
      <c r="T902" s="1" t="str">
        <f>IF(AND(Raw!A902="",Raw!B902="",Raw!C902="",Raw!D902="",Raw!E902="",Raw!F902="",Raw!G902=""),"UNUSED",IF(A902="","missing line ID",IF(B902="","missing transaction ID",IF(G902="",IF(C902="","missing date","invalid date"),IF(I902="","unknown product",IF(J902="","conflicting category",IF(NOT(OR(EXACT(K902,"sale"),EXACT(K902,"refund"))),"unknown event",IF(OR(N902="",NOT(O902)),"invalid amount",IF(OR(AND(K902="sale",N902&lt;=0),AND(K902="refund",N902&gt;=0)),"invalid sign","")))))))))</f>
        <v/>
      </c>
      <c r="U902" s="1" t="str">
        <f t="shared" si="109"/>
        <v>INCLUDED</v>
      </c>
      <c r="V902" s="1" t="str">
        <f t="shared" si="110"/>
        <v>2026-03</v>
      </c>
      <c r="W902" s="1">
        <f>IF(AND(U902="INCLUDED",X902&gt;0,EXACT(A902,'AI output'!A902)),1,0)</f>
        <v>1</v>
      </c>
      <c r="X902" s="1">
        <f>902</f>
        <v>902</v>
      </c>
      <c r="Y902" s="1">
        <f>IF(AND(U902="INCLUDED",W902=1),--(NOT(EXACT(A902,'AI output'!A902)))+--(NOT(EXACT(B902,'AI output'!B902)))+--(NOT(EXACT(TEXT(G902,"yyyy-mm-dd"),'AI output'!C902)))+--(NOT(EXACT(H902,'AI output'!D902)))+--(NOT(EXACT(J902,'AI output'!E902)))+--(NOT(EXACT(K902,'AI output'!F902)))+--(N902&lt;&gt;'AI output'!L902)+--(NOT('AI output'!M902)),0)</f>
        <v>0</v>
      </c>
      <c r="Z902" s="1">
        <f t="shared" si="111"/>
        <v>0</v>
      </c>
      <c r="AA902" s="1">
        <f>--EXACT(A902,"L00896")</f>
        <v>1</v>
      </c>
    </row>
    <row r="903" spans="1:27" ht="18.95" customHeight="1">
      <c r="A903" s="1" t="str">
        <f>IF(Raw!A903="","",Raw!A903)</f>
        <v>L00897</v>
      </c>
      <c r="B903" s="1" t="str">
        <f>IF(Raw!B903="","",Raw!B903)</f>
        <v>T00449</v>
      </c>
      <c r="C903" s="1" t="str">
        <f>IF(Raw!C903="","",Raw!C903)</f>
        <v>2026-03-18</v>
      </c>
      <c r="D903" s="1">
        <f t="shared" ref="D903:D966" si="112">IFERROR(IF(AND(LEN(C903)=10,MID(C903,5,1)="-",MID(C903,8,1)="-"),VALUE(LEFT(C903,4)),IF(AND(LEN(C903)=11,MID(C903,3,1)="-",MID(C903,7,1)="-"),VALUE(RIGHT(C903,4)),0)),0)</f>
        <v>2026</v>
      </c>
      <c r="E903" s="1">
        <f>IFERROR(IF(AND(LEN(C903)=10,MID(C903,5,1)="-",MID(C903,8,1)="-"),VALUE(MID(C903,6,2)),IF(AND(LEN(C903)=11,MID(C903,3,1)="-",MID(C903,7,1)="-"),MATCH(UPPER(MID(C903,4,3)),Guide!$D$7:$D$18,0),0)),0)</f>
        <v>3</v>
      </c>
      <c r="F903" s="1">
        <f t="shared" ref="F903:F966" si="113">IFERROR(IF(AND(LEN(C903)=10,MID(C903,5,1)="-",MID(C903,8,1)="-"),VALUE(RIGHT(C903,2)),IF(AND(LEN(C903)=11,MID(C903,3,1)="-",MID(C903,7,1)="-"),VALUE(LEFT(C903,2)),0)),0)</f>
        <v>18</v>
      </c>
      <c r="G903" s="9">
        <f t="shared" ref="G903:G966" si="114">IFERROR(IF(AND(D903&gt;=1900,D903&lt;=9999,YEAR(DATE(D903,E903,F903))=D903,MONTH(DATE(D903,E903,F903))=E903,DAY(DATE(D903,E903,F903))=F903),DATE(D903,E903,F903),""),"")</f>
        <v>46099</v>
      </c>
      <c r="H903" s="1" t="str">
        <f>IF(Raw!D903="","",Raw!D903)</f>
        <v>P-O</v>
      </c>
      <c r="I903" s="1" t="str">
        <f>IFERROR(IF(EXACT(H903,INDEX(Guide!$A$7:$A$9,MATCH(SUBSTITUTE(SUBSTITUTE(SUBSTITUTE(H903,"~","~~"),"*","~*"),"?","~?"),Guide!$A$7:$A$9,0))),INDEX(Guide!$B$7:$B$9,MATCH(SUBSTITUTE(SUBSTITUTE(SUBSTITUTE(H903,"~","~~"),"*","~*"),"?","~?"),Guide!$A$7:$A$9,0)),""),"")</f>
        <v>Office</v>
      </c>
      <c r="J903" s="1" t="str">
        <f>IF(TRIM(Raw!E903)="",I903,IF(UPPER(TRIM(Raw!E903))=UPPER(I903),I903,""))</f>
        <v>Office</v>
      </c>
      <c r="K903" s="1" t="str">
        <f>IF(Raw!F903="","",Raw!F903)</f>
        <v>sale</v>
      </c>
      <c r="L903" s="1" t="str">
        <f>IF(LEFT(TRIM(Raw!G903),2)="-$","-"&amp;MID(TRIM(Raw!G903),3,99),IF(LEFT(TRIM(Raw!G903),1)="$",MID(TRIM(Raw!G903),2,99),TRIM(Raw!G903)))</f>
        <v>289.53</v>
      </c>
      <c r="M903" s="1">
        <f t="shared" ref="M903:M966" si="115">IFERROR(VALUE(L903),"")</f>
        <v>289.52999999999997</v>
      </c>
      <c r="N903" s="10">
        <f t="shared" ref="N903:N966" si="116">IF(AND(ISNUMBER(M903),ABS(M903*100-ROUND(M903*100,0))&lt;0.0000001),ROUND(M903*100,0),"")</f>
        <v>28953</v>
      </c>
      <c r="O903" s="1" t="b">
        <f>IFERROR(IF(ISNUMBER(Raw!G903),TRUE,OR(EXACT(L903,TEXT(M903,"0.00")),EXACT(L903,TEXT(M903,"#,##0.00")))),FALSE)</f>
        <v>1</v>
      </c>
      <c r="P903" s="1" t="str">
        <f>LEN(IF(Raw!A903="","",Raw!A903))&amp;":"&amp;IF(Raw!A903="","",Raw!A903)&amp;"|"&amp;LEN(IF(Raw!B903="","",Raw!B903))&amp;":"&amp;IF(Raw!B903="","",Raw!B903)&amp;"|"&amp;LEN(IF(Raw!C903="","",Raw!C903))&amp;":"&amp;IF(Raw!C903="","",Raw!C903)&amp;"|"&amp;LEN(IF(Raw!D903="","",Raw!D903))&amp;":"&amp;IF(Raw!D903="","",Raw!D903)&amp;"|"&amp;LEN(IF(Raw!E903="","",Raw!E903))&amp;":"&amp;IF(Raw!E903="","",Raw!E903)&amp;"|"&amp;LEN(IF(Raw!F903="","",Raw!F903))&amp;":"&amp;IF(Raw!F903="","",Raw!F903)&amp;"|"&amp;LEN(IF(Raw!G903="","",Raw!G903))&amp;":"&amp;IF(Raw!G903="","",Raw!G903)</f>
        <v>6:L00897|6:T00449|10:2026-03-18|3:P-O|6:Office|4:sale|6:289.53</v>
      </c>
      <c r="Q903" s="1">
        <f>1</f>
        <v>1</v>
      </c>
      <c r="R903" s="1" t="b">
        <f>FALSE</f>
        <v>0</v>
      </c>
      <c r="S903" s="1">
        <f>1</f>
        <v>1</v>
      </c>
      <c r="T903" s="1" t="str">
        <f>IF(AND(Raw!A903="",Raw!B903="",Raw!C903="",Raw!D903="",Raw!E903="",Raw!F903="",Raw!G903=""),"UNUSED",IF(A903="","missing line ID",IF(B903="","missing transaction ID",IF(G903="",IF(C903="","missing date","invalid date"),IF(I903="","unknown product",IF(J903="","conflicting category",IF(NOT(OR(EXACT(K903,"sale"),EXACT(K903,"refund"))),"unknown event",IF(OR(N903="",NOT(O903)),"invalid amount",IF(OR(AND(K903="sale",N903&lt;=0),AND(K903="refund",N903&gt;=0)),"invalid sign","")))))))))</f>
        <v/>
      </c>
      <c r="U903" s="1" t="str">
        <f t="shared" ref="U903:U966" si="117">IF(T903="UNUSED","UNUSED",IF(R903,"QUARANTINE",IF(S903&gt;1,"DUPLICATE",IF(T903&lt;&gt;"","QUARANTINE","INCLUDED"))))</f>
        <v>INCLUDED</v>
      </c>
      <c r="V903" s="1" t="str">
        <f t="shared" ref="V903:V966" si="118">IF(G903="","",TEXT(G903,"yyyy-mm"))</f>
        <v>2026-03</v>
      </c>
      <c r="W903" s="1">
        <f>IF(AND(U903="INCLUDED",X903&gt;0,EXACT(A903,'AI output'!A903)),1,0)</f>
        <v>1</v>
      </c>
      <c r="X903" s="1">
        <f>903</f>
        <v>903</v>
      </c>
      <c r="Y903" s="1">
        <f>IF(AND(U903="INCLUDED",W903=1),--(NOT(EXACT(A903,'AI output'!A903)))+--(NOT(EXACT(B903,'AI output'!B903)))+--(NOT(EXACT(TEXT(G903,"yyyy-mm-dd"),'AI output'!C903)))+--(NOT(EXACT(H903,'AI output'!D903)))+--(NOT(EXACT(J903,'AI output'!E903)))+--(NOT(EXACT(K903,'AI output'!F903)))+--(N903&lt;&gt;'AI output'!L903)+--(NOT('AI output'!M903)),0)</f>
        <v>0</v>
      </c>
      <c r="Z903" s="1">
        <f t="shared" ref="Z903:Z966" si="119">IF(U903="INCLUDED",IF(OR(W903&lt;&gt;1,Y903&lt;&gt;0),1,0),0)</f>
        <v>0</v>
      </c>
      <c r="AA903" s="1">
        <f>--EXACT(A903,"L00897")</f>
        <v>1</v>
      </c>
    </row>
    <row r="904" spans="1:27" ht="18.95" customHeight="1">
      <c r="A904" s="1" t="str">
        <f>IF(Raw!A904="","",Raw!A904)</f>
        <v>L00898</v>
      </c>
      <c r="B904" s="1" t="str">
        <f>IF(Raw!B904="","",Raw!B904)</f>
        <v>T00449</v>
      </c>
      <c r="C904" s="1" t="str">
        <f>IF(Raw!C904="","",Raw!C904)</f>
        <v>2026-03-18</v>
      </c>
      <c r="D904" s="1">
        <f t="shared" si="112"/>
        <v>2026</v>
      </c>
      <c r="E904" s="1">
        <f>IFERROR(IF(AND(LEN(C904)=10,MID(C904,5,1)="-",MID(C904,8,1)="-"),VALUE(MID(C904,6,2)),IF(AND(LEN(C904)=11,MID(C904,3,1)="-",MID(C904,7,1)="-"),MATCH(UPPER(MID(C904,4,3)),Guide!$D$7:$D$18,0),0)),0)</f>
        <v>3</v>
      </c>
      <c r="F904" s="1">
        <f t="shared" si="113"/>
        <v>18</v>
      </c>
      <c r="G904" s="9">
        <f t="shared" si="114"/>
        <v>46099</v>
      </c>
      <c r="H904" s="1" t="str">
        <f>IF(Raw!D904="","",Raw!D904)</f>
        <v>P-A</v>
      </c>
      <c r="I904" s="1" t="str">
        <f>IFERROR(IF(EXACT(H904,INDEX(Guide!$A$7:$A$9,MATCH(SUBSTITUTE(SUBSTITUTE(SUBSTITUTE(H904,"~","~~"),"*","~*"),"?","~?"),Guide!$A$7:$A$9,0))),INDEX(Guide!$B$7:$B$9,MATCH(SUBSTITUTE(SUBSTITUTE(SUBSTITUTE(H904,"~","~~"),"*","~*"),"?","~?"),Guide!$A$7:$A$9,0)),""),"")</f>
        <v>Accessories</v>
      </c>
      <c r="J904" s="1" t="str">
        <f>IF(TRIM(Raw!E904)="",I904,IF(UPPER(TRIM(Raw!E904))=UPPER(I904),I904,""))</f>
        <v>Accessories</v>
      </c>
      <c r="K904" s="1" t="str">
        <f>IF(Raw!F904="","",Raw!F904)</f>
        <v>refund</v>
      </c>
      <c r="L904" s="1" t="str">
        <f>IF(LEFT(TRIM(Raw!G904),2)="-$","-"&amp;MID(TRIM(Raw!G904),3,99),IF(LEFT(TRIM(Raw!G904),1)="$",MID(TRIM(Raw!G904),2,99),TRIM(Raw!G904)))</f>
        <v>-484.40</v>
      </c>
      <c r="M904" s="1">
        <f t="shared" si="115"/>
        <v>-484.4</v>
      </c>
      <c r="N904" s="10">
        <f t="shared" si="116"/>
        <v>-48440</v>
      </c>
      <c r="O904" s="1" t="b">
        <f>IFERROR(IF(ISNUMBER(Raw!G904),TRUE,OR(EXACT(L904,TEXT(M904,"0.00")),EXACT(L904,TEXT(M904,"#,##0.00")))),FALSE)</f>
        <v>1</v>
      </c>
      <c r="P904" s="1" t="str">
        <f>LEN(IF(Raw!A904="","",Raw!A904))&amp;":"&amp;IF(Raw!A904="","",Raw!A904)&amp;"|"&amp;LEN(IF(Raw!B904="","",Raw!B904))&amp;":"&amp;IF(Raw!B904="","",Raw!B904)&amp;"|"&amp;LEN(IF(Raw!C904="","",Raw!C904))&amp;":"&amp;IF(Raw!C904="","",Raw!C904)&amp;"|"&amp;LEN(IF(Raw!D904="","",Raw!D904))&amp;":"&amp;IF(Raw!D904="","",Raw!D904)&amp;"|"&amp;LEN(IF(Raw!E904="","",Raw!E904))&amp;":"&amp;IF(Raw!E904="","",Raw!E904)&amp;"|"&amp;LEN(IF(Raw!F904="","",Raw!F904))&amp;":"&amp;IF(Raw!F904="","",Raw!F904)&amp;"|"&amp;LEN(IF(Raw!G904="","",Raw!G904))&amp;":"&amp;IF(Raw!G904="","",Raw!G904)</f>
        <v>6:L00898|6:T00449|10:2026-03-18|3:P-A|11:Accessories|6:refund|7:-484.40</v>
      </c>
      <c r="Q904" s="1">
        <f>1</f>
        <v>1</v>
      </c>
      <c r="R904" s="1" t="b">
        <f>FALSE</f>
        <v>0</v>
      </c>
      <c r="S904" s="1">
        <f>1</f>
        <v>1</v>
      </c>
      <c r="T904" s="1" t="str">
        <f>IF(AND(Raw!A904="",Raw!B904="",Raw!C904="",Raw!D904="",Raw!E904="",Raw!F904="",Raw!G904=""),"UNUSED",IF(A904="","missing line ID",IF(B904="","missing transaction ID",IF(G904="",IF(C904="","missing date","invalid date"),IF(I904="","unknown product",IF(J904="","conflicting category",IF(NOT(OR(EXACT(K904,"sale"),EXACT(K904,"refund"))),"unknown event",IF(OR(N904="",NOT(O904)),"invalid amount",IF(OR(AND(K904="sale",N904&lt;=0),AND(K904="refund",N904&gt;=0)),"invalid sign","")))))))))</f>
        <v/>
      </c>
      <c r="U904" s="1" t="str">
        <f t="shared" si="117"/>
        <v>INCLUDED</v>
      </c>
      <c r="V904" s="1" t="str">
        <f t="shared" si="118"/>
        <v>2026-03</v>
      </c>
      <c r="W904" s="1">
        <f>IF(AND(U904="INCLUDED",X904&gt;0,EXACT(A904,'AI output'!A904)),1,0)</f>
        <v>1</v>
      </c>
      <c r="X904" s="1">
        <f>904</f>
        <v>904</v>
      </c>
      <c r="Y904" s="1">
        <f>IF(AND(U904="INCLUDED",W904=1),--(NOT(EXACT(A904,'AI output'!A904)))+--(NOT(EXACT(B904,'AI output'!B904)))+--(NOT(EXACT(TEXT(G904,"yyyy-mm-dd"),'AI output'!C904)))+--(NOT(EXACT(H904,'AI output'!D904)))+--(NOT(EXACT(J904,'AI output'!E904)))+--(NOT(EXACT(K904,'AI output'!F904)))+--(N904&lt;&gt;'AI output'!L904)+--(NOT('AI output'!M904)),0)</f>
        <v>0</v>
      </c>
      <c r="Z904" s="1">
        <f t="shared" si="119"/>
        <v>0</v>
      </c>
      <c r="AA904" s="1">
        <f>--EXACT(A904,"L00898")</f>
        <v>1</v>
      </c>
    </row>
    <row r="905" spans="1:27" ht="18.95" customHeight="1">
      <c r="A905" s="1" t="str">
        <f>IF(Raw!A905="","",Raw!A905)</f>
        <v>L00899</v>
      </c>
      <c r="B905" s="1" t="str">
        <f>IF(Raw!B905="","",Raw!B905)</f>
        <v>T00450</v>
      </c>
      <c r="C905" s="1" t="str">
        <f>IF(Raw!C905="","",Raw!C905)</f>
        <v>2026-03-25</v>
      </c>
      <c r="D905" s="1">
        <f t="shared" si="112"/>
        <v>2026</v>
      </c>
      <c r="E905" s="1">
        <f>IFERROR(IF(AND(LEN(C905)=10,MID(C905,5,1)="-",MID(C905,8,1)="-"),VALUE(MID(C905,6,2)),IF(AND(LEN(C905)=11,MID(C905,3,1)="-",MID(C905,7,1)="-"),MATCH(UPPER(MID(C905,4,3)),Guide!$D$7:$D$18,0),0)),0)</f>
        <v>3</v>
      </c>
      <c r="F905" s="1">
        <f t="shared" si="113"/>
        <v>25</v>
      </c>
      <c r="G905" s="9">
        <f t="shared" si="114"/>
        <v>46106</v>
      </c>
      <c r="H905" s="1" t="str">
        <f>IF(Raw!D905="","",Raw!D905)</f>
        <v>P-H</v>
      </c>
      <c r="I905" s="1" t="str">
        <f>IFERROR(IF(EXACT(H905,INDEX(Guide!$A$7:$A$9,MATCH(SUBSTITUTE(SUBSTITUTE(SUBSTITUTE(H905,"~","~~"),"*","~*"),"?","~?"),Guide!$A$7:$A$9,0))),INDEX(Guide!$B$7:$B$9,MATCH(SUBSTITUTE(SUBSTITUTE(SUBSTITUTE(H905,"~","~~"),"*","~*"),"?","~?"),Guide!$A$7:$A$9,0)),""),"")</f>
        <v>Home</v>
      </c>
      <c r="J905" s="1" t="str">
        <f>IF(TRIM(Raw!E905)="",I905,IF(UPPER(TRIM(Raw!E905))=UPPER(I905),I905,""))</f>
        <v>Home</v>
      </c>
      <c r="K905" s="1" t="str">
        <f>IF(Raw!F905="","",Raw!F905)</f>
        <v>sale</v>
      </c>
      <c r="L905" s="1" t="str">
        <f>IF(LEFT(TRIM(Raw!G905),2)="-$","-"&amp;MID(TRIM(Raw!G905),3,99),IF(LEFT(TRIM(Raw!G905),1)="$",MID(TRIM(Raw!G905),2,99),TRIM(Raw!G905)))</f>
        <v>194.50</v>
      </c>
      <c r="M905" s="1">
        <f t="shared" si="115"/>
        <v>194.5</v>
      </c>
      <c r="N905" s="10">
        <f t="shared" si="116"/>
        <v>19450</v>
      </c>
      <c r="O905" s="1" t="b">
        <f>IFERROR(IF(ISNUMBER(Raw!G905),TRUE,OR(EXACT(L905,TEXT(M905,"0.00")),EXACT(L905,TEXT(M905,"#,##0.00")))),FALSE)</f>
        <v>1</v>
      </c>
      <c r="P905" s="1" t="str">
        <f>LEN(IF(Raw!A905="","",Raw!A905))&amp;":"&amp;IF(Raw!A905="","",Raw!A905)&amp;"|"&amp;LEN(IF(Raw!B905="","",Raw!B905))&amp;":"&amp;IF(Raw!B905="","",Raw!B905)&amp;"|"&amp;LEN(IF(Raw!C905="","",Raw!C905))&amp;":"&amp;IF(Raw!C905="","",Raw!C905)&amp;"|"&amp;LEN(IF(Raw!D905="","",Raw!D905))&amp;":"&amp;IF(Raw!D905="","",Raw!D905)&amp;"|"&amp;LEN(IF(Raw!E905="","",Raw!E905))&amp;":"&amp;IF(Raw!E905="","",Raw!E905)&amp;"|"&amp;LEN(IF(Raw!F905="","",Raw!F905))&amp;":"&amp;IF(Raw!F905="","",Raw!F905)&amp;"|"&amp;LEN(IF(Raw!G905="","",Raw!G905))&amp;":"&amp;IF(Raw!G905="","",Raw!G905)</f>
        <v>6:L00899|6:T00450|10:2026-03-25|3:P-H|4:Home|4:sale|6:194.50</v>
      </c>
      <c r="Q905" s="1">
        <f>1</f>
        <v>1</v>
      </c>
      <c r="R905" s="1" t="b">
        <f>FALSE</f>
        <v>0</v>
      </c>
      <c r="S905" s="1">
        <f>1</f>
        <v>1</v>
      </c>
      <c r="T905" s="1" t="str">
        <f>IF(AND(Raw!A905="",Raw!B905="",Raw!C905="",Raw!D905="",Raw!E905="",Raw!F905="",Raw!G905=""),"UNUSED",IF(A905="","missing line ID",IF(B905="","missing transaction ID",IF(G905="",IF(C905="","missing date","invalid date"),IF(I905="","unknown product",IF(J905="","conflicting category",IF(NOT(OR(EXACT(K905,"sale"),EXACT(K905,"refund"))),"unknown event",IF(OR(N905="",NOT(O905)),"invalid amount",IF(OR(AND(K905="sale",N905&lt;=0),AND(K905="refund",N905&gt;=0)),"invalid sign","")))))))))</f>
        <v/>
      </c>
      <c r="U905" s="1" t="str">
        <f t="shared" si="117"/>
        <v>INCLUDED</v>
      </c>
      <c r="V905" s="1" t="str">
        <f t="shared" si="118"/>
        <v>2026-03</v>
      </c>
      <c r="W905" s="1">
        <f>IF(AND(U905="INCLUDED",X905&gt;0,EXACT(A905,'AI output'!A905)),1,0)</f>
        <v>1</v>
      </c>
      <c r="X905" s="1">
        <f>905</f>
        <v>905</v>
      </c>
      <c r="Y905" s="1">
        <f>IF(AND(U905="INCLUDED",W905=1),--(NOT(EXACT(A905,'AI output'!A905)))+--(NOT(EXACT(B905,'AI output'!B905)))+--(NOT(EXACT(TEXT(G905,"yyyy-mm-dd"),'AI output'!C905)))+--(NOT(EXACT(H905,'AI output'!D905)))+--(NOT(EXACT(J905,'AI output'!E905)))+--(NOT(EXACT(K905,'AI output'!F905)))+--(N905&lt;&gt;'AI output'!L905)+--(NOT('AI output'!M905)),0)</f>
        <v>0</v>
      </c>
      <c r="Z905" s="1">
        <f t="shared" si="119"/>
        <v>0</v>
      </c>
      <c r="AA905" s="1">
        <f>--EXACT(A905,"L00899")</f>
        <v>1</v>
      </c>
    </row>
    <row r="906" spans="1:27" ht="18.95" customHeight="1">
      <c r="A906" s="1" t="str">
        <f>IF(Raw!A906="","",Raw!A906)</f>
        <v>L00900</v>
      </c>
      <c r="B906" s="1" t="str">
        <f>IF(Raw!B906="","",Raw!B906)</f>
        <v>T00450</v>
      </c>
      <c r="C906" s="1" t="str">
        <f>IF(Raw!C906="","",Raw!C906)</f>
        <v>2026-03-25</v>
      </c>
      <c r="D906" s="1">
        <f t="shared" si="112"/>
        <v>2026</v>
      </c>
      <c r="E906" s="1">
        <f>IFERROR(IF(AND(LEN(C906)=10,MID(C906,5,1)="-",MID(C906,8,1)="-"),VALUE(MID(C906,6,2)),IF(AND(LEN(C906)=11,MID(C906,3,1)="-",MID(C906,7,1)="-"),MATCH(UPPER(MID(C906,4,3)),Guide!$D$7:$D$18,0),0)),0)</f>
        <v>3</v>
      </c>
      <c r="F906" s="1">
        <f t="shared" si="113"/>
        <v>25</v>
      </c>
      <c r="G906" s="9">
        <f t="shared" si="114"/>
        <v>46106</v>
      </c>
      <c r="H906" s="1" t="str">
        <f>IF(Raw!D906="","",Raw!D906)</f>
        <v>P-O</v>
      </c>
      <c r="I906" s="1" t="str">
        <f>IFERROR(IF(EXACT(H906,INDEX(Guide!$A$7:$A$9,MATCH(SUBSTITUTE(SUBSTITUTE(SUBSTITUTE(H906,"~","~~"),"*","~*"),"?","~?"),Guide!$A$7:$A$9,0))),INDEX(Guide!$B$7:$B$9,MATCH(SUBSTITUTE(SUBSTITUTE(SUBSTITUTE(H906,"~","~~"),"*","~*"),"?","~?"),Guide!$A$7:$A$9,0)),""),"")</f>
        <v>Office</v>
      </c>
      <c r="J906" s="1" t="str">
        <f>IF(TRIM(Raw!E906)="",I906,IF(UPPER(TRIM(Raw!E906))=UPPER(I906),I906,""))</f>
        <v>Office</v>
      </c>
      <c r="K906" s="1" t="str">
        <f>IF(Raw!F906="","",Raw!F906)</f>
        <v>sale</v>
      </c>
      <c r="L906" s="1" t="str">
        <f>IF(LEFT(TRIM(Raw!G906),2)="-$","-"&amp;MID(TRIM(Raw!G906),3,99),IF(LEFT(TRIM(Raw!G906),1)="$",MID(TRIM(Raw!G906),2,99),TRIM(Raw!G906)))</f>
        <v>390.48</v>
      </c>
      <c r="M906" s="1">
        <f t="shared" si="115"/>
        <v>390.48</v>
      </c>
      <c r="N906" s="10">
        <f t="shared" si="116"/>
        <v>39048</v>
      </c>
      <c r="O906" s="1" t="b">
        <f>IFERROR(IF(ISNUMBER(Raw!G906),TRUE,OR(EXACT(L906,TEXT(M906,"0.00")),EXACT(L906,TEXT(M906,"#,##0.00")))),FALSE)</f>
        <v>1</v>
      </c>
      <c r="P906" s="1" t="str">
        <f>LEN(IF(Raw!A906="","",Raw!A906))&amp;":"&amp;IF(Raw!A906="","",Raw!A906)&amp;"|"&amp;LEN(IF(Raw!B906="","",Raw!B906))&amp;":"&amp;IF(Raw!B906="","",Raw!B906)&amp;"|"&amp;LEN(IF(Raw!C906="","",Raw!C906))&amp;":"&amp;IF(Raw!C906="","",Raw!C906)&amp;"|"&amp;LEN(IF(Raw!D906="","",Raw!D906))&amp;":"&amp;IF(Raw!D906="","",Raw!D906)&amp;"|"&amp;LEN(IF(Raw!E906="","",Raw!E906))&amp;":"&amp;IF(Raw!E906="","",Raw!E906)&amp;"|"&amp;LEN(IF(Raw!F906="","",Raw!F906))&amp;":"&amp;IF(Raw!F906="","",Raw!F906)&amp;"|"&amp;LEN(IF(Raw!G906="","",Raw!G906))&amp;":"&amp;IF(Raw!G906="","",Raw!G906)</f>
        <v>6:L00900|6:T00450|10:2026-03-25|3:P-O|6:Office|4:sale|6:390.48</v>
      </c>
      <c r="Q906" s="1">
        <f>1</f>
        <v>1</v>
      </c>
      <c r="R906" s="1" t="b">
        <f>FALSE</f>
        <v>0</v>
      </c>
      <c r="S906" s="1">
        <f>1</f>
        <v>1</v>
      </c>
      <c r="T906" s="1" t="str">
        <f>IF(AND(Raw!A906="",Raw!B906="",Raw!C906="",Raw!D906="",Raw!E906="",Raw!F906="",Raw!G906=""),"UNUSED",IF(A906="","missing line ID",IF(B906="","missing transaction ID",IF(G906="",IF(C906="","missing date","invalid date"),IF(I906="","unknown product",IF(J906="","conflicting category",IF(NOT(OR(EXACT(K906,"sale"),EXACT(K906,"refund"))),"unknown event",IF(OR(N906="",NOT(O906)),"invalid amount",IF(OR(AND(K906="sale",N906&lt;=0),AND(K906="refund",N906&gt;=0)),"invalid sign","")))))))))</f>
        <v/>
      </c>
      <c r="U906" s="1" t="str">
        <f t="shared" si="117"/>
        <v>INCLUDED</v>
      </c>
      <c r="V906" s="1" t="str">
        <f t="shared" si="118"/>
        <v>2026-03</v>
      </c>
      <c r="W906" s="1">
        <f>IF(AND(U906="INCLUDED",X906&gt;0,EXACT(A906,'AI output'!A906)),1,0)</f>
        <v>1</v>
      </c>
      <c r="X906" s="1">
        <f>906</f>
        <v>906</v>
      </c>
      <c r="Y906" s="1">
        <f>IF(AND(U906="INCLUDED",W906=1),--(NOT(EXACT(A906,'AI output'!A906)))+--(NOT(EXACT(B906,'AI output'!B906)))+--(NOT(EXACT(TEXT(G906,"yyyy-mm-dd"),'AI output'!C906)))+--(NOT(EXACT(H906,'AI output'!D906)))+--(NOT(EXACT(J906,'AI output'!E906)))+--(NOT(EXACT(K906,'AI output'!F906)))+--(N906&lt;&gt;'AI output'!L906)+--(NOT('AI output'!M906)),0)</f>
        <v>0</v>
      </c>
      <c r="Z906" s="1">
        <f t="shared" si="119"/>
        <v>0</v>
      </c>
      <c r="AA906" s="1">
        <f>--EXACT(A906,"L00900")</f>
        <v>1</v>
      </c>
    </row>
    <row r="907" spans="1:27" ht="18.95" customHeight="1">
      <c r="A907" s="1" t="str">
        <f>IF(Raw!A907="","",Raw!A907)</f>
        <v>L00901</v>
      </c>
      <c r="B907" s="1" t="str">
        <f>IF(Raw!B907="","",Raw!B907)</f>
        <v>T00451</v>
      </c>
      <c r="C907" s="1" t="str">
        <f>IF(Raw!C907="","",Raw!C907)</f>
        <v>2026-01-01</v>
      </c>
      <c r="D907" s="1">
        <f t="shared" si="112"/>
        <v>2026</v>
      </c>
      <c r="E907" s="1">
        <f>IFERROR(IF(AND(LEN(C907)=10,MID(C907,5,1)="-",MID(C907,8,1)="-"),VALUE(MID(C907,6,2)),IF(AND(LEN(C907)=11,MID(C907,3,1)="-",MID(C907,7,1)="-"),MATCH(UPPER(MID(C907,4,3)),Guide!$D$7:$D$18,0),0)),0)</f>
        <v>1</v>
      </c>
      <c r="F907" s="1">
        <f t="shared" si="113"/>
        <v>1</v>
      </c>
      <c r="G907" s="9">
        <f t="shared" si="114"/>
        <v>46023</v>
      </c>
      <c r="H907" s="1" t="str">
        <f>IF(Raw!D907="","",Raw!D907)</f>
        <v>P-A</v>
      </c>
      <c r="I907" s="1" t="str">
        <f>IFERROR(IF(EXACT(H907,INDEX(Guide!$A$7:$A$9,MATCH(SUBSTITUTE(SUBSTITUTE(SUBSTITUTE(H907,"~","~~"),"*","~*"),"?","~?"),Guide!$A$7:$A$9,0))),INDEX(Guide!$B$7:$B$9,MATCH(SUBSTITUTE(SUBSTITUTE(SUBSTITUTE(H907,"~","~~"),"*","~*"),"?","~?"),Guide!$A$7:$A$9,0)),""),"")</f>
        <v>Accessories</v>
      </c>
      <c r="J907" s="1" t="str">
        <f>IF(TRIM(Raw!E907)="",I907,IF(UPPER(TRIM(Raw!E907))=UPPER(I907),I907,""))</f>
        <v>Accessories</v>
      </c>
      <c r="K907" s="1" t="str">
        <f>IF(Raw!F907="","",Raw!F907)</f>
        <v>sale</v>
      </c>
      <c r="L907" s="1" t="str">
        <f>IF(LEFT(TRIM(Raw!G907),2)="-$","-"&amp;MID(TRIM(Raw!G907),3,99),IF(LEFT(TRIM(Raw!G907),1)="$",MID(TRIM(Raw!G907),2,99),TRIM(Raw!G907)))</f>
        <v>97.99</v>
      </c>
      <c r="M907" s="1">
        <f t="shared" si="115"/>
        <v>97.99</v>
      </c>
      <c r="N907" s="10">
        <f t="shared" si="116"/>
        <v>9799</v>
      </c>
      <c r="O907" s="1" t="b">
        <f>IFERROR(IF(ISNUMBER(Raw!G907),TRUE,OR(EXACT(L907,TEXT(M907,"0.00")),EXACT(L907,TEXT(M907,"#,##0.00")))),FALSE)</f>
        <v>1</v>
      </c>
      <c r="P907" s="1" t="str">
        <f>LEN(IF(Raw!A907="","",Raw!A907))&amp;":"&amp;IF(Raw!A907="","",Raw!A907)&amp;"|"&amp;LEN(IF(Raw!B907="","",Raw!B907))&amp;":"&amp;IF(Raw!B907="","",Raw!B907)&amp;"|"&amp;LEN(IF(Raw!C907="","",Raw!C907))&amp;":"&amp;IF(Raw!C907="","",Raw!C907)&amp;"|"&amp;LEN(IF(Raw!D907="","",Raw!D907))&amp;":"&amp;IF(Raw!D907="","",Raw!D907)&amp;"|"&amp;LEN(IF(Raw!E907="","",Raw!E907))&amp;":"&amp;IF(Raw!E907="","",Raw!E907)&amp;"|"&amp;LEN(IF(Raw!F907="","",Raw!F907))&amp;":"&amp;IF(Raw!F907="","",Raw!F907)&amp;"|"&amp;LEN(IF(Raw!G907="","",Raw!G907))&amp;":"&amp;IF(Raw!G907="","",Raw!G907)</f>
        <v>6:L00901|6:T00451|10:2026-01-01|3:P-A|11:Accessories|4:sale|5:97.99</v>
      </c>
      <c r="Q907" s="1">
        <f>1</f>
        <v>1</v>
      </c>
      <c r="R907" s="1" t="b">
        <f>FALSE</f>
        <v>0</v>
      </c>
      <c r="S907" s="1">
        <f>1</f>
        <v>1</v>
      </c>
      <c r="T907" s="1" t="str">
        <f>IF(AND(Raw!A907="",Raw!B907="",Raw!C907="",Raw!D907="",Raw!E907="",Raw!F907="",Raw!G907=""),"UNUSED",IF(A907="","missing line ID",IF(B907="","missing transaction ID",IF(G907="",IF(C907="","missing date","invalid date"),IF(I907="","unknown product",IF(J907="","conflicting category",IF(NOT(OR(EXACT(K907,"sale"),EXACT(K907,"refund"))),"unknown event",IF(OR(N907="",NOT(O907)),"invalid amount",IF(OR(AND(K907="sale",N907&lt;=0),AND(K907="refund",N907&gt;=0)),"invalid sign","")))))))))</f>
        <v/>
      </c>
      <c r="U907" s="1" t="str">
        <f t="shared" si="117"/>
        <v>INCLUDED</v>
      </c>
      <c r="V907" s="1" t="str">
        <f t="shared" si="118"/>
        <v>2026-01</v>
      </c>
      <c r="W907" s="1">
        <f>IF(AND(U907="INCLUDED",X907&gt;0,EXACT(A907,'AI output'!A907)),1,0)</f>
        <v>1</v>
      </c>
      <c r="X907" s="1">
        <f>907</f>
        <v>907</v>
      </c>
      <c r="Y907" s="1">
        <f>IF(AND(U907="INCLUDED",W907=1),--(NOT(EXACT(A907,'AI output'!A907)))+--(NOT(EXACT(B907,'AI output'!B907)))+--(NOT(EXACT(TEXT(G907,"yyyy-mm-dd"),'AI output'!C907)))+--(NOT(EXACT(H907,'AI output'!D907)))+--(NOT(EXACT(J907,'AI output'!E907)))+--(NOT(EXACT(K907,'AI output'!F907)))+--(N907&lt;&gt;'AI output'!L907)+--(NOT('AI output'!M907)),0)</f>
        <v>0</v>
      </c>
      <c r="Z907" s="1">
        <f t="shared" si="119"/>
        <v>0</v>
      </c>
      <c r="AA907" s="1">
        <f>--EXACT(A907,"L00901")</f>
        <v>1</v>
      </c>
    </row>
    <row r="908" spans="1:27" ht="18.95" customHeight="1">
      <c r="A908" s="1" t="str">
        <f>IF(Raw!A908="","",Raw!A908)</f>
        <v>L00902</v>
      </c>
      <c r="B908" s="1" t="str">
        <f>IF(Raw!B908="","",Raw!B908)</f>
        <v>T00451</v>
      </c>
      <c r="C908" s="1" t="str">
        <f>IF(Raw!C908="","",Raw!C908)</f>
        <v>2026-01-01</v>
      </c>
      <c r="D908" s="1">
        <f t="shared" si="112"/>
        <v>2026</v>
      </c>
      <c r="E908" s="1">
        <f>IFERROR(IF(AND(LEN(C908)=10,MID(C908,5,1)="-",MID(C908,8,1)="-"),VALUE(MID(C908,6,2)),IF(AND(LEN(C908)=11,MID(C908,3,1)="-",MID(C908,7,1)="-"),MATCH(UPPER(MID(C908,4,3)),Guide!$D$7:$D$18,0),0)),0)</f>
        <v>1</v>
      </c>
      <c r="F908" s="1">
        <f t="shared" si="113"/>
        <v>1</v>
      </c>
      <c r="G908" s="9">
        <f t="shared" si="114"/>
        <v>46023</v>
      </c>
      <c r="H908" s="1" t="str">
        <f>IF(Raw!D908="","",Raw!D908)</f>
        <v>P-H</v>
      </c>
      <c r="I908" s="1" t="str">
        <f>IFERROR(IF(EXACT(H908,INDEX(Guide!$A$7:$A$9,MATCH(SUBSTITUTE(SUBSTITUTE(SUBSTITUTE(H908,"~","~~"),"*","~*"),"?","~?"),Guide!$A$7:$A$9,0))),INDEX(Guide!$B$7:$B$9,MATCH(SUBSTITUTE(SUBSTITUTE(SUBSTITUTE(H908,"~","~~"),"*","~*"),"?","~?"),Guide!$A$7:$A$9,0)),""),"")</f>
        <v>Home</v>
      </c>
      <c r="J908" s="1" t="str">
        <f>IF(TRIM(Raw!E908)="",I908,IF(UPPER(TRIM(Raw!E908))=UPPER(I908),I908,""))</f>
        <v>Home</v>
      </c>
      <c r="K908" s="1" t="str">
        <f>IF(Raw!F908="","",Raw!F908)</f>
        <v>sale</v>
      </c>
      <c r="L908" s="1" t="str">
        <f>IF(LEFT(TRIM(Raw!G908),2)="-$","-"&amp;MID(TRIM(Raw!G908),3,99),IF(LEFT(TRIM(Raw!G908),1)="$",MID(TRIM(Raw!G908),2,99),TRIM(Raw!G908)))</f>
        <v>295.08</v>
      </c>
      <c r="M908" s="1">
        <f t="shared" si="115"/>
        <v>295.08</v>
      </c>
      <c r="N908" s="10">
        <f t="shared" si="116"/>
        <v>29508</v>
      </c>
      <c r="O908" s="1" t="b">
        <f>IFERROR(IF(ISNUMBER(Raw!G908),TRUE,OR(EXACT(L908,TEXT(M908,"0.00")),EXACT(L908,TEXT(M908,"#,##0.00")))),FALSE)</f>
        <v>1</v>
      </c>
      <c r="P908" s="1" t="str">
        <f>LEN(IF(Raw!A908="","",Raw!A908))&amp;":"&amp;IF(Raw!A908="","",Raw!A908)&amp;"|"&amp;LEN(IF(Raw!B908="","",Raw!B908))&amp;":"&amp;IF(Raw!B908="","",Raw!B908)&amp;"|"&amp;LEN(IF(Raw!C908="","",Raw!C908))&amp;":"&amp;IF(Raw!C908="","",Raw!C908)&amp;"|"&amp;LEN(IF(Raw!D908="","",Raw!D908))&amp;":"&amp;IF(Raw!D908="","",Raw!D908)&amp;"|"&amp;LEN(IF(Raw!E908="","",Raw!E908))&amp;":"&amp;IF(Raw!E908="","",Raw!E908)&amp;"|"&amp;LEN(IF(Raw!F908="","",Raw!F908))&amp;":"&amp;IF(Raw!F908="","",Raw!F908)&amp;"|"&amp;LEN(IF(Raw!G908="","",Raw!G908))&amp;":"&amp;IF(Raw!G908="","",Raw!G908)</f>
        <v>6:L00902|6:T00451|10:2026-01-01|3:P-H|4:Home|4:sale|6:295.08</v>
      </c>
      <c r="Q908" s="1">
        <f>1</f>
        <v>1</v>
      </c>
      <c r="R908" s="1" t="b">
        <f>FALSE</f>
        <v>0</v>
      </c>
      <c r="S908" s="1">
        <f>1</f>
        <v>1</v>
      </c>
      <c r="T908" s="1" t="str">
        <f>IF(AND(Raw!A908="",Raw!B908="",Raw!C908="",Raw!D908="",Raw!E908="",Raw!F908="",Raw!G908=""),"UNUSED",IF(A908="","missing line ID",IF(B908="","missing transaction ID",IF(G908="",IF(C908="","missing date","invalid date"),IF(I908="","unknown product",IF(J908="","conflicting category",IF(NOT(OR(EXACT(K908,"sale"),EXACT(K908,"refund"))),"unknown event",IF(OR(N908="",NOT(O908)),"invalid amount",IF(OR(AND(K908="sale",N908&lt;=0),AND(K908="refund",N908&gt;=0)),"invalid sign","")))))))))</f>
        <v/>
      </c>
      <c r="U908" s="1" t="str">
        <f t="shared" si="117"/>
        <v>INCLUDED</v>
      </c>
      <c r="V908" s="1" t="str">
        <f t="shared" si="118"/>
        <v>2026-01</v>
      </c>
      <c r="W908" s="1">
        <f>IF(AND(U908="INCLUDED",X908&gt;0,EXACT(A908,'AI output'!A908)),1,0)</f>
        <v>1</v>
      </c>
      <c r="X908" s="1">
        <f>908</f>
        <v>908</v>
      </c>
      <c r="Y908" s="1">
        <f>IF(AND(U908="INCLUDED",W908=1),--(NOT(EXACT(A908,'AI output'!A908)))+--(NOT(EXACT(B908,'AI output'!B908)))+--(NOT(EXACT(TEXT(G908,"yyyy-mm-dd"),'AI output'!C908)))+--(NOT(EXACT(H908,'AI output'!D908)))+--(NOT(EXACT(J908,'AI output'!E908)))+--(NOT(EXACT(K908,'AI output'!F908)))+--(N908&lt;&gt;'AI output'!L908)+--(NOT('AI output'!M908)),0)</f>
        <v>0</v>
      </c>
      <c r="Z908" s="1">
        <f t="shared" si="119"/>
        <v>0</v>
      </c>
      <c r="AA908" s="1">
        <f>--EXACT(A908,"L00902")</f>
        <v>1</v>
      </c>
    </row>
    <row r="909" spans="1:27" ht="18.95" customHeight="1">
      <c r="A909" s="1" t="str">
        <f>IF(Raw!A909="","",Raw!A909)</f>
        <v>L00903</v>
      </c>
      <c r="B909" s="1" t="str">
        <f>IF(Raw!B909="","",Raw!B909)</f>
        <v>T00452</v>
      </c>
      <c r="C909" s="1" t="str">
        <f>IF(Raw!C909="","",Raw!C909)</f>
        <v>2026-01-08</v>
      </c>
      <c r="D909" s="1">
        <f t="shared" si="112"/>
        <v>2026</v>
      </c>
      <c r="E909" s="1">
        <f>IFERROR(IF(AND(LEN(C909)=10,MID(C909,5,1)="-",MID(C909,8,1)="-"),VALUE(MID(C909,6,2)),IF(AND(LEN(C909)=11,MID(C909,3,1)="-",MID(C909,7,1)="-"),MATCH(UPPER(MID(C909,4,3)),Guide!$D$7:$D$18,0),0)),0)</f>
        <v>1</v>
      </c>
      <c r="F909" s="1">
        <f t="shared" si="113"/>
        <v>8</v>
      </c>
      <c r="G909" s="9">
        <f t="shared" si="114"/>
        <v>46030</v>
      </c>
      <c r="H909" s="1" t="str">
        <f>IF(Raw!D909="","",Raw!D909)</f>
        <v>P-O</v>
      </c>
      <c r="I909" s="1" t="str">
        <f>IFERROR(IF(EXACT(H909,INDEX(Guide!$A$7:$A$9,MATCH(SUBSTITUTE(SUBSTITUTE(SUBSTITUTE(H909,"~","~~"),"*","~*"),"?","~?"),Guide!$A$7:$A$9,0))),INDEX(Guide!$B$7:$B$9,MATCH(SUBSTITUTE(SUBSTITUTE(SUBSTITUTE(H909,"~","~~"),"*","~*"),"?","~?"),Guide!$A$7:$A$9,0)),""),"")</f>
        <v>Office</v>
      </c>
      <c r="J909" s="1" t="str">
        <f>IF(TRIM(Raw!E909)="",I909,IF(UPPER(TRIM(Raw!E909))=UPPER(I909),I909,""))</f>
        <v>Office</v>
      </c>
      <c r="K909" s="1" t="str">
        <f>IF(Raw!F909="","",Raw!F909)</f>
        <v>sale</v>
      </c>
      <c r="L909" s="1" t="str">
        <f>IF(LEFT(TRIM(Raw!G909),2)="-$","-"&amp;MID(TRIM(Raw!G909),3,99),IF(LEFT(TRIM(Raw!G909),1)="$",MID(TRIM(Raw!G909),2,99),TRIM(Raw!G909)))</f>
        <v>493.65</v>
      </c>
      <c r="M909" s="1">
        <f t="shared" si="115"/>
        <v>493.65</v>
      </c>
      <c r="N909" s="10">
        <f t="shared" si="116"/>
        <v>49365</v>
      </c>
      <c r="O909" s="1" t="b">
        <f>IFERROR(IF(ISNUMBER(Raw!G909),TRUE,OR(EXACT(L909,TEXT(M909,"0.00")),EXACT(L909,TEXT(M909,"#,##0.00")))),FALSE)</f>
        <v>1</v>
      </c>
      <c r="P909" s="1" t="str">
        <f>LEN(IF(Raw!A909="","",Raw!A909))&amp;":"&amp;IF(Raw!A909="","",Raw!A909)&amp;"|"&amp;LEN(IF(Raw!B909="","",Raw!B909))&amp;":"&amp;IF(Raw!B909="","",Raw!B909)&amp;"|"&amp;LEN(IF(Raw!C909="","",Raw!C909))&amp;":"&amp;IF(Raw!C909="","",Raw!C909)&amp;"|"&amp;LEN(IF(Raw!D909="","",Raw!D909))&amp;":"&amp;IF(Raw!D909="","",Raw!D909)&amp;"|"&amp;LEN(IF(Raw!E909="","",Raw!E909))&amp;":"&amp;IF(Raw!E909="","",Raw!E909)&amp;"|"&amp;LEN(IF(Raw!F909="","",Raw!F909))&amp;":"&amp;IF(Raw!F909="","",Raw!F909)&amp;"|"&amp;LEN(IF(Raw!G909="","",Raw!G909))&amp;":"&amp;IF(Raw!G909="","",Raw!G909)</f>
        <v>6:L00903|6:T00452|10:2026-01-08|3:P-O|6:Office|4:sale|6:493.65</v>
      </c>
      <c r="Q909" s="1">
        <f>1</f>
        <v>1</v>
      </c>
      <c r="R909" s="1" t="b">
        <f>FALSE</f>
        <v>0</v>
      </c>
      <c r="S909" s="1">
        <f>1</f>
        <v>1</v>
      </c>
      <c r="T909" s="1" t="str">
        <f>IF(AND(Raw!A909="",Raw!B909="",Raw!C909="",Raw!D909="",Raw!E909="",Raw!F909="",Raw!G909=""),"UNUSED",IF(A909="","missing line ID",IF(B909="","missing transaction ID",IF(G909="",IF(C909="","missing date","invalid date"),IF(I909="","unknown product",IF(J909="","conflicting category",IF(NOT(OR(EXACT(K909,"sale"),EXACT(K909,"refund"))),"unknown event",IF(OR(N909="",NOT(O909)),"invalid amount",IF(OR(AND(K909="sale",N909&lt;=0),AND(K909="refund",N909&gt;=0)),"invalid sign","")))))))))</f>
        <v/>
      </c>
      <c r="U909" s="1" t="str">
        <f t="shared" si="117"/>
        <v>INCLUDED</v>
      </c>
      <c r="V909" s="1" t="str">
        <f t="shared" si="118"/>
        <v>2026-01</v>
      </c>
      <c r="W909" s="1">
        <f>IF(AND(U909="INCLUDED",X909&gt;0,EXACT(A909,'AI output'!A909)),1,0)</f>
        <v>1</v>
      </c>
      <c r="X909" s="1">
        <f>909</f>
        <v>909</v>
      </c>
      <c r="Y909" s="1">
        <f>IF(AND(U909="INCLUDED",W909=1),--(NOT(EXACT(A909,'AI output'!A909)))+--(NOT(EXACT(B909,'AI output'!B909)))+--(NOT(EXACT(TEXT(G909,"yyyy-mm-dd"),'AI output'!C909)))+--(NOT(EXACT(H909,'AI output'!D909)))+--(NOT(EXACT(J909,'AI output'!E909)))+--(NOT(EXACT(K909,'AI output'!F909)))+--(N909&lt;&gt;'AI output'!L909)+--(NOT('AI output'!M909)),0)</f>
        <v>0</v>
      </c>
      <c r="Z909" s="1">
        <f t="shared" si="119"/>
        <v>0</v>
      </c>
      <c r="AA909" s="1">
        <f>--EXACT(A909,"L00903")</f>
        <v>1</v>
      </c>
    </row>
    <row r="910" spans="1:27" ht="18.95" customHeight="1">
      <c r="A910" s="1" t="str">
        <f>IF(Raw!A910="","",Raw!A910)</f>
        <v>L00904</v>
      </c>
      <c r="B910" s="1" t="str">
        <f>IF(Raw!B910="","",Raw!B910)</f>
        <v>T00452</v>
      </c>
      <c r="C910" s="1" t="str">
        <f>IF(Raw!C910="","",Raw!C910)</f>
        <v>2026-01-08</v>
      </c>
      <c r="D910" s="1">
        <f t="shared" si="112"/>
        <v>2026</v>
      </c>
      <c r="E910" s="1">
        <f>IFERROR(IF(AND(LEN(C910)=10,MID(C910,5,1)="-",MID(C910,8,1)="-"),VALUE(MID(C910,6,2)),IF(AND(LEN(C910)=11,MID(C910,3,1)="-",MID(C910,7,1)="-"),MATCH(UPPER(MID(C910,4,3)),Guide!$D$7:$D$18,0),0)),0)</f>
        <v>1</v>
      </c>
      <c r="F910" s="1">
        <f t="shared" si="113"/>
        <v>8</v>
      </c>
      <c r="G910" s="9">
        <f t="shared" si="114"/>
        <v>46030</v>
      </c>
      <c r="H910" s="1" t="str">
        <f>IF(Raw!D910="","",Raw!D910)</f>
        <v>P-A</v>
      </c>
      <c r="I910" s="1" t="str">
        <f>IFERROR(IF(EXACT(H910,INDEX(Guide!$A$7:$A$9,MATCH(SUBSTITUTE(SUBSTITUTE(SUBSTITUTE(H910,"~","~~"),"*","~*"),"?","~?"),Guide!$A$7:$A$9,0))),INDEX(Guide!$B$7:$B$9,MATCH(SUBSTITUTE(SUBSTITUTE(SUBSTITUTE(H910,"~","~~"),"*","~*"),"?","~?"),Guide!$A$7:$A$9,0)),""),"")</f>
        <v>Accessories</v>
      </c>
      <c r="J910" s="1" t="str">
        <f>IF(TRIM(Raw!E910)="",I910,IF(UPPER(TRIM(Raw!E910))=UPPER(I910),I910,""))</f>
        <v>Accessories</v>
      </c>
      <c r="K910" s="1" t="str">
        <f>IF(Raw!F910="","",Raw!F910)</f>
        <v>sale</v>
      </c>
      <c r="L910" s="1" t="str">
        <f>IF(LEFT(TRIM(Raw!G910),2)="-$","-"&amp;MID(TRIM(Raw!G910),3,99),IF(LEFT(TRIM(Raw!G910),1)="$",MID(TRIM(Raw!G910),2,99),TRIM(Raw!G910)))</f>
        <v>198.20</v>
      </c>
      <c r="M910" s="1">
        <f t="shared" si="115"/>
        <v>198.2</v>
      </c>
      <c r="N910" s="10">
        <f t="shared" si="116"/>
        <v>19820</v>
      </c>
      <c r="O910" s="1" t="b">
        <f>IFERROR(IF(ISNUMBER(Raw!G910),TRUE,OR(EXACT(L910,TEXT(M910,"0.00")),EXACT(L910,TEXT(M910,"#,##0.00")))),FALSE)</f>
        <v>1</v>
      </c>
      <c r="P910" s="1" t="str">
        <f>LEN(IF(Raw!A910="","",Raw!A910))&amp;":"&amp;IF(Raw!A910="","",Raw!A910)&amp;"|"&amp;LEN(IF(Raw!B910="","",Raw!B910))&amp;":"&amp;IF(Raw!B910="","",Raw!B910)&amp;"|"&amp;LEN(IF(Raw!C910="","",Raw!C910))&amp;":"&amp;IF(Raw!C910="","",Raw!C910)&amp;"|"&amp;LEN(IF(Raw!D910="","",Raw!D910))&amp;":"&amp;IF(Raw!D910="","",Raw!D910)&amp;"|"&amp;LEN(IF(Raw!E910="","",Raw!E910))&amp;":"&amp;IF(Raw!E910="","",Raw!E910)&amp;"|"&amp;LEN(IF(Raw!F910="","",Raw!F910))&amp;":"&amp;IF(Raw!F910="","",Raw!F910)&amp;"|"&amp;LEN(IF(Raw!G910="","",Raw!G910))&amp;":"&amp;IF(Raw!G910="","",Raw!G910)</f>
        <v>6:L00904|6:T00452|10:2026-01-08|3:P-A|11:Accessories|4:sale|6:198.20</v>
      </c>
      <c r="Q910" s="1">
        <f>1</f>
        <v>1</v>
      </c>
      <c r="R910" s="1" t="b">
        <f>FALSE</f>
        <v>0</v>
      </c>
      <c r="S910" s="1">
        <f>1</f>
        <v>1</v>
      </c>
      <c r="T910" s="1" t="str">
        <f>IF(AND(Raw!A910="",Raw!B910="",Raw!C910="",Raw!D910="",Raw!E910="",Raw!F910="",Raw!G910=""),"UNUSED",IF(A910="","missing line ID",IF(B910="","missing transaction ID",IF(G910="",IF(C910="","missing date","invalid date"),IF(I910="","unknown product",IF(J910="","conflicting category",IF(NOT(OR(EXACT(K910,"sale"),EXACT(K910,"refund"))),"unknown event",IF(OR(N910="",NOT(O910)),"invalid amount",IF(OR(AND(K910="sale",N910&lt;=0),AND(K910="refund",N910&gt;=0)),"invalid sign","")))))))))</f>
        <v/>
      </c>
      <c r="U910" s="1" t="str">
        <f t="shared" si="117"/>
        <v>INCLUDED</v>
      </c>
      <c r="V910" s="1" t="str">
        <f t="shared" si="118"/>
        <v>2026-01</v>
      </c>
      <c r="W910" s="1">
        <f>IF(AND(U910="INCLUDED",X910&gt;0,EXACT(A910,'AI output'!A910)),1,0)</f>
        <v>1</v>
      </c>
      <c r="X910" s="1">
        <f>910</f>
        <v>910</v>
      </c>
      <c r="Y910" s="1">
        <f>IF(AND(U910="INCLUDED",W910=1),--(NOT(EXACT(A910,'AI output'!A910)))+--(NOT(EXACT(B910,'AI output'!B910)))+--(NOT(EXACT(TEXT(G910,"yyyy-mm-dd"),'AI output'!C910)))+--(NOT(EXACT(H910,'AI output'!D910)))+--(NOT(EXACT(J910,'AI output'!E910)))+--(NOT(EXACT(K910,'AI output'!F910)))+--(N910&lt;&gt;'AI output'!L910)+--(NOT('AI output'!M910)),0)</f>
        <v>0</v>
      </c>
      <c r="Z910" s="1">
        <f t="shared" si="119"/>
        <v>0</v>
      </c>
      <c r="AA910" s="1">
        <f>--EXACT(A910,"L00904")</f>
        <v>1</v>
      </c>
    </row>
    <row r="911" spans="1:27" ht="18.95" customHeight="1">
      <c r="A911" s="1" t="str">
        <f>IF(Raw!A911="","",Raw!A911)</f>
        <v>L00905</v>
      </c>
      <c r="B911" s="1" t="str">
        <f>IF(Raw!B911="","",Raw!B911)</f>
        <v>T00453</v>
      </c>
      <c r="C911" s="1" t="str">
        <f>IF(Raw!C911="","",Raw!C911)</f>
        <v>2026-01-15</v>
      </c>
      <c r="D911" s="1">
        <f t="shared" si="112"/>
        <v>2026</v>
      </c>
      <c r="E911" s="1">
        <f>IFERROR(IF(AND(LEN(C911)=10,MID(C911,5,1)="-",MID(C911,8,1)="-"),VALUE(MID(C911,6,2)),IF(AND(LEN(C911)=11,MID(C911,3,1)="-",MID(C911,7,1)="-"),MATCH(UPPER(MID(C911,4,3)),Guide!$D$7:$D$18,0),0)),0)</f>
        <v>1</v>
      </c>
      <c r="F911" s="1">
        <f t="shared" si="113"/>
        <v>15</v>
      </c>
      <c r="G911" s="9">
        <f t="shared" si="114"/>
        <v>46037</v>
      </c>
      <c r="H911" s="1" t="str">
        <f>IF(Raw!D911="","",Raw!D911)</f>
        <v>P-H</v>
      </c>
      <c r="I911" s="1" t="str">
        <f>IFERROR(IF(EXACT(H911,INDEX(Guide!$A$7:$A$9,MATCH(SUBSTITUTE(SUBSTITUTE(SUBSTITUTE(H911,"~","~~"),"*","~*"),"?","~?"),Guide!$A$7:$A$9,0))),INDEX(Guide!$B$7:$B$9,MATCH(SUBSTITUTE(SUBSTITUTE(SUBSTITUTE(H911,"~","~~"),"*","~*"),"?","~?"),Guide!$A$7:$A$9,0)),""),"")</f>
        <v>Home</v>
      </c>
      <c r="J911" s="1" t="str">
        <f>IF(TRIM(Raw!E911)="",I911,IF(UPPER(TRIM(Raw!E911))=UPPER(I911),I911,""))</f>
        <v>Home</v>
      </c>
      <c r="K911" s="1" t="str">
        <f>IF(Raw!F911="","",Raw!F911)</f>
        <v>sale</v>
      </c>
      <c r="L911" s="1" t="str">
        <f>IF(LEFT(TRIM(Raw!G911),2)="-$","-"&amp;MID(TRIM(Raw!G911),3,99),IF(LEFT(TRIM(Raw!G911),1)="$",MID(TRIM(Raw!G911),2,99),TRIM(Raw!G911)))</f>
        <v>397.88</v>
      </c>
      <c r="M911" s="1">
        <f t="shared" si="115"/>
        <v>397.88</v>
      </c>
      <c r="N911" s="10">
        <f t="shared" si="116"/>
        <v>39788</v>
      </c>
      <c r="O911" s="1" t="b">
        <f>IFERROR(IF(ISNUMBER(Raw!G911),TRUE,OR(EXACT(L911,TEXT(M911,"0.00")),EXACT(L911,TEXT(M911,"#,##0.00")))),FALSE)</f>
        <v>1</v>
      </c>
      <c r="P911" s="1" t="str">
        <f>LEN(IF(Raw!A911="","",Raw!A911))&amp;":"&amp;IF(Raw!A911="","",Raw!A911)&amp;"|"&amp;LEN(IF(Raw!B911="","",Raw!B911))&amp;":"&amp;IF(Raw!B911="","",Raw!B911)&amp;"|"&amp;LEN(IF(Raw!C911="","",Raw!C911))&amp;":"&amp;IF(Raw!C911="","",Raw!C911)&amp;"|"&amp;LEN(IF(Raw!D911="","",Raw!D911))&amp;":"&amp;IF(Raw!D911="","",Raw!D911)&amp;"|"&amp;LEN(IF(Raw!E911="","",Raw!E911))&amp;":"&amp;IF(Raw!E911="","",Raw!E911)&amp;"|"&amp;LEN(IF(Raw!F911="","",Raw!F911))&amp;":"&amp;IF(Raw!F911="","",Raw!F911)&amp;"|"&amp;LEN(IF(Raw!G911="","",Raw!G911))&amp;":"&amp;IF(Raw!G911="","",Raw!G911)</f>
        <v>6:L00905|6:T00453|10:2026-01-15|3:P-H|4:Home|4:sale|6:397.88</v>
      </c>
      <c r="Q911" s="1">
        <f>1</f>
        <v>1</v>
      </c>
      <c r="R911" s="1" t="b">
        <f>FALSE</f>
        <v>0</v>
      </c>
      <c r="S911" s="1">
        <f>1</f>
        <v>1</v>
      </c>
      <c r="T911" s="1" t="str">
        <f>IF(AND(Raw!A911="",Raw!B911="",Raw!C911="",Raw!D911="",Raw!E911="",Raw!F911="",Raw!G911=""),"UNUSED",IF(A911="","missing line ID",IF(B911="","missing transaction ID",IF(G911="",IF(C911="","missing date","invalid date"),IF(I911="","unknown product",IF(J911="","conflicting category",IF(NOT(OR(EXACT(K911,"sale"),EXACT(K911,"refund"))),"unknown event",IF(OR(N911="",NOT(O911)),"invalid amount",IF(OR(AND(K911="sale",N911&lt;=0),AND(K911="refund",N911&gt;=0)),"invalid sign","")))))))))</f>
        <v/>
      </c>
      <c r="U911" s="1" t="str">
        <f t="shared" si="117"/>
        <v>INCLUDED</v>
      </c>
      <c r="V911" s="1" t="str">
        <f t="shared" si="118"/>
        <v>2026-01</v>
      </c>
      <c r="W911" s="1">
        <f>IF(AND(U911="INCLUDED",X911&gt;0,EXACT(A911,'AI output'!A911)),1,0)</f>
        <v>1</v>
      </c>
      <c r="X911" s="1">
        <f>911</f>
        <v>911</v>
      </c>
      <c r="Y911" s="1">
        <f>IF(AND(U911="INCLUDED",W911=1),--(NOT(EXACT(A911,'AI output'!A911)))+--(NOT(EXACT(B911,'AI output'!B911)))+--(NOT(EXACT(TEXT(G911,"yyyy-mm-dd"),'AI output'!C911)))+--(NOT(EXACT(H911,'AI output'!D911)))+--(NOT(EXACT(J911,'AI output'!E911)))+--(NOT(EXACT(K911,'AI output'!F911)))+--(N911&lt;&gt;'AI output'!L911)+--(NOT('AI output'!M911)),0)</f>
        <v>0</v>
      </c>
      <c r="Z911" s="1">
        <f t="shared" si="119"/>
        <v>0</v>
      </c>
      <c r="AA911" s="1">
        <f>--EXACT(A911,"L00905")</f>
        <v>1</v>
      </c>
    </row>
    <row r="912" spans="1:27" ht="18.95" customHeight="1">
      <c r="A912" s="1" t="str">
        <f>IF(Raw!A912="","",Raw!A912)</f>
        <v>L00906</v>
      </c>
      <c r="B912" s="1" t="str">
        <f>IF(Raw!B912="","",Raw!B912)</f>
        <v>T00453</v>
      </c>
      <c r="C912" s="1" t="str">
        <f>IF(Raw!C912="","",Raw!C912)</f>
        <v>2026-01-15</v>
      </c>
      <c r="D912" s="1">
        <f t="shared" si="112"/>
        <v>2026</v>
      </c>
      <c r="E912" s="1">
        <f>IFERROR(IF(AND(LEN(C912)=10,MID(C912,5,1)="-",MID(C912,8,1)="-"),VALUE(MID(C912,6,2)),IF(AND(LEN(C912)=11,MID(C912,3,1)="-",MID(C912,7,1)="-"),MATCH(UPPER(MID(C912,4,3)),Guide!$D$7:$D$18,0),0)),0)</f>
        <v>1</v>
      </c>
      <c r="F912" s="1">
        <f t="shared" si="113"/>
        <v>15</v>
      </c>
      <c r="G912" s="9">
        <f t="shared" si="114"/>
        <v>46037</v>
      </c>
      <c r="H912" s="1" t="str">
        <f>IF(Raw!D912="","",Raw!D912)</f>
        <v>P-O</v>
      </c>
      <c r="I912" s="1" t="str">
        <f>IFERROR(IF(EXACT(H912,INDEX(Guide!$A$7:$A$9,MATCH(SUBSTITUTE(SUBSTITUTE(SUBSTITUTE(H912,"~","~~"),"*","~*"),"?","~?"),Guide!$A$7:$A$9,0))),INDEX(Guide!$B$7:$B$9,MATCH(SUBSTITUTE(SUBSTITUTE(SUBSTITUTE(H912,"~","~~"),"*","~*"),"?","~?"),Guide!$A$7:$A$9,0)),""),"")</f>
        <v>Office</v>
      </c>
      <c r="J912" s="1" t="str">
        <f>IF(TRIM(Raw!E912)="",I912,IF(UPPER(TRIM(Raw!E912))=UPPER(I912),I912,""))</f>
        <v>Office</v>
      </c>
      <c r="K912" s="1" t="str">
        <f>IF(Raw!F912="","",Raw!F912)</f>
        <v>sale</v>
      </c>
      <c r="L912" s="1" t="str">
        <f>IF(LEFT(TRIM(Raw!G912),2)="-$","-"&amp;MID(TRIM(Raw!G912),3,99),IF(LEFT(TRIM(Raw!G912),1)="$",MID(TRIM(Raw!G912),2,99),TRIM(Raw!G912)))</f>
        <v>99.84</v>
      </c>
      <c r="M912" s="1">
        <f t="shared" si="115"/>
        <v>99.84</v>
      </c>
      <c r="N912" s="10">
        <f t="shared" si="116"/>
        <v>9984</v>
      </c>
      <c r="O912" s="1" t="b">
        <f>IFERROR(IF(ISNUMBER(Raw!G912),TRUE,OR(EXACT(L912,TEXT(M912,"0.00")),EXACT(L912,TEXT(M912,"#,##0.00")))),FALSE)</f>
        <v>1</v>
      </c>
      <c r="P912" s="1" t="str">
        <f>LEN(IF(Raw!A912="","",Raw!A912))&amp;":"&amp;IF(Raw!A912="","",Raw!A912)&amp;"|"&amp;LEN(IF(Raw!B912="","",Raw!B912))&amp;":"&amp;IF(Raw!B912="","",Raw!B912)&amp;"|"&amp;LEN(IF(Raw!C912="","",Raw!C912))&amp;":"&amp;IF(Raw!C912="","",Raw!C912)&amp;"|"&amp;LEN(IF(Raw!D912="","",Raw!D912))&amp;":"&amp;IF(Raw!D912="","",Raw!D912)&amp;"|"&amp;LEN(IF(Raw!E912="","",Raw!E912))&amp;":"&amp;IF(Raw!E912="","",Raw!E912)&amp;"|"&amp;LEN(IF(Raw!F912="","",Raw!F912))&amp;":"&amp;IF(Raw!F912="","",Raw!F912)&amp;"|"&amp;LEN(IF(Raw!G912="","",Raw!G912))&amp;":"&amp;IF(Raw!G912="","",Raw!G912)</f>
        <v>6:L00906|6:T00453|10:2026-01-15|3:P-O|6:Office|4:sale|5:99.84</v>
      </c>
      <c r="Q912" s="1">
        <f>1</f>
        <v>1</v>
      </c>
      <c r="R912" s="1" t="b">
        <f>FALSE</f>
        <v>0</v>
      </c>
      <c r="S912" s="1">
        <f>1</f>
        <v>1</v>
      </c>
      <c r="T912" s="1" t="str">
        <f>IF(AND(Raw!A912="",Raw!B912="",Raw!C912="",Raw!D912="",Raw!E912="",Raw!F912="",Raw!G912=""),"UNUSED",IF(A912="","missing line ID",IF(B912="","missing transaction ID",IF(G912="",IF(C912="","missing date","invalid date"),IF(I912="","unknown product",IF(J912="","conflicting category",IF(NOT(OR(EXACT(K912,"sale"),EXACT(K912,"refund"))),"unknown event",IF(OR(N912="",NOT(O912)),"invalid amount",IF(OR(AND(K912="sale",N912&lt;=0),AND(K912="refund",N912&gt;=0)),"invalid sign","")))))))))</f>
        <v/>
      </c>
      <c r="U912" s="1" t="str">
        <f t="shared" si="117"/>
        <v>INCLUDED</v>
      </c>
      <c r="V912" s="1" t="str">
        <f t="shared" si="118"/>
        <v>2026-01</v>
      </c>
      <c r="W912" s="1">
        <f>IF(AND(U912="INCLUDED",X912&gt;0,EXACT(A912,'AI output'!A912)),1,0)</f>
        <v>1</v>
      </c>
      <c r="X912" s="1">
        <f>912</f>
        <v>912</v>
      </c>
      <c r="Y912" s="1">
        <f>IF(AND(U912="INCLUDED",W912=1),--(NOT(EXACT(A912,'AI output'!A912)))+--(NOT(EXACT(B912,'AI output'!B912)))+--(NOT(EXACT(TEXT(G912,"yyyy-mm-dd"),'AI output'!C912)))+--(NOT(EXACT(H912,'AI output'!D912)))+--(NOT(EXACT(J912,'AI output'!E912)))+--(NOT(EXACT(K912,'AI output'!F912)))+--(N912&lt;&gt;'AI output'!L912)+--(NOT('AI output'!M912)),0)</f>
        <v>0</v>
      </c>
      <c r="Z912" s="1">
        <f t="shared" si="119"/>
        <v>0</v>
      </c>
      <c r="AA912" s="1">
        <f>--EXACT(A912,"L00906")</f>
        <v>1</v>
      </c>
    </row>
    <row r="913" spans="1:27" ht="18.95" customHeight="1">
      <c r="A913" s="1" t="str">
        <f>IF(Raw!A913="","",Raw!A913)</f>
        <v>L00907</v>
      </c>
      <c r="B913" s="1" t="str">
        <f>IF(Raw!B913="","",Raw!B913)</f>
        <v>T00454</v>
      </c>
      <c r="C913" s="1" t="str">
        <f>IF(Raw!C913="","",Raw!C913)</f>
        <v>2026-01-22</v>
      </c>
      <c r="D913" s="1">
        <f t="shared" si="112"/>
        <v>2026</v>
      </c>
      <c r="E913" s="1">
        <f>IFERROR(IF(AND(LEN(C913)=10,MID(C913,5,1)="-",MID(C913,8,1)="-"),VALUE(MID(C913,6,2)),IF(AND(LEN(C913)=11,MID(C913,3,1)="-",MID(C913,7,1)="-"),MATCH(UPPER(MID(C913,4,3)),Guide!$D$7:$D$18,0),0)),0)</f>
        <v>1</v>
      </c>
      <c r="F913" s="1">
        <f t="shared" si="113"/>
        <v>22</v>
      </c>
      <c r="G913" s="9">
        <f t="shared" si="114"/>
        <v>46044</v>
      </c>
      <c r="H913" s="1" t="str">
        <f>IF(Raw!D913="","",Raw!D913)</f>
        <v>P-A</v>
      </c>
      <c r="I913" s="1" t="str">
        <f>IFERROR(IF(EXACT(H913,INDEX(Guide!$A$7:$A$9,MATCH(SUBSTITUTE(SUBSTITUTE(SUBSTITUTE(H913,"~","~~"),"*","~*"),"?","~?"),Guide!$A$7:$A$9,0))),INDEX(Guide!$B$7:$B$9,MATCH(SUBSTITUTE(SUBSTITUTE(SUBSTITUTE(H913,"~","~~"),"*","~*"),"?","~?"),Guide!$A$7:$A$9,0)),""),"")</f>
        <v>Accessories</v>
      </c>
      <c r="J913" s="1" t="str">
        <f>IF(TRIM(Raw!E913)="",I913,IF(UPPER(TRIM(Raw!E913))=UPPER(I913),I913,""))</f>
        <v>Accessories</v>
      </c>
      <c r="K913" s="1" t="str">
        <f>IF(Raw!F913="","",Raw!F913)</f>
        <v>sale</v>
      </c>
      <c r="L913" s="1" t="str">
        <f>IF(LEFT(TRIM(Raw!G913),2)="-$","-"&amp;MID(TRIM(Raw!G913),3,99),IF(LEFT(TRIM(Raw!G913),1)="$",MID(TRIM(Raw!G913),2,99),TRIM(Raw!G913)))</f>
        <v>300.63</v>
      </c>
      <c r="M913" s="1">
        <f t="shared" si="115"/>
        <v>300.63</v>
      </c>
      <c r="N913" s="10">
        <f t="shared" si="116"/>
        <v>30063</v>
      </c>
      <c r="O913" s="1" t="b">
        <f>IFERROR(IF(ISNUMBER(Raw!G913),TRUE,OR(EXACT(L913,TEXT(M913,"0.00")),EXACT(L913,TEXT(M913,"#,##0.00")))),FALSE)</f>
        <v>1</v>
      </c>
      <c r="P913" s="1" t="str">
        <f>LEN(IF(Raw!A913="","",Raw!A913))&amp;":"&amp;IF(Raw!A913="","",Raw!A913)&amp;"|"&amp;LEN(IF(Raw!B913="","",Raw!B913))&amp;":"&amp;IF(Raw!B913="","",Raw!B913)&amp;"|"&amp;LEN(IF(Raw!C913="","",Raw!C913))&amp;":"&amp;IF(Raw!C913="","",Raw!C913)&amp;"|"&amp;LEN(IF(Raw!D913="","",Raw!D913))&amp;":"&amp;IF(Raw!D913="","",Raw!D913)&amp;"|"&amp;LEN(IF(Raw!E913="","",Raw!E913))&amp;":"&amp;IF(Raw!E913="","",Raw!E913)&amp;"|"&amp;LEN(IF(Raw!F913="","",Raw!F913))&amp;":"&amp;IF(Raw!F913="","",Raw!F913)&amp;"|"&amp;LEN(IF(Raw!G913="","",Raw!G913))&amp;":"&amp;IF(Raw!G913="","",Raw!G913)</f>
        <v>6:L00907|6:T00454|10:2026-01-22|3:P-A|11:Accessories|4:sale|6:300.63</v>
      </c>
      <c r="Q913" s="1">
        <f>1</f>
        <v>1</v>
      </c>
      <c r="R913" s="1" t="b">
        <f>FALSE</f>
        <v>0</v>
      </c>
      <c r="S913" s="1">
        <f>1</f>
        <v>1</v>
      </c>
      <c r="T913" s="1" t="str">
        <f>IF(AND(Raw!A913="",Raw!B913="",Raw!C913="",Raw!D913="",Raw!E913="",Raw!F913="",Raw!G913=""),"UNUSED",IF(A913="","missing line ID",IF(B913="","missing transaction ID",IF(G913="",IF(C913="","missing date","invalid date"),IF(I913="","unknown product",IF(J913="","conflicting category",IF(NOT(OR(EXACT(K913,"sale"),EXACT(K913,"refund"))),"unknown event",IF(OR(N913="",NOT(O913)),"invalid amount",IF(OR(AND(K913="sale",N913&lt;=0),AND(K913="refund",N913&gt;=0)),"invalid sign","")))))))))</f>
        <v/>
      </c>
      <c r="U913" s="1" t="str">
        <f t="shared" si="117"/>
        <v>INCLUDED</v>
      </c>
      <c r="V913" s="1" t="str">
        <f t="shared" si="118"/>
        <v>2026-01</v>
      </c>
      <c r="W913" s="1">
        <f>IF(AND(U913="INCLUDED",X913&gt;0,EXACT(A913,'AI output'!A913)),1,0)</f>
        <v>1</v>
      </c>
      <c r="X913" s="1">
        <f>913</f>
        <v>913</v>
      </c>
      <c r="Y913" s="1">
        <f>IF(AND(U913="INCLUDED",W913=1),--(NOT(EXACT(A913,'AI output'!A913)))+--(NOT(EXACT(B913,'AI output'!B913)))+--(NOT(EXACT(TEXT(G913,"yyyy-mm-dd"),'AI output'!C913)))+--(NOT(EXACT(H913,'AI output'!D913)))+--(NOT(EXACT(J913,'AI output'!E913)))+--(NOT(EXACT(K913,'AI output'!F913)))+--(N913&lt;&gt;'AI output'!L913)+--(NOT('AI output'!M913)),0)</f>
        <v>0</v>
      </c>
      <c r="Z913" s="1">
        <f t="shared" si="119"/>
        <v>0</v>
      </c>
      <c r="AA913" s="1">
        <f>--EXACT(A913,"L00907")</f>
        <v>1</v>
      </c>
    </row>
    <row r="914" spans="1:27" ht="18.95" customHeight="1">
      <c r="A914" s="1" t="str">
        <f>IF(Raw!A914="","",Raw!A914)</f>
        <v>L00908</v>
      </c>
      <c r="B914" s="1" t="str">
        <f>IF(Raw!B914="","",Raw!B914)</f>
        <v>T00454</v>
      </c>
      <c r="C914" s="1" t="str">
        <f>IF(Raw!C914="","",Raw!C914)</f>
        <v>2026-01-22</v>
      </c>
      <c r="D914" s="1">
        <f t="shared" si="112"/>
        <v>2026</v>
      </c>
      <c r="E914" s="1">
        <f>IFERROR(IF(AND(LEN(C914)=10,MID(C914,5,1)="-",MID(C914,8,1)="-"),VALUE(MID(C914,6,2)),IF(AND(LEN(C914)=11,MID(C914,3,1)="-",MID(C914,7,1)="-"),MATCH(UPPER(MID(C914,4,3)),Guide!$D$7:$D$18,0),0)),0)</f>
        <v>1</v>
      </c>
      <c r="F914" s="1">
        <f t="shared" si="113"/>
        <v>22</v>
      </c>
      <c r="G914" s="9">
        <f t="shared" si="114"/>
        <v>46044</v>
      </c>
      <c r="H914" s="1" t="str">
        <f>IF(Raw!D914="","",Raw!D914)</f>
        <v>P-H</v>
      </c>
      <c r="I914" s="1" t="str">
        <f>IFERROR(IF(EXACT(H914,INDEX(Guide!$A$7:$A$9,MATCH(SUBSTITUTE(SUBSTITUTE(SUBSTITUTE(H914,"~","~~"),"*","~*"),"?","~?"),Guide!$A$7:$A$9,0))),INDEX(Guide!$B$7:$B$9,MATCH(SUBSTITUTE(SUBSTITUTE(SUBSTITUTE(H914,"~","~~"),"*","~*"),"?","~?"),Guide!$A$7:$A$9,0)),""),"")</f>
        <v>Home</v>
      </c>
      <c r="J914" s="1" t="str">
        <f>IF(TRIM(Raw!E914)="",I914,IF(UPPER(TRIM(Raw!E914))=UPPER(I914),I914,""))</f>
        <v>Home</v>
      </c>
      <c r="K914" s="1" t="str">
        <f>IF(Raw!F914="","",Raw!F914)</f>
        <v>sale</v>
      </c>
      <c r="L914" s="1" t="str">
        <f>IF(LEFT(TRIM(Raw!G914),2)="-$","-"&amp;MID(TRIM(Raw!G914),3,99),IF(LEFT(TRIM(Raw!G914),1)="$",MID(TRIM(Raw!G914),2,99),TRIM(Raw!G914)))</f>
        <v>502.90</v>
      </c>
      <c r="M914" s="1">
        <f t="shared" si="115"/>
        <v>502.9</v>
      </c>
      <c r="N914" s="10">
        <f t="shared" si="116"/>
        <v>50290</v>
      </c>
      <c r="O914" s="1" t="b">
        <f>IFERROR(IF(ISNUMBER(Raw!G914),TRUE,OR(EXACT(L914,TEXT(M914,"0.00")),EXACT(L914,TEXT(M914,"#,##0.00")))),FALSE)</f>
        <v>1</v>
      </c>
      <c r="P914" s="1" t="str">
        <f>LEN(IF(Raw!A914="","",Raw!A914))&amp;":"&amp;IF(Raw!A914="","",Raw!A914)&amp;"|"&amp;LEN(IF(Raw!B914="","",Raw!B914))&amp;":"&amp;IF(Raw!B914="","",Raw!B914)&amp;"|"&amp;LEN(IF(Raw!C914="","",Raw!C914))&amp;":"&amp;IF(Raw!C914="","",Raw!C914)&amp;"|"&amp;LEN(IF(Raw!D914="","",Raw!D914))&amp;":"&amp;IF(Raw!D914="","",Raw!D914)&amp;"|"&amp;LEN(IF(Raw!E914="","",Raw!E914))&amp;":"&amp;IF(Raw!E914="","",Raw!E914)&amp;"|"&amp;LEN(IF(Raw!F914="","",Raw!F914))&amp;":"&amp;IF(Raw!F914="","",Raw!F914)&amp;"|"&amp;LEN(IF(Raw!G914="","",Raw!G914))&amp;":"&amp;IF(Raw!G914="","",Raw!G914)</f>
        <v>6:L00908|6:T00454|10:2026-01-22|3:P-H|4:Home|4:sale|6:502.90</v>
      </c>
      <c r="Q914" s="1">
        <f>1</f>
        <v>1</v>
      </c>
      <c r="R914" s="1" t="b">
        <f>FALSE</f>
        <v>0</v>
      </c>
      <c r="S914" s="1">
        <f>1</f>
        <v>1</v>
      </c>
      <c r="T914" s="1" t="str">
        <f>IF(AND(Raw!A914="",Raw!B914="",Raw!C914="",Raw!D914="",Raw!E914="",Raw!F914="",Raw!G914=""),"UNUSED",IF(A914="","missing line ID",IF(B914="","missing transaction ID",IF(G914="",IF(C914="","missing date","invalid date"),IF(I914="","unknown product",IF(J914="","conflicting category",IF(NOT(OR(EXACT(K914,"sale"),EXACT(K914,"refund"))),"unknown event",IF(OR(N914="",NOT(O914)),"invalid amount",IF(OR(AND(K914="sale",N914&lt;=0),AND(K914="refund",N914&gt;=0)),"invalid sign","")))))))))</f>
        <v/>
      </c>
      <c r="U914" s="1" t="str">
        <f t="shared" si="117"/>
        <v>INCLUDED</v>
      </c>
      <c r="V914" s="1" t="str">
        <f t="shared" si="118"/>
        <v>2026-01</v>
      </c>
      <c r="W914" s="1">
        <f>IF(AND(U914="INCLUDED",X914&gt;0,EXACT(A914,'AI output'!A914)),1,0)</f>
        <v>1</v>
      </c>
      <c r="X914" s="1">
        <f>914</f>
        <v>914</v>
      </c>
      <c r="Y914" s="1">
        <f>IF(AND(U914="INCLUDED",W914=1),--(NOT(EXACT(A914,'AI output'!A914)))+--(NOT(EXACT(B914,'AI output'!B914)))+--(NOT(EXACT(TEXT(G914,"yyyy-mm-dd"),'AI output'!C914)))+--(NOT(EXACT(H914,'AI output'!D914)))+--(NOT(EXACT(J914,'AI output'!E914)))+--(NOT(EXACT(K914,'AI output'!F914)))+--(N914&lt;&gt;'AI output'!L914)+--(NOT('AI output'!M914)),0)</f>
        <v>0</v>
      </c>
      <c r="Z914" s="1">
        <f t="shared" si="119"/>
        <v>0</v>
      </c>
      <c r="AA914" s="1">
        <f>--EXACT(A914,"L00908")</f>
        <v>1</v>
      </c>
    </row>
    <row r="915" spans="1:27" ht="18.95" customHeight="1">
      <c r="A915" s="1" t="str">
        <f>IF(Raw!A915="","",Raw!A915)</f>
        <v>L00909</v>
      </c>
      <c r="B915" s="1" t="str">
        <f>IF(Raw!B915="","",Raw!B915)</f>
        <v>T00455</v>
      </c>
      <c r="C915" s="1" t="str">
        <f>IF(Raw!C915="","",Raw!C915)</f>
        <v>2026-01-29</v>
      </c>
      <c r="D915" s="1">
        <f t="shared" si="112"/>
        <v>2026</v>
      </c>
      <c r="E915" s="1">
        <f>IFERROR(IF(AND(LEN(C915)=10,MID(C915,5,1)="-",MID(C915,8,1)="-"),VALUE(MID(C915,6,2)),IF(AND(LEN(C915)=11,MID(C915,3,1)="-",MID(C915,7,1)="-"),MATCH(UPPER(MID(C915,4,3)),Guide!$D$7:$D$18,0),0)),0)</f>
        <v>1</v>
      </c>
      <c r="F915" s="1">
        <f t="shared" si="113"/>
        <v>29</v>
      </c>
      <c r="G915" s="9">
        <f t="shared" si="114"/>
        <v>46051</v>
      </c>
      <c r="H915" s="1" t="str">
        <f>IF(Raw!D915="","",Raw!D915)</f>
        <v>P-O</v>
      </c>
      <c r="I915" s="1" t="str">
        <f>IFERROR(IF(EXACT(H915,INDEX(Guide!$A$7:$A$9,MATCH(SUBSTITUTE(SUBSTITUTE(SUBSTITUTE(H915,"~","~~"),"*","~*"),"?","~?"),Guide!$A$7:$A$9,0))),INDEX(Guide!$B$7:$B$9,MATCH(SUBSTITUTE(SUBSTITUTE(SUBSTITUTE(H915,"~","~~"),"*","~*"),"?","~?"),Guide!$A$7:$A$9,0)),""),"")</f>
        <v>Office</v>
      </c>
      <c r="J915" s="1" t="str">
        <f>IF(TRIM(Raw!E915)="",I915,IF(UPPER(TRIM(Raw!E915))=UPPER(I915),I915,""))</f>
        <v>Office</v>
      </c>
      <c r="K915" s="1" t="str">
        <f>IF(Raw!F915="","",Raw!F915)</f>
        <v>sale</v>
      </c>
      <c r="L915" s="1" t="str">
        <f>IF(LEFT(TRIM(Raw!G915),2)="-$","-"&amp;MID(TRIM(Raw!G915),3,99),IF(LEFT(TRIM(Raw!G915),1)="$",MID(TRIM(Raw!G915),2,99),TRIM(Raw!G915)))</f>
        <v>201.90</v>
      </c>
      <c r="M915" s="1">
        <f t="shared" si="115"/>
        <v>201.9</v>
      </c>
      <c r="N915" s="10">
        <f t="shared" si="116"/>
        <v>20190</v>
      </c>
      <c r="O915" s="1" t="b">
        <f>IFERROR(IF(ISNUMBER(Raw!G915),TRUE,OR(EXACT(L915,TEXT(M915,"0.00")),EXACT(L915,TEXT(M915,"#,##0.00")))),FALSE)</f>
        <v>1</v>
      </c>
      <c r="P915" s="1" t="str">
        <f>LEN(IF(Raw!A915="","",Raw!A915))&amp;":"&amp;IF(Raw!A915="","",Raw!A915)&amp;"|"&amp;LEN(IF(Raw!B915="","",Raw!B915))&amp;":"&amp;IF(Raw!B915="","",Raw!B915)&amp;"|"&amp;LEN(IF(Raw!C915="","",Raw!C915))&amp;":"&amp;IF(Raw!C915="","",Raw!C915)&amp;"|"&amp;LEN(IF(Raw!D915="","",Raw!D915))&amp;":"&amp;IF(Raw!D915="","",Raw!D915)&amp;"|"&amp;LEN(IF(Raw!E915="","",Raw!E915))&amp;":"&amp;IF(Raw!E915="","",Raw!E915)&amp;"|"&amp;LEN(IF(Raw!F915="","",Raw!F915))&amp;":"&amp;IF(Raw!F915="","",Raw!F915)&amp;"|"&amp;LEN(IF(Raw!G915="","",Raw!G915))&amp;":"&amp;IF(Raw!G915="","",Raw!G915)</f>
        <v>6:L00909|6:T00455|10:2026-01-29|3:P-O|6:Office|4:sale|6:201.90</v>
      </c>
      <c r="Q915" s="1">
        <f>1</f>
        <v>1</v>
      </c>
      <c r="R915" s="1" t="b">
        <f>FALSE</f>
        <v>0</v>
      </c>
      <c r="S915" s="1">
        <f>1</f>
        <v>1</v>
      </c>
      <c r="T915" s="1" t="str">
        <f>IF(AND(Raw!A915="",Raw!B915="",Raw!C915="",Raw!D915="",Raw!E915="",Raw!F915="",Raw!G915=""),"UNUSED",IF(A915="","missing line ID",IF(B915="","missing transaction ID",IF(G915="",IF(C915="","missing date","invalid date"),IF(I915="","unknown product",IF(J915="","conflicting category",IF(NOT(OR(EXACT(K915,"sale"),EXACT(K915,"refund"))),"unknown event",IF(OR(N915="",NOT(O915)),"invalid amount",IF(OR(AND(K915="sale",N915&lt;=0),AND(K915="refund",N915&gt;=0)),"invalid sign","")))))))))</f>
        <v/>
      </c>
      <c r="U915" s="1" t="str">
        <f t="shared" si="117"/>
        <v>INCLUDED</v>
      </c>
      <c r="V915" s="1" t="str">
        <f t="shared" si="118"/>
        <v>2026-01</v>
      </c>
      <c r="W915" s="1">
        <f>IF(AND(U915="INCLUDED",X915&gt;0,EXACT(A915,'AI output'!A915)),1,0)</f>
        <v>1</v>
      </c>
      <c r="X915" s="1">
        <f>915</f>
        <v>915</v>
      </c>
      <c r="Y915" s="1">
        <f>IF(AND(U915="INCLUDED",W915=1),--(NOT(EXACT(A915,'AI output'!A915)))+--(NOT(EXACT(B915,'AI output'!B915)))+--(NOT(EXACT(TEXT(G915,"yyyy-mm-dd"),'AI output'!C915)))+--(NOT(EXACT(H915,'AI output'!D915)))+--(NOT(EXACT(J915,'AI output'!E915)))+--(NOT(EXACT(K915,'AI output'!F915)))+--(N915&lt;&gt;'AI output'!L915)+--(NOT('AI output'!M915)),0)</f>
        <v>0</v>
      </c>
      <c r="Z915" s="1">
        <f t="shared" si="119"/>
        <v>0</v>
      </c>
      <c r="AA915" s="1">
        <f>--EXACT(A915,"L00909")</f>
        <v>1</v>
      </c>
    </row>
    <row r="916" spans="1:27" ht="18.95" customHeight="1">
      <c r="A916" s="1" t="str">
        <f>IF(Raw!A916="","",Raw!A916)</f>
        <v>L00910</v>
      </c>
      <c r="B916" s="1" t="str">
        <f>IF(Raw!B916="","",Raw!B916)</f>
        <v>T00455</v>
      </c>
      <c r="C916" s="1" t="str">
        <f>IF(Raw!C916="","",Raw!C916)</f>
        <v>2026-01-29</v>
      </c>
      <c r="D916" s="1">
        <f t="shared" si="112"/>
        <v>2026</v>
      </c>
      <c r="E916" s="1">
        <f>IFERROR(IF(AND(LEN(C916)=10,MID(C916,5,1)="-",MID(C916,8,1)="-"),VALUE(MID(C916,6,2)),IF(AND(LEN(C916)=11,MID(C916,3,1)="-",MID(C916,7,1)="-"),MATCH(UPPER(MID(C916,4,3)),Guide!$D$7:$D$18,0),0)),0)</f>
        <v>1</v>
      </c>
      <c r="F916" s="1">
        <f t="shared" si="113"/>
        <v>29</v>
      </c>
      <c r="G916" s="9">
        <f t="shared" si="114"/>
        <v>46051</v>
      </c>
      <c r="H916" s="1" t="str">
        <f>IF(Raw!D916="","",Raw!D916)</f>
        <v>P-A</v>
      </c>
      <c r="I916" s="1" t="str">
        <f>IFERROR(IF(EXACT(H916,INDEX(Guide!$A$7:$A$9,MATCH(SUBSTITUTE(SUBSTITUTE(SUBSTITUTE(H916,"~","~~"),"*","~*"),"?","~?"),Guide!$A$7:$A$9,0))),INDEX(Guide!$B$7:$B$9,MATCH(SUBSTITUTE(SUBSTITUTE(SUBSTITUTE(H916,"~","~~"),"*","~*"),"?","~?"),Guide!$A$7:$A$9,0)),""),"")</f>
        <v>Accessories</v>
      </c>
      <c r="J916" s="1" t="str">
        <f>IF(TRIM(Raw!E916)="",I916,IF(UPPER(TRIM(Raw!E916))=UPPER(I916),I916,""))</f>
        <v>Accessories</v>
      </c>
      <c r="K916" s="1" t="str">
        <f>IF(Raw!F916="","",Raw!F916)</f>
        <v>sale</v>
      </c>
      <c r="L916" s="1" t="str">
        <f>IF(LEFT(TRIM(Raw!G916),2)="-$","-"&amp;MID(TRIM(Raw!G916),3,99),IF(LEFT(TRIM(Raw!G916),1)="$",MID(TRIM(Raw!G916),2,99),TRIM(Raw!G916)))</f>
        <v>405.28</v>
      </c>
      <c r="M916" s="1">
        <f t="shared" si="115"/>
        <v>405.28</v>
      </c>
      <c r="N916" s="10">
        <f t="shared" si="116"/>
        <v>40528</v>
      </c>
      <c r="O916" s="1" t="b">
        <f>IFERROR(IF(ISNUMBER(Raw!G916),TRUE,OR(EXACT(L916,TEXT(M916,"0.00")),EXACT(L916,TEXT(M916,"#,##0.00")))),FALSE)</f>
        <v>1</v>
      </c>
      <c r="P916" s="1" t="str">
        <f>LEN(IF(Raw!A916="","",Raw!A916))&amp;":"&amp;IF(Raw!A916="","",Raw!A916)&amp;"|"&amp;LEN(IF(Raw!B916="","",Raw!B916))&amp;":"&amp;IF(Raw!B916="","",Raw!B916)&amp;"|"&amp;LEN(IF(Raw!C916="","",Raw!C916))&amp;":"&amp;IF(Raw!C916="","",Raw!C916)&amp;"|"&amp;LEN(IF(Raw!D916="","",Raw!D916))&amp;":"&amp;IF(Raw!D916="","",Raw!D916)&amp;"|"&amp;LEN(IF(Raw!E916="","",Raw!E916))&amp;":"&amp;IF(Raw!E916="","",Raw!E916)&amp;"|"&amp;LEN(IF(Raw!F916="","",Raw!F916))&amp;":"&amp;IF(Raw!F916="","",Raw!F916)&amp;"|"&amp;LEN(IF(Raw!G916="","",Raw!G916))&amp;":"&amp;IF(Raw!G916="","",Raw!G916)</f>
        <v>6:L00910|6:T00455|10:2026-01-29|3:P-A|11:Accessories|4:sale|6:405.28</v>
      </c>
      <c r="Q916" s="1">
        <f>1</f>
        <v>1</v>
      </c>
      <c r="R916" s="1" t="b">
        <f>FALSE</f>
        <v>0</v>
      </c>
      <c r="S916" s="1">
        <f>1</f>
        <v>1</v>
      </c>
      <c r="T916" s="1" t="str">
        <f>IF(AND(Raw!A916="",Raw!B916="",Raw!C916="",Raw!D916="",Raw!E916="",Raw!F916="",Raw!G916=""),"UNUSED",IF(A916="","missing line ID",IF(B916="","missing transaction ID",IF(G916="",IF(C916="","missing date","invalid date"),IF(I916="","unknown product",IF(J916="","conflicting category",IF(NOT(OR(EXACT(K916,"sale"),EXACT(K916,"refund"))),"unknown event",IF(OR(N916="",NOT(O916)),"invalid amount",IF(OR(AND(K916="sale",N916&lt;=0),AND(K916="refund",N916&gt;=0)),"invalid sign","")))))))))</f>
        <v/>
      </c>
      <c r="U916" s="1" t="str">
        <f t="shared" si="117"/>
        <v>INCLUDED</v>
      </c>
      <c r="V916" s="1" t="str">
        <f t="shared" si="118"/>
        <v>2026-01</v>
      </c>
      <c r="W916" s="1">
        <f>IF(AND(U916="INCLUDED",X916&gt;0,EXACT(A916,'AI output'!A916)),1,0)</f>
        <v>1</v>
      </c>
      <c r="X916" s="1">
        <f>916</f>
        <v>916</v>
      </c>
      <c r="Y916" s="1">
        <f>IF(AND(U916="INCLUDED",W916=1),--(NOT(EXACT(A916,'AI output'!A916)))+--(NOT(EXACT(B916,'AI output'!B916)))+--(NOT(EXACT(TEXT(G916,"yyyy-mm-dd"),'AI output'!C916)))+--(NOT(EXACT(H916,'AI output'!D916)))+--(NOT(EXACT(J916,'AI output'!E916)))+--(NOT(EXACT(K916,'AI output'!F916)))+--(N916&lt;&gt;'AI output'!L916)+--(NOT('AI output'!M916)),0)</f>
        <v>0</v>
      </c>
      <c r="Z916" s="1">
        <f t="shared" si="119"/>
        <v>0</v>
      </c>
      <c r="AA916" s="1">
        <f>--EXACT(A916,"L00910")</f>
        <v>1</v>
      </c>
    </row>
    <row r="917" spans="1:27" ht="18.95" customHeight="1">
      <c r="A917" s="1" t="str">
        <f>IF(Raw!A917="","",Raw!A917)</f>
        <v>L00911</v>
      </c>
      <c r="B917" s="1" t="str">
        <f>IF(Raw!B917="","",Raw!B917)</f>
        <v>T00456</v>
      </c>
      <c r="C917" s="1" t="str">
        <f>IF(Raw!C917="","",Raw!C917)</f>
        <v>2026-02-05</v>
      </c>
      <c r="D917" s="1">
        <f t="shared" si="112"/>
        <v>2026</v>
      </c>
      <c r="E917" s="1">
        <f>IFERROR(IF(AND(LEN(C917)=10,MID(C917,5,1)="-",MID(C917,8,1)="-"),VALUE(MID(C917,6,2)),IF(AND(LEN(C917)=11,MID(C917,3,1)="-",MID(C917,7,1)="-"),MATCH(UPPER(MID(C917,4,3)),Guide!$D$7:$D$18,0),0)),0)</f>
        <v>2</v>
      </c>
      <c r="F917" s="1">
        <f t="shared" si="113"/>
        <v>5</v>
      </c>
      <c r="G917" s="9">
        <f t="shared" si="114"/>
        <v>46058</v>
      </c>
      <c r="H917" s="1" t="str">
        <f>IF(Raw!D917="","",Raw!D917)</f>
        <v>P-H</v>
      </c>
      <c r="I917" s="1" t="str">
        <f>IFERROR(IF(EXACT(H917,INDEX(Guide!$A$7:$A$9,MATCH(SUBSTITUTE(SUBSTITUTE(SUBSTITUTE(H917,"~","~~"),"*","~*"),"?","~?"),Guide!$A$7:$A$9,0))),INDEX(Guide!$B$7:$B$9,MATCH(SUBSTITUTE(SUBSTITUTE(SUBSTITUTE(H917,"~","~~"),"*","~*"),"?","~?"),Guide!$A$7:$A$9,0)),""),"")</f>
        <v>Home</v>
      </c>
      <c r="J917" s="1" t="str">
        <f>IF(TRIM(Raw!E917)="",I917,IF(UPPER(TRIM(Raw!E917))=UPPER(I917),I917,""))</f>
        <v>Home</v>
      </c>
      <c r="K917" s="1" t="str">
        <f>IF(Raw!F917="","",Raw!F917)</f>
        <v>sale</v>
      </c>
      <c r="L917" s="1" t="str">
        <f>IF(LEFT(TRIM(Raw!G917),2)="-$","-"&amp;MID(TRIM(Raw!G917),3,99),IF(LEFT(TRIM(Raw!G917),1)="$",MID(TRIM(Raw!G917),2,99),TRIM(Raw!G917)))</f>
        <v>101.69</v>
      </c>
      <c r="M917" s="1">
        <f t="shared" si="115"/>
        <v>101.69</v>
      </c>
      <c r="N917" s="10">
        <f t="shared" si="116"/>
        <v>10169</v>
      </c>
      <c r="O917" s="1" t="b">
        <f>IFERROR(IF(ISNUMBER(Raw!G917),TRUE,OR(EXACT(L917,TEXT(M917,"0.00")),EXACT(L917,TEXT(M917,"#,##0.00")))),FALSE)</f>
        <v>1</v>
      </c>
      <c r="P917" s="1" t="str">
        <f>LEN(IF(Raw!A917="","",Raw!A917))&amp;":"&amp;IF(Raw!A917="","",Raw!A917)&amp;"|"&amp;LEN(IF(Raw!B917="","",Raw!B917))&amp;":"&amp;IF(Raw!B917="","",Raw!B917)&amp;"|"&amp;LEN(IF(Raw!C917="","",Raw!C917))&amp;":"&amp;IF(Raw!C917="","",Raw!C917)&amp;"|"&amp;LEN(IF(Raw!D917="","",Raw!D917))&amp;":"&amp;IF(Raw!D917="","",Raw!D917)&amp;"|"&amp;LEN(IF(Raw!E917="","",Raw!E917))&amp;":"&amp;IF(Raw!E917="","",Raw!E917)&amp;"|"&amp;LEN(IF(Raw!F917="","",Raw!F917))&amp;":"&amp;IF(Raw!F917="","",Raw!F917)&amp;"|"&amp;LEN(IF(Raw!G917="","",Raw!G917))&amp;":"&amp;IF(Raw!G917="","",Raw!G917)</f>
        <v>6:L00911|6:T00456|10:2026-02-05|3:P-H|4:Home|4:sale|6:101.69</v>
      </c>
      <c r="Q917" s="1">
        <f>1</f>
        <v>1</v>
      </c>
      <c r="R917" s="1" t="b">
        <f>FALSE</f>
        <v>0</v>
      </c>
      <c r="S917" s="1">
        <f>1</f>
        <v>1</v>
      </c>
      <c r="T917" s="1" t="str">
        <f>IF(AND(Raw!A917="",Raw!B917="",Raw!C917="",Raw!D917="",Raw!E917="",Raw!F917="",Raw!G917=""),"UNUSED",IF(A917="","missing line ID",IF(B917="","missing transaction ID",IF(G917="",IF(C917="","missing date","invalid date"),IF(I917="","unknown product",IF(J917="","conflicting category",IF(NOT(OR(EXACT(K917,"sale"),EXACT(K917,"refund"))),"unknown event",IF(OR(N917="",NOT(O917)),"invalid amount",IF(OR(AND(K917="sale",N917&lt;=0),AND(K917="refund",N917&gt;=0)),"invalid sign","")))))))))</f>
        <v/>
      </c>
      <c r="U917" s="1" t="str">
        <f t="shared" si="117"/>
        <v>INCLUDED</v>
      </c>
      <c r="V917" s="1" t="str">
        <f t="shared" si="118"/>
        <v>2026-02</v>
      </c>
      <c r="W917" s="1">
        <f>IF(AND(U917="INCLUDED",X917&gt;0,EXACT(A917,'AI output'!A917)),1,0)</f>
        <v>1</v>
      </c>
      <c r="X917" s="1">
        <f>917</f>
        <v>917</v>
      </c>
      <c r="Y917" s="1">
        <f>IF(AND(U917="INCLUDED",W917=1),--(NOT(EXACT(A917,'AI output'!A917)))+--(NOT(EXACT(B917,'AI output'!B917)))+--(NOT(EXACT(TEXT(G917,"yyyy-mm-dd"),'AI output'!C917)))+--(NOT(EXACT(H917,'AI output'!D917)))+--(NOT(EXACT(J917,'AI output'!E917)))+--(NOT(EXACT(K917,'AI output'!F917)))+--(N917&lt;&gt;'AI output'!L917)+--(NOT('AI output'!M917)),0)</f>
        <v>0</v>
      </c>
      <c r="Z917" s="1">
        <f t="shared" si="119"/>
        <v>0</v>
      </c>
      <c r="AA917" s="1">
        <f>--EXACT(A917,"L00911")</f>
        <v>1</v>
      </c>
    </row>
    <row r="918" spans="1:27" ht="18.95" customHeight="1">
      <c r="A918" s="1" t="str">
        <f>IF(Raw!A918="","",Raw!A918)</f>
        <v>L00912</v>
      </c>
      <c r="B918" s="1" t="str">
        <f>IF(Raw!B918="","",Raw!B918)</f>
        <v>T00456</v>
      </c>
      <c r="C918" s="1" t="str">
        <f>IF(Raw!C918="","",Raw!C918)</f>
        <v>2026-02-05</v>
      </c>
      <c r="D918" s="1">
        <f t="shared" si="112"/>
        <v>2026</v>
      </c>
      <c r="E918" s="1">
        <f>IFERROR(IF(AND(LEN(C918)=10,MID(C918,5,1)="-",MID(C918,8,1)="-"),VALUE(MID(C918,6,2)),IF(AND(LEN(C918)=11,MID(C918,3,1)="-",MID(C918,7,1)="-"),MATCH(UPPER(MID(C918,4,3)),Guide!$D$7:$D$18,0),0)),0)</f>
        <v>2</v>
      </c>
      <c r="F918" s="1">
        <f t="shared" si="113"/>
        <v>5</v>
      </c>
      <c r="G918" s="9">
        <f t="shared" si="114"/>
        <v>46058</v>
      </c>
      <c r="H918" s="1" t="str">
        <f>IF(Raw!D918="","",Raw!D918)</f>
        <v>P-O</v>
      </c>
      <c r="I918" s="1" t="str">
        <f>IFERROR(IF(EXACT(H918,INDEX(Guide!$A$7:$A$9,MATCH(SUBSTITUTE(SUBSTITUTE(SUBSTITUTE(H918,"~","~~"),"*","~*"),"?","~?"),Guide!$A$7:$A$9,0))),INDEX(Guide!$B$7:$B$9,MATCH(SUBSTITUTE(SUBSTITUTE(SUBSTITUTE(H918,"~","~~"),"*","~*"),"?","~?"),Guide!$A$7:$A$9,0)),""),"")</f>
        <v>Office</v>
      </c>
      <c r="J918" s="1" t="str">
        <f>IF(TRIM(Raw!E918)="",I918,IF(UPPER(TRIM(Raw!E918))=UPPER(I918),I918,""))</f>
        <v>Office</v>
      </c>
      <c r="K918" s="1" t="str">
        <f>IF(Raw!F918="","",Raw!F918)</f>
        <v>sale</v>
      </c>
      <c r="L918" s="1" t="str">
        <f>IF(LEFT(TRIM(Raw!G918),2)="-$","-"&amp;MID(TRIM(Raw!G918),3,99),IF(LEFT(TRIM(Raw!G918),1)="$",MID(TRIM(Raw!G918),2,99),TRIM(Raw!G918)))</f>
        <v>306.18</v>
      </c>
      <c r="M918" s="1">
        <f t="shared" si="115"/>
        <v>306.18</v>
      </c>
      <c r="N918" s="10">
        <f t="shared" si="116"/>
        <v>30618</v>
      </c>
      <c r="O918" s="1" t="b">
        <f>IFERROR(IF(ISNUMBER(Raw!G918),TRUE,OR(EXACT(L918,TEXT(M918,"0.00")),EXACT(L918,TEXT(M918,"#,##0.00")))),FALSE)</f>
        <v>1</v>
      </c>
      <c r="P918" s="1" t="str">
        <f>LEN(IF(Raw!A918="","",Raw!A918))&amp;":"&amp;IF(Raw!A918="","",Raw!A918)&amp;"|"&amp;LEN(IF(Raw!B918="","",Raw!B918))&amp;":"&amp;IF(Raw!B918="","",Raw!B918)&amp;"|"&amp;LEN(IF(Raw!C918="","",Raw!C918))&amp;":"&amp;IF(Raw!C918="","",Raw!C918)&amp;"|"&amp;LEN(IF(Raw!D918="","",Raw!D918))&amp;":"&amp;IF(Raw!D918="","",Raw!D918)&amp;"|"&amp;LEN(IF(Raw!E918="","",Raw!E918))&amp;":"&amp;IF(Raw!E918="","",Raw!E918)&amp;"|"&amp;LEN(IF(Raw!F918="","",Raw!F918))&amp;":"&amp;IF(Raw!F918="","",Raw!F918)&amp;"|"&amp;LEN(IF(Raw!G918="","",Raw!G918))&amp;":"&amp;IF(Raw!G918="","",Raw!G918)</f>
        <v>6:L00912|6:T00456|10:2026-02-05|3:P-O|6:Office|4:sale|6:306.18</v>
      </c>
      <c r="Q918" s="1">
        <f>1</f>
        <v>1</v>
      </c>
      <c r="R918" s="1" t="b">
        <f>FALSE</f>
        <v>0</v>
      </c>
      <c r="S918" s="1">
        <f>1</f>
        <v>1</v>
      </c>
      <c r="T918" s="1" t="str">
        <f>IF(AND(Raw!A918="",Raw!B918="",Raw!C918="",Raw!D918="",Raw!E918="",Raw!F918="",Raw!G918=""),"UNUSED",IF(A918="","missing line ID",IF(B918="","missing transaction ID",IF(G918="",IF(C918="","missing date","invalid date"),IF(I918="","unknown product",IF(J918="","conflicting category",IF(NOT(OR(EXACT(K918,"sale"),EXACT(K918,"refund"))),"unknown event",IF(OR(N918="",NOT(O918)),"invalid amount",IF(OR(AND(K918="sale",N918&lt;=0),AND(K918="refund",N918&gt;=0)),"invalid sign","")))))))))</f>
        <v/>
      </c>
      <c r="U918" s="1" t="str">
        <f t="shared" si="117"/>
        <v>INCLUDED</v>
      </c>
      <c r="V918" s="1" t="str">
        <f t="shared" si="118"/>
        <v>2026-02</v>
      </c>
      <c r="W918" s="1">
        <f>IF(AND(U918="INCLUDED",X918&gt;0,EXACT(A918,'AI output'!A918)),1,0)</f>
        <v>1</v>
      </c>
      <c r="X918" s="1">
        <f>918</f>
        <v>918</v>
      </c>
      <c r="Y918" s="1">
        <f>IF(AND(U918="INCLUDED",W918=1),--(NOT(EXACT(A918,'AI output'!A918)))+--(NOT(EXACT(B918,'AI output'!B918)))+--(NOT(EXACT(TEXT(G918,"yyyy-mm-dd"),'AI output'!C918)))+--(NOT(EXACT(H918,'AI output'!D918)))+--(NOT(EXACT(J918,'AI output'!E918)))+--(NOT(EXACT(K918,'AI output'!F918)))+--(N918&lt;&gt;'AI output'!L918)+--(NOT('AI output'!M918)),0)</f>
        <v>0</v>
      </c>
      <c r="Z918" s="1">
        <f t="shared" si="119"/>
        <v>0</v>
      </c>
      <c r="AA918" s="1">
        <f>--EXACT(A918,"L00912")</f>
        <v>1</v>
      </c>
    </row>
    <row r="919" spans="1:27" ht="18.95" customHeight="1">
      <c r="A919" s="1" t="str">
        <f>IF(Raw!A919="","",Raw!A919)</f>
        <v>L00913</v>
      </c>
      <c r="B919" s="1" t="str">
        <f>IF(Raw!B919="","",Raw!B919)</f>
        <v>T00457</v>
      </c>
      <c r="C919" s="1" t="str">
        <f>IF(Raw!C919="","",Raw!C919)</f>
        <v>2026-02-12</v>
      </c>
      <c r="D919" s="1">
        <f t="shared" si="112"/>
        <v>2026</v>
      </c>
      <c r="E919" s="1">
        <f>IFERROR(IF(AND(LEN(C919)=10,MID(C919,5,1)="-",MID(C919,8,1)="-"),VALUE(MID(C919,6,2)),IF(AND(LEN(C919)=11,MID(C919,3,1)="-",MID(C919,7,1)="-"),MATCH(UPPER(MID(C919,4,3)),Guide!$D$7:$D$18,0),0)),0)</f>
        <v>2</v>
      </c>
      <c r="F919" s="1">
        <f t="shared" si="113"/>
        <v>12</v>
      </c>
      <c r="G919" s="9">
        <f t="shared" si="114"/>
        <v>46065</v>
      </c>
      <c r="H919" s="1" t="str">
        <f>IF(Raw!D919="","",Raw!D919)</f>
        <v>P-A</v>
      </c>
      <c r="I919" s="1" t="str">
        <f>IFERROR(IF(EXACT(H919,INDEX(Guide!$A$7:$A$9,MATCH(SUBSTITUTE(SUBSTITUTE(SUBSTITUTE(H919,"~","~~"),"*","~*"),"?","~?"),Guide!$A$7:$A$9,0))),INDEX(Guide!$B$7:$B$9,MATCH(SUBSTITUTE(SUBSTITUTE(SUBSTITUTE(H919,"~","~~"),"*","~*"),"?","~?"),Guide!$A$7:$A$9,0)),""),"")</f>
        <v>Accessories</v>
      </c>
      <c r="J919" s="1" t="str">
        <f>IF(TRIM(Raw!E919)="",I919,IF(UPPER(TRIM(Raw!E919))=UPPER(I919),I919,""))</f>
        <v>Accessories</v>
      </c>
      <c r="K919" s="1" t="str">
        <f>IF(Raw!F919="","",Raw!F919)</f>
        <v>sale</v>
      </c>
      <c r="L919" s="1" t="str">
        <f>IF(LEFT(TRIM(Raw!G919),2)="-$","-"&amp;MID(TRIM(Raw!G919),3,99),IF(LEFT(TRIM(Raw!G919),1)="$",MID(TRIM(Raw!G919),2,99),TRIM(Raw!G919)))</f>
        <v>512.15</v>
      </c>
      <c r="M919" s="1">
        <f t="shared" si="115"/>
        <v>512.15</v>
      </c>
      <c r="N919" s="10">
        <f t="shared" si="116"/>
        <v>51215</v>
      </c>
      <c r="O919" s="1" t="b">
        <f>IFERROR(IF(ISNUMBER(Raw!G919),TRUE,OR(EXACT(L919,TEXT(M919,"0.00")),EXACT(L919,TEXT(M919,"#,##0.00")))),FALSE)</f>
        <v>1</v>
      </c>
      <c r="P919" s="1" t="str">
        <f>LEN(IF(Raw!A919="","",Raw!A919))&amp;":"&amp;IF(Raw!A919="","",Raw!A919)&amp;"|"&amp;LEN(IF(Raw!B919="","",Raw!B919))&amp;":"&amp;IF(Raw!B919="","",Raw!B919)&amp;"|"&amp;LEN(IF(Raw!C919="","",Raw!C919))&amp;":"&amp;IF(Raw!C919="","",Raw!C919)&amp;"|"&amp;LEN(IF(Raw!D919="","",Raw!D919))&amp;":"&amp;IF(Raw!D919="","",Raw!D919)&amp;"|"&amp;LEN(IF(Raw!E919="","",Raw!E919))&amp;":"&amp;IF(Raw!E919="","",Raw!E919)&amp;"|"&amp;LEN(IF(Raw!F919="","",Raw!F919))&amp;":"&amp;IF(Raw!F919="","",Raw!F919)&amp;"|"&amp;LEN(IF(Raw!G919="","",Raw!G919))&amp;":"&amp;IF(Raw!G919="","",Raw!G919)</f>
        <v>6:L00913|6:T00457|10:2026-02-12|3:P-A|11:Accessories|4:sale|6:512.15</v>
      </c>
      <c r="Q919" s="1">
        <f>1</f>
        <v>1</v>
      </c>
      <c r="R919" s="1" t="b">
        <f>FALSE</f>
        <v>0</v>
      </c>
      <c r="S919" s="1">
        <f>1</f>
        <v>1</v>
      </c>
      <c r="T919" s="1" t="str">
        <f>IF(AND(Raw!A919="",Raw!B919="",Raw!C919="",Raw!D919="",Raw!E919="",Raw!F919="",Raw!G919=""),"UNUSED",IF(A919="","missing line ID",IF(B919="","missing transaction ID",IF(G919="",IF(C919="","missing date","invalid date"),IF(I919="","unknown product",IF(J919="","conflicting category",IF(NOT(OR(EXACT(K919,"sale"),EXACT(K919,"refund"))),"unknown event",IF(OR(N919="",NOT(O919)),"invalid amount",IF(OR(AND(K919="sale",N919&lt;=0),AND(K919="refund",N919&gt;=0)),"invalid sign","")))))))))</f>
        <v/>
      </c>
      <c r="U919" s="1" t="str">
        <f t="shared" si="117"/>
        <v>INCLUDED</v>
      </c>
      <c r="V919" s="1" t="str">
        <f t="shared" si="118"/>
        <v>2026-02</v>
      </c>
      <c r="W919" s="1">
        <f>IF(AND(U919="INCLUDED",X919&gt;0,EXACT(A919,'AI output'!A919)),1,0)</f>
        <v>1</v>
      </c>
      <c r="X919" s="1">
        <f>919</f>
        <v>919</v>
      </c>
      <c r="Y919" s="1">
        <f>IF(AND(U919="INCLUDED",W919=1),--(NOT(EXACT(A919,'AI output'!A919)))+--(NOT(EXACT(B919,'AI output'!B919)))+--(NOT(EXACT(TEXT(G919,"yyyy-mm-dd"),'AI output'!C919)))+--(NOT(EXACT(H919,'AI output'!D919)))+--(NOT(EXACT(J919,'AI output'!E919)))+--(NOT(EXACT(K919,'AI output'!F919)))+--(N919&lt;&gt;'AI output'!L919)+--(NOT('AI output'!M919)),0)</f>
        <v>0</v>
      </c>
      <c r="Z919" s="1">
        <f t="shared" si="119"/>
        <v>0</v>
      </c>
      <c r="AA919" s="1">
        <f>--EXACT(A919,"L00913")</f>
        <v>1</v>
      </c>
    </row>
    <row r="920" spans="1:27" ht="18.95" customHeight="1">
      <c r="A920" s="1" t="str">
        <f>IF(Raw!A920="","",Raw!A920)</f>
        <v>L00914</v>
      </c>
      <c r="B920" s="1" t="str">
        <f>IF(Raw!B920="","",Raw!B920)</f>
        <v>T00457</v>
      </c>
      <c r="C920" s="1" t="str">
        <f>IF(Raw!C920="","",Raw!C920)</f>
        <v>2026-02-12</v>
      </c>
      <c r="D920" s="1">
        <f t="shared" si="112"/>
        <v>2026</v>
      </c>
      <c r="E920" s="1">
        <f>IFERROR(IF(AND(LEN(C920)=10,MID(C920,5,1)="-",MID(C920,8,1)="-"),VALUE(MID(C920,6,2)),IF(AND(LEN(C920)=11,MID(C920,3,1)="-",MID(C920,7,1)="-"),MATCH(UPPER(MID(C920,4,3)),Guide!$D$7:$D$18,0),0)),0)</f>
        <v>2</v>
      </c>
      <c r="F920" s="1">
        <f t="shared" si="113"/>
        <v>12</v>
      </c>
      <c r="G920" s="9">
        <f t="shared" si="114"/>
        <v>46065</v>
      </c>
      <c r="H920" s="1" t="str">
        <f>IF(Raw!D920="","",Raw!D920)</f>
        <v>P-H</v>
      </c>
      <c r="I920" s="1" t="str">
        <f>IFERROR(IF(EXACT(H920,INDEX(Guide!$A$7:$A$9,MATCH(SUBSTITUTE(SUBSTITUTE(SUBSTITUTE(H920,"~","~~"),"*","~*"),"?","~?"),Guide!$A$7:$A$9,0))),INDEX(Guide!$B$7:$B$9,MATCH(SUBSTITUTE(SUBSTITUTE(SUBSTITUTE(H920,"~","~~"),"*","~*"),"?","~?"),Guide!$A$7:$A$9,0)),""),"")</f>
        <v>Home</v>
      </c>
      <c r="J920" s="1" t="str">
        <f>IF(TRIM(Raw!E920)="",I920,IF(UPPER(TRIM(Raw!E920))=UPPER(I920),I920,""))</f>
        <v>Home</v>
      </c>
      <c r="K920" s="1" t="str">
        <f>IF(Raw!F920="","",Raw!F920)</f>
        <v>sale</v>
      </c>
      <c r="L920" s="1" t="str">
        <f>IF(LEFT(TRIM(Raw!G920),2)="-$","-"&amp;MID(TRIM(Raw!G920),3,99),IF(LEFT(TRIM(Raw!G920),1)="$",MID(TRIM(Raw!G920),2,99),TRIM(Raw!G920)))</f>
        <v>205.60</v>
      </c>
      <c r="M920" s="1">
        <f t="shared" si="115"/>
        <v>205.6</v>
      </c>
      <c r="N920" s="10">
        <f t="shared" si="116"/>
        <v>20560</v>
      </c>
      <c r="O920" s="1" t="b">
        <f>IFERROR(IF(ISNUMBER(Raw!G920),TRUE,OR(EXACT(L920,TEXT(M920,"0.00")),EXACT(L920,TEXT(M920,"#,##0.00")))),FALSE)</f>
        <v>1</v>
      </c>
      <c r="P920" s="1" t="str">
        <f>LEN(IF(Raw!A920="","",Raw!A920))&amp;":"&amp;IF(Raw!A920="","",Raw!A920)&amp;"|"&amp;LEN(IF(Raw!B920="","",Raw!B920))&amp;":"&amp;IF(Raw!B920="","",Raw!B920)&amp;"|"&amp;LEN(IF(Raw!C920="","",Raw!C920))&amp;":"&amp;IF(Raw!C920="","",Raw!C920)&amp;"|"&amp;LEN(IF(Raw!D920="","",Raw!D920))&amp;":"&amp;IF(Raw!D920="","",Raw!D920)&amp;"|"&amp;LEN(IF(Raw!E920="","",Raw!E920))&amp;":"&amp;IF(Raw!E920="","",Raw!E920)&amp;"|"&amp;LEN(IF(Raw!F920="","",Raw!F920))&amp;":"&amp;IF(Raw!F920="","",Raw!F920)&amp;"|"&amp;LEN(IF(Raw!G920="","",Raw!G920))&amp;":"&amp;IF(Raw!G920="","",Raw!G920)</f>
        <v>6:L00914|6:T00457|10:2026-02-12|3:P-H|4:Home|4:sale|6:205.60</v>
      </c>
      <c r="Q920" s="1">
        <f>1</f>
        <v>1</v>
      </c>
      <c r="R920" s="1" t="b">
        <f>FALSE</f>
        <v>0</v>
      </c>
      <c r="S920" s="1">
        <f>1</f>
        <v>1</v>
      </c>
      <c r="T920" s="1" t="str">
        <f>IF(AND(Raw!A920="",Raw!B920="",Raw!C920="",Raw!D920="",Raw!E920="",Raw!F920="",Raw!G920=""),"UNUSED",IF(A920="","missing line ID",IF(B920="","missing transaction ID",IF(G920="",IF(C920="","missing date","invalid date"),IF(I920="","unknown product",IF(J920="","conflicting category",IF(NOT(OR(EXACT(K920,"sale"),EXACT(K920,"refund"))),"unknown event",IF(OR(N920="",NOT(O920)),"invalid amount",IF(OR(AND(K920="sale",N920&lt;=0),AND(K920="refund",N920&gt;=0)),"invalid sign","")))))))))</f>
        <v/>
      </c>
      <c r="U920" s="1" t="str">
        <f t="shared" si="117"/>
        <v>INCLUDED</v>
      </c>
      <c r="V920" s="1" t="str">
        <f t="shared" si="118"/>
        <v>2026-02</v>
      </c>
      <c r="W920" s="1">
        <f>IF(AND(U920="INCLUDED",X920&gt;0,EXACT(A920,'AI output'!A920)),1,0)</f>
        <v>1</v>
      </c>
      <c r="X920" s="1">
        <f>920</f>
        <v>920</v>
      </c>
      <c r="Y920" s="1">
        <f>IF(AND(U920="INCLUDED",W920=1),--(NOT(EXACT(A920,'AI output'!A920)))+--(NOT(EXACT(B920,'AI output'!B920)))+--(NOT(EXACT(TEXT(G920,"yyyy-mm-dd"),'AI output'!C920)))+--(NOT(EXACT(H920,'AI output'!D920)))+--(NOT(EXACT(J920,'AI output'!E920)))+--(NOT(EXACT(K920,'AI output'!F920)))+--(N920&lt;&gt;'AI output'!L920)+--(NOT('AI output'!M920)),0)</f>
        <v>0</v>
      </c>
      <c r="Z920" s="1">
        <f t="shared" si="119"/>
        <v>0</v>
      </c>
      <c r="AA920" s="1">
        <f>--EXACT(A920,"L00914")</f>
        <v>1</v>
      </c>
    </row>
    <row r="921" spans="1:27" ht="18.95" customHeight="1">
      <c r="A921" s="1" t="str">
        <f>IF(Raw!A921="","",Raw!A921)</f>
        <v>L00915</v>
      </c>
      <c r="B921" s="1" t="str">
        <f>IF(Raw!B921="","",Raw!B921)</f>
        <v>T00458</v>
      </c>
      <c r="C921" s="1" t="str">
        <f>IF(Raw!C921="","",Raw!C921)</f>
        <v>2026-02-19</v>
      </c>
      <c r="D921" s="1">
        <f t="shared" si="112"/>
        <v>2026</v>
      </c>
      <c r="E921" s="1">
        <f>IFERROR(IF(AND(LEN(C921)=10,MID(C921,5,1)="-",MID(C921,8,1)="-"),VALUE(MID(C921,6,2)),IF(AND(LEN(C921)=11,MID(C921,3,1)="-",MID(C921,7,1)="-"),MATCH(UPPER(MID(C921,4,3)),Guide!$D$7:$D$18,0),0)),0)</f>
        <v>2</v>
      </c>
      <c r="F921" s="1">
        <f t="shared" si="113"/>
        <v>19</v>
      </c>
      <c r="G921" s="9">
        <f t="shared" si="114"/>
        <v>46072</v>
      </c>
      <c r="H921" s="1" t="str">
        <f>IF(Raw!D921="","",Raw!D921)</f>
        <v>P-O</v>
      </c>
      <c r="I921" s="1" t="str">
        <f>IFERROR(IF(EXACT(H921,INDEX(Guide!$A$7:$A$9,MATCH(SUBSTITUTE(SUBSTITUTE(SUBSTITUTE(H921,"~","~~"),"*","~*"),"?","~?"),Guide!$A$7:$A$9,0))),INDEX(Guide!$B$7:$B$9,MATCH(SUBSTITUTE(SUBSTITUTE(SUBSTITUTE(H921,"~","~~"),"*","~*"),"?","~?"),Guide!$A$7:$A$9,0)),""),"")</f>
        <v>Office</v>
      </c>
      <c r="J921" s="1" t="str">
        <f>IF(TRIM(Raw!E921)="",I921,IF(UPPER(TRIM(Raw!E921))=UPPER(I921),I921,""))</f>
        <v>Office</v>
      </c>
      <c r="K921" s="1" t="str">
        <f>IF(Raw!F921="","",Raw!F921)</f>
        <v>sale</v>
      </c>
      <c r="L921" s="1" t="str">
        <f>IF(LEFT(TRIM(Raw!G921),2)="-$","-"&amp;MID(TRIM(Raw!G921),3,99),IF(LEFT(TRIM(Raw!G921),1)="$",MID(TRIM(Raw!G921),2,99),TRIM(Raw!G921)))</f>
        <v>412.68</v>
      </c>
      <c r="M921" s="1">
        <f t="shared" si="115"/>
        <v>412.68</v>
      </c>
      <c r="N921" s="10">
        <f t="shared" si="116"/>
        <v>41268</v>
      </c>
      <c r="O921" s="1" t="b">
        <f>IFERROR(IF(ISNUMBER(Raw!G921),TRUE,OR(EXACT(L921,TEXT(M921,"0.00")),EXACT(L921,TEXT(M921,"#,##0.00")))),FALSE)</f>
        <v>1</v>
      </c>
      <c r="P921" s="1" t="str">
        <f>LEN(IF(Raw!A921="","",Raw!A921))&amp;":"&amp;IF(Raw!A921="","",Raw!A921)&amp;"|"&amp;LEN(IF(Raw!B921="","",Raw!B921))&amp;":"&amp;IF(Raw!B921="","",Raw!B921)&amp;"|"&amp;LEN(IF(Raw!C921="","",Raw!C921))&amp;":"&amp;IF(Raw!C921="","",Raw!C921)&amp;"|"&amp;LEN(IF(Raw!D921="","",Raw!D921))&amp;":"&amp;IF(Raw!D921="","",Raw!D921)&amp;"|"&amp;LEN(IF(Raw!E921="","",Raw!E921))&amp;":"&amp;IF(Raw!E921="","",Raw!E921)&amp;"|"&amp;LEN(IF(Raw!F921="","",Raw!F921))&amp;":"&amp;IF(Raw!F921="","",Raw!F921)&amp;"|"&amp;LEN(IF(Raw!G921="","",Raw!G921))&amp;":"&amp;IF(Raw!G921="","",Raw!G921)</f>
        <v>6:L00915|6:T00458|10:2026-02-19|3:P-O|6:Office|4:sale|6:412.68</v>
      </c>
      <c r="Q921" s="1">
        <f>1</f>
        <v>1</v>
      </c>
      <c r="R921" s="1" t="b">
        <f>FALSE</f>
        <v>0</v>
      </c>
      <c r="S921" s="1">
        <f>1</f>
        <v>1</v>
      </c>
      <c r="T921" s="1" t="str">
        <f>IF(AND(Raw!A921="",Raw!B921="",Raw!C921="",Raw!D921="",Raw!E921="",Raw!F921="",Raw!G921=""),"UNUSED",IF(A921="","missing line ID",IF(B921="","missing transaction ID",IF(G921="",IF(C921="","missing date","invalid date"),IF(I921="","unknown product",IF(J921="","conflicting category",IF(NOT(OR(EXACT(K921,"sale"),EXACT(K921,"refund"))),"unknown event",IF(OR(N921="",NOT(O921)),"invalid amount",IF(OR(AND(K921="sale",N921&lt;=0),AND(K921="refund",N921&gt;=0)),"invalid sign","")))))))))</f>
        <v/>
      </c>
      <c r="U921" s="1" t="str">
        <f t="shared" si="117"/>
        <v>INCLUDED</v>
      </c>
      <c r="V921" s="1" t="str">
        <f t="shared" si="118"/>
        <v>2026-02</v>
      </c>
      <c r="W921" s="1">
        <f>IF(AND(U921="INCLUDED",X921&gt;0,EXACT(A921,'AI output'!A921)),1,0)</f>
        <v>1</v>
      </c>
      <c r="X921" s="1">
        <f>921</f>
        <v>921</v>
      </c>
      <c r="Y921" s="1">
        <f>IF(AND(U921="INCLUDED",W921=1),--(NOT(EXACT(A921,'AI output'!A921)))+--(NOT(EXACT(B921,'AI output'!B921)))+--(NOT(EXACT(TEXT(G921,"yyyy-mm-dd"),'AI output'!C921)))+--(NOT(EXACT(H921,'AI output'!D921)))+--(NOT(EXACT(J921,'AI output'!E921)))+--(NOT(EXACT(K921,'AI output'!F921)))+--(N921&lt;&gt;'AI output'!L921)+--(NOT('AI output'!M921)),0)</f>
        <v>0</v>
      </c>
      <c r="Z921" s="1">
        <f t="shared" si="119"/>
        <v>0</v>
      </c>
      <c r="AA921" s="1">
        <f>--EXACT(A921,"L00915")</f>
        <v>1</v>
      </c>
    </row>
    <row r="922" spans="1:27" ht="18.95" customHeight="1">
      <c r="A922" s="1" t="str">
        <f>IF(Raw!A922="","",Raw!A922)</f>
        <v>L00916</v>
      </c>
      <c r="B922" s="1" t="str">
        <f>IF(Raw!B922="","",Raw!B922)</f>
        <v>T00458</v>
      </c>
      <c r="C922" s="1" t="str">
        <f>IF(Raw!C922="","",Raw!C922)</f>
        <v>2026-02-19</v>
      </c>
      <c r="D922" s="1">
        <f t="shared" si="112"/>
        <v>2026</v>
      </c>
      <c r="E922" s="1">
        <f>IFERROR(IF(AND(LEN(C922)=10,MID(C922,5,1)="-",MID(C922,8,1)="-"),VALUE(MID(C922,6,2)),IF(AND(LEN(C922)=11,MID(C922,3,1)="-",MID(C922,7,1)="-"),MATCH(UPPER(MID(C922,4,3)),Guide!$D$7:$D$18,0),0)),0)</f>
        <v>2</v>
      </c>
      <c r="F922" s="1">
        <f t="shared" si="113"/>
        <v>19</v>
      </c>
      <c r="G922" s="9">
        <f t="shared" si="114"/>
        <v>46072</v>
      </c>
      <c r="H922" s="1" t="str">
        <f>IF(Raw!D922="","",Raw!D922)</f>
        <v>P-A</v>
      </c>
      <c r="I922" s="1" t="str">
        <f>IFERROR(IF(EXACT(H922,INDEX(Guide!$A$7:$A$9,MATCH(SUBSTITUTE(SUBSTITUTE(SUBSTITUTE(H922,"~","~~"),"*","~*"),"?","~?"),Guide!$A$7:$A$9,0))),INDEX(Guide!$B$7:$B$9,MATCH(SUBSTITUTE(SUBSTITUTE(SUBSTITUTE(H922,"~","~~"),"*","~*"),"?","~?"),Guide!$A$7:$A$9,0)),""),"")</f>
        <v>Accessories</v>
      </c>
      <c r="J922" s="1" t="str">
        <f>IF(TRIM(Raw!E922)="",I922,IF(UPPER(TRIM(Raw!E922))=UPPER(I922),I922,""))</f>
        <v>Accessories</v>
      </c>
      <c r="K922" s="1" t="str">
        <f>IF(Raw!F922="","",Raw!F922)</f>
        <v>sale</v>
      </c>
      <c r="L922" s="1" t="str">
        <f>IF(LEFT(TRIM(Raw!G922),2)="-$","-"&amp;MID(TRIM(Raw!G922),3,99),IF(LEFT(TRIM(Raw!G922),1)="$",MID(TRIM(Raw!G922),2,99),TRIM(Raw!G922)))</f>
        <v>103.54</v>
      </c>
      <c r="M922" s="1">
        <f t="shared" si="115"/>
        <v>103.54</v>
      </c>
      <c r="N922" s="10">
        <f t="shared" si="116"/>
        <v>10354</v>
      </c>
      <c r="O922" s="1" t="b">
        <f>IFERROR(IF(ISNUMBER(Raw!G922),TRUE,OR(EXACT(L922,TEXT(M922,"0.00")),EXACT(L922,TEXT(M922,"#,##0.00")))),FALSE)</f>
        <v>1</v>
      </c>
      <c r="P922" s="1" t="str">
        <f>LEN(IF(Raw!A922="","",Raw!A922))&amp;":"&amp;IF(Raw!A922="","",Raw!A922)&amp;"|"&amp;LEN(IF(Raw!B922="","",Raw!B922))&amp;":"&amp;IF(Raw!B922="","",Raw!B922)&amp;"|"&amp;LEN(IF(Raw!C922="","",Raw!C922))&amp;":"&amp;IF(Raw!C922="","",Raw!C922)&amp;"|"&amp;LEN(IF(Raw!D922="","",Raw!D922))&amp;":"&amp;IF(Raw!D922="","",Raw!D922)&amp;"|"&amp;LEN(IF(Raw!E922="","",Raw!E922))&amp;":"&amp;IF(Raw!E922="","",Raw!E922)&amp;"|"&amp;LEN(IF(Raw!F922="","",Raw!F922))&amp;":"&amp;IF(Raw!F922="","",Raw!F922)&amp;"|"&amp;LEN(IF(Raw!G922="","",Raw!G922))&amp;":"&amp;IF(Raw!G922="","",Raw!G922)</f>
        <v>6:L00916|6:T00458|10:2026-02-19|3:P-A|11:Accessories|4:sale|6:103.54</v>
      </c>
      <c r="Q922" s="1">
        <f>1</f>
        <v>1</v>
      </c>
      <c r="R922" s="1" t="b">
        <f>FALSE</f>
        <v>0</v>
      </c>
      <c r="S922" s="1">
        <f>1</f>
        <v>1</v>
      </c>
      <c r="T922" s="1" t="str">
        <f>IF(AND(Raw!A922="",Raw!B922="",Raw!C922="",Raw!D922="",Raw!E922="",Raw!F922="",Raw!G922=""),"UNUSED",IF(A922="","missing line ID",IF(B922="","missing transaction ID",IF(G922="",IF(C922="","missing date","invalid date"),IF(I922="","unknown product",IF(J922="","conflicting category",IF(NOT(OR(EXACT(K922,"sale"),EXACT(K922,"refund"))),"unknown event",IF(OR(N922="",NOT(O922)),"invalid amount",IF(OR(AND(K922="sale",N922&lt;=0),AND(K922="refund",N922&gt;=0)),"invalid sign","")))))))))</f>
        <v/>
      </c>
      <c r="U922" s="1" t="str">
        <f t="shared" si="117"/>
        <v>INCLUDED</v>
      </c>
      <c r="V922" s="1" t="str">
        <f t="shared" si="118"/>
        <v>2026-02</v>
      </c>
      <c r="W922" s="1">
        <f>IF(AND(U922="INCLUDED",X922&gt;0,EXACT(A922,'AI output'!A922)),1,0)</f>
        <v>1</v>
      </c>
      <c r="X922" s="1">
        <f>922</f>
        <v>922</v>
      </c>
      <c r="Y922" s="1">
        <f>IF(AND(U922="INCLUDED",W922=1),--(NOT(EXACT(A922,'AI output'!A922)))+--(NOT(EXACT(B922,'AI output'!B922)))+--(NOT(EXACT(TEXT(G922,"yyyy-mm-dd"),'AI output'!C922)))+--(NOT(EXACT(H922,'AI output'!D922)))+--(NOT(EXACT(J922,'AI output'!E922)))+--(NOT(EXACT(K922,'AI output'!F922)))+--(N922&lt;&gt;'AI output'!L922)+--(NOT('AI output'!M922)),0)</f>
        <v>0</v>
      </c>
      <c r="Z922" s="1">
        <f t="shared" si="119"/>
        <v>0</v>
      </c>
      <c r="AA922" s="1">
        <f>--EXACT(A922,"L00916")</f>
        <v>1</v>
      </c>
    </row>
    <row r="923" spans="1:27" ht="18.95" customHeight="1">
      <c r="A923" s="1" t="str">
        <f>IF(Raw!A923="","",Raw!A923)</f>
        <v>L00917</v>
      </c>
      <c r="B923" s="1" t="str">
        <f>IF(Raw!B923="","",Raw!B923)</f>
        <v>T00459</v>
      </c>
      <c r="C923" s="1" t="str">
        <f>IF(Raw!C923="","",Raw!C923)</f>
        <v>2026-02-26</v>
      </c>
      <c r="D923" s="1">
        <f t="shared" si="112"/>
        <v>2026</v>
      </c>
      <c r="E923" s="1">
        <f>IFERROR(IF(AND(LEN(C923)=10,MID(C923,5,1)="-",MID(C923,8,1)="-"),VALUE(MID(C923,6,2)),IF(AND(LEN(C923)=11,MID(C923,3,1)="-",MID(C923,7,1)="-"),MATCH(UPPER(MID(C923,4,3)),Guide!$D$7:$D$18,0),0)),0)</f>
        <v>2</v>
      </c>
      <c r="F923" s="1">
        <f t="shared" si="113"/>
        <v>26</v>
      </c>
      <c r="G923" s="9">
        <f t="shared" si="114"/>
        <v>46079</v>
      </c>
      <c r="H923" s="1" t="str">
        <f>IF(Raw!D923="","",Raw!D923)</f>
        <v>P-H</v>
      </c>
      <c r="I923" s="1" t="str">
        <f>IFERROR(IF(EXACT(H923,INDEX(Guide!$A$7:$A$9,MATCH(SUBSTITUTE(SUBSTITUTE(SUBSTITUTE(H923,"~","~~"),"*","~*"),"?","~?"),Guide!$A$7:$A$9,0))),INDEX(Guide!$B$7:$B$9,MATCH(SUBSTITUTE(SUBSTITUTE(SUBSTITUTE(H923,"~","~~"),"*","~*"),"?","~?"),Guide!$A$7:$A$9,0)),""),"")</f>
        <v>Home</v>
      </c>
      <c r="J923" s="1" t="str">
        <f>IF(TRIM(Raw!E923)="",I923,IF(UPPER(TRIM(Raw!E923))=UPPER(I923),I923,""))</f>
        <v>Home</v>
      </c>
      <c r="K923" s="1" t="str">
        <f>IF(Raw!F923="","",Raw!F923)</f>
        <v>sale</v>
      </c>
      <c r="L923" s="1" t="str">
        <f>IF(LEFT(TRIM(Raw!G923),2)="-$","-"&amp;MID(TRIM(Raw!G923),3,99),IF(LEFT(TRIM(Raw!G923),1)="$",MID(TRIM(Raw!G923),2,99),TRIM(Raw!G923)))</f>
        <v>311.73</v>
      </c>
      <c r="M923" s="1">
        <f t="shared" si="115"/>
        <v>311.73</v>
      </c>
      <c r="N923" s="10">
        <f t="shared" si="116"/>
        <v>31173</v>
      </c>
      <c r="O923" s="1" t="b">
        <f>IFERROR(IF(ISNUMBER(Raw!G923),TRUE,OR(EXACT(L923,TEXT(M923,"0.00")),EXACT(L923,TEXT(M923,"#,##0.00")))),FALSE)</f>
        <v>1</v>
      </c>
      <c r="P923" s="1" t="str">
        <f>LEN(IF(Raw!A923="","",Raw!A923))&amp;":"&amp;IF(Raw!A923="","",Raw!A923)&amp;"|"&amp;LEN(IF(Raw!B923="","",Raw!B923))&amp;":"&amp;IF(Raw!B923="","",Raw!B923)&amp;"|"&amp;LEN(IF(Raw!C923="","",Raw!C923))&amp;":"&amp;IF(Raw!C923="","",Raw!C923)&amp;"|"&amp;LEN(IF(Raw!D923="","",Raw!D923))&amp;":"&amp;IF(Raw!D923="","",Raw!D923)&amp;"|"&amp;LEN(IF(Raw!E923="","",Raw!E923))&amp;":"&amp;IF(Raw!E923="","",Raw!E923)&amp;"|"&amp;LEN(IF(Raw!F923="","",Raw!F923))&amp;":"&amp;IF(Raw!F923="","",Raw!F923)&amp;"|"&amp;LEN(IF(Raw!G923="","",Raw!G923))&amp;":"&amp;IF(Raw!G923="","",Raw!G923)</f>
        <v>6:L00917|6:T00459|10:2026-02-26|3:P-H|4:Home|4:sale|6:311.73</v>
      </c>
      <c r="Q923" s="1">
        <f>1</f>
        <v>1</v>
      </c>
      <c r="R923" s="1" t="b">
        <f>FALSE</f>
        <v>0</v>
      </c>
      <c r="S923" s="1">
        <f>1</f>
        <v>1</v>
      </c>
      <c r="T923" s="1" t="str">
        <f>IF(AND(Raw!A923="",Raw!B923="",Raw!C923="",Raw!D923="",Raw!E923="",Raw!F923="",Raw!G923=""),"UNUSED",IF(A923="","missing line ID",IF(B923="","missing transaction ID",IF(G923="",IF(C923="","missing date","invalid date"),IF(I923="","unknown product",IF(J923="","conflicting category",IF(NOT(OR(EXACT(K923,"sale"),EXACT(K923,"refund"))),"unknown event",IF(OR(N923="",NOT(O923)),"invalid amount",IF(OR(AND(K923="sale",N923&lt;=0),AND(K923="refund",N923&gt;=0)),"invalid sign","")))))))))</f>
        <v/>
      </c>
      <c r="U923" s="1" t="str">
        <f t="shared" si="117"/>
        <v>INCLUDED</v>
      </c>
      <c r="V923" s="1" t="str">
        <f t="shared" si="118"/>
        <v>2026-02</v>
      </c>
      <c r="W923" s="1">
        <f>IF(AND(U923="INCLUDED",X923&gt;0,EXACT(A923,'AI output'!A923)),1,0)</f>
        <v>1</v>
      </c>
      <c r="X923" s="1">
        <f>923</f>
        <v>923</v>
      </c>
      <c r="Y923" s="1">
        <f>IF(AND(U923="INCLUDED",W923=1),--(NOT(EXACT(A923,'AI output'!A923)))+--(NOT(EXACT(B923,'AI output'!B923)))+--(NOT(EXACT(TEXT(G923,"yyyy-mm-dd"),'AI output'!C923)))+--(NOT(EXACT(H923,'AI output'!D923)))+--(NOT(EXACT(J923,'AI output'!E923)))+--(NOT(EXACT(K923,'AI output'!F923)))+--(N923&lt;&gt;'AI output'!L923)+--(NOT('AI output'!M923)),0)</f>
        <v>0</v>
      </c>
      <c r="Z923" s="1">
        <f t="shared" si="119"/>
        <v>0</v>
      </c>
      <c r="AA923" s="1">
        <f>--EXACT(A923,"L00917")</f>
        <v>1</v>
      </c>
    </row>
    <row r="924" spans="1:27" ht="18.95" customHeight="1">
      <c r="A924" s="1" t="str">
        <f>IF(Raw!A924="","",Raw!A924)</f>
        <v>L00918</v>
      </c>
      <c r="B924" s="1" t="str">
        <f>IF(Raw!B924="","",Raw!B924)</f>
        <v>T00459</v>
      </c>
      <c r="C924" s="1" t="str">
        <f>IF(Raw!C924="","",Raw!C924)</f>
        <v>2026-02-26</v>
      </c>
      <c r="D924" s="1">
        <f t="shared" si="112"/>
        <v>2026</v>
      </c>
      <c r="E924" s="1">
        <f>IFERROR(IF(AND(LEN(C924)=10,MID(C924,5,1)="-",MID(C924,8,1)="-"),VALUE(MID(C924,6,2)),IF(AND(LEN(C924)=11,MID(C924,3,1)="-",MID(C924,7,1)="-"),MATCH(UPPER(MID(C924,4,3)),Guide!$D$7:$D$18,0),0)),0)</f>
        <v>2</v>
      </c>
      <c r="F924" s="1">
        <f t="shared" si="113"/>
        <v>26</v>
      </c>
      <c r="G924" s="9">
        <f t="shared" si="114"/>
        <v>46079</v>
      </c>
      <c r="H924" s="1" t="str">
        <f>IF(Raw!D924="","",Raw!D924)</f>
        <v>P-O</v>
      </c>
      <c r="I924" s="1" t="str">
        <f>IFERROR(IF(EXACT(H924,INDEX(Guide!$A$7:$A$9,MATCH(SUBSTITUTE(SUBSTITUTE(SUBSTITUTE(H924,"~","~~"),"*","~*"),"?","~?"),Guide!$A$7:$A$9,0))),INDEX(Guide!$B$7:$B$9,MATCH(SUBSTITUTE(SUBSTITUTE(SUBSTITUTE(H924,"~","~~"),"*","~*"),"?","~?"),Guide!$A$7:$A$9,0)),""),"")</f>
        <v>Office</v>
      </c>
      <c r="J924" s="1" t="str">
        <f>IF(TRIM(Raw!E924)="",I924,IF(UPPER(TRIM(Raw!E924))=UPPER(I924),I924,""))</f>
        <v>Office</v>
      </c>
      <c r="K924" s="1" t="str">
        <f>IF(Raw!F924="","",Raw!F924)</f>
        <v>sale</v>
      </c>
      <c r="L924" s="1" t="str">
        <f>IF(LEFT(TRIM(Raw!G924),2)="-$","-"&amp;MID(TRIM(Raw!G924),3,99),IF(LEFT(TRIM(Raw!G924),1)="$",MID(TRIM(Raw!G924),2,99),TRIM(Raw!G924)))</f>
        <v>521.40</v>
      </c>
      <c r="M924" s="1">
        <f t="shared" si="115"/>
        <v>521.4</v>
      </c>
      <c r="N924" s="10">
        <f t="shared" si="116"/>
        <v>52140</v>
      </c>
      <c r="O924" s="1" t="b">
        <f>IFERROR(IF(ISNUMBER(Raw!G924),TRUE,OR(EXACT(L924,TEXT(M924,"0.00")),EXACT(L924,TEXT(M924,"#,##0.00")))),FALSE)</f>
        <v>1</v>
      </c>
      <c r="P924" s="1" t="str">
        <f>LEN(IF(Raw!A924="","",Raw!A924))&amp;":"&amp;IF(Raw!A924="","",Raw!A924)&amp;"|"&amp;LEN(IF(Raw!B924="","",Raw!B924))&amp;":"&amp;IF(Raw!B924="","",Raw!B924)&amp;"|"&amp;LEN(IF(Raw!C924="","",Raw!C924))&amp;":"&amp;IF(Raw!C924="","",Raw!C924)&amp;"|"&amp;LEN(IF(Raw!D924="","",Raw!D924))&amp;":"&amp;IF(Raw!D924="","",Raw!D924)&amp;"|"&amp;LEN(IF(Raw!E924="","",Raw!E924))&amp;":"&amp;IF(Raw!E924="","",Raw!E924)&amp;"|"&amp;LEN(IF(Raw!F924="","",Raw!F924))&amp;":"&amp;IF(Raw!F924="","",Raw!F924)&amp;"|"&amp;LEN(IF(Raw!G924="","",Raw!G924))&amp;":"&amp;IF(Raw!G924="","",Raw!G924)</f>
        <v>6:L00918|6:T00459|10:2026-02-26|3:P-O|6:Office|4:sale|6:521.40</v>
      </c>
      <c r="Q924" s="1">
        <f>1</f>
        <v>1</v>
      </c>
      <c r="R924" s="1" t="b">
        <f>FALSE</f>
        <v>0</v>
      </c>
      <c r="S924" s="1">
        <f>1</f>
        <v>1</v>
      </c>
      <c r="T924" s="1" t="str">
        <f>IF(AND(Raw!A924="",Raw!B924="",Raw!C924="",Raw!D924="",Raw!E924="",Raw!F924="",Raw!G924=""),"UNUSED",IF(A924="","missing line ID",IF(B924="","missing transaction ID",IF(G924="",IF(C924="","missing date","invalid date"),IF(I924="","unknown product",IF(J924="","conflicting category",IF(NOT(OR(EXACT(K924,"sale"),EXACT(K924,"refund"))),"unknown event",IF(OR(N924="",NOT(O924)),"invalid amount",IF(OR(AND(K924="sale",N924&lt;=0),AND(K924="refund",N924&gt;=0)),"invalid sign","")))))))))</f>
        <v/>
      </c>
      <c r="U924" s="1" t="str">
        <f t="shared" si="117"/>
        <v>INCLUDED</v>
      </c>
      <c r="V924" s="1" t="str">
        <f t="shared" si="118"/>
        <v>2026-02</v>
      </c>
      <c r="W924" s="1">
        <f>IF(AND(U924="INCLUDED",X924&gt;0,EXACT(A924,'AI output'!A924)),1,0)</f>
        <v>1</v>
      </c>
      <c r="X924" s="1">
        <f>924</f>
        <v>924</v>
      </c>
      <c r="Y924" s="1">
        <f>IF(AND(U924="INCLUDED",W924=1),--(NOT(EXACT(A924,'AI output'!A924)))+--(NOT(EXACT(B924,'AI output'!B924)))+--(NOT(EXACT(TEXT(G924,"yyyy-mm-dd"),'AI output'!C924)))+--(NOT(EXACT(H924,'AI output'!D924)))+--(NOT(EXACT(J924,'AI output'!E924)))+--(NOT(EXACT(K924,'AI output'!F924)))+--(N924&lt;&gt;'AI output'!L924)+--(NOT('AI output'!M924)),0)</f>
        <v>0</v>
      </c>
      <c r="Z924" s="1">
        <f t="shared" si="119"/>
        <v>0</v>
      </c>
      <c r="AA924" s="1">
        <f>--EXACT(A924,"L00918")</f>
        <v>1</v>
      </c>
    </row>
    <row r="925" spans="1:27" ht="18.95" customHeight="1">
      <c r="A925" s="1" t="str">
        <f>IF(Raw!A925="","",Raw!A925)</f>
        <v>L00919</v>
      </c>
      <c r="B925" s="1" t="str">
        <f>IF(Raw!B925="","",Raw!B925)</f>
        <v>T00460</v>
      </c>
      <c r="C925" s="1" t="str">
        <f>IF(Raw!C925="","",Raw!C925)</f>
        <v>2026-03-05</v>
      </c>
      <c r="D925" s="1">
        <f t="shared" si="112"/>
        <v>2026</v>
      </c>
      <c r="E925" s="1">
        <f>IFERROR(IF(AND(LEN(C925)=10,MID(C925,5,1)="-",MID(C925,8,1)="-"),VALUE(MID(C925,6,2)),IF(AND(LEN(C925)=11,MID(C925,3,1)="-",MID(C925,7,1)="-"),MATCH(UPPER(MID(C925,4,3)),Guide!$D$7:$D$18,0),0)),0)</f>
        <v>3</v>
      </c>
      <c r="F925" s="1">
        <f t="shared" si="113"/>
        <v>5</v>
      </c>
      <c r="G925" s="9">
        <f t="shared" si="114"/>
        <v>46086</v>
      </c>
      <c r="H925" s="1" t="str">
        <f>IF(Raw!D925="","",Raw!D925)</f>
        <v>P-A</v>
      </c>
      <c r="I925" s="1" t="str">
        <f>IFERROR(IF(EXACT(H925,INDEX(Guide!$A$7:$A$9,MATCH(SUBSTITUTE(SUBSTITUTE(SUBSTITUTE(H925,"~","~~"),"*","~*"),"?","~?"),Guide!$A$7:$A$9,0))),INDEX(Guide!$B$7:$B$9,MATCH(SUBSTITUTE(SUBSTITUTE(SUBSTITUTE(H925,"~","~~"),"*","~*"),"?","~?"),Guide!$A$7:$A$9,0)),""),"")</f>
        <v>Accessories</v>
      </c>
      <c r="J925" s="1" t="str">
        <f>IF(TRIM(Raw!E925)="",I925,IF(UPPER(TRIM(Raw!E925))=UPPER(I925),I925,""))</f>
        <v>Accessories</v>
      </c>
      <c r="K925" s="1" t="str">
        <f>IF(Raw!F925="","",Raw!F925)</f>
        <v>sale</v>
      </c>
      <c r="L925" s="1" t="str">
        <f>IF(LEFT(TRIM(Raw!G925),2)="-$","-"&amp;MID(TRIM(Raw!G925),3,99),IF(LEFT(TRIM(Raw!G925),1)="$",MID(TRIM(Raw!G925),2,99),TRIM(Raw!G925)))</f>
        <v>209.30</v>
      </c>
      <c r="M925" s="1">
        <f t="shared" si="115"/>
        <v>209.3</v>
      </c>
      <c r="N925" s="10">
        <f t="shared" si="116"/>
        <v>20930</v>
      </c>
      <c r="O925" s="1" t="b">
        <f>IFERROR(IF(ISNUMBER(Raw!G925),TRUE,OR(EXACT(L925,TEXT(M925,"0.00")),EXACT(L925,TEXT(M925,"#,##0.00")))),FALSE)</f>
        <v>1</v>
      </c>
      <c r="P925" s="1" t="str">
        <f>LEN(IF(Raw!A925="","",Raw!A925))&amp;":"&amp;IF(Raw!A925="","",Raw!A925)&amp;"|"&amp;LEN(IF(Raw!B925="","",Raw!B925))&amp;":"&amp;IF(Raw!B925="","",Raw!B925)&amp;"|"&amp;LEN(IF(Raw!C925="","",Raw!C925))&amp;":"&amp;IF(Raw!C925="","",Raw!C925)&amp;"|"&amp;LEN(IF(Raw!D925="","",Raw!D925))&amp;":"&amp;IF(Raw!D925="","",Raw!D925)&amp;"|"&amp;LEN(IF(Raw!E925="","",Raw!E925))&amp;":"&amp;IF(Raw!E925="","",Raw!E925)&amp;"|"&amp;LEN(IF(Raw!F925="","",Raw!F925))&amp;":"&amp;IF(Raw!F925="","",Raw!F925)&amp;"|"&amp;LEN(IF(Raw!G925="","",Raw!G925))&amp;":"&amp;IF(Raw!G925="","",Raw!G925)</f>
        <v>6:L00919|6:T00460|10:2026-03-05|3:P-A|11:Accessories|4:sale|6:209.30</v>
      </c>
      <c r="Q925" s="1">
        <f>1</f>
        <v>1</v>
      </c>
      <c r="R925" s="1" t="b">
        <f>FALSE</f>
        <v>0</v>
      </c>
      <c r="S925" s="1">
        <f>1</f>
        <v>1</v>
      </c>
      <c r="T925" s="1" t="str">
        <f>IF(AND(Raw!A925="",Raw!B925="",Raw!C925="",Raw!D925="",Raw!E925="",Raw!F925="",Raw!G925=""),"UNUSED",IF(A925="","missing line ID",IF(B925="","missing transaction ID",IF(G925="",IF(C925="","missing date","invalid date"),IF(I925="","unknown product",IF(J925="","conflicting category",IF(NOT(OR(EXACT(K925,"sale"),EXACT(K925,"refund"))),"unknown event",IF(OR(N925="",NOT(O925)),"invalid amount",IF(OR(AND(K925="sale",N925&lt;=0),AND(K925="refund",N925&gt;=0)),"invalid sign","")))))))))</f>
        <v/>
      </c>
      <c r="U925" s="1" t="str">
        <f t="shared" si="117"/>
        <v>INCLUDED</v>
      </c>
      <c r="V925" s="1" t="str">
        <f t="shared" si="118"/>
        <v>2026-03</v>
      </c>
      <c r="W925" s="1">
        <f>IF(AND(U925="INCLUDED",X925&gt;0,EXACT(A925,'AI output'!A925)),1,0)</f>
        <v>1</v>
      </c>
      <c r="X925" s="1">
        <f>925</f>
        <v>925</v>
      </c>
      <c r="Y925" s="1">
        <f>IF(AND(U925="INCLUDED",W925=1),--(NOT(EXACT(A925,'AI output'!A925)))+--(NOT(EXACT(B925,'AI output'!B925)))+--(NOT(EXACT(TEXT(G925,"yyyy-mm-dd"),'AI output'!C925)))+--(NOT(EXACT(H925,'AI output'!D925)))+--(NOT(EXACT(J925,'AI output'!E925)))+--(NOT(EXACT(K925,'AI output'!F925)))+--(N925&lt;&gt;'AI output'!L925)+--(NOT('AI output'!M925)),0)</f>
        <v>0</v>
      </c>
      <c r="Z925" s="1">
        <f t="shared" si="119"/>
        <v>0</v>
      </c>
      <c r="AA925" s="1">
        <f>--EXACT(A925,"L00919")</f>
        <v>1</v>
      </c>
    </row>
    <row r="926" spans="1:27" ht="18.95" customHeight="1">
      <c r="A926" s="1" t="str">
        <f>IF(Raw!A926="","",Raw!A926)</f>
        <v>L00920</v>
      </c>
      <c r="B926" s="1" t="str">
        <f>IF(Raw!B926="","",Raw!B926)</f>
        <v>T00460</v>
      </c>
      <c r="C926" s="1" t="str">
        <f>IF(Raw!C926="","",Raw!C926)</f>
        <v>2026-03-05</v>
      </c>
      <c r="D926" s="1">
        <f t="shared" si="112"/>
        <v>2026</v>
      </c>
      <c r="E926" s="1">
        <f>IFERROR(IF(AND(LEN(C926)=10,MID(C926,5,1)="-",MID(C926,8,1)="-"),VALUE(MID(C926,6,2)),IF(AND(LEN(C926)=11,MID(C926,3,1)="-",MID(C926,7,1)="-"),MATCH(UPPER(MID(C926,4,3)),Guide!$D$7:$D$18,0),0)),0)</f>
        <v>3</v>
      </c>
      <c r="F926" s="1">
        <f t="shared" si="113"/>
        <v>5</v>
      </c>
      <c r="G926" s="9">
        <f t="shared" si="114"/>
        <v>46086</v>
      </c>
      <c r="H926" s="1" t="str">
        <f>IF(Raw!D926="","",Raw!D926)</f>
        <v>P-H</v>
      </c>
      <c r="I926" s="1" t="str">
        <f>IFERROR(IF(EXACT(H926,INDEX(Guide!$A$7:$A$9,MATCH(SUBSTITUTE(SUBSTITUTE(SUBSTITUTE(H926,"~","~~"),"*","~*"),"?","~?"),Guide!$A$7:$A$9,0))),INDEX(Guide!$B$7:$B$9,MATCH(SUBSTITUTE(SUBSTITUTE(SUBSTITUTE(H926,"~","~~"),"*","~*"),"?","~?"),Guide!$A$7:$A$9,0)),""),"")</f>
        <v>Home</v>
      </c>
      <c r="J926" s="1" t="str">
        <f>IF(TRIM(Raw!E926)="",I926,IF(UPPER(TRIM(Raw!E926))=UPPER(I926),I926,""))</f>
        <v>Home</v>
      </c>
      <c r="K926" s="1" t="str">
        <f>IF(Raw!F926="","",Raw!F926)</f>
        <v>sale</v>
      </c>
      <c r="L926" s="1" t="str">
        <f>IF(LEFT(TRIM(Raw!G926),2)="-$","-"&amp;MID(TRIM(Raw!G926),3,99),IF(LEFT(TRIM(Raw!G926),1)="$",MID(TRIM(Raw!G926),2,99),TRIM(Raw!G926)))</f>
        <v>420.08</v>
      </c>
      <c r="M926" s="1">
        <f t="shared" si="115"/>
        <v>420.08</v>
      </c>
      <c r="N926" s="10">
        <f t="shared" si="116"/>
        <v>42008</v>
      </c>
      <c r="O926" s="1" t="b">
        <f>IFERROR(IF(ISNUMBER(Raw!G926),TRUE,OR(EXACT(L926,TEXT(M926,"0.00")),EXACT(L926,TEXT(M926,"#,##0.00")))),FALSE)</f>
        <v>1</v>
      </c>
      <c r="P926" s="1" t="str">
        <f>LEN(IF(Raw!A926="","",Raw!A926))&amp;":"&amp;IF(Raw!A926="","",Raw!A926)&amp;"|"&amp;LEN(IF(Raw!B926="","",Raw!B926))&amp;":"&amp;IF(Raw!B926="","",Raw!B926)&amp;"|"&amp;LEN(IF(Raw!C926="","",Raw!C926))&amp;":"&amp;IF(Raw!C926="","",Raw!C926)&amp;"|"&amp;LEN(IF(Raw!D926="","",Raw!D926))&amp;":"&amp;IF(Raw!D926="","",Raw!D926)&amp;"|"&amp;LEN(IF(Raw!E926="","",Raw!E926))&amp;":"&amp;IF(Raw!E926="","",Raw!E926)&amp;"|"&amp;LEN(IF(Raw!F926="","",Raw!F926))&amp;":"&amp;IF(Raw!F926="","",Raw!F926)&amp;"|"&amp;LEN(IF(Raw!G926="","",Raw!G926))&amp;":"&amp;IF(Raw!G926="","",Raw!G926)</f>
        <v>6:L00920|6:T00460|10:2026-03-05|3:P-H|4:Home|4:sale|6:420.08</v>
      </c>
      <c r="Q926" s="1">
        <f>1</f>
        <v>1</v>
      </c>
      <c r="R926" s="1" t="b">
        <f>FALSE</f>
        <v>0</v>
      </c>
      <c r="S926" s="1">
        <f>1</f>
        <v>1</v>
      </c>
      <c r="T926" s="1" t="str">
        <f>IF(AND(Raw!A926="",Raw!B926="",Raw!C926="",Raw!D926="",Raw!E926="",Raw!F926="",Raw!G926=""),"UNUSED",IF(A926="","missing line ID",IF(B926="","missing transaction ID",IF(G926="",IF(C926="","missing date","invalid date"),IF(I926="","unknown product",IF(J926="","conflicting category",IF(NOT(OR(EXACT(K926,"sale"),EXACT(K926,"refund"))),"unknown event",IF(OR(N926="",NOT(O926)),"invalid amount",IF(OR(AND(K926="sale",N926&lt;=0),AND(K926="refund",N926&gt;=0)),"invalid sign","")))))))))</f>
        <v/>
      </c>
      <c r="U926" s="1" t="str">
        <f t="shared" si="117"/>
        <v>INCLUDED</v>
      </c>
      <c r="V926" s="1" t="str">
        <f t="shared" si="118"/>
        <v>2026-03</v>
      </c>
      <c r="W926" s="1">
        <f>IF(AND(U926="INCLUDED",X926&gt;0,EXACT(A926,'AI output'!A926)),1,0)</f>
        <v>1</v>
      </c>
      <c r="X926" s="1">
        <f>926</f>
        <v>926</v>
      </c>
      <c r="Y926" s="1">
        <f>IF(AND(U926="INCLUDED",W926=1),--(NOT(EXACT(A926,'AI output'!A926)))+--(NOT(EXACT(B926,'AI output'!B926)))+--(NOT(EXACT(TEXT(G926,"yyyy-mm-dd"),'AI output'!C926)))+--(NOT(EXACT(H926,'AI output'!D926)))+--(NOT(EXACT(J926,'AI output'!E926)))+--(NOT(EXACT(K926,'AI output'!F926)))+--(N926&lt;&gt;'AI output'!L926)+--(NOT('AI output'!M926)),0)</f>
        <v>0</v>
      </c>
      <c r="Z926" s="1">
        <f t="shared" si="119"/>
        <v>0</v>
      </c>
      <c r="AA926" s="1">
        <f>--EXACT(A926,"L00920")</f>
        <v>1</v>
      </c>
    </row>
    <row r="927" spans="1:27" ht="18.95" customHeight="1">
      <c r="A927" s="1" t="str">
        <f>IF(Raw!A927="","",Raw!A927)</f>
        <v>L00921</v>
      </c>
      <c r="B927" s="1" t="str">
        <f>IF(Raw!B927="","",Raw!B927)</f>
        <v>T00461</v>
      </c>
      <c r="C927" s="1" t="str">
        <f>IF(Raw!C927="","",Raw!C927)</f>
        <v>2026-03-12</v>
      </c>
      <c r="D927" s="1">
        <f t="shared" si="112"/>
        <v>2026</v>
      </c>
      <c r="E927" s="1">
        <f>IFERROR(IF(AND(LEN(C927)=10,MID(C927,5,1)="-",MID(C927,8,1)="-"),VALUE(MID(C927,6,2)),IF(AND(LEN(C927)=11,MID(C927,3,1)="-",MID(C927,7,1)="-"),MATCH(UPPER(MID(C927,4,3)),Guide!$D$7:$D$18,0),0)),0)</f>
        <v>3</v>
      </c>
      <c r="F927" s="1">
        <f t="shared" si="113"/>
        <v>12</v>
      </c>
      <c r="G927" s="9">
        <f t="shared" si="114"/>
        <v>46093</v>
      </c>
      <c r="H927" s="1" t="str">
        <f>IF(Raw!D927="","",Raw!D927)</f>
        <v>P-O</v>
      </c>
      <c r="I927" s="1" t="str">
        <f>IFERROR(IF(EXACT(H927,INDEX(Guide!$A$7:$A$9,MATCH(SUBSTITUTE(SUBSTITUTE(SUBSTITUTE(H927,"~","~~"),"*","~*"),"?","~?"),Guide!$A$7:$A$9,0))),INDEX(Guide!$B$7:$B$9,MATCH(SUBSTITUTE(SUBSTITUTE(SUBSTITUTE(H927,"~","~~"),"*","~*"),"?","~?"),Guide!$A$7:$A$9,0)),""),"")</f>
        <v>Office</v>
      </c>
      <c r="J927" s="1" t="str">
        <f>IF(TRIM(Raw!E927)="",I927,IF(UPPER(TRIM(Raw!E927))=UPPER(I927),I927,""))</f>
        <v>Office</v>
      </c>
      <c r="K927" s="1" t="str">
        <f>IF(Raw!F927="","",Raw!F927)</f>
        <v>refund</v>
      </c>
      <c r="L927" s="1" t="str">
        <f>IF(LEFT(TRIM(Raw!G927),2)="-$","-"&amp;MID(TRIM(Raw!G927),3,99),IF(LEFT(TRIM(Raw!G927),1)="$",MID(TRIM(Raw!G927),2,99),TRIM(Raw!G927)))</f>
        <v>-105.39</v>
      </c>
      <c r="M927" s="1">
        <f t="shared" si="115"/>
        <v>-105.39</v>
      </c>
      <c r="N927" s="10">
        <f t="shared" si="116"/>
        <v>-10539</v>
      </c>
      <c r="O927" s="1" t="b">
        <f>IFERROR(IF(ISNUMBER(Raw!G927),TRUE,OR(EXACT(L927,TEXT(M927,"0.00")),EXACT(L927,TEXT(M927,"#,##0.00")))),FALSE)</f>
        <v>1</v>
      </c>
      <c r="P927" s="1" t="str">
        <f>LEN(IF(Raw!A927="","",Raw!A927))&amp;":"&amp;IF(Raw!A927="","",Raw!A927)&amp;"|"&amp;LEN(IF(Raw!B927="","",Raw!B927))&amp;":"&amp;IF(Raw!B927="","",Raw!B927)&amp;"|"&amp;LEN(IF(Raw!C927="","",Raw!C927))&amp;":"&amp;IF(Raw!C927="","",Raw!C927)&amp;"|"&amp;LEN(IF(Raw!D927="","",Raw!D927))&amp;":"&amp;IF(Raw!D927="","",Raw!D927)&amp;"|"&amp;LEN(IF(Raw!E927="","",Raw!E927))&amp;":"&amp;IF(Raw!E927="","",Raw!E927)&amp;"|"&amp;LEN(IF(Raw!F927="","",Raw!F927))&amp;":"&amp;IF(Raw!F927="","",Raw!F927)&amp;"|"&amp;LEN(IF(Raw!G927="","",Raw!G927))&amp;":"&amp;IF(Raw!G927="","",Raw!G927)</f>
        <v>6:L00921|6:T00461|10:2026-03-12|3:P-O|6:Office|6:refund|7:-105.39</v>
      </c>
      <c r="Q927" s="1">
        <f>1</f>
        <v>1</v>
      </c>
      <c r="R927" s="1" t="b">
        <f>FALSE</f>
        <v>0</v>
      </c>
      <c r="S927" s="1">
        <f>1</f>
        <v>1</v>
      </c>
      <c r="T927" s="1" t="str">
        <f>IF(AND(Raw!A927="",Raw!B927="",Raw!C927="",Raw!D927="",Raw!E927="",Raw!F927="",Raw!G927=""),"UNUSED",IF(A927="","missing line ID",IF(B927="","missing transaction ID",IF(G927="",IF(C927="","missing date","invalid date"),IF(I927="","unknown product",IF(J927="","conflicting category",IF(NOT(OR(EXACT(K927,"sale"),EXACT(K927,"refund"))),"unknown event",IF(OR(N927="",NOT(O927)),"invalid amount",IF(OR(AND(K927="sale",N927&lt;=0),AND(K927="refund",N927&gt;=0)),"invalid sign","")))))))))</f>
        <v/>
      </c>
      <c r="U927" s="1" t="str">
        <f t="shared" si="117"/>
        <v>INCLUDED</v>
      </c>
      <c r="V927" s="1" t="str">
        <f t="shared" si="118"/>
        <v>2026-03</v>
      </c>
      <c r="W927" s="1">
        <f>IF(AND(U927="INCLUDED",X927&gt;0,EXACT(A927,'AI output'!A927)),1,0)</f>
        <v>1</v>
      </c>
      <c r="X927" s="1">
        <f>927</f>
        <v>927</v>
      </c>
      <c r="Y927" s="1">
        <f>IF(AND(U927="INCLUDED",W927=1),--(NOT(EXACT(A927,'AI output'!A927)))+--(NOT(EXACT(B927,'AI output'!B927)))+--(NOT(EXACT(TEXT(G927,"yyyy-mm-dd"),'AI output'!C927)))+--(NOT(EXACT(H927,'AI output'!D927)))+--(NOT(EXACT(J927,'AI output'!E927)))+--(NOT(EXACT(K927,'AI output'!F927)))+--(N927&lt;&gt;'AI output'!L927)+--(NOT('AI output'!M927)),0)</f>
        <v>0</v>
      </c>
      <c r="Z927" s="1">
        <f t="shared" si="119"/>
        <v>0</v>
      </c>
      <c r="AA927" s="1">
        <f>--EXACT(A927,"L00921")</f>
        <v>1</v>
      </c>
    </row>
    <row r="928" spans="1:27" ht="18.95" customHeight="1">
      <c r="A928" s="1" t="str">
        <f>IF(Raw!A928="","",Raw!A928)</f>
        <v>L00922</v>
      </c>
      <c r="B928" s="1" t="str">
        <f>IF(Raw!B928="","",Raw!B928)</f>
        <v>T00461</v>
      </c>
      <c r="C928" s="1" t="str">
        <f>IF(Raw!C928="","",Raw!C928)</f>
        <v>2026-03-12</v>
      </c>
      <c r="D928" s="1">
        <f t="shared" si="112"/>
        <v>2026</v>
      </c>
      <c r="E928" s="1">
        <f>IFERROR(IF(AND(LEN(C928)=10,MID(C928,5,1)="-",MID(C928,8,1)="-"),VALUE(MID(C928,6,2)),IF(AND(LEN(C928)=11,MID(C928,3,1)="-",MID(C928,7,1)="-"),MATCH(UPPER(MID(C928,4,3)),Guide!$D$7:$D$18,0),0)),0)</f>
        <v>3</v>
      </c>
      <c r="F928" s="1">
        <f t="shared" si="113"/>
        <v>12</v>
      </c>
      <c r="G928" s="9">
        <f t="shared" si="114"/>
        <v>46093</v>
      </c>
      <c r="H928" s="1" t="str">
        <f>IF(Raw!D928="","",Raw!D928)</f>
        <v>P-A</v>
      </c>
      <c r="I928" s="1" t="str">
        <f>IFERROR(IF(EXACT(H928,INDEX(Guide!$A$7:$A$9,MATCH(SUBSTITUTE(SUBSTITUTE(SUBSTITUTE(H928,"~","~~"),"*","~*"),"?","~?"),Guide!$A$7:$A$9,0))),INDEX(Guide!$B$7:$B$9,MATCH(SUBSTITUTE(SUBSTITUTE(SUBSTITUTE(H928,"~","~~"),"*","~*"),"?","~?"),Guide!$A$7:$A$9,0)),""),"")</f>
        <v>Accessories</v>
      </c>
      <c r="J928" s="1" t="str">
        <f>IF(TRIM(Raw!E928)="",I928,IF(UPPER(TRIM(Raw!E928))=UPPER(I928),I928,""))</f>
        <v>Accessories</v>
      </c>
      <c r="K928" s="1" t="str">
        <f>IF(Raw!F928="","",Raw!F928)</f>
        <v>sale</v>
      </c>
      <c r="L928" s="1" t="str">
        <f>IF(LEFT(TRIM(Raw!G928),2)="-$","-"&amp;MID(TRIM(Raw!G928),3,99),IF(LEFT(TRIM(Raw!G928),1)="$",MID(TRIM(Raw!G928),2,99),TRIM(Raw!G928)))</f>
        <v>317.28</v>
      </c>
      <c r="M928" s="1">
        <f t="shared" si="115"/>
        <v>317.27999999999997</v>
      </c>
      <c r="N928" s="10">
        <f t="shared" si="116"/>
        <v>31728</v>
      </c>
      <c r="O928" s="1" t="b">
        <f>IFERROR(IF(ISNUMBER(Raw!G928),TRUE,OR(EXACT(L928,TEXT(M928,"0.00")),EXACT(L928,TEXT(M928,"#,##0.00")))),FALSE)</f>
        <v>1</v>
      </c>
      <c r="P928" s="1" t="str">
        <f>LEN(IF(Raw!A928="","",Raw!A928))&amp;":"&amp;IF(Raw!A928="","",Raw!A928)&amp;"|"&amp;LEN(IF(Raw!B928="","",Raw!B928))&amp;":"&amp;IF(Raw!B928="","",Raw!B928)&amp;"|"&amp;LEN(IF(Raw!C928="","",Raw!C928))&amp;":"&amp;IF(Raw!C928="","",Raw!C928)&amp;"|"&amp;LEN(IF(Raw!D928="","",Raw!D928))&amp;":"&amp;IF(Raw!D928="","",Raw!D928)&amp;"|"&amp;LEN(IF(Raw!E928="","",Raw!E928))&amp;":"&amp;IF(Raw!E928="","",Raw!E928)&amp;"|"&amp;LEN(IF(Raw!F928="","",Raw!F928))&amp;":"&amp;IF(Raw!F928="","",Raw!F928)&amp;"|"&amp;LEN(IF(Raw!G928="","",Raw!G928))&amp;":"&amp;IF(Raw!G928="","",Raw!G928)</f>
        <v>6:L00922|6:T00461|10:2026-03-12|3:P-A|11:Accessories|4:sale|6:317.28</v>
      </c>
      <c r="Q928" s="1">
        <f>1</f>
        <v>1</v>
      </c>
      <c r="R928" s="1" t="b">
        <f>FALSE</f>
        <v>0</v>
      </c>
      <c r="S928" s="1">
        <f>1</f>
        <v>1</v>
      </c>
      <c r="T928" s="1" t="str">
        <f>IF(AND(Raw!A928="",Raw!B928="",Raw!C928="",Raw!D928="",Raw!E928="",Raw!F928="",Raw!G928=""),"UNUSED",IF(A928="","missing line ID",IF(B928="","missing transaction ID",IF(G928="",IF(C928="","missing date","invalid date"),IF(I928="","unknown product",IF(J928="","conflicting category",IF(NOT(OR(EXACT(K928,"sale"),EXACT(K928,"refund"))),"unknown event",IF(OR(N928="",NOT(O928)),"invalid amount",IF(OR(AND(K928="sale",N928&lt;=0),AND(K928="refund",N928&gt;=0)),"invalid sign","")))))))))</f>
        <v/>
      </c>
      <c r="U928" s="1" t="str">
        <f t="shared" si="117"/>
        <v>INCLUDED</v>
      </c>
      <c r="V928" s="1" t="str">
        <f t="shared" si="118"/>
        <v>2026-03</v>
      </c>
      <c r="W928" s="1">
        <f>IF(AND(U928="INCLUDED",X928&gt;0,EXACT(A928,'AI output'!A928)),1,0)</f>
        <v>1</v>
      </c>
      <c r="X928" s="1">
        <f>928</f>
        <v>928</v>
      </c>
      <c r="Y928" s="1">
        <f>IF(AND(U928="INCLUDED",W928=1),--(NOT(EXACT(A928,'AI output'!A928)))+--(NOT(EXACT(B928,'AI output'!B928)))+--(NOT(EXACT(TEXT(G928,"yyyy-mm-dd"),'AI output'!C928)))+--(NOT(EXACT(H928,'AI output'!D928)))+--(NOT(EXACT(J928,'AI output'!E928)))+--(NOT(EXACT(K928,'AI output'!F928)))+--(N928&lt;&gt;'AI output'!L928)+--(NOT('AI output'!M928)),0)</f>
        <v>0</v>
      </c>
      <c r="Z928" s="1">
        <f t="shared" si="119"/>
        <v>0</v>
      </c>
      <c r="AA928" s="1">
        <f>--EXACT(A928,"L00922")</f>
        <v>1</v>
      </c>
    </row>
    <row r="929" spans="1:27" ht="18.95" customHeight="1">
      <c r="A929" s="1" t="str">
        <f>IF(Raw!A929="","",Raw!A929)</f>
        <v>L00923</v>
      </c>
      <c r="B929" s="1" t="str">
        <f>IF(Raw!B929="","",Raw!B929)</f>
        <v>T00462</v>
      </c>
      <c r="C929" s="1" t="str">
        <f>IF(Raw!C929="","",Raw!C929)</f>
        <v>2026-03-19</v>
      </c>
      <c r="D929" s="1">
        <f t="shared" si="112"/>
        <v>2026</v>
      </c>
      <c r="E929" s="1">
        <f>IFERROR(IF(AND(LEN(C929)=10,MID(C929,5,1)="-",MID(C929,8,1)="-"),VALUE(MID(C929,6,2)),IF(AND(LEN(C929)=11,MID(C929,3,1)="-",MID(C929,7,1)="-"),MATCH(UPPER(MID(C929,4,3)),Guide!$D$7:$D$18,0),0)),0)</f>
        <v>3</v>
      </c>
      <c r="F929" s="1">
        <f t="shared" si="113"/>
        <v>19</v>
      </c>
      <c r="G929" s="9">
        <f t="shared" si="114"/>
        <v>46100</v>
      </c>
      <c r="H929" s="1" t="str">
        <f>IF(Raw!D929="","",Raw!D929)</f>
        <v>P-H</v>
      </c>
      <c r="I929" s="1" t="str">
        <f>IFERROR(IF(EXACT(H929,INDEX(Guide!$A$7:$A$9,MATCH(SUBSTITUTE(SUBSTITUTE(SUBSTITUTE(H929,"~","~~"),"*","~*"),"?","~?"),Guide!$A$7:$A$9,0))),INDEX(Guide!$B$7:$B$9,MATCH(SUBSTITUTE(SUBSTITUTE(SUBSTITUTE(H929,"~","~~"),"*","~*"),"?","~?"),Guide!$A$7:$A$9,0)),""),"")</f>
        <v>Home</v>
      </c>
      <c r="J929" s="1" t="str">
        <f>IF(TRIM(Raw!E929)="",I929,IF(UPPER(TRIM(Raw!E929))=UPPER(I929),I929,""))</f>
        <v>Home</v>
      </c>
      <c r="K929" s="1" t="str">
        <f>IF(Raw!F929="","",Raw!F929)</f>
        <v>sale</v>
      </c>
      <c r="L929" s="1" t="str">
        <f>IF(LEFT(TRIM(Raw!G929),2)="-$","-"&amp;MID(TRIM(Raw!G929),3,99),IF(LEFT(TRIM(Raw!G929),1)="$",MID(TRIM(Raw!G929),2,99),TRIM(Raw!G929)))</f>
        <v>530.65</v>
      </c>
      <c r="M929" s="1">
        <f t="shared" si="115"/>
        <v>530.65</v>
      </c>
      <c r="N929" s="10">
        <f t="shared" si="116"/>
        <v>53065</v>
      </c>
      <c r="O929" s="1" t="b">
        <f>IFERROR(IF(ISNUMBER(Raw!G929),TRUE,OR(EXACT(L929,TEXT(M929,"0.00")),EXACT(L929,TEXT(M929,"#,##0.00")))),FALSE)</f>
        <v>1</v>
      </c>
      <c r="P929" s="1" t="str">
        <f>LEN(IF(Raw!A929="","",Raw!A929))&amp;":"&amp;IF(Raw!A929="","",Raw!A929)&amp;"|"&amp;LEN(IF(Raw!B929="","",Raw!B929))&amp;":"&amp;IF(Raw!B929="","",Raw!B929)&amp;"|"&amp;LEN(IF(Raw!C929="","",Raw!C929))&amp;":"&amp;IF(Raw!C929="","",Raw!C929)&amp;"|"&amp;LEN(IF(Raw!D929="","",Raw!D929))&amp;":"&amp;IF(Raw!D929="","",Raw!D929)&amp;"|"&amp;LEN(IF(Raw!E929="","",Raw!E929))&amp;":"&amp;IF(Raw!E929="","",Raw!E929)&amp;"|"&amp;LEN(IF(Raw!F929="","",Raw!F929))&amp;":"&amp;IF(Raw!F929="","",Raw!F929)&amp;"|"&amp;LEN(IF(Raw!G929="","",Raw!G929))&amp;":"&amp;IF(Raw!G929="","",Raw!G929)</f>
        <v>6:L00923|6:T00462|10:2026-03-19|3:P-H|4:Home|4:sale|6:530.65</v>
      </c>
      <c r="Q929" s="1">
        <f>1</f>
        <v>1</v>
      </c>
      <c r="R929" s="1" t="b">
        <f>FALSE</f>
        <v>0</v>
      </c>
      <c r="S929" s="1">
        <f>1</f>
        <v>1</v>
      </c>
      <c r="T929" s="1" t="str">
        <f>IF(AND(Raw!A929="",Raw!B929="",Raw!C929="",Raw!D929="",Raw!E929="",Raw!F929="",Raw!G929=""),"UNUSED",IF(A929="","missing line ID",IF(B929="","missing transaction ID",IF(G929="",IF(C929="","missing date","invalid date"),IF(I929="","unknown product",IF(J929="","conflicting category",IF(NOT(OR(EXACT(K929,"sale"),EXACT(K929,"refund"))),"unknown event",IF(OR(N929="",NOT(O929)),"invalid amount",IF(OR(AND(K929="sale",N929&lt;=0),AND(K929="refund",N929&gt;=0)),"invalid sign","")))))))))</f>
        <v/>
      </c>
      <c r="U929" s="1" t="str">
        <f t="shared" si="117"/>
        <v>INCLUDED</v>
      </c>
      <c r="V929" s="1" t="str">
        <f t="shared" si="118"/>
        <v>2026-03</v>
      </c>
      <c r="W929" s="1">
        <f>IF(AND(U929="INCLUDED",X929&gt;0,EXACT(A929,'AI output'!A929)),1,0)</f>
        <v>1</v>
      </c>
      <c r="X929" s="1">
        <f>929</f>
        <v>929</v>
      </c>
      <c r="Y929" s="1">
        <f>IF(AND(U929="INCLUDED",W929=1),--(NOT(EXACT(A929,'AI output'!A929)))+--(NOT(EXACT(B929,'AI output'!B929)))+--(NOT(EXACT(TEXT(G929,"yyyy-mm-dd"),'AI output'!C929)))+--(NOT(EXACT(H929,'AI output'!D929)))+--(NOT(EXACT(J929,'AI output'!E929)))+--(NOT(EXACT(K929,'AI output'!F929)))+--(N929&lt;&gt;'AI output'!L929)+--(NOT('AI output'!M929)),0)</f>
        <v>0</v>
      </c>
      <c r="Z929" s="1">
        <f t="shared" si="119"/>
        <v>0</v>
      </c>
      <c r="AA929" s="1">
        <f>--EXACT(A929,"L00923")</f>
        <v>1</v>
      </c>
    </row>
    <row r="930" spans="1:27" ht="18.95" customHeight="1">
      <c r="A930" s="1" t="str">
        <f>IF(Raw!A930="","",Raw!A930)</f>
        <v>L00924</v>
      </c>
      <c r="B930" s="1" t="str">
        <f>IF(Raw!B930="","",Raw!B930)</f>
        <v>T00462</v>
      </c>
      <c r="C930" s="1" t="str">
        <f>IF(Raw!C930="","",Raw!C930)</f>
        <v>2026-03-19</v>
      </c>
      <c r="D930" s="1">
        <f t="shared" si="112"/>
        <v>2026</v>
      </c>
      <c r="E930" s="1">
        <f>IFERROR(IF(AND(LEN(C930)=10,MID(C930,5,1)="-",MID(C930,8,1)="-"),VALUE(MID(C930,6,2)),IF(AND(LEN(C930)=11,MID(C930,3,1)="-",MID(C930,7,1)="-"),MATCH(UPPER(MID(C930,4,3)),Guide!$D$7:$D$18,0),0)),0)</f>
        <v>3</v>
      </c>
      <c r="F930" s="1">
        <f t="shared" si="113"/>
        <v>19</v>
      </c>
      <c r="G930" s="9">
        <f t="shared" si="114"/>
        <v>46100</v>
      </c>
      <c r="H930" s="1" t="str">
        <f>IF(Raw!D930="","",Raw!D930)</f>
        <v>P-O</v>
      </c>
      <c r="I930" s="1" t="str">
        <f>IFERROR(IF(EXACT(H930,INDEX(Guide!$A$7:$A$9,MATCH(SUBSTITUTE(SUBSTITUTE(SUBSTITUTE(H930,"~","~~"),"*","~*"),"?","~?"),Guide!$A$7:$A$9,0))),INDEX(Guide!$B$7:$B$9,MATCH(SUBSTITUTE(SUBSTITUTE(SUBSTITUTE(H930,"~","~~"),"*","~*"),"?","~?"),Guide!$A$7:$A$9,0)),""),"")</f>
        <v>Office</v>
      </c>
      <c r="J930" s="1" t="str">
        <f>IF(TRIM(Raw!E930)="",I930,IF(UPPER(TRIM(Raw!E930))=UPPER(I930),I930,""))</f>
        <v>Office</v>
      </c>
      <c r="K930" s="1" t="str">
        <f>IF(Raw!F930="","",Raw!F930)</f>
        <v>sale</v>
      </c>
      <c r="L930" s="1" t="str">
        <f>IF(LEFT(TRIM(Raw!G930),2)="-$","-"&amp;MID(TRIM(Raw!G930),3,99),IF(LEFT(TRIM(Raw!G930),1)="$",MID(TRIM(Raw!G930),2,99),TRIM(Raw!G930)))</f>
        <v>213.00</v>
      </c>
      <c r="M930" s="1">
        <f t="shared" si="115"/>
        <v>213</v>
      </c>
      <c r="N930" s="10">
        <f t="shared" si="116"/>
        <v>21300</v>
      </c>
      <c r="O930" s="1" t="b">
        <f>IFERROR(IF(ISNUMBER(Raw!G930),TRUE,OR(EXACT(L930,TEXT(M930,"0.00")),EXACT(L930,TEXT(M930,"#,##0.00")))),FALSE)</f>
        <v>1</v>
      </c>
      <c r="P930" s="1" t="str">
        <f>LEN(IF(Raw!A930="","",Raw!A930))&amp;":"&amp;IF(Raw!A930="","",Raw!A930)&amp;"|"&amp;LEN(IF(Raw!B930="","",Raw!B930))&amp;":"&amp;IF(Raw!B930="","",Raw!B930)&amp;"|"&amp;LEN(IF(Raw!C930="","",Raw!C930))&amp;":"&amp;IF(Raw!C930="","",Raw!C930)&amp;"|"&amp;LEN(IF(Raw!D930="","",Raw!D930))&amp;":"&amp;IF(Raw!D930="","",Raw!D930)&amp;"|"&amp;LEN(IF(Raw!E930="","",Raw!E930))&amp;":"&amp;IF(Raw!E930="","",Raw!E930)&amp;"|"&amp;LEN(IF(Raw!F930="","",Raw!F930))&amp;":"&amp;IF(Raw!F930="","",Raw!F930)&amp;"|"&amp;LEN(IF(Raw!G930="","",Raw!G930))&amp;":"&amp;IF(Raw!G930="","",Raw!G930)</f>
        <v>6:L00924|6:T00462|10:2026-03-19|3:P-O|6:Office|4:sale|6:213.00</v>
      </c>
      <c r="Q930" s="1">
        <f>1</f>
        <v>1</v>
      </c>
      <c r="R930" s="1" t="b">
        <f>FALSE</f>
        <v>0</v>
      </c>
      <c r="S930" s="1">
        <f>1</f>
        <v>1</v>
      </c>
      <c r="T930" s="1" t="str">
        <f>IF(AND(Raw!A930="",Raw!B930="",Raw!C930="",Raw!D930="",Raw!E930="",Raw!F930="",Raw!G930=""),"UNUSED",IF(A930="","missing line ID",IF(B930="","missing transaction ID",IF(G930="",IF(C930="","missing date","invalid date"),IF(I930="","unknown product",IF(J930="","conflicting category",IF(NOT(OR(EXACT(K930,"sale"),EXACT(K930,"refund"))),"unknown event",IF(OR(N930="",NOT(O930)),"invalid amount",IF(OR(AND(K930="sale",N930&lt;=0),AND(K930="refund",N930&gt;=0)),"invalid sign","")))))))))</f>
        <v/>
      </c>
      <c r="U930" s="1" t="str">
        <f t="shared" si="117"/>
        <v>INCLUDED</v>
      </c>
      <c r="V930" s="1" t="str">
        <f t="shared" si="118"/>
        <v>2026-03</v>
      </c>
      <c r="W930" s="1">
        <f>IF(AND(U930="INCLUDED",X930&gt;0,EXACT(A930,'AI output'!A930)),1,0)</f>
        <v>1</v>
      </c>
      <c r="X930" s="1">
        <f>930</f>
        <v>930</v>
      </c>
      <c r="Y930" s="1">
        <f>IF(AND(U930="INCLUDED",W930=1),--(NOT(EXACT(A930,'AI output'!A930)))+--(NOT(EXACT(B930,'AI output'!B930)))+--(NOT(EXACT(TEXT(G930,"yyyy-mm-dd"),'AI output'!C930)))+--(NOT(EXACT(H930,'AI output'!D930)))+--(NOT(EXACT(J930,'AI output'!E930)))+--(NOT(EXACT(K930,'AI output'!F930)))+--(N930&lt;&gt;'AI output'!L930)+--(NOT('AI output'!M930)),0)</f>
        <v>0</v>
      </c>
      <c r="Z930" s="1">
        <f t="shared" si="119"/>
        <v>0</v>
      </c>
      <c r="AA930" s="1">
        <f>--EXACT(A930,"L00924")</f>
        <v>1</v>
      </c>
    </row>
    <row r="931" spans="1:27" ht="18.95" customHeight="1">
      <c r="A931" s="1" t="str">
        <f>IF(Raw!A931="","",Raw!A931)</f>
        <v>L00925</v>
      </c>
      <c r="B931" s="1" t="str">
        <f>IF(Raw!B931="","",Raw!B931)</f>
        <v>T00463</v>
      </c>
      <c r="C931" s="1" t="str">
        <f>IF(Raw!C931="","",Raw!C931)</f>
        <v>2026-03-26</v>
      </c>
      <c r="D931" s="1">
        <f t="shared" si="112"/>
        <v>2026</v>
      </c>
      <c r="E931" s="1">
        <f>IFERROR(IF(AND(LEN(C931)=10,MID(C931,5,1)="-",MID(C931,8,1)="-"),VALUE(MID(C931,6,2)),IF(AND(LEN(C931)=11,MID(C931,3,1)="-",MID(C931,7,1)="-"),MATCH(UPPER(MID(C931,4,3)),Guide!$D$7:$D$18,0),0)),0)</f>
        <v>3</v>
      </c>
      <c r="F931" s="1">
        <f t="shared" si="113"/>
        <v>26</v>
      </c>
      <c r="G931" s="9">
        <f t="shared" si="114"/>
        <v>46107</v>
      </c>
      <c r="H931" s="1" t="str">
        <f>IF(Raw!D931="","",Raw!D931)</f>
        <v>P-A</v>
      </c>
      <c r="I931" s="1" t="str">
        <f>IFERROR(IF(EXACT(H931,INDEX(Guide!$A$7:$A$9,MATCH(SUBSTITUTE(SUBSTITUTE(SUBSTITUTE(H931,"~","~~"),"*","~*"),"?","~?"),Guide!$A$7:$A$9,0))),INDEX(Guide!$B$7:$B$9,MATCH(SUBSTITUTE(SUBSTITUTE(SUBSTITUTE(H931,"~","~~"),"*","~*"),"?","~?"),Guide!$A$7:$A$9,0)),""),"")</f>
        <v>Accessories</v>
      </c>
      <c r="J931" s="1" t="str">
        <f>IF(TRIM(Raw!E931)="",I931,IF(UPPER(TRIM(Raw!E931))=UPPER(I931),I931,""))</f>
        <v>Accessories</v>
      </c>
      <c r="K931" s="1" t="str">
        <f>IF(Raw!F931="","",Raw!F931)</f>
        <v>sale</v>
      </c>
      <c r="L931" s="1" t="str">
        <f>IF(LEFT(TRIM(Raw!G931),2)="-$","-"&amp;MID(TRIM(Raw!G931),3,99),IF(LEFT(TRIM(Raw!G931),1)="$",MID(TRIM(Raw!G931),2,99),TRIM(Raw!G931)))</f>
        <v>427.48</v>
      </c>
      <c r="M931" s="1">
        <f t="shared" si="115"/>
        <v>427.48</v>
      </c>
      <c r="N931" s="10">
        <f t="shared" si="116"/>
        <v>42748</v>
      </c>
      <c r="O931" s="1" t="b">
        <f>IFERROR(IF(ISNUMBER(Raw!G931),TRUE,OR(EXACT(L931,TEXT(M931,"0.00")),EXACT(L931,TEXT(M931,"#,##0.00")))),FALSE)</f>
        <v>1</v>
      </c>
      <c r="P931" s="1" t="str">
        <f>LEN(IF(Raw!A931="","",Raw!A931))&amp;":"&amp;IF(Raw!A931="","",Raw!A931)&amp;"|"&amp;LEN(IF(Raw!B931="","",Raw!B931))&amp;":"&amp;IF(Raw!B931="","",Raw!B931)&amp;"|"&amp;LEN(IF(Raw!C931="","",Raw!C931))&amp;":"&amp;IF(Raw!C931="","",Raw!C931)&amp;"|"&amp;LEN(IF(Raw!D931="","",Raw!D931))&amp;":"&amp;IF(Raw!D931="","",Raw!D931)&amp;"|"&amp;LEN(IF(Raw!E931="","",Raw!E931))&amp;":"&amp;IF(Raw!E931="","",Raw!E931)&amp;"|"&amp;LEN(IF(Raw!F931="","",Raw!F931))&amp;":"&amp;IF(Raw!F931="","",Raw!F931)&amp;"|"&amp;LEN(IF(Raw!G931="","",Raw!G931))&amp;":"&amp;IF(Raw!G931="","",Raw!G931)</f>
        <v>6:L00925|6:T00463|10:2026-03-26|3:P-A|11:Accessories|4:sale|6:427.48</v>
      </c>
      <c r="Q931" s="1">
        <f>1</f>
        <v>1</v>
      </c>
      <c r="R931" s="1" t="b">
        <f>FALSE</f>
        <v>0</v>
      </c>
      <c r="S931" s="1">
        <f>1</f>
        <v>1</v>
      </c>
      <c r="T931" s="1" t="str">
        <f>IF(AND(Raw!A931="",Raw!B931="",Raw!C931="",Raw!D931="",Raw!E931="",Raw!F931="",Raw!G931=""),"UNUSED",IF(A931="","missing line ID",IF(B931="","missing transaction ID",IF(G931="",IF(C931="","missing date","invalid date"),IF(I931="","unknown product",IF(J931="","conflicting category",IF(NOT(OR(EXACT(K931,"sale"),EXACT(K931,"refund"))),"unknown event",IF(OR(N931="",NOT(O931)),"invalid amount",IF(OR(AND(K931="sale",N931&lt;=0),AND(K931="refund",N931&gt;=0)),"invalid sign","")))))))))</f>
        <v/>
      </c>
      <c r="U931" s="1" t="str">
        <f t="shared" si="117"/>
        <v>INCLUDED</v>
      </c>
      <c r="V931" s="1" t="str">
        <f t="shared" si="118"/>
        <v>2026-03</v>
      </c>
      <c r="W931" s="1">
        <f>IF(AND(U931="INCLUDED",X931&gt;0,EXACT(A931,'AI output'!A931)),1,0)</f>
        <v>1</v>
      </c>
      <c r="X931" s="1">
        <f>931</f>
        <v>931</v>
      </c>
      <c r="Y931" s="1">
        <f>IF(AND(U931="INCLUDED",W931=1),--(NOT(EXACT(A931,'AI output'!A931)))+--(NOT(EXACT(B931,'AI output'!B931)))+--(NOT(EXACT(TEXT(G931,"yyyy-mm-dd"),'AI output'!C931)))+--(NOT(EXACT(H931,'AI output'!D931)))+--(NOT(EXACT(J931,'AI output'!E931)))+--(NOT(EXACT(K931,'AI output'!F931)))+--(N931&lt;&gt;'AI output'!L931)+--(NOT('AI output'!M931)),0)</f>
        <v>0</v>
      </c>
      <c r="Z931" s="1">
        <f t="shared" si="119"/>
        <v>0</v>
      </c>
      <c r="AA931" s="1">
        <f>--EXACT(A931,"L00925")</f>
        <v>1</v>
      </c>
    </row>
    <row r="932" spans="1:27" ht="18.95" customHeight="1">
      <c r="A932" s="1" t="str">
        <f>IF(Raw!A932="","",Raw!A932)</f>
        <v>L00926</v>
      </c>
      <c r="B932" s="1" t="str">
        <f>IF(Raw!B932="","",Raw!B932)</f>
        <v>T00463</v>
      </c>
      <c r="C932" s="1" t="str">
        <f>IF(Raw!C932="","",Raw!C932)</f>
        <v>2026-03-26</v>
      </c>
      <c r="D932" s="1">
        <f t="shared" si="112"/>
        <v>2026</v>
      </c>
      <c r="E932" s="1">
        <f>IFERROR(IF(AND(LEN(C932)=10,MID(C932,5,1)="-",MID(C932,8,1)="-"),VALUE(MID(C932,6,2)),IF(AND(LEN(C932)=11,MID(C932,3,1)="-",MID(C932,7,1)="-"),MATCH(UPPER(MID(C932,4,3)),Guide!$D$7:$D$18,0),0)),0)</f>
        <v>3</v>
      </c>
      <c r="F932" s="1">
        <f t="shared" si="113"/>
        <v>26</v>
      </c>
      <c r="G932" s="9">
        <f t="shared" si="114"/>
        <v>46107</v>
      </c>
      <c r="H932" s="1" t="str">
        <f>IF(Raw!D932="","",Raw!D932)</f>
        <v>P-H</v>
      </c>
      <c r="I932" s="1" t="str">
        <f>IFERROR(IF(EXACT(H932,INDEX(Guide!$A$7:$A$9,MATCH(SUBSTITUTE(SUBSTITUTE(SUBSTITUTE(H932,"~","~~"),"*","~*"),"?","~?"),Guide!$A$7:$A$9,0))),INDEX(Guide!$B$7:$B$9,MATCH(SUBSTITUTE(SUBSTITUTE(SUBSTITUTE(H932,"~","~~"),"*","~*"),"?","~?"),Guide!$A$7:$A$9,0)),""),"")</f>
        <v>Home</v>
      </c>
      <c r="J932" s="1" t="str">
        <f>IF(TRIM(Raw!E932)="",I932,IF(UPPER(TRIM(Raw!E932))=UPPER(I932),I932,""))</f>
        <v>Home</v>
      </c>
      <c r="K932" s="1" t="str">
        <f>IF(Raw!F932="","",Raw!F932)</f>
        <v>sale</v>
      </c>
      <c r="L932" s="1" t="str">
        <f>IF(LEFT(TRIM(Raw!G932),2)="-$","-"&amp;MID(TRIM(Raw!G932),3,99),IF(LEFT(TRIM(Raw!G932),1)="$",MID(TRIM(Raw!G932),2,99),TRIM(Raw!G932)))</f>
        <v>107.24</v>
      </c>
      <c r="M932" s="1">
        <f t="shared" si="115"/>
        <v>107.24</v>
      </c>
      <c r="N932" s="10">
        <f t="shared" si="116"/>
        <v>10724</v>
      </c>
      <c r="O932" s="1" t="b">
        <f>IFERROR(IF(ISNUMBER(Raw!G932),TRUE,OR(EXACT(L932,TEXT(M932,"0.00")),EXACT(L932,TEXT(M932,"#,##0.00")))),FALSE)</f>
        <v>1</v>
      </c>
      <c r="P932" s="1" t="str">
        <f>LEN(IF(Raw!A932="","",Raw!A932))&amp;":"&amp;IF(Raw!A932="","",Raw!A932)&amp;"|"&amp;LEN(IF(Raw!B932="","",Raw!B932))&amp;":"&amp;IF(Raw!B932="","",Raw!B932)&amp;"|"&amp;LEN(IF(Raw!C932="","",Raw!C932))&amp;":"&amp;IF(Raw!C932="","",Raw!C932)&amp;"|"&amp;LEN(IF(Raw!D932="","",Raw!D932))&amp;":"&amp;IF(Raw!D932="","",Raw!D932)&amp;"|"&amp;LEN(IF(Raw!E932="","",Raw!E932))&amp;":"&amp;IF(Raw!E932="","",Raw!E932)&amp;"|"&amp;LEN(IF(Raw!F932="","",Raw!F932))&amp;":"&amp;IF(Raw!F932="","",Raw!F932)&amp;"|"&amp;LEN(IF(Raw!G932="","",Raw!G932))&amp;":"&amp;IF(Raw!G932="","",Raw!G932)</f>
        <v>6:L00926|6:T00463|10:2026-03-26|3:P-H|4:Home|4:sale|6:107.24</v>
      </c>
      <c r="Q932" s="1">
        <f>1</f>
        <v>1</v>
      </c>
      <c r="R932" s="1" t="b">
        <f>FALSE</f>
        <v>0</v>
      </c>
      <c r="S932" s="1">
        <f>1</f>
        <v>1</v>
      </c>
      <c r="T932" s="1" t="str">
        <f>IF(AND(Raw!A932="",Raw!B932="",Raw!C932="",Raw!D932="",Raw!E932="",Raw!F932="",Raw!G932=""),"UNUSED",IF(A932="","missing line ID",IF(B932="","missing transaction ID",IF(G932="",IF(C932="","missing date","invalid date"),IF(I932="","unknown product",IF(J932="","conflicting category",IF(NOT(OR(EXACT(K932,"sale"),EXACT(K932,"refund"))),"unknown event",IF(OR(N932="",NOT(O932)),"invalid amount",IF(OR(AND(K932="sale",N932&lt;=0),AND(K932="refund",N932&gt;=0)),"invalid sign","")))))))))</f>
        <v/>
      </c>
      <c r="U932" s="1" t="str">
        <f t="shared" si="117"/>
        <v>INCLUDED</v>
      </c>
      <c r="V932" s="1" t="str">
        <f t="shared" si="118"/>
        <v>2026-03</v>
      </c>
      <c r="W932" s="1">
        <f>IF(AND(U932="INCLUDED",X932&gt;0,EXACT(A932,'AI output'!A932)),1,0)</f>
        <v>1</v>
      </c>
      <c r="X932" s="1">
        <f>932</f>
        <v>932</v>
      </c>
      <c r="Y932" s="1">
        <f>IF(AND(U932="INCLUDED",W932=1),--(NOT(EXACT(A932,'AI output'!A932)))+--(NOT(EXACT(B932,'AI output'!B932)))+--(NOT(EXACT(TEXT(G932,"yyyy-mm-dd"),'AI output'!C932)))+--(NOT(EXACT(H932,'AI output'!D932)))+--(NOT(EXACT(J932,'AI output'!E932)))+--(NOT(EXACT(K932,'AI output'!F932)))+--(N932&lt;&gt;'AI output'!L932)+--(NOT('AI output'!M932)),0)</f>
        <v>0</v>
      </c>
      <c r="Z932" s="1">
        <f t="shared" si="119"/>
        <v>0</v>
      </c>
      <c r="AA932" s="1">
        <f>--EXACT(A932,"L00926")</f>
        <v>1</v>
      </c>
    </row>
    <row r="933" spans="1:27" ht="18.95" customHeight="1">
      <c r="A933" s="1" t="str">
        <f>IF(Raw!A933="","",Raw!A933)</f>
        <v>L00927</v>
      </c>
      <c r="B933" s="1" t="str">
        <f>IF(Raw!B933="","",Raw!B933)</f>
        <v>T00464</v>
      </c>
      <c r="C933" s="1" t="str">
        <f>IF(Raw!C933="","",Raw!C933)</f>
        <v>2026-01-02</v>
      </c>
      <c r="D933" s="1">
        <f t="shared" si="112"/>
        <v>2026</v>
      </c>
      <c r="E933" s="1">
        <f>IFERROR(IF(AND(LEN(C933)=10,MID(C933,5,1)="-",MID(C933,8,1)="-"),VALUE(MID(C933,6,2)),IF(AND(LEN(C933)=11,MID(C933,3,1)="-",MID(C933,7,1)="-"),MATCH(UPPER(MID(C933,4,3)),Guide!$D$7:$D$18,0),0)),0)</f>
        <v>1</v>
      </c>
      <c r="F933" s="1">
        <f t="shared" si="113"/>
        <v>2</v>
      </c>
      <c r="G933" s="9">
        <f t="shared" si="114"/>
        <v>46024</v>
      </c>
      <c r="H933" s="1" t="str">
        <f>IF(Raw!D933="","",Raw!D933)</f>
        <v>P-O</v>
      </c>
      <c r="I933" s="1" t="str">
        <f>IFERROR(IF(EXACT(H933,INDEX(Guide!$A$7:$A$9,MATCH(SUBSTITUTE(SUBSTITUTE(SUBSTITUTE(H933,"~","~~"),"*","~*"),"?","~?"),Guide!$A$7:$A$9,0))),INDEX(Guide!$B$7:$B$9,MATCH(SUBSTITUTE(SUBSTITUTE(SUBSTITUTE(H933,"~","~~"),"*","~*"),"?","~?"),Guide!$A$7:$A$9,0)),""),"")</f>
        <v>Office</v>
      </c>
      <c r="J933" s="1" t="str">
        <f>IF(TRIM(Raw!E933)="",I933,IF(UPPER(TRIM(Raw!E933))=UPPER(I933),I933,""))</f>
        <v>Office</v>
      </c>
      <c r="K933" s="1" t="str">
        <f>IF(Raw!F933="","",Raw!F933)</f>
        <v>sale</v>
      </c>
      <c r="L933" s="1" t="str">
        <f>IF(LEFT(TRIM(Raw!G933),2)="-$","-"&amp;MID(TRIM(Raw!G933),3,99),IF(LEFT(TRIM(Raw!G933),1)="$",MID(TRIM(Raw!G933),2,99),TRIM(Raw!G933)))</f>
        <v>322.83</v>
      </c>
      <c r="M933" s="1">
        <f t="shared" si="115"/>
        <v>322.83</v>
      </c>
      <c r="N933" s="10">
        <f t="shared" si="116"/>
        <v>32283</v>
      </c>
      <c r="O933" s="1" t="b">
        <f>IFERROR(IF(ISNUMBER(Raw!G933),TRUE,OR(EXACT(L933,TEXT(M933,"0.00")),EXACT(L933,TEXT(M933,"#,##0.00")))),FALSE)</f>
        <v>1</v>
      </c>
      <c r="P933" s="1" t="str">
        <f>LEN(IF(Raw!A933="","",Raw!A933))&amp;":"&amp;IF(Raw!A933="","",Raw!A933)&amp;"|"&amp;LEN(IF(Raw!B933="","",Raw!B933))&amp;":"&amp;IF(Raw!B933="","",Raw!B933)&amp;"|"&amp;LEN(IF(Raw!C933="","",Raw!C933))&amp;":"&amp;IF(Raw!C933="","",Raw!C933)&amp;"|"&amp;LEN(IF(Raw!D933="","",Raw!D933))&amp;":"&amp;IF(Raw!D933="","",Raw!D933)&amp;"|"&amp;LEN(IF(Raw!E933="","",Raw!E933))&amp;":"&amp;IF(Raw!E933="","",Raw!E933)&amp;"|"&amp;LEN(IF(Raw!F933="","",Raw!F933))&amp;":"&amp;IF(Raw!F933="","",Raw!F933)&amp;"|"&amp;LEN(IF(Raw!G933="","",Raw!G933))&amp;":"&amp;IF(Raw!G933="","",Raw!G933)</f>
        <v>6:L00927|6:T00464|10:2026-01-02|3:P-O|10:  office  |4:sale|6:322.83</v>
      </c>
      <c r="Q933" s="1">
        <f>1</f>
        <v>1</v>
      </c>
      <c r="R933" s="1" t="b">
        <f>FALSE</f>
        <v>0</v>
      </c>
      <c r="S933" s="1">
        <f>1</f>
        <v>1</v>
      </c>
      <c r="T933" s="1" t="str">
        <f>IF(AND(Raw!A933="",Raw!B933="",Raw!C933="",Raw!D933="",Raw!E933="",Raw!F933="",Raw!G933=""),"UNUSED",IF(A933="","missing line ID",IF(B933="","missing transaction ID",IF(G933="",IF(C933="","missing date","invalid date"),IF(I933="","unknown product",IF(J933="","conflicting category",IF(NOT(OR(EXACT(K933,"sale"),EXACT(K933,"refund"))),"unknown event",IF(OR(N933="",NOT(O933)),"invalid amount",IF(OR(AND(K933="sale",N933&lt;=0),AND(K933="refund",N933&gt;=0)),"invalid sign","")))))))))</f>
        <v/>
      </c>
      <c r="U933" s="1" t="str">
        <f t="shared" si="117"/>
        <v>INCLUDED</v>
      </c>
      <c r="V933" s="1" t="str">
        <f t="shared" si="118"/>
        <v>2026-01</v>
      </c>
      <c r="W933" s="1">
        <f>IF(AND(U933="INCLUDED",X933&gt;0,EXACT(A933,'AI output'!A933)),1,0)</f>
        <v>1</v>
      </c>
      <c r="X933" s="1">
        <f>933</f>
        <v>933</v>
      </c>
      <c r="Y933" s="1">
        <f>IF(AND(U933="INCLUDED",W933=1),--(NOT(EXACT(A933,'AI output'!A933)))+--(NOT(EXACT(B933,'AI output'!B933)))+--(NOT(EXACT(TEXT(G933,"yyyy-mm-dd"),'AI output'!C933)))+--(NOT(EXACT(H933,'AI output'!D933)))+--(NOT(EXACT(J933,'AI output'!E933)))+--(NOT(EXACT(K933,'AI output'!F933)))+--(N933&lt;&gt;'AI output'!L933)+--(NOT('AI output'!M933)),0)</f>
        <v>0</v>
      </c>
      <c r="Z933" s="1">
        <f t="shared" si="119"/>
        <v>0</v>
      </c>
      <c r="AA933" s="1">
        <f>--EXACT(A933,"L00927")</f>
        <v>1</v>
      </c>
    </row>
    <row r="934" spans="1:27" ht="18.95" customHeight="1">
      <c r="A934" s="1" t="str">
        <f>IF(Raw!A934="","",Raw!A934)</f>
        <v>L00928</v>
      </c>
      <c r="B934" s="1" t="str">
        <f>IF(Raw!B934="","",Raw!B934)</f>
        <v>T00464</v>
      </c>
      <c r="C934" s="1" t="str">
        <f>IF(Raw!C934="","",Raw!C934)</f>
        <v>2026-01-02</v>
      </c>
      <c r="D934" s="1">
        <f t="shared" si="112"/>
        <v>2026</v>
      </c>
      <c r="E934" s="1">
        <f>IFERROR(IF(AND(LEN(C934)=10,MID(C934,5,1)="-",MID(C934,8,1)="-"),VALUE(MID(C934,6,2)),IF(AND(LEN(C934)=11,MID(C934,3,1)="-",MID(C934,7,1)="-"),MATCH(UPPER(MID(C934,4,3)),Guide!$D$7:$D$18,0),0)),0)</f>
        <v>1</v>
      </c>
      <c r="F934" s="1">
        <f t="shared" si="113"/>
        <v>2</v>
      </c>
      <c r="G934" s="9">
        <f t="shared" si="114"/>
        <v>46024</v>
      </c>
      <c r="H934" s="1" t="str">
        <f>IF(Raw!D934="","",Raw!D934)</f>
        <v>P-A</v>
      </c>
      <c r="I934" s="1" t="str">
        <f>IFERROR(IF(EXACT(H934,INDEX(Guide!$A$7:$A$9,MATCH(SUBSTITUTE(SUBSTITUTE(SUBSTITUTE(H934,"~","~~"),"*","~*"),"?","~?"),Guide!$A$7:$A$9,0))),INDEX(Guide!$B$7:$B$9,MATCH(SUBSTITUTE(SUBSTITUTE(SUBSTITUTE(H934,"~","~~"),"*","~*"),"?","~?"),Guide!$A$7:$A$9,0)),""),"")</f>
        <v>Accessories</v>
      </c>
      <c r="J934" s="1" t="str">
        <f>IF(TRIM(Raw!E934)="",I934,IF(UPPER(TRIM(Raw!E934))=UPPER(I934),I934,""))</f>
        <v>Accessories</v>
      </c>
      <c r="K934" s="1" t="str">
        <f>IF(Raw!F934="","",Raw!F934)</f>
        <v>sale</v>
      </c>
      <c r="L934" s="1" t="str">
        <f>IF(LEFT(TRIM(Raw!G934),2)="-$","-"&amp;MID(TRIM(Raw!G934),3,99),IF(LEFT(TRIM(Raw!G934),1)="$",MID(TRIM(Raw!G934),2,99),TRIM(Raw!G934)))</f>
        <v>539.90</v>
      </c>
      <c r="M934" s="1">
        <f t="shared" si="115"/>
        <v>539.9</v>
      </c>
      <c r="N934" s="10">
        <f t="shared" si="116"/>
        <v>53990</v>
      </c>
      <c r="O934" s="1" t="b">
        <f>IFERROR(IF(ISNUMBER(Raw!G934),TRUE,OR(EXACT(L934,TEXT(M934,"0.00")),EXACT(L934,TEXT(M934,"#,##0.00")))),FALSE)</f>
        <v>1</v>
      </c>
      <c r="P934" s="1" t="str">
        <f>LEN(IF(Raw!A934="","",Raw!A934))&amp;":"&amp;IF(Raw!A934="","",Raw!A934)&amp;"|"&amp;LEN(IF(Raw!B934="","",Raw!B934))&amp;":"&amp;IF(Raw!B934="","",Raw!B934)&amp;"|"&amp;LEN(IF(Raw!C934="","",Raw!C934))&amp;":"&amp;IF(Raw!C934="","",Raw!C934)&amp;"|"&amp;LEN(IF(Raw!D934="","",Raw!D934))&amp;":"&amp;IF(Raw!D934="","",Raw!D934)&amp;"|"&amp;LEN(IF(Raw!E934="","",Raw!E934))&amp;":"&amp;IF(Raw!E934="","",Raw!E934)&amp;"|"&amp;LEN(IF(Raw!F934="","",Raw!F934))&amp;":"&amp;IF(Raw!F934="","",Raw!F934)&amp;"|"&amp;LEN(IF(Raw!G934="","",Raw!G934))&amp;":"&amp;IF(Raw!G934="","",Raw!G934)</f>
        <v>6:L00928|6:T00464|10:2026-01-02|3:P-A|11:Accessories|4:sale|6:539.90</v>
      </c>
      <c r="Q934" s="1">
        <f>1</f>
        <v>1</v>
      </c>
      <c r="R934" s="1" t="b">
        <f>FALSE</f>
        <v>0</v>
      </c>
      <c r="S934" s="1">
        <f>1</f>
        <v>1</v>
      </c>
      <c r="T934" s="1" t="str">
        <f>IF(AND(Raw!A934="",Raw!B934="",Raw!C934="",Raw!D934="",Raw!E934="",Raw!F934="",Raw!G934=""),"UNUSED",IF(A934="","missing line ID",IF(B934="","missing transaction ID",IF(G934="",IF(C934="","missing date","invalid date"),IF(I934="","unknown product",IF(J934="","conflicting category",IF(NOT(OR(EXACT(K934,"sale"),EXACT(K934,"refund"))),"unknown event",IF(OR(N934="",NOT(O934)),"invalid amount",IF(OR(AND(K934="sale",N934&lt;=0),AND(K934="refund",N934&gt;=0)),"invalid sign","")))))))))</f>
        <v/>
      </c>
      <c r="U934" s="1" t="str">
        <f t="shared" si="117"/>
        <v>INCLUDED</v>
      </c>
      <c r="V934" s="1" t="str">
        <f t="shared" si="118"/>
        <v>2026-01</v>
      </c>
      <c r="W934" s="1">
        <f>IF(AND(U934="INCLUDED",X934&gt;0,EXACT(A934,'AI output'!A934)),1,0)</f>
        <v>1</v>
      </c>
      <c r="X934" s="1">
        <f>934</f>
        <v>934</v>
      </c>
      <c r="Y934" s="1">
        <f>IF(AND(U934="INCLUDED",W934=1),--(NOT(EXACT(A934,'AI output'!A934)))+--(NOT(EXACT(B934,'AI output'!B934)))+--(NOT(EXACT(TEXT(G934,"yyyy-mm-dd"),'AI output'!C934)))+--(NOT(EXACT(H934,'AI output'!D934)))+--(NOT(EXACT(J934,'AI output'!E934)))+--(NOT(EXACT(K934,'AI output'!F934)))+--(N934&lt;&gt;'AI output'!L934)+--(NOT('AI output'!M934)),0)</f>
        <v>0</v>
      </c>
      <c r="Z934" s="1">
        <f t="shared" si="119"/>
        <v>0</v>
      </c>
      <c r="AA934" s="1">
        <f>--EXACT(A934,"L00928")</f>
        <v>1</v>
      </c>
    </row>
    <row r="935" spans="1:27" ht="18.95" customHeight="1">
      <c r="A935" s="1" t="str">
        <f>IF(Raw!A935="","",Raw!A935)</f>
        <v>L00929</v>
      </c>
      <c r="B935" s="1" t="str">
        <f>IF(Raw!B935="","",Raw!B935)</f>
        <v>T00465</v>
      </c>
      <c r="C935" s="1" t="str">
        <f>IF(Raw!C935="","",Raw!C935)</f>
        <v>2026-01-09</v>
      </c>
      <c r="D935" s="1">
        <f t="shared" si="112"/>
        <v>2026</v>
      </c>
      <c r="E935" s="1">
        <f>IFERROR(IF(AND(LEN(C935)=10,MID(C935,5,1)="-",MID(C935,8,1)="-"),VALUE(MID(C935,6,2)),IF(AND(LEN(C935)=11,MID(C935,3,1)="-",MID(C935,7,1)="-"),MATCH(UPPER(MID(C935,4,3)),Guide!$D$7:$D$18,0),0)),0)</f>
        <v>1</v>
      </c>
      <c r="F935" s="1">
        <f t="shared" si="113"/>
        <v>9</v>
      </c>
      <c r="G935" s="9">
        <f t="shared" si="114"/>
        <v>46031</v>
      </c>
      <c r="H935" s="1" t="str">
        <f>IF(Raw!D935="","",Raw!D935)</f>
        <v>P-H</v>
      </c>
      <c r="I935" s="1" t="str">
        <f>IFERROR(IF(EXACT(H935,INDEX(Guide!$A$7:$A$9,MATCH(SUBSTITUTE(SUBSTITUTE(SUBSTITUTE(H935,"~","~~"),"*","~*"),"?","~?"),Guide!$A$7:$A$9,0))),INDEX(Guide!$B$7:$B$9,MATCH(SUBSTITUTE(SUBSTITUTE(SUBSTITUTE(H935,"~","~~"),"*","~*"),"?","~?"),Guide!$A$7:$A$9,0)),""),"")</f>
        <v>Home</v>
      </c>
      <c r="J935" s="1" t="str">
        <f>IF(TRIM(Raw!E935)="",I935,IF(UPPER(TRIM(Raw!E935))=UPPER(I935),I935,""))</f>
        <v>Home</v>
      </c>
      <c r="K935" s="1" t="str">
        <f>IF(Raw!F935="","",Raw!F935)</f>
        <v>sale</v>
      </c>
      <c r="L935" s="1" t="str">
        <f>IF(LEFT(TRIM(Raw!G935),2)="-$","-"&amp;MID(TRIM(Raw!G935),3,99),IF(LEFT(TRIM(Raw!G935),1)="$",MID(TRIM(Raw!G935),2,99),TRIM(Raw!G935)))</f>
        <v>216.70</v>
      </c>
      <c r="M935" s="1">
        <f t="shared" si="115"/>
        <v>216.7</v>
      </c>
      <c r="N935" s="10">
        <f t="shared" si="116"/>
        <v>21670</v>
      </c>
      <c r="O935" s="1" t="b">
        <f>IFERROR(IF(ISNUMBER(Raw!G935),TRUE,OR(EXACT(L935,TEXT(M935,"0.00")),EXACT(L935,TEXT(M935,"#,##0.00")))),FALSE)</f>
        <v>1</v>
      </c>
      <c r="P935" s="1" t="str">
        <f>LEN(IF(Raw!A935="","",Raw!A935))&amp;":"&amp;IF(Raw!A935="","",Raw!A935)&amp;"|"&amp;LEN(IF(Raw!B935="","",Raw!B935))&amp;":"&amp;IF(Raw!B935="","",Raw!B935)&amp;"|"&amp;LEN(IF(Raw!C935="","",Raw!C935))&amp;":"&amp;IF(Raw!C935="","",Raw!C935)&amp;"|"&amp;LEN(IF(Raw!D935="","",Raw!D935))&amp;":"&amp;IF(Raw!D935="","",Raw!D935)&amp;"|"&amp;LEN(IF(Raw!E935="","",Raw!E935))&amp;":"&amp;IF(Raw!E935="","",Raw!E935)&amp;"|"&amp;LEN(IF(Raw!F935="","",Raw!F935))&amp;":"&amp;IF(Raw!F935="","",Raw!F935)&amp;"|"&amp;LEN(IF(Raw!G935="","",Raw!G935))&amp;":"&amp;IF(Raw!G935="","",Raw!G935)</f>
        <v>6:L00929|6:T00465|10:2026-01-09|3:P-H|4:Home|4:sale|6:216.70</v>
      </c>
      <c r="Q935" s="1">
        <f>1</f>
        <v>1</v>
      </c>
      <c r="R935" s="1" t="b">
        <f>FALSE</f>
        <v>0</v>
      </c>
      <c r="S935" s="1">
        <f>1</f>
        <v>1</v>
      </c>
      <c r="T935" s="1" t="str">
        <f>IF(AND(Raw!A935="",Raw!B935="",Raw!C935="",Raw!D935="",Raw!E935="",Raw!F935="",Raw!G935=""),"UNUSED",IF(A935="","missing line ID",IF(B935="","missing transaction ID",IF(G935="",IF(C935="","missing date","invalid date"),IF(I935="","unknown product",IF(J935="","conflicting category",IF(NOT(OR(EXACT(K935,"sale"),EXACT(K935,"refund"))),"unknown event",IF(OR(N935="",NOT(O935)),"invalid amount",IF(OR(AND(K935="sale",N935&lt;=0),AND(K935="refund",N935&gt;=0)),"invalid sign","")))))))))</f>
        <v/>
      </c>
      <c r="U935" s="1" t="str">
        <f t="shared" si="117"/>
        <v>INCLUDED</v>
      </c>
      <c r="V935" s="1" t="str">
        <f t="shared" si="118"/>
        <v>2026-01</v>
      </c>
      <c r="W935" s="1">
        <f>IF(AND(U935="INCLUDED",X935&gt;0,EXACT(A935,'AI output'!A935)),1,0)</f>
        <v>1</v>
      </c>
      <c r="X935" s="1">
        <f>935</f>
        <v>935</v>
      </c>
      <c r="Y935" s="1">
        <f>IF(AND(U935="INCLUDED",W935=1),--(NOT(EXACT(A935,'AI output'!A935)))+--(NOT(EXACT(B935,'AI output'!B935)))+--(NOT(EXACT(TEXT(G935,"yyyy-mm-dd"),'AI output'!C935)))+--(NOT(EXACT(H935,'AI output'!D935)))+--(NOT(EXACT(J935,'AI output'!E935)))+--(NOT(EXACT(K935,'AI output'!F935)))+--(N935&lt;&gt;'AI output'!L935)+--(NOT('AI output'!M935)),0)</f>
        <v>0</v>
      </c>
      <c r="Z935" s="1">
        <f t="shared" si="119"/>
        <v>0</v>
      </c>
      <c r="AA935" s="1">
        <f>--EXACT(A935,"L00929")</f>
        <v>1</v>
      </c>
    </row>
    <row r="936" spans="1:27" ht="18.95" customHeight="1">
      <c r="A936" s="1" t="str">
        <f>IF(Raw!A936="","",Raw!A936)</f>
        <v>L00930</v>
      </c>
      <c r="B936" s="1" t="str">
        <f>IF(Raw!B936="","",Raw!B936)</f>
        <v>T00465</v>
      </c>
      <c r="C936" s="1" t="str">
        <f>IF(Raw!C936="","",Raw!C936)</f>
        <v>2026-01-09</v>
      </c>
      <c r="D936" s="1">
        <f t="shared" si="112"/>
        <v>2026</v>
      </c>
      <c r="E936" s="1">
        <f>IFERROR(IF(AND(LEN(C936)=10,MID(C936,5,1)="-",MID(C936,8,1)="-"),VALUE(MID(C936,6,2)),IF(AND(LEN(C936)=11,MID(C936,3,1)="-",MID(C936,7,1)="-"),MATCH(UPPER(MID(C936,4,3)),Guide!$D$7:$D$18,0),0)),0)</f>
        <v>1</v>
      </c>
      <c r="F936" s="1">
        <f t="shared" si="113"/>
        <v>9</v>
      </c>
      <c r="G936" s="9">
        <f t="shared" si="114"/>
        <v>46031</v>
      </c>
      <c r="H936" s="1" t="str">
        <f>IF(Raw!D936="","",Raw!D936)</f>
        <v>P-O</v>
      </c>
      <c r="I936" s="1" t="str">
        <f>IFERROR(IF(EXACT(H936,INDEX(Guide!$A$7:$A$9,MATCH(SUBSTITUTE(SUBSTITUTE(SUBSTITUTE(H936,"~","~~"),"*","~*"),"?","~?"),Guide!$A$7:$A$9,0))),INDEX(Guide!$B$7:$B$9,MATCH(SUBSTITUTE(SUBSTITUTE(SUBSTITUTE(H936,"~","~~"),"*","~*"),"?","~?"),Guide!$A$7:$A$9,0)),""),"")</f>
        <v>Office</v>
      </c>
      <c r="J936" s="1" t="str">
        <f>IF(TRIM(Raw!E936)="",I936,IF(UPPER(TRIM(Raw!E936))=UPPER(I936),I936,""))</f>
        <v>Office</v>
      </c>
      <c r="K936" s="1" t="str">
        <f>IF(Raw!F936="","",Raw!F936)</f>
        <v>sale</v>
      </c>
      <c r="L936" s="1" t="str">
        <f>IF(LEFT(TRIM(Raw!G936),2)="-$","-"&amp;MID(TRIM(Raw!G936),3,99),IF(LEFT(TRIM(Raw!G936),1)="$",MID(TRIM(Raw!G936),2,99),TRIM(Raw!G936)))</f>
        <v>434.88</v>
      </c>
      <c r="M936" s="1">
        <f t="shared" si="115"/>
        <v>434.88</v>
      </c>
      <c r="N936" s="10">
        <f t="shared" si="116"/>
        <v>43488</v>
      </c>
      <c r="O936" s="1" t="b">
        <f>IFERROR(IF(ISNUMBER(Raw!G936),TRUE,OR(EXACT(L936,TEXT(M936,"0.00")),EXACT(L936,TEXT(M936,"#,##0.00")))),FALSE)</f>
        <v>1</v>
      </c>
      <c r="P936" s="1" t="str">
        <f>LEN(IF(Raw!A936="","",Raw!A936))&amp;":"&amp;IF(Raw!A936="","",Raw!A936)&amp;"|"&amp;LEN(IF(Raw!B936="","",Raw!B936))&amp;":"&amp;IF(Raw!B936="","",Raw!B936)&amp;"|"&amp;LEN(IF(Raw!C936="","",Raw!C936))&amp;":"&amp;IF(Raw!C936="","",Raw!C936)&amp;"|"&amp;LEN(IF(Raw!D936="","",Raw!D936))&amp;":"&amp;IF(Raw!D936="","",Raw!D936)&amp;"|"&amp;LEN(IF(Raw!E936="","",Raw!E936))&amp;":"&amp;IF(Raw!E936="","",Raw!E936)&amp;"|"&amp;LEN(IF(Raw!F936="","",Raw!F936))&amp;":"&amp;IF(Raw!F936="","",Raw!F936)&amp;"|"&amp;LEN(IF(Raw!G936="","",Raw!G936))&amp;":"&amp;IF(Raw!G936="","",Raw!G936)</f>
        <v>6:L00930|6:T00465|10:2026-01-09|3:P-O|6:Office|4:sale|6:434.88</v>
      </c>
      <c r="Q936" s="1">
        <f>1</f>
        <v>1</v>
      </c>
      <c r="R936" s="1" t="b">
        <f>FALSE</f>
        <v>0</v>
      </c>
      <c r="S936" s="1">
        <f>1</f>
        <v>1</v>
      </c>
      <c r="T936" s="1" t="str">
        <f>IF(AND(Raw!A936="",Raw!B936="",Raw!C936="",Raw!D936="",Raw!E936="",Raw!F936="",Raw!G936=""),"UNUSED",IF(A936="","missing line ID",IF(B936="","missing transaction ID",IF(G936="",IF(C936="","missing date","invalid date"),IF(I936="","unknown product",IF(J936="","conflicting category",IF(NOT(OR(EXACT(K936,"sale"),EXACT(K936,"refund"))),"unknown event",IF(OR(N936="",NOT(O936)),"invalid amount",IF(OR(AND(K936="sale",N936&lt;=0),AND(K936="refund",N936&gt;=0)),"invalid sign","")))))))))</f>
        <v/>
      </c>
      <c r="U936" s="1" t="str">
        <f t="shared" si="117"/>
        <v>INCLUDED</v>
      </c>
      <c r="V936" s="1" t="str">
        <f t="shared" si="118"/>
        <v>2026-01</v>
      </c>
      <c r="W936" s="1">
        <f>IF(AND(U936="INCLUDED",X936&gt;0,EXACT(A936,'AI output'!A936)),1,0)</f>
        <v>1</v>
      </c>
      <c r="X936" s="1">
        <f>936</f>
        <v>936</v>
      </c>
      <c r="Y936" s="1">
        <f>IF(AND(U936="INCLUDED",W936=1),--(NOT(EXACT(A936,'AI output'!A936)))+--(NOT(EXACT(B936,'AI output'!B936)))+--(NOT(EXACT(TEXT(G936,"yyyy-mm-dd"),'AI output'!C936)))+--(NOT(EXACT(H936,'AI output'!D936)))+--(NOT(EXACT(J936,'AI output'!E936)))+--(NOT(EXACT(K936,'AI output'!F936)))+--(N936&lt;&gt;'AI output'!L936)+--(NOT('AI output'!M936)),0)</f>
        <v>0</v>
      </c>
      <c r="Z936" s="1">
        <f t="shared" si="119"/>
        <v>0</v>
      </c>
      <c r="AA936" s="1">
        <f>--EXACT(A936,"L00930")</f>
        <v>1</v>
      </c>
    </row>
    <row r="937" spans="1:27" ht="18.95" customHeight="1">
      <c r="A937" s="1" t="str">
        <f>IF(Raw!A937="","",Raw!A937)</f>
        <v>L00931</v>
      </c>
      <c r="B937" s="1" t="str">
        <f>IF(Raw!B937="","",Raw!B937)</f>
        <v>T00466</v>
      </c>
      <c r="C937" s="1" t="str">
        <f>IF(Raw!C937="","",Raw!C937)</f>
        <v>2026-01-16</v>
      </c>
      <c r="D937" s="1">
        <f t="shared" si="112"/>
        <v>2026</v>
      </c>
      <c r="E937" s="1">
        <f>IFERROR(IF(AND(LEN(C937)=10,MID(C937,5,1)="-",MID(C937,8,1)="-"),VALUE(MID(C937,6,2)),IF(AND(LEN(C937)=11,MID(C937,3,1)="-",MID(C937,7,1)="-"),MATCH(UPPER(MID(C937,4,3)),Guide!$D$7:$D$18,0),0)),0)</f>
        <v>1</v>
      </c>
      <c r="F937" s="1">
        <f t="shared" si="113"/>
        <v>16</v>
      </c>
      <c r="G937" s="9">
        <f t="shared" si="114"/>
        <v>46038</v>
      </c>
      <c r="H937" s="1" t="str">
        <f>IF(Raw!D937="","",Raw!D937)</f>
        <v>P-A</v>
      </c>
      <c r="I937" s="1" t="str">
        <f>IFERROR(IF(EXACT(H937,INDEX(Guide!$A$7:$A$9,MATCH(SUBSTITUTE(SUBSTITUTE(SUBSTITUTE(H937,"~","~~"),"*","~*"),"?","~?"),Guide!$A$7:$A$9,0))),INDEX(Guide!$B$7:$B$9,MATCH(SUBSTITUTE(SUBSTITUTE(SUBSTITUTE(H937,"~","~~"),"*","~*"),"?","~?"),Guide!$A$7:$A$9,0)),""),"")</f>
        <v>Accessories</v>
      </c>
      <c r="J937" s="1" t="str">
        <f>IF(TRIM(Raw!E937)="",I937,IF(UPPER(TRIM(Raw!E937))=UPPER(I937),I937,""))</f>
        <v>Accessories</v>
      </c>
      <c r="K937" s="1" t="str">
        <f>IF(Raw!F937="","",Raw!F937)</f>
        <v>sale</v>
      </c>
      <c r="L937" s="1" t="str">
        <f>IF(LEFT(TRIM(Raw!G937),2)="-$","-"&amp;MID(TRIM(Raw!G937),3,99),IF(LEFT(TRIM(Raw!G937),1)="$",MID(TRIM(Raw!G937),2,99),TRIM(Raw!G937)))</f>
        <v>109.09</v>
      </c>
      <c r="M937" s="1">
        <f t="shared" si="115"/>
        <v>109.09</v>
      </c>
      <c r="N937" s="10">
        <f t="shared" si="116"/>
        <v>10909</v>
      </c>
      <c r="O937" s="1" t="b">
        <f>IFERROR(IF(ISNUMBER(Raw!G937),TRUE,OR(EXACT(L937,TEXT(M937,"0.00")),EXACT(L937,TEXT(M937,"#,##0.00")))),FALSE)</f>
        <v>1</v>
      </c>
      <c r="P937" s="1" t="str">
        <f>LEN(IF(Raw!A937="","",Raw!A937))&amp;":"&amp;IF(Raw!A937="","",Raw!A937)&amp;"|"&amp;LEN(IF(Raw!B937="","",Raw!B937))&amp;":"&amp;IF(Raw!B937="","",Raw!B937)&amp;"|"&amp;LEN(IF(Raw!C937="","",Raw!C937))&amp;":"&amp;IF(Raw!C937="","",Raw!C937)&amp;"|"&amp;LEN(IF(Raw!D937="","",Raw!D937))&amp;":"&amp;IF(Raw!D937="","",Raw!D937)&amp;"|"&amp;LEN(IF(Raw!E937="","",Raw!E937))&amp;":"&amp;IF(Raw!E937="","",Raw!E937)&amp;"|"&amp;LEN(IF(Raw!F937="","",Raw!F937))&amp;":"&amp;IF(Raw!F937="","",Raw!F937)&amp;"|"&amp;LEN(IF(Raw!G937="","",Raw!G937))&amp;":"&amp;IF(Raw!G937="","",Raw!G937)</f>
        <v>6:L00931|6:T00466|10:2026-01-16|3:P-A|11:Accessories|4:sale|6:109.09</v>
      </c>
      <c r="Q937" s="1">
        <f>1</f>
        <v>1</v>
      </c>
      <c r="R937" s="1" t="b">
        <f>FALSE</f>
        <v>0</v>
      </c>
      <c r="S937" s="1">
        <f>1</f>
        <v>1</v>
      </c>
      <c r="T937" s="1" t="str">
        <f>IF(AND(Raw!A937="",Raw!B937="",Raw!C937="",Raw!D937="",Raw!E937="",Raw!F937="",Raw!G937=""),"UNUSED",IF(A937="","missing line ID",IF(B937="","missing transaction ID",IF(G937="",IF(C937="","missing date","invalid date"),IF(I937="","unknown product",IF(J937="","conflicting category",IF(NOT(OR(EXACT(K937,"sale"),EXACT(K937,"refund"))),"unknown event",IF(OR(N937="",NOT(O937)),"invalid amount",IF(OR(AND(K937="sale",N937&lt;=0),AND(K937="refund",N937&gt;=0)),"invalid sign","")))))))))</f>
        <v/>
      </c>
      <c r="U937" s="1" t="str">
        <f t="shared" si="117"/>
        <v>INCLUDED</v>
      </c>
      <c r="V937" s="1" t="str">
        <f t="shared" si="118"/>
        <v>2026-01</v>
      </c>
      <c r="W937" s="1">
        <f>IF(AND(U937="INCLUDED",X937&gt;0,EXACT(A937,'AI output'!A937)),1,0)</f>
        <v>1</v>
      </c>
      <c r="X937" s="1">
        <f>937</f>
        <v>937</v>
      </c>
      <c r="Y937" s="1">
        <f>IF(AND(U937="INCLUDED",W937=1),--(NOT(EXACT(A937,'AI output'!A937)))+--(NOT(EXACT(B937,'AI output'!B937)))+--(NOT(EXACT(TEXT(G937,"yyyy-mm-dd"),'AI output'!C937)))+--(NOT(EXACT(H937,'AI output'!D937)))+--(NOT(EXACT(J937,'AI output'!E937)))+--(NOT(EXACT(K937,'AI output'!F937)))+--(N937&lt;&gt;'AI output'!L937)+--(NOT('AI output'!M937)),0)</f>
        <v>0</v>
      </c>
      <c r="Z937" s="1">
        <f t="shared" si="119"/>
        <v>0</v>
      </c>
      <c r="AA937" s="1">
        <f>--EXACT(A937,"L00931")</f>
        <v>1</v>
      </c>
    </row>
    <row r="938" spans="1:27" ht="18.95" customHeight="1">
      <c r="A938" s="1" t="str">
        <f>IF(Raw!A938="","",Raw!A938)</f>
        <v>L00932</v>
      </c>
      <c r="B938" s="1" t="str">
        <f>IF(Raw!B938="","",Raw!B938)</f>
        <v>T00466</v>
      </c>
      <c r="C938" s="1" t="str">
        <f>IF(Raw!C938="","",Raw!C938)</f>
        <v>2026-01-16</v>
      </c>
      <c r="D938" s="1">
        <f t="shared" si="112"/>
        <v>2026</v>
      </c>
      <c r="E938" s="1">
        <f>IFERROR(IF(AND(LEN(C938)=10,MID(C938,5,1)="-",MID(C938,8,1)="-"),VALUE(MID(C938,6,2)),IF(AND(LEN(C938)=11,MID(C938,3,1)="-",MID(C938,7,1)="-"),MATCH(UPPER(MID(C938,4,3)),Guide!$D$7:$D$18,0),0)),0)</f>
        <v>1</v>
      </c>
      <c r="F938" s="1">
        <f t="shared" si="113"/>
        <v>16</v>
      </c>
      <c r="G938" s="9">
        <f t="shared" si="114"/>
        <v>46038</v>
      </c>
      <c r="H938" s="1" t="str">
        <f>IF(Raw!D938="","",Raw!D938)</f>
        <v>P-H</v>
      </c>
      <c r="I938" s="1" t="str">
        <f>IFERROR(IF(EXACT(H938,INDEX(Guide!$A$7:$A$9,MATCH(SUBSTITUTE(SUBSTITUTE(SUBSTITUTE(H938,"~","~~"),"*","~*"),"?","~?"),Guide!$A$7:$A$9,0))),INDEX(Guide!$B$7:$B$9,MATCH(SUBSTITUTE(SUBSTITUTE(SUBSTITUTE(H938,"~","~~"),"*","~*"),"?","~?"),Guide!$A$7:$A$9,0)),""),"")</f>
        <v>Home</v>
      </c>
      <c r="J938" s="1" t="str">
        <f>IF(TRIM(Raw!E938)="",I938,IF(UPPER(TRIM(Raw!E938))=UPPER(I938),I938,""))</f>
        <v>Home</v>
      </c>
      <c r="K938" s="1" t="str">
        <f>IF(Raw!F938="","",Raw!F938)</f>
        <v>sale</v>
      </c>
      <c r="L938" s="1" t="str">
        <f>IF(LEFT(TRIM(Raw!G938),2)="-$","-"&amp;MID(TRIM(Raw!G938),3,99),IF(LEFT(TRIM(Raw!G938),1)="$",MID(TRIM(Raw!G938),2,99),TRIM(Raw!G938)))</f>
        <v>328.38</v>
      </c>
      <c r="M938" s="1">
        <f t="shared" si="115"/>
        <v>328.38</v>
      </c>
      <c r="N938" s="10">
        <f t="shared" si="116"/>
        <v>32838</v>
      </c>
      <c r="O938" s="1" t="b">
        <f>IFERROR(IF(ISNUMBER(Raw!G938),TRUE,OR(EXACT(L938,TEXT(M938,"0.00")),EXACT(L938,TEXT(M938,"#,##0.00")))),FALSE)</f>
        <v>1</v>
      </c>
      <c r="P938" s="1" t="str">
        <f>LEN(IF(Raw!A938="","",Raw!A938))&amp;":"&amp;IF(Raw!A938="","",Raw!A938)&amp;"|"&amp;LEN(IF(Raw!B938="","",Raw!B938))&amp;":"&amp;IF(Raw!B938="","",Raw!B938)&amp;"|"&amp;LEN(IF(Raw!C938="","",Raw!C938))&amp;":"&amp;IF(Raw!C938="","",Raw!C938)&amp;"|"&amp;LEN(IF(Raw!D938="","",Raw!D938))&amp;":"&amp;IF(Raw!D938="","",Raw!D938)&amp;"|"&amp;LEN(IF(Raw!E938="","",Raw!E938))&amp;":"&amp;IF(Raw!E938="","",Raw!E938)&amp;"|"&amp;LEN(IF(Raw!F938="","",Raw!F938))&amp;":"&amp;IF(Raw!F938="","",Raw!F938)&amp;"|"&amp;LEN(IF(Raw!G938="","",Raw!G938))&amp;":"&amp;IF(Raw!G938="","",Raw!G938)</f>
        <v>6:L00932|6:T00466|10:2026-01-16|3:P-H|4:Home|4:sale|6:328.38</v>
      </c>
      <c r="Q938" s="1">
        <f>1</f>
        <v>1</v>
      </c>
      <c r="R938" s="1" t="b">
        <f>FALSE</f>
        <v>0</v>
      </c>
      <c r="S938" s="1">
        <f>1</f>
        <v>1</v>
      </c>
      <c r="T938" s="1" t="str">
        <f>IF(AND(Raw!A938="",Raw!B938="",Raw!C938="",Raw!D938="",Raw!E938="",Raw!F938="",Raw!G938=""),"UNUSED",IF(A938="","missing line ID",IF(B938="","missing transaction ID",IF(G938="",IF(C938="","missing date","invalid date"),IF(I938="","unknown product",IF(J938="","conflicting category",IF(NOT(OR(EXACT(K938,"sale"),EXACT(K938,"refund"))),"unknown event",IF(OR(N938="",NOT(O938)),"invalid amount",IF(OR(AND(K938="sale",N938&lt;=0),AND(K938="refund",N938&gt;=0)),"invalid sign","")))))))))</f>
        <v/>
      </c>
      <c r="U938" s="1" t="str">
        <f t="shared" si="117"/>
        <v>INCLUDED</v>
      </c>
      <c r="V938" s="1" t="str">
        <f t="shared" si="118"/>
        <v>2026-01</v>
      </c>
      <c r="W938" s="1">
        <f>IF(AND(U938="INCLUDED",X938&gt;0,EXACT(A938,'AI output'!A938)),1,0)</f>
        <v>1</v>
      </c>
      <c r="X938" s="1">
        <f>938</f>
        <v>938</v>
      </c>
      <c r="Y938" s="1">
        <f>IF(AND(U938="INCLUDED",W938=1),--(NOT(EXACT(A938,'AI output'!A938)))+--(NOT(EXACT(B938,'AI output'!B938)))+--(NOT(EXACT(TEXT(G938,"yyyy-mm-dd"),'AI output'!C938)))+--(NOT(EXACT(H938,'AI output'!D938)))+--(NOT(EXACT(J938,'AI output'!E938)))+--(NOT(EXACT(K938,'AI output'!F938)))+--(N938&lt;&gt;'AI output'!L938)+--(NOT('AI output'!M938)),0)</f>
        <v>0</v>
      </c>
      <c r="Z938" s="1">
        <f t="shared" si="119"/>
        <v>0</v>
      </c>
      <c r="AA938" s="1">
        <f>--EXACT(A938,"L00932")</f>
        <v>1</v>
      </c>
    </row>
    <row r="939" spans="1:27" ht="18.95" customHeight="1">
      <c r="A939" s="1" t="str">
        <f>IF(Raw!A939="","",Raw!A939)</f>
        <v>L00933</v>
      </c>
      <c r="B939" s="1" t="str">
        <f>IF(Raw!B939="","",Raw!B939)</f>
        <v>T00467</v>
      </c>
      <c r="C939" s="1" t="str">
        <f>IF(Raw!C939="","",Raw!C939)</f>
        <v>2026-01-23</v>
      </c>
      <c r="D939" s="1">
        <f t="shared" si="112"/>
        <v>2026</v>
      </c>
      <c r="E939" s="1">
        <f>IFERROR(IF(AND(LEN(C939)=10,MID(C939,5,1)="-",MID(C939,8,1)="-"),VALUE(MID(C939,6,2)),IF(AND(LEN(C939)=11,MID(C939,3,1)="-",MID(C939,7,1)="-"),MATCH(UPPER(MID(C939,4,3)),Guide!$D$7:$D$18,0),0)),0)</f>
        <v>1</v>
      </c>
      <c r="F939" s="1">
        <f t="shared" si="113"/>
        <v>23</v>
      </c>
      <c r="G939" s="9">
        <f t="shared" si="114"/>
        <v>46045</v>
      </c>
      <c r="H939" s="1" t="str">
        <f>IF(Raw!D939="","",Raw!D939)</f>
        <v>P-O</v>
      </c>
      <c r="I939" s="1" t="str">
        <f>IFERROR(IF(EXACT(H939,INDEX(Guide!$A$7:$A$9,MATCH(SUBSTITUTE(SUBSTITUTE(SUBSTITUTE(H939,"~","~~"),"*","~*"),"?","~?"),Guide!$A$7:$A$9,0))),INDEX(Guide!$B$7:$B$9,MATCH(SUBSTITUTE(SUBSTITUTE(SUBSTITUTE(H939,"~","~~"),"*","~*"),"?","~?"),Guide!$A$7:$A$9,0)),""),"")</f>
        <v>Office</v>
      </c>
      <c r="J939" s="1" t="str">
        <f>IF(TRIM(Raw!E939)="",I939,IF(UPPER(TRIM(Raw!E939))=UPPER(I939),I939,""))</f>
        <v>Office</v>
      </c>
      <c r="K939" s="1" t="str">
        <f>IF(Raw!F939="","",Raw!F939)</f>
        <v>sale</v>
      </c>
      <c r="L939" s="1" t="str">
        <f>IF(LEFT(TRIM(Raw!G939),2)="-$","-"&amp;MID(TRIM(Raw!G939),3,99),IF(LEFT(TRIM(Raw!G939),1)="$",MID(TRIM(Raw!G939),2,99),TRIM(Raw!G939)))</f>
        <v>549.15</v>
      </c>
      <c r="M939" s="1">
        <f t="shared" si="115"/>
        <v>549.15</v>
      </c>
      <c r="N939" s="10">
        <f t="shared" si="116"/>
        <v>54915</v>
      </c>
      <c r="O939" s="1" t="b">
        <f>IFERROR(IF(ISNUMBER(Raw!G939),TRUE,OR(EXACT(L939,TEXT(M939,"0.00")),EXACT(L939,TEXT(M939,"#,##0.00")))),FALSE)</f>
        <v>1</v>
      </c>
      <c r="P939" s="1" t="str">
        <f>LEN(IF(Raw!A939="","",Raw!A939))&amp;":"&amp;IF(Raw!A939="","",Raw!A939)&amp;"|"&amp;LEN(IF(Raw!B939="","",Raw!B939))&amp;":"&amp;IF(Raw!B939="","",Raw!B939)&amp;"|"&amp;LEN(IF(Raw!C939="","",Raw!C939))&amp;":"&amp;IF(Raw!C939="","",Raw!C939)&amp;"|"&amp;LEN(IF(Raw!D939="","",Raw!D939))&amp;":"&amp;IF(Raw!D939="","",Raw!D939)&amp;"|"&amp;LEN(IF(Raw!E939="","",Raw!E939))&amp;":"&amp;IF(Raw!E939="","",Raw!E939)&amp;"|"&amp;LEN(IF(Raw!F939="","",Raw!F939))&amp;":"&amp;IF(Raw!F939="","",Raw!F939)&amp;"|"&amp;LEN(IF(Raw!G939="","",Raw!G939))&amp;":"&amp;IF(Raw!G939="","",Raw!G939)</f>
        <v>6:L00933|6:T00467|10:2026-01-23|3:P-O|6:Office|4:sale|6:549.15</v>
      </c>
      <c r="Q939" s="1">
        <f>1</f>
        <v>1</v>
      </c>
      <c r="R939" s="1" t="b">
        <f>FALSE</f>
        <v>0</v>
      </c>
      <c r="S939" s="1">
        <f>1</f>
        <v>1</v>
      </c>
      <c r="T939" s="1" t="str">
        <f>IF(AND(Raw!A939="",Raw!B939="",Raw!C939="",Raw!D939="",Raw!E939="",Raw!F939="",Raw!G939=""),"UNUSED",IF(A939="","missing line ID",IF(B939="","missing transaction ID",IF(G939="",IF(C939="","missing date","invalid date"),IF(I939="","unknown product",IF(J939="","conflicting category",IF(NOT(OR(EXACT(K939,"sale"),EXACT(K939,"refund"))),"unknown event",IF(OR(N939="",NOT(O939)),"invalid amount",IF(OR(AND(K939="sale",N939&lt;=0),AND(K939="refund",N939&gt;=0)),"invalid sign","")))))))))</f>
        <v/>
      </c>
      <c r="U939" s="1" t="str">
        <f t="shared" si="117"/>
        <v>INCLUDED</v>
      </c>
      <c r="V939" s="1" t="str">
        <f t="shared" si="118"/>
        <v>2026-01</v>
      </c>
      <c r="W939" s="1">
        <f>IF(AND(U939="INCLUDED",X939&gt;0,EXACT(A939,'AI output'!A939)),1,0)</f>
        <v>1</v>
      </c>
      <c r="X939" s="1">
        <f>939</f>
        <v>939</v>
      </c>
      <c r="Y939" s="1">
        <f>IF(AND(U939="INCLUDED",W939=1),--(NOT(EXACT(A939,'AI output'!A939)))+--(NOT(EXACT(B939,'AI output'!B939)))+--(NOT(EXACT(TEXT(G939,"yyyy-mm-dd"),'AI output'!C939)))+--(NOT(EXACT(H939,'AI output'!D939)))+--(NOT(EXACT(J939,'AI output'!E939)))+--(NOT(EXACT(K939,'AI output'!F939)))+--(N939&lt;&gt;'AI output'!L939)+--(NOT('AI output'!M939)),0)</f>
        <v>0</v>
      </c>
      <c r="Z939" s="1">
        <f t="shared" si="119"/>
        <v>0</v>
      </c>
      <c r="AA939" s="1">
        <f>--EXACT(A939,"L00933")</f>
        <v>1</v>
      </c>
    </row>
    <row r="940" spans="1:27" ht="18.95" customHeight="1">
      <c r="A940" s="1" t="str">
        <f>IF(Raw!A940="","",Raw!A940)</f>
        <v>L00934</v>
      </c>
      <c r="B940" s="1" t="str">
        <f>IF(Raw!B940="","",Raw!B940)</f>
        <v>T00467</v>
      </c>
      <c r="C940" s="1" t="str">
        <f>IF(Raw!C940="","",Raw!C940)</f>
        <v>2026-01-23</v>
      </c>
      <c r="D940" s="1">
        <f t="shared" si="112"/>
        <v>2026</v>
      </c>
      <c r="E940" s="1">
        <f>IFERROR(IF(AND(LEN(C940)=10,MID(C940,5,1)="-",MID(C940,8,1)="-"),VALUE(MID(C940,6,2)),IF(AND(LEN(C940)=11,MID(C940,3,1)="-",MID(C940,7,1)="-"),MATCH(UPPER(MID(C940,4,3)),Guide!$D$7:$D$18,0),0)),0)</f>
        <v>1</v>
      </c>
      <c r="F940" s="1">
        <f t="shared" si="113"/>
        <v>23</v>
      </c>
      <c r="G940" s="9">
        <f t="shared" si="114"/>
        <v>46045</v>
      </c>
      <c r="H940" s="1" t="str">
        <f>IF(Raw!D940="","",Raw!D940)</f>
        <v>P-A</v>
      </c>
      <c r="I940" s="1" t="str">
        <f>IFERROR(IF(EXACT(H940,INDEX(Guide!$A$7:$A$9,MATCH(SUBSTITUTE(SUBSTITUTE(SUBSTITUTE(H940,"~","~~"),"*","~*"),"?","~?"),Guide!$A$7:$A$9,0))),INDEX(Guide!$B$7:$B$9,MATCH(SUBSTITUTE(SUBSTITUTE(SUBSTITUTE(H940,"~","~~"),"*","~*"),"?","~?"),Guide!$A$7:$A$9,0)),""),"")</f>
        <v>Accessories</v>
      </c>
      <c r="J940" s="1" t="str">
        <f>IF(TRIM(Raw!E940)="",I940,IF(UPPER(TRIM(Raw!E940))=UPPER(I940),I940,""))</f>
        <v>Accessories</v>
      </c>
      <c r="K940" s="1" t="str">
        <f>IF(Raw!F940="","",Raw!F940)</f>
        <v>sale</v>
      </c>
      <c r="L940" s="1" t="str">
        <f>IF(LEFT(TRIM(Raw!G940),2)="-$","-"&amp;MID(TRIM(Raw!G940),3,99),IF(LEFT(TRIM(Raw!G940),1)="$",MID(TRIM(Raw!G940),2,99),TRIM(Raw!G940)))</f>
        <v>220.40</v>
      </c>
      <c r="M940" s="1">
        <f t="shared" si="115"/>
        <v>220.4</v>
      </c>
      <c r="N940" s="10">
        <f t="shared" si="116"/>
        <v>22040</v>
      </c>
      <c r="O940" s="1" t="b">
        <f>IFERROR(IF(ISNUMBER(Raw!G940),TRUE,OR(EXACT(L940,TEXT(M940,"0.00")),EXACT(L940,TEXT(M940,"#,##0.00")))),FALSE)</f>
        <v>1</v>
      </c>
      <c r="P940" s="1" t="str">
        <f>LEN(IF(Raw!A940="","",Raw!A940))&amp;":"&amp;IF(Raw!A940="","",Raw!A940)&amp;"|"&amp;LEN(IF(Raw!B940="","",Raw!B940))&amp;":"&amp;IF(Raw!B940="","",Raw!B940)&amp;"|"&amp;LEN(IF(Raw!C940="","",Raw!C940))&amp;":"&amp;IF(Raw!C940="","",Raw!C940)&amp;"|"&amp;LEN(IF(Raw!D940="","",Raw!D940))&amp;":"&amp;IF(Raw!D940="","",Raw!D940)&amp;"|"&amp;LEN(IF(Raw!E940="","",Raw!E940))&amp;":"&amp;IF(Raw!E940="","",Raw!E940)&amp;"|"&amp;LEN(IF(Raw!F940="","",Raw!F940))&amp;":"&amp;IF(Raw!F940="","",Raw!F940)&amp;"|"&amp;LEN(IF(Raw!G940="","",Raw!G940))&amp;":"&amp;IF(Raw!G940="","",Raw!G940)</f>
        <v>6:L00934|6:T00467|10:2026-01-23|3:P-A|11:Accessories|4:sale|6:220.40</v>
      </c>
      <c r="Q940" s="1">
        <f>1</f>
        <v>1</v>
      </c>
      <c r="R940" s="1" t="b">
        <f>FALSE</f>
        <v>0</v>
      </c>
      <c r="S940" s="1">
        <f>1</f>
        <v>1</v>
      </c>
      <c r="T940" s="1" t="str">
        <f>IF(AND(Raw!A940="",Raw!B940="",Raw!C940="",Raw!D940="",Raw!E940="",Raw!F940="",Raw!G940=""),"UNUSED",IF(A940="","missing line ID",IF(B940="","missing transaction ID",IF(G940="",IF(C940="","missing date","invalid date"),IF(I940="","unknown product",IF(J940="","conflicting category",IF(NOT(OR(EXACT(K940,"sale"),EXACT(K940,"refund"))),"unknown event",IF(OR(N940="",NOT(O940)),"invalid amount",IF(OR(AND(K940="sale",N940&lt;=0),AND(K940="refund",N940&gt;=0)),"invalid sign","")))))))))</f>
        <v/>
      </c>
      <c r="U940" s="1" t="str">
        <f t="shared" si="117"/>
        <v>INCLUDED</v>
      </c>
      <c r="V940" s="1" t="str">
        <f t="shared" si="118"/>
        <v>2026-01</v>
      </c>
      <c r="W940" s="1">
        <f>IF(AND(U940="INCLUDED",X940&gt;0,EXACT(A940,'AI output'!A940)),1,0)</f>
        <v>1</v>
      </c>
      <c r="X940" s="1">
        <f>940</f>
        <v>940</v>
      </c>
      <c r="Y940" s="1">
        <f>IF(AND(U940="INCLUDED",W940=1),--(NOT(EXACT(A940,'AI output'!A940)))+--(NOT(EXACT(B940,'AI output'!B940)))+--(NOT(EXACT(TEXT(G940,"yyyy-mm-dd"),'AI output'!C940)))+--(NOT(EXACT(H940,'AI output'!D940)))+--(NOT(EXACT(J940,'AI output'!E940)))+--(NOT(EXACT(K940,'AI output'!F940)))+--(N940&lt;&gt;'AI output'!L940)+--(NOT('AI output'!M940)),0)</f>
        <v>0</v>
      </c>
      <c r="Z940" s="1">
        <f t="shared" si="119"/>
        <v>0</v>
      </c>
      <c r="AA940" s="1">
        <f>--EXACT(A940,"L00934")</f>
        <v>1</v>
      </c>
    </row>
    <row r="941" spans="1:27" ht="18.95" customHeight="1">
      <c r="A941" s="1" t="str">
        <f>IF(Raw!A941="","",Raw!A941)</f>
        <v>L00935</v>
      </c>
      <c r="B941" s="1" t="str">
        <f>IF(Raw!B941="","",Raw!B941)</f>
        <v>T00468</v>
      </c>
      <c r="C941" s="1" t="str">
        <f>IF(Raw!C941="","",Raw!C941)</f>
        <v>2026-01-30</v>
      </c>
      <c r="D941" s="1">
        <f t="shared" si="112"/>
        <v>2026</v>
      </c>
      <c r="E941" s="1">
        <f>IFERROR(IF(AND(LEN(C941)=10,MID(C941,5,1)="-",MID(C941,8,1)="-"),VALUE(MID(C941,6,2)),IF(AND(LEN(C941)=11,MID(C941,3,1)="-",MID(C941,7,1)="-"),MATCH(UPPER(MID(C941,4,3)),Guide!$D$7:$D$18,0),0)),0)</f>
        <v>1</v>
      </c>
      <c r="F941" s="1">
        <f t="shared" si="113"/>
        <v>30</v>
      </c>
      <c r="G941" s="9">
        <f t="shared" si="114"/>
        <v>46052</v>
      </c>
      <c r="H941" s="1" t="str">
        <f>IF(Raw!D941="","",Raw!D941)</f>
        <v>P-H</v>
      </c>
      <c r="I941" s="1" t="str">
        <f>IFERROR(IF(EXACT(H941,INDEX(Guide!$A$7:$A$9,MATCH(SUBSTITUTE(SUBSTITUTE(SUBSTITUTE(H941,"~","~~"),"*","~*"),"?","~?"),Guide!$A$7:$A$9,0))),INDEX(Guide!$B$7:$B$9,MATCH(SUBSTITUTE(SUBSTITUTE(SUBSTITUTE(H941,"~","~~"),"*","~*"),"?","~?"),Guide!$A$7:$A$9,0)),""),"")</f>
        <v>Home</v>
      </c>
      <c r="J941" s="1" t="str">
        <f>IF(TRIM(Raw!E941)="",I941,IF(UPPER(TRIM(Raw!E941))=UPPER(I941),I941,""))</f>
        <v>Home</v>
      </c>
      <c r="K941" s="1" t="str">
        <f>IF(Raw!F941="","",Raw!F941)</f>
        <v>sale</v>
      </c>
      <c r="L941" s="1" t="str">
        <f>IF(LEFT(TRIM(Raw!G941),2)="-$","-"&amp;MID(TRIM(Raw!G941),3,99),IF(LEFT(TRIM(Raw!G941),1)="$",MID(TRIM(Raw!G941),2,99),TRIM(Raw!G941)))</f>
        <v>442.28</v>
      </c>
      <c r="M941" s="1">
        <f t="shared" si="115"/>
        <v>442.28</v>
      </c>
      <c r="N941" s="10">
        <f t="shared" si="116"/>
        <v>44228</v>
      </c>
      <c r="O941" s="1" t="b">
        <f>IFERROR(IF(ISNUMBER(Raw!G941),TRUE,OR(EXACT(L941,TEXT(M941,"0.00")),EXACT(L941,TEXT(M941,"#,##0.00")))),FALSE)</f>
        <v>1</v>
      </c>
      <c r="P941" s="1" t="str">
        <f>LEN(IF(Raw!A941="","",Raw!A941))&amp;":"&amp;IF(Raw!A941="","",Raw!A941)&amp;"|"&amp;LEN(IF(Raw!B941="","",Raw!B941))&amp;":"&amp;IF(Raw!B941="","",Raw!B941)&amp;"|"&amp;LEN(IF(Raw!C941="","",Raw!C941))&amp;":"&amp;IF(Raw!C941="","",Raw!C941)&amp;"|"&amp;LEN(IF(Raw!D941="","",Raw!D941))&amp;":"&amp;IF(Raw!D941="","",Raw!D941)&amp;"|"&amp;LEN(IF(Raw!E941="","",Raw!E941))&amp;":"&amp;IF(Raw!E941="","",Raw!E941)&amp;"|"&amp;LEN(IF(Raw!F941="","",Raw!F941))&amp;":"&amp;IF(Raw!F941="","",Raw!F941)&amp;"|"&amp;LEN(IF(Raw!G941="","",Raw!G941))&amp;":"&amp;IF(Raw!G941="","",Raw!G941)</f>
        <v>6:L00935|6:T00468|10:2026-01-30|3:P-H|4:Home|4:sale|6:442.28</v>
      </c>
      <c r="Q941" s="1">
        <f>1</f>
        <v>1</v>
      </c>
      <c r="R941" s="1" t="b">
        <f>FALSE</f>
        <v>0</v>
      </c>
      <c r="S941" s="1">
        <f>1</f>
        <v>1</v>
      </c>
      <c r="T941" s="1" t="str">
        <f>IF(AND(Raw!A941="",Raw!B941="",Raw!C941="",Raw!D941="",Raw!E941="",Raw!F941="",Raw!G941=""),"UNUSED",IF(A941="","missing line ID",IF(B941="","missing transaction ID",IF(G941="",IF(C941="","missing date","invalid date"),IF(I941="","unknown product",IF(J941="","conflicting category",IF(NOT(OR(EXACT(K941,"sale"),EXACT(K941,"refund"))),"unknown event",IF(OR(N941="",NOT(O941)),"invalid amount",IF(OR(AND(K941="sale",N941&lt;=0),AND(K941="refund",N941&gt;=0)),"invalid sign","")))))))))</f>
        <v/>
      </c>
      <c r="U941" s="1" t="str">
        <f t="shared" si="117"/>
        <v>INCLUDED</v>
      </c>
      <c r="V941" s="1" t="str">
        <f t="shared" si="118"/>
        <v>2026-01</v>
      </c>
      <c r="W941" s="1">
        <f>IF(AND(U941="INCLUDED",X941&gt;0,EXACT(A941,'AI output'!A941)),1,0)</f>
        <v>1</v>
      </c>
      <c r="X941" s="1">
        <f>941</f>
        <v>941</v>
      </c>
      <c r="Y941" s="1">
        <f>IF(AND(U941="INCLUDED",W941=1),--(NOT(EXACT(A941,'AI output'!A941)))+--(NOT(EXACT(B941,'AI output'!B941)))+--(NOT(EXACT(TEXT(G941,"yyyy-mm-dd"),'AI output'!C941)))+--(NOT(EXACT(H941,'AI output'!D941)))+--(NOT(EXACT(J941,'AI output'!E941)))+--(NOT(EXACT(K941,'AI output'!F941)))+--(N941&lt;&gt;'AI output'!L941)+--(NOT('AI output'!M941)),0)</f>
        <v>0</v>
      </c>
      <c r="Z941" s="1">
        <f t="shared" si="119"/>
        <v>0</v>
      </c>
      <c r="AA941" s="1">
        <f>--EXACT(A941,"L00935")</f>
        <v>1</v>
      </c>
    </row>
    <row r="942" spans="1:27" ht="18.95" customHeight="1">
      <c r="A942" s="1" t="str">
        <f>IF(Raw!A942="","",Raw!A942)</f>
        <v>L00936</v>
      </c>
      <c r="B942" s="1" t="str">
        <f>IF(Raw!B942="","",Raw!B942)</f>
        <v>T00468</v>
      </c>
      <c r="C942" s="1" t="str">
        <f>IF(Raw!C942="","",Raw!C942)</f>
        <v>2026-01-30</v>
      </c>
      <c r="D942" s="1">
        <f t="shared" si="112"/>
        <v>2026</v>
      </c>
      <c r="E942" s="1">
        <f>IFERROR(IF(AND(LEN(C942)=10,MID(C942,5,1)="-",MID(C942,8,1)="-"),VALUE(MID(C942,6,2)),IF(AND(LEN(C942)=11,MID(C942,3,1)="-",MID(C942,7,1)="-"),MATCH(UPPER(MID(C942,4,3)),Guide!$D$7:$D$18,0),0)),0)</f>
        <v>1</v>
      </c>
      <c r="F942" s="1">
        <f t="shared" si="113"/>
        <v>30</v>
      </c>
      <c r="G942" s="9">
        <f t="shared" si="114"/>
        <v>46052</v>
      </c>
      <c r="H942" s="1" t="str">
        <f>IF(Raw!D942="","",Raw!D942)</f>
        <v>P-O</v>
      </c>
      <c r="I942" s="1" t="str">
        <f>IFERROR(IF(EXACT(H942,INDEX(Guide!$A$7:$A$9,MATCH(SUBSTITUTE(SUBSTITUTE(SUBSTITUTE(H942,"~","~~"),"*","~*"),"?","~?"),Guide!$A$7:$A$9,0))),INDEX(Guide!$B$7:$B$9,MATCH(SUBSTITUTE(SUBSTITUTE(SUBSTITUTE(H942,"~","~~"),"*","~*"),"?","~?"),Guide!$A$7:$A$9,0)),""),"")</f>
        <v>Office</v>
      </c>
      <c r="J942" s="1" t="str">
        <f>IF(TRIM(Raw!E942)="",I942,IF(UPPER(TRIM(Raw!E942))=UPPER(I942),I942,""))</f>
        <v>Office</v>
      </c>
      <c r="K942" s="1" t="str">
        <f>IF(Raw!F942="","",Raw!F942)</f>
        <v>sale</v>
      </c>
      <c r="L942" s="1" t="str">
        <f>IF(LEFT(TRIM(Raw!G942),2)="-$","-"&amp;MID(TRIM(Raw!G942),3,99),IF(LEFT(TRIM(Raw!G942),1)="$",MID(TRIM(Raw!G942),2,99),TRIM(Raw!G942)))</f>
        <v>110.94</v>
      </c>
      <c r="M942" s="1">
        <f t="shared" si="115"/>
        <v>110.94</v>
      </c>
      <c r="N942" s="10">
        <f t="shared" si="116"/>
        <v>11094</v>
      </c>
      <c r="O942" s="1" t="b">
        <f>IFERROR(IF(ISNUMBER(Raw!G942),TRUE,OR(EXACT(L942,TEXT(M942,"0.00")),EXACT(L942,TEXT(M942,"#,##0.00")))),FALSE)</f>
        <v>1</v>
      </c>
      <c r="P942" s="1" t="str">
        <f>LEN(IF(Raw!A942="","",Raw!A942))&amp;":"&amp;IF(Raw!A942="","",Raw!A942)&amp;"|"&amp;LEN(IF(Raw!B942="","",Raw!B942))&amp;":"&amp;IF(Raw!B942="","",Raw!B942)&amp;"|"&amp;LEN(IF(Raw!C942="","",Raw!C942))&amp;":"&amp;IF(Raw!C942="","",Raw!C942)&amp;"|"&amp;LEN(IF(Raw!D942="","",Raw!D942))&amp;":"&amp;IF(Raw!D942="","",Raw!D942)&amp;"|"&amp;LEN(IF(Raw!E942="","",Raw!E942))&amp;":"&amp;IF(Raw!E942="","",Raw!E942)&amp;"|"&amp;LEN(IF(Raw!F942="","",Raw!F942))&amp;":"&amp;IF(Raw!F942="","",Raw!F942)&amp;"|"&amp;LEN(IF(Raw!G942="","",Raw!G942))&amp;":"&amp;IF(Raw!G942="","",Raw!G942)</f>
        <v>6:L00936|6:T00468|10:2026-01-30|3:P-O|6:Office|4:sale|6:110.94</v>
      </c>
      <c r="Q942" s="1">
        <f>1</f>
        <v>1</v>
      </c>
      <c r="R942" s="1" t="b">
        <f>FALSE</f>
        <v>0</v>
      </c>
      <c r="S942" s="1">
        <f>1</f>
        <v>1</v>
      </c>
      <c r="T942" s="1" t="str">
        <f>IF(AND(Raw!A942="",Raw!B942="",Raw!C942="",Raw!D942="",Raw!E942="",Raw!F942="",Raw!G942=""),"UNUSED",IF(A942="","missing line ID",IF(B942="","missing transaction ID",IF(G942="",IF(C942="","missing date","invalid date"),IF(I942="","unknown product",IF(J942="","conflicting category",IF(NOT(OR(EXACT(K942,"sale"),EXACT(K942,"refund"))),"unknown event",IF(OR(N942="",NOT(O942)),"invalid amount",IF(OR(AND(K942="sale",N942&lt;=0),AND(K942="refund",N942&gt;=0)),"invalid sign","")))))))))</f>
        <v/>
      </c>
      <c r="U942" s="1" t="str">
        <f t="shared" si="117"/>
        <v>INCLUDED</v>
      </c>
      <c r="V942" s="1" t="str">
        <f t="shared" si="118"/>
        <v>2026-01</v>
      </c>
      <c r="W942" s="1">
        <f>IF(AND(U942="INCLUDED",X942&gt;0,EXACT(A942,'AI output'!A942)),1,0)</f>
        <v>1</v>
      </c>
      <c r="X942" s="1">
        <f>942</f>
        <v>942</v>
      </c>
      <c r="Y942" s="1">
        <f>IF(AND(U942="INCLUDED",W942=1),--(NOT(EXACT(A942,'AI output'!A942)))+--(NOT(EXACT(B942,'AI output'!B942)))+--(NOT(EXACT(TEXT(G942,"yyyy-mm-dd"),'AI output'!C942)))+--(NOT(EXACT(H942,'AI output'!D942)))+--(NOT(EXACT(J942,'AI output'!E942)))+--(NOT(EXACT(K942,'AI output'!F942)))+--(N942&lt;&gt;'AI output'!L942)+--(NOT('AI output'!M942)),0)</f>
        <v>0</v>
      </c>
      <c r="Z942" s="1">
        <f t="shared" si="119"/>
        <v>0</v>
      </c>
      <c r="AA942" s="1">
        <f>--EXACT(A942,"L00936")</f>
        <v>1</v>
      </c>
    </row>
    <row r="943" spans="1:27" ht="18.95" customHeight="1">
      <c r="A943" s="1" t="str">
        <f>IF(Raw!A943="","",Raw!A943)</f>
        <v>L00937</v>
      </c>
      <c r="B943" s="1" t="str">
        <f>IF(Raw!B943="","",Raw!B943)</f>
        <v>T00469</v>
      </c>
      <c r="C943" s="1" t="str">
        <f>IF(Raw!C943="","",Raw!C943)</f>
        <v>2026-02-06</v>
      </c>
      <c r="D943" s="1">
        <f t="shared" si="112"/>
        <v>2026</v>
      </c>
      <c r="E943" s="1">
        <f>IFERROR(IF(AND(LEN(C943)=10,MID(C943,5,1)="-",MID(C943,8,1)="-"),VALUE(MID(C943,6,2)),IF(AND(LEN(C943)=11,MID(C943,3,1)="-",MID(C943,7,1)="-"),MATCH(UPPER(MID(C943,4,3)),Guide!$D$7:$D$18,0),0)),0)</f>
        <v>2</v>
      </c>
      <c r="F943" s="1">
        <f t="shared" si="113"/>
        <v>6</v>
      </c>
      <c r="G943" s="9">
        <f t="shared" si="114"/>
        <v>46059</v>
      </c>
      <c r="H943" s="1" t="str">
        <f>IF(Raw!D943="","",Raw!D943)</f>
        <v>P-A</v>
      </c>
      <c r="I943" s="1" t="str">
        <f>IFERROR(IF(EXACT(H943,INDEX(Guide!$A$7:$A$9,MATCH(SUBSTITUTE(SUBSTITUTE(SUBSTITUTE(H943,"~","~~"),"*","~*"),"?","~?"),Guide!$A$7:$A$9,0))),INDEX(Guide!$B$7:$B$9,MATCH(SUBSTITUTE(SUBSTITUTE(SUBSTITUTE(H943,"~","~~"),"*","~*"),"?","~?"),Guide!$A$7:$A$9,0)),""),"")</f>
        <v>Accessories</v>
      </c>
      <c r="J943" s="1" t="str">
        <f>IF(TRIM(Raw!E943)="",I943,IF(UPPER(TRIM(Raw!E943))=UPPER(I943),I943,""))</f>
        <v>Accessories</v>
      </c>
      <c r="K943" s="1" t="str">
        <f>IF(Raw!F943="","",Raw!F943)</f>
        <v>sale</v>
      </c>
      <c r="L943" s="1" t="str">
        <f>IF(LEFT(TRIM(Raw!G943),2)="-$","-"&amp;MID(TRIM(Raw!G943),3,99),IF(LEFT(TRIM(Raw!G943),1)="$",MID(TRIM(Raw!G943),2,99),TRIM(Raw!G943)))</f>
        <v>333.93</v>
      </c>
      <c r="M943" s="1">
        <f t="shared" si="115"/>
        <v>333.93</v>
      </c>
      <c r="N943" s="10">
        <f t="shared" si="116"/>
        <v>33393</v>
      </c>
      <c r="O943" s="1" t="b">
        <f>IFERROR(IF(ISNUMBER(Raw!G943),TRUE,OR(EXACT(L943,TEXT(M943,"0.00")),EXACT(L943,TEXT(M943,"#,##0.00")))),FALSE)</f>
        <v>1</v>
      </c>
      <c r="P943" s="1" t="str">
        <f>LEN(IF(Raw!A943="","",Raw!A943))&amp;":"&amp;IF(Raw!A943="","",Raw!A943)&amp;"|"&amp;LEN(IF(Raw!B943="","",Raw!B943))&amp;":"&amp;IF(Raw!B943="","",Raw!B943)&amp;"|"&amp;LEN(IF(Raw!C943="","",Raw!C943))&amp;":"&amp;IF(Raw!C943="","",Raw!C943)&amp;"|"&amp;LEN(IF(Raw!D943="","",Raw!D943))&amp;":"&amp;IF(Raw!D943="","",Raw!D943)&amp;"|"&amp;LEN(IF(Raw!E943="","",Raw!E943))&amp;":"&amp;IF(Raw!E943="","",Raw!E943)&amp;"|"&amp;LEN(IF(Raw!F943="","",Raw!F943))&amp;":"&amp;IF(Raw!F943="","",Raw!F943)&amp;"|"&amp;LEN(IF(Raw!G943="","",Raw!G943))&amp;":"&amp;IF(Raw!G943="","",Raw!G943)</f>
        <v>6:L00937|6:T00469|10:2026-02-06|3:P-A|11:Accessories|4:sale|6:333.93</v>
      </c>
      <c r="Q943" s="1">
        <f>1</f>
        <v>1</v>
      </c>
      <c r="R943" s="1" t="b">
        <f>FALSE</f>
        <v>0</v>
      </c>
      <c r="S943" s="1">
        <f>1</f>
        <v>1</v>
      </c>
      <c r="T943" s="1" t="str">
        <f>IF(AND(Raw!A943="",Raw!B943="",Raw!C943="",Raw!D943="",Raw!E943="",Raw!F943="",Raw!G943=""),"UNUSED",IF(A943="","missing line ID",IF(B943="","missing transaction ID",IF(G943="",IF(C943="","missing date","invalid date"),IF(I943="","unknown product",IF(J943="","conflicting category",IF(NOT(OR(EXACT(K943,"sale"),EXACT(K943,"refund"))),"unknown event",IF(OR(N943="",NOT(O943)),"invalid amount",IF(OR(AND(K943="sale",N943&lt;=0),AND(K943="refund",N943&gt;=0)),"invalid sign","")))))))))</f>
        <v/>
      </c>
      <c r="U943" s="1" t="str">
        <f t="shared" si="117"/>
        <v>INCLUDED</v>
      </c>
      <c r="V943" s="1" t="str">
        <f t="shared" si="118"/>
        <v>2026-02</v>
      </c>
      <c r="W943" s="1">
        <f>IF(AND(U943="INCLUDED",X943&gt;0,EXACT(A943,'AI output'!A943)),1,0)</f>
        <v>1</v>
      </c>
      <c r="X943" s="1">
        <f>943</f>
        <v>943</v>
      </c>
      <c r="Y943" s="1">
        <f>IF(AND(U943="INCLUDED",W943=1),--(NOT(EXACT(A943,'AI output'!A943)))+--(NOT(EXACT(B943,'AI output'!B943)))+--(NOT(EXACT(TEXT(G943,"yyyy-mm-dd"),'AI output'!C943)))+--(NOT(EXACT(H943,'AI output'!D943)))+--(NOT(EXACT(J943,'AI output'!E943)))+--(NOT(EXACT(K943,'AI output'!F943)))+--(N943&lt;&gt;'AI output'!L943)+--(NOT('AI output'!M943)),0)</f>
        <v>0</v>
      </c>
      <c r="Z943" s="1">
        <f t="shared" si="119"/>
        <v>0</v>
      </c>
      <c r="AA943" s="1">
        <f>--EXACT(A943,"L00937")</f>
        <v>1</v>
      </c>
    </row>
    <row r="944" spans="1:27" ht="18.95" customHeight="1">
      <c r="A944" s="1" t="str">
        <f>IF(Raw!A944="","",Raw!A944)</f>
        <v>L00938</v>
      </c>
      <c r="B944" s="1" t="str">
        <f>IF(Raw!B944="","",Raw!B944)</f>
        <v>T00469</v>
      </c>
      <c r="C944" s="1" t="str">
        <f>IF(Raw!C944="","",Raw!C944)</f>
        <v>2026-02-06</v>
      </c>
      <c r="D944" s="1">
        <f t="shared" si="112"/>
        <v>2026</v>
      </c>
      <c r="E944" s="1">
        <f>IFERROR(IF(AND(LEN(C944)=10,MID(C944,5,1)="-",MID(C944,8,1)="-"),VALUE(MID(C944,6,2)),IF(AND(LEN(C944)=11,MID(C944,3,1)="-",MID(C944,7,1)="-"),MATCH(UPPER(MID(C944,4,3)),Guide!$D$7:$D$18,0),0)),0)</f>
        <v>2</v>
      </c>
      <c r="F944" s="1">
        <f t="shared" si="113"/>
        <v>6</v>
      </c>
      <c r="G944" s="9">
        <f t="shared" si="114"/>
        <v>46059</v>
      </c>
      <c r="H944" s="1" t="str">
        <f>IF(Raw!D944="","",Raw!D944)</f>
        <v>P-H</v>
      </c>
      <c r="I944" s="1" t="str">
        <f>IFERROR(IF(EXACT(H944,INDEX(Guide!$A$7:$A$9,MATCH(SUBSTITUTE(SUBSTITUTE(SUBSTITUTE(H944,"~","~~"),"*","~*"),"?","~?"),Guide!$A$7:$A$9,0))),INDEX(Guide!$B$7:$B$9,MATCH(SUBSTITUTE(SUBSTITUTE(SUBSTITUTE(H944,"~","~~"),"*","~*"),"?","~?"),Guide!$A$7:$A$9,0)),""),"")</f>
        <v>Home</v>
      </c>
      <c r="J944" s="1" t="str">
        <f>IF(TRIM(Raw!E944)="",I944,IF(UPPER(TRIM(Raw!E944))=UPPER(I944),I944,""))</f>
        <v>Home</v>
      </c>
      <c r="K944" s="1" t="str">
        <f>IF(Raw!F944="","",Raw!F944)</f>
        <v>sale</v>
      </c>
      <c r="L944" s="1" t="str">
        <f>IF(LEFT(TRIM(Raw!G944),2)="-$","-"&amp;MID(TRIM(Raw!G944),3,99),IF(LEFT(TRIM(Raw!G944),1)="$",MID(TRIM(Raw!G944),2,99),TRIM(Raw!G944)))</f>
        <v>558.40</v>
      </c>
      <c r="M944" s="1">
        <f t="shared" si="115"/>
        <v>558.4</v>
      </c>
      <c r="N944" s="10">
        <f t="shared" si="116"/>
        <v>55840</v>
      </c>
      <c r="O944" s="1" t="b">
        <f>IFERROR(IF(ISNUMBER(Raw!G944),TRUE,OR(EXACT(L944,TEXT(M944,"0.00")),EXACT(L944,TEXT(M944,"#,##0.00")))),FALSE)</f>
        <v>1</v>
      </c>
      <c r="P944" s="1" t="str">
        <f>LEN(IF(Raw!A944="","",Raw!A944))&amp;":"&amp;IF(Raw!A944="","",Raw!A944)&amp;"|"&amp;LEN(IF(Raw!B944="","",Raw!B944))&amp;":"&amp;IF(Raw!B944="","",Raw!B944)&amp;"|"&amp;LEN(IF(Raw!C944="","",Raw!C944))&amp;":"&amp;IF(Raw!C944="","",Raw!C944)&amp;"|"&amp;LEN(IF(Raw!D944="","",Raw!D944))&amp;":"&amp;IF(Raw!D944="","",Raw!D944)&amp;"|"&amp;LEN(IF(Raw!E944="","",Raw!E944))&amp;":"&amp;IF(Raw!E944="","",Raw!E944)&amp;"|"&amp;LEN(IF(Raw!F944="","",Raw!F944))&amp;":"&amp;IF(Raw!F944="","",Raw!F944)&amp;"|"&amp;LEN(IF(Raw!G944="","",Raw!G944))&amp;":"&amp;IF(Raw!G944="","",Raw!G944)</f>
        <v>6:L00938|6:T00469|10:2026-02-06|3:P-H|4:Home|4:sale|6:558.40</v>
      </c>
      <c r="Q944" s="1">
        <f>1</f>
        <v>1</v>
      </c>
      <c r="R944" s="1" t="b">
        <f>FALSE</f>
        <v>0</v>
      </c>
      <c r="S944" s="1">
        <f>1</f>
        <v>1</v>
      </c>
      <c r="T944" s="1" t="str">
        <f>IF(AND(Raw!A944="",Raw!B944="",Raw!C944="",Raw!D944="",Raw!E944="",Raw!F944="",Raw!G944=""),"UNUSED",IF(A944="","missing line ID",IF(B944="","missing transaction ID",IF(G944="",IF(C944="","missing date","invalid date"),IF(I944="","unknown product",IF(J944="","conflicting category",IF(NOT(OR(EXACT(K944,"sale"),EXACT(K944,"refund"))),"unknown event",IF(OR(N944="",NOT(O944)),"invalid amount",IF(OR(AND(K944="sale",N944&lt;=0),AND(K944="refund",N944&gt;=0)),"invalid sign","")))))))))</f>
        <v/>
      </c>
      <c r="U944" s="1" t="str">
        <f t="shared" si="117"/>
        <v>INCLUDED</v>
      </c>
      <c r="V944" s="1" t="str">
        <f t="shared" si="118"/>
        <v>2026-02</v>
      </c>
      <c r="W944" s="1">
        <f>IF(AND(U944="INCLUDED",X944&gt;0,EXACT(A944,'AI output'!A944)),1,0)</f>
        <v>1</v>
      </c>
      <c r="X944" s="1">
        <f>944</f>
        <v>944</v>
      </c>
      <c r="Y944" s="1">
        <f>IF(AND(U944="INCLUDED",W944=1),--(NOT(EXACT(A944,'AI output'!A944)))+--(NOT(EXACT(B944,'AI output'!B944)))+--(NOT(EXACT(TEXT(G944,"yyyy-mm-dd"),'AI output'!C944)))+--(NOT(EXACT(H944,'AI output'!D944)))+--(NOT(EXACT(J944,'AI output'!E944)))+--(NOT(EXACT(K944,'AI output'!F944)))+--(N944&lt;&gt;'AI output'!L944)+--(NOT('AI output'!M944)),0)</f>
        <v>0</v>
      </c>
      <c r="Z944" s="1">
        <f t="shared" si="119"/>
        <v>0</v>
      </c>
      <c r="AA944" s="1">
        <f>--EXACT(A944,"L00938")</f>
        <v>1</v>
      </c>
    </row>
    <row r="945" spans="1:27" ht="18.95" customHeight="1">
      <c r="A945" s="1" t="str">
        <f>IF(Raw!A945="","",Raw!A945)</f>
        <v>L00939</v>
      </c>
      <c r="B945" s="1" t="str">
        <f>IF(Raw!B945="","",Raw!B945)</f>
        <v>T00470</v>
      </c>
      <c r="C945" s="1" t="str">
        <f>IF(Raw!C945="","",Raw!C945)</f>
        <v>2026-02-13</v>
      </c>
      <c r="D945" s="1">
        <f t="shared" si="112"/>
        <v>2026</v>
      </c>
      <c r="E945" s="1">
        <f>IFERROR(IF(AND(LEN(C945)=10,MID(C945,5,1)="-",MID(C945,8,1)="-"),VALUE(MID(C945,6,2)),IF(AND(LEN(C945)=11,MID(C945,3,1)="-",MID(C945,7,1)="-"),MATCH(UPPER(MID(C945,4,3)),Guide!$D$7:$D$18,0),0)),0)</f>
        <v>2</v>
      </c>
      <c r="F945" s="1">
        <f t="shared" si="113"/>
        <v>13</v>
      </c>
      <c r="G945" s="9">
        <f t="shared" si="114"/>
        <v>46066</v>
      </c>
      <c r="H945" s="1" t="str">
        <f>IF(Raw!D945="","",Raw!D945)</f>
        <v>P-O</v>
      </c>
      <c r="I945" s="1" t="str">
        <f>IFERROR(IF(EXACT(H945,INDEX(Guide!$A$7:$A$9,MATCH(SUBSTITUTE(SUBSTITUTE(SUBSTITUTE(H945,"~","~~"),"*","~*"),"?","~?"),Guide!$A$7:$A$9,0))),INDEX(Guide!$B$7:$B$9,MATCH(SUBSTITUTE(SUBSTITUTE(SUBSTITUTE(H945,"~","~~"),"*","~*"),"?","~?"),Guide!$A$7:$A$9,0)),""),"")</f>
        <v>Office</v>
      </c>
      <c r="J945" s="1" t="str">
        <f>IF(TRIM(Raw!E945)="",I945,IF(UPPER(TRIM(Raw!E945))=UPPER(I945),I945,""))</f>
        <v>Office</v>
      </c>
      <c r="K945" s="1" t="str">
        <f>IF(Raw!F945="","",Raw!F945)</f>
        <v>sale</v>
      </c>
      <c r="L945" s="1" t="str">
        <f>IF(LEFT(TRIM(Raw!G945),2)="-$","-"&amp;MID(TRIM(Raw!G945),3,99),IF(LEFT(TRIM(Raw!G945),1)="$",MID(TRIM(Raw!G945),2,99),TRIM(Raw!G945)))</f>
        <v>224.10</v>
      </c>
      <c r="M945" s="1">
        <f t="shared" si="115"/>
        <v>224.1</v>
      </c>
      <c r="N945" s="10">
        <f t="shared" si="116"/>
        <v>22410</v>
      </c>
      <c r="O945" s="1" t="b">
        <f>IFERROR(IF(ISNUMBER(Raw!G945),TRUE,OR(EXACT(L945,TEXT(M945,"0.00")),EXACT(L945,TEXT(M945,"#,##0.00")))),FALSE)</f>
        <v>1</v>
      </c>
      <c r="P945" s="1" t="str">
        <f>LEN(IF(Raw!A945="","",Raw!A945))&amp;":"&amp;IF(Raw!A945="","",Raw!A945)&amp;"|"&amp;LEN(IF(Raw!B945="","",Raw!B945))&amp;":"&amp;IF(Raw!B945="","",Raw!B945)&amp;"|"&amp;LEN(IF(Raw!C945="","",Raw!C945))&amp;":"&amp;IF(Raw!C945="","",Raw!C945)&amp;"|"&amp;LEN(IF(Raw!D945="","",Raw!D945))&amp;":"&amp;IF(Raw!D945="","",Raw!D945)&amp;"|"&amp;LEN(IF(Raw!E945="","",Raw!E945))&amp;":"&amp;IF(Raw!E945="","",Raw!E945)&amp;"|"&amp;LEN(IF(Raw!F945="","",Raw!F945))&amp;":"&amp;IF(Raw!F945="","",Raw!F945)&amp;"|"&amp;LEN(IF(Raw!G945="","",Raw!G945))&amp;":"&amp;IF(Raw!G945="","",Raw!G945)</f>
        <v>6:L00939|6:T00470|10:2026-02-13|3:P-O|6:Office|4:sale|6:224.10</v>
      </c>
      <c r="Q945" s="1">
        <f>1</f>
        <v>1</v>
      </c>
      <c r="R945" s="1" t="b">
        <f>FALSE</f>
        <v>0</v>
      </c>
      <c r="S945" s="1">
        <f>1</f>
        <v>1</v>
      </c>
      <c r="T945" s="1" t="str">
        <f>IF(AND(Raw!A945="",Raw!B945="",Raw!C945="",Raw!D945="",Raw!E945="",Raw!F945="",Raw!G945=""),"UNUSED",IF(A945="","missing line ID",IF(B945="","missing transaction ID",IF(G945="",IF(C945="","missing date","invalid date"),IF(I945="","unknown product",IF(J945="","conflicting category",IF(NOT(OR(EXACT(K945,"sale"),EXACT(K945,"refund"))),"unknown event",IF(OR(N945="",NOT(O945)),"invalid amount",IF(OR(AND(K945="sale",N945&lt;=0),AND(K945="refund",N945&gt;=0)),"invalid sign","")))))))))</f>
        <v/>
      </c>
      <c r="U945" s="1" t="str">
        <f t="shared" si="117"/>
        <v>INCLUDED</v>
      </c>
      <c r="V945" s="1" t="str">
        <f t="shared" si="118"/>
        <v>2026-02</v>
      </c>
      <c r="W945" s="1">
        <f>IF(AND(U945="INCLUDED",X945&gt;0,EXACT(A945,'AI output'!A945)),1,0)</f>
        <v>1</v>
      </c>
      <c r="X945" s="1">
        <f>945</f>
        <v>945</v>
      </c>
      <c r="Y945" s="1">
        <f>IF(AND(U945="INCLUDED",W945=1),--(NOT(EXACT(A945,'AI output'!A945)))+--(NOT(EXACT(B945,'AI output'!B945)))+--(NOT(EXACT(TEXT(G945,"yyyy-mm-dd"),'AI output'!C945)))+--(NOT(EXACT(H945,'AI output'!D945)))+--(NOT(EXACT(J945,'AI output'!E945)))+--(NOT(EXACT(K945,'AI output'!F945)))+--(N945&lt;&gt;'AI output'!L945)+--(NOT('AI output'!M945)),0)</f>
        <v>0</v>
      </c>
      <c r="Z945" s="1">
        <f t="shared" si="119"/>
        <v>0</v>
      </c>
      <c r="AA945" s="1">
        <f>--EXACT(A945,"L00939")</f>
        <v>1</v>
      </c>
    </row>
    <row r="946" spans="1:27" ht="18.95" customHeight="1">
      <c r="A946" s="1" t="str">
        <f>IF(Raw!A946="","",Raw!A946)</f>
        <v>L00940</v>
      </c>
      <c r="B946" s="1" t="str">
        <f>IF(Raw!B946="","",Raw!B946)</f>
        <v>T00470</v>
      </c>
      <c r="C946" s="1" t="str">
        <f>IF(Raw!C946="","",Raw!C946)</f>
        <v>2026-02-13</v>
      </c>
      <c r="D946" s="1">
        <f t="shared" si="112"/>
        <v>2026</v>
      </c>
      <c r="E946" s="1">
        <f>IFERROR(IF(AND(LEN(C946)=10,MID(C946,5,1)="-",MID(C946,8,1)="-"),VALUE(MID(C946,6,2)),IF(AND(LEN(C946)=11,MID(C946,3,1)="-",MID(C946,7,1)="-"),MATCH(UPPER(MID(C946,4,3)),Guide!$D$7:$D$18,0),0)),0)</f>
        <v>2</v>
      </c>
      <c r="F946" s="1">
        <f t="shared" si="113"/>
        <v>13</v>
      </c>
      <c r="G946" s="9">
        <f t="shared" si="114"/>
        <v>46066</v>
      </c>
      <c r="H946" s="1" t="str">
        <f>IF(Raw!D946="","",Raw!D946)</f>
        <v>P-A</v>
      </c>
      <c r="I946" s="1" t="str">
        <f>IFERROR(IF(EXACT(H946,INDEX(Guide!$A$7:$A$9,MATCH(SUBSTITUTE(SUBSTITUTE(SUBSTITUTE(H946,"~","~~"),"*","~*"),"?","~?"),Guide!$A$7:$A$9,0))),INDEX(Guide!$B$7:$B$9,MATCH(SUBSTITUTE(SUBSTITUTE(SUBSTITUTE(H946,"~","~~"),"*","~*"),"?","~?"),Guide!$A$7:$A$9,0)),""),"")</f>
        <v>Accessories</v>
      </c>
      <c r="J946" s="1" t="str">
        <f>IF(TRIM(Raw!E946)="",I946,IF(UPPER(TRIM(Raw!E946))=UPPER(I946),I946,""))</f>
        <v>Accessories</v>
      </c>
      <c r="K946" s="1" t="str">
        <f>IF(Raw!F946="","",Raw!F946)</f>
        <v>sale</v>
      </c>
      <c r="L946" s="1" t="str">
        <f>IF(LEFT(TRIM(Raw!G946),2)="-$","-"&amp;MID(TRIM(Raw!G946),3,99),IF(LEFT(TRIM(Raw!G946),1)="$",MID(TRIM(Raw!G946),2,99),TRIM(Raw!G946)))</f>
        <v>449.68</v>
      </c>
      <c r="M946" s="1">
        <f t="shared" si="115"/>
        <v>449.68</v>
      </c>
      <c r="N946" s="10">
        <f t="shared" si="116"/>
        <v>44968</v>
      </c>
      <c r="O946" s="1" t="b">
        <f>IFERROR(IF(ISNUMBER(Raw!G946),TRUE,OR(EXACT(L946,TEXT(M946,"0.00")),EXACT(L946,TEXT(M946,"#,##0.00")))),FALSE)</f>
        <v>1</v>
      </c>
      <c r="P946" s="1" t="str">
        <f>LEN(IF(Raw!A946="","",Raw!A946))&amp;":"&amp;IF(Raw!A946="","",Raw!A946)&amp;"|"&amp;LEN(IF(Raw!B946="","",Raw!B946))&amp;":"&amp;IF(Raw!B946="","",Raw!B946)&amp;"|"&amp;LEN(IF(Raw!C946="","",Raw!C946))&amp;":"&amp;IF(Raw!C946="","",Raw!C946)&amp;"|"&amp;LEN(IF(Raw!D946="","",Raw!D946))&amp;":"&amp;IF(Raw!D946="","",Raw!D946)&amp;"|"&amp;LEN(IF(Raw!E946="","",Raw!E946))&amp;":"&amp;IF(Raw!E946="","",Raw!E946)&amp;"|"&amp;LEN(IF(Raw!F946="","",Raw!F946))&amp;":"&amp;IF(Raw!F946="","",Raw!F946)&amp;"|"&amp;LEN(IF(Raw!G946="","",Raw!G946))&amp;":"&amp;IF(Raw!G946="","",Raw!G946)</f>
        <v>6:L00940|6:T00470|10:2026-02-13|3:P-A|11:Accessories|4:sale|6:449.68</v>
      </c>
      <c r="Q946" s="1">
        <f>1</f>
        <v>1</v>
      </c>
      <c r="R946" s="1" t="b">
        <f>FALSE</f>
        <v>0</v>
      </c>
      <c r="S946" s="1">
        <f>1</f>
        <v>1</v>
      </c>
      <c r="T946" s="1" t="str">
        <f>IF(AND(Raw!A946="",Raw!B946="",Raw!C946="",Raw!D946="",Raw!E946="",Raw!F946="",Raw!G946=""),"UNUSED",IF(A946="","missing line ID",IF(B946="","missing transaction ID",IF(G946="",IF(C946="","missing date","invalid date"),IF(I946="","unknown product",IF(J946="","conflicting category",IF(NOT(OR(EXACT(K946,"sale"),EXACT(K946,"refund"))),"unknown event",IF(OR(N946="",NOT(O946)),"invalid amount",IF(OR(AND(K946="sale",N946&lt;=0),AND(K946="refund",N946&gt;=0)),"invalid sign","")))))))))</f>
        <v/>
      </c>
      <c r="U946" s="1" t="str">
        <f t="shared" si="117"/>
        <v>INCLUDED</v>
      </c>
      <c r="V946" s="1" t="str">
        <f t="shared" si="118"/>
        <v>2026-02</v>
      </c>
      <c r="W946" s="1">
        <f>IF(AND(U946="INCLUDED",X946&gt;0,EXACT(A946,'AI output'!A946)),1,0)</f>
        <v>1</v>
      </c>
      <c r="X946" s="1">
        <f>946</f>
        <v>946</v>
      </c>
      <c r="Y946" s="1">
        <f>IF(AND(U946="INCLUDED",W946=1),--(NOT(EXACT(A946,'AI output'!A946)))+--(NOT(EXACT(B946,'AI output'!B946)))+--(NOT(EXACT(TEXT(G946,"yyyy-mm-dd"),'AI output'!C946)))+--(NOT(EXACT(H946,'AI output'!D946)))+--(NOT(EXACT(J946,'AI output'!E946)))+--(NOT(EXACT(K946,'AI output'!F946)))+--(N946&lt;&gt;'AI output'!L946)+--(NOT('AI output'!M946)),0)</f>
        <v>0</v>
      </c>
      <c r="Z946" s="1">
        <f t="shared" si="119"/>
        <v>0</v>
      </c>
      <c r="AA946" s="1">
        <f>--EXACT(A946,"L00940")</f>
        <v>1</v>
      </c>
    </row>
    <row r="947" spans="1:27" ht="18.95" customHeight="1">
      <c r="A947" s="1" t="str">
        <f>IF(Raw!A947="","",Raw!A947)</f>
        <v>L00941</v>
      </c>
      <c r="B947" s="1" t="str">
        <f>IF(Raw!B947="","",Raw!B947)</f>
        <v>T00471</v>
      </c>
      <c r="C947" s="1" t="str">
        <f>IF(Raw!C947="","",Raw!C947)</f>
        <v>2026-02-20</v>
      </c>
      <c r="D947" s="1">
        <f t="shared" si="112"/>
        <v>2026</v>
      </c>
      <c r="E947" s="1">
        <f>IFERROR(IF(AND(LEN(C947)=10,MID(C947,5,1)="-",MID(C947,8,1)="-"),VALUE(MID(C947,6,2)),IF(AND(LEN(C947)=11,MID(C947,3,1)="-",MID(C947,7,1)="-"),MATCH(UPPER(MID(C947,4,3)),Guide!$D$7:$D$18,0),0)),0)</f>
        <v>2</v>
      </c>
      <c r="F947" s="1">
        <f t="shared" si="113"/>
        <v>20</v>
      </c>
      <c r="G947" s="9">
        <f t="shared" si="114"/>
        <v>46073</v>
      </c>
      <c r="H947" s="1" t="str">
        <f>IF(Raw!D947="","",Raw!D947)</f>
        <v>P-H</v>
      </c>
      <c r="I947" s="1" t="str">
        <f>IFERROR(IF(EXACT(H947,INDEX(Guide!$A$7:$A$9,MATCH(SUBSTITUTE(SUBSTITUTE(SUBSTITUTE(H947,"~","~~"),"*","~*"),"?","~?"),Guide!$A$7:$A$9,0))),INDEX(Guide!$B$7:$B$9,MATCH(SUBSTITUTE(SUBSTITUTE(SUBSTITUTE(H947,"~","~~"),"*","~*"),"?","~?"),Guide!$A$7:$A$9,0)),""),"")</f>
        <v>Home</v>
      </c>
      <c r="J947" s="1" t="str">
        <f>IF(TRIM(Raw!E947)="",I947,IF(UPPER(TRIM(Raw!E947))=UPPER(I947),I947,""))</f>
        <v>Home</v>
      </c>
      <c r="K947" s="1" t="str">
        <f>IF(Raw!F947="","",Raw!F947)</f>
        <v>sale</v>
      </c>
      <c r="L947" s="1" t="str">
        <f>IF(LEFT(TRIM(Raw!G947),2)="-$","-"&amp;MID(TRIM(Raw!G947),3,99),IF(LEFT(TRIM(Raw!G947),1)="$",MID(TRIM(Raw!G947),2,99),TRIM(Raw!G947)))</f>
        <v>112.79</v>
      </c>
      <c r="M947" s="1">
        <f t="shared" si="115"/>
        <v>112.79</v>
      </c>
      <c r="N947" s="10">
        <f t="shared" si="116"/>
        <v>11279</v>
      </c>
      <c r="O947" s="1" t="b">
        <f>IFERROR(IF(ISNUMBER(Raw!G947),TRUE,OR(EXACT(L947,TEXT(M947,"0.00")),EXACT(L947,TEXT(M947,"#,##0.00")))),FALSE)</f>
        <v>1</v>
      </c>
      <c r="P947" s="1" t="str">
        <f>LEN(IF(Raw!A947="","",Raw!A947))&amp;":"&amp;IF(Raw!A947="","",Raw!A947)&amp;"|"&amp;LEN(IF(Raw!B947="","",Raw!B947))&amp;":"&amp;IF(Raw!B947="","",Raw!B947)&amp;"|"&amp;LEN(IF(Raw!C947="","",Raw!C947))&amp;":"&amp;IF(Raw!C947="","",Raw!C947)&amp;"|"&amp;LEN(IF(Raw!D947="","",Raw!D947))&amp;":"&amp;IF(Raw!D947="","",Raw!D947)&amp;"|"&amp;LEN(IF(Raw!E947="","",Raw!E947))&amp;":"&amp;IF(Raw!E947="","",Raw!E947)&amp;"|"&amp;LEN(IF(Raw!F947="","",Raw!F947))&amp;":"&amp;IF(Raw!F947="","",Raw!F947)&amp;"|"&amp;LEN(IF(Raw!G947="","",Raw!G947))&amp;":"&amp;IF(Raw!G947="","",Raw!G947)</f>
        <v>6:L00941|6:T00471|10:2026-02-20|3:P-H|4:Home|4:sale|6:112.79</v>
      </c>
      <c r="Q947" s="1">
        <f>1</f>
        <v>1</v>
      </c>
      <c r="R947" s="1" t="b">
        <f>FALSE</f>
        <v>0</v>
      </c>
      <c r="S947" s="1">
        <f>1</f>
        <v>1</v>
      </c>
      <c r="T947" s="1" t="str">
        <f>IF(AND(Raw!A947="",Raw!B947="",Raw!C947="",Raw!D947="",Raw!E947="",Raw!F947="",Raw!G947=""),"UNUSED",IF(A947="","missing line ID",IF(B947="","missing transaction ID",IF(G947="",IF(C947="","missing date","invalid date"),IF(I947="","unknown product",IF(J947="","conflicting category",IF(NOT(OR(EXACT(K947,"sale"),EXACT(K947,"refund"))),"unknown event",IF(OR(N947="",NOT(O947)),"invalid amount",IF(OR(AND(K947="sale",N947&lt;=0),AND(K947="refund",N947&gt;=0)),"invalid sign","")))))))))</f>
        <v/>
      </c>
      <c r="U947" s="1" t="str">
        <f t="shared" si="117"/>
        <v>INCLUDED</v>
      </c>
      <c r="V947" s="1" t="str">
        <f t="shared" si="118"/>
        <v>2026-02</v>
      </c>
      <c r="W947" s="1">
        <f>IF(AND(U947="INCLUDED",X947&gt;0,EXACT(A947,'AI output'!A947)),1,0)</f>
        <v>1</v>
      </c>
      <c r="X947" s="1">
        <f>947</f>
        <v>947</v>
      </c>
      <c r="Y947" s="1">
        <f>IF(AND(U947="INCLUDED",W947=1),--(NOT(EXACT(A947,'AI output'!A947)))+--(NOT(EXACT(B947,'AI output'!B947)))+--(NOT(EXACT(TEXT(G947,"yyyy-mm-dd"),'AI output'!C947)))+--(NOT(EXACT(H947,'AI output'!D947)))+--(NOT(EXACT(J947,'AI output'!E947)))+--(NOT(EXACT(K947,'AI output'!F947)))+--(N947&lt;&gt;'AI output'!L947)+--(NOT('AI output'!M947)),0)</f>
        <v>0</v>
      </c>
      <c r="Z947" s="1">
        <f t="shared" si="119"/>
        <v>0</v>
      </c>
      <c r="AA947" s="1">
        <f>--EXACT(A947,"L00941")</f>
        <v>1</v>
      </c>
    </row>
    <row r="948" spans="1:27" ht="18.95" customHeight="1">
      <c r="A948" s="1" t="str">
        <f>IF(Raw!A948="","",Raw!A948)</f>
        <v>L00942</v>
      </c>
      <c r="B948" s="1" t="str">
        <f>IF(Raw!B948="","",Raw!B948)</f>
        <v>T00471</v>
      </c>
      <c r="C948" s="1" t="str">
        <f>IF(Raw!C948="","",Raw!C948)</f>
        <v>2026-02-20</v>
      </c>
      <c r="D948" s="1">
        <f t="shared" si="112"/>
        <v>2026</v>
      </c>
      <c r="E948" s="1">
        <f>IFERROR(IF(AND(LEN(C948)=10,MID(C948,5,1)="-",MID(C948,8,1)="-"),VALUE(MID(C948,6,2)),IF(AND(LEN(C948)=11,MID(C948,3,1)="-",MID(C948,7,1)="-"),MATCH(UPPER(MID(C948,4,3)),Guide!$D$7:$D$18,0),0)),0)</f>
        <v>2</v>
      </c>
      <c r="F948" s="1">
        <f t="shared" si="113"/>
        <v>20</v>
      </c>
      <c r="G948" s="9">
        <f t="shared" si="114"/>
        <v>46073</v>
      </c>
      <c r="H948" s="1" t="str">
        <f>IF(Raw!D948="","",Raw!D948)</f>
        <v>P-O</v>
      </c>
      <c r="I948" s="1" t="str">
        <f>IFERROR(IF(EXACT(H948,INDEX(Guide!$A$7:$A$9,MATCH(SUBSTITUTE(SUBSTITUTE(SUBSTITUTE(H948,"~","~~"),"*","~*"),"?","~?"),Guide!$A$7:$A$9,0))),INDEX(Guide!$B$7:$B$9,MATCH(SUBSTITUTE(SUBSTITUTE(SUBSTITUTE(H948,"~","~~"),"*","~*"),"?","~?"),Guide!$A$7:$A$9,0)),""),"")</f>
        <v>Office</v>
      </c>
      <c r="J948" s="1" t="str">
        <f>IF(TRIM(Raw!E948)="",I948,IF(UPPER(TRIM(Raw!E948))=UPPER(I948),I948,""))</f>
        <v>Office</v>
      </c>
      <c r="K948" s="1" t="str">
        <f>IF(Raw!F948="","",Raw!F948)</f>
        <v>sale</v>
      </c>
      <c r="L948" s="1" t="str">
        <f>IF(LEFT(TRIM(Raw!G948),2)="-$","-"&amp;MID(TRIM(Raw!G948),3,99),IF(LEFT(TRIM(Raw!G948),1)="$",MID(TRIM(Raw!G948),2,99),TRIM(Raw!G948)))</f>
        <v>339.48</v>
      </c>
      <c r="M948" s="1">
        <f t="shared" si="115"/>
        <v>339.48</v>
      </c>
      <c r="N948" s="10">
        <f t="shared" si="116"/>
        <v>33948</v>
      </c>
      <c r="O948" s="1" t="b">
        <f>IFERROR(IF(ISNUMBER(Raw!G948),TRUE,OR(EXACT(L948,TEXT(M948,"0.00")),EXACT(L948,TEXT(M948,"#,##0.00")))),FALSE)</f>
        <v>1</v>
      </c>
      <c r="P948" s="1" t="str">
        <f>LEN(IF(Raw!A948="","",Raw!A948))&amp;":"&amp;IF(Raw!A948="","",Raw!A948)&amp;"|"&amp;LEN(IF(Raw!B948="","",Raw!B948))&amp;":"&amp;IF(Raw!B948="","",Raw!B948)&amp;"|"&amp;LEN(IF(Raw!C948="","",Raw!C948))&amp;":"&amp;IF(Raw!C948="","",Raw!C948)&amp;"|"&amp;LEN(IF(Raw!D948="","",Raw!D948))&amp;":"&amp;IF(Raw!D948="","",Raw!D948)&amp;"|"&amp;LEN(IF(Raw!E948="","",Raw!E948))&amp;":"&amp;IF(Raw!E948="","",Raw!E948)&amp;"|"&amp;LEN(IF(Raw!F948="","",Raw!F948))&amp;":"&amp;IF(Raw!F948="","",Raw!F948)&amp;"|"&amp;LEN(IF(Raw!G948="","",Raw!G948))&amp;":"&amp;IF(Raw!G948="","",Raw!G948)</f>
        <v>6:L00942|6:T00471|10:2026-02-20|3:P-O|6:Office|4:sale|6:339.48</v>
      </c>
      <c r="Q948" s="1">
        <f>1</f>
        <v>1</v>
      </c>
      <c r="R948" s="1" t="b">
        <f>FALSE</f>
        <v>0</v>
      </c>
      <c r="S948" s="1">
        <f>1</f>
        <v>1</v>
      </c>
      <c r="T948" s="1" t="str">
        <f>IF(AND(Raw!A948="",Raw!B948="",Raw!C948="",Raw!D948="",Raw!E948="",Raw!F948="",Raw!G948=""),"UNUSED",IF(A948="","missing line ID",IF(B948="","missing transaction ID",IF(G948="",IF(C948="","missing date","invalid date"),IF(I948="","unknown product",IF(J948="","conflicting category",IF(NOT(OR(EXACT(K948,"sale"),EXACT(K948,"refund"))),"unknown event",IF(OR(N948="",NOT(O948)),"invalid amount",IF(OR(AND(K948="sale",N948&lt;=0),AND(K948="refund",N948&gt;=0)),"invalid sign","")))))))))</f>
        <v/>
      </c>
      <c r="U948" s="1" t="str">
        <f t="shared" si="117"/>
        <v>INCLUDED</v>
      </c>
      <c r="V948" s="1" t="str">
        <f t="shared" si="118"/>
        <v>2026-02</v>
      </c>
      <c r="W948" s="1">
        <f>IF(AND(U948="INCLUDED",X948&gt;0,EXACT(A948,'AI output'!A948)),1,0)</f>
        <v>1</v>
      </c>
      <c r="X948" s="1">
        <f>948</f>
        <v>948</v>
      </c>
      <c r="Y948" s="1">
        <f>IF(AND(U948="INCLUDED",W948=1),--(NOT(EXACT(A948,'AI output'!A948)))+--(NOT(EXACT(B948,'AI output'!B948)))+--(NOT(EXACT(TEXT(G948,"yyyy-mm-dd"),'AI output'!C948)))+--(NOT(EXACT(H948,'AI output'!D948)))+--(NOT(EXACT(J948,'AI output'!E948)))+--(NOT(EXACT(K948,'AI output'!F948)))+--(N948&lt;&gt;'AI output'!L948)+--(NOT('AI output'!M948)),0)</f>
        <v>0</v>
      </c>
      <c r="Z948" s="1">
        <f t="shared" si="119"/>
        <v>0</v>
      </c>
      <c r="AA948" s="1">
        <f>--EXACT(A948,"L00942")</f>
        <v>1</v>
      </c>
    </row>
    <row r="949" spans="1:27" ht="18.95" customHeight="1">
      <c r="A949" s="1" t="str">
        <f>IF(Raw!A949="","",Raw!A949)</f>
        <v>L00943</v>
      </c>
      <c r="B949" s="1" t="str">
        <f>IF(Raw!B949="","",Raw!B949)</f>
        <v>T00472</v>
      </c>
      <c r="C949" s="1" t="str">
        <f>IF(Raw!C949="","",Raw!C949)</f>
        <v>2026-02-27</v>
      </c>
      <c r="D949" s="1">
        <f t="shared" si="112"/>
        <v>2026</v>
      </c>
      <c r="E949" s="1">
        <f>IFERROR(IF(AND(LEN(C949)=10,MID(C949,5,1)="-",MID(C949,8,1)="-"),VALUE(MID(C949,6,2)),IF(AND(LEN(C949)=11,MID(C949,3,1)="-",MID(C949,7,1)="-"),MATCH(UPPER(MID(C949,4,3)),Guide!$D$7:$D$18,0),0)),0)</f>
        <v>2</v>
      </c>
      <c r="F949" s="1">
        <f t="shared" si="113"/>
        <v>27</v>
      </c>
      <c r="G949" s="9">
        <f t="shared" si="114"/>
        <v>46080</v>
      </c>
      <c r="H949" s="1" t="str">
        <f>IF(Raw!D949="","",Raw!D949)</f>
        <v>P-A</v>
      </c>
      <c r="I949" s="1" t="str">
        <f>IFERROR(IF(EXACT(H949,INDEX(Guide!$A$7:$A$9,MATCH(SUBSTITUTE(SUBSTITUTE(SUBSTITUTE(H949,"~","~~"),"*","~*"),"?","~?"),Guide!$A$7:$A$9,0))),INDEX(Guide!$B$7:$B$9,MATCH(SUBSTITUTE(SUBSTITUTE(SUBSTITUTE(H949,"~","~~"),"*","~*"),"?","~?"),Guide!$A$7:$A$9,0)),""),"")</f>
        <v>Accessories</v>
      </c>
      <c r="J949" s="1" t="str">
        <f>IF(TRIM(Raw!E949)="",I949,IF(UPPER(TRIM(Raw!E949))=UPPER(I949),I949,""))</f>
        <v>Accessories</v>
      </c>
      <c r="K949" s="1" t="str">
        <f>IF(Raw!F949="","",Raw!F949)</f>
        <v>sale</v>
      </c>
      <c r="L949" s="1" t="str">
        <f>IF(LEFT(TRIM(Raw!G949),2)="-$","-"&amp;MID(TRIM(Raw!G949),3,99),IF(LEFT(TRIM(Raw!G949),1)="$",MID(TRIM(Raw!G949),2,99),TRIM(Raw!G949)))</f>
        <v>567.65</v>
      </c>
      <c r="M949" s="1">
        <f t="shared" si="115"/>
        <v>567.65</v>
      </c>
      <c r="N949" s="10">
        <f t="shared" si="116"/>
        <v>56765</v>
      </c>
      <c r="O949" s="1" t="b">
        <f>IFERROR(IF(ISNUMBER(Raw!G949),TRUE,OR(EXACT(L949,TEXT(M949,"0.00")),EXACT(L949,TEXT(M949,"#,##0.00")))),FALSE)</f>
        <v>1</v>
      </c>
      <c r="P949" s="1" t="str">
        <f>LEN(IF(Raw!A949="","",Raw!A949))&amp;":"&amp;IF(Raw!A949="","",Raw!A949)&amp;"|"&amp;LEN(IF(Raw!B949="","",Raw!B949))&amp;":"&amp;IF(Raw!B949="","",Raw!B949)&amp;"|"&amp;LEN(IF(Raw!C949="","",Raw!C949))&amp;":"&amp;IF(Raw!C949="","",Raw!C949)&amp;"|"&amp;LEN(IF(Raw!D949="","",Raw!D949))&amp;":"&amp;IF(Raw!D949="","",Raw!D949)&amp;"|"&amp;LEN(IF(Raw!E949="","",Raw!E949))&amp;":"&amp;IF(Raw!E949="","",Raw!E949)&amp;"|"&amp;LEN(IF(Raw!F949="","",Raw!F949))&amp;":"&amp;IF(Raw!F949="","",Raw!F949)&amp;"|"&amp;LEN(IF(Raw!G949="","",Raw!G949))&amp;":"&amp;IF(Raw!G949="","",Raw!G949)</f>
        <v>6:L00943|6:T00472|10:2026-02-27|3:P-A|11:Accessories|4:sale|6:567.65</v>
      </c>
      <c r="Q949" s="1">
        <f>1</f>
        <v>1</v>
      </c>
      <c r="R949" s="1" t="b">
        <f>FALSE</f>
        <v>0</v>
      </c>
      <c r="S949" s="1">
        <f>1</f>
        <v>1</v>
      </c>
      <c r="T949" s="1" t="str">
        <f>IF(AND(Raw!A949="",Raw!B949="",Raw!C949="",Raw!D949="",Raw!E949="",Raw!F949="",Raw!G949=""),"UNUSED",IF(A949="","missing line ID",IF(B949="","missing transaction ID",IF(G949="",IF(C949="","missing date","invalid date"),IF(I949="","unknown product",IF(J949="","conflicting category",IF(NOT(OR(EXACT(K949,"sale"),EXACT(K949,"refund"))),"unknown event",IF(OR(N949="",NOT(O949)),"invalid amount",IF(OR(AND(K949="sale",N949&lt;=0),AND(K949="refund",N949&gt;=0)),"invalid sign","")))))))))</f>
        <v/>
      </c>
      <c r="U949" s="1" t="str">
        <f t="shared" si="117"/>
        <v>INCLUDED</v>
      </c>
      <c r="V949" s="1" t="str">
        <f t="shared" si="118"/>
        <v>2026-02</v>
      </c>
      <c r="W949" s="1">
        <f>IF(AND(U949="INCLUDED",X949&gt;0,EXACT(A949,'AI output'!A949)),1,0)</f>
        <v>1</v>
      </c>
      <c r="X949" s="1">
        <f>949</f>
        <v>949</v>
      </c>
      <c r="Y949" s="1">
        <f>IF(AND(U949="INCLUDED",W949=1),--(NOT(EXACT(A949,'AI output'!A949)))+--(NOT(EXACT(B949,'AI output'!B949)))+--(NOT(EXACT(TEXT(G949,"yyyy-mm-dd"),'AI output'!C949)))+--(NOT(EXACT(H949,'AI output'!D949)))+--(NOT(EXACT(J949,'AI output'!E949)))+--(NOT(EXACT(K949,'AI output'!F949)))+--(N949&lt;&gt;'AI output'!L949)+--(NOT('AI output'!M949)),0)</f>
        <v>0</v>
      </c>
      <c r="Z949" s="1">
        <f t="shared" si="119"/>
        <v>0</v>
      </c>
      <c r="AA949" s="1">
        <f>--EXACT(A949,"L00943")</f>
        <v>1</v>
      </c>
    </row>
    <row r="950" spans="1:27" ht="18.95" customHeight="1">
      <c r="A950" s="1" t="str">
        <f>IF(Raw!A950="","",Raw!A950)</f>
        <v>L00944</v>
      </c>
      <c r="B950" s="1" t="str">
        <f>IF(Raw!B950="","",Raw!B950)</f>
        <v>T00472</v>
      </c>
      <c r="C950" s="1" t="str">
        <f>IF(Raw!C950="","",Raw!C950)</f>
        <v>2026-02-27</v>
      </c>
      <c r="D950" s="1">
        <f t="shared" si="112"/>
        <v>2026</v>
      </c>
      <c r="E950" s="1">
        <f>IFERROR(IF(AND(LEN(C950)=10,MID(C950,5,1)="-",MID(C950,8,1)="-"),VALUE(MID(C950,6,2)),IF(AND(LEN(C950)=11,MID(C950,3,1)="-",MID(C950,7,1)="-"),MATCH(UPPER(MID(C950,4,3)),Guide!$D$7:$D$18,0),0)),0)</f>
        <v>2</v>
      </c>
      <c r="F950" s="1">
        <f t="shared" si="113"/>
        <v>27</v>
      </c>
      <c r="G950" s="9">
        <f t="shared" si="114"/>
        <v>46080</v>
      </c>
      <c r="H950" s="1" t="str">
        <f>IF(Raw!D950="","",Raw!D950)</f>
        <v>P-H</v>
      </c>
      <c r="I950" s="1" t="str">
        <f>IFERROR(IF(EXACT(H950,INDEX(Guide!$A$7:$A$9,MATCH(SUBSTITUTE(SUBSTITUTE(SUBSTITUTE(H950,"~","~~"),"*","~*"),"?","~?"),Guide!$A$7:$A$9,0))),INDEX(Guide!$B$7:$B$9,MATCH(SUBSTITUTE(SUBSTITUTE(SUBSTITUTE(H950,"~","~~"),"*","~*"),"?","~?"),Guide!$A$7:$A$9,0)),""),"")</f>
        <v>Home</v>
      </c>
      <c r="J950" s="1" t="str">
        <f>IF(TRIM(Raw!E950)="",I950,IF(UPPER(TRIM(Raw!E950))=UPPER(I950),I950,""))</f>
        <v>Home</v>
      </c>
      <c r="K950" s="1" t="str">
        <f>IF(Raw!F950="","",Raw!F950)</f>
        <v>refund</v>
      </c>
      <c r="L950" s="1" t="str">
        <f>IF(LEFT(TRIM(Raw!G950),2)="-$","-"&amp;MID(TRIM(Raw!G950),3,99),IF(LEFT(TRIM(Raw!G950),1)="$",MID(TRIM(Raw!G950),2,99),TRIM(Raw!G950)))</f>
        <v>-227.80</v>
      </c>
      <c r="M950" s="1">
        <f t="shared" si="115"/>
        <v>-227.8</v>
      </c>
      <c r="N950" s="10">
        <f t="shared" si="116"/>
        <v>-22780</v>
      </c>
      <c r="O950" s="1" t="b">
        <f>IFERROR(IF(ISNUMBER(Raw!G950),TRUE,OR(EXACT(L950,TEXT(M950,"0.00")),EXACT(L950,TEXT(M950,"#,##0.00")))),FALSE)</f>
        <v>1</v>
      </c>
      <c r="P950" s="1" t="str">
        <f>LEN(IF(Raw!A950="","",Raw!A950))&amp;":"&amp;IF(Raw!A950="","",Raw!A950)&amp;"|"&amp;LEN(IF(Raw!B950="","",Raw!B950))&amp;":"&amp;IF(Raw!B950="","",Raw!B950)&amp;"|"&amp;LEN(IF(Raw!C950="","",Raw!C950))&amp;":"&amp;IF(Raw!C950="","",Raw!C950)&amp;"|"&amp;LEN(IF(Raw!D950="","",Raw!D950))&amp;":"&amp;IF(Raw!D950="","",Raw!D950)&amp;"|"&amp;LEN(IF(Raw!E950="","",Raw!E950))&amp;":"&amp;IF(Raw!E950="","",Raw!E950)&amp;"|"&amp;LEN(IF(Raw!F950="","",Raw!F950))&amp;":"&amp;IF(Raw!F950="","",Raw!F950)&amp;"|"&amp;LEN(IF(Raw!G950="","",Raw!G950))&amp;":"&amp;IF(Raw!G950="","",Raw!G950)</f>
        <v>6:L00944|6:T00472|10:2026-02-27|3:P-H|4:Home|6:refund|7:-227.80</v>
      </c>
      <c r="Q950" s="1">
        <f>1</f>
        <v>1</v>
      </c>
      <c r="R950" s="1" t="b">
        <f>FALSE</f>
        <v>0</v>
      </c>
      <c r="S950" s="1">
        <f>1</f>
        <v>1</v>
      </c>
      <c r="T950" s="1" t="str">
        <f>IF(AND(Raw!A950="",Raw!B950="",Raw!C950="",Raw!D950="",Raw!E950="",Raw!F950="",Raw!G950=""),"UNUSED",IF(A950="","missing line ID",IF(B950="","missing transaction ID",IF(G950="",IF(C950="","missing date","invalid date"),IF(I950="","unknown product",IF(J950="","conflicting category",IF(NOT(OR(EXACT(K950,"sale"),EXACT(K950,"refund"))),"unknown event",IF(OR(N950="",NOT(O950)),"invalid amount",IF(OR(AND(K950="sale",N950&lt;=0),AND(K950="refund",N950&gt;=0)),"invalid sign","")))))))))</f>
        <v/>
      </c>
      <c r="U950" s="1" t="str">
        <f t="shared" si="117"/>
        <v>INCLUDED</v>
      </c>
      <c r="V950" s="1" t="str">
        <f t="shared" si="118"/>
        <v>2026-02</v>
      </c>
      <c r="W950" s="1">
        <f>IF(AND(U950="INCLUDED",X950&gt;0,EXACT(A950,'AI output'!A950)),1,0)</f>
        <v>1</v>
      </c>
      <c r="X950" s="1">
        <f>950</f>
        <v>950</v>
      </c>
      <c r="Y950" s="1">
        <f>IF(AND(U950="INCLUDED",W950=1),--(NOT(EXACT(A950,'AI output'!A950)))+--(NOT(EXACT(B950,'AI output'!B950)))+--(NOT(EXACT(TEXT(G950,"yyyy-mm-dd"),'AI output'!C950)))+--(NOT(EXACT(H950,'AI output'!D950)))+--(NOT(EXACT(J950,'AI output'!E950)))+--(NOT(EXACT(K950,'AI output'!F950)))+--(N950&lt;&gt;'AI output'!L950)+--(NOT('AI output'!M950)),0)</f>
        <v>0</v>
      </c>
      <c r="Z950" s="1">
        <f t="shared" si="119"/>
        <v>0</v>
      </c>
      <c r="AA950" s="1">
        <f>--EXACT(A950,"L00944")</f>
        <v>1</v>
      </c>
    </row>
    <row r="951" spans="1:27" ht="18.95" customHeight="1">
      <c r="A951" s="1" t="str">
        <f>IF(Raw!A951="","",Raw!A951)</f>
        <v>L00945</v>
      </c>
      <c r="B951" s="1" t="str">
        <f>IF(Raw!B951="","",Raw!B951)</f>
        <v>T00473</v>
      </c>
      <c r="C951" s="1" t="str">
        <f>IF(Raw!C951="","",Raw!C951)</f>
        <v>2026-03-06</v>
      </c>
      <c r="D951" s="1">
        <f t="shared" si="112"/>
        <v>2026</v>
      </c>
      <c r="E951" s="1">
        <f>IFERROR(IF(AND(LEN(C951)=10,MID(C951,5,1)="-",MID(C951,8,1)="-"),VALUE(MID(C951,6,2)),IF(AND(LEN(C951)=11,MID(C951,3,1)="-",MID(C951,7,1)="-"),MATCH(UPPER(MID(C951,4,3)),Guide!$D$7:$D$18,0),0)),0)</f>
        <v>3</v>
      </c>
      <c r="F951" s="1">
        <f t="shared" si="113"/>
        <v>6</v>
      </c>
      <c r="G951" s="9">
        <f t="shared" si="114"/>
        <v>46087</v>
      </c>
      <c r="H951" s="1" t="str">
        <f>IF(Raw!D951="","",Raw!D951)</f>
        <v>P-O</v>
      </c>
      <c r="I951" s="1" t="str">
        <f>IFERROR(IF(EXACT(H951,INDEX(Guide!$A$7:$A$9,MATCH(SUBSTITUTE(SUBSTITUTE(SUBSTITUTE(H951,"~","~~"),"*","~*"),"?","~?"),Guide!$A$7:$A$9,0))),INDEX(Guide!$B$7:$B$9,MATCH(SUBSTITUTE(SUBSTITUTE(SUBSTITUTE(H951,"~","~~"),"*","~*"),"?","~?"),Guide!$A$7:$A$9,0)),""),"")</f>
        <v>Office</v>
      </c>
      <c r="J951" s="1" t="str">
        <f>IF(TRIM(Raw!E951)="",I951,IF(UPPER(TRIM(Raw!E951))=UPPER(I951),I951,""))</f>
        <v>Office</v>
      </c>
      <c r="K951" s="1" t="str">
        <f>IF(Raw!F951="","",Raw!F951)</f>
        <v>sale</v>
      </c>
      <c r="L951" s="1" t="str">
        <f>IF(LEFT(TRIM(Raw!G951),2)="-$","-"&amp;MID(TRIM(Raw!G951),3,99),IF(LEFT(TRIM(Raw!G951),1)="$",MID(TRIM(Raw!G951),2,99),TRIM(Raw!G951)))</f>
        <v>457.08</v>
      </c>
      <c r="M951" s="1">
        <f t="shared" si="115"/>
        <v>457.08</v>
      </c>
      <c r="N951" s="10">
        <f t="shared" si="116"/>
        <v>45708</v>
      </c>
      <c r="O951" s="1" t="b">
        <f>IFERROR(IF(ISNUMBER(Raw!G951),TRUE,OR(EXACT(L951,TEXT(M951,"0.00")),EXACT(L951,TEXT(M951,"#,##0.00")))),FALSE)</f>
        <v>1</v>
      </c>
      <c r="P951" s="1" t="str">
        <f>LEN(IF(Raw!A951="","",Raw!A951))&amp;":"&amp;IF(Raw!A951="","",Raw!A951)&amp;"|"&amp;LEN(IF(Raw!B951="","",Raw!B951))&amp;":"&amp;IF(Raw!B951="","",Raw!B951)&amp;"|"&amp;LEN(IF(Raw!C951="","",Raw!C951))&amp;":"&amp;IF(Raw!C951="","",Raw!C951)&amp;"|"&amp;LEN(IF(Raw!D951="","",Raw!D951))&amp;":"&amp;IF(Raw!D951="","",Raw!D951)&amp;"|"&amp;LEN(IF(Raw!E951="","",Raw!E951))&amp;":"&amp;IF(Raw!E951="","",Raw!E951)&amp;"|"&amp;LEN(IF(Raw!F951="","",Raw!F951))&amp;":"&amp;IF(Raw!F951="","",Raw!F951)&amp;"|"&amp;LEN(IF(Raw!G951="","",Raw!G951))&amp;":"&amp;IF(Raw!G951="","",Raw!G951)</f>
        <v>6:L00945|6:T00473|10:2026-03-06|3:P-O|0:|4:sale|6:457.08</v>
      </c>
      <c r="Q951" s="1">
        <f>1</f>
        <v>1</v>
      </c>
      <c r="R951" s="1" t="b">
        <f>FALSE</f>
        <v>0</v>
      </c>
      <c r="S951" s="1">
        <f>1</f>
        <v>1</v>
      </c>
      <c r="T951" s="1" t="str">
        <f>IF(AND(Raw!A951="",Raw!B951="",Raw!C951="",Raw!D951="",Raw!E951="",Raw!F951="",Raw!G951=""),"UNUSED",IF(A951="","missing line ID",IF(B951="","missing transaction ID",IF(G951="",IF(C951="","missing date","invalid date"),IF(I951="","unknown product",IF(J951="","conflicting category",IF(NOT(OR(EXACT(K951,"sale"),EXACT(K951,"refund"))),"unknown event",IF(OR(N951="",NOT(O951)),"invalid amount",IF(OR(AND(K951="sale",N951&lt;=0),AND(K951="refund",N951&gt;=0)),"invalid sign","")))))))))</f>
        <v/>
      </c>
      <c r="U951" s="1" t="str">
        <f t="shared" si="117"/>
        <v>INCLUDED</v>
      </c>
      <c r="V951" s="1" t="str">
        <f t="shared" si="118"/>
        <v>2026-03</v>
      </c>
      <c r="W951" s="1">
        <f>IF(AND(U951="INCLUDED",X951&gt;0,EXACT(A951,'AI output'!A951)),1,0)</f>
        <v>1</v>
      </c>
      <c r="X951" s="1">
        <f>951</f>
        <v>951</v>
      </c>
      <c r="Y951" s="1">
        <f>IF(AND(U951="INCLUDED",W951=1),--(NOT(EXACT(A951,'AI output'!A951)))+--(NOT(EXACT(B951,'AI output'!B951)))+--(NOT(EXACT(TEXT(G951,"yyyy-mm-dd"),'AI output'!C951)))+--(NOT(EXACT(H951,'AI output'!D951)))+--(NOT(EXACT(J951,'AI output'!E951)))+--(NOT(EXACT(K951,'AI output'!F951)))+--(N951&lt;&gt;'AI output'!L951)+--(NOT('AI output'!M951)),0)</f>
        <v>0</v>
      </c>
      <c r="Z951" s="1">
        <f t="shared" si="119"/>
        <v>0</v>
      </c>
      <c r="AA951" s="1">
        <f>--EXACT(A951,"L00945")</f>
        <v>1</v>
      </c>
    </row>
    <row r="952" spans="1:27" ht="18.95" customHeight="1">
      <c r="A952" s="1" t="str">
        <f>IF(Raw!A952="","",Raw!A952)</f>
        <v>L00946</v>
      </c>
      <c r="B952" s="1" t="str">
        <f>IF(Raw!B952="","",Raw!B952)</f>
        <v>T00473</v>
      </c>
      <c r="C952" s="1" t="str">
        <f>IF(Raw!C952="","",Raw!C952)</f>
        <v>2026-03-06</v>
      </c>
      <c r="D952" s="1">
        <f t="shared" si="112"/>
        <v>2026</v>
      </c>
      <c r="E952" s="1">
        <f>IFERROR(IF(AND(LEN(C952)=10,MID(C952,5,1)="-",MID(C952,8,1)="-"),VALUE(MID(C952,6,2)),IF(AND(LEN(C952)=11,MID(C952,3,1)="-",MID(C952,7,1)="-"),MATCH(UPPER(MID(C952,4,3)),Guide!$D$7:$D$18,0),0)),0)</f>
        <v>3</v>
      </c>
      <c r="F952" s="1">
        <f t="shared" si="113"/>
        <v>6</v>
      </c>
      <c r="G952" s="9">
        <f t="shared" si="114"/>
        <v>46087</v>
      </c>
      <c r="H952" s="1" t="str">
        <f>IF(Raw!D952="","",Raw!D952)</f>
        <v>P-A</v>
      </c>
      <c r="I952" s="1" t="str">
        <f>IFERROR(IF(EXACT(H952,INDEX(Guide!$A$7:$A$9,MATCH(SUBSTITUTE(SUBSTITUTE(SUBSTITUTE(H952,"~","~~"),"*","~*"),"?","~?"),Guide!$A$7:$A$9,0))),INDEX(Guide!$B$7:$B$9,MATCH(SUBSTITUTE(SUBSTITUTE(SUBSTITUTE(H952,"~","~~"),"*","~*"),"?","~?"),Guide!$A$7:$A$9,0)),""),"")</f>
        <v>Accessories</v>
      </c>
      <c r="J952" s="1" t="str">
        <f>IF(TRIM(Raw!E952)="",I952,IF(UPPER(TRIM(Raw!E952))=UPPER(I952),I952,""))</f>
        <v>Accessories</v>
      </c>
      <c r="K952" s="1" t="str">
        <f>IF(Raw!F952="","",Raw!F952)</f>
        <v>sale</v>
      </c>
      <c r="L952" s="1" t="str">
        <f>IF(LEFT(TRIM(Raw!G952),2)="-$","-"&amp;MID(TRIM(Raw!G952),3,99),IF(LEFT(TRIM(Raw!G952),1)="$",MID(TRIM(Raw!G952),2,99),TRIM(Raw!G952)))</f>
        <v>114.64</v>
      </c>
      <c r="M952" s="1">
        <f t="shared" si="115"/>
        <v>114.64</v>
      </c>
      <c r="N952" s="10">
        <f t="shared" si="116"/>
        <v>11464</v>
      </c>
      <c r="O952" s="1" t="b">
        <f>IFERROR(IF(ISNUMBER(Raw!G952),TRUE,OR(EXACT(L952,TEXT(M952,"0.00")),EXACT(L952,TEXT(M952,"#,##0.00")))),FALSE)</f>
        <v>1</v>
      </c>
      <c r="P952" s="1" t="str">
        <f>LEN(IF(Raw!A952="","",Raw!A952))&amp;":"&amp;IF(Raw!A952="","",Raw!A952)&amp;"|"&amp;LEN(IF(Raw!B952="","",Raw!B952))&amp;":"&amp;IF(Raw!B952="","",Raw!B952)&amp;"|"&amp;LEN(IF(Raw!C952="","",Raw!C952))&amp;":"&amp;IF(Raw!C952="","",Raw!C952)&amp;"|"&amp;LEN(IF(Raw!D952="","",Raw!D952))&amp;":"&amp;IF(Raw!D952="","",Raw!D952)&amp;"|"&amp;LEN(IF(Raw!E952="","",Raw!E952))&amp;":"&amp;IF(Raw!E952="","",Raw!E952)&amp;"|"&amp;LEN(IF(Raw!F952="","",Raw!F952))&amp;":"&amp;IF(Raw!F952="","",Raw!F952)&amp;"|"&amp;LEN(IF(Raw!G952="","",Raw!G952))&amp;":"&amp;IF(Raw!G952="","",Raw!G952)</f>
        <v>6:L00946|6:T00473|10:2026-03-06|3:P-A|11:Accessories|4:sale|6:114.64</v>
      </c>
      <c r="Q952" s="1">
        <f>1</f>
        <v>1</v>
      </c>
      <c r="R952" s="1" t="b">
        <f>FALSE</f>
        <v>0</v>
      </c>
      <c r="S952" s="1">
        <f>1</f>
        <v>1</v>
      </c>
      <c r="T952" s="1" t="str">
        <f>IF(AND(Raw!A952="",Raw!B952="",Raw!C952="",Raw!D952="",Raw!E952="",Raw!F952="",Raw!G952=""),"UNUSED",IF(A952="","missing line ID",IF(B952="","missing transaction ID",IF(G952="",IF(C952="","missing date","invalid date"),IF(I952="","unknown product",IF(J952="","conflicting category",IF(NOT(OR(EXACT(K952,"sale"),EXACT(K952,"refund"))),"unknown event",IF(OR(N952="",NOT(O952)),"invalid amount",IF(OR(AND(K952="sale",N952&lt;=0),AND(K952="refund",N952&gt;=0)),"invalid sign","")))))))))</f>
        <v/>
      </c>
      <c r="U952" s="1" t="str">
        <f t="shared" si="117"/>
        <v>INCLUDED</v>
      </c>
      <c r="V952" s="1" t="str">
        <f t="shared" si="118"/>
        <v>2026-03</v>
      </c>
      <c r="W952" s="1">
        <f>IF(AND(U952="INCLUDED",X952&gt;0,EXACT(A952,'AI output'!A952)),1,0)</f>
        <v>1</v>
      </c>
      <c r="X952" s="1">
        <f>952</f>
        <v>952</v>
      </c>
      <c r="Y952" s="1">
        <f>IF(AND(U952="INCLUDED",W952=1),--(NOT(EXACT(A952,'AI output'!A952)))+--(NOT(EXACT(B952,'AI output'!B952)))+--(NOT(EXACT(TEXT(G952,"yyyy-mm-dd"),'AI output'!C952)))+--(NOT(EXACT(H952,'AI output'!D952)))+--(NOT(EXACT(J952,'AI output'!E952)))+--(NOT(EXACT(K952,'AI output'!F952)))+--(N952&lt;&gt;'AI output'!L952)+--(NOT('AI output'!M952)),0)</f>
        <v>0</v>
      </c>
      <c r="Z952" s="1">
        <f t="shared" si="119"/>
        <v>0</v>
      </c>
      <c r="AA952" s="1">
        <f>--EXACT(A952,"L00946")</f>
        <v>1</v>
      </c>
    </row>
    <row r="953" spans="1:27" ht="18.95" customHeight="1">
      <c r="A953" s="1" t="str">
        <f>IF(Raw!A953="","",Raw!A953)</f>
        <v>L00947</v>
      </c>
      <c r="B953" s="1" t="str">
        <f>IF(Raw!B953="","",Raw!B953)</f>
        <v>T00474</v>
      </c>
      <c r="C953" s="1" t="str">
        <f>IF(Raw!C953="","",Raw!C953)</f>
        <v>2026-03-13</v>
      </c>
      <c r="D953" s="1">
        <f t="shared" si="112"/>
        <v>2026</v>
      </c>
      <c r="E953" s="1">
        <f>IFERROR(IF(AND(LEN(C953)=10,MID(C953,5,1)="-",MID(C953,8,1)="-"),VALUE(MID(C953,6,2)),IF(AND(LEN(C953)=11,MID(C953,3,1)="-",MID(C953,7,1)="-"),MATCH(UPPER(MID(C953,4,3)),Guide!$D$7:$D$18,0),0)),0)</f>
        <v>3</v>
      </c>
      <c r="F953" s="1">
        <f t="shared" si="113"/>
        <v>13</v>
      </c>
      <c r="G953" s="9">
        <f t="shared" si="114"/>
        <v>46094</v>
      </c>
      <c r="H953" s="1" t="str">
        <f>IF(Raw!D953="","",Raw!D953)</f>
        <v>P-H</v>
      </c>
      <c r="I953" s="1" t="str">
        <f>IFERROR(IF(EXACT(H953,INDEX(Guide!$A$7:$A$9,MATCH(SUBSTITUTE(SUBSTITUTE(SUBSTITUTE(H953,"~","~~"),"*","~*"),"?","~?"),Guide!$A$7:$A$9,0))),INDEX(Guide!$B$7:$B$9,MATCH(SUBSTITUTE(SUBSTITUTE(SUBSTITUTE(H953,"~","~~"),"*","~*"),"?","~?"),Guide!$A$7:$A$9,0)),""),"")</f>
        <v>Home</v>
      </c>
      <c r="J953" s="1" t="str">
        <f>IF(TRIM(Raw!E953)="",I953,IF(UPPER(TRIM(Raw!E953))=UPPER(I953),I953,""))</f>
        <v>Home</v>
      </c>
      <c r="K953" s="1" t="str">
        <f>IF(Raw!F953="","",Raw!F953)</f>
        <v>sale</v>
      </c>
      <c r="L953" s="1" t="str">
        <f>IF(LEFT(TRIM(Raw!G953),2)="-$","-"&amp;MID(TRIM(Raw!G953),3,99),IF(LEFT(TRIM(Raw!G953),1)="$",MID(TRIM(Raw!G953),2,99),TRIM(Raw!G953)))</f>
        <v>345.03</v>
      </c>
      <c r="M953" s="1">
        <f t="shared" si="115"/>
        <v>345.03</v>
      </c>
      <c r="N953" s="10">
        <f t="shared" si="116"/>
        <v>34503</v>
      </c>
      <c r="O953" s="1" t="b">
        <f>IFERROR(IF(ISNUMBER(Raw!G953),TRUE,OR(EXACT(L953,TEXT(M953,"0.00")),EXACT(L953,TEXT(M953,"#,##0.00")))),FALSE)</f>
        <v>1</v>
      </c>
      <c r="P953" s="1" t="str">
        <f>LEN(IF(Raw!A953="","",Raw!A953))&amp;":"&amp;IF(Raw!A953="","",Raw!A953)&amp;"|"&amp;LEN(IF(Raw!B953="","",Raw!B953))&amp;":"&amp;IF(Raw!B953="","",Raw!B953)&amp;"|"&amp;LEN(IF(Raw!C953="","",Raw!C953))&amp;":"&amp;IF(Raw!C953="","",Raw!C953)&amp;"|"&amp;LEN(IF(Raw!D953="","",Raw!D953))&amp;":"&amp;IF(Raw!D953="","",Raw!D953)&amp;"|"&amp;LEN(IF(Raw!E953="","",Raw!E953))&amp;":"&amp;IF(Raw!E953="","",Raw!E953)&amp;"|"&amp;LEN(IF(Raw!F953="","",Raw!F953))&amp;":"&amp;IF(Raw!F953="","",Raw!F953)&amp;"|"&amp;LEN(IF(Raw!G953="","",Raw!G953))&amp;":"&amp;IF(Raw!G953="","",Raw!G953)</f>
        <v>6:L00947|6:T00474|10:2026-03-13|3:P-H|4:Home|4:sale|6:345.03</v>
      </c>
      <c r="Q953" s="1">
        <f>1</f>
        <v>1</v>
      </c>
      <c r="R953" s="1" t="b">
        <f>FALSE</f>
        <v>0</v>
      </c>
      <c r="S953" s="1">
        <f>1</f>
        <v>1</v>
      </c>
      <c r="T953" s="1" t="str">
        <f>IF(AND(Raw!A953="",Raw!B953="",Raw!C953="",Raw!D953="",Raw!E953="",Raw!F953="",Raw!G953=""),"UNUSED",IF(A953="","missing line ID",IF(B953="","missing transaction ID",IF(G953="",IF(C953="","missing date","invalid date"),IF(I953="","unknown product",IF(J953="","conflicting category",IF(NOT(OR(EXACT(K953,"sale"),EXACT(K953,"refund"))),"unknown event",IF(OR(N953="",NOT(O953)),"invalid amount",IF(OR(AND(K953="sale",N953&lt;=0),AND(K953="refund",N953&gt;=0)),"invalid sign","")))))))))</f>
        <v/>
      </c>
      <c r="U953" s="1" t="str">
        <f t="shared" si="117"/>
        <v>INCLUDED</v>
      </c>
      <c r="V953" s="1" t="str">
        <f t="shared" si="118"/>
        <v>2026-03</v>
      </c>
      <c r="W953" s="1">
        <f>IF(AND(U953="INCLUDED",X953&gt;0,EXACT(A953,'AI output'!A953)),1,0)</f>
        <v>1</v>
      </c>
      <c r="X953" s="1">
        <f>953</f>
        <v>953</v>
      </c>
      <c r="Y953" s="1">
        <f>IF(AND(U953="INCLUDED",W953=1),--(NOT(EXACT(A953,'AI output'!A953)))+--(NOT(EXACT(B953,'AI output'!B953)))+--(NOT(EXACT(TEXT(G953,"yyyy-mm-dd"),'AI output'!C953)))+--(NOT(EXACT(H953,'AI output'!D953)))+--(NOT(EXACT(J953,'AI output'!E953)))+--(NOT(EXACT(K953,'AI output'!F953)))+--(N953&lt;&gt;'AI output'!L953)+--(NOT('AI output'!M953)),0)</f>
        <v>0</v>
      </c>
      <c r="Z953" s="1">
        <f t="shared" si="119"/>
        <v>0</v>
      </c>
      <c r="AA953" s="1">
        <f>--EXACT(A953,"L00947")</f>
        <v>1</v>
      </c>
    </row>
    <row r="954" spans="1:27" ht="18.95" customHeight="1">
      <c r="A954" s="1" t="str">
        <f>IF(Raw!A954="","",Raw!A954)</f>
        <v>L00948</v>
      </c>
      <c r="B954" s="1" t="str">
        <f>IF(Raw!B954="","",Raw!B954)</f>
        <v>T00474</v>
      </c>
      <c r="C954" s="1" t="str">
        <f>IF(Raw!C954="","",Raw!C954)</f>
        <v>2026-03-13</v>
      </c>
      <c r="D954" s="1">
        <f t="shared" si="112"/>
        <v>2026</v>
      </c>
      <c r="E954" s="1">
        <f>IFERROR(IF(AND(LEN(C954)=10,MID(C954,5,1)="-",MID(C954,8,1)="-"),VALUE(MID(C954,6,2)),IF(AND(LEN(C954)=11,MID(C954,3,1)="-",MID(C954,7,1)="-"),MATCH(UPPER(MID(C954,4,3)),Guide!$D$7:$D$18,0),0)),0)</f>
        <v>3</v>
      </c>
      <c r="F954" s="1">
        <f t="shared" si="113"/>
        <v>13</v>
      </c>
      <c r="G954" s="9">
        <f t="shared" si="114"/>
        <v>46094</v>
      </c>
      <c r="H954" s="1" t="str">
        <f>IF(Raw!D954="","",Raw!D954)</f>
        <v>P-O</v>
      </c>
      <c r="I954" s="1" t="str">
        <f>IFERROR(IF(EXACT(H954,INDEX(Guide!$A$7:$A$9,MATCH(SUBSTITUTE(SUBSTITUTE(SUBSTITUTE(H954,"~","~~"),"*","~*"),"?","~?"),Guide!$A$7:$A$9,0))),INDEX(Guide!$B$7:$B$9,MATCH(SUBSTITUTE(SUBSTITUTE(SUBSTITUTE(H954,"~","~~"),"*","~*"),"?","~?"),Guide!$A$7:$A$9,0)),""),"")</f>
        <v>Office</v>
      </c>
      <c r="J954" s="1" t="str">
        <f>IF(TRIM(Raw!E954)="",I954,IF(UPPER(TRIM(Raw!E954))=UPPER(I954),I954,""))</f>
        <v>Office</v>
      </c>
      <c r="K954" s="1" t="str">
        <f>IF(Raw!F954="","",Raw!F954)</f>
        <v>sale</v>
      </c>
      <c r="L954" s="1" t="str">
        <f>IF(LEFT(TRIM(Raw!G954),2)="-$","-"&amp;MID(TRIM(Raw!G954),3,99),IF(LEFT(TRIM(Raw!G954),1)="$",MID(TRIM(Raw!G954),2,99),TRIM(Raw!G954)))</f>
        <v>576.90</v>
      </c>
      <c r="M954" s="1">
        <f t="shared" si="115"/>
        <v>576.9</v>
      </c>
      <c r="N954" s="10">
        <f t="shared" si="116"/>
        <v>57690</v>
      </c>
      <c r="O954" s="1" t="b">
        <f>IFERROR(IF(ISNUMBER(Raw!G954),TRUE,OR(EXACT(L954,TEXT(M954,"0.00")),EXACT(L954,TEXT(M954,"#,##0.00")))),FALSE)</f>
        <v>1</v>
      </c>
      <c r="P954" s="1" t="str">
        <f>LEN(IF(Raw!A954="","",Raw!A954))&amp;":"&amp;IF(Raw!A954="","",Raw!A954)&amp;"|"&amp;LEN(IF(Raw!B954="","",Raw!B954))&amp;":"&amp;IF(Raw!B954="","",Raw!B954)&amp;"|"&amp;LEN(IF(Raw!C954="","",Raw!C954))&amp;":"&amp;IF(Raw!C954="","",Raw!C954)&amp;"|"&amp;LEN(IF(Raw!D954="","",Raw!D954))&amp;":"&amp;IF(Raw!D954="","",Raw!D954)&amp;"|"&amp;LEN(IF(Raw!E954="","",Raw!E954))&amp;":"&amp;IF(Raw!E954="","",Raw!E954)&amp;"|"&amp;LEN(IF(Raw!F954="","",Raw!F954))&amp;":"&amp;IF(Raw!F954="","",Raw!F954)&amp;"|"&amp;LEN(IF(Raw!G954="","",Raw!G954))&amp;":"&amp;IF(Raw!G954="","",Raw!G954)</f>
        <v>6:L00948|6:T00474|10:2026-03-13|3:P-O|6:Office|4:sale|6:576.90</v>
      </c>
      <c r="Q954" s="1">
        <f>1</f>
        <v>1</v>
      </c>
      <c r="R954" s="1" t="b">
        <f>FALSE</f>
        <v>0</v>
      </c>
      <c r="S954" s="1">
        <f>1</f>
        <v>1</v>
      </c>
      <c r="T954" s="1" t="str">
        <f>IF(AND(Raw!A954="",Raw!B954="",Raw!C954="",Raw!D954="",Raw!E954="",Raw!F954="",Raw!G954=""),"UNUSED",IF(A954="","missing line ID",IF(B954="","missing transaction ID",IF(G954="",IF(C954="","missing date","invalid date"),IF(I954="","unknown product",IF(J954="","conflicting category",IF(NOT(OR(EXACT(K954,"sale"),EXACT(K954,"refund"))),"unknown event",IF(OR(N954="",NOT(O954)),"invalid amount",IF(OR(AND(K954="sale",N954&lt;=0),AND(K954="refund",N954&gt;=0)),"invalid sign","")))))))))</f>
        <v/>
      </c>
      <c r="U954" s="1" t="str">
        <f t="shared" si="117"/>
        <v>INCLUDED</v>
      </c>
      <c r="V954" s="1" t="str">
        <f t="shared" si="118"/>
        <v>2026-03</v>
      </c>
      <c r="W954" s="1">
        <f>IF(AND(U954="INCLUDED",X954&gt;0,EXACT(A954,'AI output'!A954)),1,0)</f>
        <v>1</v>
      </c>
      <c r="X954" s="1">
        <f>954</f>
        <v>954</v>
      </c>
      <c r="Y954" s="1">
        <f>IF(AND(U954="INCLUDED",W954=1),--(NOT(EXACT(A954,'AI output'!A954)))+--(NOT(EXACT(B954,'AI output'!B954)))+--(NOT(EXACT(TEXT(G954,"yyyy-mm-dd"),'AI output'!C954)))+--(NOT(EXACT(H954,'AI output'!D954)))+--(NOT(EXACT(J954,'AI output'!E954)))+--(NOT(EXACT(K954,'AI output'!F954)))+--(N954&lt;&gt;'AI output'!L954)+--(NOT('AI output'!M954)),0)</f>
        <v>0</v>
      </c>
      <c r="Z954" s="1">
        <f t="shared" si="119"/>
        <v>0</v>
      </c>
      <c r="AA954" s="1">
        <f>--EXACT(A954,"L00948")</f>
        <v>1</v>
      </c>
    </row>
    <row r="955" spans="1:27" ht="18.95" customHeight="1">
      <c r="A955" s="1" t="str">
        <f>IF(Raw!A955="","",Raw!A955)</f>
        <v>L00949</v>
      </c>
      <c r="B955" s="1" t="str">
        <f>IF(Raw!B955="","",Raw!B955)</f>
        <v>T00475</v>
      </c>
      <c r="C955" s="1" t="str">
        <f>IF(Raw!C955="","",Raw!C955)</f>
        <v>2026-03-20</v>
      </c>
      <c r="D955" s="1">
        <f t="shared" si="112"/>
        <v>2026</v>
      </c>
      <c r="E955" s="1">
        <f>IFERROR(IF(AND(LEN(C955)=10,MID(C955,5,1)="-",MID(C955,8,1)="-"),VALUE(MID(C955,6,2)),IF(AND(LEN(C955)=11,MID(C955,3,1)="-",MID(C955,7,1)="-"),MATCH(UPPER(MID(C955,4,3)),Guide!$D$7:$D$18,0),0)),0)</f>
        <v>3</v>
      </c>
      <c r="F955" s="1">
        <f t="shared" si="113"/>
        <v>20</v>
      </c>
      <c r="G955" s="9">
        <f t="shared" si="114"/>
        <v>46101</v>
      </c>
      <c r="H955" s="1" t="str">
        <f>IF(Raw!D955="","",Raw!D955)</f>
        <v>P-A</v>
      </c>
      <c r="I955" s="1" t="str">
        <f>IFERROR(IF(EXACT(H955,INDEX(Guide!$A$7:$A$9,MATCH(SUBSTITUTE(SUBSTITUTE(SUBSTITUTE(H955,"~","~~"),"*","~*"),"?","~?"),Guide!$A$7:$A$9,0))),INDEX(Guide!$B$7:$B$9,MATCH(SUBSTITUTE(SUBSTITUTE(SUBSTITUTE(H955,"~","~~"),"*","~*"),"?","~?"),Guide!$A$7:$A$9,0)),""),"")</f>
        <v>Accessories</v>
      </c>
      <c r="J955" s="1" t="str">
        <f>IF(TRIM(Raw!E955)="",I955,IF(UPPER(TRIM(Raw!E955))=UPPER(I955),I955,""))</f>
        <v>Accessories</v>
      </c>
      <c r="K955" s="1" t="str">
        <f>IF(Raw!F955="","",Raw!F955)</f>
        <v>sale</v>
      </c>
      <c r="L955" s="1" t="str">
        <f>IF(LEFT(TRIM(Raw!G955),2)="-$","-"&amp;MID(TRIM(Raw!G955),3,99),IF(LEFT(TRIM(Raw!G955),1)="$",MID(TRIM(Raw!G955),2,99),TRIM(Raw!G955)))</f>
        <v>231.50</v>
      </c>
      <c r="M955" s="1">
        <f t="shared" si="115"/>
        <v>231.5</v>
      </c>
      <c r="N955" s="10">
        <f t="shared" si="116"/>
        <v>23150</v>
      </c>
      <c r="O955" s="1" t="b">
        <f>IFERROR(IF(ISNUMBER(Raw!G955),TRUE,OR(EXACT(L955,TEXT(M955,"0.00")),EXACT(L955,TEXT(M955,"#,##0.00")))),FALSE)</f>
        <v>1</v>
      </c>
      <c r="P955" s="1" t="str">
        <f>LEN(IF(Raw!A955="","",Raw!A955))&amp;":"&amp;IF(Raw!A955="","",Raw!A955)&amp;"|"&amp;LEN(IF(Raw!B955="","",Raw!B955))&amp;":"&amp;IF(Raw!B955="","",Raw!B955)&amp;"|"&amp;LEN(IF(Raw!C955="","",Raw!C955))&amp;":"&amp;IF(Raw!C955="","",Raw!C955)&amp;"|"&amp;LEN(IF(Raw!D955="","",Raw!D955))&amp;":"&amp;IF(Raw!D955="","",Raw!D955)&amp;"|"&amp;LEN(IF(Raw!E955="","",Raw!E955))&amp;":"&amp;IF(Raw!E955="","",Raw!E955)&amp;"|"&amp;LEN(IF(Raw!F955="","",Raw!F955))&amp;":"&amp;IF(Raw!F955="","",Raw!F955)&amp;"|"&amp;LEN(IF(Raw!G955="","",Raw!G955))&amp;":"&amp;IF(Raw!G955="","",Raw!G955)</f>
        <v>6:L00949|6:T00475|10:2026-03-20|3:P-A|11:Accessories|4:sale|6:231.50</v>
      </c>
      <c r="Q955" s="1">
        <f>1</f>
        <v>1</v>
      </c>
      <c r="R955" s="1" t="b">
        <f>FALSE</f>
        <v>0</v>
      </c>
      <c r="S955" s="1">
        <f>1</f>
        <v>1</v>
      </c>
      <c r="T955" s="1" t="str">
        <f>IF(AND(Raw!A955="",Raw!B955="",Raw!C955="",Raw!D955="",Raw!E955="",Raw!F955="",Raw!G955=""),"UNUSED",IF(A955="","missing line ID",IF(B955="","missing transaction ID",IF(G955="",IF(C955="","missing date","invalid date"),IF(I955="","unknown product",IF(J955="","conflicting category",IF(NOT(OR(EXACT(K955,"sale"),EXACT(K955,"refund"))),"unknown event",IF(OR(N955="",NOT(O955)),"invalid amount",IF(OR(AND(K955="sale",N955&lt;=0),AND(K955="refund",N955&gt;=0)),"invalid sign","")))))))))</f>
        <v/>
      </c>
      <c r="U955" s="1" t="str">
        <f t="shared" si="117"/>
        <v>INCLUDED</v>
      </c>
      <c r="V955" s="1" t="str">
        <f t="shared" si="118"/>
        <v>2026-03</v>
      </c>
      <c r="W955" s="1">
        <f>IF(AND(U955="INCLUDED",X955&gt;0,EXACT(A955,'AI output'!A955)),1,0)</f>
        <v>1</v>
      </c>
      <c r="X955" s="1">
        <f>955</f>
        <v>955</v>
      </c>
      <c r="Y955" s="1">
        <f>IF(AND(U955="INCLUDED",W955=1),--(NOT(EXACT(A955,'AI output'!A955)))+--(NOT(EXACT(B955,'AI output'!B955)))+--(NOT(EXACT(TEXT(G955,"yyyy-mm-dd"),'AI output'!C955)))+--(NOT(EXACT(H955,'AI output'!D955)))+--(NOT(EXACT(J955,'AI output'!E955)))+--(NOT(EXACT(K955,'AI output'!F955)))+--(N955&lt;&gt;'AI output'!L955)+--(NOT('AI output'!M955)),0)</f>
        <v>0</v>
      </c>
      <c r="Z955" s="1">
        <f t="shared" si="119"/>
        <v>0</v>
      </c>
      <c r="AA955" s="1">
        <f>--EXACT(A955,"L00949")</f>
        <v>1</v>
      </c>
    </row>
    <row r="956" spans="1:27" ht="18.95" customHeight="1">
      <c r="A956" s="1" t="str">
        <f>IF(Raw!A956="","",Raw!A956)</f>
        <v>L00950</v>
      </c>
      <c r="B956" s="1" t="str">
        <f>IF(Raw!B956="","",Raw!B956)</f>
        <v>T00475</v>
      </c>
      <c r="C956" s="1" t="str">
        <f>IF(Raw!C956="","",Raw!C956)</f>
        <v>2026-03-20</v>
      </c>
      <c r="D956" s="1">
        <f t="shared" si="112"/>
        <v>2026</v>
      </c>
      <c r="E956" s="1">
        <f>IFERROR(IF(AND(LEN(C956)=10,MID(C956,5,1)="-",MID(C956,8,1)="-"),VALUE(MID(C956,6,2)),IF(AND(LEN(C956)=11,MID(C956,3,1)="-",MID(C956,7,1)="-"),MATCH(UPPER(MID(C956,4,3)),Guide!$D$7:$D$18,0),0)),0)</f>
        <v>3</v>
      </c>
      <c r="F956" s="1">
        <f t="shared" si="113"/>
        <v>20</v>
      </c>
      <c r="G956" s="9">
        <f t="shared" si="114"/>
        <v>46101</v>
      </c>
      <c r="H956" s="1" t="str">
        <f>IF(Raw!D956="","",Raw!D956)</f>
        <v>P-H</v>
      </c>
      <c r="I956" s="1" t="str">
        <f>IFERROR(IF(EXACT(H956,INDEX(Guide!$A$7:$A$9,MATCH(SUBSTITUTE(SUBSTITUTE(SUBSTITUTE(H956,"~","~~"),"*","~*"),"?","~?"),Guide!$A$7:$A$9,0))),INDEX(Guide!$B$7:$B$9,MATCH(SUBSTITUTE(SUBSTITUTE(SUBSTITUTE(H956,"~","~~"),"*","~*"),"?","~?"),Guide!$A$7:$A$9,0)),""),"")</f>
        <v>Home</v>
      </c>
      <c r="J956" s="1" t="str">
        <f>IF(TRIM(Raw!E956)="",I956,IF(UPPER(TRIM(Raw!E956))=UPPER(I956),I956,""))</f>
        <v>Home</v>
      </c>
      <c r="K956" s="1" t="str">
        <f>IF(Raw!F956="","",Raw!F956)</f>
        <v>sale</v>
      </c>
      <c r="L956" s="1" t="str">
        <f>IF(LEFT(TRIM(Raw!G956),2)="-$","-"&amp;MID(TRIM(Raw!G956),3,99),IF(LEFT(TRIM(Raw!G956),1)="$",MID(TRIM(Raw!G956),2,99),TRIM(Raw!G956)))</f>
        <v>464.48</v>
      </c>
      <c r="M956" s="1">
        <f t="shared" si="115"/>
        <v>464.48</v>
      </c>
      <c r="N956" s="10">
        <f t="shared" si="116"/>
        <v>46448</v>
      </c>
      <c r="O956" s="1" t="b">
        <f>IFERROR(IF(ISNUMBER(Raw!G956),TRUE,OR(EXACT(L956,TEXT(M956,"0.00")),EXACT(L956,TEXT(M956,"#,##0.00")))),FALSE)</f>
        <v>1</v>
      </c>
      <c r="P956" s="1" t="str">
        <f>LEN(IF(Raw!A956="","",Raw!A956))&amp;":"&amp;IF(Raw!A956="","",Raw!A956)&amp;"|"&amp;LEN(IF(Raw!B956="","",Raw!B956))&amp;":"&amp;IF(Raw!B956="","",Raw!B956)&amp;"|"&amp;LEN(IF(Raw!C956="","",Raw!C956))&amp;":"&amp;IF(Raw!C956="","",Raw!C956)&amp;"|"&amp;LEN(IF(Raw!D956="","",Raw!D956))&amp;":"&amp;IF(Raw!D956="","",Raw!D956)&amp;"|"&amp;LEN(IF(Raw!E956="","",Raw!E956))&amp;":"&amp;IF(Raw!E956="","",Raw!E956)&amp;"|"&amp;LEN(IF(Raw!F956="","",Raw!F956))&amp;":"&amp;IF(Raw!F956="","",Raw!F956)&amp;"|"&amp;LEN(IF(Raw!G956="","",Raw!G956))&amp;":"&amp;IF(Raw!G956="","",Raw!G956)</f>
        <v>6:L00950|6:T00475|10:2026-03-20|3:P-H|4:Home|4:sale|7:$464.48</v>
      </c>
      <c r="Q956" s="1">
        <f>1</f>
        <v>1</v>
      </c>
      <c r="R956" s="1" t="b">
        <f>FALSE</f>
        <v>0</v>
      </c>
      <c r="S956" s="1">
        <f>1</f>
        <v>1</v>
      </c>
      <c r="T956" s="1" t="str">
        <f>IF(AND(Raw!A956="",Raw!B956="",Raw!C956="",Raw!D956="",Raw!E956="",Raw!F956="",Raw!G956=""),"UNUSED",IF(A956="","missing line ID",IF(B956="","missing transaction ID",IF(G956="",IF(C956="","missing date","invalid date"),IF(I956="","unknown product",IF(J956="","conflicting category",IF(NOT(OR(EXACT(K956,"sale"),EXACT(K956,"refund"))),"unknown event",IF(OR(N956="",NOT(O956)),"invalid amount",IF(OR(AND(K956="sale",N956&lt;=0),AND(K956="refund",N956&gt;=0)),"invalid sign","")))))))))</f>
        <v/>
      </c>
      <c r="U956" s="1" t="str">
        <f t="shared" si="117"/>
        <v>INCLUDED</v>
      </c>
      <c r="V956" s="1" t="str">
        <f t="shared" si="118"/>
        <v>2026-03</v>
      </c>
      <c r="W956" s="1">
        <f>IF(AND(U956="INCLUDED",X956&gt;0,EXACT(A956,'AI output'!A956)),1,0)</f>
        <v>1</v>
      </c>
      <c r="X956" s="1">
        <f>956</f>
        <v>956</v>
      </c>
      <c r="Y956" s="1">
        <f>IF(AND(U956="INCLUDED",W956=1),--(NOT(EXACT(A956,'AI output'!A956)))+--(NOT(EXACT(B956,'AI output'!B956)))+--(NOT(EXACT(TEXT(G956,"yyyy-mm-dd"),'AI output'!C956)))+--(NOT(EXACT(H956,'AI output'!D956)))+--(NOT(EXACT(J956,'AI output'!E956)))+--(NOT(EXACT(K956,'AI output'!F956)))+--(N956&lt;&gt;'AI output'!L956)+--(NOT('AI output'!M956)),0)</f>
        <v>0</v>
      </c>
      <c r="Z956" s="1">
        <f t="shared" si="119"/>
        <v>0</v>
      </c>
      <c r="AA956" s="1">
        <f>--EXACT(A956,"L00950")</f>
        <v>1</v>
      </c>
    </row>
    <row r="957" spans="1:27" ht="18.95" customHeight="1">
      <c r="A957" s="1" t="str">
        <f>IF(Raw!A957="","",Raw!A957)</f>
        <v>L00951</v>
      </c>
      <c r="B957" s="1" t="str">
        <f>IF(Raw!B957="","",Raw!B957)</f>
        <v>T00476</v>
      </c>
      <c r="C957" s="1" t="str">
        <f>IF(Raw!C957="","",Raw!C957)</f>
        <v>2026-03-27</v>
      </c>
      <c r="D957" s="1">
        <f t="shared" si="112"/>
        <v>2026</v>
      </c>
      <c r="E957" s="1">
        <f>IFERROR(IF(AND(LEN(C957)=10,MID(C957,5,1)="-",MID(C957,8,1)="-"),VALUE(MID(C957,6,2)),IF(AND(LEN(C957)=11,MID(C957,3,1)="-",MID(C957,7,1)="-"),MATCH(UPPER(MID(C957,4,3)),Guide!$D$7:$D$18,0),0)),0)</f>
        <v>3</v>
      </c>
      <c r="F957" s="1">
        <f t="shared" si="113"/>
        <v>27</v>
      </c>
      <c r="G957" s="9">
        <f t="shared" si="114"/>
        <v>46108</v>
      </c>
      <c r="H957" s="1" t="str">
        <f>IF(Raw!D957="","",Raw!D957)</f>
        <v>P-O</v>
      </c>
      <c r="I957" s="1" t="str">
        <f>IFERROR(IF(EXACT(H957,INDEX(Guide!$A$7:$A$9,MATCH(SUBSTITUTE(SUBSTITUTE(SUBSTITUTE(H957,"~","~~"),"*","~*"),"?","~?"),Guide!$A$7:$A$9,0))),INDEX(Guide!$B$7:$B$9,MATCH(SUBSTITUTE(SUBSTITUTE(SUBSTITUTE(H957,"~","~~"),"*","~*"),"?","~?"),Guide!$A$7:$A$9,0)),""),"")</f>
        <v>Office</v>
      </c>
      <c r="J957" s="1" t="str">
        <f>IF(TRIM(Raw!E957)="",I957,IF(UPPER(TRIM(Raw!E957))=UPPER(I957),I957,""))</f>
        <v>Office</v>
      </c>
      <c r="K957" s="1" t="str">
        <f>IF(Raw!F957="","",Raw!F957)</f>
        <v>sale</v>
      </c>
      <c r="L957" s="1" t="str">
        <f>IF(LEFT(TRIM(Raw!G957),2)="-$","-"&amp;MID(TRIM(Raw!G957),3,99),IF(LEFT(TRIM(Raw!G957),1)="$",MID(TRIM(Raw!G957),2,99),TRIM(Raw!G957)))</f>
        <v>116.49</v>
      </c>
      <c r="M957" s="1">
        <f t="shared" si="115"/>
        <v>116.49</v>
      </c>
      <c r="N957" s="10">
        <f t="shared" si="116"/>
        <v>11649</v>
      </c>
      <c r="O957" s="1" t="b">
        <f>IFERROR(IF(ISNUMBER(Raw!G957),TRUE,OR(EXACT(L957,TEXT(M957,"0.00")),EXACT(L957,TEXT(M957,"#,##0.00")))),FALSE)</f>
        <v>1</v>
      </c>
      <c r="P957" s="1" t="str">
        <f>LEN(IF(Raw!A957="","",Raw!A957))&amp;":"&amp;IF(Raw!A957="","",Raw!A957)&amp;"|"&amp;LEN(IF(Raw!B957="","",Raw!B957))&amp;":"&amp;IF(Raw!B957="","",Raw!B957)&amp;"|"&amp;LEN(IF(Raw!C957="","",Raw!C957))&amp;":"&amp;IF(Raw!C957="","",Raw!C957)&amp;"|"&amp;LEN(IF(Raw!D957="","",Raw!D957))&amp;":"&amp;IF(Raw!D957="","",Raw!D957)&amp;"|"&amp;LEN(IF(Raw!E957="","",Raw!E957))&amp;":"&amp;IF(Raw!E957="","",Raw!E957)&amp;"|"&amp;LEN(IF(Raw!F957="","",Raw!F957))&amp;":"&amp;IF(Raw!F957="","",Raw!F957)&amp;"|"&amp;LEN(IF(Raw!G957="","",Raw!G957))&amp;":"&amp;IF(Raw!G957="","",Raw!G957)</f>
        <v>6:L00951|6:T00476|10:2026-03-27|3:P-O|6:Office|4:sale|6:116.49</v>
      </c>
      <c r="Q957" s="1">
        <f>1</f>
        <v>1</v>
      </c>
      <c r="R957" s="1" t="b">
        <f>FALSE</f>
        <v>0</v>
      </c>
      <c r="S957" s="1">
        <f>1</f>
        <v>1</v>
      </c>
      <c r="T957" s="1" t="str">
        <f>IF(AND(Raw!A957="",Raw!B957="",Raw!C957="",Raw!D957="",Raw!E957="",Raw!F957="",Raw!G957=""),"UNUSED",IF(A957="","missing line ID",IF(B957="","missing transaction ID",IF(G957="",IF(C957="","missing date","invalid date"),IF(I957="","unknown product",IF(J957="","conflicting category",IF(NOT(OR(EXACT(K957,"sale"),EXACT(K957,"refund"))),"unknown event",IF(OR(N957="",NOT(O957)),"invalid amount",IF(OR(AND(K957="sale",N957&lt;=0),AND(K957="refund",N957&gt;=0)),"invalid sign","")))))))))</f>
        <v/>
      </c>
      <c r="U957" s="1" t="str">
        <f t="shared" si="117"/>
        <v>INCLUDED</v>
      </c>
      <c r="V957" s="1" t="str">
        <f t="shared" si="118"/>
        <v>2026-03</v>
      </c>
      <c r="W957" s="1">
        <f>IF(AND(U957="INCLUDED",X957&gt;0,EXACT(A957,'AI output'!A957)),1,0)</f>
        <v>1</v>
      </c>
      <c r="X957" s="1">
        <f>957</f>
        <v>957</v>
      </c>
      <c r="Y957" s="1">
        <f>IF(AND(U957="INCLUDED",W957=1),--(NOT(EXACT(A957,'AI output'!A957)))+--(NOT(EXACT(B957,'AI output'!B957)))+--(NOT(EXACT(TEXT(G957,"yyyy-mm-dd"),'AI output'!C957)))+--(NOT(EXACT(H957,'AI output'!D957)))+--(NOT(EXACT(J957,'AI output'!E957)))+--(NOT(EXACT(K957,'AI output'!F957)))+--(N957&lt;&gt;'AI output'!L957)+--(NOT('AI output'!M957)),0)</f>
        <v>0</v>
      </c>
      <c r="Z957" s="1">
        <f t="shared" si="119"/>
        <v>0</v>
      </c>
      <c r="AA957" s="1">
        <f>--EXACT(A957,"L00951")</f>
        <v>1</v>
      </c>
    </row>
    <row r="958" spans="1:27" ht="18.95" customHeight="1">
      <c r="A958" s="1" t="str">
        <f>IF(Raw!A958="","",Raw!A958)</f>
        <v>L00952</v>
      </c>
      <c r="B958" s="1" t="str">
        <f>IF(Raw!B958="","",Raw!B958)</f>
        <v>T00476</v>
      </c>
      <c r="C958" s="1" t="str">
        <f>IF(Raw!C958="","",Raw!C958)</f>
        <v>2026-03-27</v>
      </c>
      <c r="D958" s="1">
        <f t="shared" si="112"/>
        <v>2026</v>
      </c>
      <c r="E958" s="1">
        <f>IFERROR(IF(AND(LEN(C958)=10,MID(C958,5,1)="-",MID(C958,8,1)="-"),VALUE(MID(C958,6,2)),IF(AND(LEN(C958)=11,MID(C958,3,1)="-",MID(C958,7,1)="-"),MATCH(UPPER(MID(C958,4,3)),Guide!$D$7:$D$18,0),0)),0)</f>
        <v>3</v>
      </c>
      <c r="F958" s="1">
        <f t="shared" si="113"/>
        <v>27</v>
      </c>
      <c r="G958" s="9">
        <f t="shared" si="114"/>
        <v>46108</v>
      </c>
      <c r="H958" s="1" t="str">
        <f>IF(Raw!D958="","",Raw!D958)</f>
        <v>P-A</v>
      </c>
      <c r="I958" s="1" t="str">
        <f>IFERROR(IF(EXACT(H958,INDEX(Guide!$A$7:$A$9,MATCH(SUBSTITUTE(SUBSTITUTE(SUBSTITUTE(H958,"~","~~"),"*","~*"),"?","~?"),Guide!$A$7:$A$9,0))),INDEX(Guide!$B$7:$B$9,MATCH(SUBSTITUTE(SUBSTITUTE(SUBSTITUTE(H958,"~","~~"),"*","~*"),"?","~?"),Guide!$A$7:$A$9,0)),""),"")</f>
        <v>Accessories</v>
      </c>
      <c r="J958" s="1" t="str">
        <f>IF(TRIM(Raw!E958)="",I958,IF(UPPER(TRIM(Raw!E958))=UPPER(I958),I958,""))</f>
        <v>Accessories</v>
      </c>
      <c r="K958" s="1" t="str">
        <f>IF(Raw!F958="","",Raw!F958)</f>
        <v>sale</v>
      </c>
      <c r="L958" s="1" t="str">
        <f>IF(LEFT(TRIM(Raw!G958),2)="-$","-"&amp;MID(TRIM(Raw!G958),3,99),IF(LEFT(TRIM(Raw!G958),1)="$",MID(TRIM(Raw!G958),2,99),TRIM(Raw!G958)))</f>
        <v>350.58</v>
      </c>
      <c r="M958" s="1">
        <f t="shared" si="115"/>
        <v>350.58</v>
      </c>
      <c r="N958" s="10">
        <f t="shared" si="116"/>
        <v>35058</v>
      </c>
      <c r="O958" s="1" t="b">
        <f>IFERROR(IF(ISNUMBER(Raw!G958),TRUE,OR(EXACT(L958,TEXT(M958,"0.00")),EXACT(L958,TEXT(M958,"#,##0.00")))),FALSE)</f>
        <v>1</v>
      </c>
      <c r="P958" s="1" t="str">
        <f>LEN(IF(Raw!A958="","",Raw!A958))&amp;":"&amp;IF(Raw!A958="","",Raw!A958)&amp;"|"&amp;LEN(IF(Raw!B958="","",Raw!B958))&amp;":"&amp;IF(Raw!B958="","",Raw!B958)&amp;"|"&amp;LEN(IF(Raw!C958="","",Raw!C958))&amp;":"&amp;IF(Raw!C958="","",Raw!C958)&amp;"|"&amp;LEN(IF(Raw!D958="","",Raw!D958))&amp;":"&amp;IF(Raw!D958="","",Raw!D958)&amp;"|"&amp;LEN(IF(Raw!E958="","",Raw!E958))&amp;":"&amp;IF(Raw!E958="","",Raw!E958)&amp;"|"&amp;LEN(IF(Raw!F958="","",Raw!F958))&amp;":"&amp;IF(Raw!F958="","",Raw!F958)&amp;"|"&amp;LEN(IF(Raw!G958="","",Raw!G958))&amp;":"&amp;IF(Raw!G958="","",Raw!G958)</f>
        <v>6:L00952|6:T00476|10:2026-03-27|3:P-A|11:Accessories|4:sale|6:350.58</v>
      </c>
      <c r="Q958" s="1">
        <f>1</f>
        <v>1</v>
      </c>
      <c r="R958" s="1" t="b">
        <f>FALSE</f>
        <v>0</v>
      </c>
      <c r="S958" s="1">
        <f>1</f>
        <v>1</v>
      </c>
      <c r="T958" s="1" t="str">
        <f>IF(AND(Raw!A958="",Raw!B958="",Raw!C958="",Raw!D958="",Raw!E958="",Raw!F958="",Raw!G958=""),"UNUSED",IF(A958="","missing line ID",IF(B958="","missing transaction ID",IF(G958="",IF(C958="","missing date","invalid date"),IF(I958="","unknown product",IF(J958="","conflicting category",IF(NOT(OR(EXACT(K958,"sale"),EXACT(K958,"refund"))),"unknown event",IF(OR(N958="",NOT(O958)),"invalid amount",IF(OR(AND(K958="sale",N958&lt;=0),AND(K958="refund",N958&gt;=0)),"invalid sign","")))))))))</f>
        <v/>
      </c>
      <c r="U958" s="1" t="str">
        <f t="shared" si="117"/>
        <v>INCLUDED</v>
      </c>
      <c r="V958" s="1" t="str">
        <f t="shared" si="118"/>
        <v>2026-03</v>
      </c>
      <c r="W958" s="1">
        <f>IF(AND(U958="INCLUDED",X958&gt;0,EXACT(A958,'AI output'!A958)),1,0)</f>
        <v>1</v>
      </c>
      <c r="X958" s="1">
        <f>958</f>
        <v>958</v>
      </c>
      <c r="Y958" s="1">
        <f>IF(AND(U958="INCLUDED",W958=1),--(NOT(EXACT(A958,'AI output'!A958)))+--(NOT(EXACT(B958,'AI output'!B958)))+--(NOT(EXACT(TEXT(G958,"yyyy-mm-dd"),'AI output'!C958)))+--(NOT(EXACT(H958,'AI output'!D958)))+--(NOT(EXACT(J958,'AI output'!E958)))+--(NOT(EXACT(K958,'AI output'!F958)))+--(N958&lt;&gt;'AI output'!L958)+--(NOT('AI output'!M958)),0)</f>
        <v>0</v>
      </c>
      <c r="Z958" s="1">
        <f t="shared" si="119"/>
        <v>0</v>
      </c>
      <c r="AA958" s="1">
        <f>--EXACT(A958,"L00952")</f>
        <v>1</v>
      </c>
    </row>
    <row r="959" spans="1:27" ht="18.95" customHeight="1">
      <c r="A959" s="1" t="str">
        <f>IF(Raw!A959="","",Raw!A959)</f>
        <v>L00953</v>
      </c>
      <c r="B959" s="1" t="str">
        <f>IF(Raw!B959="","",Raw!B959)</f>
        <v>T00477</v>
      </c>
      <c r="C959" s="1" t="str">
        <f>IF(Raw!C959="","",Raw!C959)</f>
        <v>2026-01-03</v>
      </c>
      <c r="D959" s="1">
        <f t="shared" si="112"/>
        <v>2026</v>
      </c>
      <c r="E959" s="1">
        <f>IFERROR(IF(AND(LEN(C959)=10,MID(C959,5,1)="-",MID(C959,8,1)="-"),VALUE(MID(C959,6,2)),IF(AND(LEN(C959)=11,MID(C959,3,1)="-",MID(C959,7,1)="-"),MATCH(UPPER(MID(C959,4,3)),Guide!$D$7:$D$18,0),0)),0)</f>
        <v>1</v>
      </c>
      <c r="F959" s="1">
        <f t="shared" si="113"/>
        <v>3</v>
      </c>
      <c r="G959" s="9">
        <f t="shared" si="114"/>
        <v>46025</v>
      </c>
      <c r="H959" s="1" t="str">
        <f>IF(Raw!D959="","",Raw!D959)</f>
        <v>P-H</v>
      </c>
      <c r="I959" s="1" t="str">
        <f>IFERROR(IF(EXACT(H959,INDEX(Guide!$A$7:$A$9,MATCH(SUBSTITUTE(SUBSTITUTE(SUBSTITUTE(H959,"~","~~"),"*","~*"),"?","~?"),Guide!$A$7:$A$9,0))),INDEX(Guide!$B$7:$B$9,MATCH(SUBSTITUTE(SUBSTITUTE(SUBSTITUTE(H959,"~","~~"),"*","~*"),"?","~?"),Guide!$A$7:$A$9,0)),""),"")</f>
        <v>Home</v>
      </c>
      <c r="J959" s="1" t="str">
        <f>IF(TRIM(Raw!E959)="",I959,IF(UPPER(TRIM(Raw!E959))=UPPER(I959),I959,""))</f>
        <v>Home</v>
      </c>
      <c r="K959" s="1" t="str">
        <f>IF(Raw!F959="","",Raw!F959)</f>
        <v>sale</v>
      </c>
      <c r="L959" s="1" t="str">
        <f>IF(LEFT(TRIM(Raw!G959),2)="-$","-"&amp;MID(TRIM(Raw!G959),3,99),IF(LEFT(TRIM(Raw!G959),1)="$",MID(TRIM(Raw!G959),2,99),TRIM(Raw!G959)))</f>
        <v>586.15</v>
      </c>
      <c r="M959" s="1">
        <f t="shared" si="115"/>
        <v>586.15</v>
      </c>
      <c r="N959" s="10">
        <f t="shared" si="116"/>
        <v>58615</v>
      </c>
      <c r="O959" s="1" t="b">
        <f>IFERROR(IF(ISNUMBER(Raw!G959),TRUE,OR(EXACT(L959,TEXT(M959,"0.00")),EXACT(L959,TEXT(M959,"#,##0.00")))),FALSE)</f>
        <v>1</v>
      </c>
      <c r="P959" s="1" t="str">
        <f>LEN(IF(Raw!A959="","",Raw!A959))&amp;":"&amp;IF(Raw!A959="","",Raw!A959)&amp;"|"&amp;LEN(IF(Raw!B959="","",Raw!B959))&amp;":"&amp;IF(Raw!B959="","",Raw!B959)&amp;"|"&amp;LEN(IF(Raw!C959="","",Raw!C959))&amp;":"&amp;IF(Raw!C959="","",Raw!C959)&amp;"|"&amp;LEN(IF(Raw!D959="","",Raw!D959))&amp;":"&amp;IF(Raw!D959="","",Raw!D959)&amp;"|"&amp;LEN(IF(Raw!E959="","",Raw!E959))&amp;":"&amp;IF(Raw!E959="","",Raw!E959)&amp;"|"&amp;LEN(IF(Raw!F959="","",Raw!F959))&amp;":"&amp;IF(Raw!F959="","",Raw!F959)&amp;"|"&amp;LEN(IF(Raw!G959="","",Raw!G959))&amp;":"&amp;IF(Raw!G959="","",Raw!G959)</f>
        <v>6:L00953|6:T00477|10:2026-01-03|3:P-H|4:Home|4:sale|6:586.15</v>
      </c>
      <c r="Q959" s="1">
        <f>1</f>
        <v>1</v>
      </c>
      <c r="R959" s="1" t="b">
        <f>FALSE</f>
        <v>0</v>
      </c>
      <c r="S959" s="1">
        <f>1</f>
        <v>1</v>
      </c>
      <c r="T959" s="1" t="str">
        <f>IF(AND(Raw!A959="",Raw!B959="",Raw!C959="",Raw!D959="",Raw!E959="",Raw!F959="",Raw!G959=""),"UNUSED",IF(A959="","missing line ID",IF(B959="","missing transaction ID",IF(G959="",IF(C959="","missing date","invalid date"),IF(I959="","unknown product",IF(J959="","conflicting category",IF(NOT(OR(EXACT(K959,"sale"),EXACT(K959,"refund"))),"unknown event",IF(OR(N959="",NOT(O959)),"invalid amount",IF(OR(AND(K959="sale",N959&lt;=0),AND(K959="refund",N959&gt;=0)),"invalid sign","")))))))))</f>
        <v/>
      </c>
      <c r="U959" s="1" t="str">
        <f t="shared" si="117"/>
        <v>INCLUDED</v>
      </c>
      <c r="V959" s="1" t="str">
        <f t="shared" si="118"/>
        <v>2026-01</v>
      </c>
      <c r="W959" s="1">
        <f>IF(AND(U959="INCLUDED",X959&gt;0,EXACT(A959,'AI output'!A959)),1,0)</f>
        <v>1</v>
      </c>
      <c r="X959" s="1">
        <f>959</f>
        <v>959</v>
      </c>
      <c r="Y959" s="1">
        <f>IF(AND(U959="INCLUDED",W959=1),--(NOT(EXACT(A959,'AI output'!A959)))+--(NOT(EXACT(B959,'AI output'!B959)))+--(NOT(EXACT(TEXT(G959,"yyyy-mm-dd"),'AI output'!C959)))+--(NOT(EXACT(H959,'AI output'!D959)))+--(NOT(EXACT(J959,'AI output'!E959)))+--(NOT(EXACT(K959,'AI output'!F959)))+--(N959&lt;&gt;'AI output'!L959)+--(NOT('AI output'!M959)),0)</f>
        <v>0</v>
      </c>
      <c r="Z959" s="1">
        <f t="shared" si="119"/>
        <v>0</v>
      </c>
      <c r="AA959" s="1">
        <f>--EXACT(A959,"L00953")</f>
        <v>1</v>
      </c>
    </row>
    <row r="960" spans="1:27" ht="18.95" customHeight="1">
      <c r="A960" s="1" t="str">
        <f>IF(Raw!A960="","",Raw!A960)</f>
        <v>L00954</v>
      </c>
      <c r="B960" s="1" t="str">
        <f>IF(Raw!B960="","",Raw!B960)</f>
        <v>T00477</v>
      </c>
      <c r="C960" s="1" t="str">
        <f>IF(Raw!C960="","",Raw!C960)</f>
        <v>2026-01-03</v>
      </c>
      <c r="D960" s="1">
        <f t="shared" si="112"/>
        <v>2026</v>
      </c>
      <c r="E960" s="1">
        <f>IFERROR(IF(AND(LEN(C960)=10,MID(C960,5,1)="-",MID(C960,8,1)="-"),VALUE(MID(C960,6,2)),IF(AND(LEN(C960)=11,MID(C960,3,1)="-",MID(C960,7,1)="-"),MATCH(UPPER(MID(C960,4,3)),Guide!$D$7:$D$18,0),0)),0)</f>
        <v>1</v>
      </c>
      <c r="F960" s="1">
        <f t="shared" si="113"/>
        <v>3</v>
      </c>
      <c r="G960" s="9">
        <f t="shared" si="114"/>
        <v>46025</v>
      </c>
      <c r="H960" s="1" t="str">
        <f>IF(Raw!D960="","",Raw!D960)</f>
        <v>P-O</v>
      </c>
      <c r="I960" s="1" t="str">
        <f>IFERROR(IF(EXACT(H960,INDEX(Guide!$A$7:$A$9,MATCH(SUBSTITUTE(SUBSTITUTE(SUBSTITUTE(H960,"~","~~"),"*","~*"),"?","~?"),Guide!$A$7:$A$9,0))),INDEX(Guide!$B$7:$B$9,MATCH(SUBSTITUTE(SUBSTITUTE(SUBSTITUTE(H960,"~","~~"),"*","~*"),"?","~?"),Guide!$A$7:$A$9,0)),""),"")</f>
        <v>Office</v>
      </c>
      <c r="J960" s="1" t="str">
        <f>IF(TRIM(Raw!E960)="",I960,IF(UPPER(TRIM(Raw!E960))=UPPER(I960),I960,""))</f>
        <v>Office</v>
      </c>
      <c r="K960" s="1" t="str">
        <f>IF(Raw!F960="","",Raw!F960)</f>
        <v>sale</v>
      </c>
      <c r="L960" s="1" t="str">
        <f>IF(LEFT(TRIM(Raw!G960),2)="-$","-"&amp;MID(TRIM(Raw!G960),3,99),IF(LEFT(TRIM(Raw!G960),1)="$",MID(TRIM(Raw!G960),2,99),TRIM(Raw!G960)))</f>
        <v>235.20</v>
      </c>
      <c r="M960" s="1">
        <f t="shared" si="115"/>
        <v>235.2</v>
      </c>
      <c r="N960" s="10">
        <f t="shared" si="116"/>
        <v>23520</v>
      </c>
      <c r="O960" s="1" t="b">
        <f>IFERROR(IF(ISNUMBER(Raw!G960),TRUE,OR(EXACT(L960,TEXT(M960,"0.00")),EXACT(L960,TEXT(M960,"#,##0.00")))),FALSE)</f>
        <v>1</v>
      </c>
      <c r="P960" s="1" t="str">
        <f>LEN(IF(Raw!A960="","",Raw!A960))&amp;":"&amp;IF(Raw!A960="","",Raw!A960)&amp;"|"&amp;LEN(IF(Raw!B960="","",Raw!B960))&amp;":"&amp;IF(Raw!B960="","",Raw!B960)&amp;"|"&amp;LEN(IF(Raw!C960="","",Raw!C960))&amp;":"&amp;IF(Raw!C960="","",Raw!C960)&amp;"|"&amp;LEN(IF(Raw!D960="","",Raw!D960))&amp;":"&amp;IF(Raw!D960="","",Raw!D960)&amp;"|"&amp;LEN(IF(Raw!E960="","",Raw!E960))&amp;":"&amp;IF(Raw!E960="","",Raw!E960)&amp;"|"&amp;LEN(IF(Raw!F960="","",Raw!F960))&amp;":"&amp;IF(Raw!F960="","",Raw!F960)&amp;"|"&amp;LEN(IF(Raw!G960="","",Raw!G960))&amp;":"&amp;IF(Raw!G960="","",Raw!G960)</f>
        <v>6:L00954|6:T00477|10:2026-01-03|3:P-O|6:Office|4:sale|6:235.20</v>
      </c>
      <c r="Q960" s="1">
        <f>1</f>
        <v>1</v>
      </c>
      <c r="R960" s="1" t="b">
        <f>FALSE</f>
        <v>0</v>
      </c>
      <c r="S960" s="1">
        <f>1</f>
        <v>1</v>
      </c>
      <c r="T960" s="1" t="str">
        <f>IF(AND(Raw!A960="",Raw!B960="",Raw!C960="",Raw!D960="",Raw!E960="",Raw!F960="",Raw!G960=""),"UNUSED",IF(A960="","missing line ID",IF(B960="","missing transaction ID",IF(G960="",IF(C960="","missing date","invalid date"),IF(I960="","unknown product",IF(J960="","conflicting category",IF(NOT(OR(EXACT(K960,"sale"),EXACT(K960,"refund"))),"unknown event",IF(OR(N960="",NOT(O960)),"invalid amount",IF(OR(AND(K960="sale",N960&lt;=0),AND(K960="refund",N960&gt;=0)),"invalid sign","")))))))))</f>
        <v/>
      </c>
      <c r="U960" s="1" t="str">
        <f t="shared" si="117"/>
        <v>INCLUDED</v>
      </c>
      <c r="V960" s="1" t="str">
        <f t="shared" si="118"/>
        <v>2026-01</v>
      </c>
      <c r="W960" s="1">
        <f>IF(AND(U960="INCLUDED",X960&gt;0,EXACT(A960,'AI output'!A960)),1,0)</f>
        <v>1</v>
      </c>
      <c r="X960" s="1">
        <f>960</f>
        <v>960</v>
      </c>
      <c r="Y960" s="1">
        <f>IF(AND(U960="INCLUDED",W960=1),--(NOT(EXACT(A960,'AI output'!A960)))+--(NOT(EXACT(B960,'AI output'!B960)))+--(NOT(EXACT(TEXT(G960,"yyyy-mm-dd"),'AI output'!C960)))+--(NOT(EXACT(H960,'AI output'!D960)))+--(NOT(EXACT(J960,'AI output'!E960)))+--(NOT(EXACT(K960,'AI output'!F960)))+--(N960&lt;&gt;'AI output'!L960)+--(NOT('AI output'!M960)),0)</f>
        <v>0</v>
      </c>
      <c r="Z960" s="1">
        <f t="shared" si="119"/>
        <v>0</v>
      </c>
      <c r="AA960" s="1">
        <f>--EXACT(A960,"L00954")</f>
        <v>1</v>
      </c>
    </row>
    <row r="961" spans="1:27" ht="18.95" customHeight="1">
      <c r="A961" s="1" t="str">
        <f>IF(Raw!A961="","",Raw!A961)</f>
        <v>L00955</v>
      </c>
      <c r="B961" s="1" t="str">
        <f>IF(Raw!B961="","",Raw!B961)</f>
        <v>T00478</v>
      </c>
      <c r="C961" s="1" t="str">
        <f>IF(Raw!C961="","",Raw!C961)</f>
        <v>2026-01-10</v>
      </c>
      <c r="D961" s="1">
        <f t="shared" si="112"/>
        <v>2026</v>
      </c>
      <c r="E961" s="1">
        <f>IFERROR(IF(AND(LEN(C961)=10,MID(C961,5,1)="-",MID(C961,8,1)="-"),VALUE(MID(C961,6,2)),IF(AND(LEN(C961)=11,MID(C961,3,1)="-",MID(C961,7,1)="-"),MATCH(UPPER(MID(C961,4,3)),Guide!$D$7:$D$18,0),0)),0)</f>
        <v>1</v>
      </c>
      <c r="F961" s="1">
        <f t="shared" si="113"/>
        <v>10</v>
      </c>
      <c r="G961" s="9">
        <f t="shared" si="114"/>
        <v>46032</v>
      </c>
      <c r="H961" s="1" t="str">
        <f>IF(Raw!D961="","",Raw!D961)</f>
        <v>P-A</v>
      </c>
      <c r="I961" s="1" t="str">
        <f>IFERROR(IF(EXACT(H961,INDEX(Guide!$A$7:$A$9,MATCH(SUBSTITUTE(SUBSTITUTE(SUBSTITUTE(H961,"~","~~"),"*","~*"),"?","~?"),Guide!$A$7:$A$9,0))),INDEX(Guide!$B$7:$B$9,MATCH(SUBSTITUTE(SUBSTITUTE(SUBSTITUTE(H961,"~","~~"),"*","~*"),"?","~?"),Guide!$A$7:$A$9,0)),""),"")</f>
        <v>Accessories</v>
      </c>
      <c r="J961" s="1" t="str">
        <f>IF(TRIM(Raw!E961)="",I961,IF(UPPER(TRIM(Raw!E961))=UPPER(I961),I961,""))</f>
        <v>Accessories</v>
      </c>
      <c r="K961" s="1" t="str">
        <f>IF(Raw!F961="","",Raw!F961)</f>
        <v>sale</v>
      </c>
      <c r="L961" s="1" t="str">
        <f>IF(LEFT(TRIM(Raw!G961),2)="-$","-"&amp;MID(TRIM(Raw!G961),3,99),IF(LEFT(TRIM(Raw!G961),1)="$",MID(TRIM(Raw!G961),2,99),TRIM(Raw!G961)))</f>
        <v>471.88</v>
      </c>
      <c r="M961" s="1">
        <f t="shared" si="115"/>
        <v>471.88</v>
      </c>
      <c r="N961" s="10">
        <f t="shared" si="116"/>
        <v>47188</v>
      </c>
      <c r="O961" s="1" t="b">
        <f>IFERROR(IF(ISNUMBER(Raw!G961),TRUE,OR(EXACT(L961,TEXT(M961,"0.00")),EXACT(L961,TEXT(M961,"#,##0.00")))),FALSE)</f>
        <v>1</v>
      </c>
      <c r="P961" s="1" t="str">
        <f>LEN(IF(Raw!A961="","",Raw!A961))&amp;":"&amp;IF(Raw!A961="","",Raw!A961)&amp;"|"&amp;LEN(IF(Raw!B961="","",Raw!B961))&amp;":"&amp;IF(Raw!B961="","",Raw!B961)&amp;"|"&amp;LEN(IF(Raw!C961="","",Raw!C961))&amp;":"&amp;IF(Raw!C961="","",Raw!C961)&amp;"|"&amp;LEN(IF(Raw!D961="","",Raw!D961))&amp;":"&amp;IF(Raw!D961="","",Raw!D961)&amp;"|"&amp;LEN(IF(Raw!E961="","",Raw!E961))&amp;":"&amp;IF(Raw!E961="","",Raw!E961)&amp;"|"&amp;LEN(IF(Raw!F961="","",Raw!F961))&amp;":"&amp;IF(Raw!F961="","",Raw!F961)&amp;"|"&amp;LEN(IF(Raw!G961="","",Raw!G961))&amp;":"&amp;IF(Raw!G961="","",Raw!G961)</f>
        <v>6:L00955|6:T00478|10:2026-01-10|3:P-A|11:Accessories|4:sale|6:471.88</v>
      </c>
      <c r="Q961" s="1">
        <f>1</f>
        <v>1</v>
      </c>
      <c r="R961" s="1" t="b">
        <f>FALSE</f>
        <v>0</v>
      </c>
      <c r="S961" s="1">
        <f>1</f>
        <v>1</v>
      </c>
      <c r="T961" s="1" t="str">
        <f>IF(AND(Raw!A961="",Raw!B961="",Raw!C961="",Raw!D961="",Raw!E961="",Raw!F961="",Raw!G961=""),"UNUSED",IF(A961="","missing line ID",IF(B961="","missing transaction ID",IF(G961="",IF(C961="","missing date","invalid date"),IF(I961="","unknown product",IF(J961="","conflicting category",IF(NOT(OR(EXACT(K961,"sale"),EXACT(K961,"refund"))),"unknown event",IF(OR(N961="",NOT(O961)),"invalid amount",IF(OR(AND(K961="sale",N961&lt;=0),AND(K961="refund",N961&gt;=0)),"invalid sign","")))))))))</f>
        <v/>
      </c>
      <c r="U961" s="1" t="str">
        <f t="shared" si="117"/>
        <v>INCLUDED</v>
      </c>
      <c r="V961" s="1" t="str">
        <f t="shared" si="118"/>
        <v>2026-01</v>
      </c>
      <c r="W961" s="1">
        <f>IF(AND(U961="INCLUDED",X961&gt;0,EXACT(A961,'AI output'!A961)),1,0)</f>
        <v>1</v>
      </c>
      <c r="X961" s="1">
        <f>961</f>
        <v>961</v>
      </c>
      <c r="Y961" s="1">
        <f>IF(AND(U961="INCLUDED",W961=1),--(NOT(EXACT(A961,'AI output'!A961)))+--(NOT(EXACT(B961,'AI output'!B961)))+--(NOT(EXACT(TEXT(G961,"yyyy-mm-dd"),'AI output'!C961)))+--(NOT(EXACT(H961,'AI output'!D961)))+--(NOT(EXACT(J961,'AI output'!E961)))+--(NOT(EXACT(K961,'AI output'!F961)))+--(N961&lt;&gt;'AI output'!L961)+--(NOT('AI output'!M961)),0)</f>
        <v>0</v>
      </c>
      <c r="Z961" s="1">
        <f t="shared" si="119"/>
        <v>0</v>
      </c>
      <c r="AA961" s="1">
        <f>--EXACT(A961,"L00955")</f>
        <v>1</v>
      </c>
    </row>
    <row r="962" spans="1:27" ht="18.95" customHeight="1">
      <c r="A962" s="1" t="str">
        <f>IF(Raw!A962="","",Raw!A962)</f>
        <v>L00956</v>
      </c>
      <c r="B962" s="1" t="str">
        <f>IF(Raw!B962="","",Raw!B962)</f>
        <v>T00478</v>
      </c>
      <c r="C962" s="1" t="str">
        <f>IF(Raw!C962="","",Raw!C962)</f>
        <v>2026-01-10</v>
      </c>
      <c r="D962" s="1">
        <f t="shared" si="112"/>
        <v>2026</v>
      </c>
      <c r="E962" s="1">
        <f>IFERROR(IF(AND(LEN(C962)=10,MID(C962,5,1)="-",MID(C962,8,1)="-"),VALUE(MID(C962,6,2)),IF(AND(LEN(C962)=11,MID(C962,3,1)="-",MID(C962,7,1)="-"),MATCH(UPPER(MID(C962,4,3)),Guide!$D$7:$D$18,0),0)),0)</f>
        <v>1</v>
      </c>
      <c r="F962" s="1">
        <f t="shared" si="113"/>
        <v>10</v>
      </c>
      <c r="G962" s="9">
        <f t="shared" si="114"/>
        <v>46032</v>
      </c>
      <c r="H962" s="1" t="str">
        <f>IF(Raw!D962="","",Raw!D962)</f>
        <v>P-H</v>
      </c>
      <c r="I962" s="1" t="str">
        <f>IFERROR(IF(EXACT(H962,INDEX(Guide!$A$7:$A$9,MATCH(SUBSTITUTE(SUBSTITUTE(SUBSTITUTE(H962,"~","~~"),"*","~*"),"?","~?"),Guide!$A$7:$A$9,0))),INDEX(Guide!$B$7:$B$9,MATCH(SUBSTITUTE(SUBSTITUTE(SUBSTITUTE(H962,"~","~~"),"*","~*"),"?","~?"),Guide!$A$7:$A$9,0)),""),"")</f>
        <v>Home</v>
      </c>
      <c r="J962" s="1" t="str">
        <f>IF(TRIM(Raw!E962)="",I962,IF(UPPER(TRIM(Raw!E962))=UPPER(I962),I962,""))</f>
        <v>Home</v>
      </c>
      <c r="K962" s="1" t="str">
        <f>IF(Raw!F962="","",Raw!F962)</f>
        <v>sale</v>
      </c>
      <c r="L962" s="1" t="str">
        <f>IF(LEFT(TRIM(Raw!G962),2)="-$","-"&amp;MID(TRIM(Raw!G962),3,99),IF(LEFT(TRIM(Raw!G962),1)="$",MID(TRIM(Raw!G962),2,99),TRIM(Raw!G962)))</f>
        <v>118.34</v>
      </c>
      <c r="M962" s="1">
        <f t="shared" si="115"/>
        <v>118.34</v>
      </c>
      <c r="N962" s="10">
        <f t="shared" si="116"/>
        <v>11834</v>
      </c>
      <c r="O962" s="1" t="b">
        <f>IFERROR(IF(ISNUMBER(Raw!G962),TRUE,OR(EXACT(L962,TEXT(M962,"0.00")),EXACT(L962,TEXT(M962,"#,##0.00")))),FALSE)</f>
        <v>1</v>
      </c>
      <c r="P962" s="1" t="str">
        <f>LEN(IF(Raw!A962="","",Raw!A962))&amp;":"&amp;IF(Raw!A962="","",Raw!A962)&amp;"|"&amp;LEN(IF(Raw!B962="","",Raw!B962))&amp;":"&amp;IF(Raw!B962="","",Raw!B962)&amp;"|"&amp;LEN(IF(Raw!C962="","",Raw!C962))&amp;":"&amp;IF(Raw!C962="","",Raw!C962)&amp;"|"&amp;LEN(IF(Raw!D962="","",Raw!D962))&amp;":"&amp;IF(Raw!D962="","",Raw!D962)&amp;"|"&amp;LEN(IF(Raw!E962="","",Raw!E962))&amp;":"&amp;IF(Raw!E962="","",Raw!E962)&amp;"|"&amp;LEN(IF(Raw!F962="","",Raw!F962))&amp;":"&amp;IF(Raw!F962="","",Raw!F962)&amp;"|"&amp;LEN(IF(Raw!G962="","",Raw!G962))&amp;":"&amp;IF(Raw!G962="","",Raw!G962)</f>
        <v>6:L00956|6:T00478|10:2026-01-10|3:P-H|4:Home|4:sale|6:118.34</v>
      </c>
      <c r="Q962" s="1">
        <f>1</f>
        <v>1</v>
      </c>
      <c r="R962" s="1" t="b">
        <f>FALSE</f>
        <v>0</v>
      </c>
      <c r="S962" s="1">
        <f>1</f>
        <v>1</v>
      </c>
      <c r="T962" s="1" t="str">
        <f>IF(AND(Raw!A962="",Raw!B962="",Raw!C962="",Raw!D962="",Raw!E962="",Raw!F962="",Raw!G962=""),"UNUSED",IF(A962="","missing line ID",IF(B962="","missing transaction ID",IF(G962="",IF(C962="","missing date","invalid date"),IF(I962="","unknown product",IF(J962="","conflicting category",IF(NOT(OR(EXACT(K962,"sale"),EXACT(K962,"refund"))),"unknown event",IF(OR(N962="",NOT(O962)),"invalid amount",IF(OR(AND(K962="sale",N962&lt;=0),AND(K962="refund",N962&gt;=0)),"invalid sign","")))))))))</f>
        <v/>
      </c>
      <c r="U962" s="1" t="str">
        <f t="shared" si="117"/>
        <v>INCLUDED</v>
      </c>
      <c r="V962" s="1" t="str">
        <f t="shared" si="118"/>
        <v>2026-01</v>
      </c>
      <c r="W962" s="1">
        <f>IF(AND(U962="INCLUDED",X962&gt;0,EXACT(A962,'AI output'!A962)),1,0)</f>
        <v>1</v>
      </c>
      <c r="X962" s="1">
        <f>962</f>
        <v>962</v>
      </c>
      <c r="Y962" s="1">
        <f>IF(AND(U962="INCLUDED",W962=1),--(NOT(EXACT(A962,'AI output'!A962)))+--(NOT(EXACT(B962,'AI output'!B962)))+--(NOT(EXACT(TEXT(G962,"yyyy-mm-dd"),'AI output'!C962)))+--(NOT(EXACT(H962,'AI output'!D962)))+--(NOT(EXACT(J962,'AI output'!E962)))+--(NOT(EXACT(K962,'AI output'!F962)))+--(N962&lt;&gt;'AI output'!L962)+--(NOT('AI output'!M962)),0)</f>
        <v>0</v>
      </c>
      <c r="Z962" s="1">
        <f t="shared" si="119"/>
        <v>0</v>
      </c>
      <c r="AA962" s="1">
        <f>--EXACT(A962,"L00956")</f>
        <v>1</v>
      </c>
    </row>
    <row r="963" spans="1:27" ht="18.95" customHeight="1">
      <c r="A963" s="1" t="str">
        <f>IF(Raw!A963="","",Raw!A963)</f>
        <v>L00957</v>
      </c>
      <c r="B963" s="1" t="str">
        <f>IF(Raw!B963="","",Raw!B963)</f>
        <v>T00479</v>
      </c>
      <c r="C963" s="1" t="str">
        <f>IF(Raw!C963="","",Raw!C963)</f>
        <v>2026-01-17</v>
      </c>
      <c r="D963" s="1">
        <f t="shared" si="112"/>
        <v>2026</v>
      </c>
      <c r="E963" s="1">
        <f>IFERROR(IF(AND(LEN(C963)=10,MID(C963,5,1)="-",MID(C963,8,1)="-"),VALUE(MID(C963,6,2)),IF(AND(LEN(C963)=11,MID(C963,3,1)="-",MID(C963,7,1)="-"),MATCH(UPPER(MID(C963,4,3)),Guide!$D$7:$D$18,0),0)),0)</f>
        <v>1</v>
      </c>
      <c r="F963" s="1">
        <f t="shared" si="113"/>
        <v>17</v>
      </c>
      <c r="G963" s="9">
        <f t="shared" si="114"/>
        <v>46039</v>
      </c>
      <c r="H963" s="1" t="str">
        <f>IF(Raw!D963="","",Raw!D963)</f>
        <v>P-O</v>
      </c>
      <c r="I963" s="1" t="str">
        <f>IFERROR(IF(EXACT(H963,INDEX(Guide!$A$7:$A$9,MATCH(SUBSTITUTE(SUBSTITUTE(SUBSTITUTE(H963,"~","~~"),"*","~*"),"?","~?"),Guide!$A$7:$A$9,0))),INDEX(Guide!$B$7:$B$9,MATCH(SUBSTITUTE(SUBSTITUTE(SUBSTITUTE(H963,"~","~~"),"*","~*"),"?","~?"),Guide!$A$7:$A$9,0)),""),"")</f>
        <v>Office</v>
      </c>
      <c r="J963" s="1" t="str">
        <f>IF(TRIM(Raw!E963)="",I963,IF(UPPER(TRIM(Raw!E963))=UPPER(I963),I963,""))</f>
        <v>Office</v>
      </c>
      <c r="K963" s="1" t="str">
        <f>IF(Raw!F963="","",Raw!F963)</f>
        <v>sale</v>
      </c>
      <c r="L963" s="1" t="str">
        <f>IF(LEFT(TRIM(Raw!G963),2)="-$","-"&amp;MID(TRIM(Raw!G963),3,99),IF(LEFT(TRIM(Raw!G963),1)="$",MID(TRIM(Raw!G963),2,99),TRIM(Raw!G963)))</f>
        <v>356.13</v>
      </c>
      <c r="M963" s="1">
        <f t="shared" si="115"/>
        <v>356.13</v>
      </c>
      <c r="N963" s="10">
        <f t="shared" si="116"/>
        <v>35613</v>
      </c>
      <c r="O963" s="1" t="b">
        <f>IFERROR(IF(ISNUMBER(Raw!G963),TRUE,OR(EXACT(L963,TEXT(M963,"0.00")),EXACT(L963,TEXT(M963,"#,##0.00")))),FALSE)</f>
        <v>1</v>
      </c>
      <c r="P963" s="1" t="str">
        <f>LEN(IF(Raw!A963="","",Raw!A963))&amp;":"&amp;IF(Raw!A963="","",Raw!A963)&amp;"|"&amp;LEN(IF(Raw!B963="","",Raw!B963))&amp;":"&amp;IF(Raw!B963="","",Raw!B963)&amp;"|"&amp;LEN(IF(Raw!C963="","",Raw!C963))&amp;":"&amp;IF(Raw!C963="","",Raw!C963)&amp;"|"&amp;LEN(IF(Raw!D963="","",Raw!D963))&amp;":"&amp;IF(Raw!D963="","",Raw!D963)&amp;"|"&amp;LEN(IF(Raw!E963="","",Raw!E963))&amp;":"&amp;IF(Raw!E963="","",Raw!E963)&amp;"|"&amp;LEN(IF(Raw!F963="","",Raw!F963))&amp;":"&amp;IF(Raw!F963="","",Raw!F963)&amp;"|"&amp;LEN(IF(Raw!G963="","",Raw!G963))&amp;":"&amp;IF(Raw!G963="","",Raw!G963)</f>
        <v>6:L00957|6:T00479|10:2026-01-17|3:P-O|6:Office|4:sale|6:356.13</v>
      </c>
      <c r="Q963" s="1">
        <f>1</f>
        <v>1</v>
      </c>
      <c r="R963" s="1" t="b">
        <f>FALSE</f>
        <v>0</v>
      </c>
      <c r="S963" s="1">
        <f>1</f>
        <v>1</v>
      </c>
      <c r="T963" s="1" t="str">
        <f>IF(AND(Raw!A963="",Raw!B963="",Raw!C963="",Raw!D963="",Raw!E963="",Raw!F963="",Raw!G963=""),"UNUSED",IF(A963="","missing line ID",IF(B963="","missing transaction ID",IF(G963="",IF(C963="","missing date","invalid date"),IF(I963="","unknown product",IF(J963="","conflicting category",IF(NOT(OR(EXACT(K963,"sale"),EXACT(K963,"refund"))),"unknown event",IF(OR(N963="",NOT(O963)),"invalid amount",IF(OR(AND(K963="sale",N963&lt;=0),AND(K963="refund",N963&gt;=0)),"invalid sign","")))))))))</f>
        <v/>
      </c>
      <c r="U963" s="1" t="str">
        <f t="shared" si="117"/>
        <v>INCLUDED</v>
      </c>
      <c r="V963" s="1" t="str">
        <f t="shared" si="118"/>
        <v>2026-01</v>
      </c>
      <c r="W963" s="1">
        <f>IF(AND(U963="INCLUDED",X963&gt;0,EXACT(A963,'AI output'!A963)),1,0)</f>
        <v>1</v>
      </c>
      <c r="X963" s="1">
        <f>963</f>
        <v>963</v>
      </c>
      <c r="Y963" s="1">
        <f>IF(AND(U963="INCLUDED",W963=1),--(NOT(EXACT(A963,'AI output'!A963)))+--(NOT(EXACT(B963,'AI output'!B963)))+--(NOT(EXACT(TEXT(G963,"yyyy-mm-dd"),'AI output'!C963)))+--(NOT(EXACT(H963,'AI output'!D963)))+--(NOT(EXACT(J963,'AI output'!E963)))+--(NOT(EXACT(K963,'AI output'!F963)))+--(N963&lt;&gt;'AI output'!L963)+--(NOT('AI output'!M963)),0)</f>
        <v>0</v>
      </c>
      <c r="Z963" s="1">
        <f t="shared" si="119"/>
        <v>0</v>
      </c>
      <c r="AA963" s="1">
        <f>--EXACT(A963,"L00957")</f>
        <v>1</v>
      </c>
    </row>
    <row r="964" spans="1:27" ht="18.95" customHeight="1">
      <c r="A964" s="1" t="str">
        <f>IF(Raw!A964="","",Raw!A964)</f>
        <v>L00958</v>
      </c>
      <c r="B964" s="1" t="str">
        <f>IF(Raw!B964="","",Raw!B964)</f>
        <v>T00479</v>
      </c>
      <c r="C964" s="1" t="str">
        <f>IF(Raw!C964="","",Raw!C964)</f>
        <v>2026-01-17</v>
      </c>
      <c r="D964" s="1">
        <f t="shared" si="112"/>
        <v>2026</v>
      </c>
      <c r="E964" s="1">
        <f>IFERROR(IF(AND(LEN(C964)=10,MID(C964,5,1)="-",MID(C964,8,1)="-"),VALUE(MID(C964,6,2)),IF(AND(LEN(C964)=11,MID(C964,3,1)="-",MID(C964,7,1)="-"),MATCH(UPPER(MID(C964,4,3)),Guide!$D$7:$D$18,0),0)),0)</f>
        <v>1</v>
      </c>
      <c r="F964" s="1">
        <f t="shared" si="113"/>
        <v>17</v>
      </c>
      <c r="G964" s="9">
        <f t="shared" si="114"/>
        <v>46039</v>
      </c>
      <c r="H964" s="1" t="str">
        <f>IF(Raw!D964="","",Raw!D964)</f>
        <v>P-A</v>
      </c>
      <c r="I964" s="1" t="str">
        <f>IFERROR(IF(EXACT(H964,INDEX(Guide!$A$7:$A$9,MATCH(SUBSTITUTE(SUBSTITUTE(SUBSTITUTE(H964,"~","~~"),"*","~*"),"?","~?"),Guide!$A$7:$A$9,0))),INDEX(Guide!$B$7:$B$9,MATCH(SUBSTITUTE(SUBSTITUTE(SUBSTITUTE(H964,"~","~~"),"*","~*"),"?","~?"),Guide!$A$7:$A$9,0)),""),"")</f>
        <v>Accessories</v>
      </c>
      <c r="J964" s="1" t="str">
        <f>IF(TRIM(Raw!E964)="",I964,IF(UPPER(TRIM(Raw!E964))=UPPER(I964),I964,""))</f>
        <v>Accessories</v>
      </c>
      <c r="K964" s="1" t="str">
        <f>IF(Raw!F964="","",Raw!F964)</f>
        <v>sale</v>
      </c>
      <c r="L964" s="1" t="str">
        <f>IF(LEFT(TRIM(Raw!G964),2)="-$","-"&amp;MID(TRIM(Raw!G964),3,99),IF(LEFT(TRIM(Raw!G964),1)="$",MID(TRIM(Raw!G964),2,99),TRIM(Raw!G964)))</f>
        <v>595.40</v>
      </c>
      <c r="M964" s="1">
        <f t="shared" si="115"/>
        <v>595.4</v>
      </c>
      <c r="N964" s="10">
        <f t="shared" si="116"/>
        <v>59540</v>
      </c>
      <c r="O964" s="1" t="b">
        <f>IFERROR(IF(ISNUMBER(Raw!G964),TRUE,OR(EXACT(L964,TEXT(M964,"0.00")),EXACT(L964,TEXT(M964,"#,##0.00")))),FALSE)</f>
        <v>1</v>
      </c>
      <c r="P964" s="1" t="str">
        <f>LEN(IF(Raw!A964="","",Raw!A964))&amp;":"&amp;IF(Raw!A964="","",Raw!A964)&amp;"|"&amp;LEN(IF(Raw!B964="","",Raw!B964))&amp;":"&amp;IF(Raw!B964="","",Raw!B964)&amp;"|"&amp;LEN(IF(Raw!C964="","",Raw!C964))&amp;":"&amp;IF(Raw!C964="","",Raw!C964)&amp;"|"&amp;LEN(IF(Raw!D964="","",Raw!D964))&amp;":"&amp;IF(Raw!D964="","",Raw!D964)&amp;"|"&amp;LEN(IF(Raw!E964="","",Raw!E964))&amp;":"&amp;IF(Raw!E964="","",Raw!E964)&amp;"|"&amp;LEN(IF(Raw!F964="","",Raw!F964))&amp;":"&amp;IF(Raw!F964="","",Raw!F964)&amp;"|"&amp;LEN(IF(Raw!G964="","",Raw!G964))&amp;":"&amp;IF(Raw!G964="","",Raw!G964)</f>
        <v>6:L00958|6:T00479|10:2026-01-17|3:P-A|11:Accessories|4:sale|6:595.40</v>
      </c>
      <c r="Q964" s="1">
        <f>1</f>
        <v>1</v>
      </c>
      <c r="R964" s="1" t="b">
        <f>FALSE</f>
        <v>0</v>
      </c>
      <c r="S964" s="1">
        <f>1</f>
        <v>1</v>
      </c>
      <c r="T964" s="1" t="str">
        <f>IF(AND(Raw!A964="",Raw!B964="",Raw!C964="",Raw!D964="",Raw!E964="",Raw!F964="",Raw!G964=""),"UNUSED",IF(A964="","missing line ID",IF(B964="","missing transaction ID",IF(G964="",IF(C964="","missing date","invalid date"),IF(I964="","unknown product",IF(J964="","conflicting category",IF(NOT(OR(EXACT(K964,"sale"),EXACT(K964,"refund"))),"unknown event",IF(OR(N964="",NOT(O964)),"invalid amount",IF(OR(AND(K964="sale",N964&lt;=0),AND(K964="refund",N964&gt;=0)),"invalid sign","")))))))))</f>
        <v/>
      </c>
      <c r="U964" s="1" t="str">
        <f t="shared" si="117"/>
        <v>INCLUDED</v>
      </c>
      <c r="V964" s="1" t="str">
        <f t="shared" si="118"/>
        <v>2026-01</v>
      </c>
      <c r="W964" s="1">
        <f>IF(AND(U964="INCLUDED",X964&gt;0,EXACT(A964,'AI output'!A964)),1,0)</f>
        <v>1</v>
      </c>
      <c r="X964" s="1">
        <f>964</f>
        <v>964</v>
      </c>
      <c r="Y964" s="1">
        <f>IF(AND(U964="INCLUDED",W964=1),--(NOT(EXACT(A964,'AI output'!A964)))+--(NOT(EXACT(B964,'AI output'!B964)))+--(NOT(EXACT(TEXT(G964,"yyyy-mm-dd"),'AI output'!C964)))+--(NOT(EXACT(H964,'AI output'!D964)))+--(NOT(EXACT(J964,'AI output'!E964)))+--(NOT(EXACT(K964,'AI output'!F964)))+--(N964&lt;&gt;'AI output'!L964)+--(NOT('AI output'!M964)),0)</f>
        <v>0</v>
      </c>
      <c r="Z964" s="1">
        <f t="shared" si="119"/>
        <v>0</v>
      </c>
      <c r="AA964" s="1">
        <f>--EXACT(A964,"L00958")</f>
        <v>1</v>
      </c>
    </row>
    <row r="965" spans="1:27" ht="18.95" customHeight="1">
      <c r="A965" s="1" t="str">
        <f>IF(Raw!A965="","",Raw!A965)</f>
        <v>L00959</v>
      </c>
      <c r="B965" s="1" t="str">
        <f>IF(Raw!B965="","",Raw!B965)</f>
        <v>T00480</v>
      </c>
      <c r="C965" s="1" t="str">
        <f>IF(Raw!C965="","",Raw!C965)</f>
        <v>2026-01-24</v>
      </c>
      <c r="D965" s="1">
        <f t="shared" si="112"/>
        <v>2026</v>
      </c>
      <c r="E965" s="1">
        <f>IFERROR(IF(AND(LEN(C965)=10,MID(C965,5,1)="-",MID(C965,8,1)="-"),VALUE(MID(C965,6,2)),IF(AND(LEN(C965)=11,MID(C965,3,1)="-",MID(C965,7,1)="-"),MATCH(UPPER(MID(C965,4,3)),Guide!$D$7:$D$18,0),0)),0)</f>
        <v>1</v>
      </c>
      <c r="F965" s="1">
        <f t="shared" si="113"/>
        <v>24</v>
      </c>
      <c r="G965" s="9">
        <f t="shared" si="114"/>
        <v>46046</v>
      </c>
      <c r="H965" s="1" t="str">
        <f>IF(Raw!D965="","",Raw!D965)</f>
        <v>P-H</v>
      </c>
      <c r="I965" s="1" t="str">
        <f>IFERROR(IF(EXACT(H965,INDEX(Guide!$A$7:$A$9,MATCH(SUBSTITUTE(SUBSTITUTE(SUBSTITUTE(H965,"~","~~"),"*","~*"),"?","~?"),Guide!$A$7:$A$9,0))),INDEX(Guide!$B$7:$B$9,MATCH(SUBSTITUTE(SUBSTITUTE(SUBSTITUTE(H965,"~","~~"),"*","~*"),"?","~?"),Guide!$A$7:$A$9,0)),""),"")</f>
        <v>Home</v>
      </c>
      <c r="J965" s="1" t="str">
        <f>IF(TRIM(Raw!E965)="",I965,IF(UPPER(TRIM(Raw!E965))=UPPER(I965),I965,""))</f>
        <v>Home</v>
      </c>
      <c r="K965" s="1" t="str">
        <f>IF(Raw!F965="","",Raw!F965)</f>
        <v>sale</v>
      </c>
      <c r="L965" s="1" t="str">
        <f>IF(LEFT(TRIM(Raw!G965),2)="-$","-"&amp;MID(TRIM(Raw!G965),3,99),IF(LEFT(TRIM(Raw!G965),1)="$",MID(TRIM(Raw!G965),2,99),TRIM(Raw!G965)))</f>
        <v>238.90</v>
      </c>
      <c r="M965" s="1">
        <f t="shared" si="115"/>
        <v>238.9</v>
      </c>
      <c r="N965" s="10">
        <f t="shared" si="116"/>
        <v>23890</v>
      </c>
      <c r="O965" s="1" t="b">
        <f>IFERROR(IF(ISNUMBER(Raw!G965),TRUE,OR(EXACT(L965,TEXT(M965,"0.00")),EXACT(L965,TEXT(M965,"#,##0.00")))),FALSE)</f>
        <v>1</v>
      </c>
      <c r="P965" s="1" t="str">
        <f>LEN(IF(Raw!A965="","",Raw!A965))&amp;":"&amp;IF(Raw!A965="","",Raw!A965)&amp;"|"&amp;LEN(IF(Raw!B965="","",Raw!B965))&amp;":"&amp;IF(Raw!B965="","",Raw!B965)&amp;"|"&amp;LEN(IF(Raw!C965="","",Raw!C965))&amp;":"&amp;IF(Raw!C965="","",Raw!C965)&amp;"|"&amp;LEN(IF(Raw!D965="","",Raw!D965))&amp;":"&amp;IF(Raw!D965="","",Raw!D965)&amp;"|"&amp;LEN(IF(Raw!E965="","",Raw!E965))&amp;":"&amp;IF(Raw!E965="","",Raw!E965)&amp;"|"&amp;LEN(IF(Raw!F965="","",Raw!F965))&amp;":"&amp;IF(Raw!F965="","",Raw!F965)&amp;"|"&amp;LEN(IF(Raw!G965="","",Raw!G965))&amp;":"&amp;IF(Raw!G965="","",Raw!G965)</f>
        <v>6:L00959|6:T00480|10:2026-01-24|3:P-H|4:Home|4:sale|6:238.90</v>
      </c>
      <c r="Q965" s="1">
        <f>1</f>
        <v>1</v>
      </c>
      <c r="R965" s="1" t="b">
        <f>FALSE</f>
        <v>0</v>
      </c>
      <c r="S965" s="1">
        <f>1</f>
        <v>1</v>
      </c>
      <c r="T965" s="1" t="str">
        <f>IF(AND(Raw!A965="",Raw!B965="",Raw!C965="",Raw!D965="",Raw!E965="",Raw!F965="",Raw!G965=""),"UNUSED",IF(A965="","missing line ID",IF(B965="","missing transaction ID",IF(G965="",IF(C965="","missing date","invalid date"),IF(I965="","unknown product",IF(J965="","conflicting category",IF(NOT(OR(EXACT(K965,"sale"),EXACT(K965,"refund"))),"unknown event",IF(OR(N965="",NOT(O965)),"invalid amount",IF(OR(AND(K965="sale",N965&lt;=0),AND(K965="refund",N965&gt;=0)),"invalid sign","")))))))))</f>
        <v/>
      </c>
      <c r="U965" s="1" t="str">
        <f t="shared" si="117"/>
        <v>INCLUDED</v>
      </c>
      <c r="V965" s="1" t="str">
        <f t="shared" si="118"/>
        <v>2026-01</v>
      </c>
      <c r="W965" s="1">
        <f>IF(AND(U965="INCLUDED",X965&gt;0,EXACT(A965,'AI output'!A965)),1,0)</f>
        <v>1</v>
      </c>
      <c r="X965" s="1">
        <f>965</f>
        <v>965</v>
      </c>
      <c r="Y965" s="1">
        <f>IF(AND(U965="INCLUDED",W965=1),--(NOT(EXACT(A965,'AI output'!A965)))+--(NOT(EXACT(B965,'AI output'!B965)))+--(NOT(EXACT(TEXT(G965,"yyyy-mm-dd"),'AI output'!C965)))+--(NOT(EXACT(H965,'AI output'!D965)))+--(NOT(EXACT(J965,'AI output'!E965)))+--(NOT(EXACT(K965,'AI output'!F965)))+--(N965&lt;&gt;'AI output'!L965)+--(NOT('AI output'!M965)),0)</f>
        <v>0</v>
      </c>
      <c r="Z965" s="1">
        <f t="shared" si="119"/>
        <v>0</v>
      </c>
      <c r="AA965" s="1">
        <f>--EXACT(A965,"L00959")</f>
        <v>1</v>
      </c>
    </row>
    <row r="966" spans="1:27" ht="18.95" customHeight="1">
      <c r="A966" s="1" t="str">
        <f>IF(Raw!A966="","",Raw!A966)</f>
        <v>L00960</v>
      </c>
      <c r="B966" s="1" t="str">
        <f>IF(Raw!B966="","",Raw!B966)</f>
        <v>T00480</v>
      </c>
      <c r="C966" s="1" t="str">
        <f>IF(Raw!C966="","",Raw!C966)</f>
        <v>2026-01-24</v>
      </c>
      <c r="D966" s="1">
        <f t="shared" si="112"/>
        <v>2026</v>
      </c>
      <c r="E966" s="1">
        <f>IFERROR(IF(AND(LEN(C966)=10,MID(C966,5,1)="-",MID(C966,8,1)="-"),VALUE(MID(C966,6,2)),IF(AND(LEN(C966)=11,MID(C966,3,1)="-",MID(C966,7,1)="-"),MATCH(UPPER(MID(C966,4,3)),Guide!$D$7:$D$18,0),0)),0)</f>
        <v>1</v>
      </c>
      <c r="F966" s="1">
        <f t="shared" si="113"/>
        <v>24</v>
      </c>
      <c r="G966" s="9">
        <f t="shared" si="114"/>
        <v>46046</v>
      </c>
      <c r="H966" s="1" t="str">
        <f>IF(Raw!D966="","",Raw!D966)</f>
        <v>P-O</v>
      </c>
      <c r="I966" s="1" t="str">
        <f>IFERROR(IF(EXACT(H966,INDEX(Guide!$A$7:$A$9,MATCH(SUBSTITUTE(SUBSTITUTE(SUBSTITUTE(H966,"~","~~"),"*","~*"),"?","~?"),Guide!$A$7:$A$9,0))),INDEX(Guide!$B$7:$B$9,MATCH(SUBSTITUTE(SUBSTITUTE(SUBSTITUTE(H966,"~","~~"),"*","~*"),"?","~?"),Guide!$A$7:$A$9,0)),""),"")</f>
        <v>Office</v>
      </c>
      <c r="J966" s="1" t="str">
        <f>IF(TRIM(Raw!E966)="",I966,IF(UPPER(TRIM(Raw!E966))=UPPER(I966),I966,""))</f>
        <v>Office</v>
      </c>
      <c r="K966" s="1" t="str">
        <f>IF(Raw!F966="","",Raw!F966)</f>
        <v>sale</v>
      </c>
      <c r="L966" s="1" t="str">
        <f>IF(LEFT(TRIM(Raw!G966),2)="-$","-"&amp;MID(TRIM(Raw!G966),3,99),IF(LEFT(TRIM(Raw!G966),1)="$",MID(TRIM(Raw!G966),2,99),TRIM(Raw!G966)))</f>
        <v>479.28</v>
      </c>
      <c r="M966" s="1">
        <f t="shared" si="115"/>
        <v>479.28</v>
      </c>
      <c r="N966" s="10">
        <f t="shared" si="116"/>
        <v>47928</v>
      </c>
      <c r="O966" s="1" t="b">
        <f>IFERROR(IF(ISNUMBER(Raw!G966),TRUE,OR(EXACT(L966,TEXT(M966,"0.00")),EXACT(L966,TEXT(M966,"#,##0.00")))),FALSE)</f>
        <v>1</v>
      </c>
      <c r="P966" s="1" t="str">
        <f>LEN(IF(Raw!A966="","",Raw!A966))&amp;":"&amp;IF(Raw!A966="","",Raw!A966)&amp;"|"&amp;LEN(IF(Raw!B966="","",Raw!B966))&amp;":"&amp;IF(Raw!B966="","",Raw!B966)&amp;"|"&amp;LEN(IF(Raw!C966="","",Raw!C966))&amp;":"&amp;IF(Raw!C966="","",Raw!C966)&amp;"|"&amp;LEN(IF(Raw!D966="","",Raw!D966))&amp;":"&amp;IF(Raw!D966="","",Raw!D966)&amp;"|"&amp;LEN(IF(Raw!E966="","",Raw!E966))&amp;":"&amp;IF(Raw!E966="","",Raw!E966)&amp;"|"&amp;LEN(IF(Raw!F966="","",Raw!F966))&amp;":"&amp;IF(Raw!F966="","",Raw!F966)&amp;"|"&amp;LEN(IF(Raw!G966="","",Raw!G966))&amp;":"&amp;IF(Raw!G966="","",Raw!G966)</f>
        <v>6:L00960|6:T00480|10:2026-01-24|3:P-O|6:Office|4:sale|6:479.28</v>
      </c>
      <c r="Q966" s="1">
        <f>1</f>
        <v>1</v>
      </c>
      <c r="R966" s="1" t="b">
        <f>FALSE</f>
        <v>0</v>
      </c>
      <c r="S966" s="1">
        <f>1</f>
        <v>1</v>
      </c>
      <c r="T966" s="1" t="str">
        <f>IF(AND(Raw!A966="",Raw!B966="",Raw!C966="",Raw!D966="",Raw!E966="",Raw!F966="",Raw!G966=""),"UNUSED",IF(A966="","missing line ID",IF(B966="","missing transaction ID",IF(G966="",IF(C966="","missing date","invalid date"),IF(I966="","unknown product",IF(J966="","conflicting category",IF(NOT(OR(EXACT(K966,"sale"),EXACT(K966,"refund"))),"unknown event",IF(OR(N966="",NOT(O966)),"invalid amount",IF(OR(AND(K966="sale",N966&lt;=0),AND(K966="refund",N966&gt;=0)),"invalid sign","")))))))))</f>
        <v/>
      </c>
      <c r="U966" s="1" t="str">
        <f t="shared" si="117"/>
        <v>INCLUDED</v>
      </c>
      <c r="V966" s="1" t="str">
        <f t="shared" si="118"/>
        <v>2026-01</v>
      </c>
      <c r="W966" s="1">
        <f>IF(AND(U966="INCLUDED",X966&gt;0,EXACT(A966,'AI output'!A966)),1,0)</f>
        <v>1</v>
      </c>
      <c r="X966" s="1">
        <f>966</f>
        <v>966</v>
      </c>
      <c r="Y966" s="1">
        <f>IF(AND(U966="INCLUDED",W966=1),--(NOT(EXACT(A966,'AI output'!A966)))+--(NOT(EXACT(B966,'AI output'!B966)))+--(NOT(EXACT(TEXT(G966,"yyyy-mm-dd"),'AI output'!C966)))+--(NOT(EXACT(H966,'AI output'!D966)))+--(NOT(EXACT(J966,'AI output'!E966)))+--(NOT(EXACT(K966,'AI output'!F966)))+--(N966&lt;&gt;'AI output'!L966)+--(NOT('AI output'!M966)),0)</f>
        <v>0</v>
      </c>
      <c r="Z966" s="1">
        <f t="shared" si="119"/>
        <v>0</v>
      </c>
      <c r="AA966" s="1">
        <f>--EXACT(A966,"L00960")</f>
        <v>1</v>
      </c>
    </row>
    <row r="967" spans="1:27" ht="18.95" customHeight="1">
      <c r="A967" s="1" t="str">
        <f>IF(Raw!A967="","",Raw!A967)</f>
        <v>L00961</v>
      </c>
      <c r="B967" s="1" t="str">
        <f>IF(Raw!B967="","",Raw!B967)</f>
        <v>T00481</v>
      </c>
      <c r="C967" s="1" t="str">
        <f>IF(Raw!C967="","",Raw!C967)</f>
        <v>2026-01-31</v>
      </c>
      <c r="D967" s="1">
        <f t="shared" ref="D967:D1030" si="120">IFERROR(IF(AND(LEN(C967)=10,MID(C967,5,1)="-",MID(C967,8,1)="-"),VALUE(LEFT(C967,4)),IF(AND(LEN(C967)=11,MID(C967,3,1)="-",MID(C967,7,1)="-"),VALUE(RIGHT(C967,4)),0)),0)</f>
        <v>2026</v>
      </c>
      <c r="E967" s="1">
        <f>IFERROR(IF(AND(LEN(C967)=10,MID(C967,5,1)="-",MID(C967,8,1)="-"),VALUE(MID(C967,6,2)),IF(AND(LEN(C967)=11,MID(C967,3,1)="-",MID(C967,7,1)="-"),MATCH(UPPER(MID(C967,4,3)),Guide!$D$7:$D$18,0),0)),0)</f>
        <v>1</v>
      </c>
      <c r="F967" s="1">
        <f t="shared" ref="F967:F1030" si="121">IFERROR(IF(AND(LEN(C967)=10,MID(C967,5,1)="-",MID(C967,8,1)="-"),VALUE(RIGHT(C967,2)),IF(AND(LEN(C967)=11,MID(C967,3,1)="-",MID(C967,7,1)="-"),VALUE(LEFT(C967,2)),0)),0)</f>
        <v>31</v>
      </c>
      <c r="G967" s="9">
        <f t="shared" ref="G967:G1030" si="122">IFERROR(IF(AND(D967&gt;=1900,D967&lt;=9999,YEAR(DATE(D967,E967,F967))=D967,MONTH(DATE(D967,E967,F967))=E967,DAY(DATE(D967,E967,F967))=F967),DATE(D967,E967,F967),""),"")</f>
        <v>46053</v>
      </c>
      <c r="H967" s="1" t="str">
        <f>IF(Raw!D967="","",Raw!D967)</f>
        <v>P-A</v>
      </c>
      <c r="I967" s="1" t="str">
        <f>IFERROR(IF(EXACT(H967,INDEX(Guide!$A$7:$A$9,MATCH(SUBSTITUTE(SUBSTITUTE(SUBSTITUTE(H967,"~","~~"),"*","~*"),"?","~?"),Guide!$A$7:$A$9,0))),INDEX(Guide!$B$7:$B$9,MATCH(SUBSTITUTE(SUBSTITUTE(SUBSTITUTE(H967,"~","~~"),"*","~*"),"?","~?"),Guide!$A$7:$A$9,0)),""),"")</f>
        <v>Accessories</v>
      </c>
      <c r="J967" s="1" t="str">
        <f>IF(TRIM(Raw!E967)="",I967,IF(UPPER(TRIM(Raw!E967))=UPPER(I967),I967,""))</f>
        <v>Accessories</v>
      </c>
      <c r="K967" s="1" t="str">
        <f>IF(Raw!F967="","",Raw!F967)</f>
        <v>sale</v>
      </c>
      <c r="L967" s="1" t="str">
        <f>IF(LEFT(TRIM(Raw!G967),2)="-$","-"&amp;MID(TRIM(Raw!G967),3,99),IF(LEFT(TRIM(Raw!G967),1)="$",MID(TRIM(Raw!G967),2,99),TRIM(Raw!G967)))</f>
        <v>120.19</v>
      </c>
      <c r="M967" s="1">
        <f t="shared" ref="M967:M1030" si="123">IFERROR(VALUE(L967),"")</f>
        <v>120.19</v>
      </c>
      <c r="N967" s="10">
        <f t="shared" ref="N967:N1030" si="124">IF(AND(ISNUMBER(M967),ABS(M967*100-ROUND(M967*100,0))&lt;0.0000001),ROUND(M967*100,0),"")</f>
        <v>12019</v>
      </c>
      <c r="O967" s="1" t="b">
        <f>IFERROR(IF(ISNUMBER(Raw!G967),TRUE,OR(EXACT(L967,TEXT(M967,"0.00")),EXACT(L967,TEXT(M967,"#,##0.00")))),FALSE)</f>
        <v>1</v>
      </c>
      <c r="P967" s="1" t="str">
        <f>LEN(IF(Raw!A967="","",Raw!A967))&amp;":"&amp;IF(Raw!A967="","",Raw!A967)&amp;"|"&amp;LEN(IF(Raw!B967="","",Raw!B967))&amp;":"&amp;IF(Raw!B967="","",Raw!B967)&amp;"|"&amp;LEN(IF(Raw!C967="","",Raw!C967))&amp;":"&amp;IF(Raw!C967="","",Raw!C967)&amp;"|"&amp;LEN(IF(Raw!D967="","",Raw!D967))&amp;":"&amp;IF(Raw!D967="","",Raw!D967)&amp;"|"&amp;LEN(IF(Raw!E967="","",Raw!E967))&amp;":"&amp;IF(Raw!E967="","",Raw!E967)&amp;"|"&amp;LEN(IF(Raw!F967="","",Raw!F967))&amp;":"&amp;IF(Raw!F967="","",Raw!F967)&amp;"|"&amp;LEN(IF(Raw!G967="","",Raw!G967))&amp;":"&amp;IF(Raw!G967="","",Raw!G967)</f>
        <v>6:L00961|6:T00481|10:2026-01-31|3:P-A|11:Accessories|4:sale|6:120.19</v>
      </c>
      <c r="Q967" s="1">
        <f>1</f>
        <v>1</v>
      </c>
      <c r="R967" s="1" t="b">
        <f>FALSE</f>
        <v>0</v>
      </c>
      <c r="S967" s="1">
        <f>1</f>
        <v>1</v>
      </c>
      <c r="T967" s="1" t="str">
        <f>IF(AND(Raw!A967="",Raw!B967="",Raw!C967="",Raw!D967="",Raw!E967="",Raw!F967="",Raw!G967=""),"UNUSED",IF(A967="","missing line ID",IF(B967="","missing transaction ID",IF(G967="",IF(C967="","missing date","invalid date"),IF(I967="","unknown product",IF(J967="","conflicting category",IF(NOT(OR(EXACT(K967,"sale"),EXACT(K967,"refund"))),"unknown event",IF(OR(N967="",NOT(O967)),"invalid amount",IF(OR(AND(K967="sale",N967&lt;=0),AND(K967="refund",N967&gt;=0)),"invalid sign","")))))))))</f>
        <v/>
      </c>
      <c r="U967" s="1" t="str">
        <f t="shared" ref="U967:U1030" si="125">IF(T967="UNUSED","UNUSED",IF(R967,"QUARANTINE",IF(S967&gt;1,"DUPLICATE",IF(T967&lt;&gt;"","QUARANTINE","INCLUDED"))))</f>
        <v>INCLUDED</v>
      </c>
      <c r="V967" s="1" t="str">
        <f t="shared" ref="V967:V1030" si="126">IF(G967="","",TEXT(G967,"yyyy-mm"))</f>
        <v>2026-01</v>
      </c>
      <c r="W967" s="1">
        <f>IF(AND(U967="INCLUDED",X967&gt;0,EXACT(A967,'AI output'!A967)),1,0)</f>
        <v>1</v>
      </c>
      <c r="X967" s="1">
        <f>967</f>
        <v>967</v>
      </c>
      <c r="Y967" s="1">
        <f>IF(AND(U967="INCLUDED",W967=1),--(NOT(EXACT(A967,'AI output'!A967)))+--(NOT(EXACT(B967,'AI output'!B967)))+--(NOT(EXACT(TEXT(G967,"yyyy-mm-dd"),'AI output'!C967)))+--(NOT(EXACT(H967,'AI output'!D967)))+--(NOT(EXACT(J967,'AI output'!E967)))+--(NOT(EXACT(K967,'AI output'!F967)))+--(N967&lt;&gt;'AI output'!L967)+--(NOT('AI output'!M967)),0)</f>
        <v>0</v>
      </c>
      <c r="Z967" s="1">
        <f t="shared" ref="Z967:Z1030" si="127">IF(U967="INCLUDED",IF(OR(W967&lt;&gt;1,Y967&lt;&gt;0),1,0),0)</f>
        <v>0</v>
      </c>
      <c r="AA967" s="1">
        <f>--EXACT(A967,"L00961")</f>
        <v>1</v>
      </c>
    </row>
    <row r="968" spans="1:27" ht="18.95" customHeight="1">
      <c r="A968" s="1" t="str">
        <f>IF(Raw!A968="","",Raw!A968)</f>
        <v>L00962</v>
      </c>
      <c r="B968" s="1" t="str">
        <f>IF(Raw!B968="","",Raw!B968)</f>
        <v>T00481</v>
      </c>
      <c r="C968" s="1" t="str">
        <f>IF(Raw!C968="","",Raw!C968)</f>
        <v>2026-01-31</v>
      </c>
      <c r="D968" s="1">
        <f t="shared" si="120"/>
        <v>2026</v>
      </c>
      <c r="E968" s="1">
        <f>IFERROR(IF(AND(LEN(C968)=10,MID(C968,5,1)="-",MID(C968,8,1)="-"),VALUE(MID(C968,6,2)),IF(AND(LEN(C968)=11,MID(C968,3,1)="-",MID(C968,7,1)="-"),MATCH(UPPER(MID(C968,4,3)),Guide!$D$7:$D$18,0),0)),0)</f>
        <v>1</v>
      </c>
      <c r="F968" s="1">
        <f t="shared" si="121"/>
        <v>31</v>
      </c>
      <c r="G968" s="9">
        <f t="shared" si="122"/>
        <v>46053</v>
      </c>
      <c r="H968" s="1" t="str">
        <f>IF(Raw!D968="","",Raw!D968)</f>
        <v>P-H</v>
      </c>
      <c r="I968" s="1" t="str">
        <f>IFERROR(IF(EXACT(H968,INDEX(Guide!$A$7:$A$9,MATCH(SUBSTITUTE(SUBSTITUTE(SUBSTITUTE(H968,"~","~~"),"*","~*"),"?","~?"),Guide!$A$7:$A$9,0))),INDEX(Guide!$B$7:$B$9,MATCH(SUBSTITUTE(SUBSTITUTE(SUBSTITUTE(H968,"~","~~"),"*","~*"),"?","~?"),Guide!$A$7:$A$9,0)),""),"")</f>
        <v>Home</v>
      </c>
      <c r="J968" s="1" t="str">
        <f>IF(TRIM(Raw!E968)="",I968,IF(UPPER(TRIM(Raw!E968))=UPPER(I968),I968,""))</f>
        <v>Home</v>
      </c>
      <c r="K968" s="1" t="str">
        <f>IF(Raw!F968="","",Raw!F968)</f>
        <v>sale</v>
      </c>
      <c r="L968" s="1" t="str">
        <f>IF(LEFT(TRIM(Raw!G968),2)="-$","-"&amp;MID(TRIM(Raw!G968),3,99),IF(LEFT(TRIM(Raw!G968),1)="$",MID(TRIM(Raw!G968),2,99),TRIM(Raw!G968)))</f>
        <v>361.68</v>
      </c>
      <c r="M968" s="1">
        <f t="shared" si="123"/>
        <v>361.68</v>
      </c>
      <c r="N968" s="10">
        <f t="shared" si="124"/>
        <v>36168</v>
      </c>
      <c r="O968" s="1" t="b">
        <f>IFERROR(IF(ISNUMBER(Raw!G968),TRUE,OR(EXACT(L968,TEXT(M968,"0.00")),EXACT(L968,TEXT(M968,"#,##0.00")))),FALSE)</f>
        <v>1</v>
      </c>
      <c r="P968" s="1" t="str">
        <f>LEN(IF(Raw!A968="","",Raw!A968))&amp;":"&amp;IF(Raw!A968="","",Raw!A968)&amp;"|"&amp;LEN(IF(Raw!B968="","",Raw!B968))&amp;":"&amp;IF(Raw!B968="","",Raw!B968)&amp;"|"&amp;LEN(IF(Raw!C968="","",Raw!C968))&amp;":"&amp;IF(Raw!C968="","",Raw!C968)&amp;"|"&amp;LEN(IF(Raw!D968="","",Raw!D968))&amp;":"&amp;IF(Raw!D968="","",Raw!D968)&amp;"|"&amp;LEN(IF(Raw!E968="","",Raw!E968))&amp;":"&amp;IF(Raw!E968="","",Raw!E968)&amp;"|"&amp;LEN(IF(Raw!F968="","",Raw!F968))&amp;":"&amp;IF(Raw!F968="","",Raw!F968)&amp;"|"&amp;LEN(IF(Raw!G968="","",Raw!G968))&amp;":"&amp;IF(Raw!G968="","",Raw!G968)</f>
        <v>6:L00962|6:T00481|10:2026-01-31|3:P-H|4:Home|4:sale|6:361.68</v>
      </c>
      <c r="Q968" s="1">
        <f>1</f>
        <v>1</v>
      </c>
      <c r="R968" s="1" t="b">
        <f>FALSE</f>
        <v>0</v>
      </c>
      <c r="S968" s="1">
        <f>1</f>
        <v>1</v>
      </c>
      <c r="T968" s="1" t="str">
        <f>IF(AND(Raw!A968="",Raw!B968="",Raw!C968="",Raw!D968="",Raw!E968="",Raw!F968="",Raw!G968=""),"UNUSED",IF(A968="","missing line ID",IF(B968="","missing transaction ID",IF(G968="",IF(C968="","missing date","invalid date"),IF(I968="","unknown product",IF(J968="","conflicting category",IF(NOT(OR(EXACT(K968,"sale"),EXACT(K968,"refund"))),"unknown event",IF(OR(N968="",NOT(O968)),"invalid amount",IF(OR(AND(K968="sale",N968&lt;=0),AND(K968="refund",N968&gt;=0)),"invalid sign","")))))))))</f>
        <v/>
      </c>
      <c r="U968" s="1" t="str">
        <f t="shared" si="125"/>
        <v>INCLUDED</v>
      </c>
      <c r="V968" s="1" t="str">
        <f t="shared" si="126"/>
        <v>2026-01</v>
      </c>
      <c r="W968" s="1">
        <f>IF(AND(U968="INCLUDED",X968&gt;0,EXACT(A968,'AI output'!A968)),1,0)</f>
        <v>1</v>
      </c>
      <c r="X968" s="1">
        <f>968</f>
        <v>968</v>
      </c>
      <c r="Y968" s="1">
        <f>IF(AND(U968="INCLUDED",W968=1),--(NOT(EXACT(A968,'AI output'!A968)))+--(NOT(EXACT(B968,'AI output'!B968)))+--(NOT(EXACT(TEXT(G968,"yyyy-mm-dd"),'AI output'!C968)))+--(NOT(EXACT(H968,'AI output'!D968)))+--(NOT(EXACT(J968,'AI output'!E968)))+--(NOT(EXACT(K968,'AI output'!F968)))+--(N968&lt;&gt;'AI output'!L968)+--(NOT('AI output'!M968)),0)</f>
        <v>0</v>
      </c>
      <c r="Z968" s="1">
        <f t="shared" si="127"/>
        <v>0</v>
      </c>
      <c r="AA968" s="1">
        <f>--EXACT(A968,"L00962")</f>
        <v>1</v>
      </c>
    </row>
    <row r="969" spans="1:27" ht="18.95" customHeight="1">
      <c r="A969" s="1" t="str">
        <f>IF(Raw!A969="","",Raw!A969)</f>
        <v>L00963</v>
      </c>
      <c r="B969" s="1" t="str">
        <f>IF(Raw!B969="","",Raw!B969)</f>
        <v>T00482</v>
      </c>
      <c r="C969" s="1" t="str">
        <f>IF(Raw!C969="","",Raw!C969)</f>
        <v>2026-02-07</v>
      </c>
      <c r="D969" s="1">
        <f t="shared" si="120"/>
        <v>2026</v>
      </c>
      <c r="E969" s="1">
        <f>IFERROR(IF(AND(LEN(C969)=10,MID(C969,5,1)="-",MID(C969,8,1)="-"),VALUE(MID(C969,6,2)),IF(AND(LEN(C969)=11,MID(C969,3,1)="-",MID(C969,7,1)="-"),MATCH(UPPER(MID(C969,4,3)),Guide!$D$7:$D$18,0),0)),0)</f>
        <v>2</v>
      </c>
      <c r="F969" s="1">
        <f t="shared" si="121"/>
        <v>7</v>
      </c>
      <c r="G969" s="9">
        <f t="shared" si="122"/>
        <v>46060</v>
      </c>
      <c r="H969" s="1" t="str">
        <f>IF(Raw!D969="","",Raw!D969)</f>
        <v>P-O</v>
      </c>
      <c r="I969" s="1" t="str">
        <f>IFERROR(IF(EXACT(H969,INDEX(Guide!$A$7:$A$9,MATCH(SUBSTITUTE(SUBSTITUTE(SUBSTITUTE(H969,"~","~~"),"*","~*"),"?","~?"),Guide!$A$7:$A$9,0))),INDEX(Guide!$B$7:$B$9,MATCH(SUBSTITUTE(SUBSTITUTE(SUBSTITUTE(H969,"~","~~"),"*","~*"),"?","~?"),Guide!$A$7:$A$9,0)),""),"")</f>
        <v>Office</v>
      </c>
      <c r="J969" s="1" t="str">
        <f>IF(TRIM(Raw!E969)="",I969,IF(UPPER(TRIM(Raw!E969))=UPPER(I969),I969,""))</f>
        <v>Office</v>
      </c>
      <c r="K969" s="1" t="str">
        <f>IF(Raw!F969="","",Raw!F969)</f>
        <v>sale</v>
      </c>
      <c r="L969" s="1" t="str">
        <f>IF(LEFT(TRIM(Raw!G969),2)="-$","-"&amp;MID(TRIM(Raw!G969),3,99),IF(LEFT(TRIM(Raw!G969),1)="$",MID(TRIM(Raw!G969),2,99),TRIM(Raw!G969)))</f>
        <v>604.65</v>
      </c>
      <c r="M969" s="1">
        <f t="shared" si="123"/>
        <v>604.65</v>
      </c>
      <c r="N969" s="10">
        <f t="shared" si="124"/>
        <v>60465</v>
      </c>
      <c r="O969" s="1" t="b">
        <f>IFERROR(IF(ISNUMBER(Raw!G969),TRUE,OR(EXACT(L969,TEXT(M969,"0.00")),EXACT(L969,TEXT(M969,"#,##0.00")))),FALSE)</f>
        <v>1</v>
      </c>
      <c r="P969" s="1" t="str">
        <f>LEN(IF(Raw!A969="","",Raw!A969))&amp;":"&amp;IF(Raw!A969="","",Raw!A969)&amp;"|"&amp;LEN(IF(Raw!B969="","",Raw!B969))&amp;":"&amp;IF(Raw!B969="","",Raw!B969)&amp;"|"&amp;LEN(IF(Raw!C969="","",Raw!C969))&amp;":"&amp;IF(Raw!C969="","",Raw!C969)&amp;"|"&amp;LEN(IF(Raw!D969="","",Raw!D969))&amp;":"&amp;IF(Raw!D969="","",Raw!D969)&amp;"|"&amp;LEN(IF(Raw!E969="","",Raw!E969))&amp;":"&amp;IF(Raw!E969="","",Raw!E969)&amp;"|"&amp;LEN(IF(Raw!F969="","",Raw!F969))&amp;":"&amp;IF(Raw!F969="","",Raw!F969)&amp;"|"&amp;LEN(IF(Raw!G969="","",Raw!G969))&amp;":"&amp;IF(Raw!G969="","",Raw!G969)</f>
        <v>6:L00963|6:T00482|10:2026-02-07|3:P-O|6:Office|4:sale|6:604.65</v>
      </c>
      <c r="Q969" s="1">
        <f>1</f>
        <v>1</v>
      </c>
      <c r="R969" s="1" t="b">
        <f>FALSE</f>
        <v>0</v>
      </c>
      <c r="S969" s="1">
        <f>1</f>
        <v>1</v>
      </c>
      <c r="T969" s="1" t="str">
        <f>IF(AND(Raw!A969="",Raw!B969="",Raw!C969="",Raw!D969="",Raw!E969="",Raw!F969="",Raw!G969=""),"UNUSED",IF(A969="","missing line ID",IF(B969="","missing transaction ID",IF(G969="",IF(C969="","missing date","invalid date"),IF(I969="","unknown product",IF(J969="","conflicting category",IF(NOT(OR(EXACT(K969,"sale"),EXACT(K969,"refund"))),"unknown event",IF(OR(N969="",NOT(O969)),"invalid amount",IF(OR(AND(K969="sale",N969&lt;=0),AND(K969="refund",N969&gt;=0)),"invalid sign","")))))))))</f>
        <v/>
      </c>
      <c r="U969" s="1" t="str">
        <f t="shared" si="125"/>
        <v>INCLUDED</v>
      </c>
      <c r="V969" s="1" t="str">
        <f t="shared" si="126"/>
        <v>2026-02</v>
      </c>
      <c r="W969" s="1">
        <f>IF(AND(U969="INCLUDED",X969&gt;0,EXACT(A969,'AI output'!A969)),1,0)</f>
        <v>1</v>
      </c>
      <c r="X969" s="1">
        <f>969</f>
        <v>969</v>
      </c>
      <c r="Y969" s="1">
        <f>IF(AND(U969="INCLUDED",W969=1),--(NOT(EXACT(A969,'AI output'!A969)))+--(NOT(EXACT(B969,'AI output'!B969)))+--(NOT(EXACT(TEXT(G969,"yyyy-mm-dd"),'AI output'!C969)))+--(NOT(EXACT(H969,'AI output'!D969)))+--(NOT(EXACT(J969,'AI output'!E969)))+--(NOT(EXACT(K969,'AI output'!F969)))+--(N969&lt;&gt;'AI output'!L969)+--(NOT('AI output'!M969)),0)</f>
        <v>0</v>
      </c>
      <c r="Z969" s="1">
        <f t="shared" si="127"/>
        <v>0</v>
      </c>
      <c r="AA969" s="1">
        <f>--EXACT(A969,"L00963")</f>
        <v>1</v>
      </c>
    </row>
    <row r="970" spans="1:27" ht="18.95" customHeight="1">
      <c r="A970" s="1" t="str">
        <f>IF(Raw!A970="","",Raw!A970)</f>
        <v>L00964</v>
      </c>
      <c r="B970" s="1" t="str">
        <f>IF(Raw!B970="","",Raw!B970)</f>
        <v>T00482</v>
      </c>
      <c r="C970" s="1" t="str">
        <f>IF(Raw!C970="","",Raw!C970)</f>
        <v>2026-02-07</v>
      </c>
      <c r="D970" s="1">
        <f t="shared" si="120"/>
        <v>2026</v>
      </c>
      <c r="E970" s="1">
        <f>IFERROR(IF(AND(LEN(C970)=10,MID(C970,5,1)="-",MID(C970,8,1)="-"),VALUE(MID(C970,6,2)),IF(AND(LEN(C970)=11,MID(C970,3,1)="-",MID(C970,7,1)="-"),MATCH(UPPER(MID(C970,4,3)),Guide!$D$7:$D$18,0),0)),0)</f>
        <v>2</v>
      </c>
      <c r="F970" s="1">
        <f t="shared" si="121"/>
        <v>7</v>
      </c>
      <c r="G970" s="9">
        <f t="shared" si="122"/>
        <v>46060</v>
      </c>
      <c r="H970" s="1" t="str">
        <f>IF(Raw!D970="","",Raw!D970)</f>
        <v>P-A</v>
      </c>
      <c r="I970" s="1" t="str">
        <f>IFERROR(IF(EXACT(H970,INDEX(Guide!$A$7:$A$9,MATCH(SUBSTITUTE(SUBSTITUTE(SUBSTITUTE(H970,"~","~~"),"*","~*"),"?","~?"),Guide!$A$7:$A$9,0))),INDEX(Guide!$B$7:$B$9,MATCH(SUBSTITUTE(SUBSTITUTE(SUBSTITUTE(H970,"~","~~"),"*","~*"),"?","~?"),Guide!$A$7:$A$9,0)),""),"")</f>
        <v>Accessories</v>
      </c>
      <c r="J970" s="1" t="str">
        <f>IF(TRIM(Raw!E970)="",I970,IF(UPPER(TRIM(Raw!E970))=UPPER(I970),I970,""))</f>
        <v>Accessories</v>
      </c>
      <c r="K970" s="1" t="str">
        <f>IF(Raw!F970="","",Raw!F970)</f>
        <v>sale</v>
      </c>
      <c r="L970" s="1" t="str">
        <f>IF(LEFT(TRIM(Raw!G970),2)="-$","-"&amp;MID(TRIM(Raw!G970),3,99),IF(LEFT(TRIM(Raw!G970),1)="$",MID(TRIM(Raw!G970),2,99),TRIM(Raw!G970)))</f>
        <v>242.60</v>
      </c>
      <c r="M970" s="1">
        <f t="shared" si="123"/>
        <v>242.6</v>
      </c>
      <c r="N970" s="10">
        <f t="shared" si="124"/>
        <v>24260</v>
      </c>
      <c r="O970" s="1" t="b">
        <f>IFERROR(IF(ISNUMBER(Raw!G970),TRUE,OR(EXACT(L970,TEXT(M970,"0.00")),EXACT(L970,TEXT(M970,"#,##0.00")))),FALSE)</f>
        <v>1</v>
      </c>
      <c r="P970" s="1" t="str">
        <f>LEN(IF(Raw!A970="","",Raw!A970))&amp;":"&amp;IF(Raw!A970="","",Raw!A970)&amp;"|"&amp;LEN(IF(Raw!B970="","",Raw!B970))&amp;":"&amp;IF(Raw!B970="","",Raw!B970)&amp;"|"&amp;LEN(IF(Raw!C970="","",Raw!C970))&amp;":"&amp;IF(Raw!C970="","",Raw!C970)&amp;"|"&amp;LEN(IF(Raw!D970="","",Raw!D970))&amp;":"&amp;IF(Raw!D970="","",Raw!D970)&amp;"|"&amp;LEN(IF(Raw!E970="","",Raw!E970))&amp;":"&amp;IF(Raw!E970="","",Raw!E970)&amp;"|"&amp;LEN(IF(Raw!F970="","",Raw!F970))&amp;":"&amp;IF(Raw!F970="","",Raw!F970)&amp;"|"&amp;LEN(IF(Raw!G970="","",Raw!G970))&amp;":"&amp;IF(Raw!G970="","",Raw!G970)</f>
        <v>6:L00964|6:T00482|10:2026-02-07|3:P-A|11:Accessories|4:sale|6:242.60</v>
      </c>
      <c r="Q970" s="1">
        <f>1</f>
        <v>1</v>
      </c>
      <c r="R970" s="1" t="b">
        <f>FALSE</f>
        <v>0</v>
      </c>
      <c r="S970" s="1">
        <f>1</f>
        <v>1</v>
      </c>
      <c r="T970" s="1" t="str">
        <f>IF(AND(Raw!A970="",Raw!B970="",Raw!C970="",Raw!D970="",Raw!E970="",Raw!F970="",Raw!G970=""),"UNUSED",IF(A970="","missing line ID",IF(B970="","missing transaction ID",IF(G970="",IF(C970="","missing date","invalid date"),IF(I970="","unknown product",IF(J970="","conflicting category",IF(NOT(OR(EXACT(K970,"sale"),EXACT(K970,"refund"))),"unknown event",IF(OR(N970="",NOT(O970)),"invalid amount",IF(OR(AND(K970="sale",N970&lt;=0),AND(K970="refund",N970&gt;=0)),"invalid sign","")))))))))</f>
        <v/>
      </c>
      <c r="U970" s="1" t="str">
        <f t="shared" si="125"/>
        <v>INCLUDED</v>
      </c>
      <c r="V970" s="1" t="str">
        <f t="shared" si="126"/>
        <v>2026-02</v>
      </c>
      <c r="W970" s="1">
        <f>IF(AND(U970="INCLUDED",X970&gt;0,EXACT(A970,'AI output'!A970)),1,0)</f>
        <v>1</v>
      </c>
      <c r="X970" s="1">
        <f>970</f>
        <v>970</v>
      </c>
      <c r="Y970" s="1">
        <f>IF(AND(U970="INCLUDED",W970=1),--(NOT(EXACT(A970,'AI output'!A970)))+--(NOT(EXACT(B970,'AI output'!B970)))+--(NOT(EXACT(TEXT(G970,"yyyy-mm-dd"),'AI output'!C970)))+--(NOT(EXACT(H970,'AI output'!D970)))+--(NOT(EXACT(J970,'AI output'!E970)))+--(NOT(EXACT(K970,'AI output'!F970)))+--(N970&lt;&gt;'AI output'!L970)+--(NOT('AI output'!M970)),0)</f>
        <v>0</v>
      </c>
      <c r="Z970" s="1">
        <f t="shared" si="127"/>
        <v>0</v>
      </c>
      <c r="AA970" s="1">
        <f>--EXACT(A970,"L00964")</f>
        <v>1</v>
      </c>
    </row>
    <row r="971" spans="1:27" ht="18.95" customHeight="1">
      <c r="A971" s="1" t="str">
        <f>IF(Raw!A971="","",Raw!A971)</f>
        <v>L00965</v>
      </c>
      <c r="B971" s="1" t="str">
        <f>IF(Raw!B971="","",Raw!B971)</f>
        <v>T00483</v>
      </c>
      <c r="C971" s="1" t="str">
        <f>IF(Raw!C971="","",Raw!C971)</f>
        <v>2026-02-14</v>
      </c>
      <c r="D971" s="1">
        <f t="shared" si="120"/>
        <v>2026</v>
      </c>
      <c r="E971" s="1">
        <f>IFERROR(IF(AND(LEN(C971)=10,MID(C971,5,1)="-",MID(C971,8,1)="-"),VALUE(MID(C971,6,2)),IF(AND(LEN(C971)=11,MID(C971,3,1)="-",MID(C971,7,1)="-"),MATCH(UPPER(MID(C971,4,3)),Guide!$D$7:$D$18,0),0)),0)</f>
        <v>2</v>
      </c>
      <c r="F971" s="1">
        <f t="shared" si="121"/>
        <v>14</v>
      </c>
      <c r="G971" s="9">
        <f t="shared" si="122"/>
        <v>46067</v>
      </c>
      <c r="H971" s="1" t="str">
        <f>IF(Raw!D971="","",Raw!D971)</f>
        <v>P-H</v>
      </c>
      <c r="I971" s="1" t="str">
        <f>IFERROR(IF(EXACT(H971,INDEX(Guide!$A$7:$A$9,MATCH(SUBSTITUTE(SUBSTITUTE(SUBSTITUTE(H971,"~","~~"),"*","~*"),"?","~?"),Guide!$A$7:$A$9,0))),INDEX(Guide!$B$7:$B$9,MATCH(SUBSTITUTE(SUBSTITUTE(SUBSTITUTE(H971,"~","~~"),"*","~*"),"?","~?"),Guide!$A$7:$A$9,0)),""),"")</f>
        <v>Home</v>
      </c>
      <c r="J971" s="1" t="str">
        <f>IF(TRIM(Raw!E971)="",I971,IF(UPPER(TRIM(Raw!E971))=UPPER(I971),I971,""))</f>
        <v>Home</v>
      </c>
      <c r="K971" s="1" t="str">
        <f>IF(Raw!F971="","",Raw!F971)</f>
        <v>sale</v>
      </c>
      <c r="L971" s="1" t="str">
        <f>IF(LEFT(TRIM(Raw!G971),2)="-$","-"&amp;MID(TRIM(Raw!G971),3,99),IF(LEFT(TRIM(Raw!G971),1)="$",MID(TRIM(Raw!G971),2,99),TRIM(Raw!G971)))</f>
        <v>486.68</v>
      </c>
      <c r="M971" s="1">
        <f t="shared" si="123"/>
        <v>486.68</v>
      </c>
      <c r="N971" s="10">
        <f t="shared" si="124"/>
        <v>48668</v>
      </c>
      <c r="O971" s="1" t="b">
        <f>IFERROR(IF(ISNUMBER(Raw!G971),TRUE,OR(EXACT(L971,TEXT(M971,"0.00")),EXACT(L971,TEXT(M971,"#,##0.00")))),FALSE)</f>
        <v>1</v>
      </c>
      <c r="P971" s="1" t="str">
        <f>LEN(IF(Raw!A971="","",Raw!A971))&amp;":"&amp;IF(Raw!A971="","",Raw!A971)&amp;"|"&amp;LEN(IF(Raw!B971="","",Raw!B971))&amp;":"&amp;IF(Raw!B971="","",Raw!B971)&amp;"|"&amp;LEN(IF(Raw!C971="","",Raw!C971))&amp;":"&amp;IF(Raw!C971="","",Raw!C971)&amp;"|"&amp;LEN(IF(Raw!D971="","",Raw!D971))&amp;":"&amp;IF(Raw!D971="","",Raw!D971)&amp;"|"&amp;LEN(IF(Raw!E971="","",Raw!E971))&amp;":"&amp;IF(Raw!E971="","",Raw!E971)&amp;"|"&amp;LEN(IF(Raw!F971="","",Raw!F971))&amp;":"&amp;IF(Raw!F971="","",Raw!F971)&amp;"|"&amp;LEN(IF(Raw!G971="","",Raw!G971))&amp;":"&amp;IF(Raw!G971="","",Raw!G971)</f>
        <v>6:L00965|6:T00483|10:2026-02-14|3:P-H|4:Home|4:sale|6:486.68</v>
      </c>
      <c r="Q971" s="1">
        <f>1</f>
        <v>1</v>
      </c>
      <c r="R971" s="1" t="b">
        <f>FALSE</f>
        <v>0</v>
      </c>
      <c r="S971" s="1">
        <f>1</f>
        <v>1</v>
      </c>
      <c r="T971" s="1" t="str">
        <f>IF(AND(Raw!A971="",Raw!B971="",Raw!C971="",Raw!D971="",Raw!E971="",Raw!F971="",Raw!G971=""),"UNUSED",IF(A971="","missing line ID",IF(B971="","missing transaction ID",IF(G971="",IF(C971="","missing date","invalid date"),IF(I971="","unknown product",IF(J971="","conflicting category",IF(NOT(OR(EXACT(K971,"sale"),EXACT(K971,"refund"))),"unknown event",IF(OR(N971="",NOT(O971)),"invalid amount",IF(OR(AND(K971="sale",N971&lt;=0),AND(K971="refund",N971&gt;=0)),"invalid sign","")))))))))</f>
        <v/>
      </c>
      <c r="U971" s="1" t="str">
        <f t="shared" si="125"/>
        <v>INCLUDED</v>
      </c>
      <c r="V971" s="1" t="str">
        <f t="shared" si="126"/>
        <v>2026-02</v>
      </c>
      <c r="W971" s="1">
        <f>IF(AND(U971="INCLUDED",X971&gt;0,EXACT(A971,'AI output'!A971)),1,0)</f>
        <v>1</v>
      </c>
      <c r="X971" s="1">
        <f>971</f>
        <v>971</v>
      </c>
      <c r="Y971" s="1">
        <f>IF(AND(U971="INCLUDED",W971=1),--(NOT(EXACT(A971,'AI output'!A971)))+--(NOT(EXACT(B971,'AI output'!B971)))+--(NOT(EXACT(TEXT(G971,"yyyy-mm-dd"),'AI output'!C971)))+--(NOT(EXACT(H971,'AI output'!D971)))+--(NOT(EXACT(J971,'AI output'!E971)))+--(NOT(EXACT(K971,'AI output'!F971)))+--(N971&lt;&gt;'AI output'!L971)+--(NOT('AI output'!M971)),0)</f>
        <v>0</v>
      </c>
      <c r="Z971" s="1">
        <f t="shared" si="127"/>
        <v>0</v>
      </c>
      <c r="AA971" s="1">
        <f>--EXACT(A971,"L00965")</f>
        <v>1</v>
      </c>
    </row>
    <row r="972" spans="1:27" ht="18.95" customHeight="1">
      <c r="A972" s="1" t="str">
        <f>IF(Raw!A972="","",Raw!A972)</f>
        <v>L00966</v>
      </c>
      <c r="B972" s="1" t="str">
        <f>IF(Raw!B972="","",Raw!B972)</f>
        <v>T00483</v>
      </c>
      <c r="C972" s="1" t="str">
        <f>IF(Raw!C972="","",Raw!C972)</f>
        <v>2026-02-14</v>
      </c>
      <c r="D972" s="1">
        <f t="shared" si="120"/>
        <v>2026</v>
      </c>
      <c r="E972" s="1">
        <f>IFERROR(IF(AND(LEN(C972)=10,MID(C972,5,1)="-",MID(C972,8,1)="-"),VALUE(MID(C972,6,2)),IF(AND(LEN(C972)=11,MID(C972,3,1)="-",MID(C972,7,1)="-"),MATCH(UPPER(MID(C972,4,3)),Guide!$D$7:$D$18,0),0)),0)</f>
        <v>2</v>
      </c>
      <c r="F972" s="1">
        <f t="shared" si="121"/>
        <v>14</v>
      </c>
      <c r="G972" s="9">
        <f t="shared" si="122"/>
        <v>46067</v>
      </c>
      <c r="H972" s="1" t="str">
        <f>IF(Raw!D972="","",Raw!D972)</f>
        <v>P-O</v>
      </c>
      <c r="I972" s="1" t="str">
        <f>IFERROR(IF(EXACT(H972,INDEX(Guide!$A$7:$A$9,MATCH(SUBSTITUTE(SUBSTITUTE(SUBSTITUTE(H972,"~","~~"),"*","~*"),"?","~?"),Guide!$A$7:$A$9,0))),INDEX(Guide!$B$7:$B$9,MATCH(SUBSTITUTE(SUBSTITUTE(SUBSTITUTE(H972,"~","~~"),"*","~*"),"?","~?"),Guide!$A$7:$A$9,0)),""),"")</f>
        <v>Office</v>
      </c>
      <c r="J972" s="1" t="str">
        <f>IF(TRIM(Raw!E972)="",I972,IF(UPPER(TRIM(Raw!E972))=UPPER(I972),I972,""))</f>
        <v>Office</v>
      </c>
      <c r="K972" s="1" t="str">
        <f>IF(Raw!F972="","",Raw!F972)</f>
        <v>sale</v>
      </c>
      <c r="L972" s="1" t="str">
        <f>IF(LEFT(TRIM(Raw!G972),2)="-$","-"&amp;MID(TRIM(Raw!G972),3,99),IF(LEFT(TRIM(Raw!G972),1)="$",MID(TRIM(Raw!G972),2,99),TRIM(Raw!G972)))</f>
        <v>122.04</v>
      </c>
      <c r="M972" s="1">
        <f t="shared" si="123"/>
        <v>122.04</v>
      </c>
      <c r="N972" s="10">
        <f t="shared" si="124"/>
        <v>12204</v>
      </c>
      <c r="O972" s="1" t="b">
        <f>IFERROR(IF(ISNUMBER(Raw!G972),TRUE,OR(EXACT(L972,TEXT(M972,"0.00")),EXACT(L972,TEXT(M972,"#,##0.00")))),FALSE)</f>
        <v>1</v>
      </c>
      <c r="P972" s="1" t="str">
        <f>LEN(IF(Raw!A972="","",Raw!A972))&amp;":"&amp;IF(Raw!A972="","",Raw!A972)&amp;"|"&amp;LEN(IF(Raw!B972="","",Raw!B972))&amp;":"&amp;IF(Raw!B972="","",Raw!B972)&amp;"|"&amp;LEN(IF(Raw!C972="","",Raw!C972))&amp;":"&amp;IF(Raw!C972="","",Raw!C972)&amp;"|"&amp;LEN(IF(Raw!D972="","",Raw!D972))&amp;":"&amp;IF(Raw!D972="","",Raw!D972)&amp;"|"&amp;LEN(IF(Raw!E972="","",Raw!E972))&amp;":"&amp;IF(Raw!E972="","",Raw!E972)&amp;"|"&amp;LEN(IF(Raw!F972="","",Raw!F972))&amp;":"&amp;IF(Raw!F972="","",Raw!F972)&amp;"|"&amp;LEN(IF(Raw!G972="","",Raw!G972))&amp;":"&amp;IF(Raw!G972="","",Raw!G972)</f>
        <v>6:L00966|6:T00483|10:2026-02-14|3:P-O|6:Office|4:sale|6:122.04</v>
      </c>
      <c r="Q972" s="1">
        <f>1</f>
        <v>1</v>
      </c>
      <c r="R972" s="1" t="b">
        <f>FALSE</f>
        <v>0</v>
      </c>
      <c r="S972" s="1">
        <f>1</f>
        <v>1</v>
      </c>
      <c r="T972" s="1" t="str">
        <f>IF(AND(Raw!A972="",Raw!B972="",Raw!C972="",Raw!D972="",Raw!E972="",Raw!F972="",Raw!G972=""),"UNUSED",IF(A972="","missing line ID",IF(B972="","missing transaction ID",IF(G972="",IF(C972="","missing date","invalid date"),IF(I972="","unknown product",IF(J972="","conflicting category",IF(NOT(OR(EXACT(K972,"sale"),EXACT(K972,"refund"))),"unknown event",IF(OR(N972="",NOT(O972)),"invalid amount",IF(OR(AND(K972="sale",N972&lt;=0),AND(K972="refund",N972&gt;=0)),"invalid sign","")))))))))</f>
        <v/>
      </c>
      <c r="U972" s="1" t="str">
        <f t="shared" si="125"/>
        <v>INCLUDED</v>
      </c>
      <c r="V972" s="1" t="str">
        <f t="shared" si="126"/>
        <v>2026-02</v>
      </c>
      <c r="W972" s="1">
        <f>IF(AND(U972="INCLUDED",X972&gt;0,EXACT(A972,'AI output'!A972)),1,0)</f>
        <v>1</v>
      </c>
      <c r="X972" s="1">
        <f>972</f>
        <v>972</v>
      </c>
      <c r="Y972" s="1">
        <f>IF(AND(U972="INCLUDED",W972=1),--(NOT(EXACT(A972,'AI output'!A972)))+--(NOT(EXACT(B972,'AI output'!B972)))+--(NOT(EXACT(TEXT(G972,"yyyy-mm-dd"),'AI output'!C972)))+--(NOT(EXACT(H972,'AI output'!D972)))+--(NOT(EXACT(J972,'AI output'!E972)))+--(NOT(EXACT(K972,'AI output'!F972)))+--(N972&lt;&gt;'AI output'!L972)+--(NOT('AI output'!M972)),0)</f>
        <v>0</v>
      </c>
      <c r="Z972" s="1">
        <f t="shared" si="127"/>
        <v>0</v>
      </c>
      <c r="AA972" s="1">
        <f>--EXACT(A972,"L00966")</f>
        <v>1</v>
      </c>
    </row>
    <row r="973" spans="1:27" ht="18.95" customHeight="1">
      <c r="A973" s="1" t="str">
        <f>IF(Raw!A973="","",Raw!A973)</f>
        <v>L00967</v>
      </c>
      <c r="B973" s="1" t="str">
        <f>IF(Raw!B973="","",Raw!B973)</f>
        <v>T00484</v>
      </c>
      <c r="C973" s="1" t="str">
        <f>IF(Raw!C973="","",Raw!C973)</f>
        <v>2026-02-21</v>
      </c>
      <c r="D973" s="1">
        <f t="shared" si="120"/>
        <v>2026</v>
      </c>
      <c r="E973" s="1">
        <f>IFERROR(IF(AND(LEN(C973)=10,MID(C973,5,1)="-",MID(C973,8,1)="-"),VALUE(MID(C973,6,2)),IF(AND(LEN(C973)=11,MID(C973,3,1)="-",MID(C973,7,1)="-"),MATCH(UPPER(MID(C973,4,3)),Guide!$D$7:$D$18,0),0)),0)</f>
        <v>2</v>
      </c>
      <c r="F973" s="1">
        <f t="shared" si="121"/>
        <v>21</v>
      </c>
      <c r="G973" s="9">
        <f t="shared" si="122"/>
        <v>46074</v>
      </c>
      <c r="H973" s="1" t="str">
        <f>IF(Raw!D973="","",Raw!D973)</f>
        <v>P-A</v>
      </c>
      <c r="I973" s="1" t="str">
        <f>IFERROR(IF(EXACT(H973,INDEX(Guide!$A$7:$A$9,MATCH(SUBSTITUTE(SUBSTITUTE(SUBSTITUTE(H973,"~","~~"),"*","~*"),"?","~?"),Guide!$A$7:$A$9,0))),INDEX(Guide!$B$7:$B$9,MATCH(SUBSTITUTE(SUBSTITUTE(SUBSTITUTE(H973,"~","~~"),"*","~*"),"?","~?"),Guide!$A$7:$A$9,0)),""),"")</f>
        <v>Accessories</v>
      </c>
      <c r="J973" s="1" t="str">
        <f>IF(TRIM(Raw!E973)="",I973,IF(UPPER(TRIM(Raw!E973))=UPPER(I973),I973,""))</f>
        <v>Accessories</v>
      </c>
      <c r="K973" s="1" t="str">
        <f>IF(Raw!F973="","",Raw!F973)</f>
        <v>refund</v>
      </c>
      <c r="L973" s="1" t="str">
        <f>IF(LEFT(TRIM(Raw!G973),2)="-$","-"&amp;MID(TRIM(Raw!G973),3,99),IF(LEFT(TRIM(Raw!G973),1)="$",MID(TRIM(Raw!G973),2,99),TRIM(Raw!G973)))</f>
        <v>-367.23</v>
      </c>
      <c r="M973" s="1">
        <f t="shared" si="123"/>
        <v>-367.23</v>
      </c>
      <c r="N973" s="10">
        <f t="shared" si="124"/>
        <v>-36723</v>
      </c>
      <c r="O973" s="1" t="b">
        <f>IFERROR(IF(ISNUMBER(Raw!G973),TRUE,OR(EXACT(L973,TEXT(M973,"0.00")),EXACT(L973,TEXT(M973,"#,##0.00")))),FALSE)</f>
        <v>1</v>
      </c>
      <c r="P973" s="1" t="str">
        <f>LEN(IF(Raw!A973="","",Raw!A973))&amp;":"&amp;IF(Raw!A973="","",Raw!A973)&amp;"|"&amp;LEN(IF(Raw!B973="","",Raw!B973))&amp;":"&amp;IF(Raw!B973="","",Raw!B973)&amp;"|"&amp;LEN(IF(Raw!C973="","",Raw!C973))&amp;":"&amp;IF(Raw!C973="","",Raw!C973)&amp;"|"&amp;LEN(IF(Raw!D973="","",Raw!D973))&amp;":"&amp;IF(Raw!D973="","",Raw!D973)&amp;"|"&amp;LEN(IF(Raw!E973="","",Raw!E973))&amp;":"&amp;IF(Raw!E973="","",Raw!E973)&amp;"|"&amp;LEN(IF(Raw!F973="","",Raw!F973))&amp;":"&amp;IF(Raw!F973="","",Raw!F973)&amp;"|"&amp;LEN(IF(Raw!G973="","",Raw!G973))&amp;":"&amp;IF(Raw!G973="","",Raw!G973)</f>
        <v>6:L00967|6:T00484|10:2026-02-21|3:P-A|11:Accessories|6:refund|7:-367.23</v>
      </c>
      <c r="Q973" s="1">
        <f>1</f>
        <v>1</v>
      </c>
      <c r="R973" s="1" t="b">
        <f>FALSE</f>
        <v>0</v>
      </c>
      <c r="S973" s="1">
        <f>1</f>
        <v>1</v>
      </c>
      <c r="T973" s="1" t="str">
        <f>IF(AND(Raw!A973="",Raw!B973="",Raw!C973="",Raw!D973="",Raw!E973="",Raw!F973="",Raw!G973=""),"UNUSED",IF(A973="","missing line ID",IF(B973="","missing transaction ID",IF(G973="",IF(C973="","missing date","invalid date"),IF(I973="","unknown product",IF(J973="","conflicting category",IF(NOT(OR(EXACT(K973,"sale"),EXACT(K973,"refund"))),"unknown event",IF(OR(N973="",NOT(O973)),"invalid amount",IF(OR(AND(K973="sale",N973&lt;=0),AND(K973="refund",N973&gt;=0)),"invalid sign","")))))))))</f>
        <v/>
      </c>
      <c r="U973" s="1" t="str">
        <f t="shared" si="125"/>
        <v>INCLUDED</v>
      </c>
      <c r="V973" s="1" t="str">
        <f t="shared" si="126"/>
        <v>2026-02</v>
      </c>
      <c r="W973" s="1">
        <f>IF(AND(U973="INCLUDED",X973&gt;0,EXACT(A973,'AI output'!A973)),1,0)</f>
        <v>1</v>
      </c>
      <c r="X973" s="1">
        <f>973</f>
        <v>973</v>
      </c>
      <c r="Y973" s="1">
        <f>IF(AND(U973="INCLUDED",W973=1),--(NOT(EXACT(A973,'AI output'!A973)))+--(NOT(EXACT(B973,'AI output'!B973)))+--(NOT(EXACT(TEXT(G973,"yyyy-mm-dd"),'AI output'!C973)))+--(NOT(EXACT(H973,'AI output'!D973)))+--(NOT(EXACT(J973,'AI output'!E973)))+--(NOT(EXACT(K973,'AI output'!F973)))+--(N973&lt;&gt;'AI output'!L973)+--(NOT('AI output'!M973)),0)</f>
        <v>0</v>
      </c>
      <c r="Z973" s="1">
        <f t="shared" si="127"/>
        <v>0</v>
      </c>
      <c r="AA973" s="1">
        <f>--EXACT(A973,"L00967")</f>
        <v>1</v>
      </c>
    </row>
    <row r="974" spans="1:27" ht="18.95" customHeight="1">
      <c r="A974" s="1" t="str">
        <f>IF(Raw!A974="","",Raw!A974)</f>
        <v>L00968</v>
      </c>
      <c r="B974" s="1" t="str">
        <f>IF(Raw!B974="","",Raw!B974)</f>
        <v>T00484</v>
      </c>
      <c r="C974" s="1" t="str">
        <f>IF(Raw!C974="","",Raw!C974)</f>
        <v>2026-02-21</v>
      </c>
      <c r="D974" s="1">
        <f t="shared" si="120"/>
        <v>2026</v>
      </c>
      <c r="E974" s="1">
        <f>IFERROR(IF(AND(LEN(C974)=10,MID(C974,5,1)="-",MID(C974,8,1)="-"),VALUE(MID(C974,6,2)),IF(AND(LEN(C974)=11,MID(C974,3,1)="-",MID(C974,7,1)="-"),MATCH(UPPER(MID(C974,4,3)),Guide!$D$7:$D$18,0),0)),0)</f>
        <v>2</v>
      </c>
      <c r="F974" s="1">
        <f t="shared" si="121"/>
        <v>21</v>
      </c>
      <c r="G974" s="9">
        <f t="shared" si="122"/>
        <v>46074</v>
      </c>
      <c r="H974" s="1" t="str">
        <f>IF(Raw!D974="","",Raw!D974)</f>
        <v>P-H</v>
      </c>
      <c r="I974" s="1" t="str">
        <f>IFERROR(IF(EXACT(H974,INDEX(Guide!$A$7:$A$9,MATCH(SUBSTITUTE(SUBSTITUTE(SUBSTITUTE(H974,"~","~~"),"*","~*"),"?","~?"),Guide!$A$7:$A$9,0))),INDEX(Guide!$B$7:$B$9,MATCH(SUBSTITUTE(SUBSTITUTE(SUBSTITUTE(H974,"~","~~"),"*","~*"),"?","~?"),Guide!$A$7:$A$9,0)),""),"")</f>
        <v>Home</v>
      </c>
      <c r="J974" s="1" t="str">
        <f>IF(TRIM(Raw!E974)="",I974,IF(UPPER(TRIM(Raw!E974))=UPPER(I974),I974,""))</f>
        <v>Home</v>
      </c>
      <c r="K974" s="1" t="str">
        <f>IF(Raw!F974="","",Raw!F974)</f>
        <v>sale</v>
      </c>
      <c r="L974" s="1" t="str">
        <f>IF(LEFT(TRIM(Raw!G974),2)="-$","-"&amp;MID(TRIM(Raw!G974),3,99),IF(LEFT(TRIM(Raw!G974),1)="$",MID(TRIM(Raw!G974),2,99),TRIM(Raw!G974)))</f>
        <v>613.90</v>
      </c>
      <c r="M974" s="1">
        <f t="shared" si="123"/>
        <v>613.9</v>
      </c>
      <c r="N974" s="10">
        <f t="shared" si="124"/>
        <v>61390</v>
      </c>
      <c r="O974" s="1" t="b">
        <f>IFERROR(IF(ISNUMBER(Raw!G974),TRUE,OR(EXACT(L974,TEXT(M974,"0.00")),EXACT(L974,TEXT(M974,"#,##0.00")))),FALSE)</f>
        <v>1</v>
      </c>
      <c r="P974" s="1" t="str">
        <f>LEN(IF(Raw!A974="","",Raw!A974))&amp;":"&amp;IF(Raw!A974="","",Raw!A974)&amp;"|"&amp;LEN(IF(Raw!B974="","",Raw!B974))&amp;":"&amp;IF(Raw!B974="","",Raw!B974)&amp;"|"&amp;LEN(IF(Raw!C974="","",Raw!C974))&amp;":"&amp;IF(Raw!C974="","",Raw!C974)&amp;"|"&amp;LEN(IF(Raw!D974="","",Raw!D974))&amp;":"&amp;IF(Raw!D974="","",Raw!D974)&amp;"|"&amp;LEN(IF(Raw!E974="","",Raw!E974))&amp;":"&amp;IF(Raw!E974="","",Raw!E974)&amp;"|"&amp;LEN(IF(Raw!F974="","",Raw!F974))&amp;":"&amp;IF(Raw!F974="","",Raw!F974)&amp;"|"&amp;LEN(IF(Raw!G974="","",Raw!G974))&amp;":"&amp;IF(Raw!G974="","",Raw!G974)</f>
        <v>6:L00968|6:T00484|10:2026-02-21|3:P-H|4:Home|4:sale|6:613.90</v>
      </c>
      <c r="Q974" s="1">
        <f>1</f>
        <v>1</v>
      </c>
      <c r="R974" s="1" t="b">
        <f>FALSE</f>
        <v>0</v>
      </c>
      <c r="S974" s="1">
        <f>1</f>
        <v>1</v>
      </c>
      <c r="T974" s="1" t="str">
        <f>IF(AND(Raw!A974="",Raw!B974="",Raw!C974="",Raw!D974="",Raw!E974="",Raw!F974="",Raw!G974=""),"UNUSED",IF(A974="","missing line ID",IF(B974="","missing transaction ID",IF(G974="",IF(C974="","missing date","invalid date"),IF(I974="","unknown product",IF(J974="","conflicting category",IF(NOT(OR(EXACT(K974,"sale"),EXACT(K974,"refund"))),"unknown event",IF(OR(N974="",NOT(O974)),"invalid amount",IF(OR(AND(K974="sale",N974&lt;=0),AND(K974="refund",N974&gt;=0)),"invalid sign","")))))))))</f>
        <v/>
      </c>
      <c r="U974" s="1" t="str">
        <f t="shared" si="125"/>
        <v>INCLUDED</v>
      </c>
      <c r="V974" s="1" t="str">
        <f t="shared" si="126"/>
        <v>2026-02</v>
      </c>
      <c r="W974" s="1">
        <f>IF(AND(U974="INCLUDED",X974&gt;0,EXACT(A974,'AI output'!A974)),1,0)</f>
        <v>1</v>
      </c>
      <c r="X974" s="1">
        <f>974</f>
        <v>974</v>
      </c>
      <c r="Y974" s="1">
        <f>IF(AND(U974="INCLUDED",W974=1),--(NOT(EXACT(A974,'AI output'!A974)))+--(NOT(EXACT(B974,'AI output'!B974)))+--(NOT(EXACT(TEXT(G974,"yyyy-mm-dd"),'AI output'!C974)))+--(NOT(EXACT(H974,'AI output'!D974)))+--(NOT(EXACT(J974,'AI output'!E974)))+--(NOT(EXACT(K974,'AI output'!F974)))+--(N974&lt;&gt;'AI output'!L974)+--(NOT('AI output'!M974)),0)</f>
        <v>0</v>
      </c>
      <c r="Z974" s="1">
        <f t="shared" si="127"/>
        <v>0</v>
      </c>
      <c r="AA974" s="1">
        <f>--EXACT(A974,"L00968")</f>
        <v>1</v>
      </c>
    </row>
    <row r="975" spans="1:27" ht="18.95" customHeight="1">
      <c r="A975" s="1" t="str">
        <f>IF(Raw!A975="","",Raw!A975)</f>
        <v>L00969</v>
      </c>
      <c r="B975" s="1" t="str">
        <f>IF(Raw!B975="","",Raw!B975)</f>
        <v>T00485</v>
      </c>
      <c r="C975" s="1" t="str">
        <f>IF(Raw!C975="","",Raw!C975)</f>
        <v>2026-02-28</v>
      </c>
      <c r="D975" s="1">
        <f t="shared" si="120"/>
        <v>2026</v>
      </c>
      <c r="E975" s="1">
        <f>IFERROR(IF(AND(LEN(C975)=10,MID(C975,5,1)="-",MID(C975,8,1)="-"),VALUE(MID(C975,6,2)),IF(AND(LEN(C975)=11,MID(C975,3,1)="-",MID(C975,7,1)="-"),MATCH(UPPER(MID(C975,4,3)),Guide!$D$7:$D$18,0),0)),0)</f>
        <v>2</v>
      </c>
      <c r="F975" s="1">
        <f t="shared" si="121"/>
        <v>28</v>
      </c>
      <c r="G975" s="9">
        <f t="shared" si="122"/>
        <v>46081</v>
      </c>
      <c r="H975" s="1" t="str">
        <f>IF(Raw!D975="","",Raw!D975)</f>
        <v>P-O</v>
      </c>
      <c r="I975" s="1" t="str">
        <f>IFERROR(IF(EXACT(H975,INDEX(Guide!$A$7:$A$9,MATCH(SUBSTITUTE(SUBSTITUTE(SUBSTITUTE(H975,"~","~~"),"*","~*"),"?","~?"),Guide!$A$7:$A$9,0))),INDEX(Guide!$B$7:$B$9,MATCH(SUBSTITUTE(SUBSTITUTE(SUBSTITUTE(H975,"~","~~"),"*","~*"),"?","~?"),Guide!$A$7:$A$9,0)),""),"")</f>
        <v>Office</v>
      </c>
      <c r="J975" s="1" t="str">
        <f>IF(TRIM(Raw!E975)="",I975,IF(UPPER(TRIM(Raw!E975))=UPPER(I975),I975,""))</f>
        <v>Office</v>
      </c>
      <c r="K975" s="1" t="str">
        <f>IF(Raw!F975="","",Raw!F975)</f>
        <v>sale</v>
      </c>
      <c r="L975" s="1" t="str">
        <f>IF(LEFT(TRIM(Raw!G975),2)="-$","-"&amp;MID(TRIM(Raw!G975),3,99),IF(LEFT(TRIM(Raw!G975),1)="$",MID(TRIM(Raw!G975),2,99),TRIM(Raw!G975)))</f>
        <v>246.30</v>
      </c>
      <c r="M975" s="1">
        <f t="shared" si="123"/>
        <v>246.3</v>
      </c>
      <c r="N975" s="10">
        <f t="shared" si="124"/>
        <v>24630</v>
      </c>
      <c r="O975" s="1" t="b">
        <f>IFERROR(IF(ISNUMBER(Raw!G975),TRUE,OR(EXACT(L975,TEXT(M975,"0.00")),EXACT(L975,TEXT(M975,"#,##0.00")))),FALSE)</f>
        <v>1</v>
      </c>
      <c r="P975" s="1" t="str">
        <f>LEN(IF(Raw!A975="","",Raw!A975))&amp;":"&amp;IF(Raw!A975="","",Raw!A975)&amp;"|"&amp;LEN(IF(Raw!B975="","",Raw!B975))&amp;":"&amp;IF(Raw!B975="","",Raw!B975)&amp;"|"&amp;LEN(IF(Raw!C975="","",Raw!C975))&amp;":"&amp;IF(Raw!C975="","",Raw!C975)&amp;"|"&amp;LEN(IF(Raw!D975="","",Raw!D975))&amp;":"&amp;IF(Raw!D975="","",Raw!D975)&amp;"|"&amp;LEN(IF(Raw!E975="","",Raw!E975))&amp;":"&amp;IF(Raw!E975="","",Raw!E975)&amp;"|"&amp;LEN(IF(Raw!F975="","",Raw!F975))&amp;":"&amp;IF(Raw!F975="","",Raw!F975)&amp;"|"&amp;LEN(IF(Raw!G975="","",Raw!G975))&amp;":"&amp;IF(Raw!G975="","",Raw!G975)</f>
        <v>6:L00969|6:T00485|10:2026-02-28|3:P-O|6:Office|4:sale|6:246.30</v>
      </c>
      <c r="Q975" s="1">
        <f>2</f>
        <v>2</v>
      </c>
      <c r="R975" s="1" t="b">
        <f>OR(NOT(EXACT(P975,P1998)))</f>
        <v>0</v>
      </c>
      <c r="S975" s="1">
        <f>1</f>
        <v>1</v>
      </c>
      <c r="T975" s="1" t="str">
        <f>IF(AND(Raw!A975="",Raw!B975="",Raw!C975="",Raw!D975="",Raw!E975="",Raw!F975="",Raw!G975=""),"UNUSED",IF(A975="","missing line ID",IF(B975="","missing transaction ID",IF(G975="",IF(C975="","missing date","invalid date"),IF(I975="","unknown product",IF(J975="","conflicting category",IF(NOT(OR(EXACT(K975,"sale"),EXACT(K975,"refund"))),"unknown event",IF(OR(N975="",NOT(O975)),"invalid amount",IF(OR(AND(K975="sale",N975&lt;=0),AND(K975="refund",N975&gt;=0)),"invalid sign","")))))))))</f>
        <v/>
      </c>
      <c r="U975" s="1" t="str">
        <f t="shared" si="125"/>
        <v>INCLUDED</v>
      </c>
      <c r="V975" s="1" t="str">
        <f t="shared" si="126"/>
        <v>2026-02</v>
      </c>
      <c r="W975" s="1">
        <f>IF(AND(U975="INCLUDED",X975&gt;0,EXACT(A975,'AI output'!A975)),1,0)</f>
        <v>1</v>
      </c>
      <c r="X975" s="1">
        <f>975</f>
        <v>975</v>
      </c>
      <c r="Y975" s="1">
        <f>IF(AND(U975="INCLUDED",W975=1),--(NOT(EXACT(A975,'AI output'!A975)))+--(NOT(EXACT(B975,'AI output'!B975)))+--(NOT(EXACT(TEXT(G975,"yyyy-mm-dd"),'AI output'!C975)))+--(NOT(EXACT(H975,'AI output'!D975)))+--(NOT(EXACT(J975,'AI output'!E975)))+--(NOT(EXACT(K975,'AI output'!F975)))+--(N975&lt;&gt;'AI output'!L975)+--(NOT('AI output'!M975)),0)</f>
        <v>0</v>
      </c>
      <c r="Z975" s="1">
        <f t="shared" si="127"/>
        <v>0</v>
      </c>
      <c r="AA975" s="1">
        <f>--EXACT(A975,"L00969")</f>
        <v>1</v>
      </c>
    </row>
    <row r="976" spans="1:27" ht="18.95" customHeight="1">
      <c r="A976" s="1" t="str">
        <f>IF(Raw!A976="","",Raw!A976)</f>
        <v>L00970</v>
      </c>
      <c r="B976" s="1" t="str">
        <f>IF(Raw!B976="","",Raw!B976)</f>
        <v>T00485</v>
      </c>
      <c r="C976" s="1" t="str">
        <f>IF(Raw!C976="","",Raw!C976)</f>
        <v>2026-02-28</v>
      </c>
      <c r="D976" s="1">
        <f t="shared" si="120"/>
        <v>2026</v>
      </c>
      <c r="E976" s="1">
        <f>IFERROR(IF(AND(LEN(C976)=10,MID(C976,5,1)="-",MID(C976,8,1)="-"),VALUE(MID(C976,6,2)),IF(AND(LEN(C976)=11,MID(C976,3,1)="-",MID(C976,7,1)="-"),MATCH(UPPER(MID(C976,4,3)),Guide!$D$7:$D$18,0),0)),0)</f>
        <v>2</v>
      </c>
      <c r="F976" s="1">
        <f t="shared" si="121"/>
        <v>28</v>
      </c>
      <c r="G976" s="9">
        <f t="shared" si="122"/>
        <v>46081</v>
      </c>
      <c r="H976" s="1" t="str">
        <f>IF(Raw!D976="","",Raw!D976)</f>
        <v>P-A</v>
      </c>
      <c r="I976" s="1" t="str">
        <f>IFERROR(IF(EXACT(H976,INDEX(Guide!$A$7:$A$9,MATCH(SUBSTITUTE(SUBSTITUTE(SUBSTITUTE(H976,"~","~~"),"*","~*"),"?","~?"),Guide!$A$7:$A$9,0))),INDEX(Guide!$B$7:$B$9,MATCH(SUBSTITUTE(SUBSTITUTE(SUBSTITUTE(H976,"~","~~"),"*","~*"),"?","~?"),Guide!$A$7:$A$9,0)),""),"")</f>
        <v>Accessories</v>
      </c>
      <c r="J976" s="1" t="str">
        <f>IF(TRIM(Raw!E976)="",I976,IF(UPPER(TRIM(Raw!E976))=UPPER(I976),I976,""))</f>
        <v>Accessories</v>
      </c>
      <c r="K976" s="1" t="str">
        <f>IF(Raw!F976="","",Raw!F976)</f>
        <v>sale</v>
      </c>
      <c r="L976" s="1" t="str">
        <f>IF(LEFT(TRIM(Raw!G976),2)="-$","-"&amp;MID(TRIM(Raw!G976),3,99),IF(LEFT(TRIM(Raw!G976),1)="$",MID(TRIM(Raw!G976),2,99),TRIM(Raw!G976)))</f>
        <v>494.08</v>
      </c>
      <c r="M976" s="1">
        <f t="shared" si="123"/>
        <v>494.08</v>
      </c>
      <c r="N976" s="10">
        <f t="shared" si="124"/>
        <v>49408</v>
      </c>
      <c r="O976" s="1" t="b">
        <f>IFERROR(IF(ISNUMBER(Raw!G976),TRUE,OR(EXACT(L976,TEXT(M976,"0.00")),EXACT(L976,TEXT(M976,"#,##0.00")))),FALSE)</f>
        <v>1</v>
      </c>
      <c r="P976" s="1" t="str">
        <f>LEN(IF(Raw!A976="","",Raw!A976))&amp;":"&amp;IF(Raw!A976="","",Raw!A976)&amp;"|"&amp;LEN(IF(Raw!B976="","",Raw!B976))&amp;":"&amp;IF(Raw!B976="","",Raw!B976)&amp;"|"&amp;LEN(IF(Raw!C976="","",Raw!C976))&amp;":"&amp;IF(Raw!C976="","",Raw!C976)&amp;"|"&amp;LEN(IF(Raw!D976="","",Raw!D976))&amp;":"&amp;IF(Raw!D976="","",Raw!D976)&amp;"|"&amp;LEN(IF(Raw!E976="","",Raw!E976))&amp;":"&amp;IF(Raw!E976="","",Raw!E976)&amp;"|"&amp;LEN(IF(Raw!F976="","",Raw!F976))&amp;":"&amp;IF(Raw!F976="","",Raw!F976)&amp;"|"&amp;LEN(IF(Raw!G976="","",Raw!G976))&amp;":"&amp;IF(Raw!G976="","",Raw!G976)</f>
        <v>6:L00970|6:T00485|10:2026-02-28|3:P-A|11:Accessories|4:sale|6:494.08</v>
      </c>
      <c r="Q976" s="1">
        <f>1</f>
        <v>1</v>
      </c>
      <c r="R976" s="1" t="b">
        <f>FALSE</f>
        <v>0</v>
      </c>
      <c r="S976" s="1">
        <f>1</f>
        <v>1</v>
      </c>
      <c r="T976" s="1" t="str">
        <f>IF(AND(Raw!A976="",Raw!B976="",Raw!C976="",Raw!D976="",Raw!E976="",Raw!F976="",Raw!G976=""),"UNUSED",IF(A976="","missing line ID",IF(B976="","missing transaction ID",IF(G976="",IF(C976="","missing date","invalid date"),IF(I976="","unknown product",IF(J976="","conflicting category",IF(NOT(OR(EXACT(K976,"sale"),EXACT(K976,"refund"))),"unknown event",IF(OR(N976="",NOT(O976)),"invalid amount",IF(OR(AND(K976="sale",N976&lt;=0),AND(K976="refund",N976&gt;=0)),"invalid sign","")))))))))</f>
        <v/>
      </c>
      <c r="U976" s="1" t="str">
        <f t="shared" si="125"/>
        <v>INCLUDED</v>
      </c>
      <c r="V976" s="1" t="str">
        <f t="shared" si="126"/>
        <v>2026-02</v>
      </c>
      <c r="W976" s="1">
        <f>IF(AND(U976="INCLUDED",X976&gt;0,EXACT(A976,'AI output'!A976)),1,0)</f>
        <v>1</v>
      </c>
      <c r="X976" s="1">
        <f>976</f>
        <v>976</v>
      </c>
      <c r="Y976" s="1">
        <f>IF(AND(U976="INCLUDED",W976=1),--(NOT(EXACT(A976,'AI output'!A976)))+--(NOT(EXACT(B976,'AI output'!B976)))+--(NOT(EXACT(TEXT(G976,"yyyy-mm-dd"),'AI output'!C976)))+--(NOT(EXACT(H976,'AI output'!D976)))+--(NOT(EXACT(J976,'AI output'!E976)))+--(NOT(EXACT(K976,'AI output'!F976)))+--(N976&lt;&gt;'AI output'!L976)+--(NOT('AI output'!M976)),0)</f>
        <v>0</v>
      </c>
      <c r="Z976" s="1">
        <f t="shared" si="127"/>
        <v>0</v>
      </c>
      <c r="AA976" s="1">
        <f>--EXACT(A976,"L00970")</f>
        <v>1</v>
      </c>
    </row>
    <row r="977" spans="1:27" ht="18.95" customHeight="1">
      <c r="A977" s="1" t="str">
        <f>IF(Raw!A977="","",Raw!A977)</f>
        <v>L00971</v>
      </c>
      <c r="B977" s="1" t="str">
        <f>IF(Raw!B977="","",Raw!B977)</f>
        <v>T00486</v>
      </c>
      <c r="C977" s="1" t="str">
        <f>IF(Raw!C977="","",Raw!C977)</f>
        <v>2026-03-07</v>
      </c>
      <c r="D977" s="1">
        <f t="shared" si="120"/>
        <v>2026</v>
      </c>
      <c r="E977" s="1">
        <f>IFERROR(IF(AND(LEN(C977)=10,MID(C977,5,1)="-",MID(C977,8,1)="-"),VALUE(MID(C977,6,2)),IF(AND(LEN(C977)=11,MID(C977,3,1)="-",MID(C977,7,1)="-"),MATCH(UPPER(MID(C977,4,3)),Guide!$D$7:$D$18,0),0)),0)</f>
        <v>3</v>
      </c>
      <c r="F977" s="1">
        <f t="shared" si="121"/>
        <v>7</v>
      </c>
      <c r="G977" s="9">
        <f t="shared" si="122"/>
        <v>46088</v>
      </c>
      <c r="H977" s="1" t="str">
        <f>IF(Raw!D977="","",Raw!D977)</f>
        <v>P-H</v>
      </c>
      <c r="I977" s="1" t="str">
        <f>IFERROR(IF(EXACT(H977,INDEX(Guide!$A$7:$A$9,MATCH(SUBSTITUTE(SUBSTITUTE(SUBSTITUTE(H977,"~","~~"),"*","~*"),"?","~?"),Guide!$A$7:$A$9,0))),INDEX(Guide!$B$7:$B$9,MATCH(SUBSTITUTE(SUBSTITUTE(SUBSTITUTE(H977,"~","~~"),"*","~*"),"?","~?"),Guide!$A$7:$A$9,0)),""),"")</f>
        <v>Home</v>
      </c>
      <c r="J977" s="1" t="str">
        <f>IF(TRIM(Raw!E977)="",I977,IF(UPPER(TRIM(Raw!E977))=UPPER(I977),I977,""))</f>
        <v>Home</v>
      </c>
      <c r="K977" s="1" t="str">
        <f>IF(Raw!F977="","",Raw!F977)</f>
        <v>sale</v>
      </c>
      <c r="L977" s="1" t="str">
        <f>IF(LEFT(TRIM(Raw!G977),2)="-$","-"&amp;MID(TRIM(Raw!G977),3,99),IF(LEFT(TRIM(Raw!G977),1)="$",MID(TRIM(Raw!G977),2,99),TRIM(Raw!G977)))</f>
        <v>123.89</v>
      </c>
      <c r="M977" s="1">
        <f t="shared" si="123"/>
        <v>123.89</v>
      </c>
      <c r="N977" s="10">
        <f t="shared" si="124"/>
        <v>12389</v>
      </c>
      <c r="O977" s="1" t="b">
        <f>IFERROR(IF(ISNUMBER(Raw!G977),TRUE,OR(EXACT(L977,TEXT(M977,"0.00")),EXACT(L977,TEXT(M977,"#,##0.00")))),FALSE)</f>
        <v>1</v>
      </c>
      <c r="P977" s="1" t="str">
        <f>LEN(IF(Raw!A977="","",Raw!A977))&amp;":"&amp;IF(Raw!A977="","",Raw!A977)&amp;"|"&amp;LEN(IF(Raw!B977="","",Raw!B977))&amp;":"&amp;IF(Raw!B977="","",Raw!B977)&amp;"|"&amp;LEN(IF(Raw!C977="","",Raw!C977))&amp;":"&amp;IF(Raw!C977="","",Raw!C977)&amp;"|"&amp;LEN(IF(Raw!D977="","",Raw!D977))&amp;":"&amp;IF(Raw!D977="","",Raw!D977)&amp;"|"&amp;LEN(IF(Raw!E977="","",Raw!E977))&amp;":"&amp;IF(Raw!E977="","",Raw!E977)&amp;"|"&amp;LEN(IF(Raw!F977="","",Raw!F977))&amp;":"&amp;IF(Raw!F977="","",Raw!F977)&amp;"|"&amp;LEN(IF(Raw!G977="","",Raw!G977))&amp;":"&amp;IF(Raw!G977="","",Raw!G977)</f>
        <v>6:L00971|6:T00486|10:2026-03-07|3:P-H|4:Home|4:sale|6:123.89</v>
      </c>
      <c r="Q977" s="1">
        <f>1</f>
        <v>1</v>
      </c>
      <c r="R977" s="1" t="b">
        <f>FALSE</f>
        <v>0</v>
      </c>
      <c r="S977" s="1">
        <f>1</f>
        <v>1</v>
      </c>
      <c r="T977" s="1" t="str">
        <f>IF(AND(Raw!A977="",Raw!B977="",Raw!C977="",Raw!D977="",Raw!E977="",Raw!F977="",Raw!G977=""),"UNUSED",IF(A977="","missing line ID",IF(B977="","missing transaction ID",IF(G977="",IF(C977="","missing date","invalid date"),IF(I977="","unknown product",IF(J977="","conflicting category",IF(NOT(OR(EXACT(K977,"sale"),EXACT(K977,"refund"))),"unknown event",IF(OR(N977="",NOT(O977)),"invalid amount",IF(OR(AND(K977="sale",N977&lt;=0),AND(K977="refund",N977&gt;=0)),"invalid sign","")))))))))</f>
        <v/>
      </c>
      <c r="U977" s="1" t="str">
        <f t="shared" si="125"/>
        <v>INCLUDED</v>
      </c>
      <c r="V977" s="1" t="str">
        <f t="shared" si="126"/>
        <v>2026-03</v>
      </c>
      <c r="W977" s="1">
        <f>IF(AND(U977="INCLUDED",X977&gt;0,EXACT(A977,'AI output'!A977)),1,0)</f>
        <v>1</v>
      </c>
      <c r="X977" s="1">
        <f>977</f>
        <v>977</v>
      </c>
      <c r="Y977" s="1">
        <f>IF(AND(U977="INCLUDED",W977=1),--(NOT(EXACT(A977,'AI output'!A977)))+--(NOT(EXACT(B977,'AI output'!B977)))+--(NOT(EXACT(TEXT(G977,"yyyy-mm-dd"),'AI output'!C977)))+--(NOT(EXACT(H977,'AI output'!D977)))+--(NOT(EXACT(J977,'AI output'!E977)))+--(NOT(EXACT(K977,'AI output'!F977)))+--(N977&lt;&gt;'AI output'!L977)+--(NOT('AI output'!M977)),0)</f>
        <v>0</v>
      </c>
      <c r="Z977" s="1">
        <f t="shared" si="127"/>
        <v>0</v>
      </c>
      <c r="AA977" s="1">
        <f>--EXACT(A977,"L00971")</f>
        <v>1</v>
      </c>
    </row>
    <row r="978" spans="1:27" ht="18.95" customHeight="1">
      <c r="A978" s="1" t="str">
        <f>IF(Raw!A978="","",Raw!A978)</f>
        <v>L00972</v>
      </c>
      <c r="B978" s="1" t="str">
        <f>IF(Raw!B978="","",Raw!B978)</f>
        <v>T00486</v>
      </c>
      <c r="C978" s="1" t="str">
        <f>IF(Raw!C978="","",Raw!C978)</f>
        <v>2026-03-07</v>
      </c>
      <c r="D978" s="1">
        <f t="shared" si="120"/>
        <v>2026</v>
      </c>
      <c r="E978" s="1">
        <f>IFERROR(IF(AND(LEN(C978)=10,MID(C978,5,1)="-",MID(C978,8,1)="-"),VALUE(MID(C978,6,2)),IF(AND(LEN(C978)=11,MID(C978,3,1)="-",MID(C978,7,1)="-"),MATCH(UPPER(MID(C978,4,3)),Guide!$D$7:$D$18,0),0)),0)</f>
        <v>3</v>
      </c>
      <c r="F978" s="1">
        <f t="shared" si="121"/>
        <v>7</v>
      </c>
      <c r="G978" s="9">
        <f t="shared" si="122"/>
        <v>46088</v>
      </c>
      <c r="H978" s="1" t="str">
        <f>IF(Raw!D978="","",Raw!D978)</f>
        <v>P-O</v>
      </c>
      <c r="I978" s="1" t="str">
        <f>IFERROR(IF(EXACT(H978,INDEX(Guide!$A$7:$A$9,MATCH(SUBSTITUTE(SUBSTITUTE(SUBSTITUTE(H978,"~","~~"),"*","~*"),"?","~?"),Guide!$A$7:$A$9,0))),INDEX(Guide!$B$7:$B$9,MATCH(SUBSTITUTE(SUBSTITUTE(SUBSTITUTE(H978,"~","~~"),"*","~*"),"?","~?"),Guide!$A$7:$A$9,0)),""),"")</f>
        <v>Office</v>
      </c>
      <c r="J978" s="1" t="str">
        <f>IF(TRIM(Raw!E978)="",I978,IF(UPPER(TRIM(Raw!E978))=UPPER(I978),I978,""))</f>
        <v>Office</v>
      </c>
      <c r="K978" s="1" t="str">
        <f>IF(Raw!F978="","",Raw!F978)</f>
        <v>sale</v>
      </c>
      <c r="L978" s="1" t="str">
        <f>IF(LEFT(TRIM(Raw!G978),2)="-$","-"&amp;MID(TRIM(Raw!G978),3,99),IF(LEFT(TRIM(Raw!G978),1)="$",MID(TRIM(Raw!G978),2,99),TRIM(Raw!G978)))</f>
        <v>372.78</v>
      </c>
      <c r="M978" s="1">
        <f t="shared" si="123"/>
        <v>372.78</v>
      </c>
      <c r="N978" s="10">
        <f t="shared" si="124"/>
        <v>37278</v>
      </c>
      <c r="O978" s="1" t="b">
        <f>IFERROR(IF(ISNUMBER(Raw!G978),TRUE,OR(EXACT(L978,TEXT(M978,"0.00")),EXACT(L978,TEXT(M978,"#,##0.00")))),FALSE)</f>
        <v>1</v>
      </c>
      <c r="P978" s="1" t="str">
        <f>LEN(IF(Raw!A978="","",Raw!A978))&amp;":"&amp;IF(Raw!A978="","",Raw!A978)&amp;"|"&amp;LEN(IF(Raw!B978="","",Raw!B978))&amp;":"&amp;IF(Raw!B978="","",Raw!B978)&amp;"|"&amp;LEN(IF(Raw!C978="","",Raw!C978))&amp;":"&amp;IF(Raw!C978="","",Raw!C978)&amp;"|"&amp;LEN(IF(Raw!D978="","",Raw!D978))&amp;":"&amp;IF(Raw!D978="","",Raw!D978)&amp;"|"&amp;LEN(IF(Raw!E978="","",Raw!E978))&amp;":"&amp;IF(Raw!E978="","",Raw!E978)&amp;"|"&amp;LEN(IF(Raw!F978="","",Raw!F978))&amp;":"&amp;IF(Raw!F978="","",Raw!F978)&amp;"|"&amp;LEN(IF(Raw!G978="","",Raw!G978))&amp;":"&amp;IF(Raw!G978="","",Raw!G978)</f>
        <v>6:L00972|6:T00486|10:2026-03-07|3:P-O|6:Office|4:sale|6:372.78</v>
      </c>
      <c r="Q978" s="1">
        <f>1</f>
        <v>1</v>
      </c>
      <c r="R978" s="1" t="b">
        <f>FALSE</f>
        <v>0</v>
      </c>
      <c r="S978" s="1">
        <f>1</f>
        <v>1</v>
      </c>
      <c r="T978" s="1" t="str">
        <f>IF(AND(Raw!A978="",Raw!B978="",Raw!C978="",Raw!D978="",Raw!E978="",Raw!F978="",Raw!G978=""),"UNUSED",IF(A978="","missing line ID",IF(B978="","missing transaction ID",IF(G978="",IF(C978="","missing date","invalid date"),IF(I978="","unknown product",IF(J978="","conflicting category",IF(NOT(OR(EXACT(K978,"sale"),EXACT(K978,"refund"))),"unknown event",IF(OR(N978="",NOT(O978)),"invalid amount",IF(OR(AND(K978="sale",N978&lt;=0),AND(K978="refund",N978&gt;=0)),"invalid sign","")))))))))</f>
        <v/>
      </c>
      <c r="U978" s="1" t="str">
        <f t="shared" si="125"/>
        <v>INCLUDED</v>
      </c>
      <c r="V978" s="1" t="str">
        <f t="shared" si="126"/>
        <v>2026-03</v>
      </c>
      <c r="W978" s="1">
        <f>IF(AND(U978="INCLUDED",X978&gt;0,EXACT(A978,'AI output'!A978)),1,0)</f>
        <v>1</v>
      </c>
      <c r="X978" s="1">
        <f>978</f>
        <v>978</v>
      </c>
      <c r="Y978" s="1">
        <f>IF(AND(U978="INCLUDED",W978=1),--(NOT(EXACT(A978,'AI output'!A978)))+--(NOT(EXACT(B978,'AI output'!B978)))+--(NOT(EXACT(TEXT(G978,"yyyy-mm-dd"),'AI output'!C978)))+--(NOT(EXACT(H978,'AI output'!D978)))+--(NOT(EXACT(J978,'AI output'!E978)))+--(NOT(EXACT(K978,'AI output'!F978)))+--(N978&lt;&gt;'AI output'!L978)+--(NOT('AI output'!M978)),0)</f>
        <v>0</v>
      </c>
      <c r="Z978" s="1">
        <f t="shared" si="127"/>
        <v>0</v>
      </c>
      <c r="AA978" s="1">
        <f>--EXACT(A978,"L00972")</f>
        <v>1</v>
      </c>
    </row>
    <row r="979" spans="1:27" ht="18.95" customHeight="1">
      <c r="A979" s="1" t="str">
        <f>IF(Raw!A979="","",Raw!A979)</f>
        <v>L00973</v>
      </c>
      <c r="B979" s="1" t="str">
        <f>IF(Raw!B979="","",Raw!B979)</f>
        <v>T00487</v>
      </c>
      <c r="C979" s="1" t="str">
        <f>IF(Raw!C979="","",Raw!C979)</f>
        <v>2026-03-14</v>
      </c>
      <c r="D979" s="1">
        <f t="shared" si="120"/>
        <v>2026</v>
      </c>
      <c r="E979" s="1">
        <f>IFERROR(IF(AND(LEN(C979)=10,MID(C979,5,1)="-",MID(C979,8,1)="-"),VALUE(MID(C979,6,2)),IF(AND(LEN(C979)=11,MID(C979,3,1)="-",MID(C979,7,1)="-"),MATCH(UPPER(MID(C979,4,3)),Guide!$D$7:$D$18,0),0)),0)</f>
        <v>3</v>
      </c>
      <c r="F979" s="1">
        <f t="shared" si="121"/>
        <v>14</v>
      </c>
      <c r="G979" s="9">
        <f t="shared" si="122"/>
        <v>46095</v>
      </c>
      <c r="H979" s="1" t="str">
        <f>IF(Raw!D979="","",Raw!D979)</f>
        <v>P-A</v>
      </c>
      <c r="I979" s="1" t="str">
        <f>IFERROR(IF(EXACT(H979,INDEX(Guide!$A$7:$A$9,MATCH(SUBSTITUTE(SUBSTITUTE(SUBSTITUTE(H979,"~","~~"),"*","~*"),"?","~?"),Guide!$A$7:$A$9,0))),INDEX(Guide!$B$7:$B$9,MATCH(SUBSTITUTE(SUBSTITUTE(SUBSTITUTE(H979,"~","~~"),"*","~*"),"?","~?"),Guide!$A$7:$A$9,0)),""),"")</f>
        <v>Accessories</v>
      </c>
      <c r="J979" s="1" t="str">
        <f>IF(TRIM(Raw!E979)="",I979,IF(UPPER(TRIM(Raw!E979))=UPPER(I979),I979,""))</f>
        <v>Accessories</v>
      </c>
      <c r="K979" s="1" t="str">
        <f>IF(Raw!F979="","",Raw!F979)</f>
        <v>sale</v>
      </c>
      <c r="L979" s="1" t="str">
        <f>IF(LEFT(TRIM(Raw!G979),2)="-$","-"&amp;MID(TRIM(Raw!G979),3,99),IF(LEFT(TRIM(Raw!G979),1)="$",MID(TRIM(Raw!G979),2,99),TRIM(Raw!G979)))</f>
        <v>623.15</v>
      </c>
      <c r="M979" s="1">
        <f t="shared" si="123"/>
        <v>623.15</v>
      </c>
      <c r="N979" s="10">
        <f t="shared" si="124"/>
        <v>62315</v>
      </c>
      <c r="O979" s="1" t="b">
        <f>IFERROR(IF(ISNUMBER(Raw!G979),TRUE,OR(EXACT(L979,TEXT(M979,"0.00")),EXACT(L979,TEXT(M979,"#,##0.00")))),FALSE)</f>
        <v>1</v>
      </c>
      <c r="P979" s="1" t="str">
        <f>LEN(IF(Raw!A979="","",Raw!A979))&amp;":"&amp;IF(Raw!A979="","",Raw!A979)&amp;"|"&amp;LEN(IF(Raw!B979="","",Raw!B979))&amp;":"&amp;IF(Raw!B979="","",Raw!B979)&amp;"|"&amp;LEN(IF(Raw!C979="","",Raw!C979))&amp;":"&amp;IF(Raw!C979="","",Raw!C979)&amp;"|"&amp;LEN(IF(Raw!D979="","",Raw!D979))&amp;":"&amp;IF(Raw!D979="","",Raw!D979)&amp;"|"&amp;LEN(IF(Raw!E979="","",Raw!E979))&amp;":"&amp;IF(Raw!E979="","",Raw!E979)&amp;"|"&amp;LEN(IF(Raw!F979="","",Raw!F979))&amp;":"&amp;IF(Raw!F979="","",Raw!F979)&amp;"|"&amp;LEN(IF(Raw!G979="","",Raw!G979))&amp;":"&amp;IF(Raw!G979="","",Raw!G979)</f>
        <v>6:L00973|6:T00487|10:2026-03-14|3:P-A|11:Accessories|4:sale|6:623.15</v>
      </c>
      <c r="Q979" s="1">
        <f>1</f>
        <v>1</v>
      </c>
      <c r="R979" s="1" t="b">
        <f>FALSE</f>
        <v>0</v>
      </c>
      <c r="S979" s="1">
        <f>1</f>
        <v>1</v>
      </c>
      <c r="T979" s="1" t="str">
        <f>IF(AND(Raw!A979="",Raw!B979="",Raw!C979="",Raw!D979="",Raw!E979="",Raw!F979="",Raw!G979=""),"UNUSED",IF(A979="","missing line ID",IF(B979="","missing transaction ID",IF(G979="",IF(C979="","missing date","invalid date"),IF(I979="","unknown product",IF(J979="","conflicting category",IF(NOT(OR(EXACT(K979,"sale"),EXACT(K979,"refund"))),"unknown event",IF(OR(N979="",NOT(O979)),"invalid amount",IF(OR(AND(K979="sale",N979&lt;=0),AND(K979="refund",N979&gt;=0)),"invalid sign","")))))))))</f>
        <v/>
      </c>
      <c r="U979" s="1" t="str">
        <f t="shared" si="125"/>
        <v>INCLUDED</v>
      </c>
      <c r="V979" s="1" t="str">
        <f t="shared" si="126"/>
        <v>2026-03</v>
      </c>
      <c r="W979" s="1">
        <f>IF(AND(U979="INCLUDED",X979&gt;0,EXACT(A979,'AI output'!A979)),1,0)</f>
        <v>1</v>
      </c>
      <c r="X979" s="1">
        <f>979</f>
        <v>979</v>
      </c>
      <c r="Y979" s="1">
        <f>IF(AND(U979="INCLUDED",W979=1),--(NOT(EXACT(A979,'AI output'!A979)))+--(NOT(EXACT(B979,'AI output'!B979)))+--(NOT(EXACT(TEXT(G979,"yyyy-mm-dd"),'AI output'!C979)))+--(NOT(EXACT(H979,'AI output'!D979)))+--(NOT(EXACT(J979,'AI output'!E979)))+--(NOT(EXACT(K979,'AI output'!F979)))+--(N979&lt;&gt;'AI output'!L979)+--(NOT('AI output'!M979)),0)</f>
        <v>0</v>
      </c>
      <c r="Z979" s="1">
        <f t="shared" si="127"/>
        <v>0</v>
      </c>
      <c r="AA979" s="1">
        <f>--EXACT(A979,"L00973")</f>
        <v>1</v>
      </c>
    </row>
    <row r="980" spans="1:27" ht="18.95" customHeight="1">
      <c r="A980" s="1" t="str">
        <f>IF(Raw!A980="","",Raw!A980)</f>
        <v>L00974</v>
      </c>
      <c r="B980" s="1" t="str">
        <f>IF(Raw!B980="","",Raw!B980)</f>
        <v>T00487</v>
      </c>
      <c r="C980" s="1" t="str">
        <f>IF(Raw!C980="","",Raw!C980)</f>
        <v>2026-03-14</v>
      </c>
      <c r="D980" s="1">
        <f t="shared" si="120"/>
        <v>2026</v>
      </c>
      <c r="E980" s="1">
        <f>IFERROR(IF(AND(LEN(C980)=10,MID(C980,5,1)="-",MID(C980,8,1)="-"),VALUE(MID(C980,6,2)),IF(AND(LEN(C980)=11,MID(C980,3,1)="-",MID(C980,7,1)="-"),MATCH(UPPER(MID(C980,4,3)),Guide!$D$7:$D$18,0),0)),0)</f>
        <v>3</v>
      </c>
      <c r="F980" s="1">
        <f t="shared" si="121"/>
        <v>14</v>
      </c>
      <c r="G980" s="9">
        <f t="shared" si="122"/>
        <v>46095</v>
      </c>
      <c r="H980" s="1" t="str">
        <f>IF(Raw!D980="","",Raw!D980)</f>
        <v>P-H</v>
      </c>
      <c r="I980" s="1" t="str">
        <f>IFERROR(IF(EXACT(H980,INDEX(Guide!$A$7:$A$9,MATCH(SUBSTITUTE(SUBSTITUTE(SUBSTITUTE(H980,"~","~~"),"*","~*"),"?","~?"),Guide!$A$7:$A$9,0))),INDEX(Guide!$B$7:$B$9,MATCH(SUBSTITUTE(SUBSTITUTE(SUBSTITUTE(H980,"~","~~"),"*","~*"),"?","~?"),Guide!$A$7:$A$9,0)),""),"")</f>
        <v>Home</v>
      </c>
      <c r="J980" s="1" t="str">
        <f>IF(TRIM(Raw!E980)="",I980,IF(UPPER(TRIM(Raw!E980))=UPPER(I980),I980,""))</f>
        <v>Home</v>
      </c>
      <c r="K980" s="1" t="str">
        <f>IF(Raw!F980="","",Raw!F980)</f>
        <v>sale</v>
      </c>
      <c r="L980" s="1" t="str">
        <f>IF(LEFT(TRIM(Raw!G980),2)="-$","-"&amp;MID(TRIM(Raw!G980),3,99),IF(LEFT(TRIM(Raw!G980),1)="$",MID(TRIM(Raw!G980),2,99),TRIM(Raw!G980)))</f>
        <v>10.00</v>
      </c>
      <c r="M980" s="1">
        <f t="shared" si="123"/>
        <v>10</v>
      </c>
      <c r="N980" s="10">
        <f t="shared" si="124"/>
        <v>1000</v>
      </c>
      <c r="O980" s="1" t="b">
        <f>IFERROR(IF(ISNUMBER(Raw!G980),TRUE,OR(EXACT(L980,TEXT(M980,"0.00")),EXACT(L980,TEXT(M980,"#,##0.00")))),FALSE)</f>
        <v>1</v>
      </c>
      <c r="P980" s="1" t="str">
        <f>LEN(IF(Raw!A980="","",Raw!A980))&amp;":"&amp;IF(Raw!A980="","",Raw!A980)&amp;"|"&amp;LEN(IF(Raw!B980="","",Raw!B980))&amp;":"&amp;IF(Raw!B980="","",Raw!B980)&amp;"|"&amp;LEN(IF(Raw!C980="","",Raw!C980))&amp;":"&amp;IF(Raw!C980="","",Raw!C980)&amp;"|"&amp;LEN(IF(Raw!D980="","",Raw!D980))&amp;":"&amp;IF(Raw!D980="","",Raw!D980)&amp;"|"&amp;LEN(IF(Raw!E980="","",Raw!E980))&amp;":"&amp;IF(Raw!E980="","",Raw!E980)&amp;"|"&amp;LEN(IF(Raw!F980="","",Raw!F980))&amp;":"&amp;IF(Raw!F980="","",Raw!F980)&amp;"|"&amp;LEN(IF(Raw!G980="","",Raw!G980))&amp;":"&amp;IF(Raw!G980="","",Raw!G980)</f>
        <v>6:L00974|6:T00487|10:2026-03-14|3:P-H|4:Home|4:sale|5:10.00</v>
      </c>
      <c r="Q980" s="1">
        <f>1</f>
        <v>1</v>
      </c>
      <c r="R980" s="1" t="b">
        <f>FALSE</f>
        <v>0</v>
      </c>
      <c r="S980" s="1">
        <f>1</f>
        <v>1</v>
      </c>
      <c r="T980" s="1" t="str">
        <f>IF(AND(Raw!A980="",Raw!B980="",Raw!C980="",Raw!D980="",Raw!E980="",Raw!F980="",Raw!G980=""),"UNUSED",IF(A980="","missing line ID",IF(B980="","missing transaction ID",IF(G980="",IF(C980="","missing date","invalid date"),IF(I980="","unknown product",IF(J980="","conflicting category",IF(NOT(OR(EXACT(K980,"sale"),EXACT(K980,"refund"))),"unknown event",IF(OR(N980="",NOT(O980)),"invalid amount",IF(OR(AND(K980="sale",N980&lt;=0),AND(K980="refund",N980&gt;=0)),"invalid sign","")))))))))</f>
        <v/>
      </c>
      <c r="U980" s="1" t="str">
        <f t="shared" si="125"/>
        <v>INCLUDED</v>
      </c>
      <c r="V980" s="1" t="str">
        <f t="shared" si="126"/>
        <v>2026-03</v>
      </c>
      <c r="W980" s="1">
        <f>IF(AND(U980="INCLUDED",X980&gt;0,EXACT(A980,'AI output'!A980)),1,0)</f>
        <v>1</v>
      </c>
      <c r="X980" s="1">
        <f>980</f>
        <v>980</v>
      </c>
      <c r="Y980" s="1">
        <f>IF(AND(U980="INCLUDED",W980=1),--(NOT(EXACT(A980,'AI output'!A980)))+--(NOT(EXACT(B980,'AI output'!B980)))+--(NOT(EXACT(TEXT(G980,"yyyy-mm-dd"),'AI output'!C980)))+--(NOT(EXACT(H980,'AI output'!D980)))+--(NOT(EXACT(J980,'AI output'!E980)))+--(NOT(EXACT(K980,'AI output'!F980)))+--(N980&lt;&gt;'AI output'!L980)+--(NOT('AI output'!M980)),0)</f>
        <v>0</v>
      </c>
      <c r="Z980" s="1">
        <f t="shared" si="127"/>
        <v>0</v>
      </c>
      <c r="AA980" s="1">
        <f>--EXACT(A980,"L00974")</f>
        <v>1</v>
      </c>
    </row>
    <row r="981" spans="1:27" ht="18.95" customHeight="1">
      <c r="A981" s="1" t="str">
        <f>IF(Raw!A981="","",Raw!A981)</f>
        <v>L00975</v>
      </c>
      <c r="B981" s="1" t="str">
        <f>IF(Raw!B981="","",Raw!B981)</f>
        <v>T00488</v>
      </c>
      <c r="C981" s="1" t="str">
        <f>IF(Raw!C981="","",Raw!C981)</f>
        <v>2026-03-21</v>
      </c>
      <c r="D981" s="1">
        <f t="shared" si="120"/>
        <v>2026</v>
      </c>
      <c r="E981" s="1">
        <f>IFERROR(IF(AND(LEN(C981)=10,MID(C981,5,1)="-",MID(C981,8,1)="-"),VALUE(MID(C981,6,2)),IF(AND(LEN(C981)=11,MID(C981,3,1)="-",MID(C981,7,1)="-"),MATCH(UPPER(MID(C981,4,3)),Guide!$D$7:$D$18,0),0)),0)</f>
        <v>3</v>
      </c>
      <c r="F981" s="1">
        <f t="shared" si="121"/>
        <v>21</v>
      </c>
      <c r="G981" s="9">
        <f t="shared" si="122"/>
        <v>46102</v>
      </c>
      <c r="H981" s="1" t="str">
        <f>IF(Raw!D981="","",Raw!D981)</f>
        <v>P-O</v>
      </c>
      <c r="I981" s="1" t="str">
        <f>IFERROR(IF(EXACT(H981,INDEX(Guide!$A$7:$A$9,MATCH(SUBSTITUTE(SUBSTITUTE(SUBSTITUTE(H981,"~","~~"),"*","~*"),"?","~?"),Guide!$A$7:$A$9,0))),INDEX(Guide!$B$7:$B$9,MATCH(SUBSTITUTE(SUBSTITUTE(SUBSTITUTE(H981,"~","~~"),"*","~*"),"?","~?"),Guide!$A$7:$A$9,0)),""),"")</f>
        <v>Office</v>
      </c>
      <c r="J981" s="1" t="str">
        <f>IF(TRIM(Raw!E981)="",I981,IF(UPPER(TRIM(Raw!E981))=UPPER(I981),I981,""))</f>
        <v>Office</v>
      </c>
      <c r="K981" s="1" t="str">
        <f>IF(Raw!F981="","",Raw!F981)</f>
        <v>sale</v>
      </c>
      <c r="L981" s="1" t="str">
        <f>IF(LEFT(TRIM(Raw!G981),2)="-$","-"&amp;MID(TRIM(Raw!G981),3,99),IF(LEFT(TRIM(Raw!G981),1)="$",MID(TRIM(Raw!G981),2,99),TRIM(Raw!G981)))</f>
        <v>21.48</v>
      </c>
      <c r="M981" s="1">
        <f t="shared" si="123"/>
        <v>21.48</v>
      </c>
      <c r="N981" s="10">
        <f t="shared" si="124"/>
        <v>2148</v>
      </c>
      <c r="O981" s="1" t="b">
        <f>IFERROR(IF(ISNUMBER(Raw!G981),TRUE,OR(EXACT(L981,TEXT(M981,"0.00")),EXACT(L981,TEXT(M981,"#,##0.00")))),FALSE)</f>
        <v>1</v>
      </c>
      <c r="P981" s="1" t="str">
        <f>LEN(IF(Raw!A981="","",Raw!A981))&amp;":"&amp;IF(Raw!A981="","",Raw!A981)&amp;"|"&amp;LEN(IF(Raw!B981="","",Raw!B981))&amp;":"&amp;IF(Raw!B981="","",Raw!B981)&amp;"|"&amp;LEN(IF(Raw!C981="","",Raw!C981))&amp;":"&amp;IF(Raw!C981="","",Raw!C981)&amp;"|"&amp;LEN(IF(Raw!D981="","",Raw!D981))&amp;":"&amp;IF(Raw!D981="","",Raw!D981)&amp;"|"&amp;LEN(IF(Raw!E981="","",Raw!E981))&amp;":"&amp;IF(Raw!E981="","",Raw!E981)&amp;"|"&amp;LEN(IF(Raw!F981="","",Raw!F981))&amp;":"&amp;IF(Raw!F981="","",Raw!F981)&amp;"|"&amp;LEN(IF(Raw!G981="","",Raw!G981))&amp;":"&amp;IF(Raw!G981="","",Raw!G981)</f>
        <v>6:L00975|6:T00488|10:2026-03-21|3:P-O|6:Office|4:sale|5:21.48</v>
      </c>
      <c r="Q981" s="1">
        <f>1</f>
        <v>1</v>
      </c>
      <c r="R981" s="1" t="b">
        <f>FALSE</f>
        <v>0</v>
      </c>
      <c r="S981" s="1">
        <f>1</f>
        <v>1</v>
      </c>
      <c r="T981" s="1" t="str">
        <f>IF(AND(Raw!A981="",Raw!B981="",Raw!C981="",Raw!D981="",Raw!E981="",Raw!F981="",Raw!G981=""),"UNUSED",IF(A981="","missing line ID",IF(B981="","missing transaction ID",IF(G981="",IF(C981="","missing date","invalid date"),IF(I981="","unknown product",IF(J981="","conflicting category",IF(NOT(OR(EXACT(K981,"sale"),EXACT(K981,"refund"))),"unknown event",IF(OR(N981="",NOT(O981)),"invalid amount",IF(OR(AND(K981="sale",N981&lt;=0),AND(K981="refund",N981&gt;=0)),"invalid sign","")))))))))</f>
        <v/>
      </c>
      <c r="U981" s="1" t="str">
        <f t="shared" si="125"/>
        <v>INCLUDED</v>
      </c>
      <c r="V981" s="1" t="str">
        <f t="shared" si="126"/>
        <v>2026-03</v>
      </c>
      <c r="W981" s="1">
        <f>IF(AND(U981="INCLUDED",X981&gt;0,EXACT(A981,'AI output'!A981)),1,0)</f>
        <v>1</v>
      </c>
      <c r="X981" s="1">
        <f>981</f>
        <v>981</v>
      </c>
      <c r="Y981" s="1">
        <f>IF(AND(U981="INCLUDED",W981=1),--(NOT(EXACT(A981,'AI output'!A981)))+--(NOT(EXACT(B981,'AI output'!B981)))+--(NOT(EXACT(TEXT(G981,"yyyy-mm-dd"),'AI output'!C981)))+--(NOT(EXACT(H981,'AI output'!D981)))+--(NOT(EXACT(J981,'AI output'!E981)))+--(NOT(EXACT(K981,'AI output'!F981)))+--(N981&lt;&gt;'AI output'!L981)+--(NOT('AI output'!M981)),0)</f>
        <v>0</v>
      </c>
      <c r="Z981" s="1">
        <f t="shared" si="127"/>
        <v>0</v>
      </c>
      <c r="AA981" s="1">
        <f>--EXACT(A981,"L00975")</f>
        <v>1</v>
      </c>
    </row>
    <row r="982" spans="1:27" ht="18.95" customHeight="1">
      <c r="A982" s="1" t="str">
        <f>IF(Raw!A982="","",Raw!A982)</f>
        <v>L00976</v>
      </c>
      <c r="B982" s="1" t="str">
        <f>IF(Raw!B982="","",Raw!B982)</f>
        <v>T00488</v>
      </c>
      <c r="C982" s="1" t="str">
        <f>IF(Raw!C982="","",Raw!C982)</f>
        <v>2026-03-21</v>
      </c>
      <c r="D982" s="1">
        <f t="shared" si="120"/>
        <v>2026</v>
      </c>
      <c r="E982" s="1">
        <f>IFERROR(IF(AND(LEN(C982)=10,MID(C982,5,1)="-",MID(C982,8,1)="-"),VALUE(MID(C982,6,2)),IF(AND(LEN(C982)=11,MID(C982,3,1)="-",MID(C982,7,1)="-"),MATCH(UPPER(MID(C982,4,3)),Guide!$D$7:$D$18,0),0)),0)</f>
        <v>3</v>
      </c>
      <c r="F982" s="1">
        <f t="shared" si="121"/>
        <v>21</v>
      </c>
      <c r="G982" s="9">
        <f t="shared" si="122"/>
        <v>46102</v>
      </c>
      <c r="H982" s="1" t="str">
        <f>IF(Raw!D982="","",Raw!D982)</f>
        <v>P-A</v>
      </c>
      <c r="I982" s="1" t="str">
        <f>IFERROR(IF(EXACT(H982,INDEX(Guide!$A$7:$A$9,MATCH(SUBSTITUTE(SUBSTITUTE(SUBSTITUTE(H982,"~","~~"),"*","~*"),"?","~?"),Guide!$A$7:$A$9,0))),INDEX(Guide!$B$7:$B$9,MATCH(SUBSTITUTE(SUBSTITUTE(SUBSTITUTE(H982,"~","~~"),"*","~*"),"?","~?"),Guide!$A$7:$A$9,0)),""),"")</f>
        <v>Accessories</v>
      </c>
      <c r="J982" s="1" t="str">
        <f>IF(TRIM(Raw!E982)="",I982,IF(UPPER(TRIM(Raw!E982))=UPPER(I982),I982,""))</f>
        <v>Accessories</v>
      </c>
      <c r="K982" s="1" t="str">
        <f>IF(Raw!F982="","",Raw!F982)</f>
        <v>sale</v>
      </c>
      <c r="L982" s="1" t="str">
        <f>IF(LEFT(TRIM(Raw!G982),2)="-$","-"&amp;MID(TRIM(Raw!G982),3,99),IF(LEFT(TRIM(Raw!G982),1)="$",MID(TRIM(Raw!G982),2,99),TRIM(Raw!G982)))</f>
        <v>5.74</v>
      </c>
      <c r="M982" s="1">
        <f t="shared" si="123"/>
        <v>5.74</v>
      </c>
      <c r="N982" s="10">
        <f t="shared" si="124"/>
        <v>574</v>
      </c>
      <c r="O982" s="1" t="b">
        <f>IFERROR(IF(ISNUMBER(Raw!G982),TRUE,OR(EXACT(L982,TEXT(M982,"0.00")),EXACT(L982,TEXT(M982,"#,##0.00")))),FALSE)</f>
        <v>1</v>
      </c>
      <c r="P982" s="1" t="str">
        <f>LEN(IF(Raw!A982="","",Raw!A982))&amp;":"&amp;IF(Raw!A982="","",Raw!A982)&amp;"|"&amp;LEN(IF(Raw!B982="","",Raw!B982))&amp;":"&amp;IF(Raw!B982="","",Raw!B982)&amp;"|"&amp;LEN(IF(Raw!C982="","",Raw!C982))&amp;":"&amp;IF(Raw!C982="","",Raw!C982)&amp;"|"&amp;LEN(IF(Raw!D982="","",Raw!D982))&amp;":"&amp;IF(Raw!D982="","",Raw!D982)&amp;"|"&amp;LEN(IF(Raw!E982="","",Raw!E982))&amp;":"&amp;IF(Raw!E982="","",Raw!E982)&amp;"|"&amp;LEN(IF(Raw!F982="","",Raw!F982))&amp;":"&amp;IF(Raw!F982="","",Raw!F982)&amp;"|"&amp;LEN(IF(Raw!G982="","",Raw!G982))&amp;":"&amp;IF(Raw!G982="","",Raw!G982)</f>
        <v>6:L00976|6:T00488|10:2026-03-21|3:P-A|11:Accessories|4:sale|4:5.74</v>
      </c>
      <c r="Q982" s="1">
        <f>1</f>
        <v>1</v>
      </c>
      <c r="R982" s="1" t="b">
        <f>FALSE</f>
        <v>0</v>
      </c>
      <c r="S982" s="1">
        <f>1</f>
        <v>1</v>
      </c>
      <c r="T982" s="1" t="str">
        <f>IF(AND(Raw!A982="",Raw!B982="",Raw!C982="",Raw!D982="",Raw!E982="",Raw!F982="",Raw!G982=""),"UNUSED",IF(A982="","missing line ID",IF(B982="","missing transaction ID",IF(G982="",IF(C982="","missing date","invalid date"),IF(I982="","unknown product",IF(J982="","conflicting category",IF(NOT(OR(EXACT(K982,"sale"),EXACT(K982,"refund"))),"unknown event",IF(OR(N982="",NOT(O982)),"invalid amount",IF(OR(AND(K982="sale",N982&lt;=0),AND(K982="refund",N982&gt;=0)),"invalid sign","")))))))))</f>
        <v/>
      </c>
      <c r="U982" s="1" t="str">
        <f t="shared" si="125"/>
        <v>INCLUDED</v>
      </c>
      <c r="V982" s="1" t="str">
        <f t="shared" si="126"/>
        <v>2026-03</v>
      </c>
      <c r="W982" s="1">
        <f>IF(AND(U982="INCLUDED",X982&gt;0,EXACT(A982,'AI output'!A982)),1,0)</f>
        <v>1</v>
      </c>
      <c r="X982" s="1">
        <f>982</f>
        <v>982</v>
      </c>
      <c r="Y982" s="1">
        <f>IF(AND(U982="INCLUDED",W982=1),--(NOT(EXACT(A982,'AI output'!A982)))+--(NOT(EXACT(B982,'AI output'!B982)))+--(NOT(EXACT(TEXT(G982,"yyyy-mm-dd"),'AI output'!C982)))+--(NOT(EXACT(H982,'AI output'!D982)))+--(NOT(EXACT(J982,'AI output'!E982)))+--(NOT(EXACT(K982,'AI output'!F982)))+--(N982&lt;&gt;'AI output'!L982)+--(NOT('AI output'!M982)),0)</f>
        <v>0</v>
      </c>
      <c r="Z982" s="1">
        <f t="shared" si="127"/>
        <v>0</v>
      </c>
      <c r="AA982" s="1">
        <f>--EXACT(A982,"L00976")</f>
        <v>1</v>
      </c>
    </row>
    <row r="983" spans="1:27" ht="18.95" customHeight="1">
      <c r="A983" s="1" t="str">
        <f>IF(Raw!A983="","",Raw!A983)</f>
        <v>L00977</v>
      </c>
      <c r="B983" s="1" t="str">
        <f>IF(Raw!B983="","",Raw!B983)</f>
        <v>T00489</v>
      </c>
      <c r="C983" s="1" t="str">
        <f>IF(Raw!C983="","",Raw!C983)</f>
        <v>2026-03-28</v>
      </c>
      <c r="D983" s="1">
        <f t="shared" si="120"/>
        <v>2026</v>
      </c>
      <c r="E983" s="1">
        <f>IFERROR(IF(AND(LEN(C983)=10,MID(C983,5,1)="-",MID(C983,8,1)="-"),VALUE(MID(C983,6,2)),IF(AND(LEN(C983)=11,MID(C983,3,1)="-",MID(C983,7,1)="-"),MATCH(UPPER(MID(C983,4,3)),Guide!$D$7:$D$18,0),0)),0)</f>
        <v>3</v>
      </c>
      <c r="F983" s="1">
        <f t="shared" si="121"/>
        <v>28</v>
      </c>
      <c r="G983" s="9">
        <f t="shared" si="122"/>
        <v>46109</v>
      </c>
      <c r="H983" s="1" t="str">
        <f>IF(Raw!D983="","",Raw!D983)</f>
        <v>P-H</v>
      </c>
      <c r="I983" s="1" t="str">
        <f>IFERROR(IF(EXACT(H983,INDEX(Guide!$A$7:$A$9,MATCH(SUBSTITUTE(SUBSTITUTE(SUBSTITUTE(H983,"~","~~"),"*","~*"),"?","~?"),Guide!$A$7:$A$9,0))),INDEX(Guide!$B$7:$B$9,MATCH(SUBSTITUTE(SUBSTITUTE(SUBSTITUTE(H983,"~","~~"),"*","~*"),"?","~?"),Guide!$A$7:$A$9,0)),""),"")</f>
        <v>Home</v>
      </c>
      <c r="J983" s="1" t="str">
        <f>IF(TRIM(Raw!E983)="",I983,IF(UPPER(TRIM(Raw!E983))=UPPER(I983),I983,""))</f>
        <v>Home</v>
      </c>
      <c r="K983" s="1" t="str">
        <f>IF(Raw!F983="","",Raw!F983)</f>
        <v>sale</v>
      </c>
      <c r="L983" s="1" t="str">
        <f>IF(LEFT(TRIM(Raw!G983),2)="-$","-"&amp;MID(TRIM(Raw!G983),3,99),IF(LEFT(TRIM(Raw!G983),1)="$",MID(TRIM(Raw!G983),2,99),TRIM(Raw!G983)))</f>
        <v>18.33</v>
      </c>
      <c r="M983" s="1">
        <f t="shared" si="123"/>
        <v>18.329999999999998</v>
      </c>
      <c r="N983" s="10">
        <f t="shared" si="124"/>
        <v>1833</v>
      </c>
      <c r="O983" s="1" t="b">
        <f>IFERROR(IF(ISNUMBER(Raw!G983),TRUE,OR(EXACT(L983,TEXT(M983,"0.00")),EXACT(L983,TEXT(M983,"#,##0.00")))),FALSE)</f>
        <v>1</v>
      </c>
      <c r="P983" s="1" t="str">
        <f>LEN(IF(Raw!A983="","",Raw!A983))&amp;":"&amp;IF(Raw!A983="","",Raw!A983)&amp;"|"&amp;LEN(IF(Raw!B983="","",Raw!B983))&amp;":"&amp;IF(Raw!B983="","",Raw!B983)&amp;"|"&amp;LEN(IF(Raw!C983="","",Raw!C983))&amp;":"&amp;IF(Raw!C983="","",Raw!C983)&amp;"|"&amp;LEN(IF(Raw!D983="","",Raw!D983))&amp;":"&amp;IF(Raw!D983="","",Raw!D983)&amp;"|"&amp;LEN(IF(Raw!E983="","",Raw!E983))&amp;":"&amp;IF(Raw!E983="","",Raw!E983)&amp;"|"&amp;LEN(IF(Raw!F983="","",Raw!F983))&amp;":"&amp;IF(Raw!F983="","",Raw!F983)&amp;"|"&amp;LEN(IF(Raw!G983="","",Raw!G983))&amp;":"&amp;IF(Raw!G983="","",Raw!G983)</f>
        <v>6:L00977|6:T00489|10:2026-03-28|3:P-H|4:Home|4:sale|5:18.33</v>
      </c>
      <c r="Q983" s="1">
        <f>1</f>
        <v>1</v>
      </c>
      <c r="R983" s="1" t="b">
        <f>FALSE</f>
        <v>0</v>
      </c>
      <c r="S983" s="1">
        <f>1</f>
        <v>1</v>
      </c>
      <c r="T983" s="1" t="str">
        <f>IF(AND(Raw!A983="",Raw!B983="",Raw!C983="",Raw!D983="",Raw!E983="",Raw!F983="",Raw!G983=""),"UNUSED",IF(A983="","missing line ID",IF(B983="","missing transaction ID",IF(G983="",IF(C983="","missing date","invalid date"),IF(I983="","unknown product",IF(J983="","conflicting category",IF(NOT(OR(EXACT(K983,"sale"),EXACT(K983,"refund"))),"unknown event",IF(OR(N983="",NOT(O983)),"invalid amount",IF(OR(AND(K983="sale",N983&lt;=0),AND(K983="refund",N983&gt;=0)),"invalid sign","")))))))))</f>
        <v/>
      </c>
      <c r="U983" s="1" t="str">
        <f t="shared" si="125"/>
        <v>INCLUDED</v>
      </c>
      <c r="V983" s="1" t="str">
        <f t="shared" si="126"/>
        <v>2026-03</v>
      </c>
      <c r="W983" s="1">
        <f>IF(AND(U983="INCLUDED",X983&gt;0,EXACT(A983,'AI output'!A983)),1,0)</f>
        <v>1</v>
      </c>
      <c r="X983" s="1">
        <f>983</f>
        <v>983</v>
      </c>
      <c r="Y983" s="1">
        <f>IF(AND(U983="INCLUDED",W983=1),--(NOT(EXACT(A983,'AI output'!A983)))+--(NOT(EXACT(B983,'AI output'!B983)))+--(NOT(EXACT(TEXT(G983,"yyyy-mm-dd"),'AI output'!C983)))+--(NOT(EXACT(H983,'AI output'!D983)))+--(NOT(EXACT(J983,'AI output'!E983)))+--(NOT(EXACT(K983,'AI output'!F983)))+--(N983&lt;&gt;'AI output'!L983)+--(NOT('AI output'!M983)),0)</f>
        <v>0</v>
      </c>
      <c r="Z983" s="1">
        <f t="shared" si="127"/>
        <v>0</v>
      </c>
      <c r="AA983" s="1">
        <f>--EXACT(A983,"L00977")</f>
        <v>1</v>
      </c>
    </row>
    <row r="984" spans="1:27" ht="18.95" customHeight="1">
      <c r="A984" s="1" t="str">
        <f>IF(Raw!A984="","",Raw!A984)</f>
        <v>L00978</v>
      </c>
      <c r="B984" s="1" t="str">
        <f>IF(Raw!B984="","",Raw!B984)</f>
        <v>T00489</v>
      </c>
      <c r="C984" s="1" t="str">
        <f>IF(Raw!C984="","",Raw!C984)</f>
        <v>2026-03-28</v>
      </c>
      <c r="D984" s="1">
        <f t="shared" si="120"/>
        <v>2026</v>
      </c>
      <c r="E984" s="1">
        <f>IFERROR(IF(AND(LEN(C984)=10,MID(C984,5,1)="-",MID(C984,8,1)="-"),VALUE(MID(C984,6,2)),IF(AND(LEN(C984)=11,MID(C984,3,1)="-",MID(C984,7,1)="-"),MATCH(UPPER(MID(C984,4,3)),Guide!$D$7:$D$18,0),0)),0)</f>
        <v>3</v>
      </c>
      <c r="F984" s="1">
        <f t="shared" si="121"/>
        <v>28</v>
      </c>
      <c r="G984" s="9">
        <f t="shared" si="122"/>
        <v>46109</v>
      </c>
      <c r="H984" s="1" t="str">
        <f>IF(Raw!D984="","",Raw!D984)</f>
        <v>P-O</v>
      </c>
      <c r="I984" s="1" t="str">
        <f>IFERROR(IF(EXACT(H984,INDEX(Guide!$A$7:$A$9,MATCH(SUBSTITUTE(SUBSTITUTE(SUBSTITUTE(H984,"~","~~"),"*","~*"),"?","~?"),Guide!$A$7:$A$9,0))),INDEX(Guide!$B$7:$B$9,MATCH(SUBSTITUTE(SUBSTITUTE(SUBSTITUTE(H984,"~","~~"),"*","~*"),"?","~?"),Guide!$A$7:$A$9,0)),""),"")</f>
        <v>Office</v>
      </c>
      <c r="J984" s="1" t="str">
        <f>IF(TRIM(Raw!E984)="",I984,IF(UPPER(TRIM(Raw!E984))=UPPER(I984),I984,""))</f>
        <v>Office</v>
      </c>
      <c r="K984" s="1" t="str">
        <f>IF(Raw!F984="","",Raw!F984)</f>
        <v>sale</v>
      </c>
      <c r="L984" s="1" t="str">
        <f>IF(LEFT(TRIM(Raw!G984),2)="-$","-"&amp;MID(TRIM(Raw!G984),3,99),IF(LEFT(TRIM(Raw!G984),1)="$",MID(TRIM(Raw!G984),2,99),TRIM(Raw!G984)))</f>
        <v>32.40</v>
      </c>
      <c r="M984" s="1">
        <f t="shared" si="123"/>
        <v>32.4</v>
      </c>
      <c r="N984" s="10">
        <f t="shared" si="124"/>
        <v>3240</v>
      </c>
      <c r="O984" s="1" t="b">
        <f>IFERROR(IF(ISNUMBER(Raw!G984),TRUE,OR(EXACT(L984,TEXT(M984,"0.00")),EXACT(L984,TEXT(M984,"#,##0.00")))),FALSE)</f>
        <v>1</v>
      </c>
      <c r="P984" s="1" t="str">
        <f>LEN(IF(Raw!A984="","",Raw!A984))&amp;":"&amp;IF(Raw!A984="","",Raw!A984)&amp;"|"&amp;LEN(IF(Raw!B984="","",Raw!B984))&amp;":"&amp;IF(Raw!B984="","",Raw!B984)&amp;"|"&amp;LEN(IF(Raw!C984="","",Raw!C984))&amp;":"&amp;IF(Raw!C984="","",Raw!C984)&amp;"|"&amp;LEN(IF(Raw!D984="","",Raw!D984))&amp;":"&amp;IF(Raw!D984="","",Raw!D984)&amp;"|"&amp;LEN(IF(Raw!E984="","",Raw!E984))&amp;":"&amp;IF(Raw!E984="","",Raw!E984)&amp;"|"&amp;LEN(IF(Raw!F984="","",Raw!F984))&amp;":"&amp;IF(Raw!F984="","",Raw!F984)&amp;"|"&amp;LEN(IF(Raw!G984="","",Raw!G984))&amp;":"&amp;IF(Raw!G984="","",Raw!G984)</f>
        <v>6:L00978|6:T00489|10:2026-03-28|3:P-O|6:Office|4:sale|5:32.40</v>
      </c>
      <c r="Q984" s="1">
        <f>1</f>
        <v>1</v>
      </c>
      <c r="R984" s="1" t="b">
        <f>FALSE</f>
        <v>0</v>
      </c>
      <c r="S984" s="1">
        <f>1</f>
        <v>1</v>
      </c>
      <c r="T984" s="1" t="str">
        <f>IF(AND(Raw!A984="",Raw!B984="",Raw!C984="",Raw!D984="",Raw!E984="",Raw!F984="",Raw!G984=""),"UNUSED",IF(A984="","missing line ID",IF(B984="","missing transaction ID",IF(G984="",IF(C984="","missing date","invalid date"),IF(I984="","unknown product",IF(J984="","conflicting category",IF(NOT(OR(EXACT(K984,"sale"),EXACT(K984,"refund"))),"unknown event",IF(OR(N984="",NOT(O984)),"invalid amount",IF(OR(AND(K984="sale",N984&lt;=0),AND(K984="refund",N984&gt;=0)),"invalid sign","")))))))))</f>
        <v/>
      </c>
      <c r="U984" s="1" t="str">
        <f t="shared" si="125"/>
        <v>INCLUDED</v>
      </c>
      <c r="V984" s="1" t="str">
        <f t="shared" si="126"/>
        <v>2026-03</v>
      </c>
      <c r="W984" s="1">
        <f>IF(AND(U984="INCLUDED",X984&gt;0,EXACT(A984,'AI output'!A984)),1,0)</f>
        <v>1</v>
      </c>
      <c r="X984" s="1">
        <f>984</f>
        <v>984</v>
      </c>
      <c r="Y984" s="1">
        <f>IF(AND(U984="INCLUDED",W984=1),--(NOT(EXACT(A984,'AI output'!A984)))+--(NOT(EXACT(B984,'AI output'!B984)))+--(NOT(EXACT(TEXT(G984,"yyyy-mm-dd"),'AI output'!C984)))+--(NOT(EXACT(H984,'AI output'!D984)))+--(NOT(EXACT(J984,'AI output'!E984)))+--(NOT(EXACT(K984,'AI output'!F984)))+--(N984&lt;&gt;'AI output'!L984)+--(NOT('AI output'!M984)),0)</f>
        <v>0</v>
      </c>
      <c r="Z984" s="1">
        <f t="shared" si="127"/>
        <v>0</v>
      </c>
      <c r="AA984" s="1">
        <f>--EXACT(A984,"L00978")</f>
        <v>1</v>
      </c>
    </row>
    <row r="985" spans="1:27" ht="18.95" customHeight="1">
      <c r="A985" s="1" t="str">
        <f>IF(Raw!A985="","",Raw!A985)</f>
        <v>L00979</v>
      </c>
      <c r="B985" s="1" t="str">
        <f>IF(Raw!B985="","",Raw!B985)</f>
        <v>T00490</v>
      </c>
      <c r="C985" s="1" t="str">
        <f>IF(Raw!C985="","",Raw!C985)</f>
        <v>2026-01-04</v>
      </c>
      <c r="D985" s="1">
        <f t="shared" si="120"/>
        <v>2026</v>
      </c>
      <c r="E985" s="1">
        <f>IFERROR(IF(AND(LEN(C985)=10,MID(C985,5,1)="-",MID(C985,8,1)="-"),VALUE(MID(C985,6,2)),IF(AND(LEN(C985)=11,MID(C985,3,1)="-",MID(C985,7,1)="-"),MATCH(UPPER(MID(C985,4,3)),Guide!$D$7:$D$18,0),0)),0)</f>
        <v>1</v>
      </c>
      <c r="F985" s="1">
        <f t="shared" si="121"/>
        <v>4</v>
      </c>
      <c r="G985" s="9">
        <f t="shared" si="122"/>
        <v>46026</v>
      </c>
      <c r="H985" s="1" t="str">
        <f>IF(Raw!D985="","",Raw!D985)</f>
        <v>P-A</v>
      </c>
      <c r="I985" s="1" t="str">
        <f>IFERROR(IF(EXACT(H985,INDEX(Guide!$A$7:$A$9,MATCH(SUBSTITUTE(SUBSTITUTE(SUBSTITUTE(H985,"~","~~"),"*","~*"),"?","~?"),Guide!$A$7:$A$9,0))),INDEX(Guide!$B$7:$B$9,MATCH(SUBSTITUTE(SUBSTITUTE(SUBSTITUTE(H985,"~","~~"),"*","~*"),"?","~?"),Guide!$A$7:$A$9,0)),""),"")</f>
        <v>Accessories</v>
      </c>
      <c r="J985" s="1" t="str">
        <f>IF(TRIM(Raw!E985)="",I985,IF(UPPER(TRIM(Raw!E985))=UPPER(I985),I985,""))</f>
        <v>Accessories</v>
      </c>
      <c r="K985" s="1" t="str">
        <f>IF(Raw!F985="","",Raw!F985)</f>
        <v>sale</v>
      </c>
      <c r="L985" s="1" t="str">
        <f>IF(LEFT(TRIM(Raw!G985),2)="-$","-"&amp;MID(TRIM(Raw!G985),3,99),IF(LEFT(TRIM(Raw!G985),1)="$",MID(TRIM(Raw!G985),2,99),TRIM(Raw!G985)))</f>
        <v>13.70</v>
      </c>
      <c r="M985" s="1">
        <f t="shared" si="123"/>
        <v>13.7</v>
      </c>
      <c r="N985" s="10">
        <f t="shared" si="124"/>
        <v>1370</v>
      </c>
      <c r="O985" s="1" t="b">
        <f>IFERROR(IF(ISNUMBER(Raw!G985),TRUE,OR(EXACT(L985,TEXT(M985,"0.00")),EXACT(L985,TEXT(M985,"#,##0.00")))),FALSE)</f>
        <v>1</v>
      </c>
      <c r="P985" s="1" t="str">
        <f>LEN(IF(Raw!A985="","",Raw!A985))&amp;":"&amp;IF(Raw!A985="","",Raw!A985)&amp;"|"&amp;LEN(IF(Raw!B985="","",Raw!B985))&amp;":"&amp;IF(Raw!B985="","",Raw!B985)&amp;"|"&amp;LEN(IF(Raw!C985="","",Raw!C985))&amp;":"&amp;IF(Raw!C985="","",Raw!C985)&amp;"|"&amp;LEN(IF(Raw!D985="","",Raw!D985))&amp;":"&amp;IF(Raw!D985="","",Raw!D985)&amp;"|"&amp;LEN(IF(Raw!E985="","",Raw!E985))&amp;":"&amp;IF(Raw!E985="","",Raw!E985)&amp;"|"&amp;LEN(IF(Raw!F985="","",Raw!F985))&amp;":"&amp;IF(Raw!F985="","",Raw!F985)&amp;"|"&amp;LEN(IF(Raw!G985="","",Raw!G985))&amp;":"&amp;IF(Raw!G985="","",Raw!G985)</f>
        <v>6:L00979|6:T00490|10:2026-01-04|3:P-A|11:Accessories|4:sale|5:13.70</v>
      </c>
      <c r="Q985" s="1">
        <f>1</f>
        <v>1</v>
      </c>
      <c r="R985" s="1" t="b">
        <f>FALSE</f>
        <v>0</v>
      </c>
      <c r="S985" s="1">
        <f>1</f>
        <v>1</v>
      </c>
      <c r="T985" s="1" t="str">
        <f>IF(AND(Raw!A985="",Raw!B985="",Raw!C985="",Raw!D985="",Raw!E985="",Raw!F985="",Raw!G985=""),"UNUSED",IF(A985="","missing line ID",IF(B985="","missing transaction ID",IF(G985="",IF(C985="","missing date","invalid date"),IF(I985="","unknown product",IF(J985="","conflicting category",IF(NOT(OR(EXACT(K985,"sale"),EXACT(K985,"refund"))),"unknown event",IF(OR(N985="",NOT(O985)),"invalid amount",IF(OR(AND(K985="sale",N985&lt;=0),AND(K985="refund",N985&gt;=0)),"invalid sign","")))))))))</f>
        <v/>
      </c>
      <c r="U985" s="1" t="str">
        <f t="shared" si="125"/>
        <v>INCLUDED</v>
      </c>
      <c r="V985" s="1" t="str">
        <f t="shared" si="126"/>
        <v>2026-01</v>
      </c>
      <c r="W985" s="1">
        <f>IF(AND(U985="INCLUDED",X985&gt;0,EXACT(A985,'AI output'!A985)),1,0)</f>
        <v>1</v>
      </c>
      <c r="X985" s="1">
        <f>985</f>
        <v>985</v>
      </c>
      <c r="Y985" s="1">
        <f>IF(AND(U985="INCLUDED",W985=1),--(NOT(EXACT(A985,'AI output'!A985)))+--(NOT(EXACT(B985,'AI output'!B985)))+--(NOT(EXACT(TEXT(G985,"yyyy-mm-dd"),'AI output'!C985)))+--(NOT(EXACT(H985,'AI output'!D985)))+--(NOT(EXACT(J985,'AI output'!E985)))+--(NOT(EXACT(K985,'AI output'!F985)))+--(N985&lt;&gt;'AI output'!L985)+--(NOT('AI output'!M985)),0)</f>
        <v>0</v>
      </c>
      <c r="Z985" s="1">
        <f t="shared" si="127"/>
        <v>0</v>
      </c>
      <c r="AA985" s="1">
        <f>--EXACT(A985,"L00979")</f>
        <v>1</v>
      </c>
    </row>
    <row r="986" spans="1:27" ht="18.95" customHeight="1">
      <c r="A986" s="1" t="str">
        <f>IF(Raw!A986="","",Raw!A986)</f>
        <v>L00980</v>
      </c>
      <c r="B986" s="1" t="str">
        <f>IF(Raw!B986="","",Raw!B986)</f>
        <v>T00490</v>
      </c>
      <c r="C986" s="1" t="str">
        <f>IF(Raw!C986="","",Raw!C986)</f>
        <v>2026-01-04</v>
      </c>
      <c r="D986" s="1">
        <f t="shared" si="120"/>
        <v>2026</v>
      </c>
      <c r="E986" s="1">
        <f>IFERROR(IF(AND(LEN(C986)=10,MID(C986,5,1)="-",MID(C986,8,1)="-"),VALUE(MID(C986,6,2)),IF(AND(LEN(C986)=11,MID(C986,3,1)="-",MID(C986,7,1)="-"),MATCH(UPPER(MID(C986,4,3)),Guide!$D$7:$D$18,0),0)),0)</f>
        <v>1</v>
      </c>
      <c r="F986" s="1">
        <f t="shared" si="121"/>
        <v>4</v>
      </c>
      <c r="G986" s="9">
        <f t="shared" si="122"/>
        <v>46026</v>
      </c>
      <c r="H986" s="1" t="str">
        <f>IF(Raw!D986="","",Raw!D986)</f>
        <v>P-H</v>
      </c>
      <c r="I986" s="1" t="str">
        <f>IFERROR(IF(EXACT(H986,INDEX(Guide!$A$7:$A$9,MATCH(SUBSTITUTE(SUBSTITUTE(SUBSTITUTE(H986,"~","~~"),"*","~*"),"?","~?"),Guide!$A$7:$A$9,0))),INDEX(Guide!$B$7:$B$9,MATCH(SUBSTITUTE(SUBSTITUTE(SUBSTITUTE(H986,"~","~~"),"*","~*"),"?","~?"),Guide!$A$7:$A$9,0)),""),"")</f>
        <v>Home</v>
      </c>
      <c r="J986" s="1" t="str">
        <f>IF(TRIM(Raw!E986)="",I986,IF(UPPER(TRIM(Raw!E986))=UPPER(I986),I986,""))</f>
        <v>Home</v>
      </c>
      <c r="K986" s="1" t="str">
        <f>IF(Raw!F986="","",Raw!F986)</f>
        <v>sale</v>
      </c>
      <c r="L986" s="1" t="str">
        <f>IF(LEFT(TRIM(Raw!G986),2)="-$","-"&amp;MID(TRIM(Raw!G986),3,99),IF(LEFT(TRIM(Raw!G986),1)="$",MID(TRIM(Raw!G986),2,99),TRIM(Raw!G986)))</f>
        <v>28.88</v>
      </c>
      <c r="M986" s="1">
        <f t="shared" si="123"/>
        <v>28.88</v>
      </c>
      <c r="N986" s="10">
        <f t="shared" si="124"/>
        <v>2888</v>
      </c>
      <c r="O986" s="1" t="b">
        <f>IFERROR(IF(ISNUMBER(Raw!G986),TRUE,OR(EXACT(L986,TEXT(M986,"0.00")),EXACT(L986,TEXT(M986,"#,##0.00")))),FALSE)</f>
        <v>1</v>
      </c>
      <c r="P986" s="1" t="str">
        <f>LEN(IF(Raw!A986="","",Raw!A986))&amp;":"&amp;IF(Raw!A986="","",Raw!A986)&amp;"|"&amp;LEN(IF(Raw!B986="","",Raw!B986))&amp;":"&amp;IF(Raw!B986="","",Raw!B986)&amp;"|"&amp;LEN(IF(Raw!C986="","",Raw!C986))&amp;":"&amp;IF(Raw!C986="","",Raw!C986)&amp;"|"&amp;LEN(IF(Raw!D986="","",Raw!D986))&amp;":"&amp;IF(Raw!D986="","",Raw!D986)&amp;"|"&amp;LEN(IF(Raw!E986="","",Raw!E986))&amp;":"&amp;IF(Raw!E986="","",Raw!E986)&amp;"|"&amp;LEN(IF(Raw!F986="","",Raw!F986))&amp;":"&amp;IF(Raw!F986="","",Raw!F986)&amp;"|"&amp;LEN(IF(Raw!G986="","",Raw!G986))&amp;":"&amp;IF(Raw!G986="","",Raw!G986)</f>
        <v>6:L00980|6:T00490|10:2026-01-04|3:P-H|4:Home|4:sale|5:28.88</v>
      </c>
      <c r="Q986" s="1">
        <f>1</f>
        <v>1</v>
      </c>
      <c r="R986" s="1" t="b">
        <f>FALSE</f>
        <v>0</v>
      </c>
      <c r="S986" s="1">
        <f>1</f>
        <v>1</v>
      </c>
      <c r="T986" s="1" t="str">
        <f>IF(AND(Raw!A986="",Raw!B986="",Raw!C986="",Raw!D986="",Raw!E986="",Raw!F986="",Raw!G986=""),"UNUSED",IF(A986="","missing line ID",IF(B986="","missing transaction ID",IF(G986="",IF(C986="","missing date","invalid date"),IF(I986="","unknown product",IF(J986="","conflicting category",IF(NOT(OR(EXACT(K986,"sale"),EXACT(K986,"refund"))),"unknown event",IF(OR(N986="",NOT(O986)),"invalid amount",IF(OR(AND(K986="sale",N986&lt;=0),AND(K986="refund",N986&gt;=0)),"invalid sign","")))))))))</f>
        <v/>
      </c>
      <c r="U986" s="1" t="str">
        <f t="shared" si="125"/>
        <v>INCLUDED</v>
      </c>
      <c r="V986" s="1" t="str">
        <f t="shared" si="126"/>
        <v>2026-01</v>
      </c>
      <c r="W986" s="1">
        <f>IF(AND(U986="INCLUDED",X986&gt;0,EXACT(A986,'AI output'!A986)),1,0)</f>
        <v>1</v>
      </c>
      <c r="X986" s="1">
        <f>986</f>
        <v>986</v>
      </c>
      <c r="Y986" s="1">
        <f>IF(AND(U986="INCLUDED",W986=1),--(NOT(EXACT(A986,'AI output'!A986)))+--(NOT(EXACT(B986,'AI output'!B986)))+--(NOT(EXACT(TEXT(G986,"yyyy-mm-dd"),'AI output'!C986)))+--(NOT(EXACT(H986,'AI output'!D986)))+--(NOT(EXACT(J986,'AI output'!E986)))+--(NOT(EXACT(K986,'AI output'!F986)))+--(N986&lt;&gt;'AI output'!L986)+--(NOT('AI output'!M986)),0)</f>
        <v>0</v>
      </c>
      <c r="Z986" s="1">
        <f t="shared" si="127"/>
        <v>0</v>
      </c>
      <c r="AA986" s="1">
        <f>--EXACT(A986,"L00980")</f>
        <v>1</v>
      </c>
    </row>
    <row r="987" spans="1:27" ht="18.95" customHeight="1">
      <c r="A987" s="1" t="str">
        <f>IF(Raw!A987="","",Raw!A987)</f>
        <v>L00981</v>
      </c>
      <c r="B987" s="1" t="str">
        <f>IF(Raw!B987="","",Raw!B987)</f>
        <v>T00491</v>
      </c>
      <c r="C987" s="1" t="str">
        <f>IF(Raw!C987="","",Raw!C987)</f>
        <v>2026-01-11</v>
      </c>
      <c r="D987" s="1">
        <f t="shared" si="120"/>
        <v>2026</v>
      </c>
      <c r="E987" s="1">
        <f>IFERROR(IF(AND(LEN(C987)=10,MID(C987,5,1)="-",MID(C987,8,1)="-"),VALUE(MID(C987,6,2)),IF(AND(LEN(C987)=11,MID(C987,3,1)="-",MID(C987,7,1)="-"),MATCH(UPPER(MID(C987,4,3)),Guide!$D$7:$D$18,0),0)),0)</f>
        <v>1</v>
      </c>
      <c r="F987" s="1">
        <f t="shared" si="121"/>
        <v>11</v>
      </c>
      <c r="G987" s="9">
        <f t="shared" si="122"/>
        <v>46033</v>
      </c>
      <c r="H987" s="1" t="str">
        <f>IF(Raw!D987="","",Raw!D987)</f>
        <v>P-O</v>
      </c>
      <c r="I987" s="1" t="str">
        <f>IFERROR(IF(EXACT(H987,INDEX(Guide!$A$7:$A$9,MATCH(SUBSTITUTE(SUBSTITUTE(SUBSTITUTE(H987,"~","~~"),"*","~*"),"?","~?"),Guide!$A$7:$A$9,0))),INDEX(Guide!$B$7:$B$9,MATCH(SUBSTITUTE(SUBSTITUTE(SUBSTITUTE(H987,"~","~~"),"*","~*"),"?","~?"),Guide!$A$7:$A$9,0)),""),"")</f>
        <v>Office</v>
      </c>
      <c r="J987" s="1" t="str">
        <f>IF(TRIM(Raw!E987)="",I987,IF(UPPER(TRIM(Raw!E987))=UPPER(I987),I987,""))</f>
        <v>Office</v>
      </c>
      <c r="K987" s="1" t="str">
        <f>IF(Raw!F987="","",Raw!F987)</f>
        <v>sale</v>
      </c>
      <c r="L987" s="1" t="str">
        <f>IF(LEFT(TRIM(Raw!G987),2)="-$","-"&amp;MID(TRIM(Raw!G987),3,99),IF(LEFT(TRIM(Raw!G987),1)="$",MID(TRIM(Raw!G987),2,99),TRIM(Raw!G987)))</f>
        <v>7.59</v>
      </c>
      <c r="M987" s="1">
        <f t="shared" si="123"/>
        <v>7.59</v>
      </c>
      <c r="N987" s="10">
        <f t="shared" si="124"/>
        <v>759</v>
      </c>
      <c r="O987" s="1" t="b">
        <f>IFERROR(IF(ISNUMBER(Raw!G987),TRUE,OR(EXACT(L987,TEXT(M987,"0.00")),EXACT(L987,TEXT(M987,"#,##0.00")))),FALSE)</f>
        <v>1</v>
      </c>
      <c r="P987" s="1" t="str">
        <f>LEN(IF(Raw!A987="","",Raw!A987))&amp;":"&amp;IF(Raw!A987="","",Raw!A987)&amp;"|"&amp;LEN(IF(Raw!B987="","",Raw!B987))&amp;":"&amp;IF(Raw!B987="","",Raw!B987)&amp;"|"&amp;LEN(IF(Raw!C987="","",Raw!C987))&amp;":"&amp;IF(Raw!C987="","",Raw!C987)&amp;"|"&amp;LEN(IF(Raw!D987="","",Raw!D987))&amp;":"&amp;IF(Raw!D987="","",Raw!D987)&amp;"|"&amp;LEN(IF(Raw!E987="","",Raw!E987))&amp;":"&amp;IF(Raw!E987="","",Raw!E987)&amp;"|"&amp;LEN(IF(Raw!F987="","",Raw!F987))&amp;":"&amp;IF(Raw!F987="","",Raw!F987)&amp;"|"&amp;LEN(IF(Raw!G987="","",Raw!G987))&amp;":"&amp;IF(Raw!G987="","",Raw!G987)</f>
        <v>6:L00981|6:T00491|10:2026-01-11|3:P-O|6:Office|4:sale|4:7.59</v>
      </c>
      <c r="Q987" s="1">
        <f>1</f>
        <v>1</v>
      </c>
      <c r="R987" s="1" t="b">
        <f>FALSE</f>
        <v>0</v>
      </c>
      <c r="S987" s="1">
        <f>1</f>
        <v>1</v>
      </c>
      <c r="T987" s="1" t="str">
        <f>IF(AND(Raw!A987="",Raw!B987="",Raw!C987="",Raw!D987="",Raw!E987="",Raw!F987="",Raw!G987=""),"UNUSED",IF(A987="","missing line ID",IF(B987="","missing transaction ID",IF(G987="",IF(C987="","missing date","invalid date"),IF(I987="","unknown product",IF(J987="","conflicting category",IF(NOT(OR(EXACT(K987,"sale"),EXACT(K987,"refund"))),"unknown event",IF(OR(N987="",NOT(O987)),"invalid amount",IF(OR(AND(K987="sale",N987&lt;=0),AND(K987="refund",N987&gt;=0)),"invalid sign","")))))))))</f>
        <v/>
      </c>
      <c r="U987" s="1" t="str">
        <f t="shared" si="125"/>
        <v>INCLUDED</v>
      </c>
      <c r="V987" s="1" t="str">
        <f t="shared" si="126"/>
        <v>2026-01</v>
      </c>
      <c r="W987" s="1">
        <f>IF(AND(U987="INCLUDED",X987&gt;0,EXACT(A987,'AI output'!A987)),1,0)</f>
        <v>1</v>
      </c>
      <c r="X987" s="1">
        <f>987</f>
        <v>987</v>
      </c>
      <c r="Y987" s="1">
        <f>IF(AND(U987="INCLUDED",W987=1),--(NOT(EXACT(A987,'AI output'!A987)))+--(NOT(EXACT(B987,'AI output'!B987)))+--(NOT(EXACT(TEXT(G987,"yyyy-mm-dd"),'AI output'!C987)))+--(NOT(EXACT(H987,'AI output'!D987)))+--(NOT(EXACT(J987,'AI output'!E987)))+--(NOT(EXACT(K987,'AI output'!F987)))+--(N987&lt;&gt;'AI output'!L987)+--(NOT('AI output'!M987)),0)</f>
        <v>0</v>
      </c>
      <c r="Z987" s="1">
        <f t="shared" si="127"/>
        <v>0</v>
      </c>
      <c r="AA987" s="1">
        <f>--EXACT(A987,"L00981")</f>
        <v>1</v>
      </c>
    </row>
    <row r="988" spans="1:27" ht="18.95" customHeight="1">
      <c r="A988" s="1" t="str">
        <f>IF(Raw!A988="","",Raw!A988)</f>
        <v>L00982</v>
      </c>
      <c r="B988" s="1" t="str">
        <f>IF(Raw!B988="","",Raw!B988)</f>
        <v>T00491</v>
      </c>
      <c r="C988" s="1" t="str">
        <f>IF(Raw!C988="","",Raw!C988)</f>
        <v>2026-01-11</v>
      </c>
      <c r="D988" s="1">
        <f t="shared" si="120"/>
        <v>2026</v>
      </c>
      <c r="E988" s="1">
        <f>IFERROR(IF(AND(LEN(C988)=10,MID(C988,5,1)="-",MID(C988,8,1)="-"),VALUE(MID(C988,6,2)),IF(AND(LEN(C988)=11,MID(C988,3,1)="-",MID(C988,7,1)="-"),MATCH(UPPER(MID(C988,4,3)),Guide!$D$7:$D$18,0),0)),0)</f>
        <v>1</v>
      </c>
      <c r="F988" s="1">
        <f t="shared" si="121"/>
        <v>11</v>
      </c>
      <c r="G988" s="9">
        <f t="shared" si="122"/>
        <v>46033</v>
      </c>
      <c r="H988" s="1" t="str">
        <f>IF(Raw!D988="","",Raw!D988)</f>
        <v>P-A</v>
      </c>
      <c r="I988" s="1" t="str">
        <f>IFERROR(IF(EXACT(H988,INDEX(Guide!$A$7:$A$9,MATCH(SUBSTITUTE(SUBSTITUTE(SUBSTITUTE(H988,"~","~~"),"*","~*"),"?","~?"),Guide!$A$7:$A$9,0))),INDEX(Guide!$B$7:$B$9,MATCH(SUBSTITUTE(SUBSTITUTE(SUBSTITUTE(H988,"~","~~"),"*","~*"),"?","~?"),Guide!$A$7:$A$9,0)),""),"")</f>
        <v>Accessories</v>
      </c>
      <c r="J988" s="1" t="str">
        <f>IF(TRIM(Raw!E988)="",I988,IF(UPPER(TRIM(Raw!E988))=UPPER(I988),I988,""))</f>
        <v>Accessories</v>
      </c>
      <c r="K988" s="1" t="str">
        <f>IF(Raw!F988="","",Raw!F988)</f>
        <v>sale</v>
      </c>
      <c r="L988" s="1" t="str">
        <f>IF(LEFT(TRIM(Raw!G988),2)="-$","-"&amp;MID(TRIM(Raw!G988),3,99),IF(LEFT(TRIM(Raw!G988),1)="$",MID(TRIM(Raw!G988),2,99),TRIM(Raw!G988)))</f>
        <v>23.88</v>
      </c>
      <c r="M988" s="1">
        <f t="shared" si="123"/>
        <v>23.88</v>
      </c>
      <c r="N988" s="10">
        <f t="shared" si="124"/>
        <v>2388</v>
      </c>
      <c r="O988" s="1" t="b">
        <f>IFERROR(IF(ISNUMBER(Raw!G988),TRUE,OR(EXACT(L988,TEXT(M988,"0.00")),EXACT(L988,TEXT(M988,"#,##0.00")))),FALSE)</f>
        <v>1</v>
      </c>
      <c r="P988" s="1" t="str">
        <f>LEN(IF(Raw!A988="","",Raw!A988))&amp;":"&amp;IF(Raw!A988="","",Raw!A988)&amp;"|"&amp;LEN(IF(Raw!B988="","",Raw!B988))&amp;":"&amp;IF(Raw!B988="","",Raw!B988)&amp;"|"&amp;LEN(IF(Raw!C988="","",Raw!C988))&amp;":"&amp;IF(Raw!C988="","",Raw!C988)&amp;"|"&amp;LEN(IF(Raw!D988="","",Raw!D988))&amp;":"&amp;IF(Raw!D988="","",Raw!D988)&amp;"|"&amp;LEN(IF(Raw!E988="","",Raw!E988))&amp;":"&amp;IF(Raw!E988="","",Raw!E988)&amp;"|"&amp;LEN(IF(Raw!F988="","",Raw!F988))&amp;":"&amp;IF(Raw!F988="","",Raw!F988)&amp;"|"&amp;LEN(IF(Raw!G988="","",Raw!G988))&amp;":"&amp;IF(Raw!G988="","",Raw!G988)</f>
        <v>6:L00982|6:T00491|10:2026-01-11|3:P-A|11:Accessories|4:sale|5:23.88</v>
      </c>
      <c r="Q988" s="1">
        <f>1</f>
        <v>1</v>
      </c>
      <c r="R988" s="1" t="b">
        <f>FALSE</f>
        <v>0</v>
      </c>
      <c r="S988" s="1">
        <f>1</f>
        <v>1</v>
      </c>
      <c r="T988" s="1" t="str">
        <f>IF(AND(Raw!A988="",Raw!B988="",Raw!C988="",Raw!D988="",Raw!E988="",Raw!F988="",Raw!G988=""),"UNUSED",IF(A988="","missing line ID",IF(B988="","missing transaction ID",IF(G988="",IF(C988="","missing date","invalid date"),IF(I988="","unknown product",IF(J988="","conflicting category",IF(NOT(OR(EXACT(K988,"sale"),EXACT(K988,"refund"))),"unknown event",IF(OR(N988="",NOT(O988)),"invalid amount",IF(OR(AND(K988="sale",N988&lt;=0),AND(K988="refund",N988&gt;=0)),"invalid sign","")))))))))</f>
        <v/>
      </c>
      <c r="U988" s="1" t="str">
        <f t="shared" si="125"/>
        <v>INCLUDED</v>
      </c>
      <c r="V988" s="1" t="str">
        <f t="shared" si="126"/>
        <v>2026-01</v>
      </c>
      <c r="W988" s="1">
        <f>IF(AND(U988="INCLUDED",X988&gt;0,EXACT(A988,'AI output'!A988)),1,0)</f>
        <v>1</v>
      </c>
      <c r="X988" s="1">
        <f>988</f>
        <v>988</v>
      </c>
      <c r="Y988" s="1">
        <f>IF(AND(U988="INCLUDED",W988=1),--(NOT(EXACT(A988,'AI output'!A988)))+--(NOT(EXACT(B988,'AI output'!B988)))+--(NOT(EXACT(TEXT(G988,"yyyy-mm-dd"),'AI output'!C988)))+--(NOT(EXACT(H988,'AI output'!D988)))+--(NOT(EXACT(J988,'AI output'!E988)))+--(NOT(EXACT(K988,'AI output'!F988)))+--(N988&lt;&gt;'AI output'!L988)+--(NOT('AI output'!M988)),0)</f>
        <v>0</v>
      </c>
      <c r="Z988" s="1">
        <f t="shared" si="127"/>
        <v>0</v>
      </c>
      <c r="AA988" s="1">
        <f>--EXACT(A988,"L00982")</f>
        <v>1</v>
      </c>
    </row>
    <row r="989" spans="1:27" ht="18.95" customHeight="1">
      <c r="A989" s="1" t="str">
        <f>IF(Raw!A989="","",Raw!A989)</f>
        <v>L00983</v>
      </c>
      <c r="B989" s="1" t="str">
        <f>IF(Raw!B989="","",Raw!B989)</f>
        <v>T00492</v>
      </c>
      <c r="C989" s="1" t="str">
        <f>IF(Raw!C989="","",Raw!C989)</f>
        <v>2026-01-18</v>
      </c>
      <c r="D989" s="1">
        <f t="shared" si="120"/>
        <v>2026</v>
      </c>
      <c r="E989" s="1">
        <f>IFERROR(IF(AND(LEN(C989)=10,MID(C989,5,1)="-",MID(C989,8,1)="-"),VALUE(MID(C989,6,2)),IF(AND(LEN(C989)=11,MID(C989,3,1)="-",MID(C989,7,1)="-"),MATCH(UPPER(MID(C989,4,3)),Guide!$D$7:$D$18,0),0)),0)</f>
        <v>1</v>
      </c>
      <c r="F989" s="1">
        <f t="shared" si="121"/>
        <v>18</v>
      </c>
      <c r="G989" s="9">
        <f t="shared" si="122"/>
        <v>46040</v>
      </c>
      <c r="H989" s="1" t="str">
        <f>IF(Raw!D989="","",Raw!D989)</f>
        <v>P-H</v>
      </c>
      <c r="I989" s="1" t="str">
        <f>IFERROR(IF(EXACT(H989,INDEX(Guide!$A$7:$A$9,MATCH(SUBSTITUTE(SUBSTITUTE(SUBSTITUTE(H989,"~","~~"),"*","~*"),"?","~?"),Guide!$A$7:$A$9,0))),INDEX(Guide!$B$7:$B$9,MATCH(SUBSTITUTE(SUBSTITUTE(SUBSTITUTE(H989,"~","~~"),"*","~*"),"?","~?"),Guide!$A$7:$A$9,0)),""),"")</f>
        <v>Home</v>
      </c>
      <c r="J989" s="1" t="str">
        <f>IF(TRIM(Raw!E989)="",I989,IF(UPPER(TRIM(Raw!E989))=UPPER(I989),I989,""))</f>
        <v>Home</v>
      </c>
      <c r="K989" s="1" t="str">
        <f>IF(Raw!F989="","",Raw!F989)</f>
        <v>sale</v>
      </c>
      <c r="L989" s="1" t="str">
        <f>IF(LEFT(TRIM(Raw!G989),2)="-$","-"&amp;MID(TRIM(Raw!G989),3,99),IF(LEFT(TRIM(Raw!G989),1)="$",MID(TRIM(Raw!G989),2,99),TRIM(Raw!G989)))</f>
        <v>41.65</v>
      </c>
      <c r="M989" s="1">
        <f t="shared" si="123"/>
        <v>41.65</v>
      </c>
      <c r="N989" s="10">
        <f t="shared" si="124"/>
        <v>4165</v>
      </c>
      <c r="O989" s="1" t="b">
        <f>IFERROR(IF(ISNUMBER(Raw!G989),TRUE,OR(EXACT(L989,TEXT(M989,"0.00")),EXACT(L989,TEXT(M989,"#,##0.00")))),FALSE)</f>
        <v>1</v>
      </c>
      <c r="P989" s="1" t="str">
        <f>LEN(IF(Raw!A989="","",Raw!A989))&amp;":"&amp;IF(Raw!A989="","",Raw!A989)&amp;"|"&amp;LEN(IF(Raw!B989="","",Raw!B989))&amp;":"&amp;IF(Raw!B989="","",Raw!B989)&amp;"|"&amp;LEN(IF(Raw!C989="","",Raw!C989))&amp;":"&amp;IF(Raw!C989="","",Raw!C989)&amp;"|"&amp;LEN(IF(Raw!D989="","",Raw!D989))&amp;":"&amp;IF(Raw!D989="","",Raw!D989)&amp;"|"&amp;LEN(IF(Raw!E989="","",Raw!E989))&amp;":"&amp;IF(Raw!E989="","",Raw!E989)&amp;"|"&amp;LEN(IF(Raw!F989="","",Raw!F989))&amp;":"&amp;IF(Raw!F989="","",Raw!F989)&amp;"|"&amp;LEN(IF(Raw!G989="","",Raw!G989))&amp;":"&amp;IF(Raw!G989="","",Raw!G989)</f>
        <v>6:L00983|6:T00492|10:2026-01-18|3:P-H|4:Home|4:sale|5:41.65</v>
      </c>
      <c r="Q989" s="1">
        <f>1</f>
        <v>1</v>
      </c>
      <c r="R989" s="1" t="b">
        <f>FALSE</f>
        <v>0</v>
      </c>
      <c r="S989" s="1">
        <f>1</f>
        <v>1</v>
      </c>
      <c r="T989" s="1" t="str">
        <f>IF(AND(Raw!A989="",Raw!B989="",Raw!C989="",Raw!D989="",Raw!E989="",Raw!F989="",Raw!G989=""),"UNUSED",IF(A989="","missing line ID",IF(B989="","missing transaction ID",IF(G989="",IF(C989="","missing date","invalid date"),IF(I989="","unknown product",IF(J989="","conflicting category",IF(NOT(OR(EXACT(K989,"sale"),EXACT(K989,"refund"))),"unknown event",IF(OR(N989="",NOT(O989)),"invalid amount",IF(OR(AND(K989="sale",N989&lt;=0),AND(K989="refund",N989&gt;=0)),"invalid sign","")))))))))</f>
        <v/>
      </c>
      <c r="U989" s="1" t="str">
        <f t="shared" si="125"/>
        <v>INCLUDED</v>
      </c>
      <c r="V989" s="1" t="str">
        <f t="shared" si="126"/>
        <v>2026-01</v>
      </c>
      <c r="W989" s="1">
        <f>IF(AND(U989="INCLUDED",X989&gt;0,EXACT(A989,'AI output'!A989)),1,0)</f>
        <v>1</v>
      </c>
      <c r="X989" s="1">
        <f>989</f>
        <v>989</v>
      </c>
      <c r="Y989" s="1">
        <f>IF(AND(U989="INCLUDED",W989=1),--(NOT(EXACT(A989,'AI output'!A989)))+--(NOT(EXACT(B989,'AI output'!B989)))+--(NOT(EXACT(TEXT(G989,"yyyy-mm-dd"),'AI output'!C989)))+--(NOT(EXACT(H989,'AI output'!D989)))+--(NOT(EXACT(J989,'AI output'!E989)))+--(NOT(EXACT(K989,'AI output'!F989)))+--(N989&lt;&gt;'AI output'!L989)+--(NOT('AI output'!M989)),0)</f>
        <v>0</v>
      </c>
      <c r="Z989" s="1">
        <f t="shared" si="127"/>
        <v>0</v>
      </c>
      <c r="AA989" s="1">
        <f>--EXACT(A989,"L00983")</f>
        <v>1</v>
      </c>
    </row>
    <row r="990" spans="1:27" ht="18.95" customHeight="1">
      <c r="A990" s="1" t="str">
        <f>IF(Raw!A990="","",Raw!A990)</f>
        <v>L00984</v>
      </c>
      <c r="B990" s="1" t="str">
        <f>IF(Raw!B990="","",Raw!B990)</f>
        <v>T00492</v>
      </c>
      <c r="C990" s="1" t="str">
        <f>IF(Raw!C990="","",Raw!C990)</f>
        <v>2026-01-18</v>
      </c>
      <c r="D990" s="1">
        <f t="shared" si="120"/>
        <v>2026</v>
      </c>
      <c r="E990" s="1">
        <f>IFERROR(IF(AND(LEN(C990)=10,MID(C990,5,1)="-",MID(C990,8,1)="-"),VALUE(MID(C990,6,2)),IF(AND(LEN(C990)=11,MID(C990,3,1)="-",MID(C990,7,1)="-"),MATCH(UPPER(MID(C990,4,3)),Guide!$D$7:$D$18,0),0)),0)</f>
        <v>1</v>
      </c>
      <c r="F990" s="1">
        <f t="shared" si="121"/>
        <v>18</v>
      </c>
      <c r="G990" s="9">
        <f t="shared" si="122"/>
        <v>46040</v>
      </c>
      <c r="H990" s="1" t="str">
        <f>IF(Raw!D990="","",Raw!D990)</f>
        <v>P-O</v>
      </c>
      <c r="I990" s="1" t="str">
        <f>IFERROR(IF(EXACT(H990,INDEX(Guide!$A$7:$A$9,MATCH(SUBSTITUTE(SUBSTITUTE(SUBSTITUTE(H990,"~","~~"),"*","~*"),"?","~?"),Guide!$A$7:$A$9,0))),INDEX(Guide!$B$7:$B$9,MATCH(SUBSTITUTE(SUBSTITUTE(SUBSTITUTE(H990,"~","~~"),"*","~*"),"?","~?"),Guide!$A$7:$A$9,0)),""),"")</f>
        <v>Office</v>
      </c>
      <c r="J990" s="1" t="str">
        <f>IF(TRIM(Raw!E990)="",I990,IF(UPPER(TRIM(Raw!E990))=UPPER(I990),I990,""))</f>
        <v>Office</v>
      </c>
      <c r="K990" s="1" t="str">
        <f>IF(Raw!F990="","",Raw!F990)</f>
        <v>sale</v>
      </c>
      <c r="L990" s="1" t="str">
        <f>IF(LEFT(TRIM(Raw!G990),2)="-$","-"&amp;MID(TRIM(Raw!G990),3,99),IF(LEFT(TRIM(Raw!G990),1)="$",MID(TRIM(Raw!G990),2,99),TRIM(Raw!G990)))</f>
        <v>17.40</v>
      </c>
      <c r="M990" s="1">
        <f t="shared" si="123"/>
        <v>17.399999999999999</v>
      </c>
      <c r="N990" s="10">
        <f t="shared" si="124"/>
        <v>1740</v>
      </c>
      <c r="O990" s="1" t="b">
        <f>IFERROR(IF(ISNUMBER(Raw!G990),TRUE,OR(EXACT(L990,TEXT(M990,"0.00")),EXACT(L990,TEXT(M990,"#,##0.00")))),FALSE)</f>
        <v>1</v>
      </c>
      <c r="P990" s="1" t="str">
        <f>LEN(IF(Raw!A990="","",Raw!A990))&amp;":"&amp;IF(Raw!A990="","",Raw!A990)&amp;"|"&amp;LEN(IF(Raw!B990="","",Raw!B990))&amp;":"&amp;IF(Raw!B990="","",Raw!B990)&amp;"|"&amp;LEN(IF(Raw!C990="","",Raw!C990))&amp;":"&amp;IF(Raw!C990="","",Raw!C990)&amp;"|"&amp;LEN(IF(Raw!D990="","",Raw!D990))&amp;":"&amp;IF(Raw!D990="","",Raw!D990)&amp;"|"&amp;LEN(IF(Raw!E990="","",Raw!E990))&amp;":"&amp;IF(Raw!E990="","",Raw!E990)&amp;"|"&amp;LEN(IF(Raw!F990="","",Raw!F990))&amp;":"&amp;IF(Raw!F990="","",Raw!F990)&amp;"|"&amp;LEN(IF(Raw!G990="","",Raw!G990))&amp;":"&amp;IF(Raw!G990="","",Raw!G990)</f>
        <v>6:L00984|6:T00492|10:2026-01-18|3:P-O|6:Office|4:sale|5:17.40</v>
      </c>
      <c r="Q990" s="1">
        <f>1</f>
        <v>1</v>
      </c>
      <c r="R990" s="1" t="b">
        <f>FALSE</f>
        <v>0</v>
      </c>
      <c r="S990" s="1">
        <f>1</f>
        <v>1</v>
      </c>
      <c r="T990" s="1" t="str">
        <f>IF(AND(Raw!A990="",Raw!B990="",Raw!C990="",Raw!D990="",Raw!E990="",Raw!F990="",Raw!G990=""),"UNUSED",IF(A990="","missing line ID",IF(B990="","missing transaction ID",IF(G990="",IF(C990="","missing date","invalid date"),IF(I990="","unknown product",IF(J990="","conflicting category",IF(NOT(OR(EXACT(K990,"sale"),EXACT(K990,"refund"))),"unknown event",IF(OR(N990="",NOT(O990)),"invalid amount",IF(OR(AND(K990="sale",N990&lt;=0),AND(K990="refund",N990&gt;=0)),"invalid sign","")))))))))</f>
        <v/>
      </c>
      <c r="U990" s="1" t="str">
        <f t="shared" si="125"/>
        <v>INCLUDED</v>
      </c>
      <c r="V990" s="1" t="str">
        <f t="shared" si="126"/>
        <v>2026-01</v>
      </c>
      <c r="W990" s="1">
        <f>IF(AND(U990="INCLUDED",X990&gt;0,EXACT(A990,'AI output'!A990)),1,0)</f>
        <v>1</v>
      </c>
      <c r="X990" s="1">
        <f>990</f>
        <v>990</v>
      </c>
      <c r="Y990" s="1">
        <f>IF(AND(U990="INCLUDED",W990=1),--(NOT(EXACT(A990,'AI output'!A990)))+--(NOT(EXACT(B990,'AI output'!B990)))+--(NOT(EXACT(TEXT(G990,"yyyy-mm-dd"),'AI output'!C990)))+--(NOT(EXACT(H990,'AI output'!D990)))+--(NOT(EXACT(J990,'AI output'!E990)))+--(NOT(EXACT(K990,'AI output'!F990)))+--(N990&lt;&gt;'AI output'!L990)+--(NOT('AI output'!M990)),0)</f>
        <v>0</v>
      </c>
      <c r="Z990" s="1">
        <f t="shared" si="127"/>
        <v>0</v>
      </c>
      <c r="AA990" s="1">
        <f>--EXACT(A990,"L00984")</f>
        <v>1</v>
      </c>
    </row>
    <row r="991" spans="1:27" ht="18.95" customHeight="1">
      <c r="A991" s="1" t="str">
        <f>IF(Raw!A991="","",Raw!A991)</f>
        <v>L00985</v>
      </c>
      <c r="B991" s="1" t="str">
        <f>IF(Raw!B991="","",Raw!B991)</f>
        <v>T00493</v>
      </c>
      <c r="C991" s="1" t="str">
        <f>IF(Raw!C991="","",Raw!C991)</f>
        <v>2026-01-25</v>
      </c>
      <c r="D991" s="1">
        <f t="shared" si="120"/>
        <v>2026</v>
      </c>
      <c r="E991" s="1">
        <f>IFERROR(IF(AND(LEN(C991)=10,MID(C991,5,1)="-",MID(C991,8,1)="-"),VALUE(MID(C991,6,2)),IF(AND(LEN(C991)=11,MID(C991,3,1)="-",MID(C991,7,1)="-"),MATCH(UPPER(MID(C991,4,3)),Guide!$D$7:$D$18,0),0)),0)</f>
        <v>1</v>
      </c>
      <c r="F991" s="1">
        <f t="shared" si="121"/>
        <v>25</v>
      </c>
      <c r="G991" s="9">
        <f t="shared" si="122"/>
        <v>46047</v>
      </c>
      <c r="H991" s="1" t="str">
        <f>IF(Raw!D991="","",Raw!D991)</f>
        <v>P-A</v>
      </c>
      <c r="I991" s="1" t="str">
        <f>IFERROR(IF(EXACT(H991,INDEX(Guide!$A$7:$A$9,MATCH(SUBSTITUTE(SUBSTITUTE(SUBSTITUTE(H991,"~","~~"),"*","~*"),"?","~?"),Guide!$A$7:$A$9,0))),INDEX(Guide!$B$7:$B$9,MATCH(SUBSTITUTE(SUBSTITUTE(SUBSTITUTE(H991,"~","~~"),"*","~*"),"?","~?"),Guide!$A$7:$A$9,0)),""),"")</f>
        <v>Accessories</v>
      </c>
      <c r="J991" s="1" t="str">
        <f>IF(TRIM(Raw!E991)="",I991,IF(UPPER(TRIM(Raw!E991))=UPPER(I991),I991,""))</f>
        <v>Accessories</v>
      </c>
      <c r="K991" s="1" t="str">
        <f>IF(Raw!F991="","",Raw!F991)</f>
        <v>sale</v>
      </c>
      <c r="L991" s="1" t="str">
        <f>IF(LEFT(TRIM(Raw!G991),2)="-$","-"&amp;MID(TRIM(Raw!G991),3,99),IF(LEFT(TRIM(Raw!G991),1)="$",MID(TRIM(Raw!G991),2,99),TRIM(Raw!G991)))</f>
        <v>36.28</v>
      </c>
      <c r="M991" s="1">
        <f t="shared" si="123"/>
        <v>36.28</v>
      </c>
      <c r="N991" s="10">
        <f t="shared" si="124"/>
        <v>3628</v>
      </c>
      <c r="O991" s="1" t="b">
        <f>IFERROR(IF(ISNUMBER(Raw!G991),TRUE,OR(EXACT(L991,TEXT(M991,"0.00")),EXACT(L991,TEXT(M991,"#,##0.00")))),FALSE)</f>
        <v>1</v>
      </c>
      <c r="P991" s="1" t="str">
        <f>LEN(IF(Raw!A991="","",Raw!A991))&amp;":"&amp;IF(Raw!A991="","",Raw!A991)&amp;"|"&amp;LEN(IF(Raw!B991="","",Raw!B991))&amp;":"&amp;IF(Raw!B991="","",Raw!B991)&amp;"|"&amp;LEN(IF(Raw!C991="","",Raw!C991))&amp;":"&amp;IF(Raw!C991="","",Raw!C991)&amp;"|"&amp;LEN(IF(Raw!D991="","",Raw!D991))&amp;":"&amp;IF(Raw!D991="","",Raw!D991)&amp;"|"&amp;LEN(IF(Raw!E991="","",Raw!E991))&amp;":"&amp;IF(Raw!E991="","",Raw!E991)&amp;"|"&amp;LEN(IF(Raw!F991="","",Raw!F991))&amp;":"&amp;IF(Raw!F991="","",Raw!F991)&amp;"|"&amp;LEN(IF(Raw!G991="","",Raw!G991))&amp;":"&amp;IF(Raw!G991="","",Raw!G991)</f>
        <v>6:L00985|6:T00493|10:2026-01-25|3:P-A|11:Accessories|4:sale|5:36.28</v>
      </c>
      <c r="Q991" s="1">
        <f>1</f>
        <v>1</v>
      </c>
      <c r="R991" s="1" t="b">
        <f>FALSE</f>
        <v>0</v>
      </c>
      <c r="S991" s="1">
        <f>1</f>
        <v>1</v>
      </c>
      <c r="T991" s="1" t="str">
        <f>IF(AND(Raw!A991="",Raw!B991="",Raw!C991="",Raw!D991="",Raw!E991="",Raw!F991="",Raw!G991=""),"UNUSED",IF(A991="","missing line ID",IF(B991="","missing transaction ID",IF(G991="",IF(C991="","missing date","invalid date"),IF(I991="","unknown product",IF(J991="","conflicting category",IF(NOT(OR(EXACT(K991,"sale"),EXACT(K991,"refund"))),"unknown event",IF(OR(N991="",NOT(O991)),"invalid amount",IF(OR(AND(K991="sale",N991&lt;=0),AND(K991="refund",N991&gt;=0)),"invalid sign","")))))))))</f>
        <v/>
      </c>
      <c r="U991" s="1" t="str">
        <f t="shared" si="125"/>
        <v>INCLUDED</v>
      </c>
      <c r="V991" s="1" t="str">
        <f t="shared" si="126"/>
        <v>2026-01</v>
      </c>
      <c r="W991" s="1">
        <f>IF(AND(U991="INCLUDED",X991&gt;0,EXACT(A991,'AI output'!A991)),1,0)</f>
        <v>1</v>
      </c>
      <c r="X991" s="1">
        <f>991</f>
        <v>991</v>
      </c>
      <c r="Y991" s="1">
        <f>IF(AND(U991="INCLUDED",W991=1),--(NOT(EXACT(A991,'AI output'!A991)))+--(NOT(EXACT(B991,'AI output'!B991)))+--(NOT(EXACT(TEXT(G991,"yyyy-mm-dd"),'AI output'!C991)))+--(NOT(EXACT(H991,'AI output'!D991)))+--(NOT(EXACT(J991,'AI output'!E991)))+--(NOT(EXACT(K991,'AI output'!F991)))+--(N991&lt;&gt;'AI output'!L991)+--(NOT('AI output'!M991)),0)</f>
        <v>0</v>
      </c>
      <c r="Z991" s="1">
        <f t="shared" si="127"/>
        <v>0</v>
      </c>
      <c r="AA991" s="1">
        <f>--EXACT(A991,"L00985")</f>
        <v>1</v>
      </c>
    </row>
    <row r="992" spans="1:27" ht="18.95" customHeight="1">
      <c r="A992" s="1" t="str">
        <f>IF(Raw!A992="","",Raw!A992)</f>
        <v>L00986</v>
      </c>
      <c r="B992" s="1" t="str">
        <f>IF(Raw!B992="","",Raw!B992)</f>
        <v>T00493</v>
      </c>
      <c r="C992" s="1" t="str">
        <f>IF(Raw!C992="","",Raw!C992)</f>
        <v>2026-01-25</v>
      </c>
      <c r="D992" s="1">
        <f t="shared" si="120"/>
        <v>2026</v>
      </c>
      <c r="E992" s="1">
        <f>IFERROR(IF(AND(LEN(C992)=10,MID(C992,5,1)="-",MID(C992,8,1)="-"),VALUE(MID(C992,6,2)),IF(AND(LEN(C992)=11,MID(C992,3,1)="-",MID(C992,7,1)="-"),MATCH(UPPER(MID(C992,4,3)),Guide!$D$7:$D$18,0),0)),0)</f>
        <v>1</v>
      </c>
      <c r="F992" s="1">
        <f t="shared" si="121"/>
        <v>25</v>
      </c>
      <c r="G992" s="9">
        <f t="shared" si="122"/>
        <v>46047</v>
      </c>
      <c r="H992" s="1" t="str">
        <f>IF(Raw!D992="","",Raw!D992)</f>
        <v>P-H</v>
      </c>
      <c r="I992" s="1" t="str">
        <f>IFERROR(IF(EXACT(H992,INDEX(Guide!$A$7:$A$9,MATCH(SUBSTITUTE(SUBSTITUTE(SUBSTITUTE(H992,"~","~~"),"*","~*"),"?","~?"),Guide!$A$7:$A$9,0))),INDEX(Guide!$B$7:$B$9,MATCH(SUBSTITUTE(SUBSTITUTE(SUBSTITUTE(H992,"~","~~"),"*","~*"),"?","~?"),Guide!$A$7:$A$9,0)),""),"")</f>
        <v>Home</v>
      </c>
      <c r="J992" s="1" t="str">
        <f>IF(TRIM(Raw!E992)="",I992,IF(UPPER(TRIM(Raw!E992))=UPPER(I992),I992,""))</f>
        <v>Home</v>
      </c>
      <c r="K992" s="1" t="str">
        <f>IF(Raw!F992="","",Raw!F992)</f>
        <v>sale</v>
      </c>
      <c r="L992" s="1" t="str">
        <f>IF(LEFT(TRIM(Raw!G992),2)="-$","-"&amp;MID(TRIM(Raw!G992),3,99),IF(LEFT(TRIM(Raw!G992),1)="$",MID(TRIM(Raw!G992),2,99),TRIM(Raw!G992)))</f>
        <v>9.44</v>
      </c>
      <c r="M992" s="1">
        <f t="shared" si="123"/>
        <v>9.44</v>
      </c>
      <c r="N992" s="10">
        <f t="shared" si="124"/>
        <v>944</v>
      </c>
      <c r="O992" s="1" t="b">
        <f>IFERROR(IF(ISNUMBER(Raw!G992),TRUE,OR(EXACT(L992,TEXT(M992,"0.00")),EXACT(L992,TEXT(M992,"#,##0.00")))),FALSE)</f>
        <v>1</v>
      </c>
      <c r="P992" s="1" t="str">
        <f>LEN(IF(Raw!A992="","",Raw!A992))&amp;":"&amp;IF(Raw!A992="","",Raw!A992)&amp;"|"&amp;LEN(IF(Raw!B992="","",Raw!B992))&amp;":"&amp;IF(Raw!B992="","",Raw!B992)&amp;"|"&amp;LEN(IF(Raw!C992="","",Raw!C992))&amp;":"&amp;IF(Raw!C992="","",Raw!C992)&amp;"|"&amp;LEN(IF(Raw!D992="","",Raw!D992))&amp;":"&amp;IF(Raw!D992="","",Raw!D992)&amp;"|"&amp;LEN(IF(Raw!E992="","",Raw!E992))&amp;":"&amp;IF(Raw!E992="","",Raw!E992)&amp;"|"&amp;LEN(IF(Raw!F992="","",Raw!F992))&amp;":"&amp;IF(Raw!F992="","",Raw!F992)&amp;"|"&amp;LEN(IF(Raw!G992="","",Raw!G992))&amp;":"&amp;IF(Raw!G992="","",Raw!G992)</f>
        <v>6:L00986|6:T00493|10:2026-01-25|3:P-H|4:Home|4:sale|4:9.44</v>
      </c>
      <c r="Q992" s="1">
        <f>1</f>
        <v>1</v>
      </c>
      <c r="R992" s="1" t="b">
        <f>FALSE</f>
        <v>0</v>
      </c>
      <c r="S992" s="1">
        <f>1</f>
        <v>1</v>
      </c>
      <c r="T992" s="1" t="str">
        <f>IF(AND(Raw!A992="",Raw!B992="",Raw!C992="",Raw!D992="",Raw!E992="",Raw!F992="",Raw!G992=""),"UNUSED",IF(A992="","missing line ID",IF(B992="","missing transaction ID",IF(G992="",IF(C992="","missing date","invalid date"),IF(I992="","unknown product",IF(J992="","conflicting category",IF(NOT(OR(EXACT(K992,"sale"),EXACT(K992,"refund"))),"unknown event",IF(OR(N992="",NOT(O992)),"invalid amount",IF(OR(AND(K992="sale",N992&lt;=0),AND(K992="refund",N992&gt;=0)),"invalid sign","")))))))))</f>
        <v/>
      </c>
      <c r="U992" s="1" t="str">
        <f t="shared" si="125"/>
        <v>INCLUDED</v>
      </c>
      <c r="V992" s="1" t="str">
        <f t="shared" si="126"/>
        <v>2026-01</v>
      </c>
      <c r="W992" s="1">
        <f>IF(AND(U992="INCLUDED",X992&gt;0,EXACT(A992,'AI output'!A992)),1,0)</f>
        <v>1</v>
      </c>
      <c r="X992" s="1">
        <f>992</f>
        <v>992</v>
      </c>
      <c r="Y992" s="1">
        <f>IF(AND(U992="INCLUDED",W992=1),--(NOT(EXACT(A992,'AI output'!A992)))+--(NOT(EXACT(B992,'AI output'!B992)))+--(NOT(EXACT(TEXT(G992,"yyyy-mm-dd"),'AI output'!C992)))+--(NOT(EXACT(H992,'AI output'!D992)))+--(NOT(EXACT(J992,'AI output'!E992)))+--(NOT(EXACT(K992,'AI output'!F992)))+--(N992&lt;&gt;'AI output'!L992)+--(NOT('AI output'!M992)),0)</f>
        <v>0</v>
      </c>
      <c r="Z992" s="1">
        <f t="shared" si="127"/>
        <v>0</v>
      </c>
      <c r="AA992" s="1">
        <f>--EXACT(A992,"L00986")</f>
        <v>1</v>
      </c>
    </row>
    <row r="993" spans="1:27" ht="18.95" customHeight="1">
      <c r="A993" s="1" t="str">
        <f>IF(Raw!A993="","",Raw!A993)</f>
        <v>L00987</v>
      </c>
      <c r="B993" s="1" t="str">
        <f>IF(Raw!B993="","",Raw!B993)</f>
        <v>T00494</v>
      </c>
      <c r="C993" s="1" t="str">
        <f>IF(Raw!C993="","",Raw!C993)</f>
        <v>2026-02-01</v>
      </c>
      <c r="D993" s="1">
        <f t="shared" si="120"/>
        <v>2026</v>
      </c>
      <c r="E993" s="1">
        <f>IFERROR(IF(AND(LEN(C993)=10,MID(C993,5,1)="-",MID(C993,8,1)="-"),VALUE(MID(C993,6,2)),IF(AND(LEN(C993)=11,MID(C993,3,1)="-",MID(C993,7,1)="-"),MATCH(UPPER(MID(C993,4,3)),Guide!$D$7:$D$18,0),0)),0)</f>
        <v>2</v>
      </c>
      <c r="F993" s="1">
        <f t="shared" si="121"/>
        <v>1</v>
      </c>
      <c r="G993" s="9">
        <f t="shared" si="122"/>
        <v>46054</v>
      </c>
      <c r="H993" s="1" t="str">
        <f>IF(Raw!D993="","",Raw!D993)</f>
        <v>P-O</v>
      </c>
      <c r="I993" s="1" t="str">
        <f>IFERROR(IF(EXACT(H993,INDEX(Guide!$A$7:$A$9,MATCH(SUBSTITUTE(SUBSTITUTE(SUBSTITUTE(H993,"~","~~"),"*","~*"),"?","~?"),Guide!$A$7:$A$9,0))),INDEX(Guide!$B$7:$B$9,MATCH(SUBSTITUTE(SUBSTITUTE(SUBSTITUTE(H993,"~","~~"),"*","~*"),"?","~?"),Guide!$A$7:$A$9,0)),""),"")</f>
        <v>Office</v>
      </c>
      <c r="J993" s="1" t="str">
        <f>IF(TRIM(Raw!E993)="",I993,IF(UPPER(TRIM(Raw!E993))=UPPER(I993),I993,""))</f>
        <v>Office</v>
      </c>
      <c r="K993" s="1" t="str">
        <f>IF(Raw!F993="","",Raw!F993)</f>
        <v>sale</v>
      </c>
      <c r="L993" s="1" t="str">
        <f>IF(LEFT(TRIM(Raw!G993),2)="-$","-"&amp;MID(TRIM(Raw!G993),3,99),IF(LEFT(TRIM(Raw!G993),1)="$",MID(TRIM(Raw!G993),2,99),TRIM(Raw!G993)))</f>
        <v>29.43</v>
      </c>
      <c r="M993" s="1">
        <f t="shared" si="123"/>
        <v>29.43</v>
      </c>
      <c r="N993" s="10">
        <f t="shared" si="124"/>
        <v>2943</v>
      </c>
      <c r="O993" s="1" t="b">
        <f>IFERROR(IF(ISNUMBER(Raw!G993),TRUE,OR(EXACT(L993,TEXT(M993,"0.00")),EXACT(L993,TEXT(M993,"#,##0.00")))),FALSE)</f>
        <v>1</v>
      </c>
      <c r="P993" s="1" t="str">
        <f>LEN(IF(Raw!A993="","",Raw!A993))&amp;":"&amp;IF(Raw!A993="","",Raw!A993)&amp;"|"&amp;LEN(IF(Raw!B993="","",Raw!B993))&amp;":"&amp;IF(Raw!B993="","",Raw!B993)&amp;"|"&amp;LEN(IF(Raw!C993="","",Raw!C993))&amp;":"&amp;IF(Raw!C993="","",Raw!C993)&amp;"|"&amp;LEN(IF(Raw!D993="","",Raw!D993))&amp;":"&amp;IF(Raw!D993="","",Raw!D993)&amp;"|"&amp;LEN(IF(Raw!E993="","",Raw!E993))&amp;":"&amp;IF(Raw!E993="","",Raw!E993)&amp;"|"&amp;LEN(IF(Raw!F993="","",Raw!F993))&amp;":"&amp;IF(Raw!F993="","",Raw!F993)&amp;"|"&amp;LEN(IF(Raw!G993="","",Raw!G993))&amp;":"&amp;IF(Raw!G993="","",Raw!G993)</f>
        <v>6:L00987|6:T00494|10:2026-02-01|3:P-O|6:Office|4:sale|5:29.43</v>
      </c>
      <c r="Q993" s="1">
        <f>1</f>
        <v>1</v>
      </c>
      <c r="R993" s="1" t="b">
        <f>FALSE</f>
        <v>0</v>
      </c>
      <c r="S993" s="1">
        <f>1</f>
        <v>1</v>
      </c>
      <c r="T993" s="1" t="str">
        <f>IF(AND(Raw!A993="",Raw!B993="",Raw!C993="",Raw!D993="",Raw!E993="",Raw!F993="",Raw!G993=""),"UNUSED",IF(A993="","missing line ID",IF(B993="","missing transaction ID",IF(G993="",IF(C993="","missing date","invalid date"),IF(I993="","unknown product",IF(J993="","conflicting category",IF(NOT(OR(EXACT(K993,"sale"),EXACT(K993,"refund"))),"unknown event",IF(OR(N993="",NOT(O993)),"invalid amount",IF(OR(AND(K993="sale",N993&lt;=0),AND(K993="refund",N993&gt;=0)),"invalid sign","")))))))))</f>
        <v/>
      </c>
      <c r="U993" s="1" t="str">
        <f t="shared" si="125"/>
        <v>INCLUDED</v>
      </c>
      <c r="V993" s="1" t="str">
        <f t="shared" si="126"/>
        <v>2026-02</v>
      </c>
      <c r="W993" s="1">
        <f>IF(AND(U993="INCLUDED",X993&gt;0,EXACT(A993,'AI output'!A993)),1,0)</f>
        <v>1</v>
      </c>
      <c r="X993" s="1">
        <f>993</f>
        <v>993</v>
      </c>
      <c r="Y993" s="1">
        <f>IF(AND(U993="INCLUDED",W993=1),--(NOT(EXACT(A993,'AI output'!A993)))+--(NOT(EXACT(B993,'AI output'!B993)))+--(NOT(EXACT(TEXT(G993,"yyyy-mm-dd"),'AI output'!C993)))+--(NOT(EXACT(H993,'AI output'!D993)))+--(NOT(EXACT(J993,'AI output'!E993)))+--(NOT(EXACT(K993,'AI output'!F993)))+--(N993&lt;&gt;'AI output'!L993)+--(NOT('AI output'!M993)),0)</f>
        <v>0</v>
      </c>
      <c r="Z993" s="1">
        <f t="shared" si="127"/>
        <v>0</v>
      </c>
      <c r="AA993" s="1">
        <f>--EXACT(A993,"L00987")</f>
        <v>1</v>
      </c>
    </row>
    <row r="994" spans="1:27" ht="18.95" customHeight="1">
      <c r="A994" s="1" t="str">
        <f>IF(Raw!A994="","",Raw!A994)</f>
        <v>L00988</v>
      </c>
      <c r="B994" s="1" t="str">
        <f>IF(Raw!B994="","",Raw!B994)</f>
        <v>T00494</v>
      </c>
      <c r="C994" s="1" t="str">
        <f>IF(Raw!C994="","",Raw!C994)</f>
        <v>2026-02-01</v>
      </c>
      <c r="D994" s="1">
        <f t="shared" si="120"/>
        <v>2026</v>
      </c>
      <c r="E994" s="1">
        <f>IFERROR(IF(AND(LEN(C994)=10,MID(C994,5,1)="-",MID(C994,8,1)="-"),VALUE(MID(C994,6,2)),IF(AND(LEN(C994)=11,MID(C994,3,1)="-",MID(C994,7,1)="-"),MATCH(UPPER(MID(C994,4,3)),Guide!$D$7:$D$18,0),0)),0)</f>
        <v>2</v>
      </c>
      <c r="F994" s="1">
        <f t="shared" si="121"/>
        <v>1</v>
      </c>
      <c r="G994" s="9">
        <f t="shared" si="122"/>
        <v>46054</v>
      </c>
      <c r="H994" s="1" t="str">
        <f>IF(Raw!D994="","",Raw!D994)</f>
        <v>P-A</v>
      </c>
      <c r="I994" s="1" t="str">
        <f>IFERROR(IF(EXACT(H994,INDEX(Guide!$A$7:$A$9,MATCH(SUBSTITUTE(SUBSTITUTE(SUBSTITUTE(H994,"~","~~"),"*","~*"),"?","~?"),Guide!$A$7:$A$9,0))),INDEX(Guide!$B$7:$B$9,MATCH(SUBSTITUTE(SUBSTITUTE(SUBSTITUTE(H994,"~","~~"),"*","~*"),"?","~?"),Guide!$A$7:$A$9,0)),""),"")</f>
        <v>Accessories</v>
      </c>
      <c r="J994" s="1" t="str">
        <f>IF(TRIM(Raw!E994)="",I994,IF(UPPER(TRIM(Raw!E994))=UPPER(I994),I994,""))</f>
        <v>Accessories</v>
      </c>
      <c r="K994" s="1" t="str">
        <f>IF(Raw!F994="","",Raw!F994)</f>
        <v>sale</v>
      </c>
      <c r="L994" s="1" t="str">
        <f>IF(LEFT(TRIM(Raw!G994),2)="-$","-"&amp;MID(TRIM(Raw!G994),3,99),IF(LEFT(TRIM(Raw!G994),1)="$",MID(TRIM(Raw!G994),2,99),TRIM(Raw!G994)))</f>
        <v>50.90</v>
      </c>
      <c r="M994" s="1">
        <f t="shared" si="123"/>
        <v>50.9</v>
      </c>
      <c r="N994" s="10">
        <f t="shared" si="124"/>
        <v>5090</v>
      </c>
      <c r="O994" s="1" t="b">
        <f>IFERROR(IF(ISNUMBER(Raw!G994),TRUE,OR(EXACT(L994,TEXT(M994,"0.00")),EXACT(L994,TEXT(M994,"#,##0.00")))),FALSE)</f>
        <v>1</v>
      </c>
      <c r="P994" s="1" t="str">
        <f>LEN(IF(Raw!A994="","",Raw!A994))&amp;":"&amp;IF(Raw!A994="","",Raw!A994)&amp;"|"&amp;LEN(IF(Raw!B994="","",Raw!B994))&amp;":"&amp;IF(Raw!B994="","",Raw!B994)&amp;"|"&amp;LEN(IF(Raw!C994="","",Raw!C994))&amp;":"&amp;IF(Raw!C994="","",Raw!C994)&amp;"|"&amp;LEN(IF(Raw!D994="","",Raw!D994))&amp;":"&amp;IF(Raw!D994="","",Raw!D994)&amp;"|"&amp;LEN(IF(Raw!E994="","",Raw!E994))&amp;":"&amp;IF(Raw!E994="","",Raw!E994)&amp;"|"&amp;LEN(IF(Raw!F994="","",Raw!F994))&amp;":"&amp;IF(Raw!F994="","",Raw!F994)&amp;"|"&amp;LEN(IF(Raw!G994="","",Raw!G994))&amp;":"&amp;IF(Raw!G994="","",Raw!G994)</f>
        <v>6:L00988|6:T00494|10:2026-02-01|3:P-A|11:Accessories|4:sale|5:50.90</v>
      </c>
      <c r="Q994" s="1">
        <f>1</f>
        <v>1</v>
      </c>
      <c r="R994" s="1" t="b">
        <f>FALSE</f>
        <v>0</v>
      </c>
      <c r="S994" s="1">
        <f>1</f>
        <v>1</v>
      </c>
      <c r="T994" s="1" t="str">
        <f>IF(AND(Raw!A994="",Raw!B994="",Raw!C994="",Raw!D994="",Raw!E994="",Raw!F994="",Raw!G994=""),"UNUSED",IF(A994="","missing line ID",IF(B994="","missing transaction ID",IF(G994="",IF(C994="","missing date","invalid date"),IF(I994="","unknown product",IF(J994="","conflicting category",IF(NOT(OR(EXACT(K994,"sale"),EXACT(K994,"refund"))),"unknown event",IF(OR(N994="",NOT(O994)),"invalid amount",IF(OR(AND(K994="sale",N994&lt;=0),AND(K994="refund",N994&gt;=0)),"invalid sign","")))))))))</f>
        <v/>
      </c>
      <c r="U994" s="1" t="str">
        <f t="shared" si="125"/>
        <v>INCLUDED</v>
      </c>
      <c r="V994" s="1" t="str">
        <f t="shared" si="126"/>
        <v>2026-02</v>
      </c>
      <c r="W994" s="1">
        <f>IF(AND(U994="INCLUDED",X994&gt;0,EXACT(A994,'AI output'!A994)),1,0)</f>
        <v>1</v>
      </c>
      <c r="X994" s="1">
        <f>994</f>
        <v>994</v>
      </c>
      <c r="Y994" s="1">
        <f>IF(AND(U994="INCLUDED",W994=1),--(NOT(EXACT(A994,'AI output'!A994)))+--(NOT(EXACT(B994,'AI output'!B994)))+--(NOT(EXACT(TEXT(G994,"yyyy-mm-dd"),'AI output'!C994)))+--(NOT(EXACT(H994,'AI output'!D994)))+--(NOT(EXACT(J994,'AI output'!E994)))+--(NOT(EXACT(K994,'AI output'!F994)))+--(N994&lt;&gt;'AI output'!L994)+--(NOT('AI output'!M994)),0)</f>
        <v>0</v>
      </c>
      <c r="Z994" s="1">
        <f t="shared" si="127"/>
        <v>0</v>
      </c>
      <c r="AA994" s="1">
        <f>--EXACT(A994,"L00988")</f>
        <v>1</v>
      </c>
    </row>
    <row r="995" spans="1:27" ht="18.95" customHeight="1">
      <c r="A995" s="1" t="str">
        <f>IF(Raw!A995="","",Raw!A995)</f>
        <v>L00989</v>
      </c>
      <c r="B995" s="1" t="str">
        <f>IF(Raw!B995="","",Raw!B995)</f>
        <v>T00495</v>
      </c>
      <c r="C995" s="1" t="str">
        <f>IF(Raw!C995="","",Raw!C995)</f>
        <v>2026-02-08</v>
      </c>
      <c r="D995" s="1">
        <f t="shared" si="120"/>
        <v>2026</v>
      </c>
      <c r="E995" s="1">
        <f>IFERROR(IF(AND(LEN(C995)=10,MID(C995,5,1)="-",MID(C995,8,1)="-"),VALUE(MID(C995,6,2)),IF(AND(LEN(C995)=11,MID(C995,3,1)="-",MID(C995,7,1)="-"),MATCH(UPPER(MID(C995,4,3)),Guide!$D$7:$D$18,0),0)),0)</f>
        <v>2</v>
      </c>
      <c r="F995" s="1">
        <f t="shared" si="121"/>
        <v>8</v>
      </c>
      <c r="G995" s="9">
        <f t="shared" si="122"/>
        <v>46061</v>
      </c>
      <c r="H995" s="1" t="str">
        <f>IF(Raw!D995="","",Raw!D995)</f>
        <v>P-H</v>
      </c>
      <c r="I995" s="1" t="str">
        <f>IFERROR(IF(EXACT(H995,INDEX(Guide!$A$7:$A$9,MATCH(SUBSTITUTE(SUBSTITUTE(SUBSTITUTE(H995,"~","~~"),"*","~*"),"?","~?"),Guide!$A$7:$A$9,0))),INDEX(Guide!$B$7:$B$9,MATCH(SUBSTITUTE(SUBSTITUTE(SUBSTITUTE(H995,"~","~~"),"*","~*"),"?","~?"),Guide!$A$7:$A$9,0)),""),"")</f>
        <v>Home</v>
      </c>
      <c r="J995" s="1" t="str">
        <f>IF(TRIM(Raw!E995)="",I995,IF(UPPER(TRIM(Raw!E995))=UPPER(I995),I995,""))</f>
        <v>Home</v>
      </c>
      <c r="K995" s="1" t="str">
        <f>IF(Raw!F995="","",Raw!F995)</f>
        <v>sale</v>
      </c>
      <c r="L995" s="1" t="str">
        <f>IF(LEFT(TRIM(Raw!G995),2)="-$","-"&amp;MID(TRIM(Raw!G995),3,99),IF(LEFT(TRIM(Raw!G995),1)="$",MID(TRIM(Raw!G995),2,99),TRIM(Raw!G995)))</f>
        <v>21.10</v>
      </c>
      <c r="M995" s="1">
        <f t="shared" si="123"/>
        <v>21.1</v>
      </c>
      <c r="N995" s="10">
        <f t="shared" si="124"/>
        <v>2110</v>
      </c>
      <c r="O995" s="1" t="b">
        <f>IFERROR(IF(ISNUMBER(Raw!G995),TRUE,OR(EXACT(L995,TEXT(M995,"0.00")),EXACT(L995,TEXT(M995,"#,##0.00")))),FALSE)</f>
        <v>1</v>
      </c>
      <c r="P995" s="1" t="str">
        <f>LEN(IF(Raw!A995="","",Raw!A995))&amp;":"&amp;IF(Raw!A995="","",Raw!A995)&amp;"|"&amp;LEN(IF(Raw!B995="","",Raw!B995))&amp;":"&amp;IF(Raw!B995="","",Raw!B995)&amp;"|"&amp;LEN(IF(Raw!C995="","",Raw!C995))&amp;":"&amp;IF(Raw!C995="","",Raw!C995)&amp;"|"&amp;LEN(IF(Raw!D995="","",Raw!D995))&amp;":"&amp;IF(Raw!D995="","",Raw!D995)&amp;"|"&amp;LEN(IF(Raw!E995="","",Raw!E995))&amp;":"&amp;IF(Raw!E995="","",Raw!E995)&amp;"|"&amp;LEN(IF(Raw!F995="","",Raw!F995))&amp;":"&amp;IF(Raw!F995="","",Raw!F995)&amp;"|"&amp;LEN(IF(Raw!G995="","",Raw!G995))&amp;":"&amp;IF(Raw!G995="","",Raw!G995)</f>
        <v>6:L00989|6:T00495|10:2026-02-08|3:P-H|4:Home|4:sale|5:21.10</v>
      </c>
      <c r="Q995" s="1">
        <f>1</f>
        <v>1</v>
      </c>
      <c r="R995" s="1" t="b">
        <f>FALSE</f>
        <v>0</v>
      </c>
      <c r="S995" s="1">
        <f>1</f>
        <v>1</v>
      </c>
      <c r="T995" s="1" t="str">
        <f>IF(AND(Raw!A995="",Raw!B995="",Raw!C995="",Raw!D995="",Raw!E995="",Raw!F995="",Raw!G995=""),"UNUSED",IF(A995="","missing line ID",IF(B995="","missing transaction ID",IF(G995="",IF(C995="","missing date","invalid date"),IF(I995="","unknown product",IF(J995="","conflicting category",IF(NOT(OR(EXACT(K995,"sale"),EXACT(K995,"refund"))),"unknown event",IF(OR(N995="",NOT(O995)),"invalid amount",IF(OR(AND(K995="sale",N995&lt;=0),AND(K995="refund",N995&gt;=0)),"invalid sign","")))))))))</f>
        <v/>
      </c>
      <c r="U995" s="1" t="str">
        <f t="shared" si="125"/>
        <v>INCLUDED</v>
      </c>
      <c r="V995" s="1" t="str">
        <f t="shared" si="126"/>
        <v>2026-02</v>
      </c>
      <c r="W995" s="1">
        <f>IF(AND(U995="INCLUDED",X995&gt;0,EXACT(A995,'AI output'!A995)),1,0)</f>
        <v>1</v>
      </c>
      <c r="X995" s="1">
        <f>995</f>
        <v>995</v>
      </c>
      <c r="Y995" s="1">
        <f>IF(AND(U995="INCLUDED",W995=1),--(NOT(EXACT(A995,'AI output'!A995)))+--(NOT(EXACT(B995,'AI output'!B995)))+--(NOT(EXACT(TEXT(G995,"yyyy-mm-dd"),'AI output'!C995)))+--(NOT(EXACT(H995,'AI output'!D995)))+--(NOT(EXACT(J995,'AI output'!E995)))+--(NOT(EXACT(K995,'AI output'!F995)))+--(N995&lt;&gt;'AI output'!L995)+--(NOT('AI output'!M995)),0)</f>
        <v>0</v>
      </c>
      <c r="Z995" s="1">
        <f t="shared" si="127"/>
        <v>0</v>
      </c>
      <c r="AA995" s="1">
        <f>--EXACT(A995,"L00989")</f>
        <v>1</v>
      </c>
    </row>
    <row r="996" spans="1:27" ht="18.95" customHeight="1">
      <c r="A996" s="1" t="str">
        <f>IF(Raw!A996="","",Raw!A996)</f>
        <v>L00990</v>
      </c>
      <c r="B996" s="1" t="str">
        <f>IF(Raw!B996="","",Raw!B996)</f>
        <v>T00495</v>
      </c>
      <c r="C996" s="1" t="str">
        <f>IF(Raw!C996="","",Raw!C996)</f>
        <v>2026-02-08</v>
      </c>
      <c r="D996" s="1">
        <f t="shared" si="120"/>
        <v>2026</v>
      </c>
      <c r="E996" s="1">
        <f>IFERROR(IF(AND(LEN(C996)=10,MID(C996,5,1)="-",MID(C996,8,1)="-"),VALUE(MID(C996,6,2)),IF(AND(LEN(C996)=11,MID(C996,3,1)="-",MID(C996,7,1)="-"),MATCH(UPPER(MID(C996,4,3)),Guide!$D$7:$D$18,0),0)),0)</f>
        <v>2</v>
      </c>
      <c r="F996" s="1">
        <f t="shared" si="121"/>
        <v>8</v>
      </c>
      <c r="G996" s="9">
        <f t="shared" si="122"/>
        <v>46061</v>
      </c>
      <c r="H996" s="1" t="str">
        <f>IF(Raw!D996="","",Raw!D996)</f>
        <v>P-O</v>
      </c>
      <c r="I996" s="1" t="str">
        <f>IFERROR(IF(EXACT(H996,INDEX(Guide!$A$7:$A$9,MATCH(SUBSTITUTE(SUBSTITUTE(SUBSTITUTE(H996,"~","~~"),"*","~*"),"?","~?"),Guide!$A$7:$A$9,0))),INDEX(Guide!$B$7:$B$9,MATCH(SUBSTITUTE(SUBSTITUTE(SUBSTITUTE(H996,"~","~~"),"*","~*"),"?","~?"),Guide!$A$7:$A$9,0)),""),"")</f>
        <v>Office</v>
      </c>
      <c r="J996" s="1" t="str">
        <f>IF(TRIM(Raw!E996)="",I996,IF(UPPER(TRIM(Raw!E996))=UPPER(I996),I996,""))</f>
        <v>Office</v>
      </c>
      <c r="K996" s="1" t="str">
        <f>IF(Raw!F996="","",Raw!F996)</f>
        <v>refund</v>
      </c>
      <c r="L996" s="1" t="str">
        <f>IF(LEFT(TRIM(Raw!G996),2)="-$","-"&amp;MID(TRIM(Raw!G996),3,99),IF(LEFT(TRIM(Raw!G996),1)="$",MID(TRIM(Raw!G996),2,99),TRIM(Raw!G996)))</f>
        <v>-43.68</v>
      </c>
      <c r="M996" s="1">
        <f t="shared" si="123"/>
        <v>-43.68</v>
      </c>
      <c r="N996" s="10">
        <f t="shared" si="124"/>
        <v>-4368</v>
      </c>
      <c r="O996" s="1" t="b">
        <f>IFERROR(IF(ISNUMBER(Raw!G996),TRUE,OR(EXACT(L996,TEXT(M996,"0.00")),EXACT(L996,TEXT(M996,"#,##0.00")))),FALSE)</f>
        <v>1</v>
      </c>
      <c r="P996" s="1" t="str">
        <f>LEN(IF(Raw!A996="","",Raw!A996))&amp;":"&amp;IF(Raw!A996="","",Raw!A996)&amp;"|"&amp;LEN(IF(Raw!B996="","",Raw!B996))&amp;":"&amp;IF(Raw!B996="","",Raw!B996)&amp;"|"&amp;LEN(IF(Raw!C996="","",Raw!C996))&amp;":"&amp;IF(Raw!C996="","",Raw!C996)&amp;"|"&amp;LEN(IF(Raw!D996="","",Raw!D996))&amp;":"&amp;IF(Raw!D996="","",Raw!D996)&amp;"|"&amp;LEN(IF(Raw!E996="","",Raw!E996))&amp;":"&amp;IF(Raw!E996="","",Raw!E996)&amp;"|"&amp;LEN(IF(Raw!F996="","",Raw!F996))&amp;":"&amp;IF(Raw!F996="","",Raw!F996)&amp;"|"&amp;LEN(IF(Raw!G996="","",Raw!G996))&amp;":"&amp;IF(Raw!G996="","",Raw!G996)</f>
        <v>6:L00990|6:T00495|10:2026-02-08|3:P-O|10:  office  |6:refund|6:-43.68</v>
      </c>
      <c r="Q996" s="1">
        <f>1</f>
        <v>1</v>
      </c>
      <c r="R996" s="1" t="b">
        <f>FALSE</f>
        <v>0</v>
      </c>
      <c r="S996" s="1">
        <f>1</f>
        <v>1</v>
      </c>
      <c r="T996" s="1" t="str">
        <f>IF(AND(Raw!A996="",Raw!B996="",Raw!C996="",Raw!D996="",Raw!E996="",Raw!F996="",Raw!G996=""),"UNUSED",IF(A996="","missing line ID",IF(B996="","missing transaction ID",IF(G996="",IF(C996="","missing date","invalid date"),IF(I996="","unknown product",IF(J996="","conflicting category",IF(NOT(OR(EXACT(K996,"sale"),EXACT(K996,"refund"))),"unknown event",IF(OR(N996="",NOT(O996)),"invalid amount",IF(OR(AND(K996="sale",N996&lt;=0),AND(K996="refund",N996&gt;=0)),"invalid sign","")))))))))</f>
        <v/>
      </c>
      <c r="U996" s="1" t="str">
        <f t="shared" si="125"/>
        <v>INCLUDED</v>
      </c>
      <c r="V996" s="1" t="str">
        <f t="shared" si="126"/>
        <v>2026-02</v>
      </c>
      <c r="W996" s="1">
        <f>IF(AND(U996="INCLUDED",X996&gt;0,EXACT(A996,'AI output'!A996)),1,0)</f>
        <v>1</v>
      </c>
      <c r="X996" s="1">
        <f>996</f>
        <v>996</v>
      </c>
      <c r="Y996" s="1">
        <f>IF(AND(U996="INCLUDED",W996=1),--(NOT(EXACT(A996,'AI output'!A996)))+--(NOT(EXACT(B996,'AI output'!B996)))+--(NOT(EXACT(TEXT(G996,"yyyy-mm-dd"),'AI output'!C996)))+--(NOT(EXACT(H996,'AI output'!D996)))+--(NOT(EXACT(J996,'AI output'!E996)))+--(NOT(EXACT(K996,'AI output'!F996)))+--(N996&lt;&gt;'AI output'!L996)+--(NOT('AI output'!M996)),0)</f>
        <v>0</v>
      </c>
      <c r="Z996" s="1">
        <f t="shared" si="127"/>
        <v>0</v>
      </c>
      <c r="AA996" s="1">
        <f>--EXACT(A996,"L00990")</f>
        <v>1</v>
      </c>
    </row>
    <row r="997" spans="1:27" ht="18.95" customHeight="1">
      <c r="A997" s="1" t="str">
        <f>IF(Raw!A997="","",Raw!A997)</f>
        <v>L00991</v>
      </c>
      <c r="B997" s="1" t="str">
        <f>IF(Raw!B997="","",Raw!B997)</f>
        <v>T00496</v>
      </c>
      <c r="C997" s="1" t="str">
        <f>IF(Raw!C997="","",Raw!C997)</f>
        <v>2026-02-15</v>
      </c>
      <c r="D997" s="1">
        <f t="shared" si="120"/>
        <v>2026</v>
      </c>
      <c r="E997" s="1">
        <f>IFERROR(IF(AND(LEN(C997)=10,MID(C997,5,1)="-",MID(C997,8,1)="-"),VALUE(MID(C997,6,2)),IF(AND(LEN(C997)=11,MID(C997,3,1)="-",MID(C997,7,1)="-"),MATCH(UPPER(MID(C997,4,3)),Guide!$D$7:$D$18,0),0)),0)</f>
        <v>2</v>
      </c>
      <c r="F997" s="1">
        <f t="shared" si="121"/>
        <v>15</v>
      </c>
      <c r="G997" s="9">
        <f t="shared" si="122"/>
        <v>46068</v>
      </c>
      <c r="H997" s="1" t="str">
        <f>IF(Raw!D997="","",Raw!D997)</f>
        <v>P-A</v>
      </c>
      <c r="I997" s="1" t="str">
        <f>IFERROR(IF(EXACT(H997,INDEX(Guide!$A$7:$A$9,MATCH(SUBSTITUTE(SUBSTITUTE(SUBSTITUTE(H997,"~","~~"),"*","~*"),"?","~?"),Guide!$A$7:$A$9,0))),INDEX(Guide!$B$7:$B$9,MATCH(SUBSTITUTE(SUBSTITUTE(SUBSTITUTE(H997,"~","~~"),"*","~*"),"?","~?"),Guide!$A$7:$A$9,0)),""),"")</f>
        <v>Accessories</v>
      </c>
      <c r="J997" s="1" t="str">
        <f>IF(TRIM(Raw!E997)="",I997,IF(UPPER(TRIM(Raw!E997))=UPPER(I997),I997,""))</f>
        <v>Accessories</v>
      </c>
      <c r="K997" s="1" t="str">
        <f>IF(Raw!F997="","",Raw!F997)</f>
        <v>sale</v>
      </c>
      <c r="L997" s="1" t="str">
        <f>IF(LEFT(TRIM(Raw!G997),2)="-$","-"&amp;MID(TRIM(Raw!G997),3,99),IF(LEFT(TRIM(Raw!G997),1)="$",MID(TRIM(Raw!G997),2,99),TRIM(Raw!G997)))</f>
        <v>11.29</v>
      </c>
      <c r="M997" s="1">
        <f t="shared" si="123"/>
        <v>11.29</v>
      </c>
      <c r="N997" s="10">
        <f t="shared" si="124"/>
        <v>1129</v>
      </c>
      <c r="O997" s="1" t="b">
        <f>IFERROR(IF(ISNUMBER(Raw!G997),TRUE,OR(EXACT(L997,TEXT(M997,"0.00")),EXACT(L997,TEXT(M997,"#,##0.00")))),FALSE)</f>
        <v>1</v>
      </c>
      <c r="P997" s="1" t="str">
        <f>LEN(IF(Raw!A997="","",Raw!A997))&amp;":"&amp;IF(Raw!A997="","",Raw!A997)&amp;"|"&amp;LEN(IF(Raw!B997="","",Raw!B997))&amp;":"&amp;IF(Raw!B997="","",Raw!B997)&amp;"|"&amp;LEN(IF(Raw!C997="","",Raw!C997))&amp;":"&amp;IF(Raw!C997="","",Raw!C997)&amp;"|"&amp;LEN(IF(Raw!D997="","",Raw!D997))&amp;":"&amp;IF(Raw!D997="","",Raw!D997)&amp;"|"&amp;LEN(IF(Raw!E997="","",Raw!E997))&amp;":"&amp;IF(Raw!E997="","",Raw!E997)&amp;"|"&amp;LEN(IF(Raw!F997="","",Raw!F997))&amp;":"&amp;IF(Raw!F997="","",Raw!F997)&amp;"|"&amp;LEN(IF(Raw!G997="","",Raw!G997))&amp;":"&amp;IF(Raw!G997="","",Raw!G997)</f>
        <v>6:L00991|6:T00496|10:2026-02-15|3:P-A|11:Accessories|4:sale|5:11.29</v>
      </c>
      <c r="Q997" s="1">
        <f>1</f>
        <v>1</v>
      </c>
      <c r="R997" s="1" t="b">
        <f>FALSE</f>
        <v>0</v>
      </c>
      <c r="S997" s="1">
        <f>1</f>
        <v>1</v>
      </c>
      <c r="T997" s="1" t="str">
        <f>IF(AND(Raw!A997="",Raw!B997="",Raw!C997="",Raw!D997="",Raw!E997="",Raw!F997="",Raw!G997=""),"UNUSED",IF(A997="","missing line ID",IF(B997="","missing transaction ID",IF(G997="",IF(C997="","missing date","invalid date"),IF(I997="","unknown product",IF(J997="","conflicting category",IF(NOT(OR(EXACT(K997,"sale"),EXACT(K997,"refund"))),"unknown event",IF(OR(N997="",NOT(O997)),"invalid amount",IF(OR(AND(K997="sale",N997&lt;=0),AND(K997="refund",N997&gt;=0)),"invalid sign","")))))))))</f>
        <v/>
      </c>
      <c r="U997" s="1" t="str">
        <f t="shared" si="125"/>
        <v>INCLUDED</v>
      </c>
      <c r="V997" s="1" t="str">
        <f t="shared" si="126"/>
        <v>2026-02</v>
      </c>
      <c r="W997" s="1">
        <f>IF(AND(U997="INCLUDED",X997&gt;0,EXACT(A997,'AI output'!A997)),1,0)</f>
        <v>1</v>
      </c>
      <c r="X997" s="1">
        <f>997</f>
        <v>997</v>
      </c>
      <c r="Y997" s="1">
        <f>IF(AND(U997="INCLUDED",W997=1),--(NOT(EXACT(A997,'AI output'!A997)))+--(NOT(EXACT(B997,'AI output'!B997)))+--(NOT(EXACT(TEXT(G997,"yyyy-mm-dd"),'AI output'!C997)))+--(NOT(EXACT(H997,'AI output'!D997)))+--(NOT(EXACT(J997,'AI output'!E997)))+--(NOT(EXACT(K997,'AI output'!F997)))+--(N997&lt;&gt;'AI output'!L997)+--(NOT('AI output'!M997)),0)</f>
        <v>0</v>
      </c>
      <c r="Z997" s="1">
        <f t="shared" si="127"/>
        <v>0</v>
      </c>
      <c r="AA997" s="1">
        <f>--EXACT(A997,"L00991")</f>
        <v>1</v>
      </c>
    </row>
    <row r="998" spans="1:27" ht="18.95" customHeight="1">
      <c r="A998" s="1" t="str">
        <f>IF(Raw!A998="","",Raw!A998)</f>
        <v>L00992</v>
      </c>
      <c r="B998" s="1" t="str">
        <f>IF(Raw!B998="","",Raw!B998)</f>
        <v>T00496</v>
      </c>
      <c r="C998" s="1" t="str">
        <f>IF(Raw!C998="","",Raw!C998)</f>
        <v>2026-02-15</v>
      </c>
      <c r="D998" s="1">
        <f t="shared" si="120"/>
        <v>2026</v>
      </c>
      <c r="E998" s="1">
        <f>IFERROR(IF(AND(LEN(C998)=10,MID(C998,5,1)="-",MID(C998,8,1)="-"),VALUE(MID(C998,6,2)),IF(AND(LEN(C998)=11,MID(C998,3,1)="-",MID(C998,7,1)="-"),MATCH(UPPER(MID(C998,4,3)),Guide!$D$7:$D$18,0),0)),0)</f>
        <v>2</v>
      </c>
      <c r="F998" s="1">
        <f t="shared" si="121"/>
        <v>15</v>
      </c>
      <c r="G998" s="9">
        <f t="shared" si="122"/>
        <v>46068</v>
      </c>
      <c r="H998" s="1" t="str">
        <f>IF(Raw!D998="","",Raw!D998)</f>
        <v>P-H</v>
      </c>
      <c r="I998" s="1" t="str">
        <f>IFERROR(IF(EXACT(H998,INDEX(Guide!$A$7:$A$9,MATCH(SUBSTITUTE(SUBSTITUTE(SUBSTITUTE(H998,"~","~~"),"*","~*"),"?","~?"),Guide!$A$7:$A$9,0))),INDEX(Guide!$B$7:$B$9,MATCH(SUBSTITUTE(SUBSTITUTE(SUBSTITUTE(H998,"~","~~"),"*","~*"),"?","~?"),Guide!$A$7:$A$9,0)),""),"")</f>
        <v>Home</v>
      </c>
      <c r="J998" s="1" t="str">
        <f>IF(TRIM(Raw!E998)="",I998,IF(UPPER(TRIM(Raw!E998))=UPPER(I998),I998,""))</f>
        <v>Home</v>
      </c>
      <c r="K998" s="1" t="str">
        <f>IF(Raw!F998="","",Raw!F998)</f>
        <v>sale</v>
      </c>
      <c r="L998" s="1" t="str">
        <f>IF(LEFT(TRIM(Raw!G998),2)="-$","-"&amp;MID(TRIM(Raw!G998),3,99),IF(LEFT(TRIM(Raw!G998),1)="$",MID(TRIM(Raw!G998),2,99),TRIM(Raw!G998)))</f>
        <v>34.98</v>
      </c>
      <c r="M998" s="1">
        <f t="shared" si="123"/>
        <v>34.979999999999997</v>
      </c>
      <c r="N998" s="10">
        <f t="shared" si="124"/>
        <v>3498</v>
      </c>
      <c r="O998" s="1" t="b">
        <f>IFERROR(IF(ISNUMBER(Raw!G998),TRUE,OR(EXACT(L998,TEXT(M998,"0.00")),EXACT(L998,TEXT(M998,"#,##0.00")))),FALSE)</f>
        <v>1</v>
      </c>
      <c r="P998" s="1" t="str">
        <f>LEN(IF(Raw!A998="","",Raw!A998))&amp;":"&amp;IF(Raw!A998="","",Raw!A998)&amp;"|"&amp;LEN(IF(Raw!B998="","",Raw!B998))&amp;":"&amp;IF(Raw!B998="","",Raw!B998)&amp;"|"&amp;LEN(IF(Raw!C998="","",Raw!C998))&amp;":"&amp;IF(Raw!C998="","",Raw!C998)&amp;"|"&amp;LEN(IF(Raw!D998="","",Raw!D998))&amp;":"&amp;IF(Raw!D998="","",Raw!D998)&amp;"|"&amp;LEN(IF(Raw!E998="","",Raw!E998))&amp;":"&amp;IF(Raw!E998="","",Raw!E998)&amp;"|"&amp;LEN(IF(Raw!F998="","",Raw!F998))&amp;":"&amp;IF(Raw!F998="","",Raw!F998)&amp;"|"&amp;LEN(IF(Raw!G998="","",Raw!G998))&amp;":"&amp;IF(Raw!G998="","",Raw!G998)</f>
        <v>6:L00992|6:T00496|10:2026-02-15|3:P-H|4:Home|4:sale|5:34.98</v>
      </c>
      <c r="Q998" s="1">
        <f>1</f>
        <v>1</v>
      </c>
      <c r="R998" s="1" t="b">
        <f>FALSE</f>
        <v>0</v>
      </c>
      <c r="S998" s="1">
        <f>1</f>
        <v>1</v>
      </c>
      <c r="T998" s="1" t="str">
        <f>IF(AND(Raw!A998="",Raw!B998="",Raw!C998="",Raw!D998="",Raw!E998="",Raw!F998="",Raw!G998=""),"UNUSED",IF(A998="","missing line ID",IF(B998="","missing transaction ID",IF(G998="",IF(C998="","missing date","invalid date"),IF(I998="","unknown product",IF(J998="","conflicting category",IF(NOT(OR(EXACT(K998,"sale"),EXACT(K998,"refund"))),"unknown event",IF(OR(N998="",NOT(O998)),"invalid amount",IF(OR(AND(K998="sale",N998&lt;=0),AND(K998="refund",N998&gt;=0)),"invalid sign","")))))))))</f>
        <v/>
      </c>
      <c r="U998" s="1" t="str">
        <f t="shared" si="125"/>
        <v>INCLUDED</v>
      </c>
      <c r="V998" s="1" t="str">
        <f t="shared" si="126"/>
        <v>2026-02</v>
      </c>
      <c r="W998" s="1">
        <f>IF(AND(U998="INCLUDED",X998&gt;0,EXACT(A998,'AI output'!A998)),1,0)</f>
        <v>1</v>
      </c>
      <c r="X998" s="1">
        <f>998</f>
        <v>998</v>
      </c>
      <c r="Y998" s="1">
        <f>IF(AND(U998="INCLUDED",W998=1),--(NOT(EXACT(A998,'AI output'!A998)))+--(NOT(EXACT(B998,'AI output'!B998)))+--(NOT(EXACT(TEXT(G998,"yyyy-mm-dd"),'AI output'!C998)))+--(NOT(EXACT(H998,'AI output'!D998)))+--(NOT(EXACT(J998,'AI output'!E998)))+--(NOT(EXACT(K998,'AI output'!F998)))+--(N998&lt;&gt;'AI output'!L998)+--(NOT('AI output'!M998)),0)</f>
        <v>0</v>
      </c>
      <c r="Z998" s="1">
        <f t="shared" si="127"/>
        <v>0</v>
      </c>
      <c r="AA998" s="1">
        <f>--EXACT(A998,"L00992")</f>
        <v>1</v>
      </c>
    </row>
    <row r="999" spans="1:27" ht="18.95" customHeight="1">
      <c r="A999" s="1" t="str">
        <f>IF(Raw!A999="","",Raw!A999)</f>
        <v>L00993</v>
      </c>
      <c r="B999" s="1" t="str">
        <f>IF(Raw!B999="","",Raw!B999)</f>
        <v>T00497</v>
      </c>
      <c r="C999" s="1" t="str">
        <f>IF(Raw!C999="","",Raw!C999)</f>
        <v>22-Feb-2026</v>
      </c>
      <c r="D999" s="1">
        <f t="shared" si="120"/>
        <v>2026</v>
      </c>
      <c r="E999" s="1">
        <f>IFERROR(IF(AND(LEN(C999)=10,MID(C999,5,1)="-",MID(C999,8,1)="-"),VALUE(MID(C999,6,2)),IF(AND(LEN(C999)=11,MID(C999,3,1)="-",MID(C999,7,1)="-"),MATCH(UPPER(MID(C999,4,3)),Guide!$D$7:$D$18,0),0)),0)</f>
        <v>2</v>
      </c>
      <c r="F999" s="1">
        <f t="shared" si="121"/>
        <v>22</v>
      </c>
      <c r="G999" s="9">
        <f t="shared" si="122"/>
        <v>46075</v>
      </c>
      <c r="H999" s="1" t="str">
        <f>IF(Raw!D999="","",Raw!D999)</f>
        <v>P-O</v>
      </c>
      <c r="I999" s="1" t="str">
        <f>IFERROR(IF(EXACT(H999,INDEX(Guide!$A$7:$A$9,MATCH(SUBSTITUTE(SUBSTITUTE(SUBSTITUTE(H999,"~","~~"),"*","~*"),"?","~?"),Guide!$A$7:$A$9,0))),INDEX(Guide!$B$7:$B$9,MATCH(SUBSTITUTE(SUBSTITUTE(SUBSTITUTE(H999,"~","~~"),"*","~*"),"?","~?"),Guide!$A$7:$A$9,0)),""),"")</f>
        <v>Office</v>
      </c>
      <c r="J999" s="1" t="str">
        <f>IF(TRIM(Raw!E999)="",I999,IF(UPPER(TRIM(Raw!E999))=UPPER(I999),I999,""))</f>
        <v>Office</v>
      </c>
      <c r="K999" s="1" t="str">
        <f>IF(Raw!F999="","",Raw!F999)</f>
        <v>sale</v>
      </c>
      <c r="L999" s="1" t="str">
        <f>IF(LEFT(TRIM(Raw!G999),2)="-$","-"&amp;MID(TRIM(Raw!G999),3,99),IF(LEFT(TRIM(Raw!G999),1)="$",MID(TRIM(Raw!G999),2,99),TRIM(Raw!G999)))</f>
        <v>60.15</v>
      </c>
      <c r="M999" s="1">
        <f t="shared" si="123"/>
        <v>60.15</v>
      </c>
      <c r="N999" s="10">
        <f t="shared" si="124"/>
        <v>6015</v>
      </c>
      <c r="O999" s="1" t="b">
        <f>IFERROR(IF(ISNUMBER(Raw!G999),TRUE,OR(EXACT(L999,TEXT(M999,"0.00")),EXACT(L999,TEXT(M999,"#,##0.00")))),FALSE)</f>
        <v>1</v>
      </c>
      <c r="P999" s="1" t="str">
        <f>LEN(IF(Raw!A999="","",Raw!A999))&amp;":"&amp;IF(Raw!A999="","",Raw!A999)&amp;"|"&amp;LEN(IF(Raw!B999="","",Raw!B999))&amp;":"&amp;IF(Raw!B999="","",Raw!B999)&amp;"|"&amp;LEN(IF(Raw!C999="","",Raw!C999))&amp;":"&amp;IF(Raw!C999="","",Raw!C999)&amp;"|"&amp;LEN(IF(Raw!D999="","",Raw!D999))&amp;":"&amp;IF(Raw!D999="","",Raw!D999)&amp;"|"&amp;LEN(IF(Raw!E999="","",Raw!E999))&amp;":"&amp;IF(Raw!E999="","",Raw!E999)&amp;"|"&amp;LEN(IF(Raw!F999="","",Raw!F999))&amp;":"&amp;IF(Raw!F999="","",Raw!F999)&amp;"|"&amp;LEN(IF(Raw!G999="","",Raw!G999))&amp;":"&amp;IF(Raw!G999="","",Raw!G999)</f>
        <v>6:L00993|6:T00497|11:22-Feb-2026|3:P-O|6:Office|4:sale|5:60.15</v>
      </c>
      <c r="Q999" s="1">
        <f>1</f>
        <v>1</v>
      </c>
      <c r="R999" s="1" t="b">
        <f>FALSE</f>
        <v>0</v>
      </c>
      <c r="S999" s="1">
        <f>1</f>
        <v>1</v>
      </c>
      <c r="T999" s="1" t="str">
        <f>IF(AND(Raw!A999="",Raw!B999="",Raw!C999="",Raw!D999="",Raw!E999="",Raw!F999="",Raw!G999=""),"UNUSED",IF(A999="","missing line ID",IF(B999="","missing transaction ID",IF(G999="",IF(C999="","missing date","invalid date"),IF(I999="","unknown product",IF(J999="","conflicting category",IF(NOT(OR(EXACT(K999,"sale"),EXACT(K999,"refund"))),"unknown event",IF(OR(N999="",NOT(O999)),"invalid amount",IF(OR(AND(K999="sale",N999&lt;=0),AND(K999="refund",N999&gt;=0)),"invalid sign","")))))))))</f>
        <v/>
      </c>
      <c r="U999" s="1" t="str">
        <f t="shared" si="125"/>
        <v>INCLUDED</v>
      </c>
      <c r="V999" s="1" t="str">
        <f t="shared" si="126"/>
        <v>2026-02</v>
      </c>
      <c r="W999" s="1">
        <f>IF(AND(U999="INCLUDED",X999&gt;0,EXACT(A999,'AI output'!A999)),1,0)</f>
        <v>1</v>
      </c>
      <c r="X999" s="1">
        <f>999</f>
        <v>999</v>
      </c>
      <c r="Y999" s="1">
        <f>IF(AND(U999="INCLUDED",W999=1),--(NOT(EXACT(A999,'AI output'!A999)))+--(NOT(EXACT(B999,'AI output'!B999)))+--(NOT(EXACT(TEXT(G999,"yyyy-mm-dd"),'AI output'!C999)))+--(NOT(EXACT(H999,'AI output'!D999)))+--(NOT(EXACT(J999,'AI output'!E999)))+--(NOT(EXACT(K999,'AI output'!F999)))+--(N999&lt;&gt;'AI output'!L999)+--(NOT('AI output'!M999)),0)</f>
        <v>0</v>
      </c>
      <c r="Z999" s="1">
        <f t="shared" si="127"/>
        <v>0</v>
      </c>
      <c r="AA999" s="1">
        <f>--EXACT(A999,"L00993")</f>
        <v>1</v>
      </c>
    </row>
    <row r="1000" spans="1:27" ht="18.95" customHeight="1">
      <c r="A1000" s="1" t="str">
        <f>IF(Raw!A1000="","",Raw!A1000)</f>
        <v>L00994</v>
      </c>
      <c r="B1000" s="1" t="str">
        <f>IF(Raw!B1000="","",Raw!B1000)</f>
        <v>T00497</v>
      </c>
      <c r="C1000" s="1" t="str">
        <f>IF(Raw!C1000="","",Raw!C1000)</f>
        <v>2026-02-22</v>
      </c>
      <c r="D1000" s="1">
        <f t="shared" si="120"/>
        <v>2026</v>
      </c>
      <c r="E1000" s="1">
        <f>IFERROR(IF(AND(LEN(C1000)=10,MID(C1000,5,1)="-",MID(C1000,8,1)="-"),VALUE(MID(C1000,6,2)),IF(AND(LEN(C1000)=11,MID(C1000,3,1)="-",MID(C1000,7,1)="-"),MATCH(UPPER(MID(C1000,4,3)),Guide!$D$7:$D$18,0),0)),0)</f>
        <v>2</v>
      </c>
      <c r="F1000" s="1">
        <f t="shared" si="121"/>
        <v>22</v>
      </c>
      <c r="G1000" s="9">
        <f t="shared" si="122"/>
        <v>46075</v>
      </c>
      <c r="H1000" s="1" t="str">
        <f>IF(Raw!D1000="","",Raw!D1000)</f>
        <v>P-A</v>
      </c>
      <c r="I1000" s="1" t="str">
        <f>IFERROR(IF(EXACT(H1000,INDEX(Guide!$A$7:$A$9,MATCH(SUBSTITUTE(SUBSTITUTE(SUBSTITUTE(H1000,"~","~~"),"*","~*"),"?","~?"),Guide!$A$7:$A$9,0))),INDEX(Guide!$B$7:$B$9,MATCH(SUBSTITUTE(SUBSTITUTE(SUBSTITUTE(H1000,"~","~~"),"*","~*"),"?","~?"),Guide!$A$7:$A$9,0)),""),"")</f>
        <v>Accessories</v>
      </c>
      <c r="J1000" s="1" t="str">
        <f>IF(TRIM(Raw!E1000)="",I1000,IF(UPPER(TRIM(Raw!E1000))=UPPER(I1000),I1000,""))</f>
        <v>Accessories</v>
      </c>
      <c r="K1000" s="1" t="str">
        <f>IF(Raw!F1000="","",Raw!F1000)</f>
        <v>sale</v>
      </c>
      <c r="L1000" s="1" t="str">
        <f>IF(LEFT(TRIM(Raw!G1000),2)="-$","-"&amp;MID(TRIM(Raw!G1000),3,99),IF(LEFT(TRIM(Raw!G1000),1)="$",MID(TRIM(Raw!G1000),2,99),TRIM(Raw!G1000)))</f>
        <v>24.80</v>
      </c>
      <c r="M1000" s="1">
        <f t="shared" si="123"/>
        <v>24.8</v>
      </c>
      <c r="N1000" s="10">
        <f t="shared" si="124"/>
        <v>2480</v>
      </c>
      <c r="O1000" s="1" t="b">
        <f>IFERROR(IF(ISNUMBER(Raw!G1000),TRUE,OR(EXACT(L1000,TEXT(M1000,"0.00")),EXACT(L1000,TEXT(M1000,"#,##0.00")))),FALSE)</f>
        <v>1</v>
      </c>
      <c r="P1000" s="1" t="str">
        <f>LEN(IF(Raw!A1000="","",Raw!A1000))&amp;":"&amp;IF(Raw!A1000="","",Raw!A1000)&amp;"|"&amp;LEN(IF(Raw!B1000="","",Raw!B1000))&amp;":"&amp;IF(Raw!B1000="","",Raw!B1000)&amp;"|"&amp;LEN(IF(Raw!C1000="","",Raw!C1000))&amp;":"&amp;IF(Raw!C1000="","",Raw!C1000)&amp;"|"&amp;LEN(IF(Raw!D1000="","",Raw!D1000))&amp;":"&amp;IF(Raw!D1000="","",Raw!D1000)&amp;"|"&amp;LEN(IF(Raw!E1000="","",Raw!E1000))&amp;":"&amp;IF(Raw!E1000="","",Raw!E1000)&amp;"|"&amp;LEN(IF(Raw!F1000="","",Raw!F1000))&amp;":"&amp;IF(Raw!F1000="","",Raw!F1000)&amp;"|"&amp;LEN(IF(Raw!G1000="","",Raw!G1000))&amp;":"&amp;IF(Raw!G1000="","",Raw!G1000)</f>
        <v>6:L00994|6:T00497|10:2026-02-22|3:P-A|11:Accessories|4:sale|5:24.80</v>
      </c>
      <c r="Q1000" s="1">
        <f>1</f>
        <v>1</v>
      </c>
      <c r="R1000" s="1" t="b">
        <f>FALSE</f>
        <v>0</v>
      </c>
      <c r="S1000" s="1">
        <f>1</f>
        <v>1</v>
      </c>
      <c r="T1000" s="1" t="str">
        <f>IF(AND(Raw!A1000="",Raw!B1000="",Raw!C1000="",Raw!D1000="",Raw!E1000="",Raw!F1000="",Raw!G1000=""),"UNUSED",IF(A1000="","missing line ID",IF(B1000="","missing transaction ID",IF(G1000="",IF(C1000="","missing date","invalid date"),IF(I1000="","unknown product",IF(J1000="","conflicting category",IF(NOT(OR(EXACT(K1000,"sale"),EXACT(K1000,"refund"))),"unknown event",IF(OR(N1000="",NOT(O1000)),"invalid amount",IF(OR(AND(K1000="sale",N1000&lt;=0),AND(K1000="refund",N1000&gt;=0)),"invalid sign","")))))))))</f>
        <v/>
      </c>
      <c r="U1000" s="1" t="str">
        <f t="shared" si="125"/>
        <v>INCLUDED</v>
      </c>
      <c r="V1000" s="1" t="str">
        <f t="shared" si="126"/>
        <v>2026-02</v>
      </c>
      <c r="W1000" s="1">
        <f>IF(AND(U1000="INCLUDED",X1000&gt;0,EXACT(A1000,'AI output'!A1000)),1,0)</f>
        <v>1</v>
      </c>
      <c r="X1000" s="1">
        <f>1000</f>
        <v>1000</v>
      </c>
      <c r="Y1000" s="1">
        <f>IF(AND(U1000="INCLUDED",W1000=1),--(NOT(EXACT(A1000,'AI output'!A1000)))+--(NOT(EXACT(B1000,'AI output'!B1000)))+--(NOT(EXACT(TEXT(G1000,"yyyy-mm-dd"),'AI output'!C1000)))+--(NOT(EXACT(H1000,'AI output'!D1000)))+--(NOT(EXACT(J1000,'AI output'!E1000)))+--(NOT(EXACT(K1000,'AI output'!F1000)))+--(N1000&lt;&gt;'AI output'!L1000)+--(NOT('AI output'!M1000)),0)</f>
        <v>0</v>
      </c>
      <c r="Z1000" s="1">
        <f t="shared" si="127"/>
        <v>0</v>
      </c>
      <c r="AA1000" s="1">
        <f>--EXACT(A1000,"L00994")</f>
        <v>1</v>
      </c>
    </row>
    <row r="1001" spans="1:27" ht="18.95" customHeight="1">
      <c r="A1001" s="1" t="str">
        <f>IF(Raw!A1001="","",Raw!A1001)</f>
        <v>L00995</v>
      </c>
      <c r="B1001" s="1" t="str">
        <f>IF(Raw!B1001="","",Raw!B1001)</f>
        <v>T00498</v>
      </c>
      <c r="C1001" s="1" t="str">
        <f>IF(Raw!C1001="","",Raw!C1001)</f>
        <v>2026-03-01</v>
      </c>
      <c r="D1001" s="1">
        <f t="shared" si="120"/>
        <v>2026</v>
      </c>
      <c r="E1001" s="1">
        <f>IFERROR(IF(AND(LEN(C1001)=10,MID(C1001,5,1)="-",MID(C1001,8,1)="-"),VALUE(MID(C1001,6,2)),IF(AND(LEN(C1001)=11,MID(C1001,3,1)="-",MID(C1001,7,1)="-"),MATCH(UPPER(MID(C1001,4,3)),Guide!$D$7:$D$18,0),0)),0)</f>
        <v>3</v>
      </c>
      <c r="F1001" s="1">
        <f t="shared" si="121"/>
        <v>1</v>
      </c>
      <c r="G1001" s="9">
        <f t="shared" si="122"/>
        <v>46082</v>
      </c>
      <c r="H1001" s="1" t="str">
        <f>IF(Raw!D1001="","",Raw!D1001)</f>
        <v>P-H</v>
      </c>
      <c r="I1001" s="1" t="str">
        <f>IFERROR(IF(EXACT(H1001,INDEX(Guide!$A$7:$A$9,MATCH(SUBSTITUTE(SUBSTITUTE(SUBSTITUTE(H1001,"~","~~"),"*","~*"),"?","~?"),Guide!$A$7:$A$9,0))),INDEX(Guide!$B$7:$B$9,MATCH(SUBSTITUTE(SUBSTITUTE(SUBSTITUTE(H1001,"~","~~"),"*","~*"),"?","~?"),Guide!$A$7:$A$9,0)),""),"")</f>
        <v>Home</v>
      </c>
      <c r="J1001" s="1" t="str">
        <f>IF(TRIM(Raw!E1001)="",I1001,IF(UPPER(TRIM(Raw!E1001))=UPPER(I1001),I1001,""))</f>
        <v>Home</v>
      </c>
      <c r="K1001" s="1" t="str">
        <f>IF(Raw!F1001="","",Raw!F1001)</f>
        <v>sale</v>
      </c>
      <c r="L1001" s="1" t="str">
        <f>IF(LEFT(TRIM(Raw!G1001),2)="-$","-"&amp;MID(TRIM(Raw!G1001),3,99),IF(LEFT(TRIM(Raw!G1001),1)="$",MID(TRIM(Raw!G1001),2,99),TRIM(Raw!G1001)))</f>
        <v>51.08</v>
      </c>
      <c r="M1001" s="1">
        <f t="shared" si="123"/>
        <v>51.08</v>
      </c>
      <c r="N1001" s="10">
        <f t="shared" si="124"/>
        <v>5108</v>
      </c>
      <c r="O1001" s="1" t="b">
        <f>IFERROR(IF(ISNUMBER(Raw!G1001),TRUE,OR(EXACT(L1001,TEXT(M1001,"0.00")),EXACT(L1001,TEXT(M1001,"#,##0.00")))),FALSE)</f>
        <v>1</v>
      </c>
      <c r="P1001" s="1" t="str">
        <f>LEN(IF(Raw!A1001="","",Raw!A1001))&amp;":"&amp;IF(Raw!A1001="","",Raw!A1001)&amp;"|"&amp;LEN(IF(Raw!B1001="","",Raw!B1001))&amp;":"&amp;IF(Raw!B1001="","",Raw!B1001)&amp;"|"&amp;LEN(IF(Raw!C1001="","",Raw!C1001))&amp;":"&amp;IF(Raw!C1001="","",Raw!C1001)&amp;"|"&amp;LEN(IF(Raw!D1001="","",Raw!D1001))&amp;":"&amp;IF(Raw!D1001="","",Raw!D1001)&amp;"|"&amp;LEN(IF(Raw!E1001="","",Raw!E1001))&amp;":"&amp;IF(Raw!E1001="","",Raw!E1001)&amp;"|"&amp;LEN(IF(Raw!F1001="","",Raw!F1001))&amp;":"&amp;IF(Raw!F1001="","",Raw!F1001)&amp;"|"&amp;LEN(IF(Raw!G1001="","",Raw!G1001))&amp;":"&amp;IF(Raw!G1001="","",Raw!G1001)</f>
        <v>6:L00995|6:T00498|10:2026-03-01|3:P-H|4:Home|4:sale|5:51.08</v>
      </c>
      <c r="Q1001" s="1">
        <f>1</f>
        <v>1</v>
      </c>
      <c r="R1001" s="1" t="b">
        <f>FALSE</f>
        <v>0</v>
      </c>
      <c r="S1001" s="1">
        <f>1</f>
        <v>1</v>
      </c>
      <c r="T1001" s="1" t="str">
        <f>IF(AND(Raw!A1001="",Raw!B1001="",Raw!C1001="",Raw!D1001="",Raw!E1001="",Raw!F1001="",Raw!G1001=""),"UNUSED",IF(A1001="","missing line ID",IF(B1001="","missing transaction ID",IF(G1001="",IF(C1001="","missing date","invalid date"),IF(I1001="","unknown product",IF(J1001="","conflicting category",IF(NOT(OR(EXACT(K1001,"sale"),EXACT(K1001,"refund"))),"unknown event",IF(OR(N1001="",NOT(O1001)),"invalid amount",IF(OR(AND(K1001="sale",N1001&lt;=0),AND(K1001="refund",N1001&gt;=0)),"invalid sign","")))))))))</f>
        <v/>
      </c>
      <c r="U1001" s="1" t="str">
        <f t="shared" si="125"/>
        <v>INCLUDED</v>
      </c>
      <c r="V1001" s="1" t="str">
        <f t="shared" si="126"/>
        <v>2026-03</v>
      </c>
      <c r="W1001" s="1">
        <f>IF(AND(U1001="INCLUDED",X1001&gt;0,EXACT(A1001,'AI output'!A1001)),1,0)</f>
        <v>1</v>
      </c>
      <c r="X1001" s="1">
        <f>1001</f>
        <v>1001</v>
      </c>
      <c r="Y1001" s="1">
        <f>IF(AND(U1001="INCLUDED",W1001=1),--(NOT(EXACT(A1001,'AI output'!A1001)))+--(NOT(EXACT(B1001,'AI output'!B1001)))+--(NOT(EXACT(TEXT(G1001,"yyyy-mm-dd"),'AI output'!C1001)))+--(NOT(EXACT(H1001,'AI output'!D1001)))+--(NOT(EXACT(J1001,'AI output'!E1001)))+--(NOT(EXACT(K1001,'AI output'!F1001)))+--(N1001&lt;&gt;'AI output'!L1001)+--(NOT('AI output'!M1001)),0)</f>
        <v>0</v>
      </c>
      <c r="Z1001" s="1">
        <f t="shared" si="127"/>
        <v>0</v>
      </c>
      <c r="AA1001" s="1">
        <f>--EXACT(A1001,"L00995")</f>
        <v>1</v>
      </c>
    </row>
    <row r="1002" spans="1:27" ht="18.95" customHeight="1">
      <c r="A1002" s="1" t="str">
        <f>IF(Raw!A1002="","",Raw!A1002)</f>
        <v>L00996</v>
      </c>
      <c r="B1002" s="1" t="str">
        <f>IF(Raw!B1002="","",Raw!B1002)</f>
        <v>T00498</v>
      </c>
      <c r="C1002" s="1" t="str">
        <f>IF(Raw!C1002="","",Raw!C1002)</f>
        <v>2026-03-01</v>
      </c>
      <c r="D1002" s="1">
        <f t="shared" si="120"/>
        <v>2026</v>
      </c>
      <c r="E1002" s="1">
        <f>IFERROR(IF(AND(LEN(C1002)=10,MID(C1002,5,1)="-",MID(C1002,8,1)="-"),VALUE(MID(C1002,6,2)),IF(AND(LEN(C1002)=11,MID(C1002,3,1)="-",MID(C1002,7,1)="-"),MATCH(UPPER(MID(C1002,4,3)),Guide!$D$7:$D$18,0),0)),0)</f>
        <v>3</v>
      </c>
      <c r="F1002" s="1">
        <f t="shared" si="121"/>
        <v>1</v>
      </c>
      <c r="G1002" s="9">
        <f t="shared" si="122"/>
        <v>46082</v>
      </c>
      <c r="H1002" s="1" t="str">
        <f>IF(Raw!D1002="","",Raw!D1002)</f>
        <v>P-O</v>
      </c>
      <c r="I1002" s="1" t="str">
        <f>IFERROR(IF(EXACT(H1002,INDEX(Guide!$A$7:$A$9,MATCH(SUBSTITUTE(SUBSTITUTE(SUBSTITUTE(H1002,"~","~~"),"*","~*"),"?","~?"),Guide!$A$7:$A$9,0))),INDEX(Guide!$B$7:$B$9,MATCH(SUBSTITUTE(SUBSTITUTE(SUBSTITUTE(H1002,"~","~~"),"*","~*"),"?","~?"),Guide!$A$7:$A$9,0)),""),"")</f>
        <v>Office</v>
      </c>
      <c r="J1002" s="1" t="str">
        <f>IF(TRIM(Raw!E1002)="",I1002,IF(UPPER(TRIM(Raw!E1002))=UPPER(I1002),I1002,""))</f>
        <v>Office</v>
      </c>
      <c r="K1002" s="1" t="str">
        <f>IF(Raw!F1002="","",Raw!F1002)</f>
        <v>sale</v>
      </c>
      <c r="L1002" s="1" t="str">
        <f>IF(LEFT(TRIM(Raw!G1002),2)="-$","-"&amp;MID(TRIM(Raw!G1002),3,99),IF(LEFT(TRIM(Raw!G1002),1)="$",MID(TRIM(Raw!G1002),2,99),TRIM(Raw!G1002)))</f>
        <v>13.14</v>
      </c>
      <c r="M1002" s="1">
        <f t="shared" si="123"/>
        <v>13.14</v>
      </c>
      <c r="N1002" s="10">
        <f t="shared" si="124"/>
        <v>1314</v>
      </c>
      <c r="O1002" s="1" t="b">
        <f>IFERROR(IF(ISNUMBER(Raw!G1002),TRUE,OR(EXACT(L1002,TEXT(M1002,"0.00")),EXACT(L1002,TEXT(M1002,"#,##0.00")))),FALSE)</f>
        <v>1</v>
      </c>
      <c r="P1002" s="1" t="str">
        <f>LEN(IF(Raw!A1002="","",Raw!A1002))&amp;":"&amp;IF(Raw!A1002="","",Raw!A1002)&amp;"|"&amp;LEN(IF(Raw!B1002="","",Raw!B1002))&amp;":"&amp;IF(Raw!B1002="","",Raw!B1002)&amp;"|"&amp;LEN(IF(Raw!C1002="","",Raw!C1002))&amp;":"&amp;IF(Raw!C1002="","",Raw!C1002)&amp;"|"&amp;LEN(IF(Raw!D1002="","",Raw!D1002))&amp;":"&amp;IF(Raw!D1002="","",Raw!D1002)&amp;"|"&amp;LEN(IF(Raw!E1002="","",Raw!E1002))&amp;":"&amp;IF(Raw!E1002="","",Raw!E1002)&amp;"|"&amp;LEN(IF(Raw!F1002="","",Raw!F1002))&amp;":"&amp;IF(Raw!F1002="","",Raw!F1002)&amp;"|"&amp;LEN(IF(Raw!G1002="","",Raw!G1002))&amp;":"&amp;IF(Raw!G1002="","",Raw!G1002)</f>
        <v>6:L00996|6:T00498|10:2026-03-01|3:P-O|6:Office|4:sale|5:13.14</v>
      </c>
      <c r="Q1002" s="1">
        <f>1</f>
        <v>1</v>
      </c>
      <c r="R1002" s="1" t="b">
        <f>FALSE</f>
        <v>0</v>
      </c>
      <c r="S1002" s="1">
        <f>1</f>
        <v>1</v>
      </c>
      <c r="T1002" s="1" t="str">
        <f>IF(AND(Raw!A1002="",Raw!B1002="",Raw!C1002="",Raw!D1002="",Raw!E1002="",Raw!F1002="",Raw!G1002=""),"UNUSED",IF(A1002="","missing line ID",IF(B1002="","missing transaction ID",IF(G1002="",IF(C1002="","missing date","invalid date"),IF(I1002="","unknown product",IF(J1002="","conflicting category",IF(NOT(OR(EXACT(K1002,"sale"),EXACT(K1002,"refund"))),"unknown event",IF(OR(N1002="",NOT(O1002)),"invalid amount",IF(OR(AND(K1002="sale",N1002&lt;=0),AND(K1002="refund",N1002&gt;=0)),"invalid sign","")))))))))</f>
        <v/>
      </c>
      <c r="U1002" s="1" t="str">
        <f t="shared" si="125"/>
        <v>INCLUDED</v>
      </c>
      <c r="V1002" s="1" t="str">
        <f t="shared" si="126"/>
        <v>2026-03</v>
      </c>
      <c r="W1002" s="1">
        <f>IF(AND(U1002="INCLUDED",X1002&gt;0,EXACT(A1002,'AI output'!A1002)),1,0)</f>
        <v>1</v>
      </c>
      <c r="X1002" s="1">
        <f>1002</f>
        <v>1002</v>
      </c>
      <c r="Y1002" s="1">
        <f>IF(AND(U1002="INCLUDED",W1002=1),--(NOT(EXACT(A1002,'AI output'!A1002)))+--(NOT(EXACT(B1002,'AI output'!B1002)))+--(NOT(EXACT(TEXT(G1002,"yyyy-mm-dd"),'AI output'!C1002)))+--(NOT(EXACT(H1002,'AI output'!D1002)))+--(NOT(EXACT(J1002,'AI output'!E1002)))+--(NOT(EXACT(K1002,'AI output'!F1002)))+--(N1002&lt;&gt;'AI output'!L1002)+--(NOT('AI output'!M1002)),0)</f>
        <v>0</v>
      </c>
      <c r="Z1002" s="1">
        <f t="shared" si="127"/>
        <v>0</v>
      </c>
      <c r="AA1002" s="1">
        <f>--EXACT(A1002,"L00996")</f>
        <v>1</v>
      </c>
    </row>
    <row r="1003" spans="1:27" ht="18.95" customHeight="1">
      <c r="A1003" s="1" t="str">
        <f>IF(Raw!A1003="","",Raw!A1003)</f>
        <v>L00997</v>
      </c>
      <c r="B1003" s="1" t="str">
        <f>IF(Raw!B1003="","",Raw!B1003)</f>
        <v>T00499</v>
      </c>
      <c r="C1003" s="1" t="str">
        <f>IF(Raw!C1003="","",Raw!C1003)</f>
        <v>2026-03-08</v>
      </c>
      <c r="D1003" s="1">
        <f t="shared" si="120"/>
        <v>2026</v>
      </c>
      <c r="E1003" s="1">
        <f>IFERROR(IF(AND(LEN(C1003)=10,MID(C1003,5,1)="-",MID(C1003,8,1)="-"),VALUE(MID(C1003,6,2)),IF(AND(LEN(C1003)=11,MID(C1003,3,1)="-",MID(C1003,7,1)="-"),MATCH(UPPER(MID(C1003,4,3)),Guide!$D$7:$D$18,0),0)),0)</f>
        <v>3</v>
      </c>
      <c r="F1003" s="1">
        <f t="shared" si="121"/>
        <v>8</v>
      </c>
      <c r="G1003" s="9">
        <f t="shared" si="122"/>
        <v>46089</v>
      </c>
      <c r="H1003" s="1" t="str">
        <f>IF(Raw!D1003="","",Raw!D1003)</f>
        <v>P-A</v>
      </c>
      <c r="I1003" s="1" t="str">
        <f>IFERROR(IF(EXACT(H1003,INDEX(Guide!$A$7:$A$9,MATCH(SUBSTITUTE(SUBSTITUTE(SUBSTITUTE(H1003,"~","~~"),"*","~*"),"?","~?"),Guide!$A$7:$A$9,0))),INDEX(Guide!$B$7:$B$9,MATCH(SUBSTITUTE(SUBSTITUTE(SUBSTITUTE(H1003,"~","~~"),"*","~*"),"?","~?"),Guide!$A$7:$A$9,0)),""),"")</f>
        <v>Accessories</v>
      </c>
      <c r="J1003" s="1" t="str">
        <f>IF(TRIM(Raw!E1003)="",I1003,IF(UPPER(TRIM(Raw!E1003))=UPPER(I1003),I1003,""))</f>
        <v>Accessories</v>
      </c>
      <c r="K1003" s="1" t="str">
        <f>IF(Raw!F1003="","",Raw!F1003)</f>
        <v>sale</v>
      </c>
      <c r="L1003" s="1" t="str">
        <f>IF(LEFT(TRIM(Raw!G1003),2)="-$","-"&amp;MID(TRIM(Raw!G1003),3,99),IF(LEFT(TRIM(Raw!G1003),1)="$",MID(TRIM(Raw!G1003),2,99),TRIM(Raw!G1003)))</f>
        <v>40.53</v>
      </c>
      <c r="M1003" s="1">
        <f t="shared" si="123"/>
        <v>40.53</v>
      </c>
      <c r="N1003" s="10">
        <f t="shared" si="124"/>
        <v>4053</v>
      </c>
      <c r="O1003" s="1" t="b">
        <f>IFERROR(IF(ISNUMBER(Raw!G1003),TRUE,OR(EXACT(L1003,TEXT(M1003,"0.00")),EXACT(L1003,TEXT(M1003,"#,##0.00")))),FALSE)</f>
        <v>1</v>
      </c>
      <c r="P1003" s="1" t="str">
        <f>LEN(IF(Raw!A1003="","",Raw!A1003))&amp;":"&amp;IF(Raw!A1003="","",Raw!A1003)&amp;"|"&amp;LEN(IF(Raw!B1003="","",Raw!B1003))&amp;":"&amp;IF(Raw!B1003="","",Raw!B1003)&amp;"|"&amp;LEN(IF(Raw!C1003="","",Raw!C1003))&amp;":"&amp;IF(Raw!C1003="","",Raw!C1003)&amp;"|"&amp;LEN(IF(Raw!D1003="","",Raw!D1003))&amp;":"&amp;IF(Raw!D1003="","",Raw!D1003)&amp;"|"&amp;LEN(IF(Raw!E1003="","",Raw!E1003))&amp;":"&amp;IF(Raw!E1003="","",Raw!E1003)&amp;"|"&amp;LEN(IF(Raw!F1003="","",Raw!F1003))&amp;":"&amp;IF(Raw!F1003="","",Raw!F1003)&amp;"|"&amp;LEN(IF(Raw!G1003="","",Raw!G1003))&amp;":"&amp;IF(Raw!G1003="","",Raw!G1003)</f>
        <v>6:L00997|6:T00499|10:2026-03-08|3:P-A|11:Accessories|4:sale|5:40.53</v>
      </c>
      <c r="Q1003" s="1">
        <f>1</f>
        <v>1</v>
      </c>
      <c r="R1003" s="1" t="b">
        <f>FALSE</f>
        <v>0</v>
      </c>
      <c r="S1003" s="1">
        <f>1</f>
        <v>1</v>
      </c>
      <c r="T1003" s="1" t="str">
        <f>IF(AND(Raw!A1003="",Raw!B1003="",Raw!C1003="",Raw!D1003="",Raw!E1003="",Raw!F1003="",Raw!G1003=""),"UNUSED",IF(A1003="","missing line ID",IF(B1003="","missing transaction ID",IF(G1003="",IF(C1003="","missing date","invalid date"),IF(I1003="","unknown product",IF(J1003="","conflicting category",IF(NOT(OR(EXACT(K1003,"sale"),EXACT(K1003,"refund"))),"unknown event",IF(OR(N1003="",NOT(O1003)),"invalid amount",IF(OR(AND(K1003="sale",N1003&lt;=0),AND(K1003="refund",N1003&gt;=0)),"invalid sign","")))))))))</f>
        <v/>
      </c>
      <c r="U1003" s="1" t="str">
        <f t="shared" si="125"/>
        <v>INCLUDED</v>
      </c>
      <c r="V1003" s="1" t="str">
        <f t="shared" si="126"/>
        <v>2026-03</v>
      </c>
      <c r="W1003" s="1">
        <f>IF(AND(U1003="INCLUDED",X1003&gt;0,EXACT(A1003,'AI output'!A1003)),1,0)</f>
        <v>1</v>
      </c>
      <c r="X1003" s="1">
        <f>1003</f>
        <v>1003</v>
      </c>
      <c r="Y1003" s="1">
        <f>IF(AND(U1003="INCLUDED",W1003=1),--(NOT(EXACT(A1003,'AI output'!A1003)))+--(NOT(EXACT(B1003,'AI output'!B1003)))+--(NOT(EXACT(TEXT(G1003,"yyyy-mm-dd"),'AI output'!C1003)))+--(NOT(EXACT(H1003,'AI output'!D1003)))+--(NOT(EXACT(J1003,'AI output'!E1003)))+--(NOT(EXACT(K1003,'AI output'!F1003)))+--(N1003&lt;&gt;'AI output'!L1003)+--(NOT('AI output'!M1003)),0)</f>
        <v>0</v>
      </c>
      <c r="Z1003" s="1">
        <f t="shared" si="127"/>
        <v>0</v>
      </c>
      <c r="AA1003" s="1">
        <f>--EXACT(A1003,"L00997")</f>
        <v>1</v>
      </c>
    </row>
    <row r="1004" spans="1:27" ht="18.95" customHeight="1">
      <c r="A1004" s="1" t="str">
        <f>IF(Raw!A1004="","",Raw!A1004)</f>
        <v>L00998</v>
      </c>
      <c r="B1004" s="1" t="str">
        <f>IF(Raw!B1004="","",Raw!B1004)</f>
        <v>T00499</v>
      </c>
      <c r="C1004" s="1" t="str">
        <f>IF(Raw!C1004="","",Raw!C1004)</f>
        <v>2026-03-08</v>
      </c>
      <c r="D1004" s="1">
        <f t="shared" si="120"/>
        <v>2026</v>
      </c>
      <c r="E1004" s="1">
        <f>IFERROR(IF(AND(LEN(C1004)=10,MID(C1004,5,1)="-",MID(C1004,8,1)="-"),VALUE(MID(C1004,6,2)),IF(AND(LEN(C1004)=11,MID(C1004,3,1)="-",MID(C1004,7,1)="-"),MATCH(UPPER(MID(C1004,4,3)),Guide!$D$7:$D$18,0),0)),0)</f>
        <v>3</v>
      </c>
      <c r="F1004" s="1">
        <f t="shared" si="121"/>
        <v>8</v>
      </c>
      <c r="G1004" s="9">
        <f t="shared" si="122"/>
        <v>46089</v>
      </c>
      <c r="H1004" s="1" t="str">
        <f>IF(Raw!D1004="","",Raw!D1004)</f>
        <v>P-H</v>
      </c>
      <c r="I1004" s="1" t="str">
        <f>IFERROR(IF(EXACT(H1004,INDEX(Guide!$A$7:$A$9,MATCH(SUBSTITUTE(SUBSTITUTE(SUBSTITUTE(H1004,"~","~~"),"*","~*"),"?","~?"),Guide!$A$7:$A$9,0))),INDEX(Guide!$B$7:$B$9,MATCH(SUBSTITUTE(SUBSTITUTE(SUBSTITUTE(H1004,"~","~~"),"*","~*"),"?","~?"),Guide!$A$7:$A$9,0)),""),"")</f>
        <v>Home</v>
      </c>
      <c r="J1004" s="1" t="str">
        <f>IF(TRIM(Raw!E1004)="",I1004,IF(UPPER(TRIM(Raw!E1004))=UPPER(I1004),I1004,""))</f>
        <v>Home</v>
      </c>
      <c r="K1004" s="1" t="str">
        <f>IF(Raw!F1004="","",Raw!F1004)</f>
        <v>sale</v>
      </c>
      <c r="L1004" s="1" t="str">
        <f>IF(LEFT(TRIM(Raw!G1004),2)="-$","-"&amp;MID(TRIM(Raw!G1004),3,99),IF(LEFT(TRIM(Raw!G1004),1)="$",MID(TRIM(Raw!G1004),2,99),TRIM(Raw!G1004)))</f>
        <v>69.40</v>
      </c>
      <c r="M1004" s="1">
        <f t="shared" si="123"/>
        <v>69.400000000000006</v>
      </c>
      <c r="N1004" s="10">
        <f t="shared" si="124"/>
        <v>6940</v>
      </c>
      <c r="O1004" s="1" t="b">
        <f>IFERROR(IF(ISNUMBER(Raw!G1004),TRUE,OR(EXACT(L1004,TEXT(M1004,"0.00")),EXACT(L1004,TEXT(M1004,"#,##0.00")))),FALSE)</f>
        <v>1</v>
      </c>
      <c r="P1004" s="1" t="str">
        <f>LEN(IF(Raw!A1004="","",Raw!A1004))&amp;":"&amp;IF(Raw!A1004="","",Raw!A1004)&amp;"|"&amp;LEN(IF(Raw!B1004="","",Raw!B1004))&amp;":"&amp;IF(Raw!B1004="","",Raw!B1004)&amp;"|"&amp;LEN(IF(Raw!C1004="","",Raw!C1004))&amp;":"&amp;IF(Raw!C1004="","",Raw!C1004)&amp;"|"&amp;LEN(IF(Raw!D1004="","",Raw!D1004))&amp;":"&amp;IF(Raw!D1004="","",Raw!D1004)&amp;"|"&amp;LEN(IF(Raw!E1004="","",Raw!E1004))&amp;":"&amp;IF(Raw!E1004="","",Raw!E1004)&amp;"|"&amp;LEN(IF(Raw!F1004="","",Raw!F1004))&amp;":"&amp;IF(Raw!F1004="","",Raw!F1004)&amp;"|"&amp;LEN(IF(Raw!G1004="","",Raw!G1004))&amp;":"&amp;IF(Raw!G1004="","",Raw!G1004)</f>
        <v>6:L00998|6:T00499|10:2026-03-08|3:P-H|4:Home|4:sale|5:69.40</v>
      </c>
      <c r="Q1004" s="1">
        <f>1</f>
        <v>1</v>
      </c>
      <c r="R1004" s="1" t="b">
        <f>FALSE</f>
        <v>0</v>
      </c>
      <c r="S1004" s="1">
        <f>1</f>
        <v>1</v>
      </c>
      <c r="T1004" s="1" t="str">
        <f>IF(AND(Raw!A1004="",Raw!B1004="",Raw!C1004="",Raw!D1004="",Raw!E1004="",Raw!F1004="",Raw!G1004=""),"UNUSED",IF(A1004="","missing line ID",IF(B1004="","missing transaction ID",IF(G1004="",IF(C1004="","missing date","invalid date"),IF(I1004="","unknown product",IF(J1004="","conflicting category",IF(NOT(OR(EXACT(K1004,"sale"),EXACT(K1004,"refund"))),"unknown event",IF(OR(N1004="",NOT(O1004)),"invalid amount",IF(OR(AND(K1004="sale",N1004&lt;=0),AND(K1004="refund",N1004&gt;=0)),"invalid sign","")))))))))</f>
        <v/>
      </c>
      <c r="U1004" s="1" t="str">
        <f t="shared" si="125"/>
        <v>INCLUDED</v>
      </c>
      <c r="V1004" s="1" t="str">
        <f t="shared" si="126"/>
        <v>2026-03</v>
      </c>
      <c r="W1004" s="1">
        <f>IF(AND(U1004="INCLUDED",X1004&gt;0,EXACT(A1004,'AI output'!A1004)),1,0)</f>
        <v>1</v>
      </c>
      <c r="X1004" s="1">
        <f>1004</f>
        <v>1004</v>
      </c>
      <c r="Y1004" s="1">
        <f>IF(AND(U1004="INCLUDED",W1004=1),--(NOT(EXACT(A1004,'AI output'!A1004)))+--(NOT(EXACT(B1004,'AI output'!B1004)))+--(NOT(EXACT(TEXT(G1004,"yyyy-mm-dd"),'AI output'!C1004)))+--(NOT(EXACT(H1004,'AI output'!D1004)))+--(NOT(EXACT(J1004,'AI output'!E1004)))+--(NOT(EXACT(K1004,'AI output'!F1004)))+--(N1004&lt;&gt;'AI output'!L1004)+--(NOT('AI output'!M1004)),0)</f>
        <v>0</v>
      </c>
      <c r="Z1004" s="1">
        <f t="shared" si="127"/>
        <v>0</v>
      </c>
      <c r="AA1004" s="1">
        <f>--EXACT(A1004,"L00998")</f>
        <v>1</v>
      </c>
    </row>
    <row r="1005" spans="1:27" ht="18.95" customHeight="1">
      <c r="A1005" s="1" t="str">
        <f>IF(Raw!A1005="","",Raw!A1005)</f>
        <v>L00999</v>
      </c>
      <c r="B1005" s="1" t="str">
        <f>IF(Raw!B1005="","",Raw!B1005)</f>
        <v>T00500</v>
      </c>
      <c r="C1005" s="1" t="str">
        <f>IF(Raw!C1005="","",Raw!C1005)</f>
        <v>2026-03-15</v>
      </c>
      <c r="D1005" s="1">
        <f t="shared" si="120"/>
        <v>2026</v>
      </c>
      <c r="E1005" s="1">
        <f>IFERROR(IF(AND(LEN(C1005)=10,MID(C1005,5,1)="-",MID(C1005,8,1)="-"),VALUE(MID(C1005,6,2)),IF(AND(LEN(C1005)=11,MID(C1005,3,1)="-",MID(C1005,7,1)="-"),MATCH(UPPER(MID(C1005,4,3)),Guide!$D$7:$D$18,0),0)),0)</f>
        <v>3</v>
      </c>
      <c r="F1005" s="1">
        <f t="shared" si="121"/>
        <v>15</v>
      </c>
      <c r="G1005" s="9">
        <f t="shared" si="122"/>
        <v>46096</v>
      </c>
      <c r="H1005" s="1" t="str">
        <f>IF(Raw!D1005="","",Raw!D1005)</f>
        <v>P-O</v>
      </c>
      <c r="I1005" s="1" t="str">
        <f>IFERROR(IF(EXACT(H1005,INDEX(Guide!$A$7:$A$9,MATCH(SUBSTITUTE(SUBSTITUTE(SUBSTITUTE(H1005,"~","~~"),"*","~*"),"?","~?"),Guide!$A$7:$A$9,0))),INDEX(Guide!$B$7:$B$9,MATCH(SUBSTITUTE(SUBSTITUTE(SUBSTITUTE(H1005,"~","~~"),"*","~*"),"?","~?"),Guide!$A$7:$A$9,0)),""),"")</f>
        <v>Office</v>
      </c>
      <c r="J1005" s="1" t="str">
        <f>IF(TRIM(Raw!E1005)="",I1005,IF(UPPER(TRIM(Raw!E1005))=UPPER(I1005),I1005,""))</f>
        <v>Office</v>
      </c>
      <c r="K1005" s="1" t="str">
        <f>IF(Raw!F1005="","",Raw!F1005)</f>
        <v>sale</v>
      </c>
      <c r="L1005" s="1" t="str">
        <f>IF(LEFT(TRIM(Raw!G1005),2)="-$","-"&amp;MID(TRIM(Raw!G1005),3,99),IF(LEFT(TRIM(Raw!G1005),1)="$",MID(TRIM(Raw!G1005),2,99),TRIM(Raw!G1005)))</f>
        <v>28.50</v>
      </c>
      <c r="M1005" s="1">
        <f t="shared" si="123"/>
        <v>28.5</v>
      </c>
      <c r="N1005" s="10">
        <f t="shared" si="124"/>
        <v>2850</v>
      </c>
      <c r="O1005" s="1" t="b">
        <f>IFERROR(IF(ISNUMBER(Raw!G1005),TRUE,OR(EXACT(L1005,TEXT(M1005,"0.00")),EXACT(L1005,TEXT(M1005,"#,##0.00")))),FALSE)</f>
        <v>1</v>
      </c>
      <c r="P1005" s="1" t="str">
        <f>LEN(IF(Raw!A1005="","",Raw!A1005))&amp;":"&amp;IF(Raw!A1005="","",Raw!A1005)&amp;"|"&amp;LEN(IF(Raw!B1005="","",Raw!B1005))&amp;":"&amp;IF(Raw!B1005="","",Raw!B1005)&amp;"|"&amp;LEN(IF(Raw!C1005="","",Raw!C1005))&amp;":"&amp;IF(Raw!C1005="","",Raw!C1005)&amp;"|"&amp;LEN(IF(Raw!D1005="","",Raw!D1005))&amp;":"&amp;IF(Raw!D1005="","",Raw!D1005)&amp;"|"&amp;LEN(IF(Raw!E1005="","",Raw!E1005))&amp;":"&amp;IF(Raw!E1005="","",Raw!E1005)&amp;"|"&amp;LEN(IF(Raw!F1005="","",Raw!F1005))&amp;":"&amp;IF(Raw!F1005="","",Raw!F1005)&amp;"|"&amp;LEN(IF(Raw!G1005="","",Raw!G1005))&amp;":"&amp;IF(Raw!G1005="","",Raw!G1005)</f>
        <v>6:L00999|6:T00500|10:2026-03-15|3:P-O|6:Office|4:sale|5:28.50</v>
      </c>
      <c r="Q1005" s="1">
        <f>1</f>
        <v>1</v>
      </c>
      <c r="R1005" s="1" t="b">
        <f>FALSE</f>
        <v>0</v>
      </c>
      <c r="S1005" s="1">
        <f>1</f>
        <v>1</v>
      </c>
      <c r="T1005" s="1" t="str">
        <f>IF(AND(Raw!A1005="",Raw!B1005="",Raw!C1005="",Raw!D1005="",Raw!E1005="",Raw!F1005="",Raw!G1005=""),"UNUSED",IF(A1005="","missing line ID",IF(B1005="","missing transaction ID",IF(G1005="",IF(C1005="","missing date","invalid date"),IF(I1005="","unknown product",IF(J1005="","conflicting category",IF(NOT(OR(EXACT(K1005,"sale"),EXACT(K1005,"refund"))),"unknown event",IF(OR(N1005="",NOT(O1005)),"invalid amount",IF(OR(AND(K1005="sale",N1005&lt;=0),AND(K1005="refund",N1005&gt;=0)),"invalid sign","")))))))))</f>
        <v/>
      </c>
      <c r="U1005" s="1" t="str">
        <f t="shared" si="125"/>
        <v>INCLUDED</v>
      </c>
      <c r="V1005" s="1" t="str">
        <f t="shared" si="126"/>
        <v>2026-03</v>
      </c>
      <c r="W1005" s="1">
        <f>IF(AND(U1005="INCLUDED",X1005&gt;0,EXACT(A1005,'AI output'!A1005)),1,0)</f>
        <v>1</v>
      </c>
      <c r="X1005" s="1">
        <f>1005</f>
        <v>1005</v>
      </c>
      <c r="Y1005" s="1">
        <f>IF(AND(U1005="INCLUDED",W1005=1),--(NOT(EXACT(A1005,'AI output'!A1005)))+--(NOT(EXACT(B1005,'AI output'!B1005)))+--(NOT(EXACT(TEXT(G1005,"yyyy-mm-dd"),'AI output'!C1005)))+--(NOT(EXACT(H1005,'AI output'!D1005)))+--(NOT(EXACT(J1005,'AI output'!E1005)))+--(NOT(EXACT(K1005,'AI output'!F1005)))+--(N1005&lt;&gt;'AI output'!L1005)+--(NOT('AI output'!M1005)),0)</f>
        <v>0</v>
      </c>
      <c r="Z1005" s="1">
        <f t="shared" si="127"/>
        <v>0</v>
      </c>
      <c r="AA1005" s="1">
        <f>--EXACT(A1005,"L00999")</f>
        <v>1</v>
      </c>
    </row>
    <row r="1006" spans="1:27" ht="18.95" customHeight="1">
      <c r="A1006" s="1" t="str">
        <f>IF(Raw!A1006="","",Raw!A1006)</f>
        <v>L01000</v>
      </c>
      <c r="B1006" s="1" t="str">
        <f>IF(Raw!B1006="","",Raw!B1006)</f>
        <v>T00500</v>
      </c>
      <c r="C1006" s="1" t="str">
        <f>IF(Raw!C1006="","",Raw!C1006)</f>
        <v>2026-03-15</v>
      </c>
      <c r="D1006" s="1">
        <f t="shared" si="120"/>
        <v>2026</v>
      </c>
      <c r="E1006" s="1">
        <f>IFERROR(IF(AND(LEN(C1006)=10,MID(C1006,5,1)="-",MID(C1006,8,1)="-"),VALUE(MID(C1006,6,2)),IF(AND(LEN(C1006)=11,MID(C1006,3,1)="-",MID(C1006,7,1)="-"),MATCH(UPPER(MID(C1006,4,3)),Guide!$D$7:$D$18,0),0)),0)</f>
        <v>3</v>
      </c>
      <c r="F1006" s="1">
        <f t="shared" si="121"/>
        <v>15</v>
      </c>
      <c r="G1006" s="9">
        <f t="shared" si="122"/>
        <v>46096</v>
      </c>
      <c r="H1006" s="1" t="str">
        <f>IF(Raw!D1006="","",Raw!D1006)</f>
        <v>P-A</v>
      </c>
      <c r="I1006" s="1" t="str">
        <f>IFERROR(IF(EXACT(H1006,INDEX(Guide!$A$7:$A$9,MATCH(SUBSTITUTE(SUBSTITUTE(SUBSTITUTE(H1006,"~","~~"),"*","~*"),"?","~?"),Guide!$A$7:$A$9,0))),INDEX(Guide!$B$7:$B$9,MATCH(SUBSTITUTE(SUBSTITUTE(SUBSTITUTE(H1006,"~","~~"),"*","~*"),"?","~?"),Guide!$A$7:$A$9,0)),""),"")</f>
        <v>Accessories</v>
      </c>
      <c r="J1006" s="1" t="str">
        <f>IF(TRIM(Raw!E1006)="",I1006,IF(UPPER(TRIM(Raw!E1006))=UPPER(I1006),I1006,""))</f>
        <v>Accessories</v>
      </c>
      <c r="K1006" s="1" t="str">
        <f>IF(Raw!F1006="","",Raw!F1006)</f>
        <v>sale</v>
      </c>
      <c r="L1006" s="1" t="str">
        <f>IF(LEFT(TRIM(Raw!G1006),2)="-$","-"&amp;MID(TRIM(Raw!G1006),3,99),IF(LEFT(TRIM(Raw!G1006),1)="$",MID(TRIM(Raw!G1006),2,99),TRIM(Raw!G1006)))</f>
        <v>58.48</v>
      </c>
      <c r="M1006" s="1">
        <f t="shared" si="123"/>
        <v>58.48</v>
      </c>
      <c r="N1006" s="10">
        <f t="shared" si="124"/>
        <v>5848</v>
      </c>
      <c r="O1006" s="1" t="b">
        <f>IFERROR(IF(ISNUMBER(Raw!G1006),TRUE,OR(EXACT(L1006,TEXT(M1006,"0.00")),EXACT(L1006,TEXT(M1006,"#,##0.00")))),FALSE)</f>
        <v>1</v>
      </c>
      <c r="P1006" s="1" t="str">
        <f>LEN(IF(Raw!A1006="","",Raw!A1006))&amp;":"&amp;IF(Raw!A1006="","",Raw!A1006)&amp;"|"&amp;LEN(IF(Raw!B1006="","",Raw!B1006))&amp;":"&amp;IF(Raw!B1006="","",Raw!B1006)&amp;"|"&amp;LEN(IF(Raw!C1006="","",Raw!C1006))&amp;":"&amp;IF(Raw!C1006="","",Raw!C1006)&amp;"|"&amp;LEN(IF(Raw!D1006="","",Raw!D1006))&amp;":"&amp;IF(Raw!D1006="","",Raw!D1006)&amp;"|"&amp;LEN(IF(Raw!E1006="","",Raw!E1006))&amp;":"&amp;IF(Raw!E1006="","",Raw!E1006)&amp;"|"&amp;LEN(IF(Raw!F1006="","",Raw!F1006))&amp;":"&amp;IF(Raw!F1006="","",Raw!F1006)&amp;"|"&amp;LEN(IF(Raw!G1006="","",Raw!G1006))&amp;":"&amp;IF(Raw!G1006="","",Raw!G1006)</f>
        <v>6:L01000|6:T00500|10:2026-03-15|3:P-A|11:Accessories|4:sale|5:58.48</v>
      </c>
      <c r="Q1006" s="1">
        <f>1</f>
        <v>1</v>
      </c>
      <c r="R1006" s="1" t="b">
        <f>FALSE</f>
        <v>0</v>
      </c>
      <c r="S1006" s="1">
        <f>1</f>
        <v>1</v>
      </c>
      <c r="T1006" s="1" t="str">
        <f>IF(AND(Raw!A1006="",Raw!B1006="",Raw!C1006="",Raw!D1006="",Raw!E1006="",Raw!F1006="",Raw!G1006=""),"UNUSED",IF(A1006="","missing line ID",IF(B1006="","missing transaction ID",IF(G1006="",IF(C1006="","missing date","invalid date"),IF(I1006="","unknown product",IF(J1006="","conflicting category",IF(NOT(OR(EXACT(K1006,"sale"),EXACT(K1006,"refund"))),"unknown event",IF(OR(N1006="",NOT(O1006)),"invalid amount",IF(OR(AND(K1006="sale",N1006&lt;=0),AND(K1006="refund",N1006&gt;=0)),"invalid sign","")))))))))</f>
        <v/>
      </c>
      <c r="U1006" s="1" t="str">
        <f t="shared" si="125"/>
        <v>INCLUDED</v>
      </c>
      <c r="V1006" s="1" t="str">
        <f t="shared" si="126"/>
        <v>2026-03</v>
      </c>
      <c r="W1006" s="1">
        <f>IF(AND(U1006="INCLUDED",X1006&gt;0,EXACT(A1006,'AI output'!A1006)),1,0)</f>
        <v>1</v>
      </c>
      <c r="X1006" s="1">
        <f>1006</f>
        <v>1006</v>
      </c>
      <c r="Y1006" s="1">
        <f>IF(AND(U1006="INCLUDED",W1006=1),--(NOT(EXACT(A1006,'AI output'!A1006)))+--(NOT(EXACT(B1006,'AI output'!B1006)))+--(NOT(EXACT(TEXT(G1006,"yyyy-mm-dd"),'AI output'!C1006)))+--(NOT(EXACT(H1006,'AI output'!D1006)))+--(NOT(EXACT(J1006,'AI output'!E1006)))+--(NOT(EXACT(K1006,'AI output'!F1006)))+--(N1006&lt;&gt;'AI output'!L1006)+--(NOT('AI output'!M1006)),0)</f>
        <v>0</v>
      </c>
      <c r="Z1006" s="1">
        <f t="shared" si="127"/>
        <v>0</v>
      </c>
      <c r="AA1006" s="1">
        <f>--EXACT(A1006,"L01000")</f>
        <v>1</v>
      </c>
    </row>
    <row r="1007" spans="1:27" ht="18.95" customHeight="1">
      <c r="A1007" s="1" t="str">
        <f>IF(Raw!A1007="","",Raw!A1007)</f>
        <v>L01001</v>
      </c>
      <c r="B1007" s="1" t="str">
        <f>IF(Raw!B1007="","",Raw!B1007)</f>
        <v>T00501</v>
      </c>
      <c r="C1007" s="1" t="str">
        <f>IF(Raw!C1007="","",Raw!C1007)</f>
        <v>2026-03-22</v>
      </c>
      <c r="D1007" s="1">
        <f t="shared" si="120"/>
        <v>2026</v>
      </c>
      <c r="E1007" s="1">
        <f>IFERROR(IF(AND(LEN(C1007)=10,MID(C1007,5,1)="-",MID(C1007,8,1)="-"),VALUE(MID(C1007,6,2)),IF(AND(LEN(C1007)=11,MID(C1007,3,1)="-",MID(C1007,7,1)="-"),MATCH(UPPER(MID(C1007,4,3)),Guide!$D$7:$D$18,0),0)),0)</f>
        <v>3</v>
      </c>
      <c r="F1007" s="1">
        <f t="shared" si="121"/>
        <v>22</v>
      </c>
      <c r="G1007" s="9">
        <f t="shared" si="122"/>
        <v>46103</v>
      </c>
      <c r="H1007" s="1" t="str">
        <f>IF(Raw!D1007="","",Raw!D1007)</f>
        <v>P-H</v>
      </c>
      <c r="I1007" s="1" t="str">
        <f>IFERROR(IF(EXACT(H1007,INDEX(Guide!$A$7:$A$9,MATCH(SUBSTITUTE(SUBSTITUTE(SUBSTITUTE(H1007,"~","~~"),"*","~*"),"?","~?"),Guide!$A$7:$A$9,0))),INDEX(Guide!$B$7:$B$9,MATCH(SUBSTITUTE(SUBSTITUTE(SUBSTITUTE(H1007,"~","~~"),"*","~*"),"?","~?"),Guide!$A$7:$A$9,0)),""),"")</f>
        <v>Home</v>
      </c>
      <c r="J1007" s="1" t="str">
        <f>IF(TRIM(Raw!E1007)="",I1007,IF(UPPER(TRIM(Raw!E1007))=UPPER(I1007),I1007,""))</f>
        <v>Home</v>
      </c>
      <c r="K1007" s="1" t="str">
        <f>IF(Raw!F1007="","",Raw!F1007)</f>
        <v>sale</v>
      </c>
      <c r="L1007" s="1" t="str">
        <f>IF(LEFT(TRIM(Raw!G1007),2)="-$","-"&amp;MID(TRIM(Raw!G1007),3,99),IF(LEFT(TRIM(Raw!G1007),1)="$",MID(TRIM(Raw!G1007),2,99),TRIM(Raw!G1007)))</f>
        <v>14.99</v>
      </c>
      <c r="M1007" s="1">
        <f t="shared" si="123"/>
        <v>14.99</v>
      </c>
      <c r="N1007" s="10">
        <f t="shared" si="124"/>
        <v>1499</v>
      </c>
      <c r="O1007" s="1" t="b">
        <f>IFERROR(IF(ISNUMBER(Raw!G1007),TRUE,OR(EXACT(L1007,TEXT(M1007,"0.00")),EXACT(L1007,TEXT(M1007,"#,##0.00")))),FALSE)</f>
        <v>1</v>
      </c>
      <c r="P1007" s="1" t="str">
        <f>LEN(IF(Raw!A1007="","",Raw!A1007))&amp;":"&amp;IF(Raw!A1007="","",Raw!A1007)&amp;"|"&amp;LEN(IF(Raw!B1007="","",Raw!B1007))&amp;":"&amp;IF(Raw!B1007="","",Raw!B1007)&amp;"|"&amp;LEN(IF(Raw!C1007="","",Raw!C1007))&amp;":"&amp;IF(Raw!C1007="","",Raw!C1007)&amp;"|"&amp;LEN(IF(Raw!D1007="","",Raw!D1007))&amp;":"&amp;IF(Raw!D1007="","",Raw!D1007)&amp;"|"&amp;LEN(IF(Raw!E1007="","",Raw!E1007))&amp;":"&amp;IF(Raw!E1007="","",Raw!E1007)&amp;"|"&amp;LEN(IF(Raw!F1007="","",Raw!F1007))&amp;":"&amp;IF(Raw!F1007="","",Raw!F1007)&amp;"|"&amp;LEN(IF(Raw!G1007="","",Raw!G1007))&amp;":"&amp;IF(Raw!G1007="","",Raw!G1007)</f>
        <v>6:L01001|6:T00501|10:2026-03-22|3:P-H|4:Home|4:sale|5:14.99</v>
      </c>
      <c r="Q1007" s="1">
        <f>1</f>
        <v>1</v>
      </c>
      <c r="R1007" s="1" t="b">
        <f>FALSE</f>
        <v>0</v>
      </c>
      <c r="S1007" s="1">
        <f>1</f>
        <v>1</v>
      </c>
      <c r="T1007" s="1" t="str">
        <f>IF(AND(Raw!A1007="",Raw!B1007="",Raw!C1007="",Raw!D1007="",Raw!E1007="",Raw!F1007="",Raw!G1007=""),"UNUSED",IF(A1007="","missing line ID",IF(B1007="","missing transaction ID",IF(G1007="",IF(C1007="","missing date","invalid date"),IF(I1007="","unknown product",IF(J1007="","conflicting category",IF(NOT(OR(EXACT(K1007,"sale"),EXACT(K1007,"refund"))),"unknown event",IF(OR(N1007="",NOT(O1007)),"invalid amount",IF(OR(AND(K1007="sale",N1007&lt;=0),AND(K1007="refund",N1007&gt;=0)),"invalid sign","")))))))))</f>
        <v/>
      </c>
      <c r="U1007" s="1" t="str">
        <f t="shared" si="125"/>
        <v>INCLUDED</v>
      </c>
      <c r="V1007" s="1" t="str">
        <f t="shared" si="126"/>
        <v>2026-03</v>
      </c>
      <c r="W1007" s="1">
        <f>IF(AND(U1007="INCLUDED",X1007&gt;0,EXACT(A1007,'AI output'!A1007)),1,0)</f>
        <v>1</v>
      </c>
      <c r="X1007" s="1">
        <f>1007</f>
        <v>1007</v>
      </c>
      <c r="Y1007" s="1">
        <f>IF(AND(U1007="INCLUDED",W1007=1),--(NOT(EXACT(A1007,'AI output'!A1007)))+--(NOT(EXACT(B1007,'AI output'!B1007)))+--(NOT(EXACT(TEXT(G1007,"yyyy-mm-dd"),'AI output'!C1007)))+--(NOT(EXACT(H1007,'AI output'!D1007)))+--(NOT(EXACT(J1007,'AI output'!E1007)))+--(NOT(EXACT(K1007,'AI output'!F1007)))+--(N1007&lt;&gt;'AI output'!L1007)+--(NOT('AI output'!M1007)),0)</f>
        <v>0</v>
      </c>
      <c r="Z1007" s="1">
        <f t="shared" si="127"/>
        <v>0</v>
      </c>
      <c r="AA1007" s="1">
        <f>--EXACT(A1007,"L01001")</f>
        <v>1</v>
      </c>
    </row>
    <row r="1008" spans="1:27" ht="18.95" customHeight="1">
      <c r="A1008" s="1" t="str">
        <f>IF(Raw!A1008="","",Raw!A1008)</f>
        <v>L01002</v>
      </c>
      <c r="B1008" s="1" t="str">
        <f>IF(Raw!B1008="","",Raw!B1008)</f>
        <v>T00501</v>
      </c>
      <c r="C1008" s="1" t="str">
        <f>IF(Raw!C1008="","",Raw!C1008)</f>
        <v>2026-03-22</v>
      </c>
      <c r="D1008" s="1">
        <f t="shared" si="120"/>
        <v>2026</v>
      </c>
      <c r="E1008" s="1">
        <f>IFERROR(IF(AND(LEN(C1008)=10,MID(C1008,5,1)="-",MID(C1008,8,1)="-"),VALUE(MID(C1008,6,2)),IF(AND(LEN(C1008)=11,MID(C1008,3,1)="-",MID(C1008,7,1)="-"),MATCH(UPPER(MID(C1008,4,3)),Guide!$D$7:$D$18,0),0)),0)</f>
        <v>3</v>
      </c>
      <c r="F1008" s="1">
        <f t="shared" si="121"/>
        <v>22</v>
      </c>
      <c r="G1008" s="9">
        <f t="shared" si="122"/>
        <v>46103</v>
      </c>
      <c r="H1008" s="1" t="str">
        <f>IF(Raw!D1008="","",Raw!D1008)</f>
        <v>P-O</v>
      </c>
      <c r="I1008" s="1" t="str">
        <f>IFERROR(IF(EXACT(H1008,INDEX(Guide!$A$7:$A$9,MATCH(SUBSTITUTE(SUBSTITUTE(SUBSTITUTE(H1008,"~","~~"),"*","~*"),"?","~?"),Guide!$A$7:$A$9,0))),INDEX(Guide!$B$7:$B$9,MATCH(SUBSTITUTE(SUBSTITUTE(SUBSTITUTE(H1008,"~","~~"),"*","~*"),"?","~?"),Guide!$A$7:$A$9,0)),""),"")</f>
        <v>Office</v>
      </c>
      <c r="J1008" s="1" t="str">
        <f>IF(TRIM(Raw!E1008)="",I1008,IF(UPPER(TRIM(Raw!E1008))=UPPER(I1008),I1008,""))</f>
        <v>Office</v>
      </c>
      <c r="K1008" s="1" t="str">
        <f>IF(Raw!F1008="","",Raw!F1008)</f>
        <v>sale</v>
      </c>
      <c r="L1008" s="1" t="str">
        <f>IF(LEFT(TRIM(Raw!G1008),2)="-$","-"&amp;MID(TRIM(Raw!G1008),3,99),IF(LEFT(TRIM(Raw!G1008),1)="$",MID(TRIM(Raw!G1008),2,99),TRIM(Raw!G1008)))</f>
        <v>46.08</v>
      </c>
      <c r="M1008" s="1">
        <f t="shared" si="123"/>
        <v>46.08</v>
      </c>
      <c r="N1008" s="10">
        <f t="shared" si="124"/>
        <v>4608</v>
      </c>
      <c r="O1008" s="1" t="b">
        <f>IFERROR(IF(ISNUMBER(Raw!G1008),TRUE,OR(EXACT(L1008,TEXT(M1008,"0.00")),EXACT(L1008,TEXT(M1008,"#,##0.00")))),FALSE)</f>
        <v>1</v>
      </c>
      <c r="P1008" s="1" t="str">
        <f>LEN(IF(Raw!A1008="","",Raw!A1008))&amp;":"&amp;IF(Raw!A1008="","",Raw!A1008)&amp;"|"&amp;LEN(IF(Raw!B1008="","",Raw!B1008))&amp;":"&amp;IF(Raw!B1008="","",Raw!B1008)&amp;"|"&amp;LEN(IF(Raw!C1008="","",Raw!C1008))&amp;":"&amp;IF(Raw!C1008="","",Raw!C1008)&amp;"|"&amp;LEN(IF(Raw!D1008="","",Raw!D1008))&amp;":"&amp;IF(Raw!D1008="","",Raw!D1008)&amp;"|"&amp;LEN(IF(Raw!E1008="","",Raw!E1008))&amp;":"&amp;IF(Raw!E1008="","",Raw!E1008)&amp;"|"&amp;LEN(IF(Raw!F1008="","",Raw!F1008))&amp;":"&amp;IF(Raw!F1008="","",Raw!F1008)&amp;"|"&amp;LEN(IF(Raw!G1008="","",Raw!G1008))&amp;":"&amp;IF(Raw!G1008="","",Raw!G1008)</f>
        <v>6:L01002|6:T00501|10:2026-03-22|3:P-O|6:Office|4:sale|5:46.08</v>
      </c>
      <c r="Q1008" s="1">
        <f>1</f>
        <v>1</v>
      </c>
      <c r="R1008" s="1" t="b">
        <f>FALSE</f>
        <v>0</v>
      </c>
      <c r="S1008" s="1">
        <f>1</f>
        <v>1</v>
      </c>
      <c r="T1008" s="1" t="str">
        <f>IF(AND(Raw!A1008="",Raw!B1008="",Raw!C1008="",Raw!D1008="",Raw!E1008="",Raw!F1008="",Raw!G1008=""),"UNUSED",IF(A1008="","missing line ID",IF(B1008="","missing transaction ID",IF(G1008="",IF(C1008="","missing date","invalid date"),IF(I1008="","unknown product",IF(J1008="","conflicting category",IF(NOT(OR(EXACT(K1008,"sale"),EXACT(K1008,"refund"))),"unknown event",IF(OR(N1008="",NOT(O1008)),"invalid amount",IF(OR(AND(K1008="sale",N1008&lt;=0),AND(K1008="refund",N1008&gt;=0)),"invalid sign","")))))))))</f>
        <v/>
      </c>
      <c r="U1008" s="1" t="str">
        <f t="shared" si="125"/>
        <v>INCLUDED</v>
      </c>
      <c r="V1008" s="1" t="str">
        <f t="shared" si="126"/>
        <v>2026-03</v>
      </c>
      <c r="W1008" s="1">
        <f>IF(AND(U1008="INCLUDED",X1008&gt;0,EXACT(A1008,'AI output'!A1008)),1,0)</f>
        <v>1</v>
      </c>
      <c r="X1008" s="1">
        <f>1008</f>
        <v>1008</v>
      </c>
      <c r="Y1008" s="1">
        <f>IF(AND(U1008="INCLUDED",W1008=1),--(NOT(EXACT(A1008,'AI output'!A1008)))+--(NOT(EXACT(B1008,'AI output'!B1008)))+--(NOT(EXACT(TEXT(G1008,"yyyy-mm-dd"),'AI output'!C1008)))+--(NOT(EXACT(H1008,'AI output'!D1008)))+--(NOT(EXACT(J1008,'AI output'!E1008)))+--(NOT(EXACT(K1008,'AI output'!F1008)))+--(N1008&lt;&gt;'AI output'!L1008)+--(NOT('AI output'!M1008)),0)</f>
        <v>0</v>
      </c>
      <c r="Z1008" s="1">
        <f t="shared" si="127"/>
        <v>0</v>
      </c>
      <c r="AA1008" s="1">
        <f>--EXACT(A1008,"L01002")</f>
        <v>1</v>
      </c>
    </row>
    <row r="1009" spans="1:27" ht="18.95" customHeight="1">
      <c r="A1009" s="1" t="str">
        <f>IF(Raw!A1009="","",Raw!A1009)</f>
        <v>L01003</v>
      </c>
      <c r="B1009" s="1" t="str">
        <f>IF(Raw!B1009="","",Raw!B1009)</f>
        <v>T00502</v>
      </c>
      <c r="C1009" s="1" t="str">
        <f>IF(Raw!C1009="","",Raw!C1009)</f>
        <v>2026-03-29</v>
      </c>
      <c r="D1009" s="1">
        <f t="shared" si="120"/>
        <v>2026</v>
      </c>
      <c r="E1009" s="1">
        <f>IFERROR(IF(AND(LEN(C1009)=10,MID(C1009,5,1)="-",MID(C1009,8,1)="-"),VALUE(MID(C1009,6,2)),IF(AND(LEN(C1009)=11,MID(C1009,3,1)="-",MID(C1009,7,1)="-"),MATCH(UPPER(MID(C1009,4,3)),Guide!$D$7:$D$18,0),0)),0)</f>
        <v>3</v>
      </c>
      <c r="F1009" s="1">
        <f t="shared" si="121"/>
        <v>29</v>
      </c>
      <c r="G1009" s="9">
        <f t="shared" si="122"/>
        <v>46110</v>
      </c>
      <c r="H1009" s="1" t="str">
        <f>IF(Raw!D1009="","",Raw!D1009)</f>
        <v>P-A</v>
      </c>
      <c r="I1009" s="1" t="str">
        <f>IFERROR(IF(EXACT(H1009,INDEX(Guide!$A$7:$A$9,MATCH(SUBSTITUTE(SUBSTITUTE(SUBSTITUTE(H1009,"~","~~"),"*","~*"),"?","~?"),Guide!$A$7:$A$9,0))),INDEX(Guide!$B$7:$B$9,MATCH(SUBSTITUTE(SUBSTITUTE(SUBSTITUTE(H1009,"~","~~"),"*","~*"),"?","~?"),Guide!$A$7:$A$9,0)),""),"")</f>
        <v>Accessories</v>
      </c>
      <c r="J1009" s="1" t="str">
        <f>IF(TRIM(Raw!E1009)="",I1009,IF(UPPER(TRIM(Raw!E1009))=UPPER(I1009),I1009,""))</f>
        <v>Accessories</v>
      </c>
      <c r="K1009" s="1" t="str">
        <f>IF(Raw!F1009="","",Raw!F1009)</f>
        <v>sale</v>
      </c>
      <c r="L1009" s="1" t="str">
        <f>IF(LEFT(TRIM(Raw!G1009),2)="-$","-"&amp;MID(TRIM(Raw!G1009),3,99),IF(LEFT(TRIM(Raw!G1009),1)="$",MID(TRIM(Raw!G1009),2,99),TRIM(Raw!G1009)))</f>
        <v>78.65</v>
      </c>
      <c r="M1009" s="1">
        <f t="shared" si="123"/>
        <v>78.650000000000006</v>
      </c>
      <c r="N1009" s="10">
        <f t="shared" si="124"/>
        <v>7865</v>
      </c>
      <c r="O1009" s="1" t="b">
        <f>IFERROR(IF(ISNUMBER(Raw!G1009),TRUE,OR(EXACT(L1009,TEXT(M1009,"0.00")),EXACT(L1009,TEXT(M1009,"#,##0.00")))),FALSE)</f>
        <v>1</v>
      </c>
      <c r="P1009" s="1" t="str">
        <f>LEN(IF(Raw!A1009="","",Raw!A1009))&amp;":"&amp;IF(Raw!A1009="","",Raw!A1009)&amp;"|"&amp;LEN(IF(Raw!B1009="","",Raw!B1009))&amp;":"&amp;IF(Raw!B1009="","",Raw!B1009)&amp;"|"&amp;LEN(IF(Raw!C1009="","",Raw!C1009))&amp;":"&amp;IF(Raw!C1009="","",Raw!C1009)&amp;"|"&amp;LEN(IF(Raw!D1009="","",Raw!D1009))&amp;":"&amp;IF(Raw!D1009="","",Raw!D1009)&amp;"|"&amp;LEN(IF(Raw!E1009="","",Raw!E1009))&amp;":"&amp;IF(Raw!E1009="","",Raw!E1009)&amp;"|"&amp;LEN(IF(Raw!F1009="","",Raw!F1009))&amp;":"&amp;IF(Raw!F1009="","",Raw!F1009)&amp;"|"&amp;LEN(IF(Raw!G1009="","",Raw!G1009))&amp;":"&amp;IF(Raw!G1009="","",Raw!G1009)</f>
        <v>6:L01003|6:T00502|10:2026-03-29|3:P-A|11:Accessories|4:sale|5:78.65</v>
      </c>
      <c r="Q1009" s="1">
        <f>1</f>
        <v>1</v>
      </c>
      <c r="R1009" s="1" t="b">
        <f>FALSE</f>
        <v>0</v>
      </c>
      <c r="S1009" s="1">
        <f>1</f>
        <v>1</v>
      </c>
      <c r="T1009" s="1" t="str">
        <f>IF(AND(Raw!A1009="",Raw!B1009="",Raw!C1009="",Raw!D1009="",Raw!E1009="",Raw!F1009="",Raw!G1009=""),"UNUSED",IF(A1009="","missing line ID",IF(B1009="","missing transaction ID",IF(G1009="",IF(C1009="","missing date","invalid date"),IF(I1009="","unknown product",IF(J1009="","conflicting category",IF(NOT(OR(EXACT(K1009,"sale"),EXACT(K1009,"refund"))),"unknown event",IF(OR(N1009="",NOT(O1009)),"invalid amount",IF(OR(AND(K1009="sale",N1009&lt;=0),AND(K1009="refund",N1009&gt;=0)),"invalid sign","")))))))))</f>
        <v/>
      </c>
      <c r="U1009" s="1" t="str">
        <f t="shared" si="125"/>
        <v>INCLUDED</v>
      </c>
      <c r="V1009" s="1" t="str">
        <f t="shared" si="126"/>
        <v>2026-03</v>
      </c>
      <c r="W1009" s="1">
        <f>IF(AND(U1009="INCLUDED",X1009&gt;0,EXACT(A1009,'AI output'!A1009)),1,0)</f>
        <v>1</v>
      </c>
      <c r="X1009" s="1">
        <f>1009</f>
        <v>1009</v>
      </c>
      <c r="Y1009" s="1">
        <f>IF(AND(U1009="INCLUDED",W1009=1),--(NOT(EXACT(A1009,'AI output'!A1009)))+--(NOT(EXACT(B1009,'AI output'!B1009)))+--(NOT(EXACT(TEXT(G1009,"yyyy-mm-dd"),'AI output'!C1009)))+--(NOT(EXACT(H1009,'AI output'!D1009)))+--(NOT(EXACT(J1009,'AI output'!E1009)))+--(NOT(EXACT(K1009,'AI output'!F1009)))+--(N1009&lt;&gt;'AI output'!L1009)+--(NOT('AI output'!M1009)),0)</f>
        <v>0</v>
      </c>
      <c r="Z1009" s="1">
        <f t="shared" si="127"/>
        <v>0</v>
      </c>
      <c r="AA1009" s="1">
        <f>--EXACT(A1009,"L01003")</f>
        <v>1</v>
      </c>
    </row>
    <row r="1010" spans="1:27" ht="18.95" customHeight="1">
      <c r="A1010" s="1" t="str">
        <f>IF(Raw!A1010="","",Raw!A1010)</f>
        <v>L01004</v>
      </c>
      <c r="B1010" s="1" t="str">
        <f>IF(Raw!B1010="","",Raw!B1010)</f>
        <v>T00502</v>
      </c>
      <c r="C1010" s="1" t="str">
        <f>IF(Raw!C1010="","",Raw!C1010)</f>
        <v>2026-03-29</v>
      </c>
      <c r="D1010" s="1">
        <f t="shared" si="120"/>
        <v>2026</v>
      </c>
      <c r="E1010" s="1">
        <f>IFERROR(IF(AND(LEN(C1010)=10,MID(C1010,5,1)="-",MID(C1010,8,1)="-"),VALUE(MID(C1010,6,2)),IF(AND(LEN(C1010)=11,MID(C1010,3,1)="-",MID(C1010,7,1)="-"),MATCH(UPPER(MID(C1010,4,3)),Guide!$D$7:$D$18,0),0)),0)</f>
        <v>3</v>
      </c>
      <c r="F1010" s="1">
        <f t="shared" si="121"/>
        <v>29</v>
      </c>
      <c r="G1010" s="9">
        <f t="shared" si="122"/>
        <v>46110</v>
      </c>
      <c r="H1010" s="1" t="str">
        <f>IF(Raw!D1010="","",Raw!D1010)</f>
        <v>P-H</v>
      </c>
      <c r="I1010" s="1" t="str">
        <f>IFERROR(IF(EXACT(H1010,INDEX(Guide!$A$7:$A$9,MATCH(SUBSTITUTE(SUBSTITUTE(SUBSTITUTE(H1010,"~","~~"),"*","~*"),"?","~?"),Guide!$A$7:$A$9,0))),INDEX(Guide!$B$7:$B$9,MATCH(SUBSTITUTE(SUBSTITUTE(SUBSTITUTE(H1010,"~","~~"),"*","~*"),"?","~?"),Guide!$A$7:$A$9,0)),""),"")</f>
        <v>Home</v>
      </c>
      <c r="J1010" s="1" t="str">
        <f>IF(TRIM(Raw!E1010)="",I1010,IF(UPPER(TRIM(Raw!E1010))=UPPER(I1010),I1010,""))</f>
        <v>Home</v>
      </c>
      <c r="K1010" s="1" t="str">
        <f>IF(Raw!F1010="","",Raw!F1010)</f>
        <v>sale</v>
      </c>
      <c r="L1010" s="1" t="str">
        <f>IF(LEFT(TRIM(Raw!G1010),2)="-$","-"&amp;MID(TRIM(Raw!G1010),3,99),IF(LEFT(TRIM(Raw!G1010),1)="$",MID(TRIM(Raw!G1010),2,99),TRIM(Raw!G1010)))</f>
        <v>32.20</v>
      </c>
      <c r="M1010" s="1">
        <f t="shared" si="123"/>
        <v>32.200000000000003</v>
      </c>
      <c r="N1010" s="10">
        <f t="shared" si="124"/>
        <v>3220</v>
      </c>
      <c r="O1010" s="1" t="b">
        <f>IFERROR(IF(ISNUMBER(Raw!G1010),TRUE,OR(EXACT(L1010,TEXT(M1010,"0.00")),EXACT(L1010,TEXT(M1010,"#,##0.00")))),FALSE)</f>
        <v>1</v>
      </c>
      <c r="P1010" s="1" t="str">
        <f>LEN(IF(Raw!A1010="","",Raw!A1010))&amp;":"&amp;IF(Raw!A1010="","",Raw!A1010)&amp;"|"&amp;LEN(IF(Raw!B1010="","",Raw!B1010))&amp;":"&amp;IF(Raw!B1010="","",Raw!B1010)&amp;"|"&amp;LEN(IF(Raw!C1010="","",Raw!C1010))&amp;":"&amp;IF(Raw!C1010="","",Raw!C1010)&amp;"|"&amp;LEN(IF(Raw!D1010="","",Raw!D1010))&amp;":"&amp;IF(Raw!D1010="","",Raw!D1010)&amp;"|"&amp;LEN(IF(Raw!E1010="","",Raw!E1010))&amp;":"&amp;IF(Raw!E1010="","",Raw!E1010)&amp;"|"&amp;LEN(IF(Raw!F1010="","",Raw!F1010))&amp;":"&amp;IF(Raw!F1010="","",Raw!F1010)&amp;"|"&amp;LEN(IF(Raw!G1010="","",Raw!G1010))&amp;":"&amp;IF(Raw!G1010="","",Raw!G1010)</f>
        <v>6:L01004|6:T00502|10:2026-03-29|3:P-H|4:Home|4:sale|5:32.20</v>
      </c>
      <c r="Q1010" s="1">
        <f>1</f>
        <v>1</v>
      </c>
      <c r="R1010" s="1" t="b">
        <f>FALSE</f>
        <v>0</v>
      </c>
      <c r="S1010" s="1">
        <f>1</f>
        <v>1</v>
      </c>
      <c r="T1010" s="1" t="str">
        <f>IF(AND(Raw!A1010="",Raw!B1010="",Raw!C1010="",Raw!D1010="",Raw!E1010="",Raw!F1010="",Raw!G1010=""),"UNUSED",IF(A1010="","missing line ID",IF(B1010="","missing transaction ID",IF(G1010="",IF(C1010="","missing date","invalid date"),IF(I1010="","unknown product",IF(J1010="","conflicting category",IF(NOT(OR(EXACT(K1010,"sale"),EXACT(K1010,"refund"))),"unknown event",IF(OR(N1010="",NOT(O1010)),"invalid amount",IF(OR(AND(K1010="sale",N1010&lt;=0),AND(K1010="refund",N1010&gt;=0)),"invalid sign","")))))))))</f>
        <v/>
      </c>
      <c r="U1010" s="1" t="str">
        <f t="shared" si="125"/>
        <v>INCLUDED</v>
      </c>
      <c r="V1010" s="1" t="str">
        <f t="shared" si="126"/>
        <v>2026-03</v>
      </c>
      <c r="W1010" s="1">
        <f>IF(AND(U1010="INCLUDED",X1010&gt;0,EXACT(A1010,'AI output'!A1010)),1,0)</f>
        <v>1</v>
      </c>
      <c r="X1010" s="1">
        <f>1010</f>
        <v>1010</v>
      </c>
      <c r="Y1010" s="1">
        <f>IF(AND(U1010="INCLUDED",W1010=1),--(NOT(EXACT(A1010,'AI output'!A1010)))+--(NOT(EXACT(B1010,'AI output'!B1010)))+--(NOT(EXACT(TEXT(G1010,"yyyy-mm-dd"),'AI output'!C1010)))+--(NOT(EXACT(H1010,'AI output'!D1010)))+--(NOT(EXACT(J1010,'AI output'!E1010)))+--(NOT(EXACT(K1010,'AI output'!F1010)))+--(N1010&lt;&gt;'AI output'!L1010)+--(NOT('AI output'!M1010)),0)</f>
        <v>0</v>
      </c>
      <c r="Z1010" s="1">
        <f t="shared" si="127"/>
        <v>0</v>
      </c>
      <c r="AA1010" s="1">
        <f>--EXACT(A1010,"L01004")</f>
        <v>1</v>
      </c>
    </row>
    <row r="1011" spans="1:27" ht="18.95" customHeight="1">
      <c r="A1011" s="1" t="str">
        <f>IF(Raw!A1011="","",Raw!A1011)</f>
        <v>L01005</v>
      </c>
      <c r="B1011" s="1" t="str">
        <f>IF(Raw!B1011="","",Raw!B1011)</f>
        <v>T00503</v>
      </c>
      <c r="C1011" s="1" t="str">
        <f>IF(Raw!C1011="","",Raw!C1011)</f>
        <v>2026-01-05</v>
      </c>
      <c r="D1011" s="1">
        <f t="shared" si="120"/>
        <v>2026</v>
      </c>
      <c r="E1011" s="1">
        <f>IFERROR(IF(AND(LEN(C1011)=10,MID(C1011,5,1)="-",MID(C1011,8,1)="-"),VALUE(MID(C1011,6,2)),IF(AND(LEN(C1011)=11,MID(C1011,3,1)="-",MID(C1011,7,1)="-"),MATCH(UPPER(MID(C1011,4,3)),Guide!$D$7:$D$18,0),0)),0)</f>
        <v>1</v>
      </c>
      <c r="F1011" s="1">
        <f t="shared" si="121"/>
        <v>5</v>
      </c>
      <c r="G1011" s="9">
        <f t="shared" si="122"/>
        <v>46027</v>
      </c>
      <c r="H1011" s="1" t="str">
        <f>IF(Raw!D1011="","",Raw!D1011)</f>
        <v>P-O</v>
      </c>
      <c r="I1011" s="1" t="str">
        <f>IFERROR(IF(EXACT(H1011,INDEX(Guide!$A$7:$A$9,MATCH(SUBSTITUTE(SUBSTITUTE(SUBSTITUTE(H1011,"~","~~"),"*","~*"),"?","~?"),Guide!$A$7:$A$9,0))),INDEX(Guide!$B$7:$B$9,MATCH(SUBSTITUTE(SUBSTITUTE(SUBSTITUTE(H1011,"~","~~"),"*","~*"),"?","~?"),Guide!$A$7:$A$9,0)),""),"")</f>
        <v>Office</v>
      </c>
      <c r="J1011" s="1" t="str">
        <f>IF(TRIM(Raw!E1011)="",I1011,IF(UPPER(TRIM(Raw!E1011))=UPPER(I1011),I1011,""))</f>
        <v>Office</v>
      </c>
      <c r="K1011" s="1" t="str">
        <f>IF(Raw!F1011="","",Raw!F1011)</f>
        <v>sale</v>
      </c>
      <c r="L1011" s="1" t="str">
        <f>IF(LEFT(TRIM(Raw!G1011),2)="-$","-"&amp;MID(TRIM(Raw!G1011),3,99),IF(LEFT(TRIM(Raw!G1011),1)="$",MID(TRIM(Raw!G1011),2,99),TRIM(Raw!G1011)))</f>
        <v>65.88</v>
      </c>
      <c r="M1011" s="1">
        <f t="shared" si="123"/>
        <v>65.88</v>
      </c>
      <c r="N1011" s="10">
        <f t="shared" si="124"/>
        <v>6588</v>
      </c>
      <c r="O1011" s="1" t="b">
        <f>IFERROR(IF(ISNUMBER(Raw!G1011),TRUE,OR(EXACT(L1011,TEXT(M1011,"0.00")),EXACT(L1011,TEXT(M1011,"#,##0.00")))),FALSE)</f>
        <v>1</v>
      </c>
      <c r="P1011" s="1" t="str">
        <f>LEN(IF(Raw!A1011="","",Raw!A1011))&amp;":"&amp;IF(Raw!A1011="","",Raw!A1011)&amp;"|"&amp;LEN(IF(Raw!B1011="","",Raw!B1011))&amp;":"&amp;IF(Raw!B1011="","",Raw!B1011)&amp;"|"&amp;LEN(IF(Raw!C1011="","",Raw!C1011))&amp;":"&amp;IF(Raw!C1011="","",Raw!C1011)&amp;"|"&amp;LEN(IF(Raw!D1011="","",Raw!D1011))&amp;":"&amp;IF(Raw!D1011="","",Raw!D1011)&amp;"|"&amp;LEN(IF(Raw!E1011="","",Raw!E1011))&amp;":"&amp;IF(Raw!E1011="","",Raw!E1011)&amp;"|"&amp;LEN(IF(Raw!F1011="","",Raw!F1011))&amp;":"&amp;IF(Raw!F1011="","",Raw!F1011)&amp;"|"&amp;LEN(IF(Raw!G1011="","",Raw!G1011))&amp;":"&amp;IF(Raw!G1011="","",Raw!G1011)</f>
        <v>6:L01005|6:T00503|10:2026-01-05|3:P-O|6:Office|4:sale|5:65.88</v>
      </c>
      <c r="Q1011" s="1">
        <f>1</f>
        <v>1</v>
      </c>
      <c r="R1011" s="1" t="b">
        <f>FALSE</f>
        <v>0</v>
      </c>
      <c r="S1011" s="1">
        <f>1</f>
        <v>1</v>
      </c>
      <c r="T1011" s="1" t="str">
        <f>IF(AND(Raw!A1011="",Raw!B1011="",Raw!C1011="",Raw!D1011="",Raw!E1011="",Raw!F1011="",Raw!G1011=""),"UNUSED",IF(A1011="","missing line ID",IF(B1011="","missing transaction ID",IF(G1011="",IF(C1011="","missing date","invalid date"),IF(I1011="","unknown product",IF(J1011="","conflicting category",IF(NOT(OR(EXACT(K1011,"sale"),EXACT(K1011,"refund"))),"unknown event",IF(OR(N1011="",NOT(O1011)),"invalid amount",IF(OR(AND(K1011="sale",N1011&lt;=0),AND(K1011="refund",N1011&gt;=0)),"invalid sign","")))))))))</f>
        <v/>
      </c>
      <c r="U1011" s="1" t="str">
        <f t="shared" si="125"/>
        <v>INCLUDED</v>
      </c>
      <c r="V1011" s="1" t="str">
        <f t="shared" si="126"/>
        <v>2026-01</v>
      </c>
      <c r="W1011" s="1">
        <f>IF(AND(U1011="INCLUDED",X1011&gt;0,EXACT(A1011,'AI output'!A1011)),1,0)</f>
        <v>1</v>
      </c>
      <c r="X1011" s="1">
        <f>1011</f>
        <v>1011</v>
      </c>
      <c r="Y1011" s="1">
        <f>IF(AND(U1011="INCLUDED",W1011=1),--(NOT(EXACT(A1011,'AI output'!A1011)))+--(NOT(EXACT(B1011,'AI output'!B1011)))+--(NOT(EXACT(TEXT(G1011,"yyyy-mm-dd"),'AI output'!C1011)))+--(NOT(EXACT(H1011,'AI output'!D1011)))+--(NOT(EXACT(J1011,'AI output'!E1011)))+--(NOT(EXACT(K1011,'AI output'!F1011)))+--(N1011&lt;&gt;'AI output'!L1011)+--(NOT('AI output'!M1011)),0)</f>
        <v>0</v>
      </c>
      <c r="Z1011" s="1">
        <f t="shared" si="127"/>
        <v>0</v>
      </c>
      <c r="AA1011" s="1">
        <f>--EXACT(A1011,"L01005")</f>
        <v>1</v>
      </c>
    </row>
    <row r="1012" spans="1:27" ht="18.95" customHeight="1">
      <c r="A1012" s="1" t="str">
        <f>IF(Raw!A1012="","",Raw!A1012)</f>
        <v>L01006</v>
      </c>
      <c r="B1012" s="1" t="str">
        <f>IF(Raw!B1012="","",Raw!B1012)</f>
        <v>T00503</v>
      </c>
      <c r="C1012" s="1" t="str">
        <f>IF(Raw!C1012="","",Raw!C1012)</f>
        <v>2026-01-05</v>
      </c>
      <c r="D1012" s="1">
        <f t="shared" si="120"/>
        <v>2026</v>
      </c>
      <c r="E1012" s="1">
        <f>IFERROR(IF(AND(LEN(C1012)=10,MID(C1012,5,1)="-",MID(C1012,8,1)="-"),VALUE(MID(C1012,6,2)),IF(AND(LEN(C1012)=11,MID(C1012,3,1)="-",MID(C1012,7,1)="-"),MATCH(UPPER(MID(C1012,4,3)),Guide!$D$7:$D$18,0),0)),0)</f>
        <v>1</v>
      </c>
      <c r="F1012" s="1">
        <f t="shared" si="121"/>
        <v>5</v>
      </c>
      <c r="G1012" s="9">
        <f t="shared" si="122"/>
        <v>46027</v>
      </c>
      <c r="H1012" s="1" t="str">
        <f>IF(Raw!D1012="","",Raw!D1012)</f>
        <v>P-A</v>
      </c>
      <c r="I1012" s="1" t="str">
        <f>IFERROR(IF(EXACT(H1012,INDEX(Guide!$A$7:$A$9,MATCH(SUBSTITUTE(SUBSTITUTE(SUBSTITUTE(H1012,"~","~~"),"*","~*"),"?","~?"),Guide!$A$7:$A$9,0))),INDEX(Guide!$B$7:$B$9,MATCH(SUBSTITUTE(SUBSTITUTE(SUBSTITUTE(H1012,"~","~~"),"*","~*"),"?","~?"),Guide!$A$7:$A$9,0)),""),"")</f>
        <v>Accessories</v>
      </c>
      <c r="J1012" s="1" t="str">
        <f>IF(TRIM(Raw!E1012)="",I1012,IF(UPPER(TRIM(Raw!E1012))=UPPER(I1012),I1012,""))</f>
        <v>Accessories</v>
      </c>
      <c r="K1012" s="1" t="str">
        <f>IF(Raw!F1012="","",Raw!F1012)</f>
        <v>sale</v>
      </c>
      <c r="L1012" s="1" t="str">
        <f>IF(LEFT(TRIM(Raw!G1012),2)="-$","-"&amp;MID(TRIM(Raw!G1012),3,99),IF(LEFT(TRIM(Raw!G1012),1)="$",MID(TRIM(Raw!G1012),2,99),TRIM(Raw!G1012)))</f>
        <v>16.84</v>
      </c>
      <c r="M1012" s="1">
        <f t="shared" si="123"/>
        <v>16.84</v>
      </c>
      <c r="N1012" s="10">
        <f t="shared" si="124"/>
        <v>1684</v>
      </c>
      <c r="O1012" s="1" t="b">
        <f>IFERROR(IF(ISNUMBER(Raw!G1012),TRUE,OR(EXACT(L1012,TEXT(M1012,"0.00")),EXACT(L1012,TEXT(M1012,"#,##0.00")))),FALSE)</f>
        <v>1</v>
      </c>
      <c r="P1012" s="1" t="str">
        <f>LEN(IF(Raw!A1012="","",Raw!A1012))&amp;":"&amp;IF(Raw!A1012="","",Raw!A1012)&amp;"|"&amp;LEN(IF(Raw!B1012="","",Raw!B1012))&amp;":"&amp;IF(Raw!B1012="","",Raw!B1012)&amp;"|"&amp;LEN(IF(Raw!C1012="","",Raw!C1012))&amp;":"&amp;IF(Raw!C1012="","",Raw!C1012)&amp;"|"&amp;LEN(IF(Raw!D1012="","",Raw!D1012))&amp;":"&amp;IF(Raw!D1012="","",Raw!D1012)&amp;"|"&amp;LEN(IF(Raw!E1012="","",Raw!E1012))&amp;":"&amp;IF(Raw!E1012="","",Raw!E1012)&amp;"|"&amp;LEN(IF(Raw!F1012="","",Raw!F1012))&amp;":"&amp;IF(Raw!F1012="","",Raw!F1012)&amp;"|"&amp;LEN(IF(Raw!G1012="","",Raw!G1012))&amp;":"&amp;IF(Raw!G1012="","",Raw!G1012)</f>
        <v>6:L01006|6:T00503|10:2026-01-05|3:P-A|11:Accessories|4:sale|5:16.84</v>
      </c>
      <c r="Q1012" s="1">
        <f>1</f>
        <v>1</v>
      </c>
      <c r="R1012" s="1" t="b">
        <f>FALSE</f>
        <v>0</v>
      </c>
      <c r="S1012" s="1">
        <f>1</f>
        <v>1</v>
      </c>
      <c r="T1012" s="1" t="str">
        <f>IF(AND(Raw!A1012="",Raw!B1012="",Raw!C1012="",Raw!D1012="",Raw!E1012="",Raw!F1012="",Raw!G1012=""),"UNUSED",IF(A1012="","missing line ID",IF(B1012="","missing transaction ID",IF(G1012="",IF(C1012="","missing date","invalid date"),IF(I1012="","unknown product",IF(J1012="","conflicting category",IF(NOT(OR(EXACT(K1012,"sale"),EXACT(K1012,"refund"))),"unknown event",IF(OR(N1012="",NOT(O1012)),"invalid amount",IF(OR(AND(K1012="sale",N1012&lt;=0),AND(K1012="refund",N1012&gt;=0)),"invalid sign","")))))))))</f>
        <v/>
      </c>
      <c r="U1012" s="1" t="str">
        <f t="shared" si="125"/>
        <v>INCLUDED</v>
      </c>
      <c r="V1012" s="1" t="str">
        <f t="shared" si="126"/>
        <v>2026-01</v>
      </c>
      <c r="W1012" s="1">
        <f>IF(AND(U1012="INCLUDED",X1012&gt;0,EXACT(A1012,'AI output'!A1012)),1,0)</f>
        <v>1</v>
      </c>
      <c r="X1012" s="1">
        <f>1012</f>
        <v>1012</v>
      </c>
      <c r="Y1012" s="1">
        <f>IF(AND(U1012="INCLUDED",W1012=1),--(NOT(EXACT(A1012,'AI output'!A1012)))+--(NOT(EXACT(B1012,'AI output'!B1012)))+--(NOT(EXACT(TEXT(G1012,"yyyy-mm-dd"),'AI output'!C1012)))+--(NOT(EXACT(H1012,'AI output'!D1012)))+--(NOT(EXACT(J1012,'AI output'!E1012)))+--(NOT(EXACT(K1012,'AI output'!F1012)))+--(N1012&lt;&gt;'AI output'!L1012)+--(NOT('AI output'!M1012)),0)</f>
        <v>0</v>
      </c>
      <c r="Z1012" s="1">
        <f t="shared" si="127"/>
        <v>0</v>
      </c>
      <c r="AA1012" s="1">
        <f>--EXACT(A1012,"L01006")</f>
        <v>1</v>
      </c>
    </row>
    <row r="1013" spans="1:27" ht="18.95" customHeight="1">
      <c r="A1013" s="1" t="str">
        <f>IF(Raw!A1013="","",Raw!A1013)</f>
        <v>L01007</v>
      </c>
      <c r="B1013" s="1" t="str">
        <f>IF(Raw!B1013="","",Raw!B1013)</f>
        <v>T00504</v>
      </c>
      <c r="C1013" s="1" t="str">
        <f>IF(Raw!C1013="","",Raw!C1013)</f>
        <v>2026-01-12</v>
      </c>
      <c r="D1013" s="1">
        <f t="shared" si="120"/>
        <v>2026</v>
      </c>
      <c r="E1013" s="1">
        <f>IFERROR(IF(AND(LEN(C1013)=10,MID(C1013,5,1)="-",MID(C1013,8,1)="-"),VALUE(MID(C1013,6,2)),IF(AND(LEN(C1013)=11,MID(C1013,3,1)="-",MID(C1013,7,1)="-"),MATCH(UPPER(MID(C1013,4,3)),Guide!$D$7:$D$18,0),0)),0)</f>
        <v>1</v>
      </c>
      <c r="F1013" s="1">
        <f t="shared" si="121"/>
        <v>12</v>
      </c>
      <c r="G1013" s="9">
        <f t="shared" si="122"/>
        <v>46034</v>
      </c>
      <c r="H1013" s="1" t="str">
        <f>IF(Raw!D1013="","",Raw!D1013)</f>
        <v>P-H</v>
      </c>
      <c r="I1013" s="1" t="str">
        <f>IFERROR(IF(EXACT(H1013,INDEX(Guide!$A$7:$A$9,MATCH(SUBSTITUTE(SUBSTITUTE(SUBSTITUTE(H1013,"~","~~"),"*","~*"),"?","~?"),Guide!$A$7:$A$9,0))),INDEX(Guide!$B$7:$B$9,MATCH(SUBSTITUTE(SUBSTITUTE(SUBSTITUTE(H1013,"~","~~"),"*","~*"),"?","~?"),Guide!$A$7:$A$9,0)),""),"")</f>
        <v>Home</v>
      </c>
      <c r="J1013" s="1" t="str">
        <f>IF(TRIM(Raw!E1013)="",I1013,IF(UPPER(TRIM(Raw!E1013))=UPPER(I1013),I1013,""))</f>
        <v>Home</v>
      </c>
      <c r="K1013" s="1" t="str">
        <f>IF(Raw!F1013="","",Raw!F1013)</f>
        <v>sale</v>
      </c>
      <c r="L1013" s="1" t="str">
        <f>IF(LEFT(TRIM(Raw!G1013),2)="-$","-"&amp;MID(TRIM(Raw!G1013),3,99),IF(LEFT(TRIM(Raw!G1013),1)="$",MID(TRIM(Raw!G1013),2,99),TRIM(Raw!G1013)))</f>
        <v>51.63</v>
      </c>
      <c r="M1013" s="1">
        <f t="shared" si="123"/>
        <v>51.63</v>
      </c>
      <c r="N1013" s="10">
        <f t="shared" si="124"/>
        <v>5163</v>
      </c>
      <c r="O1013" s="1" t="b">
        <f>IFERROR(IF(ISNUMBER(Raw!G1013),TRUE,OR(EXACT(L1013,TEXT(M1013,"0.00")),EXACT(L1013,TEXT(M1013,"#,##0.00")))),FALSE)</f>
        <v>1</v>
      </c>
      <c r="P1013" s="1" t="str">
        <f>LEN(IF(Raw!A1013="","",Raw!A1013))&amp;":"&amp;IF(Raw!A1013="","",Raw!A1013)&amp;"|"&amp;LEN(IF(Raw!B1013="","",Raw!B1013))&amp;":"&amp;IF(Raw!B1013="","",Raw!B1013)&amp;"|"&amp;LEN(IF(Raw!C1013="","",Raw!C1013))&amp;":"&amp;IF(Raw!C1013="","",Raw!C1013)&amp;"|"&amp;LEN(IF(Raw!D1013="","",Raw!D1013))&amp;":"&amp;IF(Raw!D1013="","",Raw!D1013)&amp;"|"&amp;LEN(IF(Raw!E1013="","",Raw!E1013))&amp;":"&amp;IF(Raw!E1013="","",Raw!E1013)&amp;"|"&amp;LEN(IF(Raw!F1013="","",Raw!F1013))&amp;":"&amp;IF(Raw!F1013="","",Raw!F1013)&amp;"|"&amp;LEN(IF(Raw!G1013="","",Raw!G1013))&amp;":"&amp;IF(Raw!G1013="","",Raw!G1013)</f>
        <v>6:L01007|6:T00504|10:2026-01-12|3:P-H|4:Home|4:sale|5:51.63</v>
      </c>
      <c r="Q1013" s="1">
        <f>1</f>
        <v>1</v>
      </c>
      <c r="R1013" s="1" t="b">
        <f>FALSE</f>
        <v>0</v>
      </c>
      <c r="S1013" s="1">
        <f>1</f>
        <v>1</v>
      </c>
      <c r="T1013" s="1" t="str">
        <f>IF(AND(Raw!A1013="",Raw!B1013="",Raw!C1013="",Raw!D1013="",Raw!E1013="",Raw!F1013="",Raw!G1013=""),"UNUSED",IF(A1013="","missing line ID",IF(B1013="","missing transaction ID",IF(G1013="",IF(C1013="","missing date","invalid date"),IF(I1013="","unknown product",IF(J1013="","conflicting category",IF(NOT(OR(EXACT(K1013,"sale"),EXACT(K1013,"refund"))),"unknown event",IF(OR(N1013="",NOT(O1013)),"invalid amount",IF(OR(AND(K1013="sale",N1013&lt;=0),AND(K1013="refund",N1013&gt;=0)),"invalid sign","")))))))))</f>
        <v/>
      </c>
      <c r="U1013" s="1" t="str">
        <f t="shared" si="125"/>
        <v>INCLUDED</v>
      </c>
      <c r="V1013" s="1" t="str">
        <f t="shared" si="126"/>
        <v>2026-01</v>
      </c>
      <c r="W1013" s="1">
        <f>IF(AND(U1013="INCLUDED",X1013&gt;0,EXACT(A1013,'AI output'!A1013)),1,0)</f>
        <v>1</v>
      </c>
      <c r="X1013" s="1">
        <f>1013</f>
        <v>1013</v>
      </c>
      <c r="Y1013" s="1">
        <f>IF(AND(U1013="INCLUDED",W1013=1),--(NOT(EXACT(A1013,'AI output'!A1013)))+--(NOT(EXACT(B1013,'AI output'!B1013)))+--(NOT(EXACT(TEXT(G1013,"yyyy-mm-dd"),'AI output'!C1013)))+--(NOT(EXACT(H1013,'AI output'!D1013)))+--(NOT(EXACT(J1013,'AI output'!E1013)))+--(NOT(EXACT(K1013,'AI output'!F1013)))+--(N1013&lt;&gt;'AI output'!L1013)+--(NOT('AI output'!M1013)),0)</f>
        <v>0</v>
      </c>
      <c r="Z1013" s="1">
        <f t="shared" si="127"/>
        <v>0</v>
      </c>
      <c r="AA1013" s="1">
        <f>--EXACT(A1013,"L01007")</f>
        <v>1</v>
      </c>
    </row>
    <row r="1014" spans="1:27" ht="18.95" customHeight="1">
      <c r="A1014" s="1" t="str">
        <f>IF(Raw!A1014="","",Raw!A1014)</f>
        <v>L01008</v>
      </c>
      <c r="B1014" s="1" t="str">
        <f>IF(Raw!B1014="","",Raw!B1014)</f>
        <v>T00504</v>
      </c>
      <c r="C1014" s="1" t="str">
        <f>IF(Raw!C1014="","",Raw!C1014)</f>
        <v>2026-01-12</v>
      </c>
      <c r="D1014" s="1">
        <f t="shared" si="120"/>
        <v>2026</v>
      </c>
      <c r="E1014" s="1">
        <f>IFERROR(IF(AND(LEN(C1014)=10,MID(C1014,5,1)="-",MID(C1014,8,1)="-"),VALUE(MID(C1014,6,2)),IF(AND(LEN(C1014)=11,MID(C1014,3,1)="-",MID(C1014,7,1)="-"),MATCH(UPPER(MID(C1014,4,3)),Guide!$D$7:$D$18,0),0)),0)</f>
        <v>1</v>
      </c>
      <c r="F1014" s="1">
        <f t="shared" si="121"/>
        <v>12</v>
      </c>
      <c r="G1014" s="9">
        <f t="shared" si="122"/>
        <v>46034</v>
      </c>
      <c r="H1014" s="1" t="str">
        <f>IF(Raw!D1014="","",Raw!D1014)</f>
        <v>P-O</v>
      </c>
      <c r="I1014" s="1" t="str">
        <f>IFERROR(IF(EXACT(H1014,INDEX(Guide!$A$7:$A$9,MATCH(SUBSTITUTE(SUBSTITUTE(SUBSTITUTE(H1014,"~","~~"),"*","~*"),"?","~?"),Guide!$A$7:$A$9,0))),INDEX(Guide!$B$7:$B$9,MATCH(SUBSTITUTE(SUBSTITUTE(SUBSTITUTE(H1014,"~","~~"),"*","~*"),"?","~?"),Guide!$A$7:$A$9,0)),""),"")</f>
        <v>Office</v>
      </c>
      <c r="J1014" s="1" t="str">
        <f>IF(TRIM(Raw!E1014)="",I1014,IF(UPPER(TRIM(Raw!E1014))=UPPER(I1014),I1014,""))</f>
        <v>Office</v>
      </c>
      <c r="K1014" s="1" t="str">
        <f>IF(Raw!F1014="","",Raw!F1014)</f>
        <v>sale</v>
      </c>
      <c r="L1014" s="1" t="str">
        <f>IF(LEFT(TRIM(Raw!G1014),2)="-$","-"&amp;MID(TRIM(Raw!G1014),3,99),IF(LEFT(TRIM(Raw!G1014),1)="$",MID(TRIM(Raw!G1014),2,99),TRIM(Raw!G1014)))</f>
        <v>87.90</v>
      </c>
      <c r="M1014" s="1">
        <f t="shared" si="123"/>
        <v>87.9</v>
      </c>
      <c r="N1014" s="10">
        <f t="shared" si="124"/>
        <v>8790</v>
      </c>
      <c r="O1014" s="1" t="b">
        <f>IFERROR(IF(ISNUMBER(Raw!G1014),TRUE,OR(EXACT(L1014,TEXT(M1014,"0.00")),EXACT(L1014,TEXT(M1014,"#,##0.00")))),FALSE)</f>
        <v>1</v>
      </c>
      <c r="P1014" s="1" t="str">
        <f>LEN(IF(Raw!A1014="","",Raw!A1014))&amp;":"&amp;IF(Raw!A1014="","",Raw!A1014)&amp;"|"&amp;LEN(IF(Raw!B1014="","",Raw!B1014))&amp;":"&amp;IF(Raw!B1014="","",Raw!B1014)&amp;"|"&amp;LEN(IF(Raw!C1014="","",Raw!C1014))&amp;":"&amp;IF(Raw!C1014="","",Raw!C1014)&amp;"|"&amp;LEN(IF(Raw!D1014="","",Raw!D1014))&amp;":"&amp;IF(Raw!D1014="","",Raw!D1014)&amp;"|"&amp;LEN(IF(Raw!E1014="","",Raw!E1014))&amp;":"&amp;IF(Raw!E1014="","",Raw!E1014)&amp;"|"&amp;LEN(IF(Raw!F1014="","",Raw!F1014))&amp;":"&amp;IF(Raw!F1014="","",Raw!F1014)&amp;"|"&amp;LEN(IF(Raw!G1014="","",Raw!G1014))&amp;":"&amp;IF(Raw!G1014="","",Raw!G1014)</f>
        <v>6:L01008|6:T00504|10:2026-01-12|3:P-O|6:Office|4:sale|5:87.90</v>
      </c>
      <c r="Q1014" s="1">
        <f>1</f>
        <v>1</v>
      </c>
      <c r="R1014" s="1" t="b">
        <f>FALSE</f>
        <v>0</v>
      </c>
      <c r="S1014" s="1">
        <f>1</f>
        <v>1</v>
      </c>
      <c r="T1014" s="1" t="str">
        <f>IF(AND(Raw!A1014="",Raw!B1014="",Raw!C1014="",Raw!D1014="",Raw!E1014="",Raw!F1014="",Raw!G1014=""),"UNUSED",IF(A1014="","missing line ID",IF(B1014="","missing transaction ID",IF(G1014="",IF(C1014="","missing date","invalid date"),IF(I1014="","unknown product",IF(J1014="","conflicting category",IF(NOT(OR(EXACT(K1014,"sale"),EXACT(K1014,"refund"))),"unknown event",IF(OR(N1014="",NOT(O1014)),"invalid amount",IF(OR(AND(K1014="sale",N1014&lt;=0),AND(K1014="refund",N1014&gt;=0)),"invalid sign","")))))))))</f>
        <v/>
      </c>
      <c r="U1014" s="1" t="str">
        <f t="shared" si="125"/>
        <v>INCLUDED</v>
      </c>
      <c r="V1014" s="1" t="str">
        <f t="shared" si="126"/>
        <v>2026-01</v>
      </c>
      <c r="W1014" s="1">
        <f>IF(AND(U1014="INCLUDED",X1014&gt;0,EXACT(A1014,'AI output'!A1014)),1,0)</f>
        <v>1</v>
      </c>
      <c r="X1014" s="1">
        <f>1014</f>
        <v>1014</v>
      </c>
      <c r="Y1014" s="1">
        <f>IF(AND(U1014="INCLUDED",W1014=1),--(NOT(EXACT(A1014,'AI output'!A1014)))+--(NOT(EXACT(B1014,'AI output'!B1014)))+--(NOT(EXACT(TEXT(G1014,"yyyy-mm-dd"),'AI output'!C1014)))+--(NOT(EXACT(H1014,'AI output'!D1014)))+--(NOT(EXACT(J1014,'AI output'!E1014)))+--(NOT(EXACT(K1014,'AI output'!F1014)))+--(N1014&lt;&gt;'AI output'!L1014)+--(NOT('AI output'!M1014)),0)</f>
        <v>0</v>
      </c>
      <c r="Z1014" s="1">
        <f t="shared" si="127"/>
        <v>0</v>
      </c>
      <c r="AA1014" s="1">
        <f>--EXACT(A1014,"L01008")</f>
        <v>1</v>
      </c>
    </row>
    <row r="1015" spans="1:27" ht="18.95" customHeight="1">
      <c r="A1015" s="1" t="str">
        <f>IF(Raw!A1015="","",Raw!A1015)</f>
        <v>L01009</v>
      </c>
      <c r="B1015" s="1" t="str">
        <f>IF(Raw!B1015="","",Raw!B1015)</f>
        <v>T00505</v>
      </c>
      <c r="C1015" s="1" t="str">
        <f>IF(Raw!C1015="","",Raw!C1015)</f>
        <v>2026-01-19</v>
      </c>
      <c r="D1015" s="1">
        <f t="shared" si="120"/>
        <v>2026</v>
      </c>
      <c r="E1015" s="1">
        <f>IFERROR(IF(AND(LEN(C1015)=10,MID(C1015,5,1)="-",MID(C1015,8,1)="-"),VALUE(MID(C1015,6,2)),IF(AND(LEN(C1015)=11,MID(C1015,3,1)="-",MID(C1015,7,1)="-"),MATCH(UPPER(MID(C1015,4,3)),Guide!$D$7:$D$18,0),0)),0)</f>
        <v>1</v>
      </c>
      <c r="F1015" s="1">
        <f t="shared" si="121"/>
        <v>19</v>
      </c>
      <c r="G1015" s="9">
        <f t="shared" si="122"/>
        <v>46041</v>
      </c>
      <c r="H1015" s="1" t="str">
        <f>IF(Raw!D1015="","",Raw!D1015)</f>
        <v>P-A</v>
      </c>
      <c r="I1015" s="1" t="str">
        <f>IFERROR(IF(EXACT(H1015,INDEX(Guide!$A$7:$A$9,MATCH(SUBSTITUTE(SUBSTITUTE(SUBSTITUTE(H1015,"~","~~"),"*","~*"),"?","~?"),Guide!$A$7:$A$9,0))),INDEX(Guide!$B$7:$B$9,MATCH(SUBSTITUTE(SUBSTITUTE(SUBSTITUTE(H1015,"~","~~"),"*","~*"),"?","~?"),Guide!$A$7:$A$9,0)),""),"")</f>
        <v>Accessories</v>
      </c>
      <c r="J1015" s="1" t="str">
        <f>IF(TRIM(Raw!E1015)="",I1015,IF(UPPER(TRIM(Raw!E1015))=UPPER(I1015),I1015,""))</f>
        <v>Accessories</v>
      </c>
      <c r="K1015" s="1" t="str">
        <f>IF(Raw!F1015="","",Raw!F1015)</f>
        <v>sale</v>
      </c>
      <c r="L1015" s="1" t="str">
        <f>IF(LEFT(TRIM(Raw!G1015),2)="-$","-"&amp;MID(TRIM(Raw!G1015),3,99),IF(LEFT(TRIM(Raw!G1015),1)="$",MID(TRIM(Raw!G1015),2,99),TRIM(Raw!G1015)))</f>
        <v>35.90</v>
      </c>
      <c r="M1015" s="1">
        <f t="shared" si="123"/>
        <v>35.9</v>
      </c>
      <c r="N1015" s="10">
        <f t="shared" si="124"/>
        <v>3590</v>
      </c>
      <c r="O1015" s="1" t="b">
        <f>IFERROR(IF(ISNUMBER(Raw!G1015),TRUE,OR(EXACT(L1015,TEXT(M1015,"0.00")),EXACT(L1015,TEXT(M1015,"#,##0.00")))),FALSE)</f>
        <v>1</v>
      </c>
      <c r="P1015" s="1" t="str">
        <f>LEN(IF(Raw!A1015="","",Raw!A1015))&amp;":"&amp;IF(Raw!A1015="","",Raw!A1015)&amp;"|"&amp;LEN(IF(Raw!B1015="","",Raw!B1015))&amp;":"&amp;IF(Raw!B1015="","",Raw!B1015)&amp;"|"&amp;LEN(IF(Raw!C1015="","",Raw!C1015))&amp;":"&amp;IF(Raw!C1015="","",Raw!C1015)&amp;"|"&amp;LEN(IF(Raw!D1015="","",Raw!D1015))&amp;":"&amp;IF(Raw!D1015="","",Raw!D1015)&amp;"|"&amp;LEN(IF(Raw!E1015="","",Raw!E1015))&amp;":"&amp;IF(Raw!E1015="","",Raw!E1015)&amp;"|"&amp;LEN(IF(Raw!F1015="","",Raw!F1015))&amp;":"&amp;IF(Raw!F1015="","",Raw!F1015)&amp;"|"&amp;LEN(IF(Raw!G1015="","",Raw!G1015))&amp;":"&amp;IF(Raw!G1015="","",Raw!G1015)</f>
        <v>6:L01009|6:T00505|10:2026-01-19|3:P-A|11:Accessories|4:sale|5:35.90</v>
      </c>
      <c r="Q1015" s="1">
        <f>1</f>
        <v>1</v>
      </c>
      <c r="R1015" s="1" t="b">
        <f>FALSE</f>
        <v>0</v>
      </c>
      <c r="S1015" s="1">
        <f>1</f>
        <v>1</v>
      </c>
      <c r="T1015" s="1" t="str">
        <f>IF(AND(Raw!A1015="",Raw!B1015="",Raw!C1015="",Raw!D1015="",Raw!E1015="",Raw!F1015="",Raw!G1015=""),"UNUSED",IF(A1015="","missing line ID",IF(B1015="","missing transaction ID",IF(G1015="",IF(C1015="","missing date","invalid date"),IF(I1015="","unknown product",IF(J1015="","conflicting category",IF(NOT(OR(EXACT(K1015,"sale"),EXACT(K1015,"refund"))),"unknown event",IF(OR(N1015="",NOT(O1015)),"invalid amount",IF(OR(AND(K1015="sale",N1015&lt;=0),AND(K1015="refund",N1015&gt;=0)),"invalid sign","")))))))))</f>
        <v/>
      </c>
      <c r="U1015" s="1" t="str">
        <f t="shared" si="125"/>
        <v>INCLUDED</v>
      </c>
      <c r="V1015" s="1" t="str">
        <f t="shared" si="126"/>
        <v>2026-01</v>
      </c>
      <c r="W1015" s="1">
        <f>IF(AND(U1015="INCLUDED",X1015&gt;0,EXACT(A1015,'AI output'!A1015)),1,0)</f>
        <v>1</v>
      </c>
      <c r="X1015" s="1">
        <f>1015</f>
        <v>1015</v>
      </c>
      <c r="Y1015" s="1">
        <f>IF(AND(U1015="INCLUDED",W1015=1),--(NOT(EXACT(A1015,'AI output'!A1015)))+--(NOT(EXACT(B1015,'AI output'!B1015)))+--(NOT(EXACT(TEXT(G1015,"yyyy-mm-dd"),'AI output'!C1015)))+--(NOT(EXACT(H1015,'AI output'!D1015)))+--(NOT(EXACT(J1015,'AI output'!E1015)))+--(NOT(EXACT(K1015,'AI output'!F1015)))+--(N1015&lt;&gt;'AI output'!L1015)+--(NOT('AI output'!M1015)),0)</f>
        <v>0</v>
      </c>
      <c r="Z1015" s="1">
        <f t="shared" si="127"/>
        <v>0</v>
      </c>
      <c r="AA1015" s="1">
        <f>--EXACT(A1015,"L01009")</f>
        <v>1</v>
      </c>
    </row>
    <row r="1016" spans="1:27" ht="18.95" customHeight="1">
      <c r="A1016" s="1" t="str">
        <f>IF(Raw!A1016="","",Raw!A1016)</f>
        <v>L01010</v>
      </c>
      <c r="B1016" s="1" t="str">
        <f>IF(Raw!B1016="","",Raw!B1016)</f>
        <v>T00505</v>
      </c>
      <c r="C1016" s="1" t="str">
        <f>IF(Raw!C1016="","",Raw!C1016)</f>
        <v>2026-01-19</v>
      </c>
      <c r="D1016" s="1">
        <f t="shared" si="120"/>
        <v>2026</v>
      </c>
      <c r="E1016" s="1">
        <f>IFERROR(IF(AND(LEN(C1016)=10,MID(C1016,5,1)="-",MID(C1016,8,1)="-"),VALUE(MID(C1016,6,2)),IF(AND(LEN(C1016)=11,MID(C1016,3,1)="-",MID(C1016,7,1)="-"),MATCH(UPPER(MID(C1016,4,3)),Guide!$D$7:$D$18,0),0)),0)</f>
        <v>1</v>
      </c>
      <c r="F1016" s="1">
        <f t="shared" si="121"/>
        <v>19</v>
      </c>
      <c r="G1016" s="9">
        <f t="shared" si="122"/>
        <v>46041</v>
      </c>
      <c r="H1016" s="1" t="str">
        <f>IF(Raw!D1016="","",Raw!D1016)</f>
        <v>P-H</v>
      </c>
      <c r="I1016" s="1" t="str">
        <f>IFERROR(IF(EXACT(H1016,INDEX(Guide!$A$7:$A$9,MATCH(SUBSTITUTE(SUBSTITUTE(SUBSTITUTE(H1016,"~","~~"),"*","~*"),"?","~?"),Guide!$A$7:$A$9,0))),INDEX(Guide!$B$7:$B$9,MATCH(SUBSTITUTE(SUBSTITUTE(SUBSTITUTE(H1016,"~","~~"),"*","~*"),"?","~?"),Guide!$A$7:$A$9,0)),""),"")</f>
        <v>Home</v>
      </c>
      <c r="J1016" s="1" t="str">
        <f>IF(TRIM(Raw!E1016)="",I1016,IF(UPPER(TRIM(Raw!E1016))=UPPER(I1016),I1016,""))</f>
        <v>Home</v>
      </c>
      <c r="K1016" s="1" t="str">
        <f>IF(Raw!F1016="","",Raw!F1016)</f>
        <v>sale</v>
      </c>
      <c r="L1016" s="1" t="str">
        <f>IF(LEFT(TRIM(Raw!G1016),2)="-$","-"&amp;MID(TRIM(Raw!G1016),3,99),IF(LEFT(TRIM(Raw!G1016),1)="$",MID(TRIM(Raw!G1016),2,99),TRIM(Raw!G1016)))</f>
        <v>73.28</v>
      </c>
      <c r="M1016" s="1">
        <f t="shared" si="123"/>
        <v>73.28</v>
      </c>
      <c r="N1016" s="10">
        <f t="shared" si="124"/>
        <v>7328</v>
      </c>
      <c r="O1016" s="1" t="b">
        <f>IFERROR(IF(ISNUMBER(Raw!G1016),TRUE,OR(EXACT(L1016,TEXT(M1016,"0.00")),EXACT(L1016,TEXT(M1016,"#,##0.00")))),FALSE)</f>
        <v>1</v>
      </c>
      <c r="P1016" s="1" t="str">
        <f>LEN(IF(Raw!A1016="","",Raw!A1016))&amp;":"&amp;IF(Raw!A1016="","",Raw!A1016)&amp;"|"&amp;LEN(IF(Raw!B1016="","",Raw!B1016))&amp;":"&amp;IF(Raw!B1016="","",Raw!B1016)&amp;"|"&amp;LEN(IF(Raw!C1016="","",Raw!C1016))&amp;":"&amp;IF(Raw!C1016="","",Raw!C1016)&amp;"|"&amp;LEN(IF(Raw!D1016="","",Raw!D1016))&amp;":"&amp;IF(Raw!D1016="","",Raw!D1016)&amp;"|"&amp;LEN(IF(Raw!E1016="","",Raw!E1016))&amp;":"&amp;IF(Raw!E1016="","",Raw!E1016)&amp;"|"&amp;LEN(IF(Raw!F1016="","",Raw!F1016))&amp;":"&amp;IF(Raw!F1016="","",Raw!F1016)&amp;"|"&amp;LEN(IF(Raw!G1016="","",Raw!G1016))&amp;":"&amp;IF(Raw!G1016="","",Raw!G1016)</f>
        <v>6:L01010|6:T00505|10:2026-01-19|3:P-H|4:Home|4:sale|5:73.28</v>
      </c>
      <c r="Q1016" s="1">
        <f>1</f>
        <v>1</v>
      </c>
      <c r="R1016" s="1" t="b">
        <f>FALSE</f>
        <v>0</v>
      </c>
      <c r="S1016" s="1">
        <f>1</f>
        <v>1</v>
      </c>
      <c r="T1016" s="1" t="str">
        <f>IF(AND(Raw!A1016="",Raw!B1016="",Raw!C1016="",Raw!D1016="",Raw!E1016="",Raw!F1016="",Raw!G1016=""),"UNUSED",IF(A1016="","missing line ID",IF(B1016="","missing transaction ID",IF(G1016="",IF(C1016="","missing date","invalid date"),IF(I1016="","unknown product",IF(J1016="","conflicting category",IF(NOT(OR(EXACT(K1016,"sale"),EXACT(K1016,"refund"))),"unknown event",IF(OR(N1016="",NOT(O1016)),"invalid amount",IF(OR(AND(K1016="sale",N1016&lt;=0),AND(K1016="refund",N1016&gt;=0)),"invalid sign","")))))))))</f>
        <v/>
      </c>
      <c r="U1016" s="1" t="str">
        <f t="shared" si="125"/>
        <v>INCLUDED</v>
      </c>
      <c r="V1016" s="1" t="str">
        <f t="shared" si="126"/>
        <v>2026-01</v>
      </c>
      <c r="W1016" s="1">
        <f>IF(AND(U1016="INCLUDED",X1016&gt;0,EXACT(A1016,'AI output'!A1016)),1,0)</f>
        <v>1</v>
      </c>
      <c r="X1016" s="1">
        <f>1016</f>
        <v>1016</v>
      </c>
      <c r="Y1016" s="1">
        <f>IF(AND(U1016="INCLUDED",W1016=1),--(NOT(EXACT(A1016,'AI output'!A1016)))+--(NOT(EXACT(B1016,'AI output'!B1016)))+--(NOT(EXACT(TEXT(G1016,"yyyy-mm-dd"),'AI output'!C1016)))+--(NOT(EXACT(H1016,'AI output'!D1016)))+--(NOT(EXACT(J1016,'AI output'!E1016)))+--(NOT(EXACT(K1016,'AI output'!F1016)))+--(N1016&lt;&gt;'AI output'!L1016)+--(NOT('AI output'!M1016)),0)</f>
        <v>0</v>
      </c>
      <c r="Z1016" s="1">
        <f t="shared" si="127"/>
        <v>0</v>
      </c>
      <c r="AA1016" s="1">
        <f>--EXACT(A1016,"L01010")</f>
        <v>1</v>
      </c>
    </row>
    <row r="1017" spans="1:27" ht="18.95" customHeight="1">
      <c r="A1017" s="1" t="str">
        <f>IF(Raw!A1017="","",Raw!A1017)</f>
        <v>L01011</v>
      </c>
      <c r="B1017" s="1" t="str">
        <f>IF(Raw!B1017="","",Raw!B1017)</f>
        <v>T00506</v>
      </c>
      <c r="C1017" s="1" t="str">
        <f>IF(Raw!C1017="","",Raw!C1017)</f>
        <v>2026-01-26</v>
      </c>
      <c r="D1017" s="1">
        <f t="shared" si="120"/>
        <v>2026</v>
      </c>
      <c r="E1017" s="1">
        <f>IFERROR(IF(AND(LEN(C1017)=10,MID(C1017,5,1)="-",MID(C1017,8,1)="-"),VALUE(MID(C1017,6,2)),IF(AND(LEN(C1017)=11,MID(C1017,3,1)="-",MID(C1017,7,1)="-"),MATCH(UPPER(MID(C1017,4,3)),Guide!$D$7:$D$18,0),0)),0)</f>
        <v>1</v>
      </c>
      <c r="F1017" s="1">
        <f t="shared" si="121"/>
        <v>26</v>
      </c>
      <c r="G1017" s="9">
        <f t="shared" si="122"/>
        <v>46048</v>
      </c>
      <c r="H1017" s="1" t="str">
        <f>IF(Raw!D1017="","",Raw!D1017)</f>
        <v>P-O</v>
      </c>
      <c r="I1017" s="1" t="str">
        <f>IFERROR(IF(EXACT(H1017,INDEX(Guide!$A$7:$A$9,MATCH(SUBSTITUTE(SUBSTITUTE(SUBSTITUTE(H1017,"~","~~"),"*","~*"),"?","~?"),Guide!$A$7:$A$9,0))),INDEX(Guide!$B$7:$B$9,MATCH(SUBSTITUTE(SUBSTITUTE(SUBSTITUTE(H1017,"~","~~"),"*","~*"),"?","~?"),Guide!$A$7:$A$9,0)),""),"")</f>
        <v>Office</v>
      </c>
      <c r="J1017" s="1" t="str">
        <f>IF(TRIM(Raw!E1017)="",I1017,IF(UPPER(TRIM(Raw!E1017))=UPPER(I1017),I1017,""))</f>
        <v>Office</v>
      </c>
      <c r="K1017" s="1" t="str">
        <f>IF(Raw!F1017="","",Raw!F1017)</f>
        <v>sale</v>
      </c>
      <c r="L1017" s="1" t="str">
        <f>IF(LEFT(TRIM(Raw!G1017),2)="-$","-"&amp;MID(TRIM(Raw!G1017),3,99),IF(LEFT(TRIM(Raw!G1017),1)="$",MID(TRIM(Raw!G1017),2,99),TRIM(Raw!G1017)))</f>
        <v>18.69</v>
      </c>
      <c r="M1017" s="1">
        <f t="shared" si="123"/>
        <v>18.690000000000001</v>
      </c>
      <c r="N1017" s="10">
        <f t="shared" si="124"/>
        <v>1869</v>
      </c>
      <c r="O1017" s="1" t="b">
        <f>IFERROR(IF(ISNUMBER(Raw!G1017),TRUE,OR(EXACT(L1017,TEXT(M1017,"0.00")),EXACT(L1017,TEXT(M1017,"#,##0.00")))),FALSE)</f>
        <v>1</v>
      </c>
      <c r="P1017" s="1" t="str">
        <f>LEN(IF(Raw!A1017="","",Raw!A1017))&amp;":"&amp;IF(Raw!A1017="","",Raw!A1017)&amp;"|"&amp;LEN(IF(Raw!B1017="","",Raw!B1017))&amp;":"&amp;IF(Raw!B1017="","",Raw!B1017)&amp;"|"&amp;LEN(IF(Raw!C1017="","",Raw!C1017))&amp;":"&amp;IF(Raw!C1017="","",Raw!C1017)&amp;"|"&amp;LEN(IF(Raw!D1017="","",Raw!D1017))&amp;":"&amp;IF(Raw!D1017="","",Raw!D1017)&amp;"|"&amp;LEN(IF(Raw!E1017="","",Raw!E1017))&amp;":"&amp;IF(Raw!E1017="","",Raw!E1017)&amp;"|"&amp;LEN(IF(Raw!F1017="","",Raw!F1017))&amp;":"&amp;IF(Raw!F1017="","",Raw!F1017)&amp;"|"&amp;LEN(IF(Raw!G1017="","",Raw!G1017))&amp;":"&amp;IF(Raw!G1017="","",Raw!G1017)</f>
        <v>6:L01011|6:T00506|10:2026-01-26|3:P-O|6:Office|4:sale|5:18.69</v>
      </c>
      <c r="Q1017" s="1">
        <f>1</f>
        <v>1</v>
      </c>
      <c r="R1017" s="1" t="b">
        <f>FALSE</f>
        <v>0</v>
      </c>
      <c r="S1017" s="1">
        <f>1</f>
        <v>1</v>
      </c>
      <c r="T1017" s="1" t="str">
        <f>IF(AND(Raw!A1017="",Raw!B1017="",Raw!C1017="",Raw!D1017="",Raw!E1017="",Raw!F1017="",Raw!G1017=""),"UNUSED",IF(A1017="","missing line ID",IF(B1017="","missing transaction ID",IF(G1017="",IF(C1017="","missing date","invalid date"),IF(I1017="","unknown product",IF(J1017="","conflicting category",IF(NOT(OR(EXACT(K1017,"sale"),EXACT(K1017,"refund"))),"unknown event",IF(OR(N1017="",NOT(O1017)),"invalid amount",IF(OR(AND(K1017="sale",N1017&lt;=0),AND(K1017="refund",N1017&gt;=0)),"invalid sign","")))))))))</f>
        <v/>
      </c>
      <c r="U1017" s="1" t="str">
        <f t="shared" si="125"/>
        <v>INCLUDED</v>
      </c>
      <c r="V1017" s="1" t="str">
        <f t="shared" si="126"/>
        <v>2026-01</v>
      </c>
      <c r="W1017" s="1">
        <f>IF(AND(U1017="INCLUDED",X1017&gt;0,EXACT(A1017,'AI output'!A1017)),1,0)</f>
        <v>1</v>
      </c>
      <c r="X1017" s="1">
        <f>1017</f>
        <v>1017</v>
      </c>
      <c r="Y1017" s="1">
        <f>IF(AND(U1017="INCLUDED",W1017=1),--(NOT(EXACT(A1017,'AI output'!A1017)))+--(NOT(EXACT(B1017,'AI output'!B1017)))+--(NOT(EXACT(TEXT(G1017,"yyyy-mm-dd"),'AI output'!C1017)))+--(NOT(EXACT(H1017,'AI output'!D1017)))+--(NOT(EXACT(J1017,'AI output'!E1017)))+--(NOT(EXACT(K1017,'AI output'!F1017)))+--(N1017&lt;&gt;'AI output'!L1017)+--(NOT('AI output'!M1017)),0)</f>
        <v>0</v>
      </c>
      <c r="Z1017" s="1">
        <f t="shared" si="127"/>
        <v>0</v>
      </c>
      <c r="AA1017" s="1">
        <f>--EXACT(A1017,"L01011")</f>
        <v>1</v>
      </c>
    </row>
    <row r="1018" spans="1:27" ht="18.95" customHeight="1">
      <c r="A1018" s="1" t="str">
        <f>IF(Raw!A1018="","",Raw!A1018)</f>
        <v>L01012</v>
      </c>
      <c r="B1018" s="1" t="str">
        <f>IF(Raw!B1018="","",Raw!B1018)</f>
        <v>T00506</v>
      </c>
      <c r="C1018" s="1" t="str">
        <f>IF(Raw!C1018="","",Raw!C1018)</f>
        <v>2026-01-26</v>
      </c>
      <c r="D1018" s="1">
        <f t="shared" si="120"/>
        <v>2026</v>
      </c>
      <c r="E1018" s="1">
        <f>IFERROR(IF(AND(LEN(C1018)=10,MID(C1018,5,1)="-",MID(C1018,8,1)="-"),VALUE(MID(C1018,6,2)),IF(AND(LEN(C1018)=11,MID(C1018,3,1)="-",MID(C1018,7,1)="-"),MATCH(UPPER(MID(C1018,4,3)),Guide!$D$7:$D$18,0),0)),0)</f>
        <v>1</v>
      </c>
      <c r="F1018" s="1">
        <f t="shared" si="121"/>
        <v>26</v>
      </c>
      <c r="G1018" s="9">
        <f t="shared" si="122"/>
        <v>46048</v>
      </c>
      <c r="H1018" s="1" t="str">
        <f>IF(Raw!D1018="","",Raw!D1018)</f>
        <v>P-A</v>
      </c>
      <c r="I1018" s="1" t="str">
        <f>IFERROR(IF(EXACT(H1018,INDEX(Guide!$A$7:$A$9,MATCH(SUBSTITUTE(SUBSTITUTE(SUBSTITUTE(H1018,"~","~~"),"*","~*"),"?","~?"),Guide!$A$7:$A$9,0))),INDEX(Guide!$B$7:$B$9,MATCH(SUBSTITUTE(SUBSTITUTE(SUBSTITUTE(H1018,"~","~~"),"*","~*"),"?","~?"),Guide!$A$7:$A$9,0)),""),"")</f>
        <v>Accessories</v>
      </c>
      <c r="J1018" s="1" t="str">
        <f>IF(TRIM(Raw!E1018)="",I1018,IF(UPPER(TRIM(Raw!E1018))=UPPER(I1018),I1018,""))</f>
        <v>Accessories</v>
      </c>
      <c r="K1018" s="1" t="str">
        <f>IF(Raw!F1018="","",Raw!F1018)</f>
        <v>sale</v>
      </c>
      <c r="L1018" s="1" t="str">
        <f>IF(LEFT(TRIM(Raw!G1018),2)="-$","-"&amp;MID(TRIM(Raw!G1018),3,99),IF(LEFT(TRIM(Raw!G1018),1)="$",MID(TRIM(Raw!G1018),2,99),TRIM(Raw!G1018)))</f>
        <v>57.18</v>
      </c>
      <c r="M1018" s="1">
        <f t="shared" si="123"/>
        <v>57.18</v>
      </c>
      <c r="N1018" s="10">
        <f t="shared" si="124"/>
        <v>5718</v>
      </c>
      <c r="O1018" s="1" t="b">
        <f>IFERROR(IF(ISNUMBER(Raw!G1018),TRUE,OR(EXACT(L1018,TEXT(M1018,"0.00")),EXACT(L1018,TEXT(M1018,"#,##0.00")))),FALSE)</f>
        <v>1</v>
      </c>
      <c r="P1018" s="1" t="str">
        <f>LEN(IF(Raw!A1018="","",Raw!A1018))&amp;":"&amp;IF(Raw!A1018="","",Raw!A1018)&amp;"|"&amp;LEN(IF(Raw!B1018="","",Raw!B1018))&amp;":"&amp;IF(Raw!B1018="","",Raw!B1018)&amp;"|"&amp;LEN(IF(Raw!C1018="","",Raw!C1018))&amp;":"&amp;IF(Raw!C1018="","",Raw!C1018)&amp;"|"&amp;LEN(IF(Raw!D1018="","",Raw!D1018))&amp;":"&amp;IF(Raw!D1018="","",Raw!D1018)&amp;"|"&amp;LEN(IF(Raw!E1018="","",Raw!E1018))&amp;":"&amp;IF(Raw!E1018="","",Raw!E1018)&amp;"|"&amp;LEN(IF(Raw!F1018="","",Raw!F1018))&amp;":"&amp;IF(Raw!F1018="","",Raw!F1018)&amp;"|"&amp;LEN(IF(Raw!G1018="","",Raw!G1018))&amp;":"&amp;IF(Raw!G1018="","",Raw!G1018)</f>
        <v>6:L01012|6:T00506|10:2026-01-26|3:P-A|11:Accessories|4:sale|5:57.18</v>
      </c>
      <c r="Q1018" s="1">
        <f>1</f>
        <v>1</v>
      </c>
      <c r="R1018" s="1" t="b">
        <f>FALSE</f>
        <v>0</v>
      </c>
      <c r="S1018" s="1">
        <f>1</f>
        <v>1</v>
      </c>
      <c r="T1018" s="1" t="str">
        <f>IF(AND(Raw!A1018="",Raw!B1018="",Raw!C1018="",Raw!D1018="",Raw!E1018="",Raw!F1018="",Raw!G1018=""),"UNUSED",IF(A1018="","missing line ID",IF(B1018="","missing transaction ID",IF(G1018="",IF(C1018="","missing date","invalid date"),IF(I1018="","unknown product",IF(J1018="","conflicting category",IF(NOT(OR(EXACT(K1018,"sale"),EXACT(K1018,"refund"))),"unknown event",IF(OR(N1018="",NOT(O1018)),"invalid amount",IF(OR(AND(K1018="sale",N1018&lt;=0),AND(K1018="refund",N1018&gt;=0)),"invalid sign","")))))))))</f>
        <v/>
      </c>
      <c r="U1018" s="1" t="str">
        <f t="shared" si="125"/>
        <v>INCLUDED</v>
      </c>
      <c r="V1018" s="1" t="str">
        <f t="shared" si="126"/>
        <v>2026-01</v>
      </c>
      <c r="W1018" s="1">
        <f>IF(AND(U1018="INCLUDED",X1018&gt;0,EXACT(A1018,'AI output'!A1018)),1,0)</f>
        <v>1</v>
      </c>
      <c r="X1018" s="1">
        <f>1018</f>
        <v>1018</v>
      </c>
      <c r="Y1018" s="1">
        <f>IF(AND(U1018="INCLUDED",W1018=1),--(NOT(EXACT(A1018,'AI output'!A1018)))+--(NOT(EXACT(B1018,'AI output'!B1018)))+--(NOT(EXACT(TEXT(G1018,"yyyy-mm-dd"),'AI output'!C1018)))+--(NOT(EXACT(H1018,'AI output'!D1018)))+--(NOT(EXACT(J1018,'AI output'!E1018)))+--(NOT(EXACT(K1018,'AI output'!F1018)))+--(N1018&lt;&gt;'AI output'!L1018)+--(NOT('AI output'!M1018)),0)</f>
        <v>0</v>
      </c>
      <c r="Z1018" s="1">
        <f t="shared" si="127"/>
        <v>0</v>
      </c>
      <c r="AA1018" s="1">
        <f>--EXACT(A1018,"L01012")</f>
        <v>1</v>
      </c>
    </row>
    <row r="1019" spans="1:27" ht="18.95" customHeight="1">
      <c r="A1019" s="1" t="str">
        <f>IF(Raw!A1019="","",Raw!A1019)</f>
        <v>L01013</v>
      </c>
      <c r="B1019" s="1" t="str">
        <f>IF(Raw!B1019="","",Raw!B1019)</f>
        <v>T00507</v>
      </c>
      <c r="C1019" s="1" t="str">
        <f>IF(Raw!C1019="","",Raw!C1019)</f>
        <v>2026-02-02</v>
      </c>
      <c r="D1019" s="1">
        <f t="shared" si="120"/>
        <v>2026</v>
      </c>
      <c r="E1019" s="1">
        <f>IFERROR(IF(AND(LEN(C1019)=10,MID(C1019,5,1)="-",MID(C1019,8,1)="-"),VALUE(MID(C1019,6,2)),IF(AND(LEN(C1019)=11,MID(C1019,3,1)="-",MID(C1019,7,1)="-"),MATCH(UPPER(MID(C1019,4,3)),Guide!$D$7:$D$18,0),0)),0)</f>
        <v>2</v>
      </c>
      <c r="F1019" s="1">
        <f t="shared" si="121"/>
        <v>2</v>
      </c>
      <c r="G1019" s="9">
        <f t="shared" si="122"/>
        <v>46055</v>
      </c>
      <c r="H1019" s="1" t="str">
        <f>IF(Raw!D1019="","",Raw!D1019)</f>
        <v>P-H</v>
      </c>
      <c r="I1019" s="1" t="str">
        <f>IFERROR(IF(EXACT(H1019,INDEX(Guide!$A$7:$A$9,MATCH(SUBSTITUTE(SUBSTITUTE(SUBSTITUTE(H1019,"~","~~"),"*","~*"),"?","~?"),Guide!$A$7:$A$9,0))),INDEX(Guide!$B$7:$B$9,MATCH(SUBSTITUTE(SUBSTITUTE(SUBSTITUTE(H1019,"~","~~"),"*","~*"),"?","~?"),Guide!$A$7:$A$9,0)),""),"")</f>
        <v>Home</v>
      </c>
      <c r="J1019" s="1" t="str">
        <f>IF(TRIM(Raw!E1019)="",I1019,IF(UPPER(TRIM(Raw!E1019))=UPPER(I1019),I1019,""))</f>
        <v>Home</v>
      </c>
      <c r="K1019" s="1" t="str">
        <f>IF(Raw!F1019="","",Raw!F1019)</f>
        <v>refund</v>
      </c>
      <c r="L1019" s="1" t="str">
        <f>IF(LEFT(TRIM(Raw!G1019),2)="-$","-"&amp;MID(TRIM(Raw!G1019),3,99),IF(LEFT(TRIM(Raw!G1019),1)="$",MID(TRIM(Raw!G1019),2,99),TRIM(Raw!G1019)))</f>
        <v>-97.15</v>
      </c>
      <c r="M1019" s="1">
        <f t="shared" si="123"/>
        <v>-97.15</v>
      </c>
      <c r="N1019" s="10">
        <f t="shared" si="124"/>
        <v>-9715</v>
      </c>
      <c r="O1019" s="1" t="b">
        <f>IFERROR(IF(ISNUMBER(Raw!G1019),TRUE,OR(EXACT(L1019,TEXT(M1019,"0.00")),EXACT(L1019,TEXT(M1019,"#,##0.00")))),FALSE)</f>
        <v>1</v>
      </c>
      <c r="P1019" s="1" t="str">
        <f>LEN(IF(Raw!A1019="","",Raw!A1019))&amp;":"&amp;IF(Raw!A1019="","",Raw!A1019)&amp;"|"&amp;LEN(IF(Raw!B1019="","",Raw!B1019))&amp;":"&amp;IF(Raw!B1019="","",Raw!B1019)&amp;"|"&amp;LEN(IF(Raw!C1019="","",Raw!C1019))&amp;":"&amp;IF(Raw!C1019="","",Raw!C1019)&amp;"|"&amp;LEN(IF(Raw!D1019="","",Raw!D1019))&amp;":"&amp;IF(Raw!D1019="","",Raw!D1019)&amp;"|"&amp;LEN(IF(Raw!E1019="","",Raw!E1019))&amp;":"&amp;IF(Raw!E1019="","",Raw!E1019)&amp;"|"&amp;LEN(IF(Raw!F1019="","",Raw!F1019))&amp;":"&amp;IF(Raw!F1019="","",Raw!F1019)&amp;"|"&amp;LEN(IF(Raw!G1019="","",Raw!G1019))&amp;":"&amp;IF(Raw!G1019="","",Raw!G1019)</f>
        <v>6:L01013|6:T00507|10:2026-02-02|3:P-H|4:Home|6:refund|6:-97.15</v>
      </c>
      <c r="Q1019" s="1">
        <f>1</f>
        <v>1</v>
      </c>
      <c r="R1019" s="1" t="b">
        <f>FALSE</f>
        <v>0</v>
      </c>
      <c r="S1019" s="1">
        <f>1</f>
        <v>1</v>
      </c>
      <c r="T1019" s="1" t="str">
        <f>IF(AND(Raw!A1019="",Raw!B1019="",Raw!C1019="",Raw!D1019="",Raw!E1019="",Raw!F1019="",Raw!G1019=""),"UNUSED",IF(A1019="","missing line ID",IF(B1019="","missing transaction ID",IF(G1019="",IF(C1019="","missing date","invalid date"),IF(I1019="","unknown product",IF(J1019="","conflicting category",IF(NOT(OR(EXACT(K1019,"sale"),EXACT(K1019,"refund"))),"unknown event",IF(OR(N1019="",NOT(O1019)),"invalid amount",IF(OR(AND(K1019="sale",N1019&lt;=0),AND(K1019="refund",N1019&gt;=0)),"invalid sign","")))))))))</f>
        <v/>
      </c>
      <c r="U1019" s="1" t="str">
        <f t="shared" si="125"/>
        <v>INCLUDED</v>
      </c>
      <c r="V1019" s="1" t="str">
        <f t="shared" si="126"/>
        <v>2026-02</v>
      </c>
      <c r="W1019" s="1">
        <f>IF(AND(U1019="INCLUDED",X1019&gt;0,EXACT(A1019,'AI output'!A1019)),1,0)</f>
        <v>1</v>
      </c>
      <c r="X1019" s="1">
        <f>1019</f>
        <v>1019</v>
      </c>
      <c r="Y1019" s="1">
        <f>IF(AND(U1019="INCLUDED",W1019=1),--(NOT(EXACT(A1019,'AI output'!A1019)))+--(NOT(EXACT(B1019,'AI output'!B1019)))+--(NOT(EXACT(TEXT(G1019,"yyyy-mm-dd"),'AI output'!C1019)))+--(NOT(EXACT(H1019,'AI output'!D1019)))+--(NOT(EXACT(J1019,'AI output'!E1019)))+--(NOT(EXACT(K1019,'AI output'!F1019)))+--(N1019&lt;&gt;'AI output'!L1019)+--(NOT('AI output'!M1019)),0)</f>
        <v>0</v>
      </c>
      <c r="Z1019" s="1">
        <f t="shared" si="127"/>
        <v>0</v>
      </c>
      <c r="AA1019" s="1">
        <f>--EXACT(A1019,"L01013")</f>
        <v>1</v>
      </c>
    </row>
    <row r="1020" spans="1:27" ht="18.95" customHeight="1">
      <c r="A1020" s="1" t="str">
        <f>IF(Raw!A1020="","",Raw!A1020)</f>
        <v>L01014</v>
      </c>
      <c r="B1020" s="1" t="str">
        <f>IF(Raw!B1020="","",Raw!B1020)</f>
        <v>T00507</v>
      </c>
      <c r="C1020" s="1" t="str">
        <f>IF(Raw!C1020="","",Raw!C1020)</f>
        <v>2026-02-02</v>
      </c>
      <c r="D1020" s="1">
        <f t="shared" si="120"/>
        <v>2026</v>
      </c>
      <c r="E1020" s="1">
        <f>IFERROR(IF(AND(LEN(C1020)=10,MID(C1020,5,1)="-",MID(C1020,8,1)="-"),VALUE(MID(C1020,6,2)),IF(AND(LEN(C1020)=11,MID(C1020,3,1)="-",MID(C1020,7,1)="-"),MATCH(UPPER(MID(C1020,4,3)),Guide!$D$7:$D$18,0),0)),0)</f>
        <v>2</v>
      </c>
      <c r="F1020" s="1">
        <f t="shared" si="121"/>
        <v>2</v>
      </c>
      <c r="G1020" s="9">
        <f t="shared" si="122"/>
        <v>46055</v>
      </c>
      <c r="H1020" s="1" t="str">
        <f>IF(Raw!D1020="","",Raw!D1020)</f>
        <v>P-O</v>
      </c>
      <c r="I1020" s="1" t="str">
        <f>IFERROR(IF(EXACT(H1020,INDEX(Guide!$A$7:$A$9,MATCH(SUBSTITUTE(SUBSTITUTE(SUBSTITUTE(H1020,"~","~~"),"*","~*"),"?","~?"),Guide!$A$7:$A$9,0))),INDEX(Guide!$B$7:$B$9,MATCH(SUBSTITUTE(SUBSTITUTE(SUBSTITUTE(H1020,"~","~~"),"*","~*"),"?","~?"),Guide!$A$7:$A$9,0)),""),"")</f>
        <v>Office</v>
      </c>
      <c r="J1020" s="1" t="str">
        <f>IF(TRIM(Raw!E1020)="",I1020,IF(UPPER(TRIM(Raw!E1020))=UPPER(I1020),I1020,""))</f>
        <v>Office</v>
      </c>
      <c r="K1020" s="1" t="str">
        <f>IF(Raw!F1020="","",Raw!F1020)</f>
        <v>sale</v>
      </c>
      <c r="L1020" s="1" t="str">
        <f>IF(LEFT(TRIM(Raw!G1020),2)="-$","-"&amp;MID(TRIM(Raw!G1020),3,99),IF(LEFT(TRIM(Raw!G1020),1)="$",MID(TRIM(Raw!G1020),2,99),TRIM(Raw!G1020)))</f>
        <v>39.60</v>
      </c>
      <c r="M1020" s="1">
        <f t="shared" si="123"/>
        <v>39.6</v>
      </c>
      <c r="N1020" s="10">
        <f t="shared" si="124"/>
        <v>3960</v>
      </c>
      <c r="O1020" s="1" t="b">
        <f>IFERROR(IF(ISNUMBER(Raw!G1020),TRUE,OR(EXACT(L1020,TEXT(M1020,"0.00")),EXACT(L1020,TEXT(M1020,"#,##0.00")))),FALSE)</f>
        <v>1</v>
      </c>
      <c r="P1020" s="1" t="str">
        <f>LEN(IF(Raw!A1020="","",Raw!A1020))&amp;":"&amp;IF(Raw!A1020="","",Raw!A1020)&amp;"|"&amp;LEN(IF(Raw!B1020="","",Raw!B1020))&amp;":"&amp;IF(Raw!B1020="","",Raw!B1020)&amp;"|"&amp;LEN(IF(Raw!C1020="","",Raw!C1020))&amp;":"&amp;IF(Raw!C1020="","",Raw!C1020)&amp;"|"&amp;LEN(IF(Raw!D1020="","",Raw!D1020))&amp;":"&amp;IF(Raw!D1020="","",Raw!D1020)&amp;"|"&amp;LEN(IF(Raw!E1020="","",Raw!E1020))&amp;":"&amp;IF(Raw!E1020="","",Raw!E1020)&amp;"|"&amp;LEN(IF(Raw!F1020="","",Raw!F1020))&amp;":"&amp;IF(Raw!F1020="","",Raw!F1020)&amp;"|"&amp;LEN(IF(Raw!G1020="","",Raw!G1020))&amp;":"&amp;IF(Raw!G1020="","",Raw!G1020)</f>
        <v>6:L01014|6:T00507|10:2026-02-02|3:P-O|6:Office|4:sale|5:39.60</v>
      </c>
      <c r="Q1020" s="1">
        <f>1</f>
        <v>1</v>
      </c>
      <c r="R1020" s="1" t="b">
        <f>FALSE</f>
        <v>0</v>
      </c>
      <c r="S1020" s="1">
        <f>1</f>
        <v>1</v>
      </c>
      <c r="T1020" s="1" t="str">
        <f>IF(AND(Raw!A1020="",Raw!B1020="",Raw!C1020="",Raw!D1020="",Raw!E1020="",Raw!F1020="",Raw!G1020=""),"UNUSED",IF(A1020="","missing line ID",IF(B1020="","missing transaction ID",IF(G1020="",IF(C1020="","missing date","invalid date"),IF(I1020="","unknown product",IF(J1020="","conflicting category",IF(NOT(OR(EXACT(K1020,"sale"),EXACT(K1020,"refund"))),"unknown event",IF(OR(N1020="",NOT(O1020)),"invalid amount",IF(OR(AND(K1020="sale",N1020&lt;=0),AND(K1020="refund",N1020&gt;=0)),"invalid sign","")))))))))</f>
        <v/>
      </c>
      <c r="U1020" s="1" t="str">
        <f t="shared" si="125"/>
        <v>INCLUDED</v>
      </c>
      <c r="V1020" s="1" t="str">
        <f t="shared" si="126"/>
        <v>2026-02</v>
      </c>
      <c r="W1020" s="1">
        <f>IF(AND(U1020="INCLUDED",X1020&gt;0,EXACT(A1020,'AI output'!A1020)),1,0)</f>
        <v>1</v>
      </c>
      <c r="X1020" s="1">
        <f>1020</f>
        <v>1020</v>
      </c>
      <c r="Y1020" s="1">
        <f>IF(AND(U1020="INCLUDED",W1020=1),--(NOT(EXACT(A1020,'AI output'!A1020)))+--(NOT(EXACT(B1020,'AI output'!B1020)))+--(NOT(EXACT(TEXT(G1020,"yyyy-mm-dd"),'AI output'!C1020)))+--(NOT(EXACT(H1020,'AI output'!D1020)))+--(NOT(EXACT(J1020,'AI output'!E1020)))+--(NOT(EXACT(K1020,'AI output'!F1020)))+--(N1020&lt;&gt;'AI output'!L1020)+--(NOT('AI output'!M1020)),0)</f>
        <v>0</v>
      </c>
      <c r="Z1020" s="1">
        <f t="shared" si="127"/>
        <v>0</v>
      </c>
      <c r="AA1020" s="1">
        <f>--EXACT(A1020,"L01014")</f>
        <v>1</v>
      </c>
    </row>
    <row r="1021" spans="1:27" ht="18.95" customHeight="1">
      <c r="A1021" s="1" t="str">
        <f>IF(Raw!A1021="","",Raw!A1021)</f>
        <v>L01015</v>
      </c>
      <c r="B1021" s="1" t="str">
        <f>IF(Raw!B1021="","",Raw!B1021)</f>
        <v>T00508</v>
      </c>
      <c r="C1021" s="1" t="str">
        <f>IF(Raw!C1021="","",Raw!C1021)</f>
        <v>2026-02-09</v>
      </c>
      <c r="D1021" s="1">
        <f t="shared" si="120"/>
        <v>2026</v>
      </c>
      <c r="E1021" s="1">
        <f>IFERROR(IF(AND(LEN(C1021)=10,MID(C1021,5,1)="-",MID(C1021,8,1)="-"),VALUE(MID(C1021,6,2)),IF(AND(LEN(C1021)=11,MID(C1021,3,1)="-",MID(C1021,7,1)="-"),MATCH(UPPER(MID(C1021,4,3)),Guide!$D$7:$D$18,0),0)),0)</f>
        <v>2</v>
      </c>
      <c r="F1021" s="1">
        <f t="shared" si="121"/>
        <v>9</v>
      </c>
      <c r="G1021" s="9">
        <f t="shared" si="122"/>
        <v>46062</v>
      </c>
      <c r="H1021" s="1" t="str">
        <f>IF(Raw!D1021="","",Raw!D1021)</f>
        <v>P-A</v>
      </c>
      <c r="I1021" s="1" t="str">
        <f>IFERROR(IF(EXACT(H1021,INDEX(Guide!$A$7:$A$9,MATCH(SUBSTITUTE(SUBSTITUTE(SUBSTITUTE(H1021,"~","~~"),"*","~*"),"?","~?"),Guide!$A$7:$A$9,0))),INDEX(Guide!$B$7:$B$9,MATCH(SUBSTITUTE(SUBSTITUTE(SUBSTITUTE(H1021,"~","~~"),"*","~*"),"?","~?"),Guide!$A$7:$A$9,0)),""),"")</f>
        <v>Accessories</v>
      </c>
      <c r="J1021" s="1" t="str">
        <f>IF(TRIM(Raw!E1021)="",I1021,IF(UPPER(TRIM(Raw!E1021))=UPPER(I1021),I1021,""))</f>
        <v>Accessories</v>
      </c>
      <c r="K1021" s="1" t="str">
        <f>IF(Raw!F1021="","",Raw!F1021)</f>
        <v>sale</v>
      </c>
      <c r="L1021" s="1" t="str">
        <f>IF(LEFT(TRIM(Raw!G1021),2)="-$","-"&amp;MID(TRIM(Raw!G1021),3,99),IF(LEFT(TRIM(Raw!G1021),1)="$",MID(TRIM(Raw!G1021),2,99),TRIM(Raw!G1021)))</f>
        <v>80.68</v>
      </c>
      <c r="M1021" s="1">
        <f t="shared" si="123"/>
        <v>80.680000000000007</v>
      </c>
      <c r="N1021" s="10">
        <f t="shared" si="124"/>
        <v>8068</v>
      </c>
      <c r="O1021" s="1" t="b">
        <f>IFERROR(IF(ISNUMBER(Raw!G1021),TRUE,OR(EXACT(L1021,TEXT(M1021,"0.00")),EXACT(L1021,TEXT(M1021,"#,##0.00")))),FALSE)</f>
        <v>1</v>
      </c>
      <c r="P1021" s="1" t="str">
        <f>LEN(IF(Raw!A1021="","",Raw!A1021))&amp;":"&amp;IF(Raw!A1021="","",Raw!A1021)&amp;"|"&amp;LEN(IF(Raw!B1021="","",Raw!B1021))&amp;":"&amp;IF(Raw!B1021="","",Raw!B1021)&amp;"|"&amp;LEN(IF(Raw!C1021="","",Raw!C1021))&amp;":"&amp;IF(Raw!C1021="","",Raw!C1021)&amp;"|"&amp;LEN(IF(Raw!D1021="","",Raw!D1021))&amp;":"&amp;IF(Raw!D1021="","",Raw!D1021)&amp;"|"&amp;LEN(IF(Raw!E1021="","",Raw!E1021))&amp;":"&amp;IF(Raw!E1021="","",Raw!E1021)&amp;"|"&amp;LEN(IF(Raw!F1021="","",Raw!F1021))&amp;":"&amp;IF(Raw!F1021="","",Raw!F1021)&amp;"|"&amp;LEN(IF(Raw!G1021="","",Raw!G1021))&amp;":"&amp;IF(Raw!G1021="","",Raw!G1021)</f>
        <v>6:L01015|6:T00508|10:2026-02-09|3:P-A|11:Accessories|4:sale|5:80.68</v>
      </c>
      <c r="Q1021" s="1">
        <f>1</f>
        <v>1</v>
      </c>
      <c r="R1021" s="1" t="b">
        <f>FALSE</f>
        <v>0</v>
      </c>
      <c r="S1021" s="1">
        <f>1</f>
        <v>1</v>
      </c>
      <c r="T1021" s="1" t="str">
        <f>IF(AND(Raw!A1021="",Raw!B1021="",Raw!C1021="",Raw!D1021="",Raw!E1021="",Raw!F1021="",Raw!G1021=""),"UNUSED",IF(A1021="","missing line ID",IF(B1021="","missing transaction ID",IF(G1021="",IF(C1021="","missing date","invalid date"),IF(I1021="","unknown product",IF(J1021="","conflicting category",IF(NOT(OR(EXACT(K1021,"sale"),EXACT(K1021,"refund"))),"unknown event",IF(OR(N1021="",NOT(O1021)),"invalid amount",IF(OR(AND(K1021="sale",N1021&lt;=0),AND(K1021="refund",N1021&gt;=0)),"invalid sign","")))))))))</f>
        <v/>
      </c>
      <c r="U1021" s="1" t="str">
        <f t="shared" si="125"/>
        <v>INCLUDED</v>
      </c>
      <c r="V1021" s="1" t="str">
        <f t="shared" si="126"/>
        <v>2026-02</v>
      </c>
      <c r="W1021" s="1">
        <f>IF(AND(U1021="INCLUDED",X1021&gt;0,EXACT(A1021,'AI output'!A1021)),1,0)</f>
        <v>1</v>
      </c>
      <c r="X1021" s="1">
        <f>1021</f>
        <v>1021</v>
      </c>
      <c r="Y1021" s="1">
        <f>IF(AND(U1021="INCLUDED",W1021=1),--(NOT(EXACT(A1021,'AI output'!A1021)))+--(NOT(EXACT(B1021,'AI output'!B1021)))+--(NOT(EXACT(TEXT(G1021,"yyyy-mm-dd"),'AI output'!C1021)))+--(NOT(EXACT(H1021,'AI output'!D1021)))+--(NOT(EXACT(J1021,'AI output'!E1021)))+--(NOT(EXACT(K1021,'AI output'!F1021)))+--(N1021&lt;&gt;'AI output'!L1021)+--(NOT('AI output'!M1021)),0)</f>
        <v>0</v>
      </c>
      <c r="Z1021" s="1">
        <f t="shared" si="127"/>
        <v>0</v>
      </c>
      <c r="AA1021" s="1">
        <f>--EXACT(A1021,"L01015")</f>
        <v>1</v>
      </c>
    </row>
    <row r="1022" spans="1:27" ht="18.95" customHeight="1">
      <c r="A1022" s="1" t="str">
        <f>IF(Raw!A1022="","",Raw!A1022)</f>
        <v>L01016</v>
      </c>
      <c r="B1022" s="1" t="str">
        <f>IF(Raw!B1022="","",Raw!B1022)</f>
        <v>T00508</v>
      </c>
      <c r="C1022" s="1" t="str">
        <f>IF(Raw!C1022="","",Raw!C1022)</f>
        <v>2026-02-09</v>
      </c>
      <c r="D1022" s="1">
        <f t="shared" si="120"/>
        <v>2026</v>
      </c>
      <c r="E1022" s="1">
        <f>IFERROR(IF(AND(LEN(C1022)=10,MID(C1022,5,1)="-",MID(C1022,8,1)="-"),VALUE(MID(C1022,6,2)),IF(AND(LEN(C1022)=11,MID(C1022,3,1)="-",MID(C1022,7,1)="-"),MATCH(UPPER(MID(C1022,4,3)),Guide!$D$7:$D$18,0),0)),0)</f>
        <v>2</v>
      </c>
      <c r="F1022" s="1">
        <f t="shared" si="121"/>
        <v>9</v>
      </c>
      <c r="G1022" s="9">
        <f t="shared" si="122"/>
        <v>46062</v>
      </c>
      <c r="H1022" s="1" t="str">
        <f>IF(Raw!D1022="","",Raw!D1022)</f>
        <v>P-H</v>
      </c>
      <c r="I1022" s="1" t="str">
        <f>IFERROR(IF(EXACT(H1022,INDEX(Guide!$A$7:$A$9,MATCH(SUBSTITUTE(SUBSTITUTE(SUBSTITUTE(H1022,"~","~~"),"*","~*"),"?","~?"),Guide!$A$7:$A$9,0))),INDEX(Guide!$B$7:$B$9,MATCH(SUBSTITUTE(SUBSTITUTE(SUBSTITUTE(H1022,"~","~~"),"*","~*"),"?","~?"),Guide!$A$7:$A$9,0)),""),"")</f>
        <v>Home</v>
      </c>
      <c r="J1022" s="1" t="str">
        <f>IF(TRIM(Raw!E1022)="",I1022,IF(UPPER(TRIM(Raw!E1022))=UPPER(I1022),I1022,""))</f>
        <v>Home</v>
      </c>
      <c r="K1022" s="1" t="str">
        <f>IF(Raw!F1022="","",Raw!F1022)</f>
        <v>sale</v>
      </c>
      <c r="L1022" s="1" t="str">
        <f>IF(LEFT(TRIM(Raw!G1022),2)="-$","-"&amp;MID(TRIM(Raw!G1022),3,99),IF(LEFT(TRIM(Raw!G1022),1)="$",MID(TRIM(Raw!G1022),2,99),TRIM(Raw!G1022)))</f>
        <v>20.54</v>
      </c>
      <c r="M1022" s="1">
        <f t="shared" si="123"/>
        <v>20.54</v>
      </c>
      <c r="N1022" s="10">
        <f t="shared" si="124"/>
        <v>2054</v>
      </c>
      <c r="O1022" s="1" t="b">
        <f>IFERROR(IF(ISNUMBER(Raw!G1022),TRUE,OR(EXACT(L1022,TEXT(M1022,"0.00")),EXACT(L1022,TEXT(M1022,"#,##0.00")))),FALSE)</f>
        <v>1</v>
      </c>
      <c r="P1022" s="1" t="str">
        <f>LEN(IF(Raw!A1022="","",Raw!A1022))&amp;":"&amp;IF(Raw!A1022="","",Raw!A1022)&amp;"|"&amp;LEN(IF(Raw!B1022="","",Raw!B1022))&amp;":"&amp;IF(Raw!B1022="","",Raw!B1022)&amp;"|"&amp;LEN(IF(Raw!C1022="","",Raw!C1022))&amp;":"&amp;IF(Raw!C1022="","",Raw!C1022)&amp;"|"&amp;LEN(IF(Raw!D1022="","",Raw!D1022))&amp;":"&amp;IF(Raw!D1022="","",Raw!D1022)&amp;"|"&amp;LEN(IF(Raw!E1022="","",Raw!E1022))&amp;":"&amp;IF(Raw!E1022="","",Raw!E1022)&amp;"|"&amp;LEN(IF(Raw!F1022="","",Raw!F1022))&amp;":"&amp;IF(Raw!F1022="","",Raw!F1022)&amp;"|"&amp;LEN(IF(Raw!G1022="","",Raw!G1022))&amp;":"&amp;IF(Raw!G1022="","",Raw!G1022)</f>
        <v>6:L01016|6:T00508|10:2026-02-09|3:P-H|4:Home|4:sale|5:20.54</v>
      </c>
      <c r="Q1022" s="1">
        <f>1</f>
        <v>1</v>
      </c>
      <c r="R1022" s="1" t="b">
        <f>FALSE</f>
        <v>0</v>
      </c>
      <c r="S1022" s="1">
        <f>1</f>
        <v>1</v>
      </c>
      <c r="T1022" s="1" t="str">
        <f>IF(AND(Raw!A1022="",Raw!B1022="",Raw!C1022="",Raw!D1022="",Raw!E1022="",Raw!F1022="",Raw!G1022=""),"UNUSED",IF(A1022="","missing line ID",IF(B1022="","missing transaction ID",IF(G1022="",IF(C1022="","missing date","invalid date"),IF(I1022="","unknown product",IF(J1022="","conflicting category",IF(NOT(OR(EXACT(K1022,"sale"),EXACT(K1022,"refund"))),"unknown event",IF(OR(N1022="",NOT(O1022)),"invalid amount",IF(OR(AND(K1022="sale",N1022&lt;=0),AND(K1022="refund",N1022&gt;=0)),"invalid sign","")))))))))</f>
        <v/>
      </c>
      <c r="U1022" s="1" t="str">
        <f t="shared" si="125"/>
        <v>INCLUDED</v>
      </c>
      <c r="V1022" s="1" t="str">
        <f t="shared" si="126"/>
        <v>2026-02</v>
      </c>
      <c r="W1022" s="1">
        <f>IF(AND(U1022="INCLUDED",X1022&gt;0,EXACT(A1022,'AI output'!A1022)),1,0)</f>
        <v>1</v>
      </c>
      <c r="X1022" s="1">
        <f>1022</f>
        <v>1022</v>
      </c>
      <c r="Y1022" s="1">
        <f>IF(AND(U1022="INCLUDED",W1022=1),--(NOT(EXACT(A1022,'AI output'!A1022)))+--(NOT(EXACT(B1022,'AI output'!B1022)))+--(NOT(EXACT(TEXT(G1022,"yyyy-mm-dd"),'AI output'!C1022)))+--(NOT(EXACT(H1022,'AI output'!D1022)))+--(NOT(EXACT(J1022,'AI output'!E1022)))+--(NOT(EXACT(K1022,'AI output'!F1022)))+--(N1022&lt;&gt;'AI output'!L1022)+--(NOT('AI output'!M1022)),0)</f>
        <v>0</v>
      </c>
      <c r="Z1022" s="1">
        <f t="shared" si="127"/>
        <v>0</v>
      </c>
      <c r="AA1022" s="1">
        <f>--EXACT(A1022,"L01016")</f>
        <v>1</v>
      </c>
    </row>
    <row r="1023" spans="1:27" ht="18.95" customHeight="1">
      <c r="A1023" s="1" t="str">
        <f>IF(Raw!A1023="","",Raw!A1023)</f>
        <v>L01017</v>
      </c>
      <c r="B1023" s="1" t="str">
        <f>IF(Raw!B1023="","",Raw!B1023)</f>
        <v>T00509</v>
      </c>
      <c r="C1023" s="1" t="str">
        <f>IF(Raw!C1023="","",Raw!C1023)</f>
        <v>2026-02-16</v>
      </c>
      <c r="D1023" s="1">
        <f t="shared" si="120"/>
        <v>2026</v>
      </c>
      <c r="E1023" s="1">
        <f>IFERROR(IF(AND(LEN(C1023)=10,MID(C1023,5,1)="-",MID(C1023,8,1)="-"),VALUE(MID(C1023,6,2)),IF(AND(LEN(C1023)=11,MID(C1023,3,1)="-",MID(C1023,7,1)="-"),MATCH(UPPER(MID(C1023,4,3)),Guide!$D$7:$D$18,0),0)),0)</f>
        <v>2</v>
      </c>
      <c r="F1023" s="1">
        <f t="shared" si="121"/>
        <v>16</v>
      </c>
      <c r="G1023" s="9">
        <f t="shared" si="122"/>
        <v>46069</v>
      </c>
      <c r="H1023" s="1" t="str">
        <f>IF(Raw!D1023="","",Raw!D1023)</f>
        <v>P-O</v>
      </c>
      <c r="I1023" s="1" t="str">
        <f>IFERROR(IF(EXACT(H1023,INDEX(Guide!$A$7:$A$9,MATCH(SUBSTITUTE(SUBSTITUTE(SUBSTITUTE(H1023,"~","~~"),"*","~*"),"?","~?"),Guide!$A$7:$A$9,0))),INDEX(Guide!$B$7:$B$9,MATCH(SUBSTITUTE(SUBSTITUTE(SUBSTITUTE(H1023,"~","~~"),"*","~*"),"?","~?"),Guide!$A$7:$A$9,0)),""),"")</f>
        <v>Office</v>
      </c>
      <c r="J1023" s="1" t="str">
        <f>IF(TRIM(Raw!E1023)="",I1023,IF(UPPER(TRIM(Raw!E1023))=UPPER(I1023),I1023,""))</f>
        <v>Office</v>
      </c>
      <c r="K1023" s="1" t="str">
        <f>IF(Raw!F1023="","",Raw!F1023)</f>
        <v>sale</v>
      </c>
      <c r="L1023" s="1" t="str">
        <f>IF(LEFT(TRIM(Raw!G1023),2)="-$","-"&amp;MID(TRIM(Raw!G1023),3,99),IF(LEFT(TRIM(Raw!G1023),1)="$",MID(TRIM(Raw!G1023),2,99),TRIM(Raw!G1023)))</f>
        <v>62.73</v>
      </c>
      <c r="M1023" s="1">
        <f t="shared" si="123"/>
        <v>62.73</v>
      </c>
      <c r="N1023" s="10">
        <f t="shared" si="124"/>
        <v>6273</v>
      </c>
      <c r="O1023" s="1" t="b">
        <f>IFERROR(IF(ISNUMBER(Raw!G1023),TRUE,OR(EXACT(L1023,TEXT(M1023,"0.00")),EXACT(L1023,TEXT(M1023,"#,##0.00")))),FALSE)</f>
        <v>1</v>
      </c>
      <c r="P1023" s="1" t="str">
        <f>LEN(IF(Raw!A1023="","",Raw!A1023))&amp;":"&amp;IF(Raw!A1023="","",Raw!A1023)&amp;"|"&amp;LEN(IF(Raw!B1023="","",Raw!B1023))&amp;":"&amp;IF(Raw!B1023="","",Raw!B1023)&amp;"|"&amp;LEN(IF(Raw!C1023="","",Raw!C1023))&amp;":"&amp;IF(Raw!C1023="","",Raw!C1023)&amp;"|"&amp;LEN(IF(Raw!D1023="","",Raw!D1023))&amp;":"&amp;IF(Raw!D1023="","",Raw!D1023)&amp;"|"&amp;LEN(IF(Raw!E1023="","",Raw!E1023))&amp;":"&amp;IF(Raw!E1023="","",Raw!E1023)&amp;"|"&amp;LEN(IF(Raw!F1023="","",Raw!F1023))&amp;":"&amp;IF(Raw!F1023="","",Raw!F1023)&amp;"|"&amp;LEN(IF(Raw!G1023="","",Raw!G1023))&amp;":"&amp;IF(Raw!G1023="","",Raw!G1023)</f>
        <v>6:L01017|6:T00509|10:2026-02-16|3:P-O|6:Office|4:sale|5:62.73</v>
      </c>
      <c r="Q1023" s="1">
        <f>1</f>
        <v>1</v>
      </c>
      <c r="R1023" s="1" t="b">
        <f>FALSE</f>
        <v>0</v>
      </c>
      <c r="S1023" s="1">
        <f>1</f>
        <v>1</v>
      </c>
      <c r="T1023" s="1" t="str">
        <f>IF(AND(Raw!A1023="",Raw!B1023="",Raw!C1023="",Raw!D1023="",Raw!E1023="",Raw!F1023="",Raw!G1023=""),"UNUSED",IF(A1023="","missing line ID",IF(B1023="","missing transaction ID",IF(G1023="",IF(C1023="","missing date","invalid date"),IF(I1023="","unknown product",IF(J1023="","conflicting category",IF(NOT(OR(EXACT(K1023,"sale"),EXACT(K1023,"refund"))),"unknown event",IF(OR(N1023="",NOT(O1023)),"invalid amount",IF(OR(AND(K1023="sale",N1023&lt;=0),AND(K1023="refund",N1023&gt;=0)),"invalid sign","")))))))))</f>
        <v/>
      </c>
      <c r="U1023" s="1" t="str">
        <f t="shared" si="125"/>
        <v>INCLUDED</v>
      </c>
      <c r="V1023" s="1" t="str">
        <f t="shared" si="126"/>
        <v>2026-02</v>
      </c>
      <c r="W1023" s="1">
        <f>IF(AND(U1023="INCLUDED",X1023&gt;0,EXACT(A1023,'AI output'!A1023)),1,0)</f>
        <v>1</v>
      </c>
      <c r="X1023" s="1">
        <f>1023</f>
        <v>1023</v>
      </c>
      <c r="Y1023" s="1">
        <f>IF(AND(U1023="INCLUDED",W1023=1),--(NOT(EXACT(A1023,'AI output'!A1023)))+--(NOT(EXACT(B1023,'AI output'!B1023)))+--(NOT(EXACT(TEXT(G1023,"yyyy-mm-dd"),'AI output'!C1023)))+--(NOT(EXACT(H1023,'AI output'!D1023)))+--(NOT(EXACT(J1023,'AI output'!E1023)))+--(NOT(EXACT(K1023,'AI output'!F1023)))+--(N1023&lt;&gt;'AI output'!L1023)+--(NOT('AI output'!M1023)),0)</f>
        <v>0</v>
      </c>
      <c r="Z1023" s="1">
        <f t="shared" si="127"/>
        <v>0</v>
      </c>
      <c r="AA1023" s="1">
        <f>--EXACT(A1023,"L01017")</f>
        <v>1</v>
      </c>
    </row>
    <row r="1024" spans="1:27" ht="18.95" customHeight="1">
      <c r="A1024" s="1" t="str">
        <f>IF(Raw!A1024="","",Raw!A1024)</f>
        <v>L01018</v>
      </c>
      <c r="B1024" s="1" t="str">
        <f>IF(Raw!B1024="","",Raw!B1024)</f>
        <v>T00509</v>
      </c>
      <c r="C1024" s="1" t="str">
        <f>IF(Raw!C1024="","",Raw!C1024)</f>
        <v>2026-02-16</v>
      </c>
      <c r="D1024" s="1">
        <f t="shared" si="120"/>
        <v>2026</v>
      </c>
      <c r="E1024" s="1">
        <f>IFERROR(IF(AND(LEN(C1024)=10,MID(C1024,5,1)="-",MID(C1024,8,1)="-"),VALUE(MID(C1024,6,2)),IF(AND(LEN(C1024)=11,MID(C1024,3,1)="-",MID(C1024,7,1)="-"),MATCH(UPPER(MID(C1024,4,3)),Guide!$D$7:$D$18,0),0)),0)</f>
        <v>2</v>
      </c>
      <c r="F1024" s="1">
        <f t="shared" si="121"/>
        <v>16</v>
      </c>
      <c r="G1024" s="9">
        <f t="shared" si="122"/>
        <v>46069</v>
      </c>
      <c r="H1024" s="1" t="str">
        <f>IF(Raw!D1024="","",Raw!D1024)</f>
        <v>P-A</v>
      </c>
      <c r="I1024" s="1" t="str">
        <f>IFERROR(IF(EXACT(H1024,INDEX(Guide!$A$7:$A$9,MATCH(SUBSTITUTE(SUBSTITUTE(SUBSTITUTE(H1024,"~","~~"),"*","~*"),"?","~?"),Guide!$A$7:$A$9,0))),INDEX(Guide!$B$7:$B$9,MATCH(SUBSTITUTE(SUBSTITUTE(SUBSTITUTE(H1024,"~","~~"),"*","~*"),"?","~?"),Guide!$A$7:$A$9,0)),""),"")</f>
        <v>Accessories</v>
      </c>
      <c r="J1024" s="1" t="str">
        <f>IF(TRIM(Raw!E1024)="",I1024,IF(UPPER(TRIM(Raw!E1024))=UPPER(I1024),I1024,""))</f>
        <v>Accessories</v>
      </c>
      <c r="K1024" s="1" t="str">
        <f>IF(Raw!F1024="","",Raw!F1024)</f>
        <v>sale</v>
      </c>
      <c r="L1024" s="1" t="str">
        <f>IF(LEFT(TRIM(Raw!G1024),2)="-$","-"&amp;MID(TRIM(Raw!G1024),3,99),IF(LEFT(TRIM(Raw!G1024),1)="$",MID(TRIM(Raw!G1024),2,99),TRIM(Raw!G1024)))</f>
        <v>106.40</v>
      </c>
      <c r="M1024" s="1">
        <f t="shared" si="123"/>
        <v>106.4</v>
      </c>
      <c r="N1024" s="10">
        <f t="shared" si="124"/>
        <v>10640</v>
      </c>
      <c r="O1024" s="1" t="b">
        <f>IFERROR(IF(ISNUMBER(Raw!G1024),TRUE,OR(EXACT(L1024,TEXT(M1024,"0.00")),EXACT(L1024,TEXT(M1024,"#,##0.00")))),FALSE)</f>
        <v>1</v>
      </c>
      <c r="P1024" s="1" t="str">
        <f>LEN(IF(Raw!A1024="","",Raw!A1024))&amp;":"&amp;IF(Raw!A1024="","",Raw!A1024)&amp;"|"&amp;LEN(IF(Raw!B1024="","",Raw!B1024))&amp;":"&amp;IF(Raw!B1024="","",Raw!B1024)&amp;"|"&amp;LEN(IF(Raw!C1024="","",Raw!C1024))&amp;":"&amp;IF(Raw!C1024="","",Raw!C1024)&amp;"|"&amp;LEN(IF(Raw!D1024="","",Raw!D1024))&amp;":"&amp;IF(Raw!D1024="","",Raw!D1024)&amp;"|"&amp;LEN(IF(Raw!E1024="","",Raw!E1024))&amp;":"&amp;IF(Raw!E1024="","",Raw!E1024)&amp;"|"&amp;LEN(IF(Raw!F1024="","",Raw!F1024))&amp;":"&amp;IF(Raw!F1024="","",Raw!F1024)&amp;"|"&amp;LEN(IF(Raw!G1024="","",Raw!G1024))&amp;":"&amp;IF(Raw!G1024="","",Raw!G1024)</f>
        <v>6:L01018|6:T00509|10:2026-02-16|3:P-A|11:Accessories|4:sale|6:106.40</v>
      </c>
      <c r="Q1024" s="1">
        <f>1</f>
        <v>1</v>
      </c>
      <c r="R1024" s="1" t="b">
        <f>FALSE</f>
        <v>0</v>
      </c>
      <c r="S1024" s="1">
        <f>1</f>
        <v>1</v>
      </c>
      <c r="T1024" s="1" t="str">
        <f>IF(AND(Raw!A1024="",Raw!B1024="",Raw!C1024="",Raw!D1024="",Raw!E1024="",Raw!F1024="",Raw!G1024=""),"UNUSED",IF(A1024="","missing line ID",IF(B1024="","missing transaction ID",IF(G1024="",IF(C1024="","missing date","invalid date"),IF(I1024="","unknown product",IF(J1024="","conflicting category",IF(NOT(OR(EXACT(K1024,"sale"),EXACT(K1024,"refund"))),"unknown event",IF(OR(N1024="",NOT(O1024)),"invalid amount",IF(OR(AND(K1024="sale",N1024&lt;=0),AND(K1024="refund",N1024&gt;=0)),"invalid sign","")))))))))</f>
        <v/>
      </c>
      <c r="U1024" s="1" t="str">
        <f t="shared" si="125"/>
        <v>INCLUDED</v>
      </c>
      <c r="V1024" s="1" t="str">
        <f t="shared" si="126"/>
        <v>2026-02</v>
      </c>
      <c r="W1024" s="1">
        <f>IF(AND(U1024="INCLUDED",X1024&gt;0,EXACT(A1024,'AI output'!A1024)),1,0)</f>
        <v>1</v>
      </c>
      <c r="X1024" s="1">
        <f>1024</f>
        <v>1024</v>
      </c>
      <c r="Y1024" s="1">
        <f>IF(AND(U1024="INCLUDED",W1024=1),--(NOT(EXACT(A1024,'AI output'!A1024)))+--(NOT(EXACT(B1024,'AI output'!B1024)))+--(NOT(EXACT(TEXT(G1024,"yyyy-mm-dd"),'AI output'!C1024)))+--(NOT(EXACT(H1024,'AI output'!D1024)))+--(NOT(EXACT(J1024,'AI output'!E1024)))+--(NOT(EXACT(K1024,'AI output'!F1024)))+--(N1024&lt;&gt;'AI output'!L1024)+--(NOT('AI output'!M1024)),0)</f>
        <v>0</v>
      </c>
      <c r="Z1024" s="1">
        <f t="shared" si="127"/>
        <v>0</v>
      </c>
      <c r="AA1024" s="1">
        <f>--EXACT(A1024,"L01018")</f>
        <v>1</v>
      </c>
    </row>
    <row r="1025" spans="1:27" ht="18.95" customHeight="1">
      <c r="A1025" s="1" t="str">
        <f>IF(Raw!A1025="","",Raw!A1025)</f>
        <v>L01019</v>
      </c>
      <c r="B1025" s="1" t="str">
        <f>IF(Raw!B1025="","",Raw!B1025)</f>
        <v>T00510</v>
      </c>
      <c r="C1025" s="1" t="str">
        <f>IF(Raw!C1025="","",Raw!C1025)</f>
        <v>2026-02-23</v>
      </c>
      <c r="D1025" s="1">
        <f t="shared" si="120"/>
        <v>2026</v>
      </c>
      <c r="E1025" s="1">
        <f>IFERROR(IF(AND(LEN(C1025)=10,MID(C1025,5,1)="-",MID(C1025,8,1)="-"),VALUE(MID(C1025,6,2)),IF(AND(LEN(C1025)=11,MID(C1025,3,1)="-",MID(C1025,7,1)="-"),MATCH(UPPER(MID(C1025,4,3)),Guide!$D$7:$D$18,0),0)),0)</f>
        <v>2</v>
      </c>
      <c r="F1025" s="1">
        <f t="shared" si="121"/>
        <v>23</v>
      </c>
      <c r="G1025" s="9">
        <f t="shared" si="122"/>
        <v>46076</v>
      </c>
      <c r="H1025" s="1" t="str">
        <f>IF(Raw!D1025="","",Raw!D1025)</f>
        <v>P-H</v>
      </c>
      <c r="I1025" s="1" t="str">
        <f>IFERROR(IF(EXACT(H1025,INDEX(Guide!$A$7:$A$9,MATCH(SUBSTITUTE(SUBSTITUTE(SUBSTITUTE(H1025,"~","~~"),"*","~*"),"?","~?"),Guide!$A$7:$A$9,0))),INDEX(Guide!$B$7:$B$9,MATCH(SUBSTITUTE(SUBSTITUTE(SUBSTITUTE(H1025,"~","~~"),"*","~*"),"?","~?"),Guide!$A$7:$A$9,0)),""),"")</f>
        <v>Home</v>
      </c>
      <c r="J1025" s="1" t="str">
        <f>IF(TRIM(Raw!E1025)="",I1025,IF(UPPER(TRIM(Raw!E1025))=UPPER(I1025),I1025,""))</f>
        <v>Home</v>
      </c>
      <c r="K1025" s="1" t="str">
        <f>IF(Raw!F1025="","",Raw!F1025)</f>
        <v>sale</v>
      </c>
      <c r="L1025" s="1" t="str">
        <f>IF(LEFT(TRIM(Raw!G1025),2)="-$","-"&amp;MID(TRIM(Raw!G1025),3,99),IF(LEFT(TRIM(Raw!G1025),1)="$",MID(TRIM(Raw!G1025),2,99),TRIM(Raw!G1025)))</f>
        <v>43.30</v>
      </c>
      <c r="M1025" s="1">
        <f t="shared" si="123"/>
        <v>43.3</v>
      </c>
      <c r="N1025" s="10">
        <f t="shared" si="124"/>
        <v>4330</v>
      </c>
      <c r="O1025" s="1" t="b">
        <f>IFERROR(IF(ISNUMBER(Raw!G1025),TRUE,OR(EXACT(L1025,TEXT(M1025,"0.00")),EXACT(L1025,TEXT(M1025,"#,##0.00")))),FALSE)</f>
        <v>1</v>
      </c>
      <c r="P1025" s="1" t="str">
        <f>LEN(IF(Raw!A1025="","",Raw!A1025))&amp;":"&amp;IF(Raw!A1025="","",Raw!A1025)&amp;"|"&amp;LEN(IF(Raw!B1025="","",Raw!B1025))&amp;":"&amp;IF(Raw!B1025="","",Raw!B1025)&amp;"|"&amp;LEN(IF(Raw!C1025="","",Raw!C1025))&amp;":"&amp;IF(Raw!C1025="","",Raw!C1025)&amp;"|"&amp;LEN(IF(Raw!D1025="","",Raw!D1025))&amp;":"&amp;IF(Raw!D1025="","",Raw!D1025)&amp;"|"&amp;LEN(IF(Raw!E1025="","",Raw!E1025))&amp;":"&amp;IF(Raw!E1025="","",Raw!E1025)&amp;"|"&amp;LEN(IF(Raw!F1025="","",Raw!F1025))&amp;":"&amp;IF(Raw!F1025="","",Raw!F1025)&amp;"|"&amp;LEN(IF(Raw!G1025="","",Raw!G1025))&amp;":"&amp;IF(Raw!G1025="","",Raw!G1025)</f>
        <v>6:L01019|6:T00510|10:2026-02-23|3:P-H|4:Home|4:sale|5:43.30</v>
      </c>
      <c r="Q1025" s="1">
        <f>1</f>
        <v>1</v>
      </c>
      <c r="R1025" s="1" t="b">
        <f>FALSE</f>
        <v>0</v>
      </c>
      <c r="S1025" s="1">
        <f>1</f>
        <v>1</v>
      </c>
      <c r="T1025" s="1" t="str">
        <f>IF(AND(Raw!A1025="",Raw!B1025="",Raw!C1025="",Raw!D1025="",Raw!E1025="",Raw!F1025="",Raw!G1025=""),"UNUSED",IF(A1025="","missing line ID",IF(B1025="","missing transaction ID",IF(G1025="",IF(C1025="","missing date","invalid date"),IF(I1025="","unknown product",IF(J1025="","conflicting category",IF(NOT(OR(EXACT(K1025,"sale"),EXACT(K1025,"refund"))),"unknown event",IF(OR(N1025="",NOT(O1025)),"invalid amount",IF(OR(AND(K1025="sale",N1025&lt;=0),AND(K1025="refund",N1025&gt;=0)),"invalid sign","")))))))))</f>
        <v/>
      </c>
      <c r="U1025" s="1" t="str">
        <f t="shared" si="125"/>
        <v>INCLUDED</v>
      </c>
      <c r="V1025" s="1" t="str">
        <f t="shared" si="126"/>
        <v>2026-02</v>
      </c>
      <c r="W1025" s="1">
        <f>IF(AND(U1025="INCLUDED",X1025&gt;0,EXACT(A1025,'AI output'!A1025)),1,0)</f>
        <v>1</v>
      </c>
      <c r="X1025" s="1">
        <f>1025</f>
        <v>1025</v>
      </c>
      <c r="Y1025" s="1">
        <f>IF(AND(U1025="INCLUDED",W1025=1),--(NOT(EXACT(A1025,'AI output'!A1025)))+--(NOT(EXACT(B1025,'AI output'!B1025)))+--(NOT(EXACT(TEXT(G1025,"yyyy-mm-dd"),'AI output'!C1025)))+--(NOT(EXACT(H1025,'AI output'!D1025)))+--(NOT(EXACT(J1025,'AI output'!E1025)))+--(NOT(EXACT(K1025,'AI output'!F1025)))+--(N1025&lt;&gt;'AI output'!L1025)+--(NOT('AI output'!M1025)),0)</f>
        <v>0</v>
      </c>
      <c r="Z1025" s="1">
        <f t="shared" si="127"/>
        <v>0</v>
      </c>
      <c r="AA1025" s="1">
        <f>--EXACT(A1025,"L01019")</f>
        <v>1</v>
      </c>
    </row>
    <row r="1026" spans="1:27" ht="18.95" customHeight="1">
      <c r="A1026" s="1" t="str">
        <f>IF(Raw!A1026="","",Raw!A1026)</f>
        <v>L01020</v>
      </c>
      <c r="B1026" s="1" t="str">
        <f>IF(Raw!B1026="","",Raw!B1026)</f>
        <v>T00510</v>
      </c>
      <c r="C1026" s="1" t="str">
        <f>IF(Raw!C1026="","",Raw!C1026)</f>
        <v>2026-02-23</v>
      </c>
      <c r="D1026" s="1">
        <f t="shared" si="120"/>
        <v>2026</v>
      </c>
      <c r="E1026" s="1">
        <f>IFERROR(IF(AND(LEN(C1026)=10,MID(C1026,5,1)="-",MID(C1026,8,1)="-"),VALUE(MID(C1026,6,2)),IF(AND(LEN(C1026)=11,MID(C1026,3,1)="-",MID(C1026,7,1)="-"),MATCH(UPPER(MID(C1026,4,3)),Guide!$D$7:$D$18,0),0)),0)</f>
        <v>2</v>
      </c>
      <c r="F1026" s="1">
        <f t="shared" si="121"/>
        <v>23</v>
      </c>
      <c r="G1026" s="9">
        <f t="shared" si="122"/>
        <v>46076</v>
      </c>
      <c r="H1026" s="1" t="str">
        <f>IF(Raw!D1026="","",Raw!D1026)</f>
        <v>P-O</v>
      </c>
      <c r="I1026" s="1" t="str">
        <f>IFERROR(IF(EXACT(H1026,INDEX(Guide!$A$7:$A$9,MATCH(SUBSTITUTE(SUBSTITUTE(SUBSTITUTE(H1026,"~","~~"),"*","~*"),"?","~?"),Guide!$A$7:$A$9,0))),INDEX(Guide!$B$7:$B$9,MATCH(SUBSTITUTE(SUBSTITUTE(SUBSTITUTE(H1026,"~","~~"),"*","~*"),"?","~?"),Guide!$A$7:$A$9,0)),""),"")</f>
        <v>Office</v>
      </c>
      <c r="J1026" s="1" t="str">
        <f>IF(TRIM(Raw!E1026)="",I1026,IF(UPPER(TRIM(Raw!E1026))=UPPER(I1026),I1026,""))</f>
        <v>Office</v>
      </c>
      <c r="K1026" s="1" t="str">
        <f>IF(Raw!F1026="","",Raw!F1026)</f>
        <v>sale</v>
      </c>
      <c r="L1026" s="1" t="str">
        <f>IF(LEFT(TRIM(Raw!G1026),2)="-$","-"&amp;MID(TRIM(Raw!G1026),3,99),IF(LEFT(TRIM(Raw!G1026),1)="$",MID(TRIM(Raw!G1026),2,99),TRIM(Raw!G1026)))</f>
        <v>88.08</v>
      </c>
      <c r="M1026" s="1">
        <f t="shared" si="123"/>
        <v>88.08</v>
      </c>
      <c r="N1026" s="10">
        <f t="shared" si="124"/>
        <v>8808</v>
      </c>
      <c r="O1026" s="1" t="b">
        <f>IFERROR(IF(ISNUMBER(Raw!G1026),TRUE,OR(EXACT(L1026,TEXT(M1026,"0.00")),EXACT(L1026,TEXT(M1026,"#,##0.00")))),FALSE)</f>
        <v>1</v>
      </c>
      <c r="P1026" s="1" t="str">
        <f>LEN(IF(Raw!A1026="","",Raw!A1026))&amp;":"&amp;IF(Raw!A1026="","",Raw!A1026)&amp;"|"&amp;LEN(IF(Raw!B1026="","",Raw!B1026))&amp;":"&amp;IF(Raw!B1026="","",Raw!B1026)&amp;"|"&amp;LEN(IF(Raw!C1026="","",Raw!C1026))&amp;":"&amp;IF(Raw!C1026="","",Raw!C1026)&amp;"|"&amp;LEN(IF(Raw!D1026="","",Raw!D1026))&amp;":"&amp;IF(Raw!D1026="","",Raw!D1026)&amp;"|"&amp;LEN(IF(Raw!E1026="","",Raw!E1026))&amp;":"&amp;IF(Raw!E1026="","",Raw!E1026)&amp;"|"&amp;LEN(IF(Raw!F1026="","",Raw!F1026))&amp;":"&amp;IF(Raw!F1026="","",Raw!F1026)&amp;"|"&amp;LEN(IF(Raw!G1026="","",Raw!G1026))&amp;":"&amp;IF(Raw!G1026="","",Raw!G1026)</f>
        <v>6:L01020|6:T00510|10:2026-02-23|3:P-O|6:Office|4:sale|5:88.08</v>
      </c>
      <c r="Q1026" s="1">
        <f>1</f>
        <v>1</v>
      </c>
      <c r="R1026" s="1" t="b">
        <f>FALSE</f>
        <v>0</v>
      </c>
      <c r="S1026" s="1">
        <f>1</f>
        <v>1</v>
      </c>
      <c r="T1026" s="1" t="str">
        <f>IF(AND(Raw!A1026="",Raw!B1026="",Raw!C1026="",Raw!D1026="",Raw!E1026="",Raw!F1026="",Raw!G1026=""),"UNUSED",IF(A1026="","missing line ID",IF(B1026="","missing transaction ID",IF(G1026="",IF(C1026="","missing date","invalid date"),IF(I1026="","unknown product",IF(J1026="","conflicting category",IF(NOT(OR(EXACT(K1026,"sale"),EXACT(K1026,"refund"))),"unknown event",IF(OR(N1026="",NOT(O1026)),"invalid amount",IF(OR(AND(K1026="sale",N1026&lt;=0),AND(K1026="refund",N1026&gt;=0)),"invalid sign","")))))))))</f>
        <v/>
      </c>
      <c r="U1026" s="1" t="str">
        <f t="shared" si="125"/>
        <v>INCLUDED</v>
      </c>
      <c r="V1026" s="1" t="str">
        <f t="shared" si="126"/>
        <v>2026-02</v>
      </c>
      <c r="W1026" s="1">
        <f>IF(AND(U1026="INCLUDED",X1026&gt;0,EXACT(A1026,'AI output'!A1026)),1,0)</f>
        <v>1</v>
      </c>
      <c r="X1026" s="1">
        <f>1026</f>
        <v>1026</v>
      </c>
      <c r="Y1026" s="1">
        <f>IF(AND(U1026="INCLUDED",W1026=1),--(NOT(EXACT(A1026,'AI output'!A1026)))+--(NOT(EXACT(B1026,'AI output'!B1026)))+--(NOT(EXACT(TEXT(G1026,"yyyy-mm-dd"),'AI output'!C1026)))+--(NOT(EXACT(H1026,'AI output'!D1026)))+--(NOT(EXACT(J1026,'AI output'!E1026)))+--(NOT(EXACT(K1026,'AI output'!F1026)))+--(N1026&lt;&gt;'AI output'!L1026)+--(NOT('AI output'!M1026)),0)</f>
        <v>0</v>
      </c>
      <c r="Z1026" s="1">
        <f t="shared" si="127"/>
        <v>0</v>
      </c>
      <c r="AA1026" s="1">
        <f>--EXACT(A1026,"L01020")</f>
        <v>1</v>
      </c>
    </row>
    <row r="1027" spans="1:27" ht="18.95" customHeight="1">
      <c r="A1027" s="1" t="str">
        <f>IF(Raw!A1027="","",Raw!A1027)</f>
        <v>L01021</v>
      </c>
      <c r="B1027" s="1" t="str">
        <f>IF(Raw!B1027="","",Raw!B1027)</f>
        <v>T00511</v>
      </c>
      <c r="C1027" s="1" t="str">
        <f>IF(Raw!C1027="","",Raw!C1027)</f>
        <v>2026-03-02</v>
      </c>
      <c r="D1027" s="1">
        <f t="shared" si="120"/>
        <v>2026</v>
      </c>
      <c r="E1027" s="1">
        <f>IFERROR(IF(AND(LEN(C1027)=10,MID(C1027,5,1)="-",MID(C1027,8,1)="-"),VALUE(MID(C1027,6,2)),IF(AND(LEN(C1027)=11,MID(C1027,3,1)="-",MID(C1027,7,1)="-"),MATCH(UPPER(MID(C1027,4,3)),Guide!$D$7:$D$18,0),0)),0)</f>
        <v>3</v>
      </c>
      <c r="F1027" s="1">
        <f t="shared" si="121"/>
        <v>2</v>
      </c>
      <c r="G1027" s="9">
        <f t="shared" si="122"/>
        <v>46083</v>
      </c>
      <c r="H1027" s="1" t="str">
        <f>IF(Raw!D1027="","",Raw!D1027)</f>
        <v>P-A</v>
      </c>
      <c r="I1027" s="1" t="str">
        <f>IFERROR(IF(EXACT(H1027,INDEX(Guide!$A$7:$A$9,MATCH(SUBSTITUTE(SUBSTITUTE(SUBSTITUTE(H1027,"~","~~"),"*","~*"),"?","~?"),Guide!$A$7:$A$9,0))),INDEX(Guide!$B$7:$B$9,MATCH(SUBSTITUTE(SUBSTITUTE(SUBSTITUTE(H1027,"~","~~"),"*","~*"),"?","~?"),Guide!$A$7:$A$9,0)),""),"")</f>
        <v>Accessories</v>
      </c>
      <c r="J1027" s="1" t="str">
        <f>IF(TRIM(Raw!E1027)="",I1027,IF(UPPER(TRIM(Raw!E1027))=UPPER(I1027),I1027,""))</f>
        <v>Accessories</v>
      </c>
      <c r="K1027" s="1" t="str">
        <f>IF(Raw!F1027="","",Raw!F1027)</f>
        <v>sale</v>
      </c>
      <c r="L1027" s="1" t="str">
        <f>IF(LEFT(TRIM(Raw!G1027),2)="-$","-"&amp;MID(TRIM(Raw!G1027),3,99),IF(LEFT(TRIM(Raw!G1027),1)="$",MID(TRIM(Raw!G1027),2,99),TRIM(Raw!G1027)))</f>
        <v>22.39</v>
      </c>
      <c r="M1027" s="1">
        <f t="shared" si="123"/>
        <v>22.39</v>
      </c>
      <c r="N1027" s="10">
        <f t="shared" si="124"/>
        <v>2239</v>
      </c>
      <c r="O1027" s="1" t="b">
        <f>IFERROR(IF(ISNUMBER(Raw!G1027),TRUE,OR(EXACT(L1027,TEXT(M1027,"0.00")),EXACT(L1027,TEXT(M1027,"#,##0.00")))),FALSE)</f>
        <v>1</v>
      </c>
      <c r="P1027" s="1" t="str">
        <f>LEN(IF(Raw!A1027="","",Raw!A1027))&amp;":"&amp;IF(Raw!A1027="","",Raw!A1027)&amp;"|"&amp;LEN(IF(Raw!B1027="","",Raw!B1027))&amp;":"&amp;IF(Raw!B1027="","",Raw!B1027)&amp;"|"&amp;LEN(IF(Raw!C1027="","",Raw!C1027))&amp;":"&amp;IF(Raw!C1027="","",Raw!C1027)&amp;"|"&amp;LEN(IF(Raw!D1027="","",Raw!D1027))&amp;":"&amp;IF(Raw!D1027="","",Raw!D1027)&amp;"|"&amp;LEN(IF(Raw!E1027="","",Raw!E1027))&amp;":"&amp;IF(Raw!E1027="","",Raw!E1027)&amp;"|"&amp;LEN(IF(Raw!F1027="","",Raw!F1027))&amp;":"&amp;IF(Raw!F1027="","",Raw!F1027)&amp;"|"&amp;LEN(IF(Raw!G1027="","",Raw!G1027))&amp;":"&amp;IF(Raw!G1027="","",Raw!G1027)</f>
        <v>6:L01021|6:T00511|10:2026-03-02|3:P-A|11:Accessories|4:sale|5:22.39</v>
      </c>
      <c r="Q1027" s="1">
        <f>1</f>
        <v>1</v>
      </c>
      <c r="R1027" s="1" t="b">
        <f>FALSE</f>
        <v>0</v>
      </c>
      <c r="S1027" s="1">
        <f>1</f>
        <v>1</v>
      </c>
      <c r="T1027" s="1" t="str">
        <f>IF(AND(Raw!A1027="",Raw!B1027="",Raw!C1027="",Raw!D1027="",Raw!E1027="",Raw!F1027="",Raw!G1027=""),"UNUSED",IF(A1027="","missing line ID",IF(B1027="","missing transaction ID",IF(G1027="",IF(C1027="","missing date","invalid date"),IF(I1027="","unknown product",IF(J1027="","conflicting category",IF(NOT(OR(EXACT(K1027,"sale"),EXACT(K1027,"refund"))),"unknown event",IF(OR(N1027="",NOT(O1027)),"invalid amount",IF(OR(AND(K1027="sale",N1027&lt;=0),AND(K1027="refund",N1027&gt;=0)),"invalid sign","")))))))))</f>
        <v/>
      </c>
      <c r="U1027" s="1" t="str">
        <f t="shared" si="125"/>
        <v>INCLUDED</v>
      </c>
      <c r="V1027" s="1" t="str">
        <f t="shared" si="126"/>
        <v>2026-03</v>
      </c>
      <c r="W1027" s="1">
        <f>IF(AND(U1027="INCLUDED",X1027&gt;0,EXACT(A1027,'AI output'!A1027)),1,0)</f>
        <v>1</v>
      </c>
      <c r="X1027" s="1">
        <f>1027</f>
        <v>1027</v>
      </c>
      <c r="Y1027" s="1">
        <f>IF(AND(U1027="INCLUDED",W1027=1),--(NOT(EXACT(A1027,'AI output'!A1027)))+--(NOT(EXACT(B1027,'AI output'!B1027)))+--(NOT(EXACT(TEXT(G1027,"yyyy-mm-dd"),'AI output'!C1027)))+--(NOT(EXACT(H1027,'AI output'!D1027)))+--(NOT(EXACT(J1027,'AI output'!E1027)))+--(NOT(EXACT(K1027,'AI output'!F1027)))+--(N1027&lt;&gt;'AI output'!L1027)+--(NOT('AI output'!M1027)),0)</f>
        <v>0</v>
      </c>
      <c r="Z1027" s="1">
        <f t="shared" si="127"/>
        <v>0</v>
      </c>
      <c r="AA1027" s="1">
        <f>--EXACT(A1027,"L01021")</f>
        <v>1</v>
      </c>
    </row>
    <row r="1028" spans="1:27" ht="18.95" customHeight="1">
      <c r="A1028" s="1" t="str">
        <f>IF(Raw!A1028="","",Raw!A1028)</f>
        <v>L01022</v>
      </c>
      <c r="B1028" s="1" t="str">
        <f>IF(Raw!B1028="","",Raw!B1028)</f>
        <v>T00511</v>
      </c>
      <c r="C1028" s="1" t="str">
        <f>IF(Raw!C1028="","",Raw!C1028)</f>
        <v>2026-03-02</v>
      </c>
      <c r="D1028" s="1">
        <f t="shared" si="120"/>
        <v>2026</v>
      </c>
      <c r="E1028" s="1">
        <f>IFERROR(IF(AND(LEN(C1028)=10,MID(C1028,5,1)="-",MID(C1028,8,1)="-"),VALUE(MID(C1028,6,2)),IF(AND(LEN(C1028)=11,MID(C1028,3,1)="-",MID(C1028,7,1)="-"),MATCH(UPPER(MID(C1028,4,3)),Guide!$D$7:$D$18,0),0)),0)</f>
        <v>3</v>
      </c>
      <c r="F1028" s="1">
        <f t="shared" si="121"/>
        <v>2</v>
      </c>
      <c r="G1028" s="9">
        <f t="shared" si="122"/>
        <v>46083</v>
      </c>
      <c r="H1028" s="1" t="str">
        <f>IF(Raw!D1028="","",Raw!D1028)</f>
        <v>P-H</v>
      </c>
      <c r="I1028" s="1" t="str">
        <f>IFERROR(IF(EXACT(H1028,INDEX(Guide!$A$7:$A$9,MATCH(SUBSTITUTE(SUBSTITUTE(SUBSTITUTE(H1028,"~","~~"),"*","~*"),"?","~?"),Guide!$A$7:$A$9,0))),INDEX(Guide!$B$7:$B$9,MATCH(SUBSTITUTE(SUBSTITUTE(SUBSTITUTE(H1028,"~","~~"),"*","~*"),"?","~?"),Guide!$A$7:$A$9,0)),""),"")</f>
        <v>Home</v>
      </c>
      <c r="J1028" s="1" t="str">
        <f>IF(TRIM(Raw!E1028)="",I1028,IF(UPPER(TRIM(Raw!E1028))=UPPER(I1028),I1028,""))</f>
        <v>Home</v>
      </c>
      <c r="K1028" s="1" t="str">
        <f>IF(Raw!F1028="","",Raw!F1028)</f>
        <v>sale</v>
      </c>
      <c r="L1028" s="1" t="str">
        <f>IF(LEFT(TRIM(Raw!G1028),2)="-$","-"&amp;MID(TRIM(Raw!G1028),3,99),IF(LEFT(TRIM(Raw!G1028),1)="$",MID(TRIM(Raw!G1028),2,99),TRIM(Raw!G1028)))</f>
        <v>68.28</v>
      </c>
      <c r="M1028" s="1">
        <f t="shared" si="123"/>
        <v>68.28</v>
      </c>
      <c r="N1028" s="10">
        <f t="shared" si="124"/>
        <v>6828</v>
      </c>
      <c r="O1028" s="1" t="b">
        <f>IFERROR(IF(ISNUMBER(Raw!G1028),TRUE,OR(EXACT(L1028,TEXT(M1028,"0.00")),EXACT(L1028,TEXT(M1028,"#,##0.00")))),FALSE)</f>
        <v>1</v>
      </c>
      <c r="P1028" s="1" t="str">
        <f>LEN(IF(Raw!A1028="","",Raw!A1028))&amp;":"&amp;IF(Raw!A1028="","",Raw!A1028)&amp;"|"&amp;LEN(IF(Raw!B1028="","",Raw!B1028))&amp;":"&amp;IF(Raw!B1028="","",Raw!B1028)&amp;"|"&amp;LEN(IF(Raw!C1028="","",Raw!C1028))&amp;":"&amp;IF(Raw!C1028="","",Raw!C1028)&amp;"|"&amp;LEN(IF(Raw!D1028="","",Raw!D1028))&amp;":"&amp;IF(Raw!D1028="","",Raw!D1028)&amp;"|"&amp;LEN(IF(Raw!E1028="","",Raw!E1028))&amp;":"&amp;IF(Raw!E1028="","",Raw!E1028)&amp;"|"&amp;LEN(IF(Raw!F1028="","",Raw!F1028))&amp;":"&amp;IF(Raw!F1028="","",Raw!F1028)&amp;"|"&amp;LEN(IF(Raw!G1028="","",Raw!G1028))&amp;":"&amp;IF(Raw!G1028="","",Raw!G1028)</f>
        <v>6:L01022|6:T00511|10:2026-03-02|3:P-H|4:Home|4:sale|5:68.28</v>
      </c>
      <c r="Q1028" s="1">
        <f>1</f>
        <v>1</v>
      </c>
      <c r="R1028" s="1" t="b">
        <f>FALSE</f>
        <v>0</v>
      </c>
      <c r="S1028" s="1">
        <f>1</f>
        <v>1</v>
      </c>
      <c r="T1028" s="1" t="str">
        <f>IF(AND(Raw!A1028="",Raw!B1028="",Raw!C1028="",Raw!D1028="",Raw!E1028="",Raw!F1028="",Raw!G1028=""),"UNUSED",IF(A1028="","missing line ID",IF(B1028="","missing transaction ID",IF(G1028="",IF(C1028="","missing date","invalid date"),IF(I1028="","unknown product",IF(J1028="","conflicting category",IF(NOT(OR(EXACT(K1028,"sale"),EXACT(K1028,"refund"))),"unknown event",IF(OR(N1028="",NOT(O1028)),"invalid amount",IF(OR(AND(K1028="sale",N1028&lt;=0),AND(K1028="refund",N1028&gt;=0)),"invalid sign","")))))))))</f>
        <v/>
      </c>
      <c r="U1028" s="1" t="str">
        <f t="shared" si="125"/>
        <v>INCLUDED</v>
      </c>
      <c r="V1028" s="1" t="str">
        <f t="shared" si="126"/>
        <v>2026-03</v>
      </c>
      <c r="W1028" s="1">
        <f>IF(AND(U1028="INCLUDED",X1028&gt;0,EXACT(A1028,'AI output'!A1028)),1,0)</f>
        <v>1</v>
      </c>
      <c r="X1028" s="1">
        <f>1028</f>
        <v>1028</v>
      </c>
      <c r="Y1028" s="1">
        <f>IF(AND(U1028="INCLUDED",W1028=1),--(NOT(EXACT(A1028,'AI output'!A1028)))+--(NOT(EXACT(B1028,'AI output'!B1028)))+--(NOT(EXACT(TEXT(G1028,"yyyy-mm-dd"),'AI output'!C1028)))+--(NOT(EXACT(H1028,'AI output'!D1028)))+--(NOT(EXACT(J1028,'AI output'!E1028)))+--(NOT(EXACT(K1028,'AI output'!F1028)))+--(N1028&lt;&gt;'AI output'!L1028)+--(NOT('AI output'!M1028)),0)</f>
        <v>0</v>
      </c>
      <c r="Z1028" s="1">
        <f t="shared" si="127"/>
        <v>0</v>
      </c>
      <c r="AA1028" s="1">
        <f>--EXACT(A1028,"L01022")</f>
        <v>1</v>
      </c>
    </row>
    <row r="1029" spans="1:27" ht="18.95" customHeight="1">
      <c r="A1029" s="1" t="str">
        <f>IF(Raw!A1029="","",Raw!A1029)</f>
        <v>L01023</v>
      </c>
      <c r="B1029" s="1" t="str">
        <f>IF(Raw!B1029="","",Raw!B1029)</f>
        <v>T00512</v>
      </c>
      <c r="C1029" s="1" t="str">
        <f>IF(Raw!C1029="","",Raw!C1029)</f>
        <v>2026-03-09</v>
      </c>
      <c r="D1029" s="1">
        <f t="shared" si="120"/>
        <v>2026</v>
      </c>
      <c r="E1029" s="1">
        <f>IFERROR(IF(AND(LEN(C1029)=10,MID(C1029,5,1)="-",MID(C1029,8,1)="-"),VALUE(MID(C1029,6,2)),IF(AND(LEN(C1029)=11,MID(C1029,3,1)="-",MID(C1029,7,1)="-"),MATCH(UPPER(MID(C1029,4,3)),Guide!$D$7:$D$18,0),0)),0)</f>
        <v>3</v>
      </c>
      <c r="F1029" s="1">
        <f t="shared" si="121"/>
        <v>9</v>
      </c>
      <c r="G1029" s="9">
        <f t="shared" si="122"/>
        <v>46090</v>
      </c>
      <c r="H1029" s="1" t="str">
        <f>IF(Raw!D1029="","",Raw!D1029)</f>
        <v>P-O</v>
      </c>
      <c r="I1029" s="1" t="str">
        <f>IFERROR(IF(EXACT(H1029,INDEX(Guide!$A$7:$A$9,MATCH(SUBSTITUTE(SUBSTITUTE(SUBSTITUTE(H1029,"~","~~"),"*","~*"),"?","~?"),Guide!$A$7:$A$9,0))),INDEX(Guide!$B$7:$B$9,MATCH(SUBSTITUTE(SUBSTITUTE(SUBSTITUTE(H1029,"~","~~"),"*","~*"),"?","~?"),Guide!$A$7:$A$9,0)),""),"")</f>
        <v>Office</v>
      </c>
      <c r="J1029" s="1" t="str">
        <f>IF(TRIM(Raw!E1029)="",I1029,IF(UPPER(TRIM(Raw!E1029))=UPPER(I1029),I1029,""))</f>
        <v>Office</v>
      </c>
      <c r="K1029" s="1" t="str">
        <f>IF(Raw!F1029="","",Raw!F1029)</f>
        <v>sale</v>
      </c>
      <c r="L1029" s="1" t="str">
        <f>IF(LEFT(TRIM(Raw!G1029),2)="-$","-"&amp;MID(TRIM(Raw!G1029),3,99),IF(LEFT(TRIM(Raw!G1029),1)="$",MID(TRIM(Raw!G1029),2,99),TRIM(Raw!G1029)))</f>
        <v>115.65</v>
      </c>
      <c r="M1029" s="1">
        <f t="shared" si="123"/>
        <v>115.65</v>
      </c>
      <c r="N1029" s="10">
        <f t="shared" si="124"/>
        <v>11565</v>
      </c>
      <c r="O1029" s="1" t="b">
        <f>IFERROR(IF(ISNUMBER(Raw!G1029),TRUE,OR(EXACT(L1029,TEXT(M1029,"0.00")),EXACT(L1029,TEXT(M1029,"#,##0.00")))),FALSE)</f>
        <v>1</v>
      </c>
      <c r="P1029" s="1" t="str">
        <f>LEN(IF(Raw!A1029="","",Raw!A1029))&amp;":"&amp;IF(Raw!A1029="","",Raw!A1029)&amp;"|"&amp;LEN(IF(Raw!B1029="","",Raw!B1029))&amp;":"&amp;IF(Raw!B1029="","",Raw!B1029)&amp;"|"&amp;LEN(IF(Raw!C1029="","",Raw!C1029))&amp;":"&amp;IF(Raw!C1029="","",Raw!C1029)&amp;"|"&amp;LEN(IF(Raw!D1029="","",Raw!D1029))&amp;":"&amp;IF(Raw!D1029="","",Raw!D1029)&amp;"|"&amp;LEN(IF(Raw!E1029="","",Raw!E1029))&amp;":"&amp;IF(Raw!E1029="","",Raw!E1029)&amp;"|"&amp;LEN(IF(Raw!F1029="","",Raw!F1029))&amp;":"&amp;IF(Raw!F1029="","",Raw!F1029)&amp;"|"&amp;LEN(IF(Raw!G1029="","",Raw!G1029))&amp;":"&amp;IF(Raw!G1029="","",Raw!G1029)</f>
        <v>6:L01023|6:T00512|10:2026-03-09|3:P-O|6:Office|4:sale|6:115.65</v>
      </c>
      <c r="Q1029" s="1">
        <f>1</f>
        <v>1</v>
      </c>
      <c r="R1029" s="1" t="b">
        <f>FALSE</f>
        <v>0</v>
      </c>
      <c r="S1029" s="1">
        <f>1</f>
        <v>1</v>
      </c>
      <c r="T1029" s="1" t="str">
        <f>IF(AND(Raw!A1029="",Raw!B1029="",Raw!C1029="",Raw!D1029="",Raw!E1029="",Raw!F1029="",Raw!G1029=""),"UNUSED",IF(A1029="","missing line ID",IF(B1029="","missing transaction ID",IF(G1029="",IF(C1029="","missing date","invalid date"),IF(I1029="","unknown product",IF(J1029="","conflicting category",IF(NOT(OR(EXACT(K1029,"sale"),EXACT(K1029,"refund"))),"unknown event",IF(OR(N1029="",NOT(O1029)),"invalid amount",IF(OR(AND(K1029="sale",N1029&lt;=0),AND(K1029="refund",N1029&gt;=0)),"invalid sign","")))))))))</f>
        <v/>
      </c>
      <c r="U1029" s="1" t="str">
        <f t="shared" si="125"/>
        <v>INCLUDED</v>
      </c>
      <c r="V1029" s="1" t="str">
        <f t="shared" si="126"/>
        <v>2026-03</v>
      </c>
      <c r="W1029" s="1">
        <f>IF(AND(U1029="INCLUDED",X1029&gt;0,EXACT(A1029,'AI output'!A1029)),1,0)</f>
        <v>1</v>
      </c>
      <c r="X1029" s="1">
        <f>1029</f>
        <v>1029</v>
      </c>
      <c r="Y1029" s="1">
        <f>IF(AND(U1029="INCLUDED",W1029=1),--(NOT(EXACT(A1029,'AI output'!A1029)))+--(NOT(EXACT(B1029,'AI output'!B1029)))+--(NOT(EXACT(TEXT(G1029,"yyyy-mm-dd"),'AI output'!C1029)))+--(NOT(EXACT(H1029,'AI output'!D1029)))+--(NOT(EXACT(J1029,'AI output'!E1029)))+--(NOT(EXACT(K1029,'AI output'!F1029)))+--(N1029&lt;&gt;'AI output'!L1029)+--(NOT('AI output'!M1029)),0)</f>
        <v>0</v>
      </c>
      <c r="Z1029" s="1">
        <f t="shared" si="127"/>
        <v>0</v>
      </c>
      <c r="AA1029" s="1">
        <f>--EXACT(A1029,"L01023")</f>
        <v>1</v>
      </c>
    </row>
    <row r="1030" spans="1:27" ht="18.95" customHeight="1">
      <c r="A1030" s="1" t="str">
        <f>IF(Raw!A1030="","",Raw!A1030)</f>
        <v>L01024</v>
      </c>
      <c r="B1030" s="1" t="str">
        <f>IF(Raw!B1030="","",Raw!B1030)</f>
        <v>T00512</v>
      </c>
      <c r="C1030" s="1" t="str">
        <f>IF(Raw!C1030="","",Raw!C1030)</f>
        <v>2026-03-09</v>
      </c>
      <c r="D1030" s="1">
        <f t="shared" si="120"/>
        <v>2026</v>
      </c>
      <c r="E1030" s="1">
        <f>IFERROR(IF(AND(LEN(C1030)=10,MID(C1030,5,1)="-",MID(C1030,8,1)="-"),VALUE(MID(C1030,6,2)),IF(AND(LEN(C1030)=11,MID(C1030,3,1)="-",MID(C1030,7,1)="-"),MATCH(UPPER(MID(C1030,4,3)),Guide!$D$7:$D$18,0),0)),0)</f>
        <v>3</v>
      </c>
      <c r="F1030" s="1">
        <f t="shared" si="121"/>
        <v>9</v>
      </c>
      <c r="G1030" s="9">
        <f t="shared" si="122"/>
        <v>46090</v>
      </c>
      <c r="H1030" s="1" t="str">
        <f>IF(Raw!D1030="","",Raw!D1030)</f>
        <v>P-A</v>
      </c>
      <c r="I1030" s="1" t="str">
        <f>IFERROR(IF(EXACT(H1030,INDEX(Guide!$A$7:$A$9,MATCH(SUBSTITUTE(SUBSTITUTE(SUBSTITUTE(H1030,"~","~~"),"*","~*"),"?","~?"),Guide!$A$7:$A$9,0))),INDEX(Guide!$B$7:$B$9,MATCH(SUBSTITUTE(SUBSTITUTE(SUBSTITUTE(H1030,"~","~~"),"*","~*"),"?","~?"),Guide!$A$7:$A$9,0)),""),"")</f>
        <v>Accessories</v>
      </c>
      <c r="J1030" s="1" t="str">
        <f>IF(TRIM(Raw!E1030)="",I1030,IF(UPPER(TRIM(Raw!E1030))=UPPER(I1030),I1030,""))</f>
        <v>Accessories</v>
      </c>
      <c r="K1030" s="1" t="str">
        <f>IF(Raw!F1030="","",Raw!F1030)</f>
        <v>sale</v>
      </c>
      <c r="L1030" s="1" t="str">
        <f>IF(LEFT(TRIM(Raw!G1030),2)="-$","-"&amp;MID(TRIM(Raw!G1030),3,99),IF(LEFT(TRIM(Raw!G1030),1)="$",MID(TRIM(Raw!G1030),2,99),TRIM(Raw!G1030)))</f>
        <v>47.00</v>
      </c>
      <c r="M1030" s="1">
        <f t="shared" si="123"/>
        <v>47</v>
      </c>
      <c r="N1030" s="10">
        <f t="shared" si="124"/>
        <v>4700</v>
      </c>
      <c r="O1030" s="1" t="b">
        <f>IFERROR(IF(ISNUMBER(Raw!G1030),TRUE,OR(EXACT(L1030,TEXT(M1030,"0.00")),EXACT(L1030,TEXT(M1030,"#,##0.00")))),FALSE)</f>
        <v>1</v>
      </c>
      <c r="P1030" s="1" t="str">
        <f>LEN(IF(Raw!A1030="","",Raw!A1030))&amp;":"&amp;IF(Raw!A1030="","",Raw!A1030)&amp;"|"&amp;LEN(IF(Raw!B1030="","",Raw!B1030))&amp;":"&amp;IF(Raw!B1030="","",Raw!B1030)&amp;"|"&amp;LEN(IF(Raw!C1030="","",Raw!C1030))&amp;":"&amp;IF(Raw!C1030="","",Raw!C1030)&amp;"|"&amp;LEN(IF(Raw!D1030="","",Raw!D1030))&amp;":"&amp;IF(Raw!D1030="","",Raw!D1030)&amp;"|"&amp;LEN(IF(Raw!E1030="","",Raw!E1030))&amp;":"&amp;IF(Raw!E1030="","",Raw!E1030)&amp;"|"&amp;LEN(IF(Raw!F1030="","",Raw!F1030))&amp;":"&amp;IF(Raw!F1030="","",Raw!F1030)&amp;"|"&amp;LEN(IF(Raw!G1030="","",Raw!G1030))&amp;":"&amp;IF(Raw!G1030="","",Raw!G1030)</f>
        <v>6:L01024|6:T00512|10:2026-03-09|3:P-A|11:Accessories|4:sale|5:47.00</v>
      </c>
      <c r="Q1030" s="1">
        <f>1</f>
        <v>1</v>
      </c>
      <c r="R1030" s="1" t="b">
        <f>FALSE</f>
        <v>0</v>
      </c>
      <c r="S1030" s="1">
        <f>1</f>
        <v>1</v>
      </c>
      <c r="T1030" s="1" t="str">
        <f>IF(AND(Raw!A1030="",Raw!B1030="",Raw!C1030="",Raw!D1030="",Raw!E1030="",Raw!F1030="",Raw!G1030=""),"UNUSED",IF(A1030="","missing line ID",IF(B1030="","missing transaction ID",IF(G1030="",IF(C1030="","missing date","invalid date"),IF(I1030="","unknown product",IF(J1030="","conflicting category",IF(NOT(OR(EXACT(K1030,"sale"),EXACT(K1030,"refund"))),"unknown event",IF(OR(N1030="",NOT(O1030)),"invalid amount",IF(OR(AND(K1030="sale",N1030&lt;=0),AND(K1030="refund",N1030&gt;=0)),"invalid sign","")))))))))</f>
        <v/>
      </c>
      <c r="U1030" s="1" t="str">
        <f t="shared" si="125"/>
        <v>INCLUDED</v>
      </c>
      <c r="V1030" s="1" t="str">
        <f t="shared" si="126"/>
        <v>2026-03</v>
      </c>
      <c r="W1030" s="1">
        <f>IF(AND(U1030="INCLUDED",X1030&gt;0,EXACT(A1030,'AI output'!A1030)),1,0)</f>
        <v>1</v>
      </c>
      <c r="X1030" s="1">
        <f>1030</f>
        <v>1030</v>
      </c>
      <c r="Y1030" s="1">
        <f>IF(AND(U1030="INCLUDED",W1030=1),--(NOT(EXACT(A1030,'AI output'!A1030)))+--(NOT(EXACT(B1030,'AI output'!B1030)))+--(NOT(EXACT(TEXT(G1030,"yyyy-mm-dd"),'AI output'!C1030)))+--(NOT(EXACT(H1030,'AI output'!D1030)))+--(NOT(EXACT(J1030,'AI output'!E1030)))+--(NOT(EXACT(K1030,'AI output'!F1030)))+--(N1030&lt;&gt;'AI output'!L1030)+--(NOT('AI output'!M1030)),0)</f>
        <v>0</v>
      </c>
      <c r="Z1030" s="1">
        <f t="shared" si="127"/>
        <v>0</v>
      </c>
      <c r="AA1030" s="1">
        <f>--EXACT(A1030,"L01024")</f>
        <v>1</v>
      </c>
    </row>
    <row r="1031" spans="1:27" ht="18.95" customHeight="1">
      <c r="A1031" s="1" t="str">
        <f>IF(Raw!A1031="","",Raw!A1031)</f>
        <v>L01025</v>
      </c>
      <c r="B1031" s="1" t="str">
        <f>IF(Raw!B1031="","",Raw!B1031)</f>
        <v>T00513</v>
      </c>
      <c r="C1031" s="1" t="str">
        <f>IF(Raw!C1031="","",Raw!C1031)</f>
        <v>2026-03-16</v>
      </c>
      <c r="D1031" s="1">
        <f t="shared" ref="D1031:D1094" si="128">IFERROR(IF(AND(LEN(C1031)=10,MID(C1031,5,1)="-",MID(C1031,8,1)="-"),VALUE(LEFT(C1031,4)),IF(AND(LEN(C1031)=11,MID(C1031,3,1)="-",MID(C1031,7,1)="-"),VALUE(RIGHT(C1031,4)),0)),0)</f>
        <v>2026</v>
      </c>
      <c r="E1031" s="1">
        <f>IFERROR(IF(AND(LEN(C1031)=10,MID(C1031,5,1)="-",MID(C1031,8,1)="-"),VALUE(MID(C1031,6,2)),IF(AND(LEN(C1031)=11,MID(C1031,3,1)="-",MID(C1031,7,1)="-"),MATCH(UPPER(MID(C1031,4,3)),Guide!$D$7:$D$18,0),0)),0)</f>
        <v>3</v>
      </c>
      <c r="F1031" s="1">
        <f t="shared" ref="F1031:F1094" si="129">IFERROR(IF(AND(LEN(C1031)=10,MID(C1031,5,1)="-",MID(C1031,8,1)="-"),VALUE(RIGHT(C1031,2)),IF(AND(LEN(C1031)=11,MID(C1031,3,1)="-",MID(C1031,7,1)="-"),VALUE(LEFT(C1031,2)),0)),0)</f>
        <v>16</v>
      </c>
      <c r="G1031" s="9">
        <f t="shared" ref="G1031:G1094" si="130">IFERROR(IF(AND(D1031&gt;=1900,D1031&lt;=9999,YEAR(DATE(D1031,E1031,F1031))=D1031,MONTH(DATE(D1031,E1031,F1031))=E1031,DAY(DATE(D1031,E1031,F1031))=F1031),DATE(D1031,E1031,F1031),""),"")</f>
        <v>46097</v>
      </c>
      <c r="H1031" s="1" t="str">
        <f>IF(Raw!D1031="","",Raw!D1031)</f>
        <v>P-H</v>
      </c>
      <c r="I1031" s="1" t="str">
        <f>IFERROR(IF(EXACT(H1031,INDEX(Guide!$A$7:$A$9,MATCH(SUBSTITUTE(SUBSTITUTE(SUBSTITUTE(H1031,"~","~~"),"*","~*"),"?","~?"),Guide!$A$7:$A$9,0))),INDEX(Guide!$B$7:$B$9,MATCH(SUBSTITUTE(SUBSTITUTE(SUBSTITUTE(H1031,"~","~~"),"*","~*"),"?","~?"),Guide!$A$7:$A$9,0)),""),"")</f>
        <v>Home</v>
      </c>
      <c r="J1031" s="1" t="str">
        <f>IF(TRIM(Raw!E1031)="",I1031,IF(UPPER(TRIM(Raw!E1031))=UPPER(I1031),I1031,""))</f>
        <v>Home</v>
      </c>
      <c r="K1031" s="1" t="str">
        <f>IF(Raw!F1031="","",Raw!F1031)</f>
        <v>sale</v>
      </c>
      <c r="L1031" s="1" t="str">
        <f>IF(LEFT(TRIM(Raw!G1031),2)="-$","-"&amp;MID(TRIM(Raw!G1031),3,99),IF(LEFT(TRIM(Raw!G1031),1)="$",MID(TRIM(Raw!G1031),2,99),TRIM(Raw!G1031)))</f>
        <v>95.48</v>
      </c>
      <c r="M1031" s="1">
        <f t="shared" ref="M1031:M1094" si="131">IFERROR(VALUE(L1031),"")</f>
        <v>95.48</v>
      </c>
      <c r="N1031" s="10">
        <f t="shared" ref="N1031:N1094" si="132">IF(AND(ISNUMBER(M1031),ABS(M1031*100-ROUND(M1031*100,0))&lt;0.0000001),ROUND(M1031*100,0),"")</f>
        <v>9548</v>
      </c>
      <c r="O1031" s="1" t="b">
        <f>IFERROR(IF(ISNUMBER(Raw!G1031),TRUE,OR(EXACT(L1031,TEXT(M1031,"0.00")),EXACT(L1031,TEXT(M1031,"#,##0.00")))),FALSE)</f>
        <v>1</v>
      </c>
      <c r="P1031" s="1" t="str">
        <f>LEN(IF(Raw!A1031="","",Raw!A1031))&amp;":"&amp;IF(Raw!A1031="","",Raw!A1031)&amp;"|"&amp;LEN(IF(Raw!B1031="","",Raw!B1031))&amp;":"&amp;IF(Raw!B1031="","",Raw!B1031)&amp;"|"&amp;LEN(IF(Raw!C1031="","",Raw!C1031))&amp;":"&amp;IF(Raw!C1031="","",Raw!C1031)&amp;"|"&amp;LEN(IF(Raw!D1031="","",Raw!D1031))&amp;":"&amp;IF(Raw!D1031="","",Raw!D1031)&amp;"|"&amp;LEN(IF(Raw!E1031="","",Raw!E1031))&amp;":"&amp;IF(Raw!E1031="","",Raw!E1031)&amp;"|"&amp;LEN(IF(Raw!F1031="","",Raw!F1031))&amp;":"&amp;IF(Raw!F1031="","",Raw!F1031)&amp;"|"&amp;LEN(IF(Raw!G1031="","",Raw!G1031))&amp;":"&amp;IF(Raw!G1031="","",Raw!G1031)</f>
        <v>6:L01025|6:T00513|10:2026-03-16|3:P-H|4:Home|4:sale|5:95.48</v>
      </c>
      <c r="Q1031" s="1">
        <f>1</f>
        <v>1</v>
      </c>
      <c r="R1031" s="1" t="b">
        <f>FALSE</f>
        <v>0</v>
      </c>
      <c r="S1031" s="1">
        <f>1</f>
        <v>1</v>
      </c>
      <c r="T1031" s="1" t="str">
        <f>IF(AND(Raw!A1031="",Raw!B1031="",Raw!C1031="",Raw!D1031="",Raw!E1031="",Raw!F1031="",Raw!G1031=""),"UNUSED",IF(A1031="","missing line ID",IF(B1031="","missing transaction ID",IF(G1031="",IF(C1031="","missing date","invalid date"),IF(I1031="","unknown product",IF(J1031="","conflicting category",IF(NOT(OR(EXACT(K1031,"sale"),EXACT(K1031,"refund"))),"unknown event",IF(OR(N1031="",NOT(O1031)),"invalid amount",IF(OR(AND(K1031="sale",N1031&lt;=0),AND(K1031="refund",N1031&gt;=0)),"invalid sign","")))))))))</f>
        <v/>
      </c>
      <c r="U1031" s="1" t="str">
        <f t="shared" ref="U1031:U1094" si="133">IF(T1031="UNUSED","UNUSED",IF(R1031,"QUARANTINE",IF(S1031&gt;1,"DUPLICATE",IF(T1031&lt;&gt;"","QUARANTINE","INCLUDED"))))</f>
        <v>INCLUDED</v>
      </c>
      <c r="V1031" s="1" t="str">
        <f t="shared" ref="V1031:V1094" si="134">IF(G1031="","",TEXT(G1031,"yyyy-mm"))</f>
        <v>2026-03</v>
      </c>
      <c r="W1031" s="1">
        <f>IF(AND(U1031="INCLUDED",X1031&gt;0,EXACT(A1031,'AI output'!A1031)),1,0)</f>
        <v>1</v>
      </c>
      <c r="X1031" s="1">
        <f>1031</f>
        <v>1031</v>
      </c>
      <c r="Y1031" s="1">
        <f>IF(AND(U1031="INCLUDED",W1031=1),--(NOT(EXACT(A1031,'AI output'!A1031)))+--(NOT(EXACT(B1031,'AI output'!B1031)))+--(NOT(EXACT(TEXT(G1031,"yyyy-mm-dd"),'AI output'!C1031)))+--(NOT(EXACT(H1031,'AI output'!D1031)))+--(NOT(EXACT(J1031,'AI output'!E1031)))+--(NOT(EXACT(K1031,'AI output'!F1031)))+--(N1031&lt;&gt;'AI output'!L1031)+--(NOT('AI output'!M1031)),0)</f>
        <v>0</v>
      </c>
      <c r="Z1031" s="1">
        <f t="shared" ref="Z1031:Z1094" si="135">IF(U1031="INCLUDED",IF(OR(W1031&lt;&gt;1,Y1031&lt;&gt;0),1,0),0)</f>
        <v>0</v>
      </c>
      <c r="AA1031" s="1">
        <f>--EXACT(A1031,"L01025")</f>
        <v>1</v>
      </c>
    </row>
    <row r="1032" spans="1:27" ht="18.95" customHeight="1">
      <c r="A1032" s="1" t="str">
        <f>IF(Raw!A1032="","",Raw!A1032)</f>
        <v>L01026</v>
      </c>
      <c r="B1032" s="1" t="str">
        <f>IF(Raw!B1032="","",Raw!B1032)</f>
        <v>T00513</v>
      </c>
      <c r="C1032" s="1" t="str">
        <f>IF(Raw!C1032="","",Raw!C1032)</f>
        <v>2026-03-16</v>
      </c>
      <c r="D1032" s="1">
        <f t="shared" si="128"/>
        <v>2026</v>
      </c>
      <c r="E1032" s="1">
        <f>IFERROR(IF(AND(LEN(C1032)=10,MID(C1032,5,1)="-",MID(C1032,8,1)="-"),VALUE(MID(C1032,6,2)),IF(AND(LEN(C1032)=11,MID(C1032,3,1)="-",MID(C1032,7,1)="-"),MATCH(UPPER(MID(C1032,4,3)),Guide!$D$7:$D$18,0),0)),0)</f>
        <v>3</v>
      </c>
      <c r="F1032" s="1">
        <f t="shared" si="129"/>
        <v>16</v>
      </c>
      <c r="G1032" s="9">
        <f t="shared" si="130"/>
        <v>46097</v>
      </c>
      <c r="H1032" s="1" t="str">
        <f>IF(Raw!D1032="","",Raw!D1032)</f>
        <v>P-O</v>
      </c>
      <c r="I1032" s="1" t="str">
        <f>IFERROR(IF(EXACT(H1032,INDEX(Guide!$A$7:$A$9,MATCH(SUBSTITUTE(SUBSTITUTE(SUBSTITUTE(H1032,"~","~~"),"*","~*"),"?","~?"),Guide!$A$7:$A$9,0))),INDEX(Guide!$B$7:$B$9,MATCH(SUBSTITUTE(SUBSTITUTE(SUBSTITUTE(H1032,"~","~~"),"*","~*"),"?","~?"),Guide!$A$7:$A$9,0)),""),"")</f>
        <v>Office</v>
      </c>
      <c r="J1032" s="1" t="str">
        <f>IF(TRIM(Raw!E1032)="",I1032,IF(UPPER(TRIM(Raw!E1032))=UPPER(I1032),I1032,""))</f>
        <v>Office</v>
      </c>
      <c r="K1032" s="1" t="str">
        <f>IF(Raw!F1032="","",Raw!F1032)</f>
        <v>sale</v>
      </c>
      <c r="L1032" s="1" t="str">
        <f>IF(LEFT(TRIM(Raw!G1032),2)="-$","-"&amp;MID(TRIM(Raw!G1032),3,99),IF(LEFT(TRIM(Raw!G1032),1)="$",MID(TRIM(Raw!G1032),2,99),TRIM(Raw!G1032)))</f>
        <v>24.24</v>
      </c>
      <c r="M1032" s="1">
        <f t="shared" si="131"/>
        <v>24.24</v>
      </c>
      <c r="N1032" s="10">
        <f t="shared" si="132"/>
        <v>2424</v>
      </c>
      <c r="O1032" s="1" t="b">
        <f>IFERROR(IF(ISNUMBER(Raw!G1032),TRUE,OR(EXACT(L1032,TEXT(M1032,"0.00")),EXACT(L1032,TEXT(M1032,"#,##0.00")))),FALSE)</f>
        <v>1</v>
      </c>
      <c r="P1032" s="1" t="str">
        <f>LEN(IF(Raw!A1032="","",Raw!A1032))&amp;":"&amp;IF(Raw!A1032="","",Raw!A1032)&amp;"|"&amp;LEN(IF(Raw!B1032="","",Raw!B1032))&amp;":"&amp;IF(Raw!B1032="","",Raw!B1032)&amp;"|"&amp;LEN(IF(Raw!C1032="","",Raw!C1032))&amp;":"&amp;IF(Raw!C1032="","",Raw!C1032)&amp;"|"&amp;LEN(IF(Raw!D1032="","",Raw!D1032))&amp;":"&amp;IF(Raw!D1032="","",Raw!D1032)&amp;"|"&amp;LEN(IF(Raw!E1032="","",Raw!E1032))&amp;":"&amp;IF(Raw!E1032="","",Raw!E1032)&amp;"|"&amp;LEN(IF(Raw!F1032="","",Raw!F1032))&amp;":"&amp;IF(Raw!F1032="","",Raw!F1032)&amp;"|"&amp;LEN(IF(Raw!G1032="","",Raw!G1032))&amp;":"&amp;IF(Raw!G1032="","",Raw!G1032)</f>
        <v>6:L01026|6:T00513|10:2026-03-16|3:P-O|6:Office|4:sale|5:24.24</v>
      </c>
      <c r="Q1032" s="1">
        <f>1</f>
        <v>1</v>
      </c>
      <c r="R1032" s="1" t="b">
        <f>FALSE</f>
        <v>0</v>
      </c>
      <c r="S1032" s="1">
        <f>1</f>
        <v>1</v>
      </c>
      <c r="T1032" s="1" t="str">
        <f>IF(AND(Raw!A1032="",Raw!B1032="",Raw!C1032="",Raw!D1032="",Raw!E1032="",Raw!F1032="",Raw!G1032=""),"UNUSED",IF(A1032="","missing line ID",IF(B1032="","missing transaction ID",IF(G1032="",IF(C1032="","missing date","invalid date"),IF(I1032="","unknown product",IF(J1032="","conflicting category",IF(NOT(OR(EXACT(K1032,"sale"),EXACT(K1032,"refund"))),"unknown event",IF(OR(N1032="",NOT(O1032)),"invalid amount",IF(OR(AND(K1032="sale",N1032&lt;=0),AND(K1032="refund",N1032&gt;=0)),"invalid sign","")))))))))</f>
        <v/>
      </c>
      <c r="U1032" s="1" t="str">
        <f t="shared" si="133"/>
        <v>INCLUDED</v>
      </c>
      <c r="V1032" s="1" t="str">
        <f t="shared" si="134"/>
        <v>2026-03</v>
      </c>
      <c r="W1032" s="1">
        <f>IF(AND(U1032="INCLUDED",X1032&gt;0,EXACT(A1032,'AI output'!A1032)),1,0)</f>
        <v>1</v>
      </c>
      <c r="X1032" s="1">
        <f>1032</f>
        <v>1032</v>
      </c>
      <c r="Y1032" s="1">
        <f>IF(AND(U1032="INCLUDED",W1032=1),--(NOT(EXACT(A1032,'AI output'!A1032)))+--(NOT(EXACT(B1032,'AI output'!B1032)))+--(NOT(EXACT(TEXT(G1032,"yyyy-mm-dd"),'AI output'!C1032)))+--(NOT(EXACT(H1032,'AI output'!D1032)))+--(NOT(EXACT(J1032,'AI output'!E1032)))+--(NOT(EXACT(K1032,'AI output'!F1032)))+--(N1032&lt;&gt;'AI output'!L1032)+--(NOT('AI output'!M1032)),0)</f>
        <v>0</v>
      </c>
      <c r="Z1032" s="1">
        <f t="shared" si="135"/>
        <v>0</v>
      </c>
      <c r="AA1032" s="1">
        <f>--EXACT(A1032,"L01026")</f>
        <v>1</v>
      </c>
    </row>
    <row r="1033" spans="1:27" ht="18.95" customHeight="1">
      <c r="A1033" s="1" t="str">
        <f>IF(Raw!A1033="","",Raw!A1033)</f>
        <v>L01027</v>
      </c>
      <c r="B1033" s="1" t="str">
        <f>IF(Raw!B1033="","",Raw!B1033)</f>
        <v>T00514</v>
      </c>
      <c r="C1033" s="1" t="str">
        <f>IF(Raw!C1033="","",Raw!C1033)</f>
        <v>2026-03-23</v>
      </c>
      <c r="D1033" s="1">
        <f t="shared" si="128"/>
        <v>2026</v>
      </c>
      <c r="E1033" s="1">
        <f>IFERROR(IF(AND(LEN(C1033)=10,MID(C1033,5,1)="-",MID(C1033,8,1)="-"),VALUE(MID(C1033,6,2)),IF(AND(LEN(C1033)=11,MID(C1033,3,1)="-",MID(C1033,7,1)="-"),MATCH(UPPER(MID(C1033,4,3)),Guide!$D$7:$D$18,0),0)),0)</f>
        <v>3</v>
      </c>
      <c r="F1033" s="1">
        <f t="shared" si="129"/>
        <v>23</v>
      </c>
      <c r="G1033" s="9">
        <f t="shared" si="130"/>
        <v>46104</v>
      </c>
      <c r="H1033" s="1" t="str">
        <f>IF(Raw!D1033="","",Raw!D1033)</f>
        <v>P-A</v>
      </c>
      <c r="I1033" s="1" t="str">
        <f>IFERROR(IF(EXACT(H1033,INDEX(Guide!$A$7:$A$9,MATCH(SUBSTITUTE(SUBSTITUTE(SUBSTITUTE(H1033,"~","~~"),"*","~*"),"?","~?"),Guide!$A$7:$A$9,0))),INDEX(Guide!$B$7:$B$9,MATCH(SUBSTITUTE(SUBSTITUTE(SUBSTITUTE(H1033,"~","~~"),"*","~*"),"?","~?"),Guide!$A$7:$A$9,0)),""),"")</f>
        <v>Accessories</v>
      </c>
      <c r="J1033" s="1" t="str">
        <f>IF(TRIM(Raw!E1033)="",I1033,IF(UPPER(TRIM(Raw!E1033))=UPPER(I1033),I1033,""))</f>
        <v>Accessories</v>
      </c>
      <c r="K1033" s="1" t="str">
        <f>IF(Raw!F1033="","",Raw!F1033)</f>
        <v>sale</v>
      </c>
      <c r="L1033" s="1" t="str">
        <f>IF(LEFT(TRIM(Raw!G1033),2)="-$","-"&amp;MID(TRIM(Raw!G1033),3,99),IF(LEFT(TRIM(Raw!G1033),1)="$",MID(TRIM(Raw!G1033),2,99),TRIM(Raw!G1033)))</f>
        <v>73.83</v>
      </c>
      <c r="M1033" s="1">
        <f t="shared" si="131"/>
        <v>73.83</v>
      </c>
      <c r="N1033" s="10">
        <f t="shared" si="132"/>
        <v>7383</v>
      </c>
      <c r="O1033" s="1" t="b">
        <f>IFERROR(IF(ISNUMBER(Raw!G1033),TRUE,OR(EXACT(L1033,TEXT(M1033,"0.00")),EXACT(L1033,TEXT(M1033,"#,##0.00")))),FALSE)</f>
        <v>1</v>
      </c>
      <c r="P1033" s="1" t="str">
        <f>LEN(IF(Raw!A1033="","",Raw!A1033))&amp;":"&amp;IF(Raw!A1033="","",Raw!A1033)&amp;"|"&amp;LEN(IF(Raw!B1033="","",Raw!B1033))&amp;":"&amp;IF(Raw!B1033="","",Raw!B1033)&amp;"|"&amp;LEN(IF(Raw!C1033="","",Raw!C1033))&amp;":"&amp;IF(Raw!C1033="","",Raw!C1033)&amp;"|"&amp;LEN(IF(Raw!D1033="","",Raw!D1033))&amp;":"&amp;IF(Raw!D1033="","",Raw!D1033)&amp;"|"&amp;LEN(IF(Raw!E1033="","",Raw!E1033))&amp;":"&amp;IF(Raw!E1033="","",Raw!E1033)&amp;"|"&amp;LEN(IF(Raw!F1033="","",Raw!F1033))&amp;":"&amp;IF(Raw!F1033="","",Raw!F1033)&amp;"|"&amp;LEN(IF(Raw!G1033="","",Raw!G1033))&amp;":"&amp;IF(Raw!G1033="","",Raw!G1033)</f>
        <v>6:L01027|6:T00514|10:2026-03-23|3:P-A|11:Accessories|4:sale|5:73.83</v>
      </c>
      <c r="Q1033" s="1">
        <f>1</f>
        <v>1</v>
      </c>
      <c r="R1033" s="1" t="b">
        <f>FALSE</f>
        <v>0</v>
      </c>
      <c r="S1033" s="1">
        <f>1</f>
        <v>1</v>
      </c>
      <c r="T1033" s="1" t="str">
        <f>IF(AND(Raw!A1033="",Raw!B1033="",Raw!C1033="",Raw!D1033="",Raw!E1033="",Raw!F1033="",Raw!G1033=""),"UNUSED",IF(A1033="","missing line ID",IF(B1033="","missing transaction ID",IF(G1033="",IF(C1033="","missing date","invalid date"),IF(I1033="","unknown product",IF(J1033="","conflicting category",IF(NOT(OR(EXACT(K1033,"sale"),EXACT(K1033,"refund"))),"unknown event",IF(OR(N1033="",NOT(O1033)),"invalid amount",IF(OR(AND(K1033="sale",N1033&lt;=0),AND(K1033="refund",N1033&gt;=0)),"invalid sign","")))))))))</f>
        <v/>
      </c>
      <c r="U1033" s="1" t="str">
        <f t="shared" si="133"/>
        <v>INCLUDED</v>
      </c>
      <c r="V1033" s="1" t="str">
        <f t="shared" si="134"/>
        <v>2026-03</v>
      </c>
      <c r="W1033" s="1">
        <f>IF(AND(U1033="INCLUDED",X1033&gt;0,EXACT(A1033,'AI output'!A1033)),1,0)</f>
        <v>1</v>
      </c>
      <c r="X1033" s="1">
        <f>1033</f>
        <v>1033</v>
      </c>
      <c r="Y1033" s="1">
        <f>IF(AND(U1033="INCLUDED",W1033=1),--(NOT(EXACT(A1033,'AI output'!A1033)))+--(NOT(EXACT(B1033,'AI output'!B1033)))+--(NOT(EXACT(TEXT(G1033,"yyyy-mm-dd"),'AI output'!C1033)))+--(NOT(EXACT(H1033,'AI output'!D1033)))+--(NOT(EXACT(J1033,'AI output'!E1033)))+--(NOT(EXACT(K1033,'AI output'!F1033)))+--(N1033&lt;&gt;'AI output'!L1033)+--(NOT('AI output'!M1033)),0)</f>
        <v>0</v>
      </c>
      <c r="Z1033" s="1">
        <f t="shared" si="135"/>
        <v>0</v>
      </c>
      <c r="AA1033" s="1">
        <f>--EXACT(A1033,"L01027")</f>
        <v>1</v>
      </c>
    </row>
    <row r="1034" spans="1:27" ht="18.95" customHeight="1">
      <c r="A1034" s="1" t="str">
        <f>IF(Raw!A1034="","",Raw!A1034)</f>
        <v>L01028</v>
      </c>
      <c r="B1034" s="1" t="str">
        <f>IF(Raw!B1034="","",Raw!B1034)</f>
        <v>T00514</v>
      </c>
      <c r="C1034" s="1" t="str">
        <f>IF(Raw!C1034="","",Raw!C1034)</f>
        <v>2026-03-23</v>
      </c>
      <c r="D1034" s="1">
        <f t="shared" si="128"/>
        <v>2026</v>
      </c>
      <c r="E1034" s="1">
        <f>IFERROR(IF(AND(LEN(C1034)=10,MID(C1034,5,1)="-",MID(C1034,8,1)="-"),VALUE(MID(C1034,6,2)),IF(AND(LEN(C1034)=11,MID(C1034,3,1)="-",MID(C1034,7,1)="-"),MATCH(UPPER(MID(C1034,4,3)),Guide!$D$7:$D$18,0),0)),0)</f>
        <v>3</v>
      </c>
      <c r="F1034" s="1">
        <f t="shared" si="129"/>
        <v>23</v>
      </c>
      <c r="G1034" s="9">
        <f t="shared" si="130"/>
        <v>46104</v>
      </c>
      <c r="H1034" s="1" t="str">
        <f>IF(Raw!D1034="","",Raw!D1034)</f>
        <v>P-H</v>
      </c>
      <c r="I1034" s="1" t="str">
        <f>IFERROR(IF(EXACT(H1034,INDEX(Guide!$A$7:$A$9,MATCH(SUBSTITUTE(SUBSTITUTE(SUBSTITUTE(H1034,"~","~~"),"*","~*"),"?","~?"),Guide!$A$7:$A$9,0))),INDEX(Guide!$B$7:$B$9,MATCH(SUBSTITUTE(SUBSTITUTE(SUBSTITUTE(H1034,"~","~~"),"*","~*"),"?","~?"),Guide!$A$7:$A$9,0)),""),"")</f>
        <v>Home</v>
      </c>
      <c r="J1034" s="1" t="str">
        <f>IF(TRIM(Raw!E1034)="",I1034,IF(UPPER(TRIM(Raw!E1034))=UPPER(I1034),I1034,""))</f>
        <v>Home</v>
      </c>
      <c r="K1034" s="1" t="str">
        <f>IF(Raw!F1034="","",Raw!F1034)</f>
        <v>sale</v>
      </c>
      <c r="L1034" s="1" t="str">
        <f>IF(LEFT(TRIM(Raw!G1034),2)="-$","-"&amp;MID(TRIM(Raw!G1034),3,99),IF(LEFT(TRIM(Raw!G1034),1)="$",MID(TRIM(Raw!G1034),2,99),TRIM(Raw!G1034)))</f>
        <v>124.90</v>
      </c>
      <c r="M1034" s="1">
        <f t="shared" si="131"/>
        <v>124.9</v>
      </c>
      <c r="N1034" s="10">
        <f t="shared" si="132"/>
        <v>12490</v>
      </c>
      <c r="O1034" s="1" t="b">
        <f>IFERROR(IF(ISNUMBER(Raw!G1034),TRUE,OR(EXACT(L1034,TEXT(M1034,"0.00")),EXACT(L1034,TEXT(M1034,"#,##0.00")))),FALSE)</f>
        <v>1</v>
      </c>
      <c r="P1034" s="1" t="str">
        <f>LEN(IF(Raw!A1034="","",Raw!A1034))&amp;":"&amp;IF(Raw!A1034="","",Raw!A1034)&amp;"|"&amp;LEN(IF(Raw!B1034="","",Raw!B1034))&amp;":"&amp;IF(Raw!B1034="","",Raw!B1034)&amp;"|"&amp;LEN(IF(Raw!C1034="","",Raw!C1034))&amp;":"&amp;IF(Raw!C1034="","",Raw!C1034)&amp;"|"&amp;LEN(IF(Raw!D1034="","",Raw!D1034))&amp;":"&amp;IF(Raw!D1034="","",Raw!D1034)&amp;"|"&amp;LEN(IF(Raw!E1034="","",Raw!E1034))&amp;":"&amp;IF(Raw!E1034="","",Raw!E1034)&amp;"|"&amp;LEN(IF(Raw!F1034="","",Raw!F1034))&amp;":"&amp;IF(Raw!F1034="","",Raw!F1034)&amp;"|"&amp;LEN(IF(Raw!G1034="","",Raw!G1034))&amp;":"&amp;IF(Raw!G1034="","",Raw!G1034)</f>
        <v>6:L01028|6:T00514|10:2026-03-23|3:P-H|4:Home|4:sale|6:124.90</v>
      </c>
      <c r="Q1034" s="1">
        <f>1</f>
        <v>1</v>
      </c>
      <c r="R1034" s="1" t="b">
        <f>FALSE</f>
        <v>0</v>
      </c>
      <c r="S1034" s="1">
        <f>1</f>
        <v>1</v>
      </c>
      <c r="T1034" s="1" t="str">
        <f>IF(AND(Raw!A1034="",Raw!B1034="",Raw!C1034="",Raw!D1034="",Raw!E1034="",Raw!F1034="",Raw!G1034=""),"UNUSED",IF(A1034="","missing line ID",IF(B1034="","missing transaction ID",IF(G1034="",IF(C1034="","missing date","invalid date"),IF(I1034="","unknown product",IF(J1034="","conflicting category",IF(NOT(OR(EXACT(K1034,"sale"),EXACT(K1034,"refund"))),"unknown event",IF(OR(N1034="",NOT(O1034)),"invalid amount",IF(OR(AND(K1034="sale",N1034&lt;=0),AND(K1034="refund",N1034&gt;=0)),"invalid sign","")))))))))</f>
        <v/>
      </c>
      <c r="U1034" s="1" t="str">
        <f t="shared" si="133"/>
        <v>INCLUDED</v>
      </c>
      <c r="V1034" s="1" t="str">
        <f t="shared" si="134"/>
        <v>2026-03</v>
      </c>
      <c r="W1034" s="1">
        <f>IF(AND(U1034="INCLUDED",X1034&gt;0,EXACT(A1034,'AI output'!A1034)),1,0)</f>
        <v>1</v>
      </c>
      <c r="X1034" s="1">
        <f>1034</f>
        <v>1034</v>
      </c>
      <c r="Y1034" s="1">
        <f>IF(AND(U1034="INCLUDED",W1034=1),--(NOT(EXACT(A1034,'AI output'!A1034)))+--(NOT(EXACT(B1034,'AI output'!B1034)))+--(NOT(EXACT(TEXT(G1034,"yyyy-mm-dd"),'AI output'!C1034)))+--(NOT(EXACT(H1034,'AI output'!D1034)))+--(NOT(EXACT(J1034,'AI output'!E1034)))+--(NOT(EXACT(K1034,'AI output'!F1034)))+--(N1034&lt;&gt;'AI output'!L1034)+--(NOT('AI output'!M1034)),0)</f>
        <v>0</v>
      </c>
      <c r="Z1034" s="1">
        <f t="shared" si="135"/>
        <v>0</v>
      </c>
      <c r="AA1034" s="1">
        <f>--EXACT(A1034,"L01028")</f>
        <v>1</v>
      </c>
    </row>
    <row r="1035" spans="1:27" ht="18.95" customHeight="1">
      <c r="A1035" s="1" t="str">
        <f>IF(Raw!A1035="","",Raw!A1035)</f>
        <v>L01029</v>
      </c>
      <c r="B1035" s="1" t="str">
        <f>IF(Raw!B1035="","",Raw!B1035)</f>
        <v>T00515</v>
      </c>
      <c r="C1035" s="1" t="str">
        <f>IF(Raw!C1035="","",Raw!C1035)</f>
        <v>2026-03-30</v>
      </c>
      <c r="D1035" s="1">
        <f t="shared" si="128"/>
        <v>2026</v>
      </c>
      <c r="E1035" s="1">
        <f>IFERROR(IF(AND(LEN(C1035)=10,MID(C1035,5,1)="-",MID(C1035,8,1)="-"),VALUE(MID(C1035,6,2)),IF(AND(LEN(C1035)=11,MID(C1035,3,1)="-",MID(C1035,7,1)="-"),MATCH(UPPER(MID(C1035,4,3)),Guide!$D$7:$D$18,0),0)),0)</f>
        <v>3</v>
      </c>
      <c r="F1035" s="1">
        <f t="shared" si="129"/>
        <v>30</v>
      </c>
      <c r="G1035" s="9">
        <f t="shared" si="130"/>
        <v>46111</v>
      </c>
      <c r="H1035" s="1" t="str">
        <f>IF(Raw!D1035="","",Raw!D1035)</f>
        <v>P-O</v>
      </c>
      <c r="I1035" s="1" t="str">
        <f>IFERROR(IF(EXACT(H1035,INDEX(Guide!$A$7:$A$9,MATCH(SUBSTITUTE(SUBSTITUTE(SUBSTITUTE(H1035,"~","~~"),"*","~*"),"?","~?"),Guide!$A$7:$A$9,0))),INDEX(Guide!$B$7:$B$9,MATCH(SUBSTITUTE(SUBSTITUTE(SUBSTITUTE(H1035,"~","~~"),"*","~*"),"?","~?"),Guide!$A$7:$A$9,0)),""),"")</f>
        <v>Office</v>
      </c>
      <c r="J1035" s="1" t="str">
        <f>IF(TRIM(Raw!E1035)="",I1035,IF(UPPER(TRIM(Raw!E1035))=UPPER(I1035),I1035,""))</f>
        <v>Office</v>
      </c>
      <c r="K1035" s="1" t="str">
        <f>IF(Raw!F1035="","",Raw!F1035)</f>
        <v>sale</v>
      </c>
      <c r="L1035" s="1" t="str">
        <f>IF(LEFT(TRIM(Raw!G1035),2)="-$","-"&amp;MID(TRIM(Raw!G1035),3,99),IF(LEFT(TRIM(Raw!G1035),1)="$",MID(TRIM(Raw!G1035),2,99),TRIM(Raw!G1035)))</f>
        <v>50.70</v>
      </c>
      <c r="M1035" s="1">
        <f t="shared" si="131"/>
        <v>50.7</v>
      </c>
      <c r="N1035" s="10">
        <f t="shared" si="132"/>
        <v>5070</v>
      </c>
      <c r="O1035" s="1" t="b">
        <f>IFERROR(IF(ISNUMBER(Raw!G1035),TRUE,OR(EXACT(L1035,TEXT(M1035,"0.00")),EXACT(L1035,TEXT(M1035,"#,##0.00")))),FALSE)</f>
        <v>1</v>
      </c>
      <c r="P1035" s="1" t="str">
        <f>LEN(IF(Raw!A1035="","",Raw!A1035))&amp;":"&amp;IF(Raw!A1035="","",Raw!A1035)&amp;"|"&amp;LEN(IF(Raw!B1035="","",Raw!B1035))&amp;":"&amp;IF(Raw!B1035="","",Raw!B1035)&amp;"|"&amp;LEN(IF(Raw!C1035="","",Raw!C1035))&amp;":"&amp;IF(Raw!C1035="","",Raw!C1035)&amp;"|"&amp;LEN(IF(Raw!D1035="","",Raw!D1035))&amp;":"&amp;IF(Raw!D1035="","",Raw!D1035)&amp;"|"&amp;LEN(IF(Raw!E1035="","",Raw!E1035))&amp;":"&amp;IF(Raw!E1035="","",Raw!E1035)&amp;"|"&amp;LEN(IF(Raw!F1035="","",Raw!F1035))&amp;":"&amp;IF(Raw!F1035="","",Raw!F1035)&amp;"|"&amp;LEN(IF(Raw!G1035="","",Raw!G1035))&amp;":"&amp;IF(Raw!G1035="","",Raw!G1035)</f>
        <v>6:L01029|6:T00515|10:2026-03-30|3:P-O|6:Office|4:sale|5:50.70</v>
      </c>
      <c r="Q1035" s="1">
        <f>1</f>
        <v>1</v>
      </c>
      <c r="R1035" s="1" t="b">
        <f>FALSE</f>
        <v>0</v>
      </c>
      <c r="S1035" s="1">
        <f>1</f>
        <v>1</v>
      </c>
      <c r="T1035" s="1" t="str">
        <f>IF(AND(Raw!A1035="",Raw!B1035="",Raw!C1035="",Raw!D1035="",Raw!E1035="",Raw!F1035="",Raw!G1035=""),"UNUSED",IF(A1035="","missing line ID",IF(B1035="","missing transaction ID",IF(G1035="",IF(C1035="","missing date","invalid date"),IF(I1035="","unknown product",IF(J1035="","conflicting category",IF(NOT(OR(EXACT(K1035,"sale"),EXACT(K1035,"refund"))),"unknown event",IF(OR(N1035="",NOT(O1035)),"invalid amount",IF(OR(AND(K1035="sale",N1035&lt;=0),AND(K1035="refund",N1035&gt;=0)),"invalid sign","")))))))))</f>
        <v/>
      </c>
      <c r="U1035" s="1" t="str">
        <f t="shared" si="133"/>
        <v>INCLUDED</v>
      </c>
      <c r="V1035" s="1" t="str">
        <f t="shared" si="134"/>
        <v>2026-03</v>
      </c>
      <c r="W1035" s="1">
        <f>IF(AND(U1035="INCLUDED",X1035&gt;0,EXACT(A1035,'AI output'!A1035)),1,0)</f>
        <v>1</v>
      </c>
      <c r="X1035" s="1">
        <f>1035</f>
        <v>1035</v>
      </c>
      <c r="Y1035" s="1">
        <f>IF(AND(U1035="INCLUDED",W1035=1),--(NOT(EXACT(A1035,'AI output'!A1035)))+--(NOT(EXACT(B1035,'AI output'!B1035)))+--(NOT(EXACT(TEXT(G1035,"yyyy-mm-dd"),'AI output'!C1035)))+--(NOT(EXACT(H1035,'AI output'!D1035)))+--(NOT(EXACT(J1035,'AI output'!E1035)))+--(NOT(EXACT(K1035,'AI output'!F1035)))+--(N1035&lt;&gt;'AI output'!L1035)+--(NOT('AI output'!M1035)),0)</f>
        <v>0</v>
      </c>
      <c r="Z1035" s="1">
        <f t="shared" si="135"/>
        <v>0</v>
      </c>
      <c r="AA1035" s="1">
        <f>--EXACT(A1035,"L01029")</f>
        <v>1</v>
      </c>
    </row>
    <row r="1036" spans="1:27" ht="18.95" customHeight="1">
      <c r="A1036" s="1" t="str">
        <f>IF(Raw!A1036="","",Raw!A1036)</f>
        <v>L01030</v>
      </c>
      <c r="B1036" s="1" t="str">
        <f>IF(Raw!B1036="","",Raw!B1036)</f>
        <v>T00515</v>
      </c>
      <c r="C1036" s="1" t="str">
        <f>IF(Raw!C1036="","",Raw!C1036)</f>
        <v>2026-03-30</v>
      </c>
      <c r="D1036" s="1">
        <f t="shared" si="128"/>
        <v>2026</v>
      </c>
      <c r="E1036" s="1">
        <f>IFERROR(IF(AND(LEN(C1036)=10,MID(C1036,5,1)="-",MID(C1036,8,1)="-"),VALUE(MID(C1036,6,2)),IF(AND(LEN(C1036)=11,MID(C1036,3,1)="-",MID(C1036,7,1)="-"),MATCH(UPPER(MID(C1036,4,3)),Guide!$D$7:$D$18,0),0)),0)</f>
        <v>3</v>
      </c>
      <c r="F1036" s="1">
        <f t="shared" si="129"/>
        <v>30</v>
      </c>
      <c r="G1036" s="9">
        <f t="shared" si="130"/>
        <v>46111</v>
      </c>
      <c r="H1036" s="1" t="str">
        <f>IF(Raw!D1036="","",Raw!D1036)</f>
        <v>P-A</v>
      </c>
      <c r="I1036" s="1" t="str">
        <f>IFERROR(IF(EXACT(H1036,INDEX(Guide!$A$7:$A$9,MATCH(SUBSTITUTE(SUBSTITUTE(SUBSTITUTE(H1036,"~","~~"),"*","~*"),"?","~?"),Guide!$A$7:$A$9,0))),INDEX(Guide!$B$7:$B$9,MATCH(SUBSTITUTE(SUBSTITUTE(SUBSTITUTE(H1036,"~","~~"),"*","~*"),"?","~?"),Guide!$A$7:$A$9,0)),""),"")</f>
        <v>Accessories</v>
      </c>
      <c r="J1036" s="1" t="str">
        <f>IF(TRIM(Raw!E1036)="",I1036,IF(UPPER(TRIM(Raw!E1036))=UPPER(I1036),I1036,""))</f>
        <v>Accessories</v>
      </c>
      <c r="K1036" s="1" t="str">
        <f>IF(Raw!F1036="","",Raw!F1036)</f>
        <v>sale</v>
      </c>
      <c r="L1036" s="1" t="str">
        <f>IF(LEFT(TRIM(Raw!G1036),2)="-$","-"&amp;MID(TRIM(Raw!G1036),3,99),IF(LEFT(TRIM(Raw!G1036),1)="$",MID(TRIM(Raw!G1036),2,99),TRIM(Raw!G1036)))</f>
        <v>102.88</v>
      </c>
      <c r="M1036" s="1">
        <f t="shared" si="131"/>
        <v>102.88</v>
      </c>
      <c r="N1036" s="10">
        <f t="shared" si="132"/>
        <v>10288</v>
      </c>
      <c r="O1036" s="1" t="b">
        <f>IFERROR(IF(ISNUMBER(Raw!G1036),TRUE,OR(EXACT(L1036,TEXT(M1036,"0.00")),EXACT(L1036,TEXT(M1036,"#,##0.00")))),FALSE)</f>
        <v>1</v>
      </c>
      <c r="P1036" s="1" t="str">
        <f>LEN(IF(Raw!A1036="","",Raw!A1036))&amp;":"&amp;IF(Raw!A1036="","",Raw!A1036)&amp;"|"&amp;LEN(IF(Raw!B1036="","",Raw!B1036))&amp;":"&amp;IF(Raw!B1036="","",Raw!B1036)&amp;"|"&amp;LEN(IF(Raw!C1036="","",Raw!C1036))&amp;":"&amp;IF(Raw!C1036="","",Raw!C1036)&amp;"|"&amp;LEN(IF(Raw!D1036="","",Raw!D1036))&amp;":"&amp;IF(Raw!D1036="","",Raw!D1036)&amp;"|"&amp;LEN(IF(Raw!E1036="","",Raw!E1036))&amp;":"&amp;IF(Raw!E1036="","",Raw!E1036)&amp;"|"&amp;LEN(IF(Raw!F1036="","",Raw!F1036))&amp;":"&amp;IF(Raw!F1036="","",Raw!F1036)&amp;"|"&amp;LEN(IF(Raw!G1036="","",Raw!G1036))&amp;":"&amp;IF(Raw!G1036="","",Raw!G1036)</f>
        <v>6:L01030|6:T00515|10:2026-03-30|3:P-A|11:Accessories|4:sale|6:102.88</v>
      </c>
      <c r="Q1036" s="1">
        <f>1</f>
        <v>1</v>
      </c>
      <c r="R1036" s="1" t="b">
        <f>FALSE</f>
        <v>0</v>
      </c>
      <c r="S1036" s="1">
        <f>1</f>
        <v>1</v>
      </c>
      <c r="T1036" s="1" t="str">
        <f>IF(AND(Raw!A1036="",Raw!B1036="",Raw!C1036="",Raw!D1036="",Raw!E1036="",Raw!F1036="",Raw!G1036=""),"UNUSED",IF(A1036="","missing line ID",IF(B1036="","missing transaction ID",IF(G1036="",IF(C1036="","missing date","invalid date"),IF(I1036="","unknown product",IF(J1036="","conflicting category",IF(NOT(OR(EXACT(K1036,"sale"),EXACT(K1036,"refund"))),"unknown event",IF(OR(N1036="",NOT(O1036)),"invalid amount",IF(OR(AND(K1036="sale",N1036&lt;=0),AND(K1036="refund",N1036&gt;=0)),"invalid sign","")))))))))</f>
        <v/>
      </c>
      <c r="U1036" s="1" t="str">
        <f t="shared" si="133"/>
        <v>INCLUDED</v>
      </c>
      <c r="V1036" s="1" t="str">
        <f t="shared" si="134"/>
        <v>2026-03</v>
      </c>
      <c r="W1036" s="1">
        <f>IF(AND(U1036="INCLUDED",X1036&gt;0,EXACT(A1036,'AI output'!A1036)),1,0)</f>
        <v>1</v>
      </c>
      <c r="X1036" s="1">
        <f>1036</f>
        <v>1036</v>
      </c>
      <c r="Y1036" s="1">
        <f>IF(AND(U1036="INCLUDED",W1036=1),--(NOT(EXACT(A1036,'AI output'!A1036)))+--(NOT(EXACT(B1036,'AI output'!B1036)))+--(NOT(EXACT(TEXT(G1036,"yyyy-mm-dd"),'AI output'!C1036)))+--(NOT(EXACT(H1036,'AI output'!D1036)))+--(NOT(EXACT(J1036,'AI output'!E1036)))+--(NOT(EXACT(K1036,'AI output'!F1036)))+--(N1036&lt;&gt;'AI output'!L1036)+--(NOT('AI output'!M1036)),0)</f>
        <v>0</v>
      </c>
      <c r="Z1036" s="1">
        <f t="shared" si="135"/>
        <v>0</v>
      </c>
      <c r="AA1036" s="1">
        <f>--EXACT(A1036,"L01030")</f>
        <v>1</v>
      </c>
    </row>
    <row r="1037" spans="1:27" ht="18.95" customHeight="1">
      <c r="A1037" s="1" t="str">
        <f>IF(Raw!A1037="","",Raw!A1037)</f>
        <v>L01031</v>
      </c>
      <c r="B1037" s="1" t="str">
        <f>IF(Raw!B1037="","",Raw!B1037)</f>
        <v>T00516</v>
      </c>
      <c r="C1037" s="1" t="str">
        <f>IF(Raw!C1037="","",Raw!C1037)</f>
        <v>2026-01-06</v>
      </c>
      <c r="D1037" s="1">
        <f t="shared" si="128"/>
        <v>2026</v>
      </c>
      <c r="E1037" s="1">
        <f>IFERROR(IF(AND(LEN(C1037)=10,MID(C1037,5,1)="-",MID(C1037,8,1)="-"),VALUE(MID(C1037,6,2)),IF(AND(LEN(C1037)=11,MID(C1037,3,1)="-",MID(C1037,7,1)="-"),MATCH(UPPER(MID(C1037,4,3)),Guide!$D$7:$D$18,0),0)),0)</f>
        <v>1</v>
      </c>
      <c r="F1037" s="1">
        <f t="shared" si="129"/>
        <v>6</v>
      </c>
      <c r="G1037" s="9">
        <f t="shared" si="130"/>
        <v>46028</v>
      </c>
      <c r="H1037" s="1" t="str">
        <f>IF(Raw!D1037="","",Raw!D1037)</f>
        <v>P-H</v>
      </c>
      <c r="I1037" s="1" t="str">
        <f>IFERROR(IF(EXACT(H1037,INDEX(Guide!$A$7:$A$9,MATCH(SUBSTITUTE(SUBSTITUTE(SUBSTITUTE(H1037,"~","~~"),"*","~*"),"?","~?"),Guide!$A$7:$A$9,0))),INDEX(Guide!$B$7:$B$9,MATCH(SUBSTITUTE(SUBSTITUTE(SUBSTITUTE(H1037,"~","~~"),"*","~*"),"?","~?"),Guide!$A$7:$A$9,0)),""),"")</f>
        <v>Home</v>
      </c>
      <c r="J1037" s="1" t="str">
        <f>IF(TRIM(Raw!E1037)="",I1037,IF(UPPER(TRIM(Raw!E1037))=UPPER(I1037),I1037,""))</f>
        <v>Home</v>
      </c>
      <c r="K1037" s="1" t="str">
        <f>IF(Raw!F1037="","",Raw!F1037)</f>
        <v>sale</v>
      </c>
      <c r="L1037" s="1" t="str">
        <f>IF(LEFT(TRIM(Raw!G1037),2)="-$","-"&amp;MID(TRIM(Raw!G1037),3,99),IF(LEFT(TRIM(Raw!G1037),1)="$",MID(TRIM(Raw!G1037),2,99),TRIM(Raw!G1037)))</f>
        <v>26.09</v>
      </c>
      <c r="M1037" s="1">
        <f t="shared" si="131"/>
        <v>26.09</v>
      </c>
      <c r="N1037" s="10">
        <f t="shared" si="132"/>
        <v>2609</v>
      </c>
      <c r="O1037" s="1" t="b">
        <f>IFERROR(IF(ISNUMBER(Raw!G1037),TRUE,OR(EXACT(L1037,TEXT(M1037,"0.00")),EXACT(L1037,TEXT(M1037,"#,##0.00")))),FALSE)</f>
        <v>1</v>
      </c>
      <c r="P1037" s="1" t="str">
        <f>LEN(IF(Raw!A1037="","",Raw!A1037))&amp;":"&amp;IF(Raw!A1037="","",Raw!A1037)&amp;"|"&amp;LEN(IF(Raw!B1037="","",Raw!B1037))&amp;":"&amp;IF(Raw!B1037="","",Raw!B1037)&amp;"|"&amp;LEN(IF(Raw!C1037="","",Raw!C1037))&amp;":"&amp;IF(Raw!C1037="","",Raw!C1037)&amp;"|"&amp;LEN(IF(Raw!D1037="","",Raw!D1037))&amp;":"&amp;IF(Raw!D1037="","",Raw!D1037)&amp;"|"&amp;LEN(IF(Raw!E1037="","",Raw!E1037))&amp;":"&amp;IF(Raw!E1037="","",Raw!E1037)&amp;"|"&amp;LEN(IF(Raw!F1037="","",Raw!F1037))&amp;":"&amp;IF(Raw!F1037="","",Raw!F1037)&amp;"|"&amp;LEN(IF(Raw!G1037="","",Raw!G1037))&amp;":"&amp;IF(Raw!G1037="","",Raw!G1037)</f>
        <v>6:L01031|6:T00516|10:2026-01-06|3:P-H|4:Home|4:sale|5:26.09</v>
      </c>
      <c r="Q1037" s="1">
        <f>1</f>
        <v>1</v>
      </c>
      <c r="R1037" s="1" t="b">
        <f>FALSE</f>
        <v>0</v>
      </c>
      <c r="S1037" s="1">
        <f>1</f>
        <v>1</v>
      </c>
      <c r="T1037" s="1" t="str">
        <f>IF(AND(Raw!A1037="",Raw!B1037="",Raw!C1037="",Raw!D1037="",Raw!E1037="",Raw!F1037="",Raw!G1037=""),"UNUSED",IF(A1037="","missing line ID",IF(B1037="","missing transaction ID",IF(G1037="",IF(C1037="","missing date","invalid date"),IF(I1037="","unknown product",IF(J1037="","conflicting category",IF(NOT(OR(EXACT(K1037,"sale"),EXACT(K1037,"refund"))),"unknown event",IF(OR(N1037="",NOT(O1037)),"invalid amount",IF(OR(AND(K1037="sale",N1037&lt;=0),AND(K1037="refund",N1037&gt;=0)),"invalid sign","")))))))))</f>
        <v/>
      </c>
      <c r="U1037" s="1" t="str">
        <f t="shared" si="133"/>
        <v>INCLUDED</v>
      </c>
      <c r="V1037" s="1" t="str">
        <f t="shared" si="134"/>
        <v>2026-01</v>
      </c>
      <c r="W1037" s="1">
        <f>IF(AND(U1037="INCLUDED",X1037&gt;0,EXACT(A1037,'AI output'!A1037)),1,0)</f>
        <v>1</v>
      </c>
      <c r="X1037" s="1">
        <f>1037</f>
        <v>1037</v>
      </c>
      <c r="Y1037" s="1">
        <f>IF(AND(U1037="INCLUDED",W1037=1),--(NOT(EXACT(A1037,'AI output'!A1037)))+--(NOT(EXACT(B1037,'AI output'!B1037)))+--(NOT(EXACT(TEXT(G1037,"yyyy-mm-dd"),'AI output'!C1037)))+--(NOT(EXACT(H1037,'AI output'!D1037)))+--(NOT(EXACT(J1037,'AI output'!E1037)))+--(NOT(EXACT(K1037,'AI output'!F1037)))+--(N1037&lt;&gt;'AI output'!L1037)+--(NOT('AI output'!M1037)),0)</f>
        <v>0</v>
      </c>
      <c r="Z1037" s="1">
        <f t="shared" si="135"/>
        <v>0</v>
      </c>
      <c r="AA1037" s="1">
        <f>--EXACT(A1037,"L01031")</f>
        <v>1</v>
      </c>
    </row>
    <row r="1038" spans="1:27" ht="18.95" customHeight="1">
      <c r="A1038" s="1" t="str">
        <f>IF(Raw!A1038="","",Raw!A1038)</f>
        <v>L01032</v>
      </c>
      <c r="B1038" s="1" t="str">
        <f>IF(Raw!B1038="","",Raw!B1038)</f>
        <v>T00516</v>
      </c>
      <c r="C1038" s="1" t="str">
        <f>IF(Raw!C1038="","",Raw!C1038)</f>
        <v>2026-01-06</v>
      </c>
      <c r="D1038" s="1">
        <f t="shared" si="128"/>
        <v>2026</v>
      </c>
      <c r="E1038" s="1">
        <f>IFERROR(IF(AND(LEN(C1038)=10,MID(C1038,5,1)="-",MID(C1038,8,1)="-"),VALUE(MID(C1038,6,2)),IF(AND(LEN(C1038)=11,MID(C1038,3,1)="-",MID(C1038,7,1)="-"),MATCH(UPPER(MID(C1038,4,3)),Guide!$D$7:$D$18,0),0)),0)</f>
        <v>1</v>
      </c>
      <c r="F1038" s="1">
        <f t="shared" si="129"/>
        <v>6</v>
      </c>
      <c r="G1038" s="9">
        <f t="shared" si="130"/>
        <v>46028</v>
      </c>
      <c r="H1038" s="1" t="str">
        <f>IF(Raw!D1038="","",Raw!D1038)</f>
        <v>P-O</v>
      </c>
      <c r="I1038" s="1" t="str">
        <f>IFERROR(IF(EXACT(H1038,INDEX(Guide!$A$7:$A$9,MATCH(SUBSTITUTE(SUBSTITUTE(SUBSTITUTE(H1038,"~","~~"),"*","~*"),"?","~?"),Guide!$A$7:$A$9,0))),INDEX(Guide!$B$7:$B$9,MATCH(SUBSTITUTE(SUBSTITUTE(SUBSTITUTE(H1038,"~","~~"),"*","~*"),"?","~?"),Guide!$A$7:$A$9,0)),""),"")</f>
        <v>Office</v>
      </c>
      <c r="J1038" s="1" t="str">
        <f>IF(TRIM(Raw!E1038)="",I1038,IF(UPPER(TRIM(Raw!E1038))=UPPER(I1038),I1038,""))</f>
        <v>Office</v>
      </c>
      <c r="K1038" s="1" t="str">
        <f>IF(Raw!F1038="","",Raw!F1038)</f>
        <v>sale</v>
      </c>
      <c r="L1038" s="1" t="str">
        <f>IF(LEFT(TRIM(Raw!G1038),2)="-$","-"&amp;MID(TRIM(Raw!G1038),3,99),IF(LEFT(TRIM(Raw!G1038),1)="$",MID(TRIM(Raw!G1038),2,99),TRIM(Raw!G1038)))</f>
        <v>79.38</v>
      </c>
      <c r="M1038" s="1">
        <f t="shared" si="131"/>
        <v>79.38</v>
      </c>
      <c r="N1038" s="10">
        <f t="shared" si="132"/>
        <v>7938</v>
      </c>
      <c r="O1038" s="1" t="b">
        <f>IFERROR(IF(ISNUMBER(Raw!G1038),TRUE,OR(EXACT(L1038,TEXT(M1038,"0.00")),EXACT(L1038,TEXT(M1038,"#,##0.00")))),FALSE)</f>
        <v>1</v>
      </c>
      <c r="P1038" s="1" t="str">
        <f>LEN(IF(Raw!A1038="","",Raw!A1038))&amp;":"&amp;IF(Raw!A1038="","",Raw!A1038)&amp;"|"&amp;LEN(IF(Raw!B1038="","",Raw!B1038))&amp;":"&amp;IF(Raw!B1038="","",Raw!B1038)&amp;"|"&amp;LEN(IF(Raw!C1038="","",Raw!C1038))&amp;":"&amp;IF(Raw!C1038="","",Raw!C1038)&amp;"|"&amp;LEN(IF(Raw!D1038="","",Raw!D1038))&amp;":"&amp;IF(Raw!D1038="","",Raw!D1038)&amp;"|"&amp;LEN(IF(Raw!E1038="","",Raw!E1038))&amp;":"&amp;IF(Raw!E1038="","",Raw!E1038)&amp;"|"&amp;LEN(IF(Raw!F1038="","",Raw!F1038))&amp;":"&amp;IF(Raw!F1038="","",Raw!F1038)&amp;"|"&amp;LEN(IF(Raw!G1038="","",Raw!G1038))&amp;":"&amp;IF(Raw!G1038="","",Raw!G1038)</f>
        <v>6:L01032|6:T00516|10:2026-01-06|3:P-O|6:Office|4:sale|5:79.38</v>
      </c>
      <c r="Q1038" s="1">
        <f>1</f>
        <v>1</v>
      </c>
      <c r="R1038" s="1" t="b">
        <f>FALSE</f>
        <v>0</v>
      </c>
      <c r="S1038" s="1">
        <f>1</f>
        <v>1</v>
      </c>
      <c r="T1038" s="1" t="str">
        <f>IF(AND(Raw!A1038="",Raw!B1038="",Raw!C1038="",Raw!D1038="",Raw!E1038="",Raw!F1038="",Raw!G1038=""),"UNUSED",IF(A1038="","missing line ID",IF(B1038="","missing transaction ID",IF(G1038="",IF(C1038="","missing date","invalid date"),IF(I1038="","unknown product",IF(J1038="","conflicting category",IF(NOT(OR(EXACT(K1038,"sale"),EXACT(K1038,"refund"))),"unknown event",IF(OR(N1038="",NOT(O1038)),"invalid amount",IF(OR(AND(K1038="sale",N1038&lt;=0),AND(K1038="refund",N1038&gt;=0)),"invalid sign","")))))))))</f>
        <v/>
      </c>
      <c r="U1038" s="1" t="str">
        <f t="shared" si="133"/>
        <v>INCLUDED</v>
      </c>
      <c r="V1038" s="1" t="str">
        <f t="shared" si="134"/>
        <v>2026-01</v>
      </c>
      <c r="W1038" s="1">
        <f>IF(AND(U1038="INCLUDED",X1038&gt;0,EXACT(A1038,'AI output'!A1038)),1,0)</f>
        <v>1</v>
      </c>
      <c r="X1038" s="1">
        <f>1038</f>
        <v>1038</v>
      </c>
      <c r="Y1038" s="1">
        <f>IF(AND(U1038="INCLUDED",W1038=1),--(NOT(EXACT(A1038,'AI output'!A1038)))+--(NOT(EXACT(B1038,'AI output'!B1038)))+--(NOT(EXACT(TEXT(G1038,"yyyy-mm-dd"),'AI output'!C1038)))+--(NOT(EXACT(H1038,'AI output'!D1038)))+--(NOT(EXACT(J1038,'AI output'!E1038)))+--(NOT(EXACT(K1038,'AI output'!F1038)))+--(N1038&lt;&gt;'AI output'!L1038)+--(NOT('AI output'!M1038)),0)</f>
        <v>0</v>
      </c>
      <c r="Z1038" s="1">
        <f t="shared" si="135"/>
        <v>0</v>
      </c>
      <c r="AA1038" s="1">
        <f>--EXACT(A1038,"L01032")</f>
        <v>1</v>
      </c>
    </row>
    <row r="1039" spans="1:27" ht="18.95" customHeight="1">
      <c r="A1039" s="1" t="str">
        <f>IF(Raw!A1039="","",Raw!A1039)</f>
        <v>L01033</v>
      </c>
      <c r="B1039" s="1" t="str">
        <f>IF(Raw!B1039="","",Raw!B1039)</f>
        <v>T00517</v>
      </c>
      <c r="C1039" s="1" t="str">
        <f>IF(Raw!C1039="","",Raw!C1039)</f>
        <v>2026-01-13</v>
      </c>
      <c r="D1039" s="1">
        <f t="shared" si="128"/>
        <v>2026</v>
      </c>
      <c r="E1039" s="1">
        <f>IFERROR(IF(AND(LEN(C1039)=10,MID(C1039,5,1)="-",MID(C1039,8,1)="-"),VALUE(MID(C1039,6,2)),IF(AND(LEN(C1039)=11,MID(C1039,3,1)="-",MID(C1039,7,1)="-"),MATCH(UPPER(MID(C1039,4,3)),Guide!$D$7:$D$18,0),0)),0)</f>
        <v>1</v>
      </c>
      <c r="F1039" s="1">
        <f t="shared" si="129"/>
        <v>13</v>
      </c>
      <c r="G1039" s="9">
        <f t="shared" si="130"/>
        <v>46035</v>
      </c>
      <c r="H1039" s="1" t="str">
        <f>IF(Raw!D1039="","",Raw!D1039)</f>
        <v>P-A</v>
      </c>
      <c r="I1039" s="1" t="str">
        <f>IFERROR(IF(EXACT(H1039,INDEX(Guide!$A$7:$A$9,MATCH(SUBSTITUTE(SUBSTITUTE(SUBSTITUTE(H1039,"~","~~"),"*","~*"),"?","~?"),Guide!$A$7:$A$9,0))),INDEX(Guide!$B$7:$B$9,MATCH(SUBSTITUTE(SUBSTITUTE(SUBSTITUTE(H1039,"~","~~"),"*","~*"),"?","~?"),Guide!$A$7:$A$9,0)),""),"")</f>
        <v>Accessories</v>
      </c>
      <c r="J1039" s="1" t="str">
        <f>IF(TRIM(Raw!E1039)="",I1039,IF(UPPER(TRIM(Raw!E1039))=UPPER(I1039),I1039,""))</f>
        <v>Accessories</v>
      </c>
      <c r="K1039" s="1" t="str">
        <f>IF(Raw!F1039="","",Raw!F1039)</f>
        <v>sale</v>
      </c>
      <c r="L1039" s="1" t="str">
        <f>IF(LEFT(TRIM(Raw!G1039),2)="-$","-"&amp;MID(TRIM(Raw!G1039),3,99),IF(LEFT(TRIM(Raw!G1039),1)="$",MID(TRIM(Raw!G1039),2,99),TRIM(Raw!G1039)))</f>
        <v>134.15</v>
      </c>
      <c r="M1039" s="1">
        <f t="shared" si="131"/>
        <v>134.15</v>
      </c>
      <c r="N1039" s="10">
        <f t="shared" si="132"/>
        <v>13415</v>
      </c>
      <c r="O1039" s="1" t="b">
        <f>IFERROR(IF(ISNUMBER(Raw!G1039),TRUE,OR(EXACT(L1039,TEXT(M1039,"0.00")),EXACT(L1039,TEXT(M1039,"#,##0.00")))),FALSE)</f>
        <v>1</v>
      </c>
      <c r="P1039" s="1" t="str">
        <f>LEN(IF(Raw!A1039="","",Raw!A1039))&amp;":"&amp;IF(Raw!A1039="","",Raw!A1039)&amp;"|"&amp;LEN(IF(Raw!B1039="","",Raw!B1039))&amp;":"&amp;IF(Raw!B1039="","",Raw!B1039)&amp;"|"&amp;LEN(IF(Raw!C1039="","",Raw!C1039))&amp;":"&amp;IF(Raw!C1039="","",Raw!C1039)&amp;"|"&amp;LEN(IF(Raw!D1039="","",Raw!D1039))&amp;":"&amp;IF(Raw!D1039="","",Raw!D1039)&amp;"|"&amp;LEN(IF(Raw!E1039="","",Raw!E1039))&amp;":"&amp;IF(Raw!E1039="","",Raw!E1039)&amp;"|"&amp;LEN(IF(Raw!F1039="","",Raw!F1039))&amp;":"&amp;IF(Raw!F1039="","",Raw!F1039)&amp;"|"&amp;LEN(IF(Raw!G1039="","",Raw!G1039))&amp;":"&amp;IF(Raw!G1039="","",Raw!G1039)</f>
        <v>6:L01033|6:T00517|10:2026-01-13|3:P-A|11:Accessories|4:sale|6:134.15</v>
      </c>
      <c r="Q1039" s="1">
        <f>1</f>
        <v>1</v>
      </c>
      <c r="R1039" s="1" t="b">
        <f>FALSE</f>
        <v>0</v>
      </c>
      <c r="S1039" s="1">
        <f>1</f>
        <v>1</v>
      </c>
      <c r="T1039" s="1" t="str">
        <f>IF(AND(Raw!A1039="",Raw!B1039="",Raw!C1039="",Raw!D1039="",Raw!E1039="",Raw!F1039="",Raw!G1039=""),"UNUSED",IF(A1039="","missing line ID",IF(B1039="","missing transaction ID",IF(G1039="",IF(C1039="","missing date","invalid date"),IF(I1039="","unknown product",IF(J1039="","conflicting category",IF(NOT(OR(EXACT(K1039,"sale"),EXACT(K1039,"refund"))),"unknown event",IF(OR(N1039="",NOT(O1039)),"invalid amount",IF(OR(AND(K1039="sale",N1039&lt;=0),AND(K1039="refund",N1039&gt;=0)),"invalid sign","")))))))))</f>
        <v/>
      </c>
      <c r="U1039" s="1" t="str">
        <f t="shared" si="133"/>
        <v>INCLUDED</v>
      </c>
      <c r="V1039" s="1" t="str">
        <f t="shared" si="134"/>
        <v>2026-01</v>
      </c>
      <c r="W1039" s="1">
        <f>IF(AND(U1039="INCLUDED",X1039&gt;0,EXACT(A1039,'AI output'!A1039)),1,0)</f>
        <v>1</v>
      </c>
      <c r="X1039" s="1">
        <f>1039</f>
        <v>1039</v>
      </c>
      <c r="Y1039" s="1">
        <f>IF(AND(U1039="INCLUDED",W1039=1),--(NOT(EXACT(A1039,'AI output'!A1039)))+--(NOT(EXACT(B1039,'AI output'!B1039)))+--(NOT(EXACT(TEXT(G1039,"yyyy-mm-dd"),'AI output'!C1039)))+--(NOT(EXACT(H1039,'AI output'!D1039)))+--(NOT(EXACT(J1039,'AI output'!E1039)))+--(NOT(EXACT(K1039,'AI output'!F1039)))+--(N1039&lt;&gt;'AI output'!L1039)+--(NOT('AI output'!M1039)),0)</f>
        <v>0</v>
      </c>
      <c r="Z1039" s="1">
        <f t="shared" si="135"/>
        <v>0</v>
      </c>
      <c r="AA1039" s="1">
        <f>--EXACT(A1039,"L01033")</f>
        <v>1</v>
      </c>
    </row>
    <row r="1040" spans="1:27" ht="18.95" customHeight="1">
      <c r="A1040" s="1" t="str">
        <f>IF(Raw!A1040="","",Raw!A1040)</f>
        <v>L01034</v>
      </c>
      <c r="B1040" s="1" t="str">
        <f>IF(Raw!B1040="","",Raw!B1040)</f>
        <v>T00517</v>
      </c>
      <c r="C1040" s="1" t="str">
        <f>IF(Raw!C1040="","",Raw!C1040)</f>
        <v>2026-01-13</v>
      </c>
      <c r="D1040" s="1">
        <f t="shared" si="128"/>
        <v>2026</v>
      </c>
      <c r="E1040" s="1">
        <f>IFERROR(IF(AND(LEN(C1040)=10,MID(C1040,5,1)="-",MID(C1040,8,1)="-"),VALUE(MID(C1040,6,2)),IF(AND(LEN(C1040)=11,MID(C1040,3,1)="-",MID(C1040,7,1)="-"),MATCH(UPPER(MID(C1040,4,3)),Guide!$D$7:$D$18,0),0)),0)</f>
        <v>1</v>
      </c>
      <c r="F1040" s="1">
        <f t="shared" si="129"/>
        <v>13</v>
      </c>
      <c r="G1040" s="9">
        <f t="shared" si="130"/>
        <v>46035</v>
      </c>
      <c r="H1040" s="1" t="str">
        <f>IF(Raw!D1040="","",Raw!D1040)</f>
        <v>P-H</v>
      </c>
      <c r="I1040" s="1" t="str">
        <f>IFERROR(IF(EXACT(H1040,INDEX(Guide!$A$7:$A$9,MATCH(SUBSTITUTE(SUBSTITUTE(SUBSTITUTE(H1040,"~","~~"),"*","~*"),"?","~?"),Guide!$A$7:$A$9,0))),INDEX(Guide!$B$7:$B$9,MATCH(SUBSTITUTE(SUBSTITUTE(SUBSTITUTE(H1040,"~","~~"),"*","~*"),"?","~?"),Guide!$A$7:$A$9,0)),""),"")</f>
        <v>Home</v>
      </c>
      <c r="J1040" s="1" t="str">
        <f>IF(TRIM(Raw!E1040)="",I1040,IF(UPPER(TRIM(Raw!E1040))=UPPER(I1040),I1040,""))</f>
        <v>Home</v>
      </c>
      <c r="K1040" s="1" t="str">
        <f>IF(Raw!F1040="","",Raw!F1040)</f>
        <v>sale</v>
      </c>
      <c r="L1040" s="1" t="str">
        <f>IF(LEFT(TRIM(Raw!G1040),2)="-$","-"&amp;MID(TRIM(Raw!G1040),3,99),IF(LEFT(TRIM(Raw!G1040),1)="$",MID(TRIM(Raw!G1040),2,99),TRIM(Raw!G1040)))</f>
        <v>54.40</v>
      </c>
      <c r="M1040" s="1">
        <f t="shared" si="131"/>
        <v>54.4</v>
      </c>
      <c r="N1040" s="10">
        <f t="shared" si="132"/>
        <v>5440</v>
      </c>
      <c r="O1040" s="1" t="b">
        <f>IFERROR(IF(ISNUMBER(Raw!G1040),TRUE,OR(EXACT(L1040,TEXT(M1040,"0.00")),EXACT(L1040,TEXT(M1040,"#,##0.00")))),FALSE)</f>
        <v>1</v>
      </c>
      <c r="P1040" s="1" t="str">
        <f>LEN(IF(Raw!A1040="","",Raw!A1040))&amp;":"&amp;IF(Raw!A1040="","",Raw!A1040)&amp;"|"&amp;LEN(IF(Raw!B1040="","",Raw!B1040))&amp;":"&amp;IF(Raw!B1040="","",Raw!B1040)&amp;"|"&amp;LEN(IF(Raw!C1040="","",Raw!C1040))&amp;":"&amp;IF(Raw!C1040="","",Raw!C1040)&amp;"|"&amp;LEN(IF(Raw!D1040="","",Raw!D1040))&amp;":"&amp;IF(Raw!D1040="","",Raw!D1040)&amp;"|"&amp;LEN(IF(Raw!E1040="","",Raw!E1040))&amp;":"&amp;IF(Raw!E1040="","",Raw!E1040)&amp;"|"&amp;LEN(IF(Raw!F1040="","",Raw!F1040))&amp;":"&amp;IF(Raw!F1040="","",Raw!F1040)&amp;"|"&amp;LEN(IF(Raw!G1040="","",Raw!G1040))&amp;":"&amp;IF(Raw!G1040="","",Raw!G1040)</f>
        <v>6:L01034|6:T00517|10:2026-01-13|3:P-H|4:Home|4:sale|5:54.40</v>
      </c>
      <c r="Q1040" s="1">
        <f>1</f>
        <v>1</v>
      </c>
      <c r="R1040" s="1" t="b">
        <f>FALSE</f>
        <v>0</v>
      </c>
      <c r="S1040" s="1">
        <f>1</f>
        <v>1</v>
      </c>
      <c r="T1040" s="1" t="str">
        <f>IF(AND(Raw!A1040="",Raw!B1040="",Raw!C1040="",Raw!D1040="",Raw!E1040="",Raw!F1040="",Raw!G1040=""),"UNUSED",IF(A1040="","missing line ID",IF(B1040="","missing transaction ID",IF(G1040="",IF(C1040="","missing date","invalid date"),IF(I1040="","unknown product",IF(J1040="","conflicting category",IF(NOT(OR(EXACT(K1040,"sale"),EXACT(K1040,"refund"))),"unknown event",IF(OR(N1040="",NOT(O1040)),"invalid amount",IF(OR(AND(K1040="sale",N1040&lt;=0),AND(K1040="refund",N1040&gt;=0)),"invalid sign","")))))))))</f>
        <v/>
      </c>
      <c r="U1040" s="1" t="str">
        <f t="shared" si="133"/>
        <v>INCLUDED</v>
      </c>
      <c r="V1040" s="1" t="str">
        <f t="shared" si="134"/>
        <v>2026-01</v>
      </c>
      <c r="W1040" s="1">
        <f>IF(AND(U1040="INCLUDED",X1040&gt;0,EXACT(A1040,'AI output'!A1040)),1,0)</f>
        <v>1</v>
      </c>
      <c r="X1040" s="1">
        <f>1040</f>
        <v>1040</v>
      </c>
      <c r="Y1040" s="1">
        <f>IF(AND(U1040="INCLUDED",W1040=1),--(NOT(EXACT(A1040,'AI output'!A1040)))+--(NOT(EXACT(B1040,'AI output'!B1040)))+--(NOT(EXACT(TEXT(G1040,"yyyy-mm-dd"),'AI output'!C1040)))+--(NOT(EXACT(H1040,'AI output'!D1040)))+--(NOT(EXACT(J1040,'AI output'!E1040)))+--(NOT(EXACT(K1040,'AI output'!F1040)))+--(N1040&lt;&gt;'AI output'!L1040)+--(NOT('AI output'!M1040)),0)</f>
        <v>0</v>
      </c>
      <c r="Z1040" s="1">
        <f t="shared" si="135"/>
        <v>0</v>
      </c>
      <c r="AA1040" s="1">
        <f>--EXACT(A1040,"L01034")</f>
        <v>1</v>
      </c>
    </row>
    <row r="1041" spans="1:27" ht="18.95" customHeight="1">
      <c r="A1041" s="1" t="str">
        <f>IF(Raw!A1041="","",Raw!A1041)</f>
        <v>L01035</v>
      </c>
      <c r="B1041" s="1" t="str">
        <f>IF(Raw!B1041="","",Raw!B1041)</f>
        <v>T00518</v>
      </c>
      <c r="C1041" s="1" t="str">
        <f>IF(Raw!C1041="","",Raw!C1041)</f>
        <v>2026-01-20</v>
      </c>
      <c r="D1041" s="1">
        <f t="shared" si="128"/>
        <v>2026</v>
      </c>
      <c r="E1041" s="1">
        <f>IFERROR(IF(AND(LEN(C1041)=10,MID(C1041,5,1)="-",MID(C1041,8,1)="-"),VALUE(MID(C1041,6,2)),IF(AND(LEN(C1041)=11,MID(C1041,3,1)="-",MID(C1041,7,1)="-"),MATCH(UPPER(MID(C1041,4,3)),Guide!$D$7:$D$18,0),0)),0)</f>
        <v>1</v>
      </c>
      <c r="F1041" s="1">
        <f t="shared" si="129"/>
        <v>20</v>
      </c>
      <c r="G1041" s="9">
        <f t="shared" si="130"/>
        <v>46042</v>
      </c>
      <c r="H1041" s="1" t="str">
        <f>IF(Raw!D1041="","",Raw!D1041)</f>
        <v>P-O</v>
      </c>
      <c r="I1041" s="1" t="str">
        <f>IFERROR(IF(EXACT(H1041,INDEX(Guide!$A$7:$A$9,MATCH(SUBSTITUTE(SUBSTITUTE(SUBSTITUTE(H1041,"~","~~"),"*","~*"),"?","~?"),Guide!$A$7:$A$9,0))),INDEX(Guide!$B$7:$B$9,MATCH(SUBSTITUTE(SUBSTITUTE(SUBSTITUTE(H1041,"~","~~"),"*","~*"),"?","~?"),Guide!$A$7:$A$9,0)),""),"")</f>
        <v>Office</v>
      </c>
      <c r="J1041" s="1" t="str">
        <f>IF(TRIM(Raw!E1041)="",I1041,IF(UPPER(TRIM(Raw!E1041))=UPPER(I1041),I1041,""))</f>
        <v>Office</v>
      </c>
      <c r="K1041" s="1" t="str">
        <f>IF(Raw!F1041="","",Raw!F1041)</f>
        <v>sale</v>
      </c>
      <c r="L1041" s="1" t="str">
        <f>IF(LEFT(TRIM(Raw!G1041),2)="-$","-"&amp;MID(TRIM(Raw!G1041),3,99),IF(LEFT(TRIM(Raw!G1041),1)="$",MID(TRIM(Raw!G1041),2,99),TRIM(Raw!G1041)))</f>
        <v>110.28</v>
      </c>
      <c r="M1041" s="1">
        <f t="shared" si="131"/>
        <v>110.28</v>
      </c>
      <c r="N1041" s="10">
        <f t="shared" si="132"/>
        <v>11028</v>
      </c>
      <c r="O1041" s="1" t="b">
        <f>IFERROR(IF(ISNUMBER(Raw!G1041),TRUE,OR(EXACT(L1041,TEXT(M1041,"0.00")),EXACT(L1041,TEXT(M1041,"#,##0.00")))),FALSE)</f>
        <v>1</v>
      </c>
      <c r="P1041" s="1" t="str">
        <f>LEN(IF(Raw!A1041="","",Raw!A1041))&amp;":"&amp;IF(Raw!A1041="","",Raw!A1041)&amp;"|"&amp;LEN(IF(Raw!B1041="","",Raw!B1041))&amp;":"&amp;IF(Raw!B1041="","",Raw!B1041)&amp;"|"&amp;LEN(IF(Raw!C1041="","",Raw!C1041))&amp;":"&amp;IF(Raw!C1041="","",Raw!C1041)&amp;"|"&amp;LEN(IF(Raw!D1041="","",Raw!D1041))&amp;":"&amp;IF(Raw!D1041="","",Raw!D1041)&amp;"|"&amp;LEN(IF(Raw!E1041="","",Raw!E1041))&amp;":"&amp;IF(Raw!E1041="","",Raw!E1041)&amp;"|"&amp;LEN(IF(Raw!F1041="","",Raw!F1041))&amp;":"&amp;IF(Raw!F1041="","",Raw!F1041)&amp;"|"&amp;LEN(IF(Raw!G1041="","",Raw!G1041))&amp;":"&amp;IF(Raw!G1041="","",Raw!G1041)</f>
        <v>6:L01035|6:T00518|10:2026-01-20|3:P-O|6:Office|4:sale|6:110.28</v>
      </c>
      <c r="Q1041" s="1">
        <f>1</f>
        <v>1</v>
      </c>
      <c r="R1041" s="1" t="b">
        <f>FALSE</f>
        <v>0</v>
      </c>
      <c r="S1041" s="1">
        <f>1</f>
        <v>1</v>
      </c>
      <c r="T1041" s="1" t="str">
        <f>IF(AND(Raw!A1041="",Raw!B1041="",Raw!C1041="",Raw!D1041="",Raw!E1041="",Raw!F1041="",Raw!G1041=""),"UNUSED",IF(A1041="","missing line ID",IF(B1041="","missing transaction ID",IF(G1041="",IF(C1041="","missing date","invalid date"),IF(I1041="","unknown product",IF(J1041="","conflicting category",IF(NOT(OR(EXACT(K1041,"sale"),EXACT(K1041,"refund"))),"unknown event",IF(OR(N1041="",NOT(O1041)),"invalid amount",IF(OR(AND(K1041="sale",N1041&lt;=0),AND(K1041="refund",N1041&gt;=0)),"invalid sign","")))))))))</f>
        <v/>
      </c>
      <c r="U1041" s="1" t="str">
        <f t="shared" si="133"/>
        <v>INCLUDED</v>
      </c>
      <c r="V1041" s="1" t="str">
        <f t="shared" si="134"/>
        <v>2026-01</v>
      </c>
      <c r="W1041" s="1">
        <f>IF(AND(U1041="INCLUDED",X1041&gt;0,EXACT(A1041,'AI output'!A1041)),1,0)</f>
        <v>1</v>
      </c>
      <c r="X1041" s="1">
        <f>1041</f>
        <v>1041</v>
      </c>
      <c r="Y1041" s="1">
        <f>IF(AND(U1041="INCLUDED",W1041=1),--(NOT(EXACT(A1041,'AI output'!A1041)))+--(NOT(EXACT(B1041,'AI output'!B1041)))+--(NOT(EXACT(TEXT(G1041,"yyyy-mm-dd"),'AI output'!C1041)))+--(NOT(EXACT(H1041,'AI output'!D1041)))+--(NOT(EXACT(J1041,'AI output'!E1041)))+--(NOT(EXACT(K1041,'AI output'!F1041)))+--(N1041&lt;&gt;'AI output'!L1041)+--(NOT('AI output'!M1041)),0)</f>
        <v>0</v>
      </c>
      <c r="Z1041" s="1">
        <f t="shared" si="135"/>
        <v>0</v>
      </c>
      <c r="AA1041" s="1">
        <f>--EXACT(A1041,"L01035")</f>
        <v>1</v>
      </c>
    </row>
    <row r="1042" spans="1:27" ht="18.95" customHeight="1">
      <c r="A1042" s="1" t="str">
        <f>IF(Raw!A1042="","",Raw!A1042)</f>
        <v>L01036</v>
      </c>
      <c r="B1042" s="1" t="str">
        <f>IF(Raw!B1042="","",Raw!B1042)</f>
        <v>T00518</v>
      </c>
      <c r="C1042" s="1" t="str">
        <f>IF(Raw!C1042="","",Raw!C1042)</f>
        <v>2026-01-20</v>
      </c>
      <c r="D1042" s="1">
        <f t="shared" si="128"/>
        <v>2026</v>
      </c>
      <c r="E1042" s="1">
        <f>IFERROR(IF(AND(LEN(C1042)=10,MID(C1042,5,1)="-",MID(C1042,8,1)="-"),VALUE(MID(C1042,6,2)),IF(AND(LEN(C1042)=11,MID(C1042,3,1)="-",MID(C1042,7,1)="-"),MATCH(UPPER(MID(C1042,4,3)),Guide!$D$7:$D$18,0),0)),0)</f>
        <v>1</v>
      </c>
      <c r="F1042" s="1">
        <f t="shared" si="129"/>
        <v>20</v>
      </c>
      <c r="G1042" s="9">
        <f t="shared" si="130"/>
        <v>46042</v>
      </c>
      <c r="H1042" s="1" t="str">
        <f>IF(Raw!D1042="","",Raw!D1042)</f>
        <v>P-A</v>
      </c>
      <c r="I1042" s="1" t="str">
        <f>IFERROR(IF(EXACT(H1042,INDEX(Guide!$A$7:$A$9,MATCH(SUBSTITUTE(SUBSTITUTE(SUBSTITUTE(H1042,"~","~~"),"*","~*"),"?","~?"),Guide!$A$7:$A$9,0))),INDEX(Guide!$B$7:$B$9,MATCH(SUBSTITUTE(SUBSTITUTE(SUBSTITUTE(H1042,"~","~~"),"*","~*"),"?","~?"),Guide!$A$7:$A$9,0)),""),"")</f>
        <v>Accessories</v>
      </c>
      <c r="J1042" s="1" t="str">
        <f>IF(TRIM(Raw!E1042)="",I1042,IF(UPPER(TRIM(Raw!E1042))=UPPER(I1042),I1042,""))</f>
        <v>Accessories</v>
      </c>
      <c r="K1042" s="1" t="str">
        <f>IF(Raw!F1042="","",Raw!F1042)</f>
        <v>refund</v>
      </c>
      <c r="L1042" s="1" t="str">
        <f>IF(LEFT(TRIM(Raw!G1042),2)="-$","-"&amp;MID(TRIM(Raw!G1042),3,99),IF(LEFT(TRIM(Raw!G1042),1)="$",MID(TRIM(Raw!G1042),2,99),TRIM(Raw!G1042)))</f>
        <v>-27.94</v>
      </c>
      <c r="M1042" s="1">
        <f t="shared" si="131"/>
        <v>-27.94</v>
      </c>
      <c r="N1042" s="10">
        <f t="shared" si="132"/>
        <v>-2794</v>
      </c>
      <c r="O1042" s="1" t="b">
        <f>IFERROR(IF(ISNUMBER(Raw!G1042),TRUE,OR(EXACT(L1042,TEXT(M1042,"0.00")),EXACT(L1042,TEXT(M1042,"#,##0.00")))),FALSE)</f>
        <v>1</v>
      </c>
      <c r="P1042" s="1" t="str">
        <f>LEN(IF(Raw!A1042="","",Raw!A1042))&amp;":"&amp;IF(Raw!A1042="","",Raw!A1042)&amp;"|"&amp;LEN(IF(Raw!B1042="","",Raw!B1042))&amp;":"&amp;IF(Raw!B1042="","",Raw!B1042)&amp;"|"&amp;LEN(IF(Raw!C1042="","",Raw!C1042))&amp;":"&amp;IF(Raw!C1042="","",Raw!C1042)&amp;"|"&amp;LEN(IF(Raw!D1042="","",Raw!D1042))&amp;":"&amp;IF(Raw!D1042="","",Raw!D1042)&amp;"|"&amp;LEN(IF(Raw!E1042="","",Raw!E1042))&amp;":"&amp;IF(Raw!E1042="","",Raw!E1042)&amp;"|"&amp;LEN(IF(Raw!F1042="","",Raw!F1042))&amp;":"&amp;IF(Raw!F1042="","",Raw!F1042)&amp;"|"&amp;LEN(IF(Raw!G1042="","",Raw!G1042))&amp;":"&amp;IF(Raw!G1042="","",Raw!G1042)</f>
        <v>6:L01036|6:T00518|10:2026-01-20|3:P-A|11:Accessories|6:refund|6:-27.94</v>
      </c>
      <c r="Q1042" s="1">
        <f>1</f>
        <v>1</v>
      </c>
      <c r="R1042" s="1" t="b">
        <f>FALSE</f>
        <v>0</v>
      </c>
      <c r="S1042" s="1">
        <f>1</f>
        <v>1</v>
      </c>
      <c r="T1042" s="1" t="str">
        <f>IF(AND(Raw!A1042="",Raw!B1042="",Raw!C1042="",Raw!D1042="",Raw!E1042="",Raw!F1042="",Raw!G1042=""),"UNUSED",IF(A1042="","missing line ID",IF(B1042="","missing transaction ID",IF(G1042="",IF(C1042="","missing date","invalid date"),IF(I1042="","unknown product",IF(J1042="","conflicting category",IF(NOT(OR(EXACT(K1042,"sale"),EXACT(K1042,"refund"))),"unknown event",IF(OR(N1042="",NOT(O1042)),"invalid amount",IF(OR(AND(K1042="sale",N1042&lt;=0),AND(K1042="refund",N1042&gt;=0)),"invalid sign","")))))))))</f>
        <v/>
      </c>
      <c r="U1042" s="1" t="str">
        <f t="shared" si="133"/>
        <v>INCLUDED</v>
      </c>
      <c r="V1042" s="1" t="str">
        <f t="shared" si="134"/>
        <v>2026-01</v>
      </c>
      <c r="W1042" s="1">
        <f>IF(AND(U1042="INCLUDED",X1042&gt;0,EXACT(A1042,'AI output'!A1042)),1,0)</f>
        <v>1</v>
      </c>
      <c r="X1042" s="1">
        <f>1042</f>
        <v>1042</v>
      </c>
      <c r="Y1042" s="1">
        <f>IF(AND(U1042="INCLUDED",W1042=1),--(NOT(EXACT(A1042,'AI output'!A1042)))+--(NOT(EXACT(B1042,'AI output'!B1042)))+--(NOT(EXACT(TEXT(G1042,"yyyy-mm-dd"),'AI output'!C1042)))+--(NOT(EXACT(H1042,'AI output'!D1042)))+--(NOT(EXACT(J1042,'AI output'!E1042)))+--(NOT(EXACT(K1042,'AI output'!F1042)))+--(N1042&lt;&gt;'AI output'!L1042)+--(NOT('AI output'!M1042)),0)</f>
        <v>0</v>
      </c>
      <c r="Z1042" s="1">
        <f t="shared" si="135"/>
        <v>0</v>
      </c>
      <c r="AA1042" s="1">
        <f>--EXACT(A1042,"L01036")</f>
        <v>1</v>
      </c>
    </row>
    <row r="1043" spans="1:27" ht="18.95" customHeight="1">
      <c r="A1043" s="1" t="str">
        <f>IF(Raw!A1043="","",Raw!A1043)</f>
        <v>L01037</v>
      </c>
      <c r="B1043" s="1" t="str">
        <f>IF(Raw!B1043="","",Raw!B1043)</f>
        <v>T00519</v>
      </c>
      <c r="C1043" s="1" t="str">
        <f>IF(Raw!C1043="","",Raw!C1043)</f>
        <v>2026-01-27</v>
      </c>
      <c r="D1043" s="1">
        <f t="shared" si="128"/>
        <v>2026</v>
      </c>
      <c r="E1043" s="1">
        <f>IFERROR(IF(AND(LEN(C1043)=10,MID(C1043,5,1)="-",MID(C1043,8,1)="-"),VALUE(MID(C1043,6,2)),IF(AND(LEN(C1043)=11,MID(C1043,3,1)="-",MID(C1043,7,1)="-"),MATCH(UPPER(MID(C1043,4,3)),Guide!$D$7:$D$18,0),0)),0)</f>
        <v>1</v>
      </c>
      <c r="F1043" s="1">
        <f t="shared" si="129"/>
        <v>27</v>
      </c>
      <c r="G1043" s="9">
        <f t="shared" si="130"/>
        <v>46049</v>
      </c>
      <c r="H1043" s="1" t="str">
        <f>IF(Raw!D1043="","",Raw!D1043)</f>
        <v>P-H</v>
      </c>
      <c r="I1043" s="1" t="str">
        <f>IFERROR(IF(EXACT(H1043,INDEX(Guide!$A$7:$A$9,MATCH(SUBSTITUTE(SUBSTITUTE(SUBSTITUTE(H1043,"~","~~"),"*","~*"),"?","~?"),Guide!$A$7:$A$9,0))),INDEX(Guide!$B$7:$B$9,MATCH(SUBSTITUTE(SUBSTITUTE(SUBSTITUTE(H1043,"~","~~"),"*","~*"),"?","~?"),Guide!$A$7:$A$9,0)),""),"")</f>
        <v>Home</v>
      </c>
      <c r="J1043" s="1" t="str">
        <f>IF(TRIM(Raw!E1043)="",I1043,IF(UPPER(TRIM(Raw!E1043))=UPPER(I1043),I1043,""))</f>
        <v>Home</v>
      </c>
      <c r="K1043" s="1" t="str">
        <f>IF(Raw!F1043="","",Raw!F1043)</f>
        <v>sale</v>
      </c>
      <c r="L1043" s="1" t="str">
        <f>IF(LEFT(TRIM(Raw!G1043),2)="-$","-"&amp;MID(TRIM(Raw!G1043),3,99),IF(LEFT(TRIM(Raw!G1043),1)="$",MID(TRIM(Raw!G1043),2,99),TRIM(Raw!G1043)))</f>
        <v>84.93</v>
      </c>
      <c r="M1043" s="1">
        <f t="shared" si="131"/>
        <v>84.93</v>
      </c>
      <c r="N1043" s="10">
        <f t="shared" si="132"/>
        <v>8493</v>
      </c>
      <c r="O1043" s="1" t="b">
        <f>IFERROR(IF(ISNUMBER(Raw!G1043),TRUE,OR(EXACT(L1043,TEXT(M1043,"0.00")),EXACT(L1043,TEXT(M1043,"#,##0.00")))),FALSE)</f>
        <v>1</v>
      </c>
      <c r="P1043" s="1" t="str">
        <f>LEN(IF(Raw!A1043="","",Raw!A1043))&amp;":"&amp;IF(Raw!A1043="","",Raw!A1043)&amp;"|"&amp;LEN(IF(Raw!B1043="","",Raw!B1043))&amp;":"&amp;IF(Raw!B1043="","",Raw!B1043)&amp;"|"&amp;LEN(IF(Raw!C1043="","",Raw!C1043))&amp;":"&amp;IF(Raw!C1043="","",Raw!C1043)&amp;"|"&amp;LEN(IF(Raw!D1043="","",Raw!D1043))&amp;":"&amp;IF(Raw!D1043="","",Raw!D1043)&amp;"|"&amp;LEN(IF(Raw!E1043="","",Raw!E1043))&amp;":"&amp;IF(Raw!E1043="","",Raw!E1043)&amp;"|"&amp;LEN(IF(Raw!F1043="","",Raw!F1043))&amp;":"&amp;IF(Raw!F1043="","",Raw!F1043)&amp;"|"&amp;LEN(IF(Raw!G1043="","",Raw!G1043))&amp;":"&amp;IF(Raw!G1043="","",Raw!G1043)</f>
        <v>6:L01037|6:T00519|10:2026-01-27|3:P-H|4:Home|4:sale|5:84.93</v>
      </c>
      <c r="Q1043" s="1">
        <f>1</f>
        <v>1</v>
      </c>
      <c r="R1043" s="1" t="b">
        <f>FALSE</f>
        <v>0</v>
      </c>
      <c r="S1043" s="1">
        <f>1</f>
        <v>1</v>
      </c>
      <c r="T1043" s="1" t="str">
        <f>IF(AND(Raw!A1043="",Raw!B1043="",Raw!C1043="",Raw!D1043="",Raw!E1043="",Raw!F1043="",Raw!G1043=""),"UNUSED",IF(A1043="","missing line ID",IF(B1043="","missing transaction ID",IF(G1043="",IF(C1043="","missing date","invalid date"),IF(I1043="","unknown product",IF(J1043="","conflicting category",IF(NOT(OR(EXACT(K1043,"sale"),EXACT(K1043,"refund"))),"unknown event",IF(OR(N1043="",NOT(O1043)),"invalid amount",IF(OR(AND(K1043="sale",N1043&lt;=0),AND(K1043="refund",N1043&gt;=0)),"invalid sign","")))))))))</f>
        <v/>
      </c>
      <c r="U1043" s="1" t="str">
        <f t="shared" si="133"/>
        <v>INCLUDED</v>
      </c>
      <c r="V1043" s="1" t="str">
        <f t="shared" si="134"/>
        <v>2026-01</v>
      </c>
      <c r="W1043" s="1">
        <f>IF(AND(U1043="INCLUDED",X1043&gt;0,EXACT(A1043,'AI output'!A1043)),1,0)</f>
        <v>1</v>
      </c>
      <c r="X1043" s="1">
        <f>1043</f>
        <v>1043</v>
      </c>
      <c r="Y1043" s="1">
        <f>IF(AND(U1043="INCLUDED",W1043=1),--(NOT(EXACT(A1043,'AI output'!A1043)))+--(NOT(EXACT(B1043,'AI output'!B1043)))+--(NOT(EXACT(TEXT(G1043,"yyyy-mm-dd"),'AI output'!C1043)))+--(NOT(EXACT(H1043,'AI output'!D1043)))+--(NOT(EXACT(J1043,'AI output'!E1043)))+--(NOT(EXACT(K1043,'AI output'!F1043)))+--(N1043&lt;&gt;'AI output'!L1043)+--(NOT('AI output'!M1043)),0)</f>
        <v>0</v>
      </c>
      <c r="Z1043" s="1">
        <f t="shared" si="135"/>
        <v>0</v>
      </c>
      <c r="AA1043" s="1">
        <f>--EXACT(A1043,"L01037")</f>
        <v>1</v>
      </c>
    </row>
    <row r="1044" spans="1:27" ht="18.95" customHeight="1">
      <c r="A1044" s="1" t="str">
        <f>IF(Raw!A1044="","",Raw!A1044)</f>
        <v>L01038</v>
      </c>
      <c r="B1044" s="1" t="str">
        <f>IF(Raw!B1044="","",Raw!B1044)</f>
        <v>T00519</v>
      </c>
      <c r="C1044" s="1" t="str">
        <f>IF(Raw!C1044="","",Raw!C1044)</f>
        <v>2026-01-27</v>
      </c>
      <c r="D1044" s="1">
        <f t="shared" si="128"/>
        <v>2026</v>
      </c>
      <c r="E1044" s="1">
        <f>IFERROR(IF(AND(LEN(C1044)=10,MID(C1044,5,1)="-",MID(C1044,8,1)="-"),VALUE(MID(C1044,6,2)),IF(AND(LEN(C1044)=11,MID(C1044,3,1)="-",MID(C1044,7,1)="-"),MATCH(UPPER(MID(C1044,4,3)),Guide!$D$7:$D$18,0),0)),0)</f>
        <v>1</v>
      </c>
      <c r="F1044" s="1">
        <f t="shared" si="129"/>
        <v>27</v>
      </c>
      <c r="G1044" s="9">
        <f t="shared" si="130"/>
        <v>46049</v>
      </c>
      <c r="H1044" s="1" t="str">
        <f>IF(Raw!D1044="","",Raw!D1044)</f>
        <v>P-O</v>
      </c>
      <c r="I1044" s="1" t="str">
        <f>IFERROR(IF(EXACT(H1044,INDEX(Guide!$A$7:$A$9,MATCH(SUBSTITUTE(SUBSTITUTE(SUBSTITUTE(H1044,"~","~~"),"*","~*"),"?","~?"),Guide!$A$7:$A$9,0))),INDEX(Guide!$B$7:$B$9,MATCH(SUBSTITUTE(SUBSTITUTE(SUBSTITUTE(H1044,"~","~~"),"*","~*"),"?","~?"),Guide!$A$7:$A$9,0)),""),"")</f>
        <v>Office</v>
      </c>
      <c r="J1044" s="1" t="str">
        <f>IF(TRIM(Raw!E1044)="",I1044,IF(UPPER(TRIM(Raw!E1044))=UPPER(I1044),I1044,""))</f>
        <v>Office</v>
      </c>
      <c r="K1044" s="1" t="str">
        <f>IF(Raw!F1044="","",Raw!F1044)</f>
        <v>sale</v>
      </c>
      <c r="L1044" s="1" t="str">
        <f>IF(LEFT(TRIM(Raw!G1044),2)="-$","-"&amp;MID(TRIM(Raw!G1044),3,99),IF(LEFT(TRIM(Raw!G1044),1)="$",MID(TRIM(Raw!G1044),2,99),TRIM(Raw!G1044)))</f>
        <v>143.40</v>
      </c>
      <c r="M1044" s="1">
        <f t="shared" si="131"/>
        <v>143.4</v>
      </c>
      <c r="N1044" s="10">
        <f t="shared" si="132"/>
        <v>14340</v>
      </c>
      <c r="O1044" s="1" t="b">
        <f>IFERROR(IF(ISNUMBER(Raw!G1044),TRUE,OR(EXACT(L1044,TEXT(M1044,"0.00")),EXACT(L1044,TEXT(M1044,"#,##0.00")))),FALSE)</f>
        <v>1</v>
      </c>
      <c r="P1044" s="1" t="str">
        <f>LEN(IF(Raw!A1044="","",Raw!A1044))&amp;":"&amp;IF(Raw!A1044="","",Raw!A1044)&amp;"|"&amp;LEN(IF(Raw!B1044="","",Raw!B1044))&amp;":"&amp;IF(Raw!B1044="","",Raw!B1044)&amp;"|"&amp;LEN(IF(Raw!C1044="","",Raw!C1044))&amp;":"&amp;IF(Raw!C1044="","",Raw!C1044)&amp;"|"&amp;LEN(IF(Raw!D1044="","",Raw!D1044))&amp;":"&amp;IF(Raw!D1044="","",Raw!D1044)&amp;"|"&amp;LEN(IF(Raw!E1044="","",Raw!E1044))&amp;":"&amp;IF(Raw!E1044="","",Raw!E1044)&amp;"|"&amp;LEN(IF(Raw!F1044="","",Raw!F1044))&amp;":"&amp;IF(Raw!F1044="","",Raw!F1044)&amp;"|"&amp;LEN(IF(Raw!G1044="","",Raw!G1044))&amp;":"&amp;IF(Raw!G1044="","",Raw!G1044)</f>
        <v>6:L01038|6:T00519|10:2026-01-27|3:P-O|6:Office|4:sale|6:143.40</v>
      </c>
      <c r="Q1044" s="1">
        <f>1</f>
        <v>1</v>
      </c>
      <c r="R1044" s="1" t="b">
        <f>FALSE</f>
        <v>0</v>
      </c>
      <c r="S1044" s="1">
        <f>1</f>
        <v>1</v>
      </c>
      <c r="T1044" s="1" t="str">
        <f>IF(AND(Raw!A1044="",Raw!B1044="",Raw!C1044="",Raw!D1044="",Raw!E1044="",Raw!F1044="",Raw!G1044=""),"UNUSED",IF(A1044="","missing line ID",IF(B1044="","missing transaction ID",IF(G1044="",IF(C1044="","missing date","invalid date"),IF(I1044="","unknown product",IF(J1044="","conflicting category",IF(NOT(OR(EXACT(K1044,"sale"),EXACT(K1044,"refund"))),"unknown event",IF(OR(N1044="",NOT(O1044)),"invalid amount",IF(OR(AND(K1044="sale",N1044&lt;=0),AND(K1044="refund",N1044&gt;=0)),"invalid sign","")))))))))</f>
        <v/>
      </c>
      <c r="U1044" s="1" t="str">
        <f t="shared" si="133"/>
        <v>INCLUDED</v>
      </c>
      <c r="V1044" s="1" t="str">
        <f t="shared" si="134"/>
        <v>2026-01</v>
      </c>
      <c r="W1044" s="1">
        <f>IF(AND(U1044="INCLUDED",X1044&gt;0,EXACT(A1044,'AI output'!A1044)),1,0)</f>
        <v>1</v>
      </c>
      <c r="X1044" s="1">
        <f>1044</f>
        <v>1044</v>
      </c>
      <c r="Y1044" s="1">
        <f>IF(AND(U1044="INCLUDED",W1044=1),--(NOT(EXACT(A1044,'AI output'!A1044)))+--(NOT(EXACT(B1044,'AI output'!B1044)))+--(NOT(EXACT(TEXT(G1044,"yyyy-mm-dd"),'AI output'!C1044)))+--(NOT(EXACT(H1044,'AI output'!D1044)))+--(NOT(EXACT(J1044,'AI output'!E1044)))+--(NOT(EXACT(K1044,'AI output'!F1044)))+--(N1044&lt;&gt;'AI output'!L1044)+--(NOT('AI output'!M1044)),0)</f>
        <v>0</v>
      </c>
      <c r="Z1044" s="1">
        <f t="shared" si="135"/>
        <v>0</v>
      </c>
      <c r="AA1044" s="1">
        <f>--EXACT(A1044,"L01038")</f>
        <v>1</v>
      </c>
    </row>
    <row r="1045" spans="1:27" ht="18.95" customHeight="1">
      <c r="A1045" s="1" t="str">
        <f>IF(Raw!A1045="","",Raw!A1045)</f>
        <v>L01039</v>
      </c>
      <c r="B1045" s="1" t="str">
        <f>IF(Raw!B1045="","",Raw!B1045)</f>
        <v>T00520</v>
      </c>
      <c r="C1045" s="1" t="str">
        <f>IF(Raw!C1045="","",Raw!C1045)</f>
        <v>2026-02-03</v>
      </c>
      <c r="D1045" s="1">
        <f t="shared" si="128"/>
        <v>2026</v>
      </c>
      <c r="E1045" s="1">
        <f>IFERROR(IF(AND(LEN(C1045)=10,MID(C1045,5,1)="-",MID(C1045,8,1)="-"),VALUE(MID(C1045,6,2)),IF(AND(LEN(C1045)=11,MID(C1045,3,1)="-",MID(C1045,7,1)="-"),MATCH(UPPER(MID(C1045,4,3)),Guide!$D$7:$D$18,0),0)),0)</f>
        <v>2</v>
      </c>
      <c r="F1045" s="1">
        <f t="shared" si="129"/>
        <v>3</v>
      </c>
      <c r="G1045" s="9">
        <f t="shared" si="130"/>
        <v>46056</v>
      </c>
      <c r="H1045" s="1" t="str">
        <f>IF(Raw!D1045="","",Raw!D1045)</f>
        <v>P-A</v>
      </c>
      <c r="I1045" s="1" t="str">
        <f>IFERROR(IF(EXACT(H1045,INDEX(Guide!$A$7:$A$9,MATCH(SUBSTITUTE(SUBSTITUTE(SUBSTITUTE(H1045,"~","~~"),"*","~*"),"?","~?"),Guide!$A$7:$A$9,0))),INDEX(Guide!$B$7:$B$9,MATCH(SUBSTITUTE(SUBSTITUTE(SUBSTITUTE(H1045,"~","~~"),"*","~*"),"?","~?"),Guide!$A$7:$A$9,0)),""),"")</f>
        <v>Accessories</v>
      </c>
      <c r="J1045" s="1" t="str">
        <f>IF(TRIM(Raw!E1045)="",I1045,IF(UPPER(TRIM(Raw!E1045))=UPPER(I1045),I1045,""))</f>
        <v>Accessories</v>
      </c>
      <c r="K1045" s="1" t="str">
        <f>IF(Raw!F1045="","",Raw!F1045)</f>
        <v>sale</v>
      </c>
      <c r="L1045" s="1" t="str">
        <f>IF(LEFT(TRIM(Raw!G1045),2)="-$","-"&amp;MID(TRIM(Raw!G1045),3,99),IF(LEFT(TRIM(Raw!G1045),1)="$",MID(TRIM(Raw!G1045),2,99),TRIM(Raw!G1045)))</f>
        <v>58.10</v>
      </c>
      <c r="M1045" s="1">
        <f t="shared" si="131"/>
        <v>58.1</v>
      </c>
      <c r="N1045" s="10">
        <f t="shared" si="132"/>
        <v>5810</v>
      </c>
      <c r="O1045" s="1" t="b">
        <f>IFERROR(IF(ISNUMBER(Raw!G1045),TRUE,OR(EXACT(L1045,TEXT(M1045,"0.00")),EXACT(L1045,TEXT(M1045,"#,##0.00")))),FALSE)</f>
        <v>1</v>
      </c>
      <c r="P1045" s="1" t="str">
        <f>LEN(IF(Raw!A1045="","",Raw!A1045))&amp;":"&amp;IF(Raw!A1045="","",Raw!A1045)&amp;"|"&amp;LEN(IF(Raw!B1045="","",Raw!B1045))&amp;":"&amp;IF(Raw!B1045="","",Raw!B1045)&amp;"|"&amp;LEN(IF(Raw!C1045="","",Raw!C1045))&amp;":"&amp;IF(Raw!C1045="","",Raw!C1045)&amp;"|"&amp;LEN(IF(Raw!D1045="","",Raw!D1045))&amp;":"&amp;IF(Raw!D1045="","",Raw!D1045)&amp;"|"&amp;LEN(IF(Raw!E1045="","",Raw!E1045))&amp;":"&amp;IF(Raw!E1045="","",Raw!E1045)&amp;"|"&amp;LEN(IF(Raw!F1045="","",Raw!F1045))&amp;":"&amp;IF(Raw!F1045="","",Raw!F1045)&amp;"|"&amp;LEN(IF(Raw!G1045="","",Raw!G1045))&amp;":"&amp;IF(Raw!G1045="","",Raw!G1045)</f>
        <v>6:L01039|6:T00520|10:2026-02-03|3:P-A|11:Accessories|4:sale|5:58.10</v>
      </c>
      <c r="Q1045" s="1">
        <f>1</f>
        <v>1</v>
      </c>
      <c r="R1045" s="1" t="b">
        <f>FALSE</f>
        <v>0</v>
      </c>
      <c r="S1045" s="1">
        <f>1</f>
        <v>1</v>
      </c>
      <c r="T1045" s="1" t="str">
        <f>IF(AND(Raw!A1045="",Raw!B1045="",Raw!C1045="",Raw!D1045="",Raw!E1045="",Raw!F1045="",Raw!G1045=""),"UNUSED",IF(A1045="","missing line ID",IF(B1045="","missing transaction ID",IF(G1045="",IF(C1045="","missing date","invalid date"),IF(I1045="","unknown product",IF(J1045="","conflicting category",IF(NOT(OR(EXACT(K1045,"sale"),EXACT(K1045,"refund"))),"unknown event",IF(OR(N1045="",NOT(O1045)),"invalid amount",IF(OR(AND(K1045="sale",N1045&lt;=0),AND(K1045="refund",N1045&gt;=0)),"invalid sign","")))))))))</f>
        <v/>
      </c>
      <c r="U1045" s="1" t="str">
        <f t="shared" si="133"/>
        <v>INCLUDED</v>
      </c>
      <c r="V1045" s="1" t="str">
        <f t="shared" si="134"/>
        <v>2026-02</v>
      </c>
      <c r="W1045" s="1">
        <f>IF(AND(U1045="INCLUDED",X1045&gt;0,EXACT(A1045,'AI output'!A1045)),1,0)</f>
        <v>1</v>
      </c>
      <c r="X1045" s="1">
        <f>1045</f>
        <v>1045</v>
      </c>
      <c r="Y1045" s="1">
        <f>IF(AND(U1045="INCLUDED",W1045=1),--(NOT(EXACT(A1045,'AI output'!A1045)))+--(NOT(EXACT(B1045,'AI output'!B1045)))+--(NOT(EXACT(TEXT(G1045,"yyyy-mm-dd"),'AI output'!C1045)))+--(NOT(EXACT(H1045,'AI output'!D1045)))+--(NOT(EXACT(J1045,'AI output'!E1045)))+--(NOT(EXACT(K1045,'AI output'!F1045)))+--(N1045&lt;&gt;'AI output'!L1045)+--(NOT('AI output'!M1045)),0)</f>
        <v>0</v>
      </c>
      <c r="Z1045" s="1">
        <f t="shared" si="135"/>
        <v>0</v>
      </c>
      <c r="AA1045" s="1">
        <f>--EXACT(A1045,"L01039")</f>
        <v>1</v>
      </c>
    </row>
    <row r="1046" spans="1:27" ht="18.95" customHeight="1">
      <c r="A1046" s="1" t="str">
        <f>IF(Raw!A1046="","",Raw!A1046)</f>
        <v>L01040</v>
      </c>
      <c r="B1046" s="1" t="str">
        <f>IF(Raw!B1046="","",Raw!B1046)</f>
        <v>T00520</v>
      </c>
      <c r="C1046" s="1" t="str">
        <f>IF(Raw!C1046="","",Raw!C1046)</f>
        <v>2026-02-03</v>
      </c>
      <c r="D1046" s="1">
        <f t="shared" si="128"/>
        <v>2026</v>
      </c>
      <c r="E1046" s="1">
        <f>IFERROR(IF(AND(LEN(C1046)=10,MID(C1046,5,1)="-",MID(C1046,8,1)="-"),VALUE(MID(C1046,6,2)),IF(AND(LEN(C1046)=11,MID(C1046,3,1)="-",MID(C1046,7,1)="-"),MATCH(UPPER(MID(C1046,4,3)),Guide!$D$7:$D$18,0),0)),0)</f>
        <v>2</v>
      </c>
      <c r="F1046" s="1">
        <f t="shared" si="129"/>
        <v>3</v>
      </c>
      <c r="G1046" s="9">
        <f t="shared" si="130"/>
        <v>46056</v>
      </c>
      <c r="H1046" s="1" t="str">
        <f>IF(Raw!D1046="","",Raw!D1046)</f>
        <v>P-H</v>
      </c>
      <c r="I1046" s="1" t="str">
        <f>IFERROR(IF(EXACT(H1046,INDEX(Guide!$A$7:$A$9,MATCH(SUBSTITUTE(SUBSTITUTE(SUBSTITUTE(H1046,"~","~~"),"*","~*"),"?","~?"),Guide!$A$7:$A$9,0))),INDEX(Guide!$B$7:$B$9,MATCH(SUBSTITUTE(SUBSTITUTE(SUBSTITUTE(H1046,"~","~~"),"*","~*"),"?","~?"),Guide!$A$7:$A$9,0)),""),"")</f>
        <v>Home</v>
      </c>
      <c r="J1046" s="1" t="str">
        <f>IF(TRIM(Raw!E1046)="",I1046,IF(UPPER(TRIM(Raw!E1046))=UPPER(I1046),I1046,""))</f>
        <v>Home</v>
      </c>
      <c r="K1046" s="1" t="str">
        <f>IF(Raw!F1046="","",Raw!F1046)</f>
        <v>sale</v>
      </c>
      <c r="L1046" s="1" t="str">
        <f>IF(LEFT(TRIM(Raw!G1046),2)="-$","-"&amp;MID(TRIM(Raw!G1046),3,99),IF(LEFT(TRIM(Raw!G1046),1)="$",MID(TRIM(Raw!G1046),2,99),TRIM(Raw!G1046)))</f>
        <v>117.68</v>
      </c>
      <c r="M1046" s="1">
        <f t="shared" si="131"/>
        <v>117.68</v>
      </c>
      <c r="N1046" s="10">
        <f t="shared" si="132"/>
        <v>11768</v>
      </c>
      <c r="O1046" s="1" t="b">
        <f>IFERROR(IF(ISNUMBER(Raw!G1046),TRUE,OR(EXACT(L1046,TEXT(M1046,"0.00")),EXACT(L1046,TEXT(M1046,"#,##0.00")))),FALSE)</f>
        <v>1</v>
      </c>
      <c r="P1046" s="1" t="str">
        <f>LEN(IF(Raw!A1046="","",Raw!A1046))&amp;":"&amp;IF(Raw!A1046="","",Raw!A1046)&amp;"|"&amp;LEN(IF(Raw!B1046="","",Raw!B1046))&amp;":"&amp;IF(Raw!B1046="","",Raw!B1046)&amp;"|"&amp;LEN(IF(Raw!C1046="","",Raw!C1046))&amp;":"&amp;IF(Raw!C1046="","",Raw!C1046)&amp;"|"&amp;LEN(IF(Raw!D1046="","",Raw!D1046))&amp;":"&amp;IF(Raw!D1046="","",Raw!D1046)&amp;"|"&amp;LEN(IF(Raw!E1046="","",Raw!E1046))&amp;":"&amp;IF(Raw!E1046="","",Raw!E1046)&amp;"|"&amp;LEN(IF(Raw!F1046="","",Raw!F1046))&amp;":"&amp;IF(Raw!F1046="","",Raw!F1046)&amp;"|"&amp;LEN(IF(Raw!G1046="","",Raw!G1046))&amp;":"&amp;IF(Raw!G1046="","",Raw!G1046)</f>
        <v>6:L01040|6:T00520|10:2026-02-03|3:P-H|4:Home|4:sale|6:117.68</v>
      </c>
      <c r="Q1046" s="1">
        <f>1</f>
        <v>1</v>
      </c>
      <c r="R1046" s="1" t="b">
        <f>FALSE</f>
        <v>0</v>
      </c>
      <c r="S1046" s="1">
        <f>1</f>
        <v>1</v>
      </c>
      <c r="T1046" s="1" t="str">
        <f>IF(AND(Raw!A1046="",Raw!B1046="",Raw!C1046="",Raw!D1046="",Raw!E1046="",Raw!F1046="",Raw!G1046=""),"UNUSED",IF(A1046="","missing line ID",IF(B1046="","missing transaction ID",IF(G1046="",IF(C1046="","missing date","invalid date"),IF(I1046="","unknown product",IF(J1046="","conflicting category",IF(NOT(OR(EXACT(K1046,"sale"),EXACT(K1046,"refund"))),"unknown event",IF(OR(N1046="",NOT(O1046)),"invalid amount",IF(OR(AND(K1046="sale",N1046&lt;=0),AND(K1046="refund",N1046&gt;=0)),"invalid sign","")))))))))</f>
        <v/>
      </c>
      <c r="U1046" s="1" t="str">
        <f t="shared" si="133"/>
        <v>INCLUDED</v>
      </c>
      <c r="V1046" s="1" t="str">
        <f t="shared" si="134"/>
        <v>2026-02</v>
      </c>
      <c r="W1046" s="1">
        <f>IF(AND(U1046="INCLUDED",X1046&gt;0,EXACT(A1046,'AI output'!A1046)),1,0)</f>
        <v>1</v>
      </c>
      <c r="X1046" s="1">
        <f>1046</f>
        <v>1046</v>
      </c>
      <c r="Y1046" s="1">
        <f>IF(AND(U1046="INCLUDED",W1046=1),--(NOT(EXACT(A1046,'AI output'!A1046)))+--(NOT(EXACT(B1046,'AI output'!B1046)))+--(NOT(EXACT(TEXT(G1046,"yyyy-mm-dd"),'AI output'!C1046)))+--(NOT(EXACT(H1046,'AI output'!D1046)))+--(NOT(EXACT(J1046,'AI output'!E1046)))+--(NOT(EXACT(K1046,'AI output'!F1046)))+--(N1046&lt;&gt;'AI output'!L1046)+--(NOT('AI output'!M1046)),0)</f>
        <v>0</v>
      </c>
      <c r="Z1046" s="1">
        <f t="shared" si="135"/>
        <v>0</v>
      </c>
      <c r="AA1046" s="1">
        <f>--EXACT(A1046,"L01040")</f>
        <v>1</v>
      </c>
    </row>
    <row r="1047" spans="1:27" ht="18.95" customHeight="1">
      <c r="A1047" s="1" t="str">
        <f>IF(Raw!A1047="","",Raw!A1047)</f>
        <v>L01041</v>
      </c>
      <c r="B1047" s="1" t="str">
        <f>IF(Raw!B1047="","",Raw!B1047)</f>
        <v>T00521</v>
      </c>
      <c r="C1047" s="1" t="str">
        <f>IF(Raw!C1047="","",Raw!C1047)</f>
        <v>2026-02-10</v>
      </c>
      <c r="D1047" s="1">
        <f t="shared" si="128"/>
        <v>2026</v>
      </c>
      <c r="E1047" s="1">
        <f>IFERROR(IF(AND(LEN(C1047)=10,MID(C1047,5,1)="-",MID(C1047,8,1)="-"),VALUE(MID(C1047,6,2)),IF(AND(LEN(C1047)=11,MID(C1047,3,1)="-",MID(C1047,7,1)="-"),MATCH(UPPER(MID(C1047,4,3)),Guide!$D$7:$D$18,0),0)),0)</f>
        <v>2</v>
      </c>
      <c r="F1047" s="1">
        <f t="shared" si="129"/>
        <v>10</v>
      </c>
      <c r="G1047" s="9">
        <f t="shared" si="130"/>
        <v>46063</v>
      </c>
      <c r="H1047" s="1" t="str">
        <f>IF(Raw!D1047="","",Raw!D1047)</f>
        <v>P-O</v>
      </c>
      <c r="I1047" s="1" t="str">
        <f>IFERROR(IF(EXACT(H1047,INDEX(Guide!$A$7:$A$9,MATCH(SUBSTITUTE(SUBSTITUTE(SUBSTITUTE(H1047,"~","~~"),"*","~*"),"?","~?"),Guide!$A$7:$A$9,0))),INDEX(Guide!$B$7:$B$9,MATCH(SUBSTITUTE(SUBSTITUTE(SUBSTITUTE(H1047,"~","~~"),"*","~*"),"?","~?"),Guide!$A$7:$A$9,0)),""),"")</f>
        <v>Office</v>
      </c>
      <c r="J1047" s="1" t="str">
        <f>IF(TRIM(Raw!E1047)="",I1047,IF(UPPER(TRIM(Raw!E1047))=UPPER(I1047),I1047,""))</f>
        <v>Office</v>
      </c>
      <c r="K1047" s="1" t="str">
        <f>IF(Raw!F1047="","",Raw!F1047)</f>
        <v>sale</v>
      </c>
      <c r="L1047" s="1" t="str">
        <f>IF(LEFT(TRIM(Raw!G1047),2)="-$","-"&amp;MID(TRIM(Raw!G1047),3,99),IF(LEFT(TRIM(Raw!G1047),1)="$",MID(TRIM(Raw!G1047),2,99),TRIM(Raw!G1047)))</f>
        <v>29.79</v>
      </c>
      <c r="M1047" s="1">
        <f t="shared" si="131"/>
        <v>29.79</v>
      </c>
      <c r="N1047" s="10">
        <f t="shared" si="132"/>
        <v>2979</v>
      </c>
      <c r="O1047" s="1" t="b">
        <f>IFERROR(IF(ISNUMBER(Raw!G1047),TRUE,OR(EXACT(L1047,TEXT(M1047,"0.00")),EXACT(L1047,TEXT(M1047,"#,##0.00")))),FALSE)</f>
        <v>1</v>
      </c>
      <c r="P1047" s="1" t="str">
        <f>LEN(IF(Raw!A1047="","",Raw!A1047))&amp;":"&amp;IF(Raw!A1047="","",Raw!A1047)&amp;"|"&amp;LEN(IF(Raw!B1047="","",Raw!B1047))&amp;":"&amp;IF(Raw!B1047="","",Raw!B1047)&amp;"|"&amp;LEN(IF(Raw!C1047="","",Raw!C1047))&amp;":"&amp;IF(Raw!C1047="","",Raw!C1047)&amp;"|"&amp;LEN(IF(Raw!D1047="","",Raw!D1047))&amp;":"&amp;IF(Raw!D1047="","",Raw!D1047)&amp;"|"&amp;LEN(IF(Raw!E1047="","",Raw!E1047))&amp;":"&amp;IF(Raw!E1047="","",Raw!E1047)&amp;"|"&amp;LEN(IF(Raw!F1047="","",Raw!F1047))&amp;":"&amp;IF(Raw!F1047="","",Raw!F1047)&amp;"|"&amp;LEN(IF(Raw!G1047="","",Raw!G1047))&amp;":"&amp;IF(Raw!G1047="","",Raw!G1047)</f>
        <v>6:L01041|6:T00521|10:2026-02-10|3:P-O|6:Office|4:sale|5:29.79</v>
      </c>
      <c r="Q1047" s="1">
        <f>1</f>
        <v>1</v>
      </c>
      <c r="R1047" s="1" t="b">
        <f>FALSE</f>
        <v>0</v>
      </c>
      <c r="S1047" s="1">
        <f>1</f>
        <v>1</v>
      </c>
      <c r="T1047" s="1" t="str">
        <f>IF(AND(Raw!A1047="",Raw!B1047="",Raw!C1047="",Raw!D1047="",Raw!E1047="",Raw!F1047="",Raw!G1047=""),"UNUSED",IF(A1047="","missing line ID",IF(B1047="","missing transaction ID",IF(G1047="",IF(C1047="","missing date","invalid date"),IF(I1047="","unknown product",IF(J1047="","conflicting category",IF(NOT(OR(EXACT(K1047,"sale"),EXACT(K1047,"refund"))),"unknown event",IF(OR(N1047="",NOT(O1047)),"invalid amount",IF(OR(AND(K1047="sale",N1047&lt;=0),AND(K1047="refund",N1047&gt;=0)),"invalid sign","")))))))))</f>
        <v/>
      </c>
      <c r="U1047" s="1" t="str">
        <f t="shared" si="133"/>
        <v>INCLUDED</v>
      </c>
      <c r="V1047" s="1" t="str">
        <f t="shared" si="134"/>
        <v>2026-02</v>
      </c>
      <c r="W1047" s="1">
        <f>IF(AND(U1047="INCLUDED",X1047&gt;0,EXACT(A1047,'AI output'!A1047)),1,0)</f>
        <v>1</v>
      </c>
      <c r="X1047" s="1">
        <f>1047</f>
        <v>1047</v>
      </c>
      <c r="Y1047" s="1">
        <f>IF(AND(U1047="INCLUDED",W1047=1),--(NOT(EXACT(A1047,'AI output'!A1047)))+--(NOT(EXACT(B1047,'AI output'!B1047)))+--(NOT(EXACT(TEXT(G1047,"yyyy-mm-dd"),'AI output'!C1047)))+--(NOT(EXACT(H1047,'AI output'!D1047)))+--(NOT(EXACT(J1047,'AI output'!E1047)))+--(NOT(EXACT(K1047,'AI output'!F1047)))+--(N1047&lt;&gt;'AI output'!L1047)+--(NOT('AI output'!M1047)),0)</f>
        <v>0</v>
      </c>
      <c r="Z1047" s="1">
        <f t="shared" si="135"/>
        <v>0</v>
      </c>
      <c r="AA1047" s="1">
        <f>--EXACT(A1047,"L01041")</f>
        <v>1</v>
      </c>
    </row>
    <row r="1048" spans="1:27" ht="18.95" customHeight="1">
      <c r="A1048" s="1" t="str">
        <f>IF(Raw!A1048="","",Raw!A1048)</f>
        <v>L01042</v>
      </c>
      <c r="B1048" s="1" t="str">
        <f>IF(Raw!B1048="","",Raw!B1048)</f>
        <v>T00521</v>
      </c>
      <c r="C1048" s="1" t="str">
        <f>IF(Raw!C1048="","",Raw!C1048)</f>
        <v>2026-02-10</v>
      </c>
      <c r="D1048" s="1">
        <f t="shared" si="128"/>
        <v>2026</v>
      </c>
      <c r="E1048" s="1">
        <f>IFERROR(IF(AND(LEN(C1048)=10,MID(C1048,5,1)="-",MID(C1048,8,1)="-"),VALUE(MID(C1048,6,2)),IF(AND(LEN(C1048)=11,MID(C1048,3,1)="-",MID(C1048,7,1)="-"),MATCH(UPPER(MID(C1048,4,3)),Guide!$D$7:$D$18,0),0)),0)</f>
        <v>2</v>
      </c>
      <c r="F1048" s="1">
        <f t="shared" si="129"/>
        <v>10</v>
      </c>
      <c r="G1048" s="9">
        <f t="shared" si="130"/>
        <v>46063</v>
      </c>
      <c r="H1048" s="1" t="str">
        <f>IF(Raw!D1048="","",Raw!D1048)</f>
        <v>P-A</v>
      </c>
      <c r="I1048" s="1" t="str">
        <f>IFERROR(IF(EXACT(H1048,INDEX(Guide!$A$7:$A$9,MATCH(SUBSTITUTE(SUBSTITUTE(SUBSTITUTE(H1048,"~","~~"),"*","~*"),"?","~?"),Guide!$A$7:$A$9,0))),INDEX(Guide!$B$7:$B$9,MATCH(SUBSTITUTE(SUBSTITUTE(SUBSTITUTE(H1048,"~","~~"),"*","~*"),"?","~?"),Guide!$A$7:$A$9,0)),""),"")</f>
        <v>Accessories</v>
      </c>
      <c r="J1048" s="1" t="str">
        <f>IF(TRIM(Raw!E1048)="",I1048,IF(UPPER(TRIM(Raw!E1048))=UPPER(I1048),I1048,""))</f>
        <v>Accessories</v>
      </c>
      <c r="K1048" s="1" t="str">
        <f>IF(Raw!F1048="","",Raw!F1048)</f>
        <v>sale</v>
      </c>
      <c r="L1048" s="1" t="str">
        <f>IF(LEFT(TRIM(Raw!G1048),2)="-$","-"&amp;MID(TRIM(Raw!G1048),3,99),IF(LEFT(TRIM(Raw!G1048),1)="$",MID(TRIM(Raw!G1048),2,99),TRIM(Raw!G1048)))</f>
        <v>90.48</v>
      </c>
      <c r="M1048" s="1">
        <f t="shared" si="131"/>
        <v>90.48</v>
      </c>
      <c r="N1048" s="10">
        <f t="shared" si="132"/>
        <v>9048</v>
      </c>
      <c r="O1048" s="1" t="b">
        <f>IFERROR(IF(ISNUMBER(Raw!G1048),TRUE,OR(EXACT(L1048,TEXT(M1048,"0.00")),EXACT(L1048,TEXT(M1048,"#,##0.00")))),FALSE)</f>
        <v>1</v>
      </c>
      <c r="P1048" s="1" t="str">
        <f>LEN(IF(Raw!A1048="","",Raw!A1048))&amp;":"&amp;IF(Raw!A1048="","",Raw!A1048)&amp;"|"&amp;LEN(IF(Raw!B1048="","",Raw!B1048))&amp;":"&amp;IF(Raw!B1048="","",Raw!B1048)&amp;"|"&amp;LEN(IF(Raw!C1048="","",Raw!C1048))&amp;":"&amp;IF(Raw!C1048="","",Raw!C1048)&amp;"|"&amp;LEN(IF(Raw!D1048="","",Raw!D1048))&amp;":"&amp;IF(Raw!D1048="","",Raw!D1048)&amp;"|"&amp;LEN(IF(Raw!E1048="","",Raw!E1048))&amp;":"&amp;IF(Raw!E1048="","",Raw!E1048)&amp;"|"&amp;LEN(IF(Raw!F1048="","",Raw!F1048))&amp;":"&amp;IF(Raw!F1048="","",Raw!F1048)&amp;"|"&amp;LEN(IF(Raw!G1048="","",Raw!G1048))&amp;":"&amp;IF(Raw!G1048="","",Raw!G1048)</f>
        <v>6:L01042|6:T00521|10:2026-02-10|3:P-A|11:Accessories|4:sale|5:90.48</v>
      </c>
      <c r="Q1048" s="1">
        <f>1</f>
        <v>1</v>
      </c>
      <c r="R1048" s="1" t="b">
        <f>FALSE</f>
        <v>0</v>
      </c>
      <c r="S1048" s="1">
        <f>1</f>
        <v>1</v>
      </c>
      <c r="T1048" s="1" t="str">
        <f>IF(AND(Raw!A1048="",Raw!B1048="",Raw!C1048="",Raw!D1048="",Raw!E1048="",Raw!F1048="",Raw!G1048=""),"UNUSED",IF(A1048="","missing line ID",IF(B1048="","missing transaction ID",IF(G1048="",IF(C1048="","missing date","invalid date"),IF(I1048="","unknown product",IF(J1048="","conflicting category",IF(NOT(OR(EXACT(K1048,"sale"),EXACT(K1048,"refund"))),"unknown event",IF(OR(N1048="",NOT(O1048)),"invalid amount",IF(OR(AND(K1048="sale",N1048&lt;=0),AND(K1048="refund",N1048&gt;=0)),"invalid sign","")))))))))</f>
        <v/>
      </c>
      <c r="U1048" s="1" t="str">
        <f t="shared" si="133"/>
        <v>INCLUDED</v>
      </c>
      <c r="V1048" s="1" t="str">
        <f t="shared" si="134"/>
        <v>2026-02</v>
      </c>
      <c r="W1048" s="1">
        <f>IF(AND(U1048="INCLUDED",X1048&gt;0,EXACT(A1048,'AI output'!A1048)),1,0)</f>
        <v>1</v>
      </c>
      <c r="X1048" s="1">
        <f>1048</f>
        <v>1048</v>
      </c>
      <c r="Y1048" s="1">
        <f>IF(AND(U1048="INCLUDED",W1048=1),--(NOT(EXACT(A1048,'AI output'!A1048)))+--(NOT(EXACT(B1048,'AI output'!B1048)))+--(NOT(EXACT(TEXT(G1048,"yyyy-mm-dd"),'AI output'!C1048)))+--(NOT(EXACT(H1048,'AI output'!D1048)))+--(NOT(EXACT(J1048,'AI output'!E1048)))+--(NOT(EXACT(K1048,'AI output'!F1048)))+--(N1048&lt;&gt;'AI output'!L1048)+--(NOT('AI output'!M1048)),0)</f>
        <v>0</v>
      </c>
      <c r="Z1048" s="1">
        <f t="shared" si="135"/>
        <v>0</v>
      </c>
      <c r="AA1048" s="1">
        <f>--EXACT(A1048,"L01042")</f>
        <v>1</v>
      </c>
    </row>
    <row r="1049" spans="1:27" ht="18.95" customHeight="1">
      <c r="A1049" s="1" t="str">
        <f>IF(Raw!A1049="","",Raw!A1049)</f>
        <v>L01043</v>
      </c>
      <c r="B1049" s="1" t="str">
        <f>IF(Raw!B1049="","",Raw!B1049)</f>
        <v>T00522</v>
      </c>
      <c r="C1049" s="1" t="str">
        <f>IF(Raw!C1049="","",Raw!C1049)</f>
        <v>2026-02-17</v>
      </c>
      <c r="D1049" s="1">
        <f t="shared" si="128"/>
        <v>2026</v>
      </c>
      <c r="E1049" s="1">
        <f>IFERROR(IF(AND(LEN(C1049)=10,MID(C1049,5,1)="-",MID(C1049,8,1)="-"),VALUE(MID(C1049,6,2)),IF(AND(LEN(C1049)=11,MID(C1049,3,1)="-",MID(C1049,7,1)="-"),MATCH(UPPER(MID(C1049,4,3)),Guide!$D$7:$D$18,0),0)),0)</f>
        <v>2</v>
      </c>
      <c r="F1049" s="1">
        <f t="shared" si="129"/>
        <v>17</v>
      </c>
      <c r="G1049" s="9">
        <f t="shared" si="130"/>
        <v>46070</v>
      </c>
      <c r="H1049" s="1" t="str">
        <f>IF(Raw!D1049="","",Raw!D1049)</f>
        <v>P-H</v>
      </c>
      <c r="I1049" s="1" t="str">
        <f>IFERROR(IF(EXACT(H1049,INDEX(Guide!$A$7:$A$9,MATCH(SUBSTITUTE(SUBSTITUTE(SUBSTITUTE(H1049,"~","~~"),"*","~*"),"?","~?"),Guide!$A$7:$A$9,0))),INDEX(Guide!$B$7:$B$9,MATCH(SUBSTITUTE(SUBSTITUTE(SUBSTITUTE(H1049,"~","~~"),"*","~*"),"?","~?"),Guide!$A$7:$A$9,0)),""),"")</f>
        <v>Home</v>
      </c>
      <c r="J1049" s="1" t="str">
        <f>IF(TRIM(Raw!E1049)="",I1049,IF(UPPER(TRIM(Raw!E1049))=UPPER(I1049),I1049,""))</f>
        <v>Home</v>
      </c>
      <c r="K1049" s="1" t="str">
        <f>IF(Raw!F1049="","",Raw!F1049)</f>
        <v>sale</v>
      </c>
      <c r="L1049" s="1" t="str">
        <f>IF(LEFT(TRIM(Raw!G1049),2)="-$","-"&amp;MID(TRIM(Raw!G1049),3,99),IF(LEFT(TRIM(Raw!G1049),1)="$",MID(TRIM(Raw!G1049),2,99),TRIM(Raw!G1049)))</f>
        <v>152.65</v>
      </c>
      <c r="M1049" s="1">
        <f t="shared" si="131"/>
        <v>152.65</v>
      </c>
      <c r="N1049" s="10">
        <f t="shared" si="132"/>
        <v>15265</v>
      </c>
      <c r="O1049" s="1" t="b">
        <f>IFERROR(IF(ISNUMBER(Raw!G1049),TRUE,OR(EXACT(L1049,TEXT(M1049,"0.00")),EXACT(L1049,TEXT(M1049,"#,##0.00")))),FALSE)</f>
        <v>1</v>
      </c>
      <c r="P1049" s="1" t="str">
        <f>LEN(IF(Raw!A1049="","",Raw!A1049))&amp;":"&amp;IF(Raw!A1049="","",Raw!A1049)&amp;"|"&amp;LEN(IF(Raw!B1049="","",Raw!B1049))&amp;":"&amp;IF(Raw!B1049="","",Raw!B1049)&amp;"|"&amp;LEN(IF(Raw!C1049="","",Raw!C1049))&amp;":"&amp;IF(Raw!C1049="","",Raw!C1049)&amp;"|"&amp;LEN(IF(Raw!D1049="","",Raw!D1049))&amp;":"&amp;IF(Raw!D1049="","",Raw!D1049)&amp;"|"&amp;LEN(IF(Raw!E1049="","",Raw!E1049))&amp;":"&amp;IF(Raw!E1049="","",Raw!E1049)&amp;"|"&amp;LEN(IF(Raw!F1049="","",Raw!F1049))&amp;":"&amp;IF(Raw!F1049="","",Raw!F1049)&amp;"|"&amp;LEN(IF(Raw!G1049="","",Raw!G1049))&amp;":"&amp;IF(Raw!G1049="","",Raw!G1049)</f>
        <v>6:L01043|6:T00522|10:2026-02-17|3:P-H|4:Home|4:sale|6:152.65</v>
      </c>
      <c r="Q1049" s="1">
        <f>1</f>
        <v>1</v>
      </c>
      <c r="R1049" s="1" t="b">
        <f>FALSE</f>
        <v>0</v>
      </c>
      <c r="S1049" s="1">
        <f>1</f>
        <v>1</v>
      </c>
      <c r="T1049" s="1" t="str">
        <f>IF(AND(Raw!A1049="",Raw!B1049="",Raw!C1049="",Raw!D1049="",Raw!E1049="",Raw!F1049="",Raw!G1049=""),"UNUSED",IF(A1049="","missing line ID",IF(B1049="","missing transaction ID",IF(G1049="",IF(C1049="","missing date","invalid date"),IF(I1049="","unknown product",IF(J1049="","conflicting category",IF(NOT(OR(EXACT(K1049,"sale"),EXACT(K1049,"refund"))),"unknown event",IF(OR(N1049="",NOT(O1049)),"invalid amount",IF(OR(AND(K1049="sale",N1049&lt;=0),AND(K1049="refund",N1049&gt;=0)),"invalid sign","")))))))))</f>
        <v/>
      </c>
      <c r="U1049" s="1" t="str">
        <f t="shared" si="133"/>
        <v>INCLUDED</v>
      </c>
      <c r="V1049" s="1" t="str">
        <f t="shared" si="134"/>
        <v>2026-02</v>
      </c>
      <c r="W1049" s="1">
        <f>IF(AND(U1049="INCLUDED",X1049&gt;0,EXACT(A1049,'AI output'!A1049)),1,0)</f>
        <v>1</v>
      </c>
      <c r="X1049" s="1">
        <f>1049</f>
        <v>1049</v>
      </c>
      <c r="Y1049" s="1">
        <f>IF(AND(U1049="INCLUDED",W1049=1),--(NOT(EXACT(A1049,'AI output'!A1049)))+--(NOT(EXACT(B1049,'AI output'!B1049)))+--(NOT(EXACT(TEXT(G1049,"yyyy-mm-dd"),'AI output'!C1049)))+--(NOT(EXACT(H1049,'AI output'!D1049)))+--(NOT(EXACT(J1049,'AI output'!E1049)))+--(NOT(EXACT(K1049,'AI output'!F1049)))+--(N1049&lt;&gt;'AI output'!L1049)+--(NOT('AI output'!M1049)),0)</f>
        <v>0</v>
      </c>
      <c r="Z1049" s="1">
        <f t="shared" si="135"/>
        <v>0</v>
      </c>
      <c r="AA1049" s="1">
        <f>--EXACT(A1049,"L01043")</f>
        <v>1</v>
      </c>
    </row>
    <row r="1050" spans="1:27" ht="18.95" customHeight="1">
      <c r="A1050" s="1" t="str">
        <f>IF(Raw!A1050="","",Raw!A1050)</f>
        <v>L01044</v>
      </c>
      <c r="B1050" s="1" t="str">
        <f>IF(Raw!B1050="","",Raw!B1050)</f>
        <v>T00522</v>
      </c>
      <c r="C1050" s="1" t="str">
        <f>IF(Raw!C1050="","",Raw!C1050)</f>
        <v>2026-02-17</v>
      </c>
      <c r="D1050" s="1">
        <f t="shared" si="128"/>
        <v>2026</v>
      </c>
      <c r="E1050" s="1">
        <f>IFERROR(IF(AND(LEN(C1050)=10,MID(C1050,5,1)="-",MID(C1050,8,1)="-"),VALUE(MID(C1050,6,2)),IF(AND(LEN(C1050)=11,MID(C1050,3,1)="-",MID(C1050,7,1)="-"),MATCH(UPPER(MID(C1050,4,3)),Guide!$D$7:$D$18,0),0)),0)</f>
        <v>2</v>
      </c>
      <c r="F1050" s="1">
        <f t="shared" si="129"/>
        <v>17</v>
      </c>
      <c r="G1050" s="9">
        <f t="shared" si="130"/>
        <v>46070</v>
      </c>
      <c r="H1050" s="1" t="str">
        <f>IF(Raw!D1050="","",Raw!D1050)</f>
        <v>P-O</v>
      </c>
      <c r="I1050" s="1" t="str">
        <f>IFERROR(IF(EXACT(H1050,INDEX(Guide!$A$7:$A$9,MATCH(SUBSTITUTE(SUBSTITUTE(SUBSTITUTE(H1050,"~","~~"),"*","~*"),"?","~?"),Guide!$A$7:$A$9,0))),INDEX(Guide!$B$7:$B$9,MATCH(SUBSTITUTE(SUBSTITUTE(SUBSTITUTE(H1050,"~","~~"),"*","~*"),"?","~?"),Guide!$A$7:$A$9,0)),""),"")</f>
        <v>Office</v>
      </c>
      <c r="J1050" s="1" t="str">
        <f>IF(TRIM(Raw!E1050)="",I1050,IF(UPPER(TRIM(Raw!E1050))=UPPER(I1050),I1050,""))</f>
        <v>Office</v>
      </c>
      <c r="K1050" s="1" t="str">
        <f>IF(Raw!F1050="","",Raw!F1050)</f>
        <v>sale</v>
      </c>
      <c r="L1050" s="1" t="str">
        <f>IF(LEFT(TRIM(Raw!G1050),2)="-$","-"&amp;MID(TRIM(Raw!G1050),3,99),IF(LEFT(TRIM(Raw!G1050),1)="$",MID(TRIM(Raw!G1050),2,99),TRIM(Raw!G1050)))</f>
        <v>61.80</v>
      </c>
      <c r="M1050" s="1">
        <f t="shared" si="131"/>
        <v>61.8</v>
      </c>
      <c r="N1050" s="10">
        <f t="shared" si="132"/>
        <v>6180</v>
      </c>
      <c r="O1050" s="1" t="b">
        <f>IFERROR(IF(ISNUMBER(Raw!G1050),TRUE,OR(EXACT(L1050,TEXT(M1050,"0.00")),EXACT(L1050,TEXT(M1050,"#,##0.00")))),FALSE)</f>
        <v>1</v>
      </c>
      <c r="P1050" s="1" t="str">
        <f>LEN(IF(Raw!A1050="","",Raw!A1050))&amp;":"&amp;IF(Raw!A1050="","",Raw!A1050)&amp;"|"&amp;LEN(IF(Raw!B1050="","",Raw!B1050))&amp;":"&amp;IF(Raw!B1050="","",Raw!B1050)&amp;"|"&amp;LEN(IF(Raw!C1050="","",Raw!C1050))&amp;":"&amp;IF(Raw!C1050="","",Raw!C1050)&amp;"|"&amp;LEN(IF(Raw!D1050="","",Raw!D1050))&amp;":"&amp;IF(Raw!D1050="","",Raw!D1050)&amp;"|"&amp;LEN(IF(Raw!E1050="","",Raw!E1050))&amp;":"&amp;IF(Raw!E1050="","",Raw!E1050)&amp;"|"&amp;LEN(IF(Raw!F1050="","",Raw!F1050))&amp;":"&amp;IF(Raw!F1050="","",Raw!F1050)&amp;"|"&amp;LEN(IF(Raw!G1050="","",Raw!G1050))&amp;":"&amp;IF(Raw!G1050="","",Raw!G1050)</f>
        <v>6:L01044|6:T00522|10:2026-02-17|3:P-O|6:Office|4:sale|5:61.80</v>
      </c>
      <c r="Q1050" s="1">
        <f>1</f>
        <v>1</v>
      </c>
      <c r="R1050" s="1" t="b">
        <f>FALSE</f>
        <v>0</v>
      </c>
      <c r="S1050" s="1">
        <f>1</f>
        <v>1</v>
      </c>
      <c r="T1050" s="1" t="str">
        <f>IF(AND(Raw!A1050="",Raw!B1050="",Raw!C1050="",Raw!D1050="",Raw!E1050="",Raw!F1050="",Raw!G1050=""),"UNUSED",IF(A1050="","missing line ID",IF(B1050="","missing transaction ID",IF(G1050="",IF(C1050="","missing date","invalid date"),IF(I1050="","unknown product",IF(J1050="","conflicting category",IF(NOT(OR(EXACT(K1050,"sale"),EXACT(K1050,"refund"))),"unknown event",IF(OR(N1050="",NOT(O1050)),"invalid amount",IF(OR(AND(K1050="sale",N1050&lt;=0),AND(K1050="refund",N1050&gt;=0)),"invalid sign","")))))))))</f>
        <v/>
      </c>
      <c r="U1050" s="1" t="str">
        <f t="shared" si="133"/>
        <v>INCLUDED</v>
      </c>
      <c r="V1050" s="1" t="str">
        <f t="shared" si="134"/>
        <v>2026-02</v>
      </c>
      <c r="W1050" s="1">
        <f>IF(AND(U1050="INCLUDED",X1050&gt;0,EXACT(A1050,'AI output'!A1050)),1,0)</f>
        <v>1</v>
      </c>
      <c r="X1050" s="1">
        <f>1050</f>
        <v>1050</v>
      </c>
      <c r="Y1050" s="1">
        <f>IF(AND(U1050="INCLUDED",W1050=1),--(NOT(EXACT(A1050,'AI output'!A1050)))+--(NOT(EXACT(B1050,'AI output'!B1050)))+--(NOT(EXACT(TEXT(G1050,"yyyy-mm-dd"),'AI output'!C1050)))+--(NOT(EXACT(H1050,'AI output'!D1050)))+--(NOT(EXACT(J1050,'AI output'!E1050)))+--(NOT(EXACT(K1050,'AI output'!F1050)))+--(N1050&lt;&gt;'AI output'!L1050)+--(NOT('AI output'!M1050)),0)</f>
        <v>0</v>
      </c>
      <c r="Z1050" s="1">
        <f t="shared" si="135"/>
        <v>0</v>
      </c>
      <c r="AA1050" s="1">
        <f>--EXACT(A1050,"L01044")</f>
        <v>1</v>
      </c>
    </row>
    <row r="1051" spans="1:27" ht="18.95" customHeight="1">
      <c r="A1051" s="1" t="str">
        <f>IF(Raw!A1051="","",Raw!A1051)</f>
        <v>L01045</v>
      </c>
      <c r="B1051" s="1" t="str">
        <f>IF(Raw!B1051="","",Raw!B1051)</f>
        <v>T00523</v>
      </c>
      <c r="C1051" s="1" t="str">
        <f>IF(Raw!C1051="","",Raw!C1051)</f>
        <v>2026-02-24</v>
      </c>
      <c r="D1051" s="1">
        <f t="shared" si="128"/>
        <v>2026</v>
      </c>
      <c r="E1051" s="1">
        <f>IFERROR(IF(AND(LEN(C1051)=10,MID(C1051,5,1)="-",MID(C1051,8,1)="-"),VALUE(MID(C1051,6,2)),IF(AND(LEN(C1051)=11,MID(C1051,3,1)="-",MID(C1051,7,1)="-"),MATCH(UPPER(MID(C1051,4,3)),Guide!$D$7:$D$18,0),0)),0)</f>
        <v>2</v>
      </c>
      <c r="F1051" s="1">
        <f t="shared" si="129"/>
        <v>24</v>
      </c>
      <c r="G1051" s="9">
        <f t="shared" si="130"/>
        <v>46077</v>
      </c>
      <c r="H1051" s="1" t="str">
        <f>IF(Raw!D1051="","",Raw!D1051)</f>
        <v>P-A</v>
      </c>
      <c r="I1051" s="1" t="str">
        <f>IFERROR(IF(EXACT(H1051,INDEX(Guide!$A$7:$A$9,MATCH(SUBSTITUTE(SUBSTITUTE(SUBSTITUTE(H1051,"~","~~"),"*","~*"),"?","~?"),Guide!$A$7:$A$9,0))),INDEX(Guide!$B$7:$B$9,MATCH(SUBSTITUTE(SUBSTITUTE(SUBSTITUTE(H1051,"~","~~"),"*","~*"),"?","~?"),Guide!$A$7:$A$9,0)),""),"")</f>
        <v>Accessories</v>
      </c>
      <c r="J1051" s="1" t="str">
        <f>IF(TRIM(Raw!E1051)="",I1051,IF(UPPER(TRIM(Raw!E1051))=UPPER(I1051),I1051,""))</f>
        <v>Accessories</v>
      </c>
      <c r="K1051" s="1" t="str">
        <f>IF(Raw!F1051="","",Raw!F1051)</f>
        <v>sale</v>
      </c>
      <c r="L1051" s="1" t="str">
        <f>IF(LEFT(TRIM(Raw!G1051),2)="-$","-"&amp;MID(TRIM(Raw!G1051),3,99),IF(LEFT(TRIM(Raw!G1051),1)="$",MID(TRIM(Raw!G1051),2,99),TRIM(Raw!G1051)))</f>
        <v>125.08</v>
      </c>
      <c r="M1051" s="1">
        <f t="shared" si="131"/>
        <v>125.08</v>
      </c>
      <c r="N1051" s="10">
        <f t="shared" si="132"/>
        <v>12508</v>
      </c>
      <c r="O1051" s="1" t="b">
        <f>IFERROR(IF(ISNUMBER(Raw!G1051),TRUE,OR(EXACT(L1051,TEXT(M1051,"0.00")),EXACT(L1051,TEXT(M1051,"#,##0.00")))),FALSE)</f>
        <v>1</v>
      </c>
      <c r="P1051" s="1" t="str">
        <f>LEN(IF(Raw!A1051="","",Raw!A1051))&amp;":"&amp;IF(Raw!A1051="","",Raw!A1051)&amp;"|"&amp;LEN(IF(Raw!B1051="","",Raw!B1051))&amp;":"&amp;IF(Raw!B1051="","",Raw!B1051)&amp;"|"&amp;LEN(IF(Raw!C1051="","",Raw!C1051))&amp;":"&amp;IF(Raw!C1051="","",Raw!C1051)&amp;"|"&amp;LEN(IF(Raw!D1051="","",Raw!D1051))&amp;":"&amp;IF(Raw!D1051="","",Raw!D1051)&amp;"|"&amp;LEN(IF(Raw!E1051="","",Raw!E1051))&amp;":"&amp;IF(Raw!E1051="","",Raw!E1051)&amp;"|"&amp;LEN(IF(Raw!F1051="","",Raw!F1051))&amp;":"&amp;IF(Raw!F1051="","",Raw!F1051)&amp;"|"&amp;LEN(IF(Raw!G1051="","",Raw!G1051))&amp;":"&amp;IF(Raw!G1051="","",Raw!G1051)</f>
        <v>6:L01045|6:T00523|10:2026-02-24|3:P-A|11:Accessories|4:sale|6:125.08</v>
      </c>
      <c r="Q1051" s="1">
        <f>1</f>
        <v>1</v>
      </c>
      <c r="R1051" s="1" t="b">
        <f>FALSE</f>
        <v>0</v>
      </c>
      <c r="S1051" s="1">
        <f>1</f>
        <v>1</v>
      </c>
      <c r="T1051" s="1" t="str">
        <f>IF(AND(Raw!A1051="",Raw!B1051="",Raw!C1051="",Raw!D1051="",Raw!E1051="",Raw!F1051="",Raw!G1051=""),"UNUSED",IF(A1051="","missing line ID",IF(B1051="","missing transaction ID",IF(G1051="",IF(C1051="","missing date","invalid date"),IF(I1051="","unknown product",IF(J1051="","conflicting category",IF(NOT(OR(EXACT(K1051,"sale"),EXACT(K1051,"refund"))),"unknown event",IF(OR(N1051="",NOT(O1051)),"invalid amount",IF(OR(AND(K1051="sale",N1051&lt;=0),AND(K1051="refund",N1051&gt;=0)),"invalid sign","")))))))))</f>
        <v/>
      </c>
      <c r="U1051" s="1" t="str">
        <f t="shared" si="133"/>
        <v>INCLUDED</v>
      </c>
      <c r="V1051" s="1" t="str">
        <f t="shared" si="134"/>
        <v>2026-02</v>
      </c>
      <c r="W1051" s="1">
        <f>IF(AND(U1051="INCLUDED",X1051&gt;0,EXACT(A1051,'AI output'!A1051)),1,0)</f>
        <v>1</v>
      </c>
      <c r="X1051" s="1">
        <f>1051</f>
        <v>1051</v>
      </c>
      <c r="Y1051" s="1">
        <f>IF(AND(U1051="INCLUDED",W1051=1),--(NOT(EXACT(A1051,'AI output'!A1051)))+--(NOT(EXACT(B1051,'AI output'!B1051)))+--(NOT(EXACT(TEXT(G1051,"yyyy-mm-dd"),'AI output'!C1051)))+--(NOT(EXACT(H1051,'AI output'!D1051)))+--(NOT(EXACT(J1051,'AI output'!E1051)))+--(NOT(EXACT(K1051,'AI output'!F1051)))+--(N1051&lt;&gt;'AI output'!L1051)+--(NOT('AI output'!M1051)),0)</f>
        <v>0</v>
      </c>
      <c r="Z1051" s="1">
        <f t="shared" si="135"/>
        <v>0</v>
      </c>
      <c r="AA1051" s="1">
        <f>--EXACT(A1051,"L01045")</f>
        <v>1</v>
      </c>
    </row>
    <row r="1052" spans="1:27" ht="18.95" customHeight="1">
      <c r="A1052" s="1" t="str">
        <f>IF(Raw!A1052="","",Raw!A1052)</f>
        <v>L01046</v>
      </c>
      <c r="B1052" s="1" t="str">
        <f>IF(Raw!B1052="","",Raw!B1052)</f>
        <v>T00523</v>
      </c>
      <c r="C1052" s="1" t="str">
        <f>IF(Raw!C1052="","",Raw!C1052)</f>
        <v>2026-02-24</v>
      </c>
      <c r="D1052" s="1">
        <f t="shared" si="128"/>
        <v>2026</v>
      </c>
      <c r="E1052" s="1">
        <f>IFERROR(IF(AND(LEN(C1052)=10,MID(C1052,5,1)="-",MID(C1052,8,1)="-"),VALUE(MID(C1052,6,2)),IF(AND(LEN(C1052)=11,MID(C1052,3,1)="-",MID(C1052,7,1)="-"),MATCH(UPPER(MID(C1052,4,3)),Guide!$D$7:$D$18,0),0)),0)</f>
        <v>2</v>
      </c>
      <c r="F1052" s="1">
        <f t="shared" si="129"/>
        <v>24</v>
      </c>
      <c r="G1052" s="9">
        <f t="shared" si="130"/>
        <v>46077</v>
      </c>
      <c r="H1052" s="1" t="str">
        <f>IF(Raw!D1052="","",Raw!D1052)</f>
        <v>P-H</v>
      </c>
      <c r="I1052" s="1" t="str">
        <f>IFERROR(IF(EXACT(H1052,INDEX(Guide!$A$7:$A$9,MATCH(SUBSTITUTE(SUBSTITUTE(SUBSTITUTE(H1052,"~","~~"),"*","~*"),"?","~?"),Guide!$A$7:$A$9,0))),INDEX(Guide!$B$7:$B$9,MATCH(SUBSTITUTE(SUBSTITUTE(SUBSTITUTE(H1052,"~","~~"),"*","~*"),"?","~?"),Guide!$A$7:$A$9,0)),""),"")</f>
        <v>Home</v>
      </c>
      <c r="J1052" s="1" t="str">
        <f>IF(TRIM(Raw!E1052)="",I1052,IF(UPPER(TRIM(Raw!E1052))=UPPER(I1052),I1052,""))</f>
        <v>Home</v>
      </c>
      <c r="K1052" s="1" t="str">
        <f>IF(Raw!F1052="","",Raw!F1052)</f>
        <v>sale</v>
      </c>
      <c r="L1052" s="1" t="str">
        <f>IF(LEFT(TRIM(Raw!G1052),2)="-$","-"&amp;MID(TRIM(Raw!G1052),3,99),IF(LEFT(TRIM(Raw!G1052),1)="$",MID(TRIM(Raw!G1052),2,99),TRIM(Raw!G1052)))</f>
        <v>31.64</v>
      </c>
      <c r="M1052" s="1">
        <f t="shared" si="131"/>
        <v>31.64</v>
      </c>
      <c r="N1052" s="10">
        <f t="shared" si="132"/>
        <v>3164</v>
      </c>
      <c r="O1052" s="1" t="b">
        <f>IFERROR(IF(ISNUMBER(Raw!G1052),TRUE,OR(EXACT(L1052,TEXT(M1052,"0.00")),EXACT(L1052,TEXT(M1052,"#,##0.00")))),FALSE)</f>
        <v>1</v>
      </c>
      <c r="P1052" s="1" t="str">
        <f>LEN(IF(Raw!A1052="","",Raw!A1052))&amp;":"&amp;IF(Raw!A1052="","",Raw!A1052)&amp;"|"&amp;LEN(IF(Raw!B1052="","",Raw!B1052))&amp;":"&amp;IF(Raw!B1052="","",Raw!B1052)&amp;"|"&amp;LEN(IF(Raw!C1052="","",Raw!C1052))&amp;":"&amp;IF(Raw!C1052="","",Raw!C1052)&amp;"|"&amp;LEN(IF(Raw!D1052="","",Raw!D1052))&amp;":"&amp;IF(Raw!D1052="","",Raw!D1052)&amp;"|"&amp;LEN(IF(Raw!E1052="","",Raw!E1052))&amp;":"&amp;IF(Raw!E1052="","",Raw!E1052)&amp;"|"&amp;LEN(IF(Raw!F1052="","",Raw!F1052))&amp;":"&amp;IF(Raw!F1052="","",Raw!F1052)&amp;"|"&amp;LEN(IF(Raw!G1052="","",Raw!G1052))&amp;":"&amp;IF(Raw!G1052="","",Raw!G1052)</f>
        <v>6:L01046|6:T00523|10:2026-02-24|3:P-H|4:Home|4:sale|5:31.64</v>
      </c>
      <c r="Q1052" s="1">
        <f>1</f>
        <v>1</v>
      </c>
      <c r="R1052" s="1" t="b">
        <f>FALSE</f>
        <v>0</v>
      </c>
      <c r="S1052" s="1">
        <f>1</f>
        <v>1</v>
      </c>
      <c r="T1052" s="1" t="str">
        <f>IF(AND(Raw!A1052="",Raw!B1052="",Raw!C1052="",Raw!D1052="",Raw!E1052="",Raw!F1052="",Raw!G1052=""),"UNUSED",IF(A1052="","missing line ID",IF(B1052="","missing transaction ID",IF(G1052="",IF(C1052="","missing date","invalid date"),IF(I1052="","unknown product",IF(J1052="","conflicting category",IF(NOT(OR(EXACT(K1052,"sale"),EXACT(K1052,"refund"))),"unknown event",IF(OR(N1052="",NOT(O1052)),"invalid amount",IF(OR(AND(K1052="sale",N1052&lt;=0),AND(K1052="refund",N1052&gt;=0)),"invalid sign","")))))))))</f>
        <v/>
      </c>
      <c r="U1052" s="1" t="str">
        <f t="shared" si="133"/>
        <v>INCLUDED</v>
      </c>
      <c r="V1052" s="1" t="str">
        <f t="shared" si="134"/>
        <v>2026-02</v>
      </c>
      <c r="W1052" s="1">
        <f>IF(AND(U1052="INCLUDED",X1052&gt;0,EXACT(A1052,'AI output'!A1052)),1,0)</f>
        <v>1</v>
      </c>
      <c r="X1052" s="1">
        <f>1052</f>
        <v>1052</v>
      </c>
      <c r="Y1052" s="1">
        <f>IF(AND(U1052="INCLUDED",W1052=1),--(NOT(EXACT(A1052,'AI output'!A1052)))+--(NOT(EXACT(B1052,'AI output'!B1052)))+--(NOT(EXACT(TEXT(G1052,"yyyy-mm-dd"),'AI output'!C1052)))+--(NOT(EXACT(H1052,'AI output'!D1052)))+--(NOT(EXACT(J1052,'AI output'!E1052)))+--(NOT(EXACT(K1052,'AI output'!F1052)))+--(N1052&lt;&gt;'AI output'!L1052)+--(NOT('AI output'!M1052)),0)</f>
        <v>0</v>
      </c>
      <c r="Z1052" s="1">
        <f t="shared" si="135"/>
        <v>0</v>
      </c>
      <c r="AA1052" s="1">
        <f>--EXACT(A1052,"L01046")</f>
        <v>1</v>
      </c>
    </row>
    <row r="1053" spans="1:27" ht="18.95" customHeight="1">
      <c r="A1053" s="1" t="str">
        <f>IF(Raw!A1053="","",Raw!A1053)</f>
        <v>L01047</v>
      </c>
      <c r="B1053" s="1" t="str">
        <f>IF(Raw!B1053="","",Raw!B1053)</f>
        <v>T00524</v>
      </c>
      <c r="C1053" s="1" t="str">
        <f>IF(Raw!C1053="","",Raw!C1053)</f>
        <v>2026-03-03</v>
      </c>
      <c r="D1053" s="1">
        <f t="shared" si="128"/>
        <v>2026</v>
      </c>
      <c r="E1053" s="1">
        <f>IFERROR(IF(AND(LEN(C1053)=10,MID(C1053,5,1)="-",MID(C1053,8,1)="-"),VALUE(MID(C1053,6,2)),IF(AND(LEN(C1053)=11,MID(C1053,3,1)="-",MID(C1053,7,1)="-"),MATCH(UPPER(MID(C1053,4,3)),Guide!$D$7:$D$18,0),0)),0)</f>
        <v>3</v>
      </c>
      <c r="F1053" s="1">
        <f t="shared" si="129"/>
        <v>3</v>
      </c>
      <c r="G1053" s="9">
        <f t="shared" si="130"/>
        <v>46084</v>
      </c>
      <c r="H1053" s="1" t="str">
        <f>IF(Raw!D1053="","",Raw!D1053)</f>
        <v>P-O</v>
      </c>
      <c r="I1053" s="1" t="str">
        <f>IFERROR(IF(EXACT(H1053,INDEX(Guide!$A$7:$A$9,MATCH(SUBSTITUTE(SUBSTITUTE(SUBSTITUTE(H1053,"~","~~"),"*","~*"),"?","~?"),Guide!$A$7:$A$9,0))),INDEX(Guide!$B$7:$B$9,MATCH(SUBSTITUTE(SUBSTITUTE(SUBSTITUTE(H1053,"~","~~"),"*","~*"),"?","~?"),Guide!$A$7:$A$9,0)),""),"")</f>
        <v>Office</v>
      </c>
      <c r="J1053" s="1" t="str">
        <f>IF(TRIM(Raw!E1053)="",I1053,IF(UPPER(TRIM(Raw!E1053))=UPPER(I1053),I1053,""))</f>
        <v>Office</v>
      </c>
      <c r="K1053" s="1" t="str">
        <f>IF(Raw!F1053="","",Raw!F1053)</f>
        <v>sale</v>
      </c>
      <c r="L1053" s="1" t="str">
        <f>IF(LEFT(TRIM(Raw!G1053),2)="-$","-"&amp;MID(TRIM(Raw!G1053),3,99),IF(LEFT(TRIM(Raw!G1053),1)="$",MID(TRIM(Raw!G1053),2,99),TRIM(Raw!G1053)))</f>
        <v>96.03</v>
      </c>
      <c r="M1053" s="1">
        <f t="shared" si="131"/>
        <v>96.03</v>
      </c>
      <c r="N1053" s="10">
        <f t="shared" si="132"/>
        <v>9603</v>
      </c>
      <c r="O1053" s="1" t="b">
        <f>IFERROR(IF(ISNUMBER(Raw!G1053),TRUE,OR(EXACT(L1053,TEXT(M1053,"0.00")),EXACT(L1053,TEXT(M1053,"#,##0.00")))),FALSE)</f>
        <v>1</v>
      </c>
      <c r="P1053" s="1" t="str">
        <f>LEN(IF(Raw!A1053="","",Raw!A1053))&amp;":"&amp;IF(Raw!A1053="","",Raw!A1053)&amp;"|"&amp;LEN(IF(Raw!B1053="","",Raw!B1053))&amp;":"&amp;IF(Raw!B1053="","",Raw!B1053)&amp;"|"&amp;LEN(IF(Raw!C1053="","",Raw!C1053))&amp;":"&amp;IF(Raw!C1053="","",Raw!C1053)&amp;"|"&amp;LEN(IF(Raw!D1053="","",Raw!D1053))&amp;":"&amp;IF(Raw!D1053="","",Raw!D1053)&amp;"|"&amp;LEN(IF(Raw!E1053="","",Raw!E1053))&amp;":"&amp;IF(Raw!E1053="","",Raw!E1053)&amp;"|"&amp;LEN(IF(Raw!F1053="","",Raw!F1053))&amp;":"&amp;IF(Raw!F1053="","",Raw!F1053)&amp;"|"&amp;LEN(IF(Raw!G1053="","",Raw!G1053))&amp;":"&amp;IF(Raw!G1053="","",Raw!G1053)</f>
        <v>6:L01047|6:T00524|10:2026-03-03|3:P-O|6:Office|4:sale|5:96.03</v>
      </c>
      <c r="Q1053" s="1">
        <f>1</f>
        <v>1</v>
      </c>
      <c r="R1053" s="1" t="b">
        <f>FALSE</f>
        <v>0</v>
      </c>
      <c r="S1053" s="1">
        <f>1</f>
        <v>1</v>
      </c>
      <c r="T1053" s="1" t="str">
        <f>IF(AND(Raw!A1053="",Raw!B1053="",Raw!C1053="",Raw!D1053="",Raw!E1053="",Raw!F1053="",Raw!G1053=""),"UNUSED",IF(A1053="","missing line ID",IF(B1053="","missing transaction ID",IF(G1053="",IF(C1053="","missing date","invalid date"),IF(I1053="","unknown product",IF(J1053="","conflicting category",IF(NOT(OR(EXACT(K1053,"sale"),EXACT(K1053,"refund"))),"unknown event",IF(OR(N1053="",NOT(O1053)),"invalid amount",IF(OR(AND(K1053="sale",N1053&lt;=0),AND(K1053="refund",N1053&gt;=0)),"invalid sign","")))))))))</f>
        <v/>
      </c>
      <c r="U1053" s="1" t="str">
        <f t="shared" si="133"/>
        <v>INCLUDED</v>
      </c>
      <c r="V1053" s="1" t="str">
        <f t="shared" si="134"/>
        <v>2026-03</v>
      </c>
      <c r="W1053" s="1">
        <f>IF(AND(U1053="INCLUDED",X1053&gt;0,EXACT(A1053,'AI output'!A1053)),1,0)</f>
        <v>1</v>
      </c>
      <c r="X1053" s="1">
        <f>1053</f>
        <v>1053</v>
      </c>
      <c r="Y1053" s="1">
        <f>IF(AND(U1053="INCLUDED",W1053=1),--(NOT(EXACT(A1053,'AI output'!A1053)))+--(NOT(EXACT(B1053,'AI output'!B1053)))+--(NOT(EXACT(TEXT(G1053,"yyyy-mm-dd"),'AI output'!C1053)))+--(NOT(EXACT(H1053,'AI output'!D1053)))+--(NOT(EXACT(J1053,'AI output'!E1053)))+--(NOT(EXACT(K1053,'AI output'!F1053)))+--(N1053&lt;&gt;'AI output'!L1053)+--(NOT('AI output'!M1053)),0)</f>
        <v>0</v>
      </c>
      <c r="Z1053" s="1">
        <f t="shared" si="135"/>
        <v>0</v>
      </c>
      <c r="AA1053" s="1">
        <f>--EXACT(A1053,"L01047")</f>
        <v>1</v>
      </c>
    </row>
    <row r="1054" spans="1:27" ht="18.95" customHeight="1">
      <c r="A1054" s="1" t="str">
        <f>IF(Raw!A1054="","",Raw!A1054)</f>
        <v>L01048</v>
      </c>
      <c r="B1054" s="1" t="str">
        <f>IF(Raw!B1054="","",Raw!B1054)</f>
        <v>T00524</v>
      </c>
      <c r="C1054" s="1" t="str">
        <f>IF(Raw!C1054="","",Raw!C1054)</f>
        <v>2026-03-03</v>
      </c>
      <c r="D1054" s="1">
        <f t="shared" si="128"/>
        <v>2026</v>
      </c>
      <c r="E1054" s="1">
        <f>IFERROR(IF(AND(LEN(C1054)=10,MID(C1054,5,1)="-",MID(C1054,8,1)="-"),VALUE(MID(C1054,6,2)),IF(AND(LEN(C1054)=11,MID(C1054,3,1)="-",MID(C1054,7,1)="-"),MATCH(UPPER(MID(C1054,4,3)),Guide!$D$7:$D$18,0),0)),0)</f>
        <v>3</v>
      </c>
      <c r="F1054" s="1">
        <f t="shared" si="129"/>
        <v>3</v>
      </c>
      <c r="G1054" s="9">
        <f t="shared" si="130"/>
        <v>46084</v>
      </c>
      <c r="H1054" s="1" t="str">
        <f>IF(Raw!D1054="","",Raw!D1054)</f>
        <v>P-A</v>
      </c>
      <c r="I1054" s="1" t="str">
        <f>IFERROR(IF(EXACT(H1054,INDEX(Guide!$A$7:$A$9,MATCH(SUBSTITUTE(SUBSTITUTE(SUBSTITUTE(H1054,"~","~~"),"*","~*"),"?","~?"),Guide!$A$7:$A$9,0))),INDEX(Guide!$B$7:$B$9,MATCH(SUBSTITUTE(SUBSTITUTE(SUBSTITUTE(H1054,"~","~~"),"*","~*"),"?","~?"),Guide!$A$7:$A$9,0)),""),"")</f>
        <v>Accessories</v>
      </c>
      <c r="J1054" s="1" t="str">
        <f>IF(TRIM(Raw!E1054)="",I1054,IF(UPPER(TRIM(Raw!E1054))=UPPER(I1054),I1054,""))</f>
        <v>Accessories</v>
      </c>
      <c r="K1054" s="1" t="str">
        <f>IF(Raw!F1054="","",Raw!F1054)</f>
        <v>sale</v>
      </c>
      <c r="L1054" s="1" t="str">
        <f>IF(LEFT(TRIM(Raw!G1054),2)="-$","-"&amp;MID(TRIM(Raw!G1054),3,99),IF(LEFT(TRIM(Raw!G1054),1)="$",MID(TRIM(Raw!G1054),2,99),TRIM(Raw!G1054)))</f>
        <v>161.90</v>
      </c>
      <c r="M1054" s="1">
        <f t="shared" si="131"/>
        <v>161.9</v>
      </c>
      <c r="N1054" s="10">
        <f t="shared" si="132"/>
        <v>16190</v>
      </c>
      <c r="O1054" s="1" t="b">
        <f>IFERROR(IF(ISNUMBER(Raw!G1054),TRUE,OR(EXACT(L1054,TEXT(M1054,"0.00")),EXACT(L1054,TEXT(M1054,"#,##0.00")))),FALSE)</f>
        <v>1</v>
      </c>
      <c r="P1054" s="1" t="str">
        <f>LEN(IF(Raw!A1054="","",Raw!A1054))&amp;":"&amp;IF(Raw!A1054="","",Raw!A1054)&amp;"|"&amp;LEN(IF(Raw!B1054="","",Raw!B1054))&amp;":"&amp;IF(Raw!B1054="","",Raw!B1054)&amp;"|"&amp;LEN(IF(Raw!C1054="","",Raw!C1054))&amp;":"&amp;IF(Raw!C1054="","",Raw!C1054)&amp;"|"&amp;LEN(IF(Raw!D1054="","",Raw!D1054))&amp;":"&amp;IF(Raw!D1054="","",Raw!D1054)&amp;"|"&amp;LEN(IF(Raw!E1054="","",Raw!E1054))&amp;":"&amp;IF(Raw!E1054="","",Raw!E1054)&amp;"|"&amp;LEN(IF(Raw!F1054="","",Raw!F1054))&amp;":"&amp;IF(Raw!F1054="","",Raw!F1054)&amp;"|"&amp;LEN(IF(Raw!G1054="","",Raw!G1054))&amp;":"&amp;IF(Raw!G1054="","",Raw!G1054)</f>
        <v>6:L01048|6:T00524|10:2026-03-03|3:P-A|11:Accessories|4:sale|6:161.90</v>
      </c>
      <c r="Q1054" s="1">
        <f>1</f>
        <v>1</v>
      </c>
      <c r="R1054" s="1" t="b">
        <f>FALSE</f>
        <v>0</v>
      </c>
      <c r="S1054" s="1">
        <f>1</f>
        <v>1</v>
      </c>
      <c r="T1054" s="1" t="str">
        <f>IF(AND(Raw!A1054="",Raw!B1054="",Raw!C1054="",Raw!D1054="",Raw!E1054="",Raw!F1054="",Raw!G1054=""),"UNUSED",IF(A1054="","missing line ID",IF(B1054="","missing transaction ID",IF(G1054="",IF(C1054="","missing date","invalid date"),IF(I1054="","unknown product",IF(J1054="","conflicting category",IF(NOT(OR(EXACT(K1054,"sale"),EXACT(K1054,"refund"))),"unknown event",IF(OR(N1054="",NOT(O1054)),"invalid amount",IF(OR(AND(K1054="sale",N1054&lt;=0),AND(K1054="refund",N1054&gt;=0)),"invalid sign","")))))))))</f>
        <v/>
      </c>
      <c r="U1054" s="1" t="str">
        <f t="shared" si="133"/>
        <v>INCLUDED</v>
      </c>
      <c r="V1054" s="1" t="str">
        <f t="shared" si="134"/>
        <v>2026-03</v>
      </c>
      <c r="W1054" s="1">
        <f>IF(AND(U1054="INCLUDED",X1054&gt;0,EXACT(A1054,'AI output'!A1054)),1,0)</f>
        <v>1</v>
      </c>
      <c r="X1054" s="1">
        <f>1054</f>
        <v>1054</v>
      </c>
      <c r="Y1054" s="1">
        <f>IF(AND(U1054="INCLUDED",W1054=1),--(NOT(EXACT(A1054,'AI output'!A1054)))+--(NOT(EXACT(B1054,'AI output'!B1054)))+--(NOT(EXACT(TEXT(G1054,"yyyy-mm-dd"),'AI output'!C1054)))+--(NOT(EXACT(H1054,'AI output'!D1054)))+--(NOT(EXACT(J1054,'AI output'!E1054)))+--(NOT(EXACT(K1054,'AI output'!F1054)))+--(N1054&lt;&gt;'AI output'!L1054)+--(NOT('AI output'!M1054)),0)</f>
        <v>0</v>
      </c>
      <c r="Z1054" s="1">
        <f t="shared" si="135"/>
        <v>0</v>
      </c>
      <c r="AA1054" s="1">
        <f>--EXACT(A1054,"L01048")</f>
        <v>1</v>
      </c>
    </row>
    <row r="1055" spans="1:27" ht="18.95" customHeight="1">
      <c r="A1055" s="1" t="str">
        <f>IF(Raw!A1055="","",Raw!A1055)</f>
        <v>L01049</v>
      </c>
      <c r="B1055" s="1" t="str">
        <f>IF(Raw!B1055="","",Raw!B1055)</f>
        <v>T00525</v>
      </c>
      <c r="C1055" s="1" t="str">
        <f>IF(Raw!C1055="","",Raw!C1055)</f>
        <v>2026-03-10</v>
      </c>
      <c r="D1055" s="1">
        <f t="shared" si="128"/>
        <v>2026</v>
      </c>
      <c r="E1055" s="1">
        <f>IFERROR(IF(AND(LEN(C1055)=10,MID(C1055,5,1)="-",MID(C1055,8,1)="-"),VALUE(MID(C1055,6,2)),IF(AND(LEN(C1055)=11,MID(C1055,3,1)="-",MID(C1055,7,1)="-"),MATCH(UPPER(MID(C1055,4,3)),Guide!$D$7:$D$18,0),0)),0)</f>
        <v>3</v>
      </c>
      <c r="F1055" s="1">
        <f t="shared" si="129"/>
        <v>10</v>
      </c>
      <c r="G1055" s="9">
        <f t="shared" si="130"/>
        <v>46091</v>
      </c>
      <c r="H1055" s="1" t="str">
        <f>IF(Raw!D1055="","",Raw!D1055)</f>
        <v>P-H</v>
      </c>
      <c r="I1055" s="1" t="str">
        <f>IFERROR(IF(EXACT(H1055,INDEX(Guide!$A$7:$A$9,MATCH(SUBSTITUTE(SUBSTITUTE(SUBSTITUTE(H1055,"~","~~"),"*","~*"),"?","~?"),Guide!$A$7:$A$9,0))),INDEX(Guide!$B$7:$B$9,MATCH(SUBSTITUTE(SUBSTITUTE(SUBSTITUTE(H1055,"~","~~"),"*","~*"),"?","~?"),Guide!$A$7:$A$9,0)),""),"")</f>
        <v>Home</v>
      </c>
      <c r="J1055" s="1" t="str">
        <f>IF(TRIM(Raw!E1055)="",I1055,IF(UPPER(TRIM(Raw!E1055))=UPPER(I1055),I1055,""))</f>
        <v>Home</v>
      </c>
      <c r="K1055" s="1" t="str">
        <f>IF(Raw!F1055="","",Raw!F1055)</f>
        <v>sale</v>
      </c>
      <c r="L1055" s="1" t="str">
        <f>IF(LEFT(TRIM(Raw!G1055),2)="-$","-"&amp;MID(TRIM(Raw!G1055),3,99),IF(LEFT(TRIM(Raw!G1055),1)="$",MID(TRIM(Raw!G1055),2,99),TRIM(Raw!G1055)))</f>
        <v>65.50</v>
      </c>
      <c r="M1055" s="1">
        <f t="shared" si="131"/>
        <v>65.5</v>
      </c>
      <c r="N1055" s="10">
        <f t="shared" si="132"/>
        <v>6550</v>
      </c>
      <c r="O1055" s="1" t="b">
        <f>IFERROR(IF(ISNUMBER(Raw!G1055),TRUE,OR(EXACT(L1055,TEXT(M1055,"0.00")),EXACT(L1055,TEXT(M1055,"#,##0.00")))),FALSE)</f>
        <v>1</v>
      </c>
      <c r="P1055" s="1" t="str">
        <f>LEN(IF(Raw!A1055="","",Raw!A1055))&amp;":"&amp;IF(Raw!A1055="","",Raw!A1055)&amp;"|"&amp;LEN(IF(Raw!B1055="","",Raw!B1055))&amp;":"&amp;IF(Raw!B1055="","",Raw!B1055)&amp;"|"&amp;LEN(IF(Raw!C1055="","",Raw!C1055))&amp;":"&amp;IF(Raw!C1055="","",Raw!C1055)&amp;"|"&amp;LEN(IF(Raw!D1055="","",Raw!D1055))&amp;":"&amp;IF(Raw!D1055="","",Raw!D1055)&amp;"|"&amp;LEN(IF(Raw!E1055="","",Raw!E1055))&amp;":"&amp;IF(Raw!E1055="","",Raw!E1055)&amp;"|"&amp;LEN(IF(Raw!F1055="","",Raw!F1055))&amp;":"&amp;IF(Raw!F1055="","",Raw!F1055)&amp;"|"&amp;LEN(IF(Raw!G1055="","",Raw!G1055))&amp;":"&amp;IF(Raw!G1055="","",Raw!G1055)</f>
        <v>6:L01049|6:T00525|10:2026-03-10|3:P-H|4:Home|4:sale|5:65.50</v>
      </c>
      <c r="Q1055" s="1">
        <f>1</f>
        <v>1</v>
      </c>
      <c r="R1055" s="1" t="b">
        <f>FALSE</f>
        <v>0</v>
      </c>
      <c r="S1055" s="1">
        <f>1</f>
        <v>1</v>
      </c>
      <c r="T1055" s="1" t="str">
        <f>IF(AND(Raw!A1055="",Raw!B1055="",Raw!C1055="",Raw!D1055="",Raw!E1055="",Raw!F1055="",Raw!G1055=""),"UNUSED",IF(A1055="","missing line ID",IF(B1055="","missing transaction ID",IF(G1055="",IF(C1055="","missing date","invalid date"),IF(I1055="","unknown product",IF(J1055="","conflicting category",IF(NOT(OR(EXACT(K1055,"sale"),EXACT(K1055,"refund"))),"unknown event",IF(OR(N1055="",NOT(O1055)),"invalid amount",IF(OR(AND(K1055="sale",N1055&lt;=0),AND(K1055="refund",N1055&gt;=0)),"invalid sign","")))))))))</f>
        <v/>
      </c>
      <c r="U1055" s="1" t="str">
        <f t="shared" si="133"/>
        <v>INCLUDED</v>
      </c>
      <c r="V1055" s="1" t="str">
        <f t="shared" si="134"/>
        <v>2026-03</v>
      </c>
      <c r="W1055" s="1">
        <f>IF(AND(U1055="INCLUDED",X1055&gt;0,EXACT(A1055,'AI output'!A1055)),1,0)</f>
        <v>1</v>
      </c>
      <c r="X1055" s="1">
        <f>1055</f>
        <v>1055</v>
      </c>
      <c r="Y1055" s="1">
        <f>IF(AND(U1055="INCLUDED",W1055=1),--(NOT(EXACT(A1055,'AI output'!A1055)))+--(NOT(EXACT(B1055,'AI output'!B1055)))+--(NOT(EXACT(TEXT(G1055,"yyyy-mm-dd"),'AI output'!C1055)))+--(NOT(EXACT(H1055,'AI output'!D1055)))+--(NOT(EXACT(J1055,'AI output'!E1055)))+--(NOT(EXACT(K1055,'AI output'!F1055)))+--(N1055&lt;&gt;'AI output'!L1055)+--(NOT('AI output'!M1055)),0)</f>
        <v>0</v>
      </c>
      <c r="Z1055" s="1">
        <f t="shared" si="135"/>
        <v>0</v>
      </c>
      <c r="AA1055" s="1">
        <f>--EXACT(A1055,"L01049")</f>
        <v>1</v>
      </c>
    </row>
    <row r="1056" spans="1:27" ht="18.95" customHeight="1">
      <c r="A1056" s="1" t="str">
        <f>IF(Raw!A1056="","",Raw!A1056)</f>
        <v>L01050</v>
      </c>
      <c r="B1056" s="1" t="str">
        <f>IF(Raw!B1056="","",Raw!B1056)</f>
        <v>T00525</v>
      </c>
      <c r="C1056" s="1" t="str">
        <f>IF(Raw!C1056="","",Raw!C1056)</f>
        <v>2026-03-10</v>
      </c>
      <c r="D1056" s="1">
        <f t="shared" si="128"/>
        <v>2026</v>
      </c>
      <c r="E1056" s="1">
        <f>IFERROR(IF(AND(LEN(C1056)=10,MID(C1056,5,1)="-",MID(C1056,8,1)="-"),VALUE(MID(C1056,6,2)),IF(AND(LEN(C1056)=11,MID(C1056,3,1)="-",MID(C1056,7,1)="-"),MATCH(UPPER(MID(C1056,4,3)),Guide!$D$7:$D$18,0),0)),0)</f>
        <v>3</v>
      </c>
      <c r="F1056" s="1">
        <f t="shared" si="129"/>
        <v>10</v>
      </c>
      <c r="G1056" s="9">
        <f t="shared" si="130"/>
        <v>46091</v>
      </c>
      <c r="H1056" s="1" t="str">
        <f>IF(Raw!D1056="","",Raw!D1056)</f>
        <v>P-O</v>
      </c>
      <c r="I1056" s="1" t="str">
        <f>IFERROR(IF(EXACT(H1056,INDEX(Guide!$A$7:$A$9,MATCH(SUBSTITUTE(SUBSTITUTE(SUBSTITUTE(H1056,"~","~~"),"*","~*"),"?","~?"),Guide!$A$7:$A$9,0))),INDEX(Guide!$B$7:$B$9,MATCH(SUBSTITUTE(SUBSTITUTE(SUBSTITUTE(H1056,"~","~~"),"*","~*"),"?","~?"),Guide!$A$7:$A$9,0)),""),"")</f>
        <v>Office</v>
      </c>
      <c r="J1056" s="1" t="str">
        <f>IF(TRIM(Raw!E1056)="",I1056,IF(UPPER(TRIM(Raw!E1056))=UPPER(I1056),I1056,""))</f>
        <v>Office</v>
      </c>
      <c r="K1056" s="1" t="str">
        <f>IF(Raw!F1056="","",Raw!F1056)</f>
        <v>sale</v>
      </c>
      <c r="L1056" s="1" t="str">
        <f>IF(LEFT(TRIM(Raw!G1056),2)="-$","-"&amp;MID(TRIM(Raw!G1056),3,99),IF(LEFT(TRIM(Raw!G1056),1)="$",MID(TRIM(Raw!G1056),2,99),TRIM(Raw!G1056)))</f>
        <v>132.48</v>
      </c>
      <c r="M1056" s="1">
        <f t="shared" si="131"/>
        <v>132.47999999999999</v>
      </c>
      <c r="N1056" s="10">
        <f t="shared" si="132"/>
        <v>13248</v>
      </c>
      <c r="O1056" s="1" t="b">
        <f>IFERROR(IF(ISNUMBER(Raw!G1056),TRUE,OR(EXACT(L1056,TEXT(M1056,"0.00")),EXACT(L1056,TEXT(M1056,"#,##0.00")))),FALSE)</f>
        <v>1</v>
      </c>
      <c r="P1056" s="1" t="str">
        <f>LEN(IF(Raw!A1056="","",Raw!A1056))&amp;":"&amp;IF(Raw!A1056="","",Raw!A1056)&amp;"|"&amp;LEN(IF(Raw!B1056="","",Raw!B1056))&amp;":"&amp;IF(Raw!B1056="","",Raw!B1056)&amp;"|"&amp;LEN(IF(Raw!C1056="","",Raw!C1056))&amp;":"&amp;IF(Raw!C1056="","",Raw!C1056)&amp;"|"&amp;LEN(IF(Raw!D1056="","",Raw!D1056))&amp;":"&amp;IF(Raw!D1056="","",Raw!D1056)&amp;"|"&amp;LEN(IF(Raw!E1056="","",Raw!E1056))&amp;":"&amp;IF(Raw!E1056="","",Raw!E1056)&amp;"|"&amp;LEN(IF(Raw!F1056="","",Raw!F1056))&amp;":"&amp;IF(Raw!F1056="","",Raw!F1056)&amp;"|"&amp;LEN(IF(Raw!G1056="","",Raw!G1056))&amp;":"&amp;IF(Raw!G1056="","",Raw!G1056)</f>
        <v>6:L01050|6:T00525|10:2026-03-10|3:P-O|6:Office|4:sale|6:132.48</v>
      </c>
      <c r="Q1056" s="1">
        <f>1</f>
        <v>1</v>
      </c>
      <c r="R1056" s="1" t="b">
        <f>FALSE</f>
        <v>0</v>
      </c>
      <c r="S1056" s="1">
        <f>1</f>
        <v>1</v>
      </c>
      <c r="T1056" s="1" t="str">
        <f>IF(AND(Raw!A1056="",Raw!B1056="",Raw!C1056="",Raw!D1056="",Raw!E1056="",Raw!F1056="",Raw!G1056=""),"UNUSED",IF(A1056="","missing line ID",IF(B1056="","missing transaction ID",IF(G1056="",IF(C1056="","missing date","invalid date"),IF(I1056="","unknown product",IF(J1056="","conflicting category",IF(NOT(OR(EXACT(K1056,"sale"),EXACT(K1056,"refund"))),"unknown event",IF(OR(N1056="",NOT(O1056)),"invalid amount",IF(OR(AND(K1056="sale",N1056&lt;=0),AND(K1056="refund",N1056&gt;=0)),"invalid sign","")))))))))</f>
        <v/>
      </c>
      <c r="U1056" s="1" t="str">
        <f t="shared" si="133"/>
        <v>INCLUDED</v>
      </c>
      <c r="V1056" s="1" t="str">
        <f t="shared" si="134"/>
        <v>2026-03</v>
      </c>
      <c r="W1056" s="1">
        <f>IF(AND(U1056="INCLUDED",X1056&gt;0,EXACT(A1056,'AI output'!A1056)),1,0)</f>
        <v>1</v>
      </c>
      <c r="X1056" s="1">
        <f>1056</f>
        <v>1056</v>
      </c>
      <c r="Y1056" s="1">
        <f>IF(AND(U1056="INCLUDED",W1056=1),--(NOT(EXACT(A1056,'AI output'!A1056)))+--(NOT(EXACT(B1056,'AI output'!B1056)))+--(NOT(EXACT(TEXT(G1056,"yyyy-mm-dd"),'AI output'!C1056)))+--(NOT(EXACT(H1056,'AI output'!D1056)))+--(NOT(EXACT(J1056,'AI output'!E1056)))+--(NOT(EXACT(K1056,'AI output'!F1056)))+--(N1056&lt;&gt;'AI output'!L1056)+--(NOT('AI output'!M1056)),0)</f>
        <v>0</v>
      </c>
      <c r="Z1056" s="1">
        <f t="shared" si="135"/>
        <v>0</v>
      </c>
      <c r="AA1056" s="1">
        <f>--EXACT(A1056,"L01050")</f>
        <v>1</v>
      </c>
    </row>
    <row r="1057" spans="1:27" ht="18.95" customHeight="1">
      <c r="A1057" s="1" t="str">
        <f>IF(Raw!A1057="","",Raw!A1057)</f>
        <v>L01051</v>
      </c>
      <c r="B1057" s="1" t="str">
        <f>IF(Raw!B1057="","",Raw!B1057)</f>
        <v>T00526</v>
      </c>
      <c r="C1057" s="1" t="str">
        <f>IF(Raw!C1057="","",Raw!C1057)</f>
        <v>2026-03-17</v>
      </c>
      <c r="D1057" s="1">
        <f t="shared" si="128"/>
        <v>2026</v>
      </c>
      <c r="E1057" s="1">
        <f>IFERROR(IF(AND(LEN(C1057)=10,MID(C1057,5,1)="-",MID(C1057,8,1)="-"),VALUE(MID(C1057,6,2)),IF(AND(LEN(C1057)=11,MID(C1057,3,1)="-",MID(C1057,7,1)="-"),MATCH(UPPER(MID(C1057,4,3)),Guide!$D$7:$D$18,0),0)),0)</f>
        <v>3</v>
      </c>
      <c r="F1057" s="1">
        <f t="shared" si="129"/>
        <v>17</v>
      </c>
      <c r="G1057" s="9">
        <f t="shared" si="130"/>
        <v>46098</v>
      </c>
      <c r="H1057" s="1" t="str">
        <f>IF(Raw!D1057="","",Raw!D1057)</f>
        <v>P-A</v>
      </c>
      <c r="I1057" s="1" t="str">
        <f>IFERROR(IF(EXACT(H1057,INDEX(Guide!$A$7:$A$9,MATCH(SUBSTITUTE(SUBSTITUTE(SUBSTITUTE(H1057,"~","~~"),"*","~*"),"?","~?"),Guide!$A$7:$A$9,0))),INDEX(Guide!$B$7:$B$9,MATCH(SUBSTITUTE(SUBSTITUTE(SUBSTITUTE(H1057,"~","~~"),"*","~*"),"?","~?"),Guide!$A$7:$A$9,0)),""),"")</f>
        <v>Accessories</v>
      </c>
      <c r="J1057" s="1" t="str">
        <f>IF(TRIM(Raw!E1057)="",I1057,IF(UPPER(TRIM(Raw!E1057))=UPPER(I1057),I1057,""))</f>
        <v>Accessories</v>
      </c>
      <c r="K1057" s="1" t="str">
        <f>IF(Raw!F1057="","",Raw!F1057)</f>
        <v>sale</v>
      </c>
      <c r="L1057" s="1" t="str">
        <f>IF(LEFT(TRIM(Raw!G1057),2)="-$","-"&amp;MID(TRIM(Raw!G1057),3,99),IF(LEFT(TRIM(Raw!G1057),1)="$",MID(TRIM(Raw!G1057),2,99),TRIM(Raw!G1057)))</f>
        <v>33.49</v>
      </c>
      <c r="M1057" s="1">
        <f t="shared" si="131"/>
        <v>33.49</v>
      </c>
      <c r="N1057" s="10">
        <f t="shared" si="132"/>
        <v>3349</v>
      </c>
      <c r="O1057" s="1" t="b">
        <f>IFERROR(IF(ISNUMBER(Raw!G1057),TRUE,OR(EXACT(L1057,TEXT(M1057,"0.00")),EXACT(L1057,TEXT(M1057,"#,##0.00")))),FALSE)</f>
        <v>1</v>
      </c>
      <c r="P1057" s="1" t="str">
        <f>LEN(IF(Raw!A1057="","",Raw!A1057))&amp;":"&amp;IF(Raw!A1057="","",Raw!A1057)&amp;"|"&amp;LEN(IF(Raw!B1057="","",Raw!B1057))&amp;":"&amp;IF(Raw!B1057="","",Raw!B1057)&amp;"|"&amp;LEN(IF(Raw!C1057="","",Raw!C1057))&amp;":"&amp;IF(Raw!C1057="","",Raw!C1057)&amp;"|"&amp;LEN(IF(Raw!D1057="","",Raw!D1057))&amp;":"&amp;IF(Raw!D1057="","",Raw!D1057)&amp;"|"&amp;LEN(IF(Raw!E1057="","",Raw!E1057))&amp;":"&amp;IF(Raw!E1057="","",Raw!E1057)&amp;"|"&amp;LEN(IF(Raw!F1057="","",Raw!F1057))&amp;":"&amp;IF(Raw!F1057="","",Raw!F1057)&amp;"|"&amp;LEN(IF(Raw!G1057="","",Raw!G1057))&amp;":"&amp;IF(Raw!G1057="","",Raw!G1057)</f>
        <v>6:L01051|6:T00526|10:2026-03-17|3:P-A|11:Accessories|4:sale|5:33.49</v>
      </c>
      <c r="Q1057" s="1">
        <f>1</f>
        <v>1</v>
      </c>
      <c r="R1057" s="1" t="b">
        <f>FALSE</f>
        <v>0</v>
      </c>
      <c r="S1057" s="1">
        <f>1</f>
        <v>1</v>
      </c>
      <c r="T1057" s="1" t="str">
        <f>IF(AND(Raw!A1057="",Raw!B1057="",Raw!C1057="",Raw!D1057="",Raw!E1057="",Raw!F1057="",Raw!G1057=""),"UNUSED",IF(A1057="","missing line ID",IF(B1057="","missing transaction ID",IF(G1057="",IF(C1057="","missing date","invalid date"),IF(I1057="","unknown product",IF(J1057="","conflicting category",IF(NOT(OR(EXACT(K1057,"sale"),EXACT(K1057,"refund"))),"unknown event",IF(OR(N1057="",NOT(O1057)),"invalid amount",IF(OR(AND(K1057="sale",N1057&lt;=0),AND(K1057="refund",N1057&gt;=0)),"invalid sign","")))))))))</f>
        <v/>
      </c>
      <c r="U1057" s="1" t="str">
        <f t="shared" si="133"/>
        <v>INCLUDED</v>
      </c>
      <c r="V1057" s="1" t="str">
        <f t="shared" si="134"/>
        <v>2026-03</v>
      </c>
      <c r="W1057" s="1">
        <f>IF(AND(U1057="INCLUDED",X1057&gt;0,EXACT(A1057,'AI output'!A1057)),1,0)</f>
        <v>1</v>
      </c>
      <c r="X1057" s="1">
        <f>1057</f>
        <v>1057</v>
      </c>
      <c r="Y1057" s="1">
        <f>IF(AND(U1057="INCLUDED",W1057=1),--(NOT(EXACT(A1057,'AI output'!A1057)))+--(NOT(EXACT(B1057,'AI output'!B1057)))+--(NOT(EXACT(TEXT(G1057,"yyyy-mm-dd"),'AI output'!C1057)))+--(NOT(EXACT(H1057,'AI output'!D1057)))+--(NOT(EXACT(J1057,'AI output'!E1057)))+--(NOT(EXACT(K1057,'AI output'!F1057)))+--(N1057&lt;&gt;'AI output'!L1057)+--(NOT('AI output'!M1057)),0)</f>
        <v>0</v>
      </c>
      <c r="Z1057" s="1">
        <f t="shared" si="135"/>
        <v>0</v>
      </c>
      <c r="AA1057" s="1">
        <f>--EXACT(A1057,"L01051")</f>
        <v>1</v>
      </c>
    </row>
    <row r="1058" spans="1:27" ht="18.95" customHeight="1">
      <c r="A1058" s="1" t="str">
        <f>IF(Raw!A1058="","",Raw!A1058)</f>
        <v>L01052</v>
      </c>
      <c r="B1058" s="1" t="str">
        <f>IF(Raw!B1058="","",Raw!B1058)</f>
        <v>T00526</v>
      </c>
      <c r="C1058" s="1" t="str">
        <f>IF(Raw!C1058="","",Raw!C1058)</f>
        <v>2026-03-17</v>
      </c>
      <c r="D1058" s="1">
        <f t="shared" si="128"/>
        <v>2026</v>
      </c>
      <c r="E1058" s="1">
        <f>IFERROR(IF(AND(LEN(C1058)=10,MID(C1058,5,1)="-",MID(C1058,8,1)="-"),VALUE(MID(C1058,6,2)),IF(AND(LEN(C1058)=11,MID(C1058,3,1)="-",MID(C1058,7,1)="-"),MATCH(UPPER(MID(C1058,4,3)),Guide!$D$7:$D$18,0),0)),0)</f>
        <v>3</v>
      </c>
      <c r="F1058" s="1">
        <f t="shared" si="129"/>
        <v>17</v>
      </c>
      <c r="G1058" s="9">
        <f t="shared" si="130"/>
        <v>46098</v>
      </c>
      <c r="H1058" s="1" t="str">
        <f>IF(Raw!D1058="","",Raw!D1058)</f>
        <v>P-H</v>
      </c>
      <c r="I1058" s="1" t="str">
        <f>IFERROR(IF(EXACT(H1058,INDEX(Guide!$A$7:$A$9,MATCH(SUBSTITUTE(SUBSTITUTE(SUBSTITUTE(H1058,"~","~~"),"*","~*"),"?","~?"),Guide!$A$7:$A$9,0))),INDEX(Guide!$B$7:$B$9,MATCH(SUBSTITUTE(SUBSTITUTE(SUBSTITUTE(H1058,"~","~~"),"*","~*"),"?","~?"),Guide!$A$7:$A$9,0)),""),"")</f>
        <v>Home</v>
      </c>
      <c r="J1058" s="1" t="str">
        <f>IF(TRIM(Raw!E1058)="",I1058,IF(UPPER(TRIM(Raw!E1058))=UPPER(I1058),I1058,""))</f>
        <v>Home</v>
      </c>
      <c r="K1058" s="1" t="str">
        <f>IF(Raw!F1058="","",Raw!F1058)</f>
        <v>sale</v>
      </c>
      <c r="L1058" s="1" t="str">
        <f>IF(LEFT(TRIM(Raw!G1058),2)="-$","-"&amp;MID(TRIM(Raw!G1058),3,99),IF(LEFT(TRIM(Raw!G1058),1)="$",MID(TRIM(Raw!G1058),2,99),TRIM(Raw!G1058)))</f>
        <v>101.58</v>
      </c>
      <c r="M1058" s="1">
        <f t="shared" si="131"/>
        <v>101.58</v>
      </c>
      <c r="N1058" s="10">
        <f t="shared" si="132"/>
        <v>10158</v>
      </c>
      <c r="O1058" s="1" t="b">
        <f>IFERROR(IF(ISNUMBER(Raw!G1058),TRUE,OR(EXACT(L1058,TEXT(M1058,"0.00")),EXACT(L1058,TEXT(M1058,"#,##0.00")))),FALSE)</f>
        <v>1</v>
      </c>
      <c r="P1058" s="1" t="str">
        <f>LEN(IF(Raw!A1058="","",Raw!A1058))&amp;":"&amp;IF(Raw!A1058="","",Raw!A1058)&amp;"|"&amp;LEN(IF(Raw!B1058="","",Raw!B1058))&amp;":"&amp;IF(Raw!B1058="","",Raw!B1058)&amp;"|"&amp;LEN(IF(Raw!C1058="","",Raw!C1058))&amp;":"&amp;IF(Raw!C1058="","",Raw!C1058)&amp;"|"&amp;LEN(IF(Raw!D1058="","",Raw!D1058))&amp;":"&amp;IF(Raw!D1058="","",Raw!D1058)&amp;"|"&amp;LEN(IF(Raw!E1058="","",Raw!E1058))&amp;":"&amp;IF(Raw!E1058="","",Raw!E1058)&amp;"|"&amp;LEN(IF(Raw!F1058="","",Raw!F1058))&amp;":"&amp;IF(Raw!F1058="","",Raw!F1058)&amp;"|"&amp;LEN(IF(Raw!G1058="","",Raw!G1058))&amp;":"&amp;IF(Raw!G1058="","",Raw!G1058)</f>
        <v>6:L01052|6:T00526|10:2026-03-17|3:P-H|4:Home|4:sale|6:101.58</v>
      </c>
      <c r="Q1058" s="1">
        <f>1</f>
        <v>1</v>
      </c>
      <c r="R1058" s="1" t="b">
        <f>FALSE</f>
        <v>0</v>
      </c>
      <c r="S1058" s="1">
        <f>1</f>
        <v>1</v>
      </c>
      <c r="T1058" s="1" t="str">
        <f>IF(AND(Raw!A1058="",Raw!B1058="",Raw!C1058="",Raw!D1058="",Raw!E1058="",Raw!F1058="",Raw!G1058=""),"UNUSED",IF(A1058="","missing line ID",IF(B1058="","missing transaction ID",IF(G1058="",IF(C1058="","missing date","invalid date"),IF(I1058="","unknown product",IF(J1058="","conflicting category",IF(NOT(OR(EXACT(K1058,"sale"),EXACT(K1058,"refund"))),"unknown event",IF(OR(N1058="",NOT(O1058)),"invalid amount",IF(OR(AND(K1058="sale",N1058&lt;=0),AND(K1058="refund",N1058&gt;=0)),"invalid sign","")))))))))</f>
        <v/>
      </c>
      <c r="U1058" s="1" t="str">
        <f t="shared" si="133"/>
        <v>INCLUDED</v>
      </c>
      <c r="V1058" s="1" t="str">
        <f t="shared" si="134"/>
        <v>2026-03</v>
      </c>
      <c r="W1058" s="1">
        <f>IF(AND(U1058="INCLUDED",X1058&gt;0,EXACT(A1058,'AI output'!A1058)),1,0)</f>
        <v>1</v>
      </c>
      <c r="X1058" s="1">
        <f>1058</f>
        <v>1058</v>
      </c>
      <c r="Y1058" s="1">
        <f>IF(AND(U1058="INCLUDED",W1058=1),--(NOT(EXACT(A1058,'AI output'!A1058)))+--(NOT(EXACT(B1058,'AI output'!B1058)))+--(NOT(EXACT(TEXT(G1058,"yyyy-mm-dd"),'AI output'!C1058)))+--(NOT(EXACT(H1058,'AI output'!D1058)))+--(NOT(EXACT(J1058,'AI output'!E1058)))+--(NOT(EXACT(K1058,'AI output'!F1058)))+--(N1058&lt;&gt;'AI output'!L1058)+--(NOT('AI output'!M1058)),0)</f>
        <v>0</v>
      </c>
      <c r="Z1058" s="1">
        <f t="shared" si="135"/>
        <v>0</v>
      </c>
      <c r="AA1058" s="1">
        <f>--EXACT(A1058,"L01052")</f>
        <v>1</v>
      </c>
    </row>
    <row r="1059" spans="1:27" ht="18.95" customHeight="1">
      <c r="A1059" s="1" t="str">
        <f>IF(Raw!A1059="","",Raw!A1059)</f>
        <v>L01053</v>
      </c>
      <c r="B1059" s="1" t="str">
        <f>IF(Raw!B1059="","",Raw!B1059)</f>
        <v>T00527</v>
      </c>
      <c r="C1059" s="1" t="str">
        <f>IF(Raw!C1059="","",Raw!C1059)</f>
        <v>2026-03-24</v>
      </c>
      <c r="D1059" s="1">
        <f t="shared" si="128"/>
        <v>2026</v>
      </c>
      <c r="E1059" s="1">
        <f>IFERROR(IF(AND(LEN(C1059)=10,MID(C1059,5,1)="-",MID(C1059,8,1)="-"),VALUE(MID(C1059,6,2)),IF(AND(LEN(C1059)=11,MID(C1059,3,1)="-",MID(C1059,7,1)="-"),MATCH(UPPER(MID(C1059,4,3)),Guide!$D$7:$D$18,0),0)),0)</f>
        <v>3</v>
      </c>
      <c r="F1059" s="1">
        <f t="shared" si="129"/>
        <v>24</v>
      </c>
      <c r="G1059" s="9">
        <f t="shared" si="130"/>
        <v>46105</v>
      </c>
      <c r="H1059" s="1" t="str">
        <f>IF(Raw!D1059="","",Raw!D1059)</f>
        <v>P-O</v>
      </c>
      <c r="I1059" s="1" t="str">
        <f>IFERROR(IF(EXACT(H1059,INDEX(Guide!$A$7:$A$9,MATCH(SUBSTITUTE(SUBSTITUTE(SUBSTITUTE(H1059,"~","~~"),"*","~*"),"?","~?"),Guide!$A$7:$A$9,0))),INDEX(Guide!$B$7:$B$9,MATCH(SUBSTITUTE(SUBSTITUTE(SUBSTITUTE(H1059,"~","~~"),"*","~*"),"?","~?"),Guide!$A$7:$A$9,0)),""),"")</f>
        <v>Office</v>
      </c>
      <c r="J1059" s="1" t="str">
        <f>IF(TRIM(Raw!E1059)="",I1059,IF(UPPER(TRIM(Raw!E1059))=UPPER(I1059),I1059,""))</f>
        <v>Office</v>
      </c>
      <c r="K1059" s="1" t="str">
        <f>IF(Raw!F1059="","",Raw!F1059)</f>
        <v>sale</v>
      </c>
      <c r="L1059" s="1" t="str">
        <f>IF(LEFT(TRIM(Raw!G1059),2)="-$","-"&amp;MID(TRIM(Raw!G1059),3,99),IF(LEFT(TRIM(Raw!G1059),1)="$",MID(TRIM(Raw!G1059),2,99),TRIM(Raw!G1059)))</f>
        <v>171.15</v>
      </c>
      <c r="M1059" s="1">
        <f t="shared" si="131"/>
        <v>171.15</v>
      </c>
      <c r="N1059" s="10">
        <f t="shared" si="132"/>
        <v>17115</v>
      </c>
      <c r="O1059" s="1" t="b">
        <f>IFERROR(IF(ISNUMBER(Raw!G1059),TRUE,OR(EXACT(L1059,TEXT(M1059,"0.00")),EXACT(L1059,TEXT(M1059,"#,##0.00")))),FALSE)</f>
        <v>1</v>
      </c>
      <c r="P1059" s="1" t="str">
        <f>LEN(IF(Raw!A1059="","",Raw!A1059))&amp;":"&amp;IF(Raw!A1059="","",Raw!A1059)&amp;"|"&amp;LEN(IF(Raw!B1059="","",Raw!B1059))&amp;":"&amp;IF(Raw!B1059="","",Raw!B1059)&amp;"|"&amp;LEN(IF(Raw!C1059="","",Raw!C1059))&amp;":"&amp;IF(Raw!C1059="","",Raw!C1059)&amp;"|"&amp;LEN(IF(Raw!D1059="","",Raw!D1059))&amp;":"&amp;IF(Raw!D1059="","",Raw!D1059)&amp;"|"&amp;LEN(IF(Raw!E1059="","",Raw!E1059))&amp;":"&amp;IF(Raw!E1059="","",Raw!E1059)&amp;"|"&amp;LEN(IF(Raw!F1059="","",Raw!F1059))&amp;":"&amp;IF(Raw!F1059="","",Raw!F1059)&amp;"|"&amp;LEN(IF(Raw!G1059="","",Raw!G1059))&amp;":"&amp;IF(Raw!G1059="","",Raw!G1059)</f>
        <v>6:L01053|6:T00527|10:2026-03-24|3:P-O|10:  office  |4:sale|7:$171.15</v>
      </c>
      <c r="Q1059" s="1">
        <f>1</f>
        <v>1</v>
      </c>
      <c r="R1059" s="1" t="b">
        <f>FALSE</f>
        <v>0</v>
      </c>
      <c r="S1059" s="1">
        <f>1</f>
        <v>1</v>
      </c>
      <c r="T1059" s="1" t="str">
        <f>IF(AND(Raw!A1059="",Raw!B1059="",Raw!C1059="",Raw!D1059="",Raw!E1059="",Raw!F1059="",Raw!G1059=""),"UNUSED",IF(A1059="","missing line ID",IF(B1059="","missing transaction ID",IF(G1059="",IF(C1059="","missing date","invalid date"),IF(I1059="","unknown product",IF(J1059="","conflicting category",IF(NOT(OR(EXACT(K1059,"sale"),EXACT(K1059,"refund"))),"unknown event",IF(OR(N1059="",NOT(O1059)),"invalid amount",IF(OR(AND(K1059="sale",N1059&lt;=0),AND(K1059="refund",N1059&gt;=0)),"invalid sign","")))))))))</f>
        <v/>
      </c>
      <c r="U1059" s="1" t="str">
        <f t="shared" si="133"/>
        <v>INCLUDED</v>
      </c>
      <c r="V1059" s="1" t="str">
        <f t="shared" si="134"/>
        <v>2026-03</v>
      </c>
      <c r="W1059" s="1">
        <f>IF(AND(U1059="INCLUDED",X1059&gt;0,EXACT(A1059,'AI output'!A1059)),1,0)</f>
        <v>1</v>
      </c>
      <c r="X1059" s="1">
        <f>1059</f>
        <v>1059</v>
      </c>
      <c r="Y1059" s="1">
        <f>IF(AND(U1059="INCLUDED",W1059=1),--(NOT(EXACT(A1059,'AI output'!A1059)))+--(NOT(EXACT(B1059,'AI output'!B1059)))+--(NOT(EXACT(TEXT(G1059,"yyyy-mm-dd"),'AI output'!C1059)))+--(NOT(EXACT(H1059,'AI output'!D1059)))+--(NOT(EXACT(J1059,'AI output'!E1059)))+--(NOT(EXACT(K1059,'AI output'!F1059)))+--(N1059&lt;&gt;'AI output'!L1059)+--(NOT('AI output'!M1059)),0)</f>
        <v>0</v>
      </c>
      <c r="Z1059" s="1">
        <f t="shared" si="135"/>
        <v>0</v>
      </c>
      <c r="AA1059" s="1">
        <f>--EXACT(A1059,"L01053")</f>
        <v>1</v>
      </c>
    </row>
    <row r="1060" spans="1:27" ht="18.95" customHeight="1">
      <c r="A1060" s="1" t="str">
        <f>IF(Raw!A1060="","",Raw!A1060)</f>
        <v>L01054</v>
      </c>
      <c r="B1060" s="1" t="str">
        <f>IF(Raw!B1060="","",Raw!B1060)</f>
        <v>T00527</v>
      </c>
      <c r="C1060" s="1" t="str">
        <f>IF(Raw!C1060="","",Raw!C1060)</f>
        <v>2026-03-24</v>
      </c>
      <c r="D1060" s="1">
        <f t="shared" si="128"/>
        <v>2026</v>
      </c>
      <c r="E1060" s="1">
        <f>IFERROR(IF(AND(LEN(C1060)=10,MID(C1060,5,1)="-",MID(C1060,8,1)="-"),VALUE(MID(C1060,6,2)),IF(AND(LEN(C1060)=11,MID(C1060,3,1)="-",MID(C1060,7,1)="-"),MATCH(UPPER(MID(C1060,4,3)),Guide!$D$7:$D$18,0),0)),0)</f>
        <v>3</v>
      </c>
      <c r="F1060" s="1">
        <f t="shared" si="129"/>
        <v>24</v>
      </c>
      <c r="G1060" s="9">
        <f t="shared" si="130"/>
        <v>46105</v>
      </c>
      <c r="H1060" s="1" t="str">
        <f>IF(Raw!D1060="","",Raw!D1060)</f>
        <v>P-A</v>
      </c>
      <c r="I1060" s="1" t="str">
        <f>IFERROR(IF(EXACT(H1060,INDEX(Guide!$A$7:$A$9,MATCH(SUBSTITUTE(SUBSTITUTE(SUBSTITUTE(H1060,"~","~~"),"*","~*"),"?","~?"),Guide!$A$7:$A$9,0))),INDEX(Guide!$B$7:$B$9,MATCH(SUBSTITUTE(SUBSTITUTE(SUBSTITUTE(H1060,"~","~~"),"*","~*"),"?","~?"),Guide!$A$7:$A$9,0)),""),"")</f>
        <v>Accessories</v>
      </c>
      <c r="J1060" s="1" t="str">
        <f>IF(TRIM(Raw!E1060)="",I1060,IF(UPPER(TRIM(Raw!E1060))=UPPER(I1060),I1060,""))</f>
        <v>Accessories</v>
      </c>
      <c r="K1060" s="1" t="str">
        <f>IF(Raw!F1060="","",Raw!F1060)</f>
        <v>sale</v>
      </c>
      <c r="L1060" s="1" t="str">
        <f>IF(LEFT(TRIM(Raw!G1060),2)="-$","-"&amp;MID(TRIM(Raw!G1060),3,99),IF(LEFT(TRIM(Raw!G1060),1)="$",MID(TRIM(Raw!G1060),2,99),TRIM(Raw!G1060)))</f>
        <v>69.20</v>
      </c>
      <c r="M1060" s="1">
        <f t="shared" si="131"/>
        <v>69.2</v>
      </c>
      <c r="N1060" s="10">
        <f t="shared" si="132"/>
        <v>6920</v>
      </c>
      <c r="O1060" s="1" t="b">
        <f>IFERROR(IF(ISNUMBER(Raw!G1060),TRUE,OR(EXACT(L1060,TEXT(M1060,"0.00")),EXACT(L1060,TEXT(M1060,"#,##0.00")))),FALSE)</f>
        <v>1</v>
      </c>
      <c r="P1060" s="1" t="str">
        <f>LEN(IF(Raw!A1060="","",Raw!A1060))&amp;":"&amp;IF(Raw!A1060="","",Raw!A1060)&amp;"|"&amp;LEN(IF(Raw!B1060="","",Raw!B1060))&amp;":"&amp;IF(Raw!B1060="","",Raw!B1060)&amp;"|"&amp;LEN(IF(Raw!C1060="","",Raw!C1060))&amp;":"&amp;IF(Raw!C1060="","",Raw!C1060)&amp;"|"&amp;LEN(IF(Raw!D1060="","",Raw!D1060))&amp;":"&amp;IF(Raw!D1060="","",Raw!D1060)&amp;"|"&amp;LEN(IF(Raw!E1060="","",Raw!E1060))&amp;":"&amp;IF(Raw!E1060="","",Raw!E1060)&amp;"|"&amp;LEN(IF(Raw!F1060="","",Raw!F1060))&amp;":"&amp;IF(Raw!F1060="","",Raw!F1060)&amp;"|"&amp;LEN(IF(Raw!G1060="","",Raw!G1060))&amp;":"&amp;IF(Raw!G1060="","",Raw!G1060)</f>
        <v>6:L01054|6:T00527|10:2026-03-24|3:P-A|11:Accessories|4:sale|5:69.20</v>
      </c>
      <c r="Q1060" s="1">
        <f>1</f>
        <v>1</v>
      </c>
      <c r="R1060" s="1" t="b">
        <f>FALSE</f>
        <v>0</v>
      </c>
      <c r="S1060" s="1">
        <f>1</f>
        <v>1</v>
      </c>
      <c r="T1060" s="1" t="str">
        <f>IF(AND(Raw!A1060="",Raw!B1060="",Raw!C1060="",Raw!D1060="",Raw!E1060="",Raw!F1060="",Raw!G1060=""),"UNUSED",IF(A1060="","missing line ID",IF(B1060="","missing transaction ID",IF(G1060="",IF(C1060="","missing date","invalid date"),IF(I1060="","unknown product",IF(J1060="","conflicting category",IF(NOT(OR(EXACT(K1060,"sale"),EXACT(K1060,"refund"))),"unknown event",IF(OR(N1060="",NOT(O1060)),"invalid amount",IF(OR(AND(K1060="sale",N1060&lt;=0),AND(K1060="refund",N1060&gt;=0)),"invalid sign","")))))))))</f>
        <v/>
      </c>
      <c r="U1060" s="1" t="str">
        <f t="shared" si="133"/>
        <v>INCLUDED</v>
      </c>
      <c r="V1060" s="1" t="str">
        <f t="shared" si="134"/>
        <v>2026-03</v>
      </c>
      <c r="W1060" s="1">
        <f>IF(AND(U1060="INCLUDED",X1060&gt;0,EXACT(A1060,'AI output'!A1060)),1,0)</f>
        <v>1</v>
      </c>
      <c r="X1060" s="1">
        <f>1060</f>
        <v>1060</v>
      </c>
      <c r="Y1060" s="1">
        <f>IF(AND(U1060="INCLUDED",W1060=1),--(NOT(EXACT(A1060,'AI output'!A1060)))+--(NOT(EXACT(B1060,'AI output'!B1060)))+--(NOT(EXACT(TEXT(G1060,"yyyy-mm-dd"),'AI output'!C1060)))+--(NOT(EXACT(H1060,'AI output'!D1060)))+--(NOT(EXACT(J1060,'AI output'!E1060)))+--(NOT(EXACT(K1060,'AI output'!F1060)))+--(N1060&lt;&gt;'AI output'!L1060)+--(NOT('AI output'!M1060)),0)</f>
        <v>0</v>
      </c>
      <c r="Z1060" s="1">
        <f t="shared" si="135"/>
        <v>0</v>
      </c>
      <c r="AA1060" s="1">
        <f>--EXACT(A1060,"L01054")</f>
        <v>1</v>
      </c>
    </row>
    <row r="1061" spans="1:27" ht="18.95" customHeight="1">
      <c r="A1061" s="1" t="str">
        <f>IF(Raw!A1061="","",Raw!A1061)</f>
        <v>L01055</v>
      </c>
      <c r="B1061" s="1" t="str">
        <f>IF(Raw!B1061="","",Raw!B1061)</f>
        <v>T00528</v>
      </c>
      <c r="C1061" s="1" t="str">
        <f>IF(Raw!C1061="","",Raw!C1061)</f>
        <v>2026-03-31</v>
      </c>
      <c r="D1061" s="1">
        <f t="shared" si="128"/>
        <v>2026</v>
      </c>
      <c r="E1061" s="1">
        <f>IFERROR(IF(AND(LEN(C1061)=10,MID(C1061,5,1)="-",MID(C1061,8,1)="-"),VALUE(MID(C1061,6,2)),IF(AND(LEN(C1061)=11,MID(C1061,3,1)="-",MID(C1061,7,1)="-"),MATCH(UPPER(MID(C1061,4,3)),Guide!$D$7:$D$18,0),0)),0)</f>
        <v>3</v>
      </c>
      <c r="F1061" s="1">
        <f t="shared" si="129"/>
        <v>31</v>
      </c>
      <c r="G1061" s="9">
        <f t="shared" si="130"/>
        <v>46112</v>
      </c>
      <c r="H1061" s="1" t="str">
        <f>IF(Raw!D1061="","",Raw!D1061)</f>
        <v>P-H</v>
      </c>
      <c r="I1061" s="1" t="str">
        <f>IFERROR(IF(EXACT(H1061,INDEX(Guide!$A$7:$A$9,MATCH(SUBSTITUTE(SUBSTITUTE(SUBSTITUTE(H1061,"~","~~"),"*","~*"),"?","~?"),Guide!$A$7:$A$9,0))),INDEX(Guide!$B$7:$B$9,MATCH(SUBSTITUTE(SUBSTITUTE(SUBSTITUTE(H1061,"~","~~"),"*","~*"),"?","~?"),Guide!$A$7:$A$9,0)),""),"")</f>
        <v>Home</v>
      </c>
      <c r="J1061" s="1" t="str">
        <f>IF(TRIM(Raw!E1061)="",I1061,IF(UPPER(TRIM(Raw!E1061))=UPPER(I1061),I1061,""))</f>
        <v>Home</v>
      </c>
      <c r="K1061" s="1" t="str">
        <f>IF(Raw!F1061="","",Raw!F1061)</f>
        <v>sale</v>
      </c>
      <c r="L1061" s="1" t="str">
        <f>IF(LEFT(TRIM(Raw!G1061),2)="-$","-"&amp;MID(TRIM(Raw!G1061),3,99),IF(LEFT(TRIM(Raw!G1061),1)="$",MID(TRIM(Raw!G1061),2,99),TRIM(Raw!G1061)))</f>
        <v>139.88</v>
      </c>
      <c r="M1061" s="1">
        <f t="shared" si="131"/>
        <v>139.88</v>
      </c>
      <c r="N1061" s="10">
        <f t="shared" si="132"/>
        <v>13988</v>
      </c>
      <c r="O1061" s="1" t="b">
        <f>IFERROR(IF(ISNUMBER(Raw!G1061),TRUE,OR(EXACT(L1061,TEXT(M1061,"0.00")),EXACT(L1061,TEXT(M1061,"#,##0.00")))),FALSE)</f>
        <v>1</v>
      </c>
      <c r="P1061" s="1" t="str">
        <f>LEN(IF(Raw!A1061="","",Raw!A1061))&amp;":"&amp;IF(Raw!A1061="","",Raw!A1061)&amp;"|"&amp;LEN(IF(Raw!B1061="","",Raw!B1061))&amp;":"&amp;IF(Raw!B1061="","",Raw!B1061)&amp;"|"&amp;LEN(IF(Raw!C1061="","",Raw!C1061))&amp;":"&amp;IF(Raw!C1061="","",Raw!C1061)&amp;"|"&amp;LEN(IF(Raw!D1061="","",Raw!D1061))&amp;":"&amp;IF(Raw!D1061="","",Raw!D1061)&amp;"|"&amp;LEN(IF(Raw!E1061="","",Raw!E1061))&amp;":"&amp;IF(Raw!E1061="","",Raw!E1061)&amp;"|"&amp;LEN(IF(Raw!F1061="","",Raw!F1061))&amp;":"&amp;IF(Raw!F1061="","",Raw!F1061)&amp;"|"&amp;LEN(IF(Raw!G1061="","",Raw!G1061))&amp;":"&amp;IF(Raw!G1061="","",Raw!G1061)</f>
        <v>6:L01055|6:T00528|10:2026-03-31|3:P-H|4:Home|4:sale|6:139.88</v>
      </c>
      <c r="Q1061" s="1">
        <f>1</f>
        <v>1</v>
      </c>
      <c r="R1061" s="1" t="b">
        <f>FALSE</f>
        <v>0</v>
      </c>
      <c r="S1061" s="1">
        <f>1</f>
        <v>1</v>
      </c>
      <c r="T1061" s="1" t="str">
        <f>IF(AND(Raw!A1061="",Raw!B1061="",Raw!C1061="",Raw!D1061="",Raw!E1061="",Raw!F1061="",Raw!G1061=""),"UNUSED",IF(A1061="","missing line ID",IF(B1061="","missing transaction ID",IF(G1061="",IF(C1061="","missing date","invalid date"),IF(I1061="","unknown product",IF(J1061="","conflicting category",IF(NOT(OR(EXACT(K1061,"sale"),EXACT(K1061,"refund"))),"unknown event",IF(OR(N1061="",NOT(O1061)),"invalid amount",IF(OR(AND(K1061="sale",N1061&lt;=0),AND(K1061="refund",N1061&gt;=0)),"invalid sign","")))))))))</f>
        <v/>
      </c>
      <c r="U1061" s="1" t="str">
        <f t="shared" si="133"/>
        <v>INCLUDED</v>
      </c>
      <c r="V1061" s="1" t="str">
        <f t="shared" si="134"/>
        <v>2026-03</v>
      </c>
      <c r="W1061" s="1">
        <f>IF(AND(U1061="INCLUDED",X1061&gt;0,EXACT(A1061,'AI output'!A1061)),1,0)</f>
        <v>1</v>
      </c>
      <c r="X1061" s="1">
        <f>1061</f>
        <v>1061</v>
      </c>
      <c r="Y1061" s="1">
        <f>IF(AND(U1061="INCLUDED",W1061=1),--(NOT(EXACT(A1061,'AI output'!A1061)))+--(NOT(EXACT(B1061,'AI output'!B1061)))+--(NOT(EXACT(TEXT(G1061,"yyyy-mm-dd"),'AI output'!C1061)))+--(NOT(EXACT(H1061,'AI output'!D1061)))+--(NOT(EXACT(J1061,'AI output'!E1061)))+--(NOT(EXACT(K1061,'AI output'!F1061)))+--(N1061&lt;&gt;'AI output'!L1061)+--(NOT('AI output'!M1061)),0)</f>
        <v>0</v>
      </c>
      <c r="Z1061" s="1">
        <f t="shared" si="135"/>
        <v>0</v>
      </c>
      <c r="AA1061" s="1">
        <f>--EXACT(A1061,"L01055")</f>
        <v>1</v>
      </c>
    </row>
    <row r="1062" spans="1:27" ht="18.95" customHeight="1">
      <c r="A1062" s="1" t="str">
        <f>IF(Raw!A1062="","",Raw!A1062)</f>
        <v>L01056</v>
      </c>
      <c r="B1062" s="1" t="str">
        <f>IF(Raw!B1062="","",Raw!B1062)</f>
        <v>T00528</v>
      </c>
      <c r="C1062" s="1" t="str">
        <f>IF(Raw!C1062="","",Raw!C1062)</f>
        <v>2026-03-31</v>
      </c>
      <c r="D1062" s="1">
        <f t="shared" si="128"/>
        <v>2026</v>
      </c>
      <c r="E1062" s="1">
        <f>IFERROR(IF(AND(LEN(C1062)=10,MID(C1062,5,1)="-",MID(C1062,8,1)="-"),VALUE(MID(C1062,6,2)),IF(AND(LEN(C1062)=11,MID(C1062,3,1)="-",MID(C1062,7,1)="-"),MATCH(UPPER(MID(C1062,4,3)),Guide!$D$7:$D$18,0),0)),0)</f>
        <v>3</v>
      </c>
      <c r="F1062" s="1">
        <f t="shared" si="129"/>
        <v>31</v>
      </c>
      <c r="G1062" s="9">
        <f t="shared" si="130"/>
        <v>46112</v>
      </c>
      <c r="H1062" s="1" t="str">
        <f>IF(Raw!D1062="","",Raw!D1062)</f>
        <v>P-O</v>
      </c>
      <c r="I1062" s="1" t="str">
        <f>IFERROR(IF(EXACT(H1062,INDEX(Guide!$A$7:$A$9,MATCH(SUBSTITUTE(SUBSTITUTE(SUBSTITUTE(H1062,"~","~~"),"*","~*"),"?","~?"),Guide!$A$7:$A$9,0))),INDEX(Guide!$B$7:$B$9,MATCH(SUBSTITUTE(SUBSTITUTE(SUBSTITUTE(H1062,"~","~~"),"*","~*"),"?","~?"),Guide!$A$7:$A$9,0)),""),"")</f>
        <v>Office</v>
      </c>
      <c r="J1062" s="1" t="str">
        <f>IF(TRIM(Raw!E1062)="",I1062,IF(UPPER(TRIM(Raw!E1062))=UPPER(I1062),I1062,""))</f>
        <v>Office</v>
      </c>
      <c r="K1062" s="1" t="str">
        <f>IF(Raw!F1062="","",Raw!F1062)</f>
        <v>sale</v>
      </c>
      <c r="L1062" s="1" t="str">
        <f>IF(LEFT(TRIM(Raw!G1062),2)="-$","-"&amp;MID(TRIM(Raw!G1062),3,99),IF(LEFT(TRIM(Raw!G1062),1)="$",MID(TRIM(Raw!G1062),2,99),TRIM(Raw!G1062)))</f>
        <v>35.34</v>
      </c>
      <c r="M1062" s="1">
        <f t="shared" si="131"/>
        <v>35.340000000000003</v>
      </c>
      <c r="N1062" s="10">
        <f t="shared" si="132"/>
        <v>3534</v>
      </c>
      <c r="O1062" s="1" t="b">
        <f>IFERROR(IF(ISNUMBER(Raw!G1062),TRUE,OR(EXACT(L1062,TEXT(M1062,"0.00")),EXACT(L1062,TEXT(M1062,"#,##0.00")))),FALSE)</f>
        <v>1</v>
      </c>
      <c r="P1062" s="1" t="str">
        <f>LEN(IF(Raw!A1062="","",Raw!A1062))&amp;":"&amp;IF(Raw!A1062="","",Raw!A1062)&amp;"|"&amp;LEN(IF(Raw!B1062="","",Raw!B1062))&amp;":"&amp;IF(Raw!B1062="","",Raw!B1062)&amp;"|"&amp;LEN(IF(Raw!C1062="","",Raw!C1062))&amp;":"&amp;IF(Raw!C1062="","",Raw!C1062)&amp;"|"&amp;LEN(IF(Raw!D1062="","",Raw!D1062))&amp;":"&amp;IF(Raw!D1062="","",Raw!D1062)&amp;"|"&amp;LEN(IF(Raw!E1062="","",Raw!E1062))&amp;":"&amp;IF(Raw!E1062="","",Raw!E1062)&amp;"|"&amp;LEN(IF(Raw!F1062="","",Raw!F1062))&amp;":"&amp;IF(Raw!F1062="","",Raw!F1062)&amp;"|"&amp;LEN(IF(Raw!G1062="","",Raw!G1062))&amp;":"&amp;IF(Raw!G1062="","",Raw!G1062)</f>
        <v>6:L01056|6:T00528|10:2026-03-31|3:P-O|6:Office|4:sale|5:35.34</v>
      </c>
      <c r="Q1062" s="1">
        <f>2</f>
        <v>2</v>
      </c>
      <c r="R1062" s="1" t="b">
        <f>OR(NOT(EXACT(P1062,P1999)))</f>
        <v>0</v>
      </c>
      <c r="S1062" s="1">
        <f>1</f>
        <v>1</v>
      </c>
      <c r="T1062" s="1" t="str">
        <f>IF(AND(Raw!A1062="",Raw!B1062="",Raw!C1062="",Raw!D1062="",Raw!E1062="",Raw!F1062="",Raw!G1062=""),"UNUSED",IF(A1062="","missing line ID",IF(B1062="","missing transaction ID",IF(G1062="",IF(C1062="","missing date","invalid date"),IF(I1062="","unknown product",IF(J1062="","conflicting category",IF(NOT(OR(EXACT(K1062,"sale"),EXACT(K1062,"refund"))),"unknown event",IF(OR(N1062="",NOT(O1062)),"invalid amount",IF(OR(AND(K1062="sale",N1062&lt;=0),AND(K1062="refund",N1062&gt;=0)),"invalid sign","")))))))))</f>
        <v/>
      </c>
      <c r="U1062" s="1" t="str">
        <f t="shared" si="133"/>
        <v>INCLUDED</v>
      </c>
      <c r="V1062" s="1" t="str">
        <f t="shared" si="134"/>
        <v>2026-03</v>
      </c>
      <c r="W1062" s="1">
        <f>IF(AND(U1062="INCLUDED",X1062&gt;0,EXACT(A1062,'AI output'!A1062)),1,0)</f>
        <v>1</v>
      </c>
      <c r="X1062" s="1">
        <f>1062</f>
        <v>1062</v>
      </c>
      <c r="Y1062" s="1">
        <f>IF(AND(U1062="INCLUDED",W1062=1),--(NOT(EXACT(A1062,'AI output'!A1062)))+--(NOT(EXACT(B1062,'AI output'!B1062)))+--(NOT(EXACT(TEXT(G1062,"yyyy-mm-dd"),'AI output'!C1062)))+--(NOT(EXACT(H1062,'AI output'!D1062)))+--(NOT(EXACT(J1062,'AI output'!E1062)))+--(NOT(EXACT(K1062,'AI output'!F1062)))+--(N1062&lt;&gt;'AI output'!L1062)+--(NOT('AI output'!M1062)),0)</f>
        <v>0</v>
      </c>
      <c r="Z1062" s="1">
        <f t="shared" si="135"/>
        <v>0</v>
      </c>
      <c r="AA1062" s="1">
        <f>--EXACT(A1062,"L01056")</f>
        <v>1</v>
      </c>
    </row>
    <row r="1063" spans="1:27" ht="18.95" customHeight="1">
      <c r="A1063" s="1" t="str">
        <f>IF(Raw!A1063="","",Raw!A1063)</f>
        <v>L01057</v>
      </c>
      <c r="B1063" s="1" t="str">
        <f>IF(Raw!B1063="","",Raw!B1063)</f>
        <v>T00529</v>
      </c>
      <c r="C1063" s="1" t="str">
        <f>IF(Raw!C1063="","",Raw!C1063)</f>
        <v>2026-01-07</v>
      </c>
      <c r="D1063" s="1">
        <f t="shared" si="128"/>
        <v>2026</v>
      </c>
      <c r="E1063" s="1">
        <f>IFERROR(IF(AND(LEN(C1063)=10,MID(C1063,5,1)="-",MID(C1063,8,1)="-"),VALUE(MID(C1063,6,2)),IF(AND(LEN(C1063)=11,MID(C1063,3,1)="-",MID(C1063,7,1)="-"),MATCH(UPPER(MID(C1063,4,3)),Guide!$D$7:$D$18,0),0)),0)</f>
        <v>1</v>
      </c>
      <c r="F1063" s="1">
        <f t="shared" si="129"/>
        <v>7</v>
      </c>
      <c r="G1063" s="9">
        <f t="shared" si="130"/>
        <v>46029</v>
      </c>
      <c r="H1063" s="1" t="str">
        <f>IF(Raw!D1063="","",Raw!D1063)</f>
        <v>P-A</v>
      </c>
      <c r="I1063" s="1" t="str">
        <f>IFERROR(IF(EXACT(H1063,INDEX(Guide!$A$7:$A$9,MATCH(SUBSTITUTE(SUBSTITUTE(SUBSTITUTE(H1063,"~","~~"),"*","~*"),"?","~?"),Guide!$A$7:$A$9,0))),INDEX(Guide!$B$7:$B$9,MATCH(SUBSTITUTE(SUBSTITUTE(SUBSTITUTE(H1063,"~","~~"),"*","~*"),"?","~?"),Guide!$A$7:$A$9,0)),""),"")</f>
        <v>Accessories</v>
      </c>
      <c r="J1063" s="1" t="str">
        <f>IF(TRIM(Raw!E1063)="",I1063,IF(UPPER(TRIM(Raw!E1063))=UPPER(I1063),I1063,""))</f>
        <v>Accessories</v>
      </c>
      <c r="K1063" s="1" t="str">
        <f>IF(Raw!F1063="","",Raw!F1063)</f>
        <v>sale</v>
      </c>
      <c r="L1063" s="1" t="str">
        <f>IF(LEFT(TRIM(Raw!G1063),2)="-$","-"&amp;MID(TRIM(Raw!G1063),3,99),IF(LEFT(TRIM(Raw!G1063),1)="$",MID(TRIM(Raw!G1063),2,99),TRIM(Raw!G1063)))</f>
        <v>107.13</v>
      </c>
      <c r="M1063" s="1">
        <f t="shared" si="131"/>
        <v>107.13</v>
      </c>
      <c r="N1063" s="10">
        <f t="shared" si="132"/>
        <v>10713</v>
      </c>
      <c r="O1063" s="1" t="b">
        <f>IFERROR(IF(ISNUMBER(Raw!G1063),TRUE,OR(EXACT(L1063,TEXT(M1063,"0.00")),EXACT(L1063,TEXT(M1063,"#,##0.00")))),FALSE)</f>
        <v>1</v>
      </c>
      <c r="P1063" s="1" t="str">
        <f>LEN(IF(Raw!A1063="","",Raw!A1063))&amp;":"&amp;IF(Raw!A1063="","",Raw!A1063)&amp;"|"&amp;LEN(IF(Raw!B1063="","",Raw!B1063))&amp;":"&amp;IF(Raw!B1063="","",Raw!B1063)&amp;"|"&amp;LEN(IF(Raw!C1063="","",Raw!C1063))&amp;":"&amp;IF(Raw!C1063="","",Raw!C1063)&amp;"|"&amp;LEN(IF(Raw!D1063="","",Raw!D1063))&amp;":"&amp;IF(Raw!D1063="","",Raw!D1063)&amp;"|"&amp;LEN(IF(Raw!E1063="","",Raw!E1063))&amp;":"&amp;IF(Raw!E1063="","",Raw!E1063)&amp;"|"&amp;LEN(IF(Raw!F1063="","",Raw!F1063))&amp;":"&amp;IF(Raw!F1063="","",Raw!F1063)&amp;"|"&amp;LEN(IF(Raw!G1063="","",Raw!G1063))&amp;":"&amp;IF(Raw!G1063="","",Raw!G1063)</f>
        <v>6:L01057|6:T00529|10:2026-01-07|3:P-A|11:Accessories|4:sale|6:107.13</v>
      </c>
      <c r="Q1063" s="1">
        <f>1</f>
        <v>1</v>
      </c>
      <c r="R1063" s="1" t="b">
        <f>FALSE</f>
        <v>0</v>
      </c>
      <c r="S1063" s="1">
        <f>1</f>
        <v>1</v>
      </c>
      <c r="T1063" s="1" t="str">
        <f>IF(AND(Raw!A1063="",Raw!B1063="",Raw!C1063="",Raw!D1063="",Raw!E1063="",Raw!F1063="",Raw!G1063=""),"UNUSED",IF(A1063="","missing line ID",IF(B1063="","missing transaction ID",IF(G1063="",IF(C1063="","missing date","invalid date"),IF(I1063="","unknown product",IF(J1063="","conflicting category",IF(NOT(OR(EXACT(K1063,"sale"),EXACT(K1063,"refund"))),"unknown event",IF(OR(N1063="",NOT(O1063)),"invalid amount",IF(OR(AND(K1063="sale",N1063&lt;=0),AND(K1063="refund",N1063&gt;=0)),"invalid sign","")))))))))</f>
        <v/>
      </c>
      <c r="U1063" s="1" t="str">
        <f t="shared" si="133"/>
        <v>INCLUDED</v>
      </c>
      <c r="V1063" s="1" t="str">
        <f t="shared" si="134"/>
        <v>2026-01</v>
      </c>
      <c r="W1063" s="1">
        <f>IF(AND(U1063="INCLUDED",X1063&gt;0,EXACT(A1063,'AI output'!A1063)),1,0)</f>
        <v>1</v>
      </c>
      <c r="X1063" s="1">
        <f>1063</f>
        <v>1063</v>
      </c>
      <c r="Y1063" s="1">
        <f>IF(AND(U1063="INCLUDED",W1063=1),--(NOT(EXACT(A1063,'AI output'!A1063)))+--(NOT(EXACT(B1063,'AI output'!B1063)))+--(NOT(EXACT(TEXT(G1063,"yyyy-mm-dd"),'AI output'!C1063)))+--(NOT(EXACT(H1063,'AI output'!D1063)))+--(NOT(EXACT(J1063,'AI output'!E1063)))+--(NOT(EXACT(K1063,'AI output'!F1063)))+--(N1063&lt;&gt;'AI output'!L1063)+--(NOT('AI output'!M1063)),0)</f>
        <v>0</v>
      </c>
      <c r="Z1063" s="1">
        <f t="shared" si="135"/>
        <v>0</v>
      </c>
      <c r="AA1063" s="1">
        <f>--EXACT(A1063,"L01057")</f>
        <v>1</v>
      </c>
    </row>
    <row r="1064" spans="1:27" ht="18.95" customHeight="1">
      <c r="A1064" s="1" t="str">
        <f>IF(Raw!A1064="","",Raw!A1064)</f>
        <v>L01058</v>
      </c>
      <c r="B1064" s="1" t="str">
        <f>IF(Raw!B1064="","",Raw!B1064)</f>
        <v>T00529</v>
      </c>
      <c r="C1064" s="1" t="str">
        <f>IF(Raw!C1064="","",Raw!C1064)</f>
        <v>2026-01-07</v>
      </c>
      <c r="D1064" s="1">
        <f t="shared" si="128"/>
        <v>2026</v>
      </c>
      <c r="E1064" s="1">
        <f>IFERROR(IF(AND(LEN(C1064)=10,MID(C1064,5,1)="-",MID(C1064,8,1)="-"),VALUE(MID(C1064,6,2)),IF(AND(LEN(C1064)=11,MID(C1064,3,1)="-",MID(C1064,7,1)="-"),MATCH(UPPER(MID(C1064,4,3)),Guide!$D$7:$D$18,0),0)),0)</f>
        <v>1</v>
      </c>
      <c r="F1064" s="1">
        <f t="shared" si="129"/>
        <v>7</v>
      </c>
      <c r="G1064" s="9">
        <f t="shared" si="130"/>
        <v>46029</v>
      </c>
      <c r="H1064" s="1" t="str">
        <f>IF(Raw!D1064="","",Raw!D1064)</f>
        <v>P-H</v>
      </c>
      <c r="I1064" s="1" t="str">
        <f>IFERROR(IF(EXACT(H1064,INDEX(Guide!$A$7:$A$9,MATCH(SUBSTITUTE(SUBSTITUTE(SUBSTITUTE(H1064,"~","~~"),"*","~*"),"?","~?"),Guide!$A$7:$A$9,0))),INDEX(Guide!$B$7:$B$9,MATCH(SUBSTITUTE(SUBSTITUTE(SUBSTITUTE(H1064,"~","~~"),"*","~*"),"?","~?"),Guide!$A$7:$A$9,0)),""),"")</f>
        <v>Home</v>
      </c>
      <c r="J1064" s="1" t="str">
        <f>IF(TRIM(Raw!E1064)="",I1064,IF(UPPER(TRIM(Raw!E1064))=UPPER(I1064),I1064,""))</f>
        <v>Home</v>
      </c>
      <c r="K1064" s="1" t="str">
        <f>IF(Raw!F1064="","",Raw!F1064)</f>
        <v>sale</v>
      </c>
      <c r="L1064" s="1" t="str">
        <f>IF(LEFT(TRIM(Raw!G1064),2)="-$","-"&amp;MID(TRIM(Raw!G1064),3,99),IF(LEFT(TRIM(Raw!G1064),1)="$",MID(TRIM(Raw!G1064),2,99),TRIM(Raw!G1064)))</f>
        <v>180.40</v>
      </c>
      <c r="M1064" s="1">
        <f t="shared" si="131"/>
        <v>180.4</v>
      </c>
      <c r="N1064" s="10">
        <f t="shared" si="132"/>
        <v>18040</v>
      </c>
      <c r="O1064" s="1" t="b">
        <f>IFERROR(IF(ISNUMBER(Raw!G1064),TRUE,OR(EXACT(L1064,TEXT(M1064,"0.00")),EXACT(L1064,TEXT(M1064,"#,##0.00")))),FALSE)</f>
        <v>1</v>
      </c>
      <c r="P1064" s="1" t="str">
        <f>LEN(IF(Raw!A1064="","",Raw!A1064))&amp;":"&amp;IF(Raw!A1064="","",Raw!A1064)&amp;"|"&amp;LEN(IF(Raw!B1064="","",Raw!B1064))&amp;":"&amp;IF(Raw!B1064="","",Raw!B1064)&amp;"|"&amp;LEN(IF(Raw!C1064="","",Raw!C1064))&amp;":"&amp;IF(Raw!C1064="","",Raw!C1064)&amp;"|"&amp;LEN(IF(Raw!D1064="","",Raw!D1064))&amp;":"&amp;IF(Raw!D1064="","",Raw!D1064)&amp;"|"&amp;LEN(IF(Raw!E1064="","",Raw!E1064))&amp;":"&amp;IF(Raw!E1064="","",Raw!E1064)&amp;"|"&amp;LEN(IF(Raw!F1064="","",Raw!F1064))&amp;":"&amp;IF(Raw!F1064="","",Raw!F1064)&amp;"|"&amp;LEN(IF(Raw!G1064="","",Raw!G1064))&amp;":"&amp;IF(Raw!G1064="","",Raw!G1064)</f>
        <v>6:L01058|6:T00529|10:2026-01-07|3:P-H|4:Home|4:sale|6:180.40</v>
      </c>
      <c r="Q1064" s="1">
        <f>1</f>
        <v>1</v>
      </c>
      <c r="R1064" s="1" t="b">
        <f>FALSE</f>
        <v>0</v>
      </c>
      <c r="S1064" s="1">
        <f>1</f>
        <v>1</v>
      </c>
      <c r="T1064" s="1" t="str">
        <f>IF(AND(Raw!A1064="",Raw!B1064="",Raw!C1064="",Raw!D1064="",Raw!E1064="",Raw!F1064="",Raw!G1064=""),"UNUSED",IF(A1064="","missing line ID",IF(B1064="","missing transaction ID",IF(G1064="",IF(C1064="","missing date","invalid date"),IF(I1064="","unknown product",IF(J1064="","conflicting category",IF(NOT(OR(EXACT(K1064,"sale"),EXACT(K1064,"refund"))),"unknown event",IF(OR(N1064="",NOT(O1064)),"invalid amount",IF(OR(AND(K1064="sale",N1064&lt;=0),AND(K1064="refund",N1064&gt;=0)),"invalid sign","")))))))))</f>
        <v/>
      </c>
      <c r="U1064" s="1" t="str">
        <f t="shared" si="133"/>
        <v>INCLUDED</v>
      </c>
      <c r="V1064" s="1" t="str">
        <f t="shared" si="134"/>
        <v>2026-01</v>
      </c>
      <c r="W1064" s="1">
        <f>IF(AND(U1064="INCLUDED",X1064&gt;0,EXACT(A1064,'AI output'!A1064)),1,0)</f>
        <v>1</v>
      </c>
      <c r="X1064" s="1">
        <f>1064</f>
        <v>1064</v>
      </c>
      <c r="Y1064" s="1">
        <f>IF(AND(U1064="INCLUDED",W1064=1),--(NOT(EXACT(A1064,'AI output'!A1064)))+--(NOT(EXACT(B1064,'AI output'!B1064)))+--(NOT(EXACT(TEXT(G1064,"yyyy-mm-dd"),'AI output'!C1064)))+--(NOT(EXACT(H1064,'AI output'!D1064)))+--(NOT(EXACT(J1064,'AI output'!E1064)))+--(NOT(EXACT(K1064,'AI output'!F1064)))+--(N1064&lt;&gt;'AI output'!L1064)+--(NOT('AI output'!M1064)),0)</f>
        <v>0</v>
      </c>
      <c r="Z1064" s="1">
        <f t="shared" si="135"/>
        <v>0</v>
      </c>
      <c r="AA1064" s="1">
        <f>--EXACT(A1064,"L01058")</f>
        <v>1</v>
      </c>
    </row>
    <row r="1065" spans="1:27" ht="18.95" customHeight="1">
      <c r="A1065" s="1" t="str">
        <f>IF(Raw!A1065="","",Raw!A1065)</f>
        <v>L01059</v>
      </c>
      <c r="B1065" s="1" t="str">
        <f>IF(Raw!B1065="","",Raw!B1065)</f>
        <v>T00530</v>
      </c>
      <c r="C1065" s="1" t="str">
        <f>IF(Raw!C1065="","",Raw!C1065)</f>
        <v>2026-01-14</v>
      </c>
      <c r="D1065" s="1">
        <f t="shared" si="128"/>
        <v>2026</v>
      </c>
      <c r="E1065" s="1">
        <f>IFERROR(IF(AND(LEN(C1065)=10,MID(C1065,5,1)="-",MID(C1065,8,1)="-"),VALUE(MID(C1065,6,2)),IF(AND(LEN(C1065)=11,MID(C1065,3,1)="-",MID(C1065,7,1)="-"),MATCH(UPPER(MID(C1065,4,3)),Guide!$D$7:$D$18,0),0)),0)</f>
        <v>1</v>
      </c>
      <c r="F1065" s="1">
        <f t="shared" si="129"/>
        <v>14</v>
      </c>
      <c r="G1065" s="9">
        <f t="shared" si="130"/>
        <v>46036</v>
      </c>
      <c r="H1065" s="1" t="str">
        <f>IF(Raw!D1065="","",Raw!D1065)</f>
        <v>P-O</v>
      </c>
      <c r="I1065" s="1" t="str">
        <f>IFERROR(IF(EXACT(H1065,INDEX(Guide!$A$7:$A$9,MATCH(SUBSTITUTE(SUBSTITUTE(SUBSTITUTE(H1065,"~","~~"),"*","~*"),"?","~?"),Guide!$A$7:$A$9,0))),INDEX(Guide!$B$7:$B$9,MATCH(SUBSTITUTE(SUBSTITUTE(SUBSTITUTE(H1065,"~","~~"),"*","~*"),"?","~?"),Guide!$A$7:$A$9,0)),""),"")</f>
        <v>Office</v>
      </c>
      <c r="J1065" s="1" t="str">
        <f>IF(TRIM(Raw!E1065)="",I1065,IF(UPPER(TRIM(Raw!E1065))=UPPER(I1065),I1065,""))</f>
        <v>Office</v>
      </c>
      <c r="K1065" s="1" t="str">
        <f>IF(Raw!F1065="","",Raw!F1065)</f>
        <v>refund</v>
      </c>
      <c r="L1065" s="1" t="str">
        <f>IF(LEFT(TRIM(Raw!G1065),2)="-$","-"&amp;MID(TRIM(Raw!G1065),3,99),IF(LEFT(TRIM(Raw!G1065),1)="$",MID(TRIM(Raw!G1065),2,99),TRIM(Raw!G1065)))</f>
        <v>-72.90</v>
      </c>
      <c r="M1065" s="1">
        <f t="shared" si="131"/>
        <v>-72.900000000000006</v>
      </c>
      <c r="N1065" s="10">
        <f t="shared" si="132"/>
        <v>-7290</v>
      </c>
      <c r="O1065" s="1" t="b">
        <f>IFERROR(IF(ISNUMBER(Raw!G1065),TRUE,OR(EXACT(L1065,TEXT(M1065,"0.00")),EXACT(L1065,TEXT(M1065,"#,##0.00")))),FALSE)</f>
        <v>1</v>
      </c>
      <c r="P1065" s="1" t="str">
        <f>LEN(IF(Raw!A1065="","",Raw!A1065))&amp;":"&amp;IF(Raw!A1065="","",Raw!A1065)&amp;"|"&amp;LEN(IF(Raw!B1065="","",Raw!B1065))&amp;":"&amp;IF(Raw!B1065="","",Raw!B1065)&amp;"|"&amp;LEN(IF(Raw!C1065="","",Raw!C1065))&amp;":"&amp;IF(Raw!C1065="","",Raw!C1065)&amp;"|"&amp;LEN(IF(Raw!D1065="","",Raw!D1065))&amp;":"&amp;IF(Raw!D1065="","",Raw!D1065)&amp;"|"&amp;LEN(IF(Raw!E1065="","",Raw!E1065))&amp;":"&amp;IF(Raw!E1065="","",Raw!E1065)&amp;"|"&amp;LEN(IF(Raw!F1065="","",Raw!F1065))&amp;":"&amp;IF(Raw!F1065="","",Raw!F1065)&amp;"|"&amp;LEN(IF(Raw!G1065="","",Raw!G1065))&amp;":"&amp;IF(Raw!G1065="","",Raw!G1065)</f>
        <v>6:L01059|6:T00530|10:2026-01-14|3:P-O|6:Office|6:refund|6:-72.90</v>
      </c>
      <c r="Q1065" s="1">
        <f>1</f>
        <v>1</v>
      </c>
      <c r="R1065" s="1" t="b">
        <f>FALSE</f>
        <v>0</v>
      </c>
      <c r="S1065" s="1">
        <f>1</f>
        <v>1</v>
      </c>
      <c r="T1065" s="1" t="str">
        <f>IF(AND(Raw!A1065="",Raw!B1065="",Raw!C1065="",Raw!D1065="",Raw!E1065="",Raw!F1065="",Raw!G1065=""),"UNUSED",IF(A1065="","missing line ID",IF(B1065="","missing transaction ID",IF(G1065="",IF(C1065="","missing date","invalid date"),IF(I1065="","unknown product",IF(J1065="","conflicting category",IF(NOT(OR(EXACT(K1065,"sale"),EXACT(K1065,"refund"))),"unknown event",IF(OR(N1065="",NOT(O1065)),"invalid amount",IF(OR(AND(K1065="sale",N1065&lt;=0),AND(K1065="refund",N1065&gt;=0)),"invalid sign","")))))))))</f>
        <v/>
      </c>
      <c r="U1065" s="1" t="str">
        <f t="shared" si="133"/>
        <v>INCLUDED</v>
      </c>
      <c r="V1065" s="1" t="str">
        <f t="shared" si="134"/>
        <v>2026-01</v>
      </c>
      <c r="W1065" s="1">
        <f>IF(AND(U1065="INCLUDED",X1065&gt;0,EXACT(A1065,'AI output'!A1065)),1,0)</f>
        <v>1</v>
      </c>
      <c r="X1065" s="1">
        <f>1065</f>
        <v>1065</v>
      </c>
      <c r="Y1065" s="1">
        <f>IF(AND(U1065="INCLUDED",W1065=1),--(NOT(EXACT(A1065,'AI output'!A1065)))+--(NOT(EXACT(B1065,'AI output'!B1065)))+--(NOT(EXACT(TEXT(G1065,"yyyy-mm-dd"),'AI output'!C1065)))+--(NOT(EXACT(H1065,'AI output'!D1065)))+--(NOT(EXACT(J1065,'AI output'!E1065)))+--(NOT(EXACT(K1065,'AI output'!F1065)))+--(N1065&lt;&gt;'AI output'!L1065)+--(NOT('AI output'!M1065)),0)</f>
        <v>0</v>
      </c>
      <c r="Z1065" s="1">
        <f t="shared" si="135"/>
        <v>0</v>
      </c>
      <c r="AA1065" s="1">
        <f>--EXACT(A1065,"L01059")</f>
        <v>1</v>
      </c>
    </row>
    <row r="1066" spans="1:27" ht="18.95" customHeight="1">
      <c r="A1066" s="1" t="str">
        <f>IF(Raw!A1066="","",Raw!A1066)</f>
        <v>L01060</v>
      </c>
      <c r="B1066" s="1" t="str">
        <f>IF(Raw!B1066="","",Raw!B1066)</f>
        <v>T00530</v>
      </c>
      <c r="C1066" s="1" t="str">
        <f>IF(Raw!C1066="","",Raw!C1066)</f>
        <v>2026-01-14</v>
      </c>
      <c r="D1066" s="1">
        <f t="shared" si="128"/>
        <v>2026</v>
      </c>
      <c r="E1066" s="1">
        <f>IFERROR(IF(AND(LEN(C1066)=10,MID(C1066,5,1)="-",MID(C1066,8,1)="-"),VALUE(MID(C1066,6,2)),IF(AND(LEN(C1066)=11,MID(C1066,3,1)="-",MID(C1066,7,1)="-"),MATCH(UPPER(MID(C1066,4,3)),Guide!$D$7:$D$18,0),0)),0)</f>
        <v>1</v>
      </c>
      <c r="F1066" s="1">
        <f t="shared" si="129"/>
        <v>14</v>
      </c>
      <c r="G1066" s="9">
        <f t="shared" si="130"/>
        <v>46036</v>
      </c>
      <c r="H1066" s="1" t="str">
        <f>IF(Raw!D1066="","",Raw!D1066)</f>
        <v>P-A</v>
      </c>
      <c r="I1066" s="1" t="str">
        <f>IFERROR(IF(EXACT(H1066,INDEX(Guide!$A$7:$A$9,MATCH(SUBSTITUTE(SUBSTITUTE(SUBSTITUTE(H1066,"~","~~"),"*","~*"),"?","~?"),Guide!$A$7:$A$9,0))),INDEX(Guide!$B$7:$B$9,MATCH(SUBSTITUTE(SUBSTITUTE(SUBSTITUTE(H1066,"~","~~"),"*","~*"),"?","~?"),Guide!$A$7:$A$9,0)),""),"")</f>
        <v>Accessories</v>
      </c>
      <c r="J1066" s="1" t="str">
        <f>IF(TRIM(Raw!E1066)="",I1066,IF(UPPER(TRIM(Raw!E1066))=UPPER(I1066),I1066,""))</f>
        <v>Accessories</v>
      </c>
      <c r="K1066" s="1" t="str">
        <f>IF(Raw!F1066="","",Raw!F1066)</f>
        <v>sale</v>
      </c>
      <c r="L1066" s="1" t="str">
        <f>IF(LEFT(TRIM(Raw!G1066),2)="-$","-"&amp;MID(TRIM(Raw!G1066),3,99),IF(LEFT(TRIM(Raw!G1066),1)="$",MID(TRIM(Raw!G1066),2,99),TRIM(Raw!G1066)))</f>
        <v>147.28</v>
      </c>
      <c r="M1066" s="1">
        <f t="shared" si="131"/>
        <v>147.28</v>
      </c>
      <c r="N1066" s="10">
        <f t="shared" si="132"/>
        <v>14728</v>
      </c>
      <c r="O1066" s="1" t="b">
        <f>IFERROR(IF(ISNUMBER(Raw!G1066),TRUE,OR(EXACT(L1066,TEXT(M1066,"0.00")),EXACT(L1066,TEXT(M1066,"#,##0.00")))),FALSE)</f>
        <v>1</v>
      </c>
      <c r="P1066" s="1" t="str">
        <f>LEN(IF(Raw!A1066="","",Raw!A1066))&amp;":"&amp;IF(Raw!A1066="","",Raw!A1066)&amp;"|"&amp;LEN(IF(Raw!B1066="","",Raw!B1066))&amp;":"&amp;IF(Raw!B1066="","",Raw!B1066)&amp;"|"&amp;LEN(IF(Raw!C1066="","",Raw!C1066))&amp;":"&amp;IF(Raw!C1066="","",Raw!C1066)&amp;"|"&amp;LEN(IF(Raw!D1066="","",Raw!D1066))&amp;":"&amp;IF(Raw!D1066="","",Raw!D1066)&amp;"|"&amp;LEN(IF(Raw!E1066="","",Raw!E1066))&amp;":"&amp;IF(Raw!E1066="","",Raw!E1066)&amp;"|"&amp;LEN(IF(Raw!F1066="","",Raw!F1066))&amp;":"&amp;IF(Raw!F1066="","",Raw!F1066)&amp;"|"&amp;LEN(IF(Raw!G1066="","",Raw!G1066))&amp;":"&amp;IF(Raw!G1066="","",Raw!G1066)</f>
        <v>6:L01060|6:T00530|10:2026-01-14|3:P-A|11:Accessories|4:sale|6:147.28</v>
      </c>
      <c r="Q1066" s="1">
        <f>1</f>
        <v>1</v>
      </c>
      <c r="R1066" s="1" t="b">
        <f>FALSE</f>
        <v>0</v>
      </c>
      <c r="S1066" s="1">
        <f>1</f>
        <v>1</v>
      </c>
      <c r="T1066" s="1" t="str">
        <f>IF(AND(Raw!A1066="",Raw!B1066="",Raw!C1066="",Raw!D1066="",Raw!E1066="",Raw!F1066="",Raw!G1066=""),"UNUSED",IF(A1066="","missing line ID",IF(B1066="","missing transaction ID",IF(G1066="",IF(C1066="","missing date","invalid date"),IF(I1066="","unknown product",IF(J1066="","conflicting category",IF(NOT(OR(EXACT(K1066,"sale"),EXACT(K1066,"refund"))),"unknown event",IF(OR(N1066="",NOT(O1066)),"invalid amount",IF(OR(AND(K1066="sale",N1066&lt;=0),AND(K1066="refund",N1066&gt;=0)),"invalid sign","")))))))))</f>
        <v/>
      </c>
      <c r="U1066" s="1" t="str">
        <f t="shared" si="133"/>
        <v>INCLUDED</v>
      </c>
      <c r="V1066" s="1" t="str">
        <f t="shared" si="134"/>
        <v>2026-01</v>
      </c>
      <c r="W1066" s="1">
        <f>IF(AND(U1066="INCLUDED",X1066&gt;0,EXACT(A1066,'AI output'!A1066)),1,0)</f>
        <v>1</v>
      </c>
      <c r="X1066" s="1">
        <f>1066</f>
        <v>1066</v>
      </c>
      <c r="Y1066" s="1">
        <f>IF(AND(U1066="INCLUDED",W1066=1),--(NOT(EXACT(A1066,'AI output'!A1066)))+--(NOT(EXACT(B1066,'AI output'!B1066)))+--(NOT(EXACT(TEXT(G1066,"yyyy-mm-dd"),'AI output'!C1066)))+--(NOT(EXACT(H1066,'AI output'!D1066)))+--(NOT(EXACT(J1066,'AI output'!E1066)))+--(NOT(EXACT(K1066,'AI output'!F1066)))+--(N1066&lt;&gt;'AI output'!L1066)+--(NOT('AI output'!M1066)),0)</f>
        <v>0</v>
      </c>
      <c r="Z1066" s="1">
        <f t="shared" si="135"/>
        <v>0</v>
      </c>
      <c r="AA1066" s="1">
        <f>--EXACT(A1066,"L01060")</f>
        <v>1</v>
      </c>
    </row>
    <row r="1067" spans="1:27" ht="18.95" customHeight="1">
      <c r="A1067" s="1" t="str">
        <f>IF(Raw!A1067="","",Raw!A1067)</f>
        <v>L01061</v>
      </c>
      <c r="B1067" s="1" t="str">
        <f>IF(Raw!B1067="","",Raw!B1067)</f>
        <v>T00531</v>
      </c>
      <c r="C1067" s="1" t="str">
        <f>IF(Raw!C1067="","",Raw!C1067)</f>
        <v>2026-01-21</v>
      </c>
      <c r="D1067" s="1">
        <f t="shared" si="128"/>
        <v>2026</v>
      </c>
      <c r="E1067" s="1">
        <f>IFERROR(IF(AND(LEN(C1067)=10,MID(C1067,5,1)="-",MID(C1067,8,1)="-"),VALUE(MID(C1067,6,2)),IF(AND(LEN(C1067)=11,MID(C1067,3,1)="-",MID(C1067,7,1)="-"),MATCH(UPPER(MID(C1067,4,3)),Guide!$D$7:$D$18,0),0)),0)</f>
        <v>1</v>
      </c>
      <c r="F1067" s="1">
        <f t="shared" si="129"/>
        <v>21</v>
      </c>
      <c r="G1067" s="9">
        <f t="shared" si="130"/>
        <v>46043</v>
      </c>
      <c r="H1067" s="1" t="str">
        <f>IF(Raw!D1067="","",Raw!D1067)</f>
        <v>P-H</v>
      </c>
      <c r="I1067" s="1" t="str">
        <f>IFERROR(IF(EXACT(H1067,INDEX(Guide!$A$7:$A$9,MATCH(SUBSTITUTE(SUBSTITUTE(SUBSTITUTE(H1067,"~","~~"),"*","~*"),"?","~?"),Guide!$A$7:$A$9,0))),INDEX(Guide!$B$7:$B$9,MATCH(SUBSTITUTE(SUBSTITUTE(SUBSTITUTE(H1067,"~","~~"),"*","~*"),"?","~?"),Guide!$A$7:$A$9,0)),""),"")</f>
        <v>Home</v>
      </c>
      <c r="J1067" s="1" t="str">
        <f>IF(TRIM(Raw!E1067)="",I1067,IF(UPPER(TRIM(Raw!E1067))=UPPER(I1067),I1067,""))</f>
        <v>Home</v>
      </c>
      <c r="K1067" s="1" t="str">
        <f>IF(Raw!F1067="","",Raw!F1067)</f>
        <v>sale</v>
      </c>
      <c r="L1067" s="1" t="str">
        <f>IF(LEFT(TRIM(Raw!G1067),2)="-$","-"&amp;MID(TRIM(Raw!G1067),3,99),IF(LEFT(TRIM(Raw!G1067),1)="$",MID(TRIM(Raw!G1067),2,99),TRIM(Raw!G1067)))</f>
        <v>37.19</v>
      </c>
      <c r="M1067" s="1">
        <f t="shared" si="131"/>
        <v>37.19</v>
      </c>
      <c r="N1067" s="10">
        <f t="shared" si="132"/>
        <v>3719</v>
      </c>
      <c r="O1067" s="1" t="b">
        <f>IFERROR(IF(ISNUMBER(Raw!G1067),TRUE,OR(EXACT(L1067,TEXT(M1067,"0.00")),EXACT(L1067,TEXT(M1067,"#,##0.00")))),FALSE)</f>
        <v>1</v>
      </c>
      <c r="P1067" s="1" t="str">
        <f>LEN(IF(Raw!A1067="","",Raw!A1067))&amp;":"&amp;IF(Raw!A1067="","",Raw!A1067)&amp;"|"&amp;LEN(IF(Raw!B1067="","",Raw!B1067))&amp;":"&amp;IF(Raw!B1067="","",Raw!B1067)&amp;"|"&amp;LEN(IF(Raw!C1067="","",Raw!C1067))&amp;":"&amp;IF(Raw!C1067="","",Raw!C1067)&amp;"|"&amp;LEN(IF(Raw!D1067="","",Raw!D1067))&amp;":"&amp;IF(Raw!D1067="","",Raw!D1067)&amp;"|"&amp;LEN(IF(Raw!E1067="","",Raw!E1067))&amp;":"&amp;IF(Raw!E1067="","",Raw!E1067)&amp;"|"&amp;LEN(IF(Raw!F1067="","",Raw!F1067))&amp;":"&amp;IF(Raw!F1067="","",Raw!F1067)&amp;"|"&amp;LEN(IF(Raw!G1067="","",Raw!G1067))&amp;":"&amp;IF(Raw!G1067="","",Raw!G1067)</f>
        <v>6:L01061|6:T00531|10:2026-01-21|3:P-H|4:Home|4:sale|5:37.19</v>
      </c>
      <c r="Q1067" s="1">
        <f>1</f>
        <v>1</v>
      </c>
      <c r="R1067" s="1" t="b">
        <f>FALSE</f>
        <v>0</v>
      </c>
      <c r="S1067" s="1">
        <f>1</f>
        <v>1</v>
      </c>
      <c r="T1067" s="1" t="str">
        <f>IF(AND(Raw!A1067="",Raw!B1067="",Raw!C1067="",Raw!D1067="",Raw!E1067="",Raw!F1067="",Raw!G1067=""),"UNUSED",IF(A1067="","missing line ID",IF(B1067="","missing transaction ID",IF(G1067="",IF(C1067="","missing date","invalid date"),IF(I1067="","unknown product",IF(J1067="","conflicting category",IF(NOT(OR(EXACT(K1067,"sale"),EXACT(K1067,"refund"))),"unknown event",IF(OR(N1067="",NOT(O1067)),"invalid amount",IF(OR(AND(K1067="sale",N1067&lt;=0),AND(K1067="refund",N1067&gt;=0)),"invalid sign","")))))))))</f>
        <v/>
      </c>
      <c r="U1067" s="1" t="str">
        <f t="shared" si="133"/>
        <v>INCLUDED</v>
      </c>
      <c r="V1067" s="1" t="str">
        <f t="shared" si="134"/>
        <v>2026-01</v>
      </c>
      <c r="W1067" s="1">
        <f>IF(AND(U1067="INCLUDED",X1067&gt;0,EXACT(A1067,'AI output'!A1067)),1,0)</f>
        <v>1</v>
      </c>
      <c r="X1067" s="1">
        <f>1067</f>
        <v>1067</v>
      </c>
      <c r="Y1067" s="1">
        <f>IF(AND(U1067="INCLUDED",W1067=1),--(NOT(EXACT(A1067,'AI output'!A1067)))+--(NOT(EXACT(B1067,'AI output'!B1067)))+--(NOT(EXACT(TEXT(G1067,"yyyy-mm-dd"),'AI output'!C1067)))+--(NOT(EXACT(H1067,'AI output'!D1067)))+--(NOT(EXACT(J1067,'AI output'!E1067)))+--(NOT(EXACT(K1067,'AI output'!F1067)))+--(N1067&lt;&gt;'AI output'!L1067)+--(NOT('AI output'!M1067)),0)</f>
        <v>0</v>
      </c>
      <c r="Z1067" s="1">
        <f t="shared" si="135"/>
        <v>0</v>
      </c>
      <c r="AA1067" s="1">
        <f>--EXACT(A1067,"L01061")</f>
        <v>1</v>
      </c>
    </row>
    <row r="1068" spans="1:27" ht="18.95" customHeight="1">
      <c r="A1068" s="1" t="str">
        <f>IF(Raw!A1068="","",Raw!A1068)</f>
        <v>L01062</v>
      </c>
      <c r="B1068" s="1" t="str">
        <f>IF(Raw!B1068="","",Raw!B1068)</f>
        <v>T00531</v>
      </c>
      <c r="C1068" s="1" t="str">
        <f>IF(Raw!C1068="","",Raw!C1068)</f>
        <v>2026-01-21</v>
      </c>
      <c r="D1068" s="1">
        <f t="shared" si="128"/>
        <v>2026</v>
      </c>
      <c r="E1068" s="1">
        <f>IFERROR(IF(AND(LEN(C1068)=10,MID(C1068,5,1)="-",MID(C1068,8,1)="-"),VALUE(MID(C1068,6,2)),IF(AND(LEN(C1068)=11,MID(C1068,3,1)="-",MID(C1068,7,1)="-"),MATCH(UPPER(MID(C1068,4,3)),Guide!$D$7:$D$18,0),0)),0)</f>
        <v>1</v>
      </c>
      <c r="F1068" s="1">
        <f t="shared" si="129"/>
        <v>21</v>
      </c>
      <c r="G1068" s="9">
        <f t="shared" si="130"/>
        <v>46043</v>
      </c>
      <c r="H1068" s="1" t="str">
        <f>IF(Raw!D1068="","",Raw!D1068)</f>
        <v>P-O</v>
      </c>
      <c r="I1068" s="1" t="str">
        <f>IFERROR(IF(EXACT(H1068,INDEX(Guide!$A$7:$A$9,MATCH(SUBSTITUTE(SUBSTITUTE(SUBSTITUTE(H1068,"~","~~"),"*","~*"),"?","~?"),Guide!$A$7:$A$9,0))),INDEX(Guide!$B$7:$B$9,MATCH(SUBSTITUTE(SUBSTITUTE(SUBSTITUTE(H1068,"~","~~"),"*","~*"),"?","~?"),Guide!$A$7:$A$9,0)),""),"")</f>
        <v>Office</v>
      </c>
      <c r="J1068" s="1" t="str">
        <f>IF(TRIM(Raw!E1068)="",I1068,IF(UPPER(TRIM(Raw!E1068))=UPPER(I1068),I1068,""))</f>
        <v>Office</v>
      </c>
      <c r="K1068" s="1" t="str">
        <f>IF(Raw!F1068="","",Raw!F1068)</f>
        <v>sale</v>
      </c>
      <c r="L1068" s="1" t="str">
        <f>IF(LEFT(TRIM(Raw!G1068),2)="-$","-"&amp;MID(TRIM(Raw!G1068),3,99),IF(LEFT(TRIM(Raw!G1068),1)="$",MID(TRIM(Raw!G1068),2,99),TRIM(Raw!G1068)))</f>
        <v>112.68</v>
      </c>
      <c r="M1068" s="1">
        <f t="shared" si="131"/>
        <v>112.68</v>
      </c>
      <c r="N1068" s="10">
        <f t="shared" si="132"/>
        <v>11268</v>
      </c>
      <c r="O1068" s="1" t="b">
        <f>IFERROR(IF(ISNUMBER(Raw!G1068),TRUE,OR(EXACT(L1068,TEXT(M1068,"0.00")),EXACT(L1068,TEXT(M1068,"#,##0.00")))),FALSE)</f>
        <v>1</v>
      </c>
      <c r="P1068" s="1" t="str">
        <f>LEN(IF(Raw!A1068="","",Raw!A1068))&amp;":"&amp;IF(Raw!A1068="","",Raw!A1068)&amp;"|"&amp;LEN(IF(Raw!B1068="","",Raw!B1068))&amp;":"&amp;IF(Raw!B1068="","",Raw!B1068)&amp;"|"&amp;LEN(IF(Raw!C1068="","",Raw!C1068))&amp;":"&amp;IF(Raw!C1068="","",Raw!C1068)&amp;"|"&amp;LEN(IF(Raw!D1068="","",Raw!D1068))&amp;":"&amp;IF(Raw!D1068="","",Raw!D1068)&amp;"|"&amp;LEN(IF(Raw!E1068="","",Raw!E1068))&amp;":"&amp;IF(Raw!E1068="","",Raw!E1068)&amp;"|"&amp;LEN(IF(Raw!F1068="","",Raw!F1068))&amp;":"&amp;IF(Raw!F1068="","",Raw!F1068)&amp;"|"&amp;LEN(IF(Raw!G1068="","",Raw!G1068))&amp;":"&amp;IF(Raw!G1068="","",Raw!G1068)</f>
        <v>6:L01062|6:T00531|10:2026-01-21|3:P-O|6:Office|4:sale|6:112.68</v>
      </c>
      <c r="Q1068" s="1">
        <f>1</f>
        <v>1</v>
      </c>
      <c r="R1068" s="1" t="b">
        <f>FALSE</f>
        <v>0</v>
      </c>
      <c r="S1068" s="1">
        <f>1</f>
        <v>1</v>
      </c>
      <c r="T1068" s="1" t="str">
        <f>IF(AND(Raw!A1068="",Raw!B1068="",Raw!C1068="",Raw!D1068="",Raw!E1068="",Raw!F1068="",Raw!G1068=""),"UNUSED",IF(A1068="","missing line ID",IF(B1068="","missing transaction ID",IF(G1068="",IF(C1068="","missing date","invalid date"),IF(I1068="","unknown product",IF(J1068="","conflicting category",IF(NOT(OR(EXACT(K1068,"sale"),EXACT(K1068,"refund"))),"unknown event",IF(OR(N1068="",NOT(O1068)),"invalid amount",IF(OR(AND(K1068="sale",N1068&lt;=0),AND(K1068="refund",N1068&gt;=0)),"invalid sign","")))))))))</f>
        <v/>
      </c>
      <c r="U1068" s="1" t="str">
        <f t="shared" si="133"/>
        <v>INCLUDED</v>
      </c>
      <c r="V1068" s="1" t="str">
        <f t="shared" si="134"/>
        <v>2026-01</v>
      </c>
      <c r="W1068" s="1">
        <f>IF(AND(U1068="INCLUDED",X1068&gt;0,EXACT(A1068,'AI output'!A1068)),1,0)</f>
        <v>1</v>
      </c>
      <c r="X1068" s="1">
        <f>1068</f>
        <v>1068</v>
      </c>
      <c r="Y1068" s="1">
        <f>IF(AND(U1068="INCLUDED",W1068=1),--(NOT(EXACT(A1068,'AI output'!A1068)))+--(NOT(EXACT(B1068,'AI output'!B1068)))+--(NOT(EXACT(TEXT(G1068,"yyyy-mm-dd"),'AI output'!C1068)))+--(NOT(EXACT(H1068,'AI output'!D1068)))+--(NOT(EXACT(J1068,'AI output'!E1068)))+--(NOT(EXACT(K1068,'AI output'!F1068)))+--(N1068&lt;&gt;'AI output'!L1068)+--(NOT('AI output'!M1068)),0)</f>
        <v>0</v>
      </c>
      <c r="Z1068" s="1">
        <f t="shared" si="135"/>
        <v>0</v>
      </c>
      <c r="AA1068" s="1">
        <f>--EXACT(A1068,"L01062")</f>
        <v>1</v>
      </c>
    </row>
    <row r="1069" spans="1:27" ht="18.95" customHeight="1">
      <c r="A1069" s="1" t="str">
        <f>IF(Raw!A1069="","",Raw!A1069)</f>
        <v>L01063</v>
      </c>
      <c r="B1069" s="1" t="str">
        <f>IF(Raw!B1069="","",Raw!B1069)</f>
        <v>T00532</v>
      </c>
      <c r="C1069" s="1" t="str">
        <f>IF(Raw!C1069="","",Raw!C1069)</f>
        <v>2026-01-28</v>
      </c>
      <c r="D1069" s="1">
        <f t="shared" si="128"/>
        <v>2026</v>
      </c>
      <c r="E1069" s="1">
        <f>IFERROR(IF(AND(LEN(C1069)=10,MID(C1069,5,1)="-",MID(C1069,8,1)="-"),VALUE(MID(C1069,6,2)),IF(AND(LEN(C1069)=11,MID(C1069,3,1)="-",MID(C1069,7,1)="-"),MATCH(UPPER(MID(C1069,4,3)),Guide!$D$7:$D$18,0),0)),0)</f>
        <v>1</v>
      </c>
      <c r="F1069" s="1">
        <f t="shared" si="129"/>
        <v>28</v>
      </c>
      <c r="G1069" s="9">
        <f t="shared" si="130"/>
        <v>46050</v>
      </c>
      <c r="H1069" s="1" t="str">
        <f>IF(Raw!D1069="","",Raw!D1069)</f>
        <v>P-A</v>
      </c>
      <c r="I1069" s="1" t="str">
        <f>IFERROR(IF(EXACT(H1069,INDEX(Guide!$A$7:$A$9,MATCH(SUBSTITUTE(SUBSTITUTE(SUBSTITUTE(H1069,"~","~~"),"*","~*"),"?","~?"),Guide!$A$7:$A$9,0))),INDEX(Guide!$B$7:$B$9,MATCH(SUBSTITUTE(SUBSTITUTE(SUBSTITUTE(H1069,"~","~~"),"*","~*"),"?","~?"),Guide!$A$7:$A$9,0)),""),"")</f>
        <v>Accessories</v>
      </c>
      <c r="J1069" s="1" t="str">
        <f>IF(TRIM(Raw!E1069)="",I1069,IF(UPPER(TRIM(Raw!E1069))=UPPER(I1069),I1069,""))</f>
        <v>Accessories</v>
      </c>
      <c r="K1069" s="1" t="str">
        <f>IF(Raw!F1069="","",Raw!F1069)</f>
        <v>sale</v>
      </c>
      <c r="L1069" s="1" t="str">
        <f>IF(LEFT(TRIM(Raw!G1069),2)="-$","-"&amp;MID(TRIM(Raw!G1069),3,99),IF(LEFT(TRIM(Raw!G1069),1)="$",MID(TRIM(Raw!G1069),2,99),TRIM(Raw!G1069)))</f>
        <v>189.65</v>
      </c>
      <c r="M1069" s="1">
        <f t="shared" si="131"/>
        <v>189.65</v>
      </c>
      <c r="N1069" s="10">
        <f t="shared" si="132"/>
        <v>18965</v>
      </c>
      <c r="O1069" s="1" t="b">
        <f>IFERROR(IF(ISNUMBER(Raw!G1069),TRUE,OR(EXACT(L1069,TEXT(M1069,"0.00")),EXACT(L1069,TEXT(M1069,"#,##0.00")))),FALSE)</f>
        <v>1</v>
      </c>
      <c r="P1069" s="1" t="str">
        <f>LEN(IF(Raw!A1069="","",Raw!A1069))&amp;":"&amp;IF(Raw!A1069="","",Raw!A1069)&amp;"|"&amp;LEN(IF(Raw!B1069="","",Raw!B1069))&amp;":"&amp;IF(Raw!B1069="","",Raw!B1069)&amp;"|"&amp;LEN(IF(Raw!C1069="","",Raw!C1069))&amp;":"&amp;IF(Raw!C1069="","",Raw!C1069)&amp;"|"&amp;LEN(IF(Raw!D1069="","",Raw!D1069))&amp;":"&amp;IF(Raw!D1069="","",Raw!D1069)&amp;"|"&amp;LEN(IF(Raw!E1069="","",Raw!E1069))&amp;":"&amp;IF(Raw!E1069="","",Raw!E1069)&amp;"|"&amp;LEN(IF(Raw!F1069="","",Raw!F1069))&amp;":"&amp;IF(Raw!F1069="","",Raw!F1069)&amp;"|"&amp;LEN(IF(Raw!G1069="","",Raw!G1069))&amp;":"&amp;IF(Raw!G1069="","",Raw!G1069)</f>
        <v>6:L01063|6:T00532|10:2026-01-28|3:P-A|11:Accessories|4:sale|6:189.65</v>
      </c>
      <c r="Q1069" s="1">
        <f>1</f>
        <v>1</v>
      </c>
      <c r="R1069" s="1" t="b">
        <f>FALSE</f>
        <v>0</v>
      </c>
      <c r="S1069" s="1">
        <f>1</f>
        <v>1</v>
      </c>
      <c r="T1069" s="1" t="str">
        <f>IF(AND(Raw!A1069="",Raw!B1069="",Raw!C1069="",Raw!D1069="",Raw!E1069="",Raw!F1069="",Raw!G1069=""),"UNUSED",IF(A1069="","missing line ID",IF(B1069="","missing transaction ID",IF(G1069="",IF(C1069="","missing date","invalid date"),IF(I1069="","unknown product",IF(J1069="","conflicting category",IF(NOT(OR(EXACT(K1069,"sale"),EXACT(K1069,"refund"))),"unknown event",IF(OR(N1069="",NOT(O1069)),"invalid amount",IF(OR(AND(K1069="sale",N1069&lt;=0),AND(K1069="refund",N1069&gt;=0)),"invalid sign","")))))))))</f>
        <v/>
      </c>
      <c r="U1069" s="1" t="str">
        <f t="shared" si="133"/>
        <v>INCLUDED</v>
      </c>
      <c r="V1069" s="1" t="str">
        <f t="shared" si="134"/>
        <v>2026-01</v>
      </c>
      <c r="W1069" s="1">
        <f>IF(AND(U1069="INCLUDED",X1069&gt;0,EXACT(A1069,'AI output'!A1069)),1,0)</f>
        <v>1</v>
      </c>
      <c r="X1069" s="1">
        <f>1069</f>
        <v>1069</v>
      </c>
      <c r="Y1069" s="1">
        <f>IF(AND(U1069="INCLUDED",W1069=1),--(NOT(EXACT(A1069,'AI output'!A1069)))+--(NOT(EXACT(B1069,'AI output'!B1069)))+--(NOT(EXACT(TEXT(G1069,"yyyy-mm-dd"),'AI output'!C1069)))+--(NOT(EXACT(H1069,'AI output'!D1069)))+--(NOT(EXACT(J1069,'AI output'!E1069)))+--(NOT(EXACT(K1069,'AI output'!F1069)))+--(N1069&lt;&gt;'AI output'!L1069)+--(NOT('AI output'!M1069)),0)</f>
        <v>0</v>
      </c>
      <c r="Z1069" s="1">
        <f t="shared" si="135"/>
        <v>0</v>
      </c>
      <c r="AA1069" s="1">
        <f>--EXACT(A1069,"L01063")</f>
        <v>1</v>
      </c>
    </row>
    <row r="1070" spans="1:27" ht="18.95" customHeight="1">
      <c r="A1070" s="1" t="str">
        <f>IF(Raw!A1070="","",Raw!A1070)</f>
        <v>L01064</v>
      </c>
      <c r="B1070" s="1" t="str">
        <f>IF(Raw!B1070="","",Raw!B1070)</f>
        <v>T00532</v>
      </c>
      <c r="C1070" s="1" t="str">
        <f>IF(Raw!C1070="","",Raw!C1070)</f>
        <v>2026-01-28</v>
      </c>
      <c r="D1070" s="1">
        <f t="shared" si="128"/>
        <v>2026</v>
      </c>
      <c r="E1070" s="1">
        <f>IFERROR(IF(AND(LEN(C1070)=10,MID(C1070,5,1)="-",MID(C1070,8,1)="-"),VALUE(MID(C1070,6,2)),IF(AND(LEN(C1070)=11,MID(C1070,3,1)="-",MID(C1070,7,1)="-"),MATCH(UPPER(MID(C1070,4,3)),Guide!$D$7:$D$18,0),0)),0)</f>
        <v>1</v>
      </c>
      <c r="F1070" s="1">
        <f t="shared" si="129"/>
        <v>28</v>
      </c>
      <c r="G1070" s="9">
        <f t="shared" si="130"/>
        <v>46050</v>
      </c>
      <c r="H1070" s="1" t="str">
        <f>IF(Raw!D1070="","",Raw!D1070)</f>
        <v>P-H</v>
      </c>
      <c r="I1070" s="1" t="str">
        <f>IFERROR(IF(EXACT(H1070,INDEX(Guide!$A$7:$A$9,MATCH(SUBSTITUTE(SUBSTITUTE(SUBSTITUTE(H1070,"~","~~"),"*","~*"),"?","~?"),Guide!$A$7:$A$9,0))),INDEX(Guide!$B$7:$B$9,MATCH(SUBSTITUTE(SUBSTITUTE(SUBSTITUTE(H1070,"~","~~"),"*","~*"),"?","~?"),Guide!$A$7:$A$9,0)),""),"")</f>
        <v>Home</v>
      </c>
      <c r="J1070" s="1" t="str">
        <f>IF(TRIM(Raw!E1070)="",I1070,IF(UPPER(TRIM(Raw!E1070))=UPPER(I1070),I1070,""))</f>
        <v>Home</v>
      </c>
      <c r="K1070" s="1" t="str">
        <f>IF(Raw!F1070="","",Raw!F1070)</f>
        <v>sale</v>
      </c>
      <c r="L1070" s="1" t="str">
        <f>IF(LEFT(TRIM(Raw!G1070),2)="-$","-"&amp;MID(TRIM(Raw!G1070),3,99),IF(LEFT(TRIM(Raw!G1070),1)="$",MID(TRIM(Raw!G1070),2,99),TRIM(Raw!G1070)))</f>
        <v>76.60</v>
      </c>
      <c r="M1070" s="1">
        <f t="shared" si="131"/>
        <v>76.599999999999994</v>
      </c>
      <c r="N1070" s="10">
        <f t="shared" si="132"/>
        <v>7660</v>
      </c>
      <c r="O1070" s="1" t="b">
        <f>IFERROR(IF(ISNUMBER(Raw!G1070),TRUE,OR(EXACT(L1070,TEXT(M1070,"0.00")),EXACT(L1070,TEXT(M1070,"#,##0.00")))),FALSE)</f>
        <v>1</v>
      </c>
      <c r="P1070" s="1" t="str">
        <f>LEN(IF(Raw!A1070="","",Raw!A1070))&amp;":"&amp;IF(Raw!A1070="","",Raw!A1070)&amp;"|"&amp;LEN(IF(Raw!B1070="","",Raw!B1070))&amp;":"&amp;IF(Raw!B1070="","",Raw!B1070)&amp;"|"&amp;LEN(IF(Raw!C1070="","",Raw!C1070))&amp;":"&amp;IF(Raw!C1070="","",Raw!C1070)&amp;"|"&amp;LEN(IF(Raw!D1070="","",Raw!D1070))&amp;":"&amp;IF(Raw!D1070="","",Raw!D1070)&amp;"|"&amp;LEN(IF(Raw!E1070="","",Raw!E1070))&amp;":"&amp;IF(Raw!E1070="","",Raw!E1070)&amp;"|"&amp;LEN(IF(Raw!F1070="","",Raw!F1070))&amp;":"&amp;IF(Raw!F1070="","",Raw!F1070)&amp;"|"&amp;LEN(IF(Raw!G1070="","",Raw!G1070))&amp;":"&amp;IF(Raw!G1070="","",Raw!G1070)</f>
        <v>6:L01064|6:T00532|10:2026-01-28|3:P-H|4:Home|4:sale|5:76.60</v>
      </c>
      <c r="Q1070" s="1">
        <f>1</f>
        <v>1</v>
      </c>
      <c r="R1070" s="1" t="b">
        <f>FALSE</f>
        <v>0</v>
      </c>
      <c r="S1070" s="1">
        <f>1</f>
        <v>1</v>
      </c>
      <c r="T1070" s="1" t="str">
        <f>IF(AND(Raw!A1070="",Raw!B1070="",Raw!C1070="",Raw!D1070="",Raw!E1070="",Raw!F1070="",Raw!G1070=""),"UNUSED",IF(A1070="","missing line ID",IF(B1070="","missing transaction ID",IF(G1070="",IF(C1070="","missing date","invalid date"),IF(I1070="","unknown product",IF(J1070="","conflicting category",IF(NOT(OR(EXACT(K1070,"sale"),EXACT(K1070,"refund"))),"unknown event",IF(OR(N1070="",NOT(O1070)),"invalid amount",IF(OR(AND(K1070="sale",N1070&lt;=0),AND(K1070="refund",N1070&gt;=0)),"invalid sign","")))))))))</f>
        <v/>
      </c>
      <c r="U1070" s="1" t="str">
        <f t="shared" si="133"/>
        <v>INCLUDED</v>
      </c>
      <c r="V1070" s="1" t="str">
        <f t="shared" si="134"/>
        <v>2026-01</v>
      </c>
      <c r="W1070" s="1">
        <f>IF(AND(U1070="INCLUDED",X1070&gt;0,EXACT(A1070,'AI output'!A1070)),1,0)</f>
        <v>1</v>
      </c>
      <c r="X1070" s="1">
        <f>1070</f>
        <v>1070</v>
      </c>
      <c r="Y1070" s="1">
        <f>IF(AND(U1070="INCLUDED",W1070=1),--(NOT(EXACT(A1070,'AI output'!A1070)))+--(NOT(EXACT(B1070,'AI output'!B1070)))+--(NOT(EXACT(TEXT(G1070,"yyyy-mm-dd"),'AI output'!C1070)))+--(NOT(EXACT(H1070,'AI output'!D1070)))+--(NOT(EXACT(J1070,'AI output'!E1070)))+--(NOT(EXACT(K1070,'AI output'!F1070)))+--(N1070&lt;&gt;'AI output'!L1070)+--(NOT('AI output'!M1070)),0)</f>
        <v>0</v>
      </c>
      <c r="Z1070" s="1">
        <f t="shared" si="135"/>
        <v>0</v>
      </c>
      <c r="AA1070" s="1">
        <f>--EXACT(A1070,"L01064")</f>
        <v>1</v>
      </c>
    </row>
    <row r="1071" spans="1:27" ht="18.95" customHeight="1">
      <c r="A1071" s="1" t="str">
        <f>IF(Raw!A1071="","",Raw!A1071)</f>
        <v>L01065</v>
      </c>
      <c r="B1071" s="1" t="str">
        <f>IF(Raw!B1071="","",Raw!B1071)</f>
        <v>T00533</v>
      </c>
      <c r="C1071" s="1" t="str">
        <f>IF(Raw!C1071="","",Raw!C1071)</f>
        <v>2026-02-04</v>
      </c>
      <c r="D1071" s="1">
        <f t="shared" si="128"/>
        <v>2026</v>
      </c>
      <c r="E1071" s="1">
        <f>IFERROR(IF(AND(LEN(C1071)=10,MID(C1071,5,1)="-",MID(C1071,8,1)="-"),VALUE(MID(C1071,6,2)),IF(AND(LEN(C1071)=11,MID(C1071,3,1)="-",MID(C1071,7,1)="-"),MATCH(UPPER(MID(C1071,4,3)),Guide!$D$7:$D$18,0),0)),0)</f>
        <v>2</v>
      </c>
      <c r="F1071" s="1">
        <f t="shared" si="129"/>
        <v>4</v>
      </c>
      <c r="G1071" s="9">
        <f t="shared" si="130"/>
        <v>46057</v>
      </c>
      <c r="H1071" s="1" t="str">
        <f>IF(Raw!D1071="","",Raw!D1071)</f>
        <v>P-O</v>
      </c>
      <c r="I1071" s="1" t="str">
        <f>IFERROR(IF(EXACT(H1071,INDEX(Guide!$A$7:$A$9,MATCH(SUBSTITUTE(SUBSTITUTE(SUBSTITUTE(H1071,"~","~~"),"*","~*"),"?","~?"),Guide!$A$7:$A$9,0))),INDEX(Guide!$B$7:$B$9,MATCH(SUBSTITUTE(SUBSTITUTE(SUBSTITUTE(H1071,"~","~~"),"*","~*"),"?","~?"),Guide!$A$7:$A$9,0)),""),"")</f>
        <v>Office</v>
      </c>
      <c r="J1071" s="1" t="str">
        <f>IF(TRIM(Raw!E1071)="",I1071,IF(UPPER(TRIM(Raw!E1071))=UPPER(I1071),I1071,""))</f>
        <v>Office</v>
      </c>
      <c r="K1071" s="1" t="str">
        <f>IF(Raw!F1071="","",Raw!F1071)</f>
        <v>sale</v>
      </c>
      <c r="L1071" s="1" t="str">
        <f>IF(LEFT(TRIM(Raw!G1071),2)="-$","-"&amp;MID(TRIM(Raw!G1071),3,99),IF(LEFT(TRIM(Raw!G1071),1)="$",MID(TRIM(Raw!G1071),2,99),TRIM(Raw!G1071)))</f>
        <v>154.68</v>
      </c>
      <c r="M1071" s="1">
        <f t="shared" si="131"/>
        <v>154.68</v>
      </c>
      <c r="N1071" s="10">
        <f t="shared" si="132"/>
        <v>15468</v>
      </c>
      <c r="O1071" s="1" t="b">
        <f>IFERROR(IF(ISNUMBER(Raw!G1071),TRUE,OR(EXACT(L1071,TEXT(M1071,"0.00")),EXACT(L1071,TEXT(M1071,"#,##0.00")))),FALSE)</f>
        <v>1</v>
      </c>
      <c r="P1071" s="1" t="str">
        <f>LEN(IF(Raw!A1071="","",Raw!A1071))&amp;":"&amp;IF(Raw!A1071="","",Raw!A1071)&amp;"|"&amp;LEN(IF(Raw!B1071="","",Raw!B1071))&amp;":"&amp;IF(Raw!B1071="","",Raw!B1071)&amp;"|"&amp;LEN(IF(Raw!C1071="","",Raw!C1071))&amp;":"&amp;IF(Raw!C1071="","",Raw!C1071)&amp;"|"&amp;LEN(IF(Raw!D1071="","",Raw!D1071))&amp;":"&amp;IF(Raw!D1071="","",Raw!D1071)&amp;"|"&amp;LEN(IF(Raw!E1071="","",Raw!E1071))&amp;":"&amp;IF(Raw!E1071="","",Raw!E1071)&amp;"|"&amp;LEN(IF(Raw!F1071="","",Raw!F1071))&amp;":"&amp;IF(Raw!F1071="","",Raw!F1071)&amp;"|"&amp;LEN(IF(Raw!G1071="","",Raw!G1071))&amp;":"&amp;IF(Raw!G1071="","",Raw!G1071)</f>
        <v>6:L01065|6:T00533|10:2026-02-04|3:P-O|6:Office|4:sale|6:154.68</v>
      </c>
      <c r="Q1071" s="1">
        <f>1</f>
        <v>1</v>
      </c>
      <c r="R1071" s="1" t="b">
        <f>FALSE</f>
        <v>0</v>
      </c>
      <c r="S1071" s="1">
        <f>1</f>
        <v>1</v>
      </c>
      <c r="T1071" s="1" t="str">
        <f>IF(AND(Raw!A1071="",Raw!B1071="",Raw!C1071="",Raw!D1071="",Raw!E1071="",Raw!F1071="",Raw!G1071=""),"UNUSED",IF(A1071="","missing line ID",IF(B1071="","missing transaction ID",IF(G1071="",IF(C1071="","missing date","invalid date"),IF(I1071="","unknown product",IF(J1071="","conflicting category",IF(NOT(OR(EXACT(K1071,"sale"),EXACT(K1071,"refund"))),"unknown event",IF(OR(N1071="",NOT(O1071)),"invalid amount",IF(OR(AND(K1071="sale",N1071&lt;=0),AND(K1071="refund",N1071&gt;=0)),"invalid sign","")))))))))</f>
        <v/>
      </c>
      <c r="U1071" s="1" t="str">
        <f t="shared" si="133"/>
        <v>INCLUDED</v>
      </c>
      <c r="V1071" s="1" t="str">
        <f t="shared" si="134"/>
        <v>2026-02</v>
      </c>
      <c r="W1071" s="1">
        <f>IF(AND(U1071="INCLUDED",X1071&gt;0,EXACT(A1071,'AI output'!A1071)),1,0)</f>
        <v>1</v>
      </c>
      <c r="X1071" s="1">
        <f>1071</f>
        <v>1071</v>
      </c>
      <c r="Y1071" s="1">
        <f>IF(AND(U1071="INCLUDED",W1071=1),--(NOT(EXACT(A1071,'AI output'!A1071)))+--(NOT(EXACT(B1071,'AI output'!B1071)))+--(NOT(EXACT(TEXT(G1071,"yyyy-mm-dd"),'AI output'!C1071)))+--(NOT(EXACT(H1071,'AI output'!D1071)))+--(NOT(EXACT(J1071,'AI output'!E1071)))+--(NOT(EXACT(K1071,'AI output'!F1071)))+--(N1071&lt;&gt;'AI output'!L1071)+--(NOT('AI output'!M1071)),0)</f>
        <v>0</v>
      </c>
      <c r="Z1071" s="1">
        <f t="shared" si="135"/>
        <v>0</v>
      </c>
      <c r="AA1071" s="1">
        <f>--EXACT(A1071,"L01065")</f>
        <v>1</v>
      </c>
    </row>
    <row r="1072" spans="1:27" ht="18.95" customHeight="1">
      <c r="A1072" s="1" t="str">
        <f>IF(Raw!A1072="","",Raw!A1072)</f>
        <v>L01066</v>
      </c>
      <c r="B1072" s="1" t="str">
        <f>IF(Raw!B1072="","",Raw!B1072)</f>
        <v>T00533</v>
      </c>
      <c r="C1072" s="1" t="str">
        <f>IF(Raw!C1072="","",Raw!C1072)</f>
        <v>2026-02-04</v>
      </c>
      <c r="D1072" s="1">
        <f t="shared" si="128"/>
        <v>2026</v>
      </c>
      <c r="E1072" s="1">
        <f>IFERROR(IF(AND(LEN(C1072)=10,MID(C1072,5,1)="-",MID(C1072,8,1)="-"),VALUE(MID(C1072,6,2)),IF(AND(LEN(C1072)=11,MID(C1072,3,1)="-",MID(C1072,7,1)="-"),MATCH(UPPER(MID(C1072,4,3)),Guide!$D$7:$D$18,0),0)),0)</f>
        <v>2</v>
      </c>
      <c r="F1072" s="1">
        <f t="shared" si="129"/>
        <v>4</v>
      </c>
      <c r="G1072" s="9">
        <f t="shared" si="130"/>
        <v>46057</v>
      </c>
      <c r="H1072" s="1" t="str">
        <f>IF(Raw!D1072="","",Raw!D1072)</f>
        <v>P-A</v>
      </c>
      <c r="I1072" s="1" t="str">
        <f>IFERROR(IF(EXACT(H1072,INDEX(Guide!$A$7:$A$9,MATCH(SUBSTITUTE(SUBSTITUTE(SUBSTITUTE(H1072,"~","~~"),"*","~*"),"?","~?"),Guide!$A$7:$A$9,0))),INDEX(Guide!$B$7:$B$9,MATCH(SUBSTITUTE(SUBSTITUTE(SUBSTITUTE(H1072,"~","~~"),"*","~*"),"?","~?"),Guide!$A$7:$A$9,0)),""),"")</f>
        <v>Accessories</v>
      </c>
      <c r="J1072" s="1" t="str">
        <f>IF(TRIM(Raw!E1072)="",I1072,IF(UPPER(TRIM(Raw!E1072))=UPPER(I1072),I1072,""))</f>
        <v>Accessories</v>
      </c>
      <c r="K1072" s="1" t="str">
        <f>IF(Raw!F1072="","",Raw!F1072)</f>
        <v>sale</v>
      </c>
      <c r="L1072" s="1" t="str">
        <f>IF(LEFT(TRIM(Raw!G1072),2)="-$","-"&amp;MID(TRIM(Raw!G1072),3,99),IF(LEFT(TRIM(Raw!G1072),1)="$",MID(TRIM(Raw!G1072),2,99),TRIM(Raw!G1072)))</f>
        <v>39.04</v>
      </c>
      <c r="M1072" s="1">
        <f t="shared" si="131"/>
        <v>39.04</v>
      </c>
      <c r="N1072" s="10">
        <f t="shared" si="132"/>
        <v>3904</v>
      </c>
      <c r="O1072" s="1" t="b">
        <f>IFERROR(IF(ISNUMBER(Raw!G1072),TRUE,OR(EXACT(L1072,TEXT(M1072,"0.00")),EXACT(L1072,TEXT(M1072,"#,##0.00")))),FALSE)</f>
        <v>1</v>
      </c>
      <c r="P1072" s="1" t="str">
        <f>LEN(IF(Raw!A1072="","",Raw!A1072))&amp;":"&amp;IF(Raw!A1072="","",Raw!A1072)&amp;"|"&amp;LEN(IF(Raw!B1072="","",Raw!B1072))&amp;":"&amp;IF(Raw!B1072="","",Raw!B1072)&amp;"|"&amp;LEN(IF(Raw!C1072="","",Raw!C1072))&amp;":"&amp;IF(Raw!C1072="","",Raw!C1072)&amp;"|"&amp;LEN(IF(Raw!D1072="","",Raw!D1072))&amp;":"&amp;IF(Raw!D1072="","",Raw!D1072)&amp;"|"&amp;LEN(IF(Raw!E1072="","",Raw!E1072))&amp;":"&amp;IF(Raw!E1072="","",Raw!E1072)&amp;"|"&amp;LEN(IF(Raw!F1072="","",Raw!F1072))&amp;":"&amp;IF(Raw!F1072="","",Raw!F1072)&amp;"|"&amp;LEN(IF(Raw!G1072="","",Raw!G1072))&amp;":"&amp;IF(Raw!G1072="","",Raw!G1072)</f>
        <v>6:L01066|6:T00533|10:2026-02-04|3:P-A|11:Accessories|4:sale|5:39.04</v>
      </c>
      <c r="Q1072" s="1">
        <f>1</f>
        <v>1</v>
      </c>
      <c r="R1072" s="1" t="b">
        <f>FALSE</f>
        <v>0</v>
      </c>
      <c r="S1072" s="1">
        <f>1</f>
        <v>1</v>
      </c>
      <c r="T1072" s="1" t="str">
        <f>IF(AND(Raw!A1072="",Raw!B1072="",Raw!C1072="",Raw!D1072="",Raw!E1072="",Raw!F1072="",Raw!G1072=""),"UNUSED",IF(A1072="","missing line ID",IF(B1072="","missing transaction ID",IF(G1072="",IF(C1072="","missing date","invalid date"),IF(I1072="","unknown product",IF(J1072="","conflicting category",IF(NOT(OR(EXACT(K1072,"sale"),EXACT(K1072,"refund"))),"unknown event",IF(OR(N1072="",NOT(O1072)),"invalid amount",IF(OR(AND(K1072="sale",N1072&lt;=0),AND(K1072="refund",N1072&gt;=0)),"invalid sign","")))))))))</f>
        <v/>
      </c>
      <c r="U1072" s="1" t="str">
        <f t="shared" si="133"/>
        <v>INCLUDED</v>
      </c>
      <c r="V1072" s="1" t="str">
        <f t="shared" si="134"/>
        <v>2026-02</v>
      </c>
      <c r="W1072" s="1">
        <f>IF(AND(U1072="INCLUDED",X1072&gt;0,EXACT(A1072,'AI output'!A1072)),1,0)</f>
        <v>1</v>
      </c>
      <c r="X1072" s="1">
        <f>1072</f>
        <v>1072</v>
      </c>
      <c r="Y1072" s="1">
        <f>IF(AND(U1072="INCLUDED",W1072=1),--(NOT(EXACT(A1072,'AI output'!A1072)))+--(NOT(EXACT(B1072,'AI output'!B1072)))+--(NOT(EXACT(TEXT(G1072,"yyyy-mm-dd"),'AI output'!C1072)))+--(NOT(EXACT(H1072,'AI output'!D1072)))+--(NOT(EXACT(J1072,'AI output'!E1072)))+--(NOT(EXACT(K1072,'AI output'!F1072)))+--(N1072&lt;&gt;'AI output'!L1072)+--(NOT('AI output'!M1072)),0)</f>
        <v>0</v>
      </c>
      <c r="Z1072" s="1">
        <f t="shared" si="135"/>
        <v>0</v>
      </c>
      <c r="AA1072" s="1">
        <f>--EXACT(A1072,"L01066")</f>
        <v>1</v>
      </c>
    </row>
    <row r="1073" spans="1:27" ht="18.95" customHeight="1">
      <c r="A1073" s="1" t="str">
        <f>IF(Raw!A1073="","",Raw!A1073)</f>
        <v>L01067</v>
      </c>
      <c r="B1073" s="1" t="str">
        <f>IF(Raw!B1073="","",Raw!B1073)</f>
        <v>T00534</v>
      </c>
      <c r="C1073" s="1" t="str">
        <f>IF(Raw!C1073="","",Raw!C1073)</f>
        <v>2026-02-11</v>
      </c>
      <c r="D1073" s="1">
        <f t="shared" si="128"/>
        <v>2026</v>
      </c>
      <c r="E1073" s="1">
        <f>IFERROR(IF(AND(LEN(C1073)=10,MID(C1073,5,1)="-",MID(C1073,8,1)="-"),VALUE(MID(C1073,6,2)),IF(AND(LEN(C1073)=11,MID(C1073,3,1)="-",MID(C1073,7,1)="-"),MATCH(UPPER(MID(C1073,4,3)),Guide!$D$7:$D$18,0),0)),0)</f>
        <v>2</v>
      </c>
      <c r="F1073" s="1">
        <f t="shared" si="129"/>
        <v>11</v>
      </c>
      <c r="G1073" s="9">
        <f t="shared" si="130"/>
        <v>46064</v>
      </c>
      <c r="H1073" s="1" t="str">
        <f>IF(Raw!D1073="","",Raw!D1073)</f>
        <v>P-H</v>
      </c>
      <c r="I1073" s="1" t="str">
        <f>IFERROR(IF(EXACT(H1073,INDEX(Guide!$A$7:$A$9,MATCH(SUBSTITUTE(SUBSTITUTE(SUBSTITUTE(H1073,"~","~~"),"*","~*"),"?","~?"),Guide!$A$7:$A$9,0))),INDEX(Guide!$B$7:$B$9,MATCH(SUBSTITUTE(SUBSTITUTE(SUBSTITUTE(H1073,"~","~~"),"*","~*"),"?","~?"),Guide!$A$7:$A$9,0)),""),"")</f>
        <v>Home</v>
      </c>
      <c r="J1073" s="1" t="str">
        <f>IF(TRIM(Raw!E1073)="",I1073,IF(UPPER(TRIM(Raw!E1073))=UPPER(I1073),I1073,""))</f>
        <v>Home</v>
      </c>
      <c r="K1073" s="1" t="str">
        <f>IF(Raw!F1073="","",Raw!F1073)</f>
        <v>sale</v>
      </c>
      <c r="L1073" s="1" t="str">
        <f>IF(LEFT(TRIM(Raw!G1073),2)="-$","-"&amp;MID(TRIM(Raw!G1073),3,99),IF(LEFT(TRIM(Raw!G1073),1)="$",MID(TRIM(Raw!G1073),2,99),TRIM(Raw!G1073)))</f>
        <v>118.23</v>
      </c>
      <c r="M1073" s="1">
        <f t="shared" si="131"/>
        <v>118.23</v>
      </c>
      <c r="N1073" s="10">
        <f t="shared" si="132"/>
        <v>11823</v>
      </c>
      <c r="O1073" s="1" t="b">
        <f>IFERROR(IF(ISNUMBER(Raw!G1073),TRUE,OR(EXACT(L1073,TEXT(M1073,"0.00")),EXACT(L1073,TEXT(M1073,"#,##0.00")))),FALSE)</f>
        <v>1</v>
      </c>
      <c r="P1073" s="1" t="str">
        <f>LEN(IF(Raw!A1073="","",Raw!A1073))&amp;":"&amp;IF(Raw!A1073="","",Raw!A1073)&amp;"|"&amp;LEN(IF(Raw!B1073="","",Raw!B1073))&amp;":"&amp;IF(Raw!B1073="","",Raw!B1073)&amp;"|"&amp;LEN(IF(Raw!C1073="","",Raw!C1073))&amp;":"&amp;IF(Raw!C1073="","",Raw!C1073)&amp;"|"&amp;LEN(IF(Raw!D1073="","",Raw!D1073))&amp;":"&amp;IF(Raw!D1073="","",Raw!D1073)&amp;"|"&amp;LEN(IF(Raw!E1073="","",Raw!E1073))&amp;":"&amp;IF(Raw!E1073="","",Raw!E1073)&amp;"|"&amp;LEN(IF(Raw!F1073="","",Raw!F1073))&amp;":"&amp;IF(Raw!F1073="","",Raw!F1073)&amp;"|"&amp;LEN(IF(Raw!G1073="","",Raw!G1073))&amp;":"&amp;IF(Raw!G1073="","",Raw!G1073)</f>
        <v>6:L01067|6:T00534|10:2026-02-11|3:P-H|4:Home|4:sale|6:118.23</v>
      </c>
      <c r="Q1073" s="1">
        <f>1</f>
        <v>1</v>
      </c>
      <c r="R1073" s="1" t="b">
        <f>FALSE</f>
        <v>0</v>
      </c>
      <c r="S1073" s="1">
        <f>1</f>
        <v>1</v>
      </c>
      <c r="T1073" s="1" t="str">
        <f>IF(AND(Raw!A1073="",Raw!B1073="",Raw!C1073="",Raw!D1073="",Raw!E1073="",Raw!F1073="",Raw!G1073=""),"UNUSED",IF(A1073="","missing line ID",IF(B1073="","missing transaction ID",IF(G1073="",IF(C1073="","missing date","invalid date"),IF(I1073="","unknown product",IF(J1073="","conflicting category",IF(NOT(OR(EXACT(K1073,"sale"),EXACT(K1073,"refund"))),"unknown event",IF(OR(N1073="",NOT(O1073)),"invalid amount",IF(OR(AND(K1073="sale",N1073&lt;=0),AND(K1073="refund",N1073&gt;=0)),"invalid sign","")))))))))</f>
        <v/>
      </c>
      <c r="U1073" s="1" t="str">
        <f t="shared" si="133"/>
        <v>INCLUDED</v>
      </c>
      <c r="V1073" s="1" t="str">
        <f t="shared" si="134"/>
        <v>2026-02</v>
      </c>
      <c r="W1073" s="1">
        <f>IF(AND(U1073="INCLUDED",X1073&gt;0,EXACT(A1073,'AI output'!A1073)),1,0)</f>
        <v>1</v>
      </c>
      <c r="X1073" s="1">
        <f>1073</f>
        <v>1073</v>
      </c>
      <c r="Y1073" s="1">
        <f>IF(AND(U1073="INCLUDED",W1073=1),--(NOT(EXACT(A1073,'AI output'!A1073)))+--(NOT(EXACT(B1073,'AI output'!B1073)))+--(NOT(EXACT(TEXT(G1073,"yyyy-mm-dd"),'AI output'!C1073)))+--(NOT(EXACT(H1073,'AI output'!D1073)))+--(NOT(EXACT(J1073,'AI output'!E1073)))+--(NOT(EXACT(K1073,'AI output'!F1073)))+--(N1073&lt;&gt;'AI output'!L1073)+--(NOT('AI output'!M1073)),0)</f>
        <v>0</v>
      </c>
      <c r="Z1073" s="1">
        <f t="shared" si="135"/>
        <v>0</v>
      </c>
      <c r="AA1073" s="1">
        <f>--EXACT(A1073,"L01067")</f>
        <v>1</v>
      </c>
    </row>
    <row r="1074" spans="1:27" ht="18.95" customHeight="1">
      <c r="A1074" s="1" t="str">
        <f>IF(Raw!A1074="","",Raw!A1074)</f>
        <v>L01068</v>
      </c>
      <c r="B1074" s="1" t="str">
        <f>IF(Raw!B1074="","",Raw!B1074)</f>
        <v>T00534</v>
      </c>
      <c r="C1074" s="1" t="str">
        <f>IF(Raw!C1074="","",Raw!C1074)</f>
        <v>2026-02-11</v>
      </c>
      <c r="D1074" s="1">
        <f t="shared" si="128"/>
        <v>2026</v>
      </c>
      <c r="E1074" s="1">
        <f>IFERROR(IF(AND(LEN(C1074)=10,MID(C1074,5,1)="-",MID(C1074,8,1)="-"),VALUE(MID(C1074,6,2)),IF(AND(LEN(C1074)=11,MID(C1074,3,1)="-",MID(C1074,7,1)="-"),MATCH(UPPER(MID(C1074,4,3)),Guide!$D$7:$D$18,0),0)),0)</f>
        <v>2</v>
      </c>
      <c r="F1074" s="1">
        <f t="shared" si="129"/>
        <v>11</v>
      </c>
      <c r="G1074" s="9">
        <f t="shared" si="130"/>
        <v>46064</v>
      </c>
      <c r="H1074" s="1" t="str">
        <f>IF(Raw!D1074="","",Raw!D1074)</f>
        <v>P-O</v>
      </c>
      <c r="I1074" s="1" t="str">
        <f>IFERROR(IF(EXACT(H1074,INDEX(Guide!$A$7:$A$9,MATCH(SUBSTITUTE(SUBSTITUTE(SUBSTITUTE(H1074,"~","~~"),"*","~*"),"?","~?"),Guide!$A$7:$A$9,0))),INDEX(Guide!$B$7:$B$9,MATCH(SUBSTITUTE(SUBSTITUTE(SUBSTITUTE(H1074,"~","~~"),"*","~*"),"?","~?"),Guide!$A$7:$A$9,0)),""),"")</f>
        <v>Office</v>
      </c>
      <c r="J1074" s="1" t="str">
        <f>IF(TRIM(Raw!E1074)="",I1074,IF(UPPER(TRIM(Raw!E1074))=UPPER(I1074),I1074,""))</f>
        <v>Office</v>
      </c>
      <c r="K1074" s="1" t="str">
        <f>IF(Raw!F1074="","",Raw!F1074)</f>
        <v>sale</v>
      </c>
      <c r="L1074" s="1" t="str">
        <f>IF(LEFT(TRIM(Raw!G1074),2)="-$","-"&amp;MID(TRIM(Raw!G1074),3,99),IF(LEFT(TRIM(Raw!G1074),1)="$",MID(TRIM(Raw!G1074),2,99),TRIM(Raw!G1074)))</f>
        <v>198.90</v>
      </c>
      <c r="M1074" s="1">
        <f t="shared" si="131"/>
        <v>198.9</v>
      </c>
      <c r="N1074" s="10">
        <f t="shared" si="132"/>
        <v>19890</v>
      </c>
      <c r="O1074" s="1" t="b">
        <f>IFERROR(IF(ISNUMBER(Raw!G1074),TRUE,OR(EXACT(L1074,TEXT(M1074,"0.00")),EXACT(L1074,TEXT(M1074,"#,##0.00")))),FALSE)</f>
        <v>1</v>
      </c>
      <c r="P1074" s="1" t="str">
        <f>LEN(IF(Raw!A1074="","",Raw!A1074))&amp;":"&amp;IF(Raw!A1074="","",Raw!A1074)&amp;"|"&amp;LEN(IF(Raw!B1074="","",Raw!B1074))&amp;":"&amp;IF(Raw!B1074="","",Raw!B1074)&amp;"|"&amp;LEN(IF(Raw!C1074="","",Raw!C1074))&amp;":"&amp;IF(Raw!C1074="","",Raw!C1074)&amp;"|"&amp;LEN(IF(Raw!D1074="","",Raw!D1074))&amp;":"&amp;IF(Raw!D1074="","",Raw!D1074)&amp;"|"&amp;LEN(IF(Raw!E1074="","",Raw!E1074))&amp;":"&amp;IF(Raw!E1074="","",Raw!E1074)&amp;"|"&amp;LEN(IF(Raw!F1074="","",Raw!F1074))&amp;":"&amp;IF(Raw!F1074="","",Raw!F1074)&amp;"|"&amp;LEN(IF(Raw!G1074="","",Raw!G1074))&amp;":"&amp;IF(Raw!G1074="","",Raw!G1074)</f>
        <v>6:L01068|6:T00534|10:2026-02-11|3:P-O|6:Office|4:sale|6:198.90</v>
      </c>
      <c r="Q1074" s="1">
        <f>1</f>
        <v>1</v>
      </c>
      <c r="R1074" s="1" t="b">
        <f>FALSE</f>
        <v>0</v>
      </c>
      <c r="S1074" s="1">
        <f>1</f>
        <v>1</v>
      </c>
      <c r="T1074" s="1" t="str">
        <f>IF(AND(Raw!A1074="",Raw!B1074="",Raw!C1074="",Raw!D1074="",Raw!E1074="",Raw!F1074="",Raw!G1074=""),"UNUSED",IF(A1074="","missing line ID",IF(B1074="","missing transaction ID",IF(G1074="",IF(C1074="","missing date","invalid date"),IF(I1074="","unknown product",IF(J1074="","conflicting category",IF(NOT(OR(EXACT(K1074,"sale"),EXACT(K1074,"refund"))),"unknown event",IF(OR(N1074="",NOT(O1074)),"invalid amount",IF(OR(AND(K1074="sale",N1074&lt;=0),AND(K1074="refund",N1074&gt;=0)),"invalid sign","")))))))))</f>
        <v/>
      </c>
      <c r="U1074" s="1" t="str">
        <f t="shared" si="133"/>
        <v>INCLUDED</v>
      </c>
      <c r="V1074" s="1" t="str">
        <f t="shared" si="134"/>
        <v>2026-02</v>
      </c>
      <c r="W1074" s="1">
        <f>IF(AND(U1074="INCLUDED",X1074&gt;0,EXACT(A1074,'AI output'!A1074)),1,0)</f>
        <v>1</v>
      </c>
      <c r="X1074" s="1">
        <f>1074</f>
        <v>1074</v>
      </c>
      <c r="Y1074" s="1">
        <f>IF(AND(U1074="INCLUDED",W1074=1),--(NOT(EXACT(A1074,'AI output'!A1074)))+--(NOT(EXACT(B1074,'AI output'!B1074)))+--(NOT(EXACT(TEXT(G1074,"yyyy-mm-dd"),'AI output'!C1074)))+--(NOT(EXACT(H1074,'AI output'!D1074)))+--(NOT(EXACT(J1074,'AI output'!E1074)))+--(NOT(EXACT(K1074,'AI output'!F1074)))+--(N1074&lt;&gt;'AI output'!L1074)+--(NOT('AI output'!M1074)),0)</f>
        <v>0</v>
      </c>
      <c r="Z1074" s="1">
        <f t="shared" si="135"/>
        <v>0</v>
      </c>
      <c r="AA1074" s="1">
        <f>--EXACT(A1074,"L01068")</f>
        <v>1</v>
      </c>
    </row>
    <row r="1075" spans="1:27" ht="18.95" customHeight="1">
      <c r="A1075" s="1" t="str">
        <f>IF(Raw!A1075="","",Raw!A1075)</f>
        <v>L01069</v>
      </c>
      <c r="B1075" s="1" t="str">
        <f>IF(Raw!B1075="","",Raw!B1075)</f>
        <v>T00535</v>
      </c>
      <c r="C1075" s="1" t="str">
        <f>IF(Raw!C1075="","",Raw!C1075)</f>
        <v>2026-02-18</v>
      </c>
      <c r="D1075" s="1">
        <f t="shared" si="128"/>
        <v>2026</v>
      </c>
      <c r="E1075" s="1">
        <f>IFERROR(IF(AND(LEN(C1075)=10,MID(C1075,5,1)="-",MID(C1075,8,1)="-"),VALUE(MID(C1075,6,2)),IF(AND(LEN(C1075)=11,MID(C1075,3,1)="-",MID(C1075,7,1)="-"),MATCH(UPPER(MID(C1075,4,3)),Guide!$D$7:$D$18,0),0)),0)</f>
        <v>2</v>
      </c>
      <c r="F1075" s="1">
        <f t="shared" si="129"/>
        <v>18</v>
      </c>
      <c r="G1075" s="9">
        <f t="shared" si="130"/>
        <v>46071</v>
      </c>
      <c r="H1075" s="1" t="str">
        <f>IF(Raw!D1075="","",Raw!D1075)</f>
        <v>P-A</v>
      </c>
      <c r="I1075" s="1" t="str">
        <f>IFERROR(IF(EXACT(H1075,INDEX(Guide!$A$7:$A$9,MATCH(SUBSTITUTE(SUBSTITUTE(SUBSTITUTE(H1075,"~","~~"),"*","~*"),"?","~?"),Guide!$A$7:$A$9,0))),INDEX(Guide!$B$7:$B$9,MATCH(SUBSTITUTE(SUBSTITUTE(SUBSTITUTE(H1075,"~","~~"),"*","~*"),"?","~?"),Guide!$A$7:$A$9,0)),""),"")</f>
        <v>Accessories</v>
      </c>
      <c r="J1075" s="1" t="str">
        <f>IF(TRIM(Raw!E1075)="",I1075,IF(UPPER(TRIM(Raw!E1075))=UPPER(I1075),I1075,""))</f>
        <v>Accessories</v>
      </c>
      <c r="K1075" s="1" t="str">
        <f>IF(Raw!F1075="","",Raw!F1075)</f>
        <v>sale</v>
      </c>
      <c r="L1075" s="1" t="str">
        <f>IF(LEFT(TRIM(Raw!G1075),2)="-$","-"&amp;MID(TRIM(Raw!G1075),3,99),IF(LEFT(TRIM(Raw!G1075),1)="$",MID(TRIM(Raw!G1075),2,99),TRIM(Raw!G1075)))</f>
        <v>80.30</v>
      </c>
      <c r="M1075" s="1">
        <f t="shared" si="131"/>
        <v>80.3</v>
      </c>
      <c r="N1075" s="10">
        <f t="shared" si="132"/>
        <v>8030</v>
      </c>
      <c r="O1075" s="1" t="b">
        <f>IFERROR(IF(ISNUMBER(Raw!G1075),TRUE,OR(EXACT(L1075,TEXT(M1075,"0.00")),EXACT(L1075,TEXT(M1075,"#,##0.00")))),FALSE)</f>
        <v>1</v>
      </c>
      <c r="P1075" s="1" t="str">
        <f>LEN(IF(Raw!A1075="","",Raw!A1075))&amp;":"&amp;IF(Raw!A1075="","",Raw!A1075)&amp;"|"&amp;LEN(IF(Raw!B1075="","",Raw!B1075))&amp;":"&amp;IF(Raw!B1075="","",Raw!B1075)&amp;"|"&amp;LEN(IF(Raw!C1075="","",Raw!C1075))&amp;":"&amp;IF(Raw!C1075="","",Raw!C1075)&amp;"|"&amp;LEN(IF(Raw!D1075="","",Raw!D1075))&amp;":"&amp;IF(Raw!D1075="","",Raw!D1075)&amp;"|"&amp;LEN(IF(Raw!E1075="","",Raw!E1075))&amp;":"&amp;IF(Raw!E1075="","",Raw!E1075)&amp;"|"&amp;LEN(IF(Raw!F1075="","",Raw!F1075))&amp;":"&amp;IF(Raw!F1075="","",Raw!F1075)&amp;"|"&amp;LEN(IF(Raw!G1075="","",Raw!G1075))&amp;":"&amp;IF(Raw!G1075="","",Raw!G1075)</f>
        <v>6:L01069|6:T00535|10:2026-02-18|3:P-A|11:Accessories|4:sale|5:80.30</v>
      </c>
      <c r="Q1075" s="1">
        <f>1</f>
        <v>1</v>
      </c>
      <c r="R1075" s="1" t="b">
        <f>FALSE</f>
        <v>0</v>
      </c>
      <c r="S1075" s="1">
        <f>1</f>
        <v>1</v>
      </c>
      <c r="T1075" s="1" t="str">
        <f>IF(AND(Raw!A1075="",Raw!B1075="",Raw!C1075="",Raw!D1075="",Raw!E1075="",Raw!F1075="",Raw!G1075=""),"UNUSED",IF(A1075="","missing line ID",IF(B1075="","missing transaction ID",IF(G1075="",IF(C1075="","missing date","invalid date"),IF(I1075="","unknown product",IF(J1075="","conflicting category",IF(NOT(OR(EXACT(K1075,"sale"),EXACT(K1075,"refund"))),"unknown event",IF(OR(N1075="",NOT(O1075)),"invalid amount",IF(OR(AND(K1075="sale",N1075&lt;=0),AND(K1075="refund",N1075&gt;=0)),"invalid sign","")))))))))</f>
        <v/>
      </c>
      <c r="U1075" s="1" t="str">
        <f t="shared" si="133"/>
        <v>INCLUDED</v>
      </c>
      <c r="V1075" s="1" t="str">
        <f t="shared" si="134"/>
        <v>2026-02</v>
      </c>
      <c r="W1075" s="1">
        <f>IF(AND(U1075="INCLUDED",X1075&gt;0,EXACT(A1075,'AI output'!A1075)),1,0)</f>
        <v>1</v>
      </c>
      <c r="X1075" s="1">
        <f>1075</f>
        <v>1075</v>
      </c>
      <c r="Y1075" s="1">
        <f>IF(AND(U1075="INCLUDED",W1075=1),--(NOT(EXACT(A1075,'AI output'!A1075)))+--(NOT(EXACT(B1075,'AI output'!B1075)))+--(NOT(EXACT(TEXT(G1075,"yyyy-mm-dd"),'AI output'!C1075)))+--(NOT(EXACT(H1075,'AI output'!D1075)))+--(NOT(EXACT(J1075,'AI output'!E1075)))+--(NOT(EXACT(K1075,'AI output'!F1075)))+--(N1075&lt;&gt;'AI output'!L1075)+--(NOT('AI output'!M1075)),0)</f>
        <v>0</v>
      </c>
      <c r="Z1075" s="1">
        <f t="shared" si="135"/>
        <v>0</v>
      </c>
      <c r="AA1075" s="1">
        <f>--EXACT(A1075,"L01069")</f>
        <v>1</v>
      </c>
    </row>
    <row r="1076" spans="1:27" ht="18.95" customHeight="1">
      <c r="A1076" s="1" t="str">
        <f>IF(Raw!A1076="","",Raw!A1076)</f>
        <v>L01070</v>
      </c>
      <c r="B1076" s="1" t="str">
        <f>IF(Raw!B1076="","",Raw!B1076)</f>
        <v>T00535</v>
      </c>
      <c r="C1076" s="1" t="str">
        <f>IF(Raw!C1076="","",Raw!C1076)</f>
        <v>2026-02-18</v>
      </c>
      <c r="D1076" s="1">
        <f t="shared" si="128"/>
        <v>2026</v>
      </c>
      <c r="E1076" s="1">
        <f>IFERROR(IF(AND(LEN(C1076)=10,MID(C1076,5,1)="-",MID(C1076,8,1)="-"),VALUE(MID(C1076,6,2)),IF(AND(LEN(C1076)=11,MID(C1076,3,1)="-",MID(C1076,7,1)="-"),MATCH(UPPER(MID(C1076,4,3)),Guide!$D$7:$D$18,0),0)),0)</f>
        <v>2</v>
      </c>
      <c r="F1076" s="1">
        <f t="shared" si="129"/>
        <v>18</v>
      </c>
      <c r="G1076" s="9">
        <f t="shared" si="130"/>
        <v>46071</v>
      </c>
      <c r="H1076" s="1" t="str">
        <f>IF(Raw!D1076="","",Raw!D1076)</f>
        <v>P-H</v>
      </c>
      <c r="I1076" s="1" t="str">
        <f>IFERROR(IF(EXACT(H1076,INDEX(Guide!$A$7:$A$9,MATCH(SUBSTITUTE(SUBSTITUTE(SUBSTITUTE(H1076,"~","~~"),"*","~*"),"?","~?"),Guide!$A$7:$A$9,0))),INDEX(Guide!$B$7:$B$9,MATCH(SUBSTITUTE(SUBSTITUTE(SUBSTITUTE(H1076,"~","~~"),"*","~*"),"?","~?"),Guide!$A$7:$A$9,0)),""),"")</f>
        <v>Home</v>
      </c>
      <c r="J1076" s="1" t="str">
        <f>IF(TRIM(Raw!E1076)="",I1076,IF(UPPER(TRIM(Raw!E1076))=UPPER(I1076),I1076,""))</f>
        <v>Home</v>
      </c>
      <c r="K1076" s="1" t="str">
        <f>IF(Raw!F1076="","",Raw!F1076)</f>
        <v>sale</v>
      </c>
      <c r="L1076" s="1" t="str">
        <f>IF(LEFT(TRIM(Raw!G1076),2)="-$","-"&amp;MID(TRIM(Raw!G1076),3,99),IF(LEFT(TRIM(Raw!G1076),1)="$",MID(TRIM(Raw!G1076),2,99),TRIM(Raw!G1076)))</f>
        <v>162.08</v>
      </c>
      <c r="M1076" s="1">
        <f t="shared" si="131"/>
        <v>162.08000000000001</v>
      </c>
      <c r="N1076" s="10">
        <f t="shared" si="132"/>
        <v>16208</v>
      </c>
      <c r="O1076" s="1" t="b">
        <f>IFERROR(IF(ISNUMBER(Raw!G1076),TRUE,OR(EXACT(L1076,TEXT(M1076,"0.00")),EXACT(L1076,TEXT(M1076,"#,##0.00")))),FALSE)</f>
        <v>1</v>
      </c>
      <c r="P1076" s="1" t="str">
        <f>LEN(IF(Raw!A1076="","",Raw!A1076))&amp;":"&amp;IF(Raw!A1076="","",Raw!A1076)&amp;"|"&amp;LEN(IF(Raw!B1076="","",Raw!B1076))&amp;":"&amp;IF(Raw!B1076="","",Raw!B1076)&amp;"|"&amp;LEN(IF(Raw!C1076="","",Raw!C1076))&amp;":"&amp;IF(Raw!C1076="","",Raw!C1076)&amp;"|"&amp;LEN(IF(Raw!D1076="","",Raw!D1076))&amp;":"&amp;IF(Raw!D1076="","",Raw!D1076)&amp;"|"&amp;LEN(IF(Raw!E1076="","",Raw!E1076))&amp;":"&amp;IF(Raw!E1076="","",Raw!E1076)&amp;"|"&amp;LEN(IF(Raw!F1076="","",Raw!F1076))&amp;":"&amp;IF(Raw!F1076="","",Raw!F1076)&amp;"|"&amp;LEN(IF(Raw!G1076="","",Raw!G1076))&amp;":"&amp;IF(Raw!G1076="","",Raw!G1076)</f>
        <v>6:L01070|6:T00535|10:2026-02-18|3:P-H|4:Home|4:sale|6:162.08</v>
      </c>
      <c r="Q1076" s="1">
        <f>1</f>
        <v>1</v>
      </c>
      <c r="R1076" s="1" t="b">
        <f>FALSE</f>
        <v>0</v>
      </c>
      <c r="S1076" s="1">
        <f>1</f>
        <v>1</v>
      </c>
      <c r="T1076" s="1" t="str">
        <f>IF(AND(Raw!A1076="",Raw!B1076="",Raw!C1076="",Raw!D1076="",Raw!E1076="",Raw!F1076="",Raw!G1076=""),"UNUSED",IF(A1076="","missing line ID",IF(B1076="","missing transaction ID",IF(G1076="",IF(C1076="","missing date","invalid date"),IF(I1076="","unknown product",IF(J1076="","conflicting category",IF(NOT(OR(EXACT(K1076,"sale"),EXACT(K1076,"refund"))),"unknown event",IF(OR(N1076="",NOT(O1076)),"invalid amount",IF(OR(AND(K1076="sale",N1076&lt;=0),AND(K1076="refund",N1076&gt;=0)),"invalid sign","")))))))))</f>
        <v/>
      </c>
      <c r="U1076" s="1" t="str">
        <f t="shared" si="133"/>
        <v>INCLUDED</v>
      </c>
      <c r="V1076" s="1" t="str">
        <f t="shared" si="134"/>
        <v>2026-02</v>
      </c>
      <c r="W1076" s="1">
        <f>IF(AND(U1076="INCLUDED",X1076&gt;0,EXACT(A1076,'AI output'!A1076)),1,0)</f>
        <v>1</v>
      </c>
      <c r="X1076" s="1">
        <f>1076</f>
        <v>1076</v>
      </c>
      <c r="Y1076" s="1">
        <f>IF(AND(U1076="INCLUDED",W1076=1),--(NOT(EXACT(A1076,'AI output'!A1076)))+--(NOT(EXACT(B1076,'AI output'!B1076)))+--(NOT(EXACT(TEXT(G1076,"yyyy-mm-dd"),'AI output'!C1076)))+--(NOT(EXACT(H1076,'AI output'!D1076)))+--(NOT(EXACT(J1076,'AI output'!E1076)))+--(NOT(EXACT(K1076,'AI output'!F1076)))+--(N1076&lt;&gt;'AI output'!L1076)+--(NOT('AI output'!M1076)),0)</f>
        <v>0</v>
      </c>
      <c r="Z1076" s="1">
        <f t="shared" si="135"/>
        <v>0</v>
      </c>
      <c r="AA1076" s="1">
        <f>--EXACT(A1076,"L01070")</f>
        <v>1</v>
      </c>
    </row>
    <row r="1077" spans="1:27" ht="18.95" customHeight="1">
      <c r="A1077" s="1" t="str">
        <f>IF(Raw!A1077="","",Raw!A1077)</f>
        <v>L01071</v>
      </c>
      <c r="B1077" s="1" t="str">
        <f>IF(Raw!B1077="","",Raw!B1077)</f>
        <v>T00536</v>
      </c>
      <c r="C1077" s="1" t="str">
        <f>IF(Raw!C1077="","",Raw!C1077)</f>
        <v>2026-02-25</v>
      </c>
      <c r="D1077" s="1">
        <f t="shared" si="128"/>
        <v>2026</v>
      </c>
      <c r="E1077" s="1">
        <f>IFERROR(IF(AND(LEN(C1077)=10,MID(C1077,5,1)="-",MID(C1077,8,1)="-"),VALUE(MID(C1077,6,2)),IF(AND(LEN(C1077)=11,MID(C1077,3,1)="-",MID(C1077,7,1)="-"),MATCH(UPPER(MID(C1077,4,3)),Guide!$D$7:$D$18,0),0)),0)</f>
        <v>2</v>
      </c>
      <c r="F1077" s="1">
        <f t="shared" si="129"/>
        <v>25</v>
      </c>
      <c r="G1077" s="9">
        <f t="shared" si="130"/>
        <v>46078</v>
      </c>
      <c r="H1077" s="1" t="str">
        <f>IF(Raw!D1077="","",Raw!D1077)</f>
        <v>P-O</v>
      </c>
      <c r="I1077" s="1" t="str">
        <f>IFERROR(IF(EXACT(H1077,INDEX(Guide!$A$7:$A$9,MATCH(SUBSTITUTE(SUBSTITUTE(SUBSTITUTE(H1077,"~","~~"),"*","~*"),"?","~?"),Guide!$A$7:$A$9,0))),INDEX(Guide!$B$7:$B$9,MATCH(SUBSTITUTE(SUBSTITUTE(SUBSTITUTE(H1077,"~","~~"),"*","~*"),"?","~?"),Guide!$A$7:$A$9,0)),""),"")</f>
        <v>Office</v>
      </c>
      <c r="J1077" s="1" t="str">
        <f>IF(TRIM(Raw!E1077)="",I1077,IF(UPPER(TRIM(Raw!E1077))=UPPER(I1077),I1077,""))</f>
        <v>Office</v>
      </c>
      <c r="K1077" s="1" t="str">
        <f>IF(Raw!F1077="","",Raw!F1077)</f>
        <v>sale</v>
      </c>
      <c r="L1077" s="1" t="str">
        <f>IF(LEFT(TRIM(Raw!G1077),2)="-$","-"&amp;MID(TRIM(Raw!G1077),3,99),IF(LEFT(TRIM(Raw!G1077),1)="$",MID(TRIM(Raw!G1077),2,99),TRIM(Raw!G1077)))</f>
        <v>40.89</v>
      </c>
      <c r="M1077" s="1">
        <f t="shared" si="131"/>
        <v>40.89</v>
      </c>
      <c r="N1077" s="10">
        <f t="shared" si="132"/>
        <v>4089</v>
      </c>
      <c r="O1077" s="1" t="b">
        <f>IFERROR(IF(ISNUMBER(Raw!G1077),TRUE,OR(EXACT(L1077,TEXT(M1077,"0.00")),EXACT(L1077,TEXT(M1077,"#,##0.00")))),FALSE)</f>
        <v>1</v>
      </c>
      <c r="P1077" s="1" t="str">
        <f>LEN(IF(Raw!A1077="","",Raw!A1077))&amp;":"&amp;IF(Raw!A1077="","",Raw!A1077)&amp;"|"&amp;LEN(IF(Raw!B1077="","",Raw!B1077))&amp;":"&amp;IF(Raw!B1077="","",Raw!B1077)&amp;"|"&amp;LEN(IF(Raw!C1077="","",Raw!C1077))&amp;":"&amp;IF(Raw!C1077="","",Raw!C1077)&amp;"|"&amp;LEN(IF(Raw!D1077="","",Raw!D1077))&amp;":"&amp;IF(Raw!D1077="","",Raw!D1077)&amp;"|"&amp;LEN(IF(Raw!E1077="","",Raw!E1077))&amp;":"&amp;IF(Raw!E1077="","",Raw!E1077)&amp;"|"&amp;LEN(IF(Raw!F1077="","",Raw!F1077))&amp;":"&amp;IF(Raw!F1077="","",Raw!F1077)&amp;"|"&amp;LEN(IF(Raw!G1077="","",Raw!G1077))&amp;":"&amp;IF(Raw!G1077="","",Raw!G1077)</f>
        <v>6:L01071|6:T00536|10:2026-02-25|3:P-O|6:Office|4:sale|5:40.89</v>
      </c>
      <c r="Q1077" s="1">
        <f>1</f>
        <v>1</v>
      </c>
      <c r="R1077" s="1" t="b">
        <f>FALSE</f>
        <v>0</v>
      </c>
      <c r="S1077" s="1">
        <f>1</f>
        <v>1</v>
      </c>
      <c r="T1077" s="1" t="str">
        <f>IF(AND(Raw!A1077="",Raw!B1077="",Raw!C1077="",Raw!D1077="",Raw!E1077="",Raw!F1077="",Raw!G1077=""),"UNUSED",IF(A1077="","missing line ID",IF(B1077="","missing transaction ID",IF(G1077="",IF(C1077="","missing date","invalid date"),IF(I1077="","unknown product",IF(J1077="","conflicting category",IF(NOT(OR(EXACT(K1077,"sale"),EXACT(K1077,"refund"))),"unknown event",IF(OR(N1077="",NOT(O1077)),"invalid amount",IF(OR(AND(K1077="sale",N1077&lt;=0),AND(K1077="refund",N1077&gt;=0)),"invalid sign","")))))))))</f>
        <v/>
      </c>
      <c r="U1077" s="1" t="str">
        <f t="shared" si="133"/>
        <v>INCLUDED</v>
      </c>
      <c r="V1077" s="1" t="str">
        <f t="shared" si="134"/>
        <v>2026-02</v>
      </c>
      <c r="W1077" s="1">
        <f>IF(AND(U1077="INCLUDED",X1077&gt;0,EXACT(A1077,'AI output'!A1077)),1,0)</f>
        <v>1</v>
      </c>
      <c r="X1077" s="1">
        <f>1077</f>
        <v>1077</v>
      </c>
      <c r="Y1077" s="1">
        <f>IF(AND(U1077="INCLUDED",W1077=1),--(NOT(EXACT(A1077,'AI output'!A1077)))+--(NOT(EXACT(B1077,'AI output'!B1077)))+--(NOT(EXACT(TEXT(G1077,"yyyy-mm-dd"),'AI output'!C1077)))+--(NOT(EXACT(H1077,'AI output'!D1077)))+--(NOT(EXACT(J1077,'AI output'!E1077)))+--(NOT(EXACT(K1077,'AI output'!F1077)))+--(N1077&lt;&gt;'AI output'!L1077)+--(NOT('AI output'!M1077)),0)</f>
        <v>0</v>
      </c>
      <c r="Z1077" s="1">
        <f t="shared" si="135"/>
        <v>0</v>
      </c>
      <c r="AA1077" s="1">
        <f>--EXACT(A1077,"L01071")</f>
        <v>1</v>
      </c>
    </row>
    <row r="1078" spans="1:27" ht="18.95" customHeight="1">
      <c r="A1078" s="1" t="str">
        <f>IF(Raw!A1078="","",Raw!A1078)</f>
        <v>L01072</v>
      </c>
      <c r="B1078" s="1" t="str">
        <f>IF(Raw!B1078="","",Raw!B1078)</f>
        <v>T00536</v>
      </c>
      <c r="C1078" s="1" t="str">
        <f>IF(Raw!C1078="","",Raw!C1078)</f>
        <v>2026-02-25</v>
      </c>
      <c r="D1078" s="1">
        <f t="shared" si="128"/>
        <v>2026</v>
      </c>
      <c r="E1078" s="1">
        <f>IFERROR(IF(AND(LEN(C1078)=10,MID(C1078,5,1)="-",MID(C1078,8,1)="-"),VALUE(MID(C1078,6,2)),IF(AND(LEN(C1078)=11,MID(C1078,3,1)="-",MID(C1078,7,1)="-"),MATCH(UPPER(MID(C1078,4,3)),Guide!$D$7:$D$18,0),0)),0)</f>
        <v>2</v>
      </c>
      <c r="F1078" s="1">
        <f t="shared" si="129"/>
        <v>25</v>
      </c>
      <c r="G1078" s="9">
        <f t="shared" si="130"/>
        <v>46078</v>
      </c>
      <c r="H1078" s="1" t="str">
        <f>IF(Raw!D1078="","",Raw!D1078)</f>
        <v>P-A</v>
      </c>
      <c r="I1078" s="1" t="str">
        <f>IFERROR(IF(EXACT(H1078,INDEX(Guide!$A$7:$A$9,MATCH(SUBSTITUTE(SUBSTITUTE(SUBSTITUTE(H1078,"~","~~"),"*","~*"),"?","~?"),Guide!$A$7:$A$9,0))),INDEX(Guide!$B$7:$B$9,MATCH(SUBSTITUTE(SUBSTITUTE(SUBSTITUTE(H1078,"~","~~"),"*","~*"),"?","~?"),Guide!$A$7:$A$9,0)),""),"")</f>
        <v>Accessories</v>
      </c>
      <c r="J1078" s="1" t="str">
        <f>IF(TRIM(Raw!E1078)="",I1078,IF(UPPER(TRIM(Raw!E1078))=UPPER(I1078),I1078,""))</f>
        <v>Accessories</v>
      </c>
      <c r="K1078" s="1" t="str">
        <f>IF(Raw!F1078="","",Raw!F1078)</f>
        <v>sale</v>
      </c>
      <c r="L1078" s="1" t="str">
        <f>IF(LEFT(TRIM(Raw!G1078),2)="-$","-"&amp;MID(TRIM(Raw!G1078),3,99),IF(LEFT(TRIM(Raw!G1078),1)="$",MID(TRIM(Raw!G1078),2,99),TRIM(Raw!G1078)))</f>
        <v>123.78</v>
      </c>
      <c r="M1078" s="1">
        <f t="shared" si="131"/>
        <v>123.78</v>
      </c>
      <c r="N1078" s="10">
        <f t="shared" si="132"/>
        <v>12378</v>
      </c>
      <c r="O1078" s="1" t="b">
        <f>IFERROR(IF(ISNUMBER(Raw!G1078),TRUE,OR(EXACT(L1078,TEXT(M1078,"0.00")),EXACT(L1078,TEXT(M1078,"#,##0.00")))),FALSE)</f>
        <v>1</v>
      </c>
      <c r="P1078" s="1" t="str">
        <f>LEN(IF(Raw!A1078="","",Raw!A1078))&amp;":"&amp;IF(Raw!A1078="","",Raw!A1078)&amp;"|"&amp;LEN(IF(Raw!B1078="","",Raw!B1078))&amp;":"&amp;IF(Raw!B1078="","",Raw!B1078)&amp;"|"&amp;LEN(IF(Raw!C1078="","",Raw!C1078))&amp;":"&amp;IF(Raw!C1078="","",Raw!C1078)&amp;"|"&amp;LEN(IF(Raw!D1078="","",Raw!D1078))&amp;":"&amp;IF(Raw!D1078="","",Raw!D1078)&amp;"|"&amp;LEN(IF(Raw!E1078="","",Raw!E1078))&amp;":"&amp;IF(Raw!E1078="","",Raw!E1078)&amp;"|"&amp;LEN(IF(Raw!F1078="","",Raw!F1078))&amp;":"&amp;IF(Raw!F1078="","",Raw!F1078)&amp;"|"&amp;LEN(IF(Raw!G1078="","",Raw!G1078))&amp;":"&amp;IF(Raw!G1078="","",Raw!G1078)</f>
        <v>6:L01072|6:T00536|10:2026-02-25|3:P-A|11:Accessories|4:sale|6:123.78</v>
      </c>
      <c r="Q1078" s="1">
        <f>1</f>
        <v>1</v>
      </c>
      <c r="R1078" s="1" t="b">
        <f>FALSE</f>
        <v>0</v>
      </c>
      <c r="S1078" s="1">
        <f>1</f>
        <v>1</v>
      </c>
      <c r="T1078" s="1" t="str">
        <f>IF(AND(Raw!A1078="",Raw!B1078="",Raw!C1078="",Raw!D1078="",Raw!E1078="",Raw!F1078="",Raw!G1078=""),"UNUSED",IF(A1078="","missing line ID",IF(B1078="","missing transaction ID",IF(G1078="",IF(C1078="","missing date","invalid date"),IF(I1078="","unknown product",IF(J1078="","conflicting category",IF(NOT(OR(EXACT(K1078,"sale"),EXACT(K1078,"refund"))),"unknown event",IF(OR(N1078="",NOT(O1078)),"invalid amount",IF(OR(AND(K1078="sale",N1078&lt;=0),AND(K1078="refund",N1078&gt;=0)),"invalid sign","")))))))))</f>
        <v/>
      </c>
      <c r="U1078" s="1" t="str">
        <f t="shared" si="133"/>
        <v>INCLUDED</v>
      </c>
      <c r="V1078" s="1" t="str">
        <f t="shared" si="134"/>
        <v>2026-02</v>
      </c>
      <c r="W1078" s="1">
        <f>IF(AND(U1078="INCLUDED",X1078&gt;0,EXACT(A1078,'AI output'!A1078)),1,0)</f>
        <v>1</v>
      </c>
      <c r="X1078" s="1">
        <f>1078</f>
        <v>1078</v>
      </c>
      <c r="Y1078" s="1">
        <f>IF(AND(U1078="INCLUDED",W1078=1),--(NOT(EXACT(A1078,'AI output'!A1078)))+--(NOT(EXACT(B1078,'AI output'!B1078)))+--(NOT(EXACT(TEXT(G1078,"yyyy-mm-dd"),'AI output'!C1078)))+--(NOT(EXACT(H1078,'AI output'!D1078)))+--(NOT(EXACT(J1078,'AI output'!E1078)))+--(NOT(EXACT(K1078,'AI output'!F1078)))+--(N1078&lt;&gt;'AI output'!L1078)+--(NOT('AI output'!M1078)),0)</f>
        <v>0</v>
      </c>
      <c r="Z1078" s="1">
        <f t="shared" si="135"/>
        <v>0</v>
      </c>
      <c r="AA1078" s="1">
        <f>--EXACT(A1078,"L01072")</f>
        <v>1</v>
      </c>
    </row>
    <row r="1079" spans="1:27" ht="18.95" customHeight="1">
      <c r="A1079" s="1" t="str">
        <f>IF(Raw!A1079="","",Raw!A1079)</f>
        <v>L01073</v>
      </c>
      <c r="B1079" s="1" t="str">
        <f>IF(Raw!B1079="","",Raw!B1079)</f>
        <v>T00537</v>
      </c>
      <c r="C1079" s="1" t="str">
        <f>IF(Raw!C1079="","",Raw!C1079)</f>
        <v>2026-03-04</v>
      </c>
      <c r="D1079" s="1">
        <f t="shared" si="128"/>
        <v>2026</v>
      </c>
      <c r="E1079" s="1">
        <f>IFERROR(IF(AND(LEN(C1079)=10,MID(C1079,5,1)="-",MID(C1079,8,1)="-"),VALUE(MID(C1079,6,2)),IF(AND(LEN(C1079)=11,MID(C1079,3,1)="-",MID(C1079,7,1)="-"),MATCH(UPPER(MID(C1079,4,3)),Guide!$D$7:$D$18,0),0)),0)</f>
        <v>3</v>
      </c>
      <c r="F1079" s="1">
        <f t="shared" si="129"/>
        <v>4</v>
      </c>
      <c r="G1079" s="9">
        <f t="shared" si="130"/>
        <v>46085</v>
      </c>
      <c r="H1079" s="1" t="str">
        <f>IF(Raw!D1079="","",Raw!D1079)</f>
        <v>P-H</v>
      </c>
      <c r="I1079" s="1" t="str">
        <f>IFERROR(IF(EXACT(H1079,INDEX(Guide!$A$7:$A$9,MATCH(SUBSTITUTE(SUBSTITUTE(SUBSTITUTE(H1079,"~","~~"),"*","~*"),"?","~?"),Guide!$A$7:$A$9,0))),INDEX(Guide!$B$7:$B$9,MATCH(SUBSTITUTE(SUBSTITUTE(SUBSTITUTE(H1079,"~","~~"),"*","~*"),"?","~?"),Guide!$A$7:$A$9,0)),""),"")</f>
        <v>Home</v>
      </c>
      <c r="J1079" s="1" t="str">
        <f>IF(TRIM(Raw!E1079)="",I1079,IF(UPPER(TRIM(Raw!E1079))=UPPER(I1079),I1079,""))</f>
        <v>Home</v>
      </c>
      <c r="K1079" s="1" t="str">
        <f>IF(Raw!F1079="","",Raw!F1079)</f>
        <v>sale</v>
      </c>
      <c r="L1079" s="1" t="str">
        <f>IF(LEFT(TRIM(Raw!G1079),2)="-$","-"&amp;MID(TRIM(Raw!G1079),3,99),IF(LEFT(TRIM(Raw!G1079),1)="$",MID(TRIM(Raw!G1079),2,99),TRIM(Raw!G1079)))</f>
        <v>208.15</v>
      </c>
      <c r="M1079" s="1">
        <f t="shared" si="131"/>
        <v>208.15</v>
      </c>
      <c r="N1079" s="10">
        <f t="shared" si="132"/>
        <v>20815</v>
      </c>
      <c r="O1079" s="1" t="b">
        <f>IFERROR(IF(ISNUMBER(Raw!G1079),TRUE,OR(EXACT(L1079,TEXT(M1079,"0.00")),EXACT(L1079,TEXT(M1079,"#,##0.00")))),FALSE)</f>
        <v>1</v>
      </c>
      <c r="P1079" s="1" t="str">
        <f>LEN(IF(Raw!A1079="","",Raw!A1079))&amp;":"&amp;IF(Raw!A1079="","",Raw!A1079)&amp;"|"&amp;LEN(IF(Raw!B1079="","",Raw!B1079))&amp;":"&amp;IF(Raw!B1079="","",Raw!B1079)&amp;"|"&amp;LEN(IF(Raw!C1079="","",Raw!C1079))&amp;":"&amp;IF(Raw!C1079="","",Raw!C1079)&amp;"|"&amp;LEN(IF(Raw!D1079="","",Raw!D1079))&amp;":"&amp;IF(Raw!D1079="","",Raw!D1079)&amp;"|"&amp;LEN(IF(Raw!E1079="","",Raw!E1079))&amp;":"&amp;IF(Raw!E1079="","",Raw!E1079)&amp;"|"&amp;LEN(IF(Raw!F1079="","",Raw!F1079))&amp;":"&amp;IF(Raw!F1079="","",Raw!F1079)&amp;"|"&amp;LEN(IF(Raw!G1079="","",Raw!G1079))&amp;":"&amp;IF(Raw!G1079="","",Raw!G1079)</f>
        <v>6:L01073|6:T00537|10:2026-03-04|3:P-H|4:Home|4:sale|6:208.15</v>
      </c>
      <c r="Q1079" s="1">
        <f>1</f>
        <v>1</v>
      </c>
      <c r="R1079" s="1" t="b">
        <f>FALSE</f>
        <v>0</v>
      </c>
      <c r="S1079" s="1">
        <f>1</f>
        <v>1</v>
      </c>
      <c r="T1079" s="1" t="str">
        <f>IF(AND(Raw!A1079="",Raw!B1079="",Raw!C1079="",Raw!D1079="",Raw!E1079="",Raw!F1079="",Raw!G1079=""),"UNUSED",IF(A1079="","missing line ID",IF(B1079="","missing transaction ID",IF(G1079="",IF(C1079="","missing date","invalid date"),IF(I1079="","unknown product",IF(J1079="","conflicting category",IF(NOT(OR(EXACT(K1079,"sale"),EXACT(K1079,"refund"))),"unknown event",IF(OR(N1079="",NOT(O1079)),"invalid amount",IF(OR(AND(K1079="sale",N1079&lt;=0),AND(K1079="refund",N1079&gt;=0)),"invalid sign","")))))))))</f>
        <v/>
      </c>
      <c r="U1079" s="1" t="str">
        <f t="shared" si="133"/>
        <v>INCLUDED</v>
      </c>
      <c r="V1079" s="1" t="str">
        <f t="shared" si="134"/>
        <v>2026-03</v>
      </c>
      <c r="W1079" s="1">
        <f>IF(AND(U1079="INCLUDED",X1079&gt;0,EXACT(A1079,'AI output'!A1079)),1,0)</f>
        <v>1</v>
      </c>
      <c r="X1079" s="1">
        <f>1079</f>
        <v>1079</v>
      </c>
      <c r="Y1079" s="1">
        <f>IF(AND(U1079="INCLUDED",W1079=1),--(NOT(EXACT(A1079,'AI output'!A1079)))+--(NOT(EXACT(B1079,'AI output'!B1079)))+--(NOT(EXACT(TEXT(G1079,"yyyy-mm-dd"),'AI output'!C1079)))+--(NOT(EXACT(H1079,'AI output'!D1079)))+--(NOT(EXACT(J1079,'AI output'!E1079)))+--(NOT(EXACT(K1079,'AI output'!F1079)))+--(N1079&lt;&gt;'AI output'!L1079)+--(NOT('AI output'!M1079)),0)</f>
        <v>0</v>
      </c>
      <c r="Z1079" s="1">
        <f t="shared" si="135"/>
        <v>0</v>
      </c>
      <c r="AA1079" s="1">
        <f>--EXACT(A1079,"L01073")</f>
        <v>1</v>
      </c>
    </row>
    <row r="1080" spans="1:27" ht="18.95" customHeight="1">
      <c r="A1080" s="1" t="str">
        <f>IF(Raw!A1080="","",Raw!A1080)</f>
        <v>L01074</v>
      </c>
      <c r="B1080" s="1" t="str">
        <f>IF(Raw!B1080="","",Raw!B1080)</f>
        <v>T00537</v>
      </c>
      <c r="C1080" s="1" t="str">
        <f>IF(Raw!C1080="","",Raw!C1080)</f>
        <v>2026-03-04</v>
      </c>
      <c r="D1080" s="1">
        <f t="shared" si="128"/>
        <v>2026</v>
      </c>
      <c r="E1080" s="1">
        <f>IFERROR(IF(AND(LEN(C1080)=10,MID(C1080,5,1)="-",MID(C1080,8,1)="-"),VALUE(MID(C1080,6,2)),IF(AND(LEN(C1080)=11,MID(C1080,3,1)="-",MID(C1080,7,1)="-"),MATCH(UPPER(MID(C1080,4,3)),Guide!$D$7:$D$18,0),0)),0)</f>
        <v>3</v>
      </c>
      <c r="F1080" s="1">
        <f t="shared" si="129"/>
        <v>4</v>
      </c>
      <c r="G1080" s="9">
        <f t="shared" si="130"/>
        <v>46085</v>
      </c>
      <c r="H1080" s="1" t="str">
        <f>IF(Raw!D1080="","",Raw!D1080)</f>
        <v>P-O</v>
      </c>
      <c r="I1080" s="1" t="str">
        <f>IFERROR(IF(EXACT(H1080,INDEX(Guide!$A$7:$A$9,MATCH(SUBSTITUTE(SUBSTITUTE(SUBSTITUTE(H1080,"~","~~"),"*","~*"),"?","~?"),Guide!$A$7:$A$9,0))),INDEX(Guide!$B$7:$B$9,MATCH(SUBSTITUTE(SUBSTITUTE(SUBSTITUTE(H1080,"~","~~"),"*","~*"),"?","~?"),Guide!$A$7:$A$9,0)),""),"")</f>
        <v>Office</v>
      </c>
      <c r="J1080" s="1" t="str">
        <f>IF(TRIM(Raw!E1080)="",I1080,IF(UPPER(TRIM(Raw!E1080))=UPPER(I1080),I1080,""))</f>
        <v>Office</v>
      </c>
      <c r="K1080" s="1" t="str">
        <f>IF(Raw!F1080="","",Raw!F1080)</f>
        <v>sale</v>
      </c>
      <c r="L1080" s="1" t="str">
        <f>IF(LEFT(TRIM(Raw!G1080),2)="-$","-"&amp;MID(TRIM(Raw!G1080),3,99),IF(LEFT(TRIM(Raw!G1080),1)="$",MID(TRIM(Raw!G1080),2,99),TRIM(Raw!G1080)))</f>
        <v>84.00</v>
      </c>
      <c r="M1080" s="1">
        <f t="shared" si="131"/>
        <v>84</v>
      </c>
      <c r="N1080" s="10">
        <f t="shared" si="132"/>
        <v>8400</v>
      </c>
      <c r="O1080" s="1" t="b">
        <f>IFERROR(IF(ISNUMBER(Raw!G1080),TRUE,OR(EXACT(L1080,TEXT(M1080,"0.00")),EXACT(L1080,TEXT(M1080,"#,##0.00")))),FALSE)</f>
        <v>1</v>
      </c>
      <c r="P1080" s="1" t="str">
        <f>LEN(IF(Raw!A1080="","",Raw!A1080))&amp;":"&amp;IF(Raw!A1080="","",Raw!A1080)&amp;"|"&amp;LEN(IF(Raw!B1080="","",Raw!B1080))&amp;":"&amp;IF(Raw!B1080="","",Raw!B1080)&amp;"|"&amp;LEN(IF(Raw!C1080="","",Raw!C1080))&amp;":"&amp;IF(Raw!C1080="","",Raw!C1080)&amp;"|"&amp;LEN(IF(Raw!D1080="","",Raw!D1080))&amp;":"&amp;IF(Raw!D1080="","",Raw!D1080)&amp;"|"&amp;LEN(IF(Raw!E1080="","",Raw!E1080))&amp;":"&amp;IF(Raw!E1080="","",Raw!E1080)&amp;"|"&amp;LEN(IF(Raw!F1080="","",Raw!F1080))&amp;":"&amp;IF(Raw!F1080="","",Raw!F1080)&amp;"|"&amp;LEN(IF(Raw!G1080="","",Raw!G1080))&amp;":"&amp;IF(Raw!G1080="","",Raw!G1080)</f>
        <v>6:L01074|6:T00537|10:2026-03-04|3:P-O|6:Office|4:sale|5:84.00</v>
      </c>
      <c r="Q1080" s="1">
        <f>1</f>
        <v>1</v>
      </c>
      <c r="R1080" s="1" t="b">
        <f>FALSE</f>
        <v>0</v>
      </c>
      <c r="S1080" s="1">
        <f>1</f>
        <v>1</v>
      </c>
      <c r="T1080" s="1" t="str">
        <f>IF(AND(Raw!A1080="",Raw!B1080="",Raw!C1080="",Raw!D1080="",Raw!E1080="",Raw!F1080="",Raw!G1080=""),"UNUSED",IF(A1080="","missing line ID",IF(B1080="","missing transaction ID",IF(G1080="",IF(C1080="","missing date","invalid date"),IF(I1080="","unknown product",IF(J1080="","conflicting category",IF(NOT(OR(EXACT(K1080,"sale"),EXACT(K1080,"refund"))),"unknown event",IF(OR(N1080="",NOT(O1080)),"invalid amount",IF(OR(AND(K1080="sale",N1080&lt;=0),AND(K1080="refund",N1080&gt;=0)),"invalid sign","")))))))))</f>
        <v/>
      </c>
      <c r="U1080" s="1" t="str">
        <f t="shared" si="133"/>
        <v>INCLUDED</v>
      </c>
      <c r="V1080" s="1" t="str">
        <f t="shared" si="134"/>
        <v>2026-03</v>
      </c>
      <c r="W1080" s="1">
        <f>IF(AND(U1080="INCLUDED",X1080&gt;0,EXACT(A1080,'AI output'!A1080)),1,0)</f>
        <v>1</v>
      </c>
      <c r="X1080" s="1">
        <f>1080</f>
        <v>1080</v>
      </c>
      <c r="Y1080" s="1">
        <f>IF(AND(U1080="INCLUDED",W1080=1),--(NOT(EXACT(A1080,'AI output'!A1080)))+--(NOT(EXACT(B1080,'AI output'!B1080)))+--(NOT(EXACT(TEXT(G1080,"yyyy-mm-dd"),'AI output'!C1080)))+--(NOT(EXACT(H1080,'AI output'!D1080)))+--(NOT(EXACT(J1080,'AI output'!E1080)))+--(NOT(EXACT(K1080,'AI output'!F1080)))+--(N1080&lt;&gt;'AI output'!L1080)+--(NOT('AI output'!M1080)),0)</f>
        <v>0</v>
      </c>
      <c r="Z1080" s="1">
        <f t="shared" si="135"/>
        <v>0</v>
      </c>
      <c r="AA1080" s="1">
        <f>--EXACT(A1080,"L01074")</f>
        <v>1</v>
      </c>
    </row>
    <row r="1081" spans="1:27" ht="18.95" customHeight="1">
      <c r="A1081" s="1" t="str">
        <f>IF(Raw!A1081="","",Raw!A1081)</f>
        <v>L01075</v>
      </c>
      <c r="B1081" s="1" t="str">
        <f>IF(Raw!B1081="","",Raw!B1081)</f>
        <v>T00538</v>
      </c>
      <c r="C1081" s="1" t="str">
        <f>IF(Raw!C1081="","",Raw!C1081)</f>
        <v>2026-03-11</v>
      </c>
      <c r="D1081" s="1">
        <f t="shared" si="128"/>
        <v>2026</v>
      </c>
      <c r="E1081" s="1">
        <f>IFERROR(IF(AND(LEN(C1081)=10,MID(C1081,5,1)="-",MID(C1081,8,1)="-"),VALUE(MID(C1081,6,2)),IF(AND(LEN(C1081)=11,MID(C1081,3,1)="-",MID(C1081,7,1)="-"),MATCH(UPPER(MID(C1081,4,3)),Guide!$D$7:$D$18,0),0)),0)</f>
        <v>3</v>
      </c>
      <c r="F1081" s="1">
        <f t="shared" si="129"/>
        <v>11</v>
      </c>
      <c r="G1081" s="9">
        <f t="shared" si="130"/>
        <v>46092</v>
      </c>
      <c r="H1081" s="1" t="str">
        <f>IF(Raw!D1081="","",Raw!D1081)</f>
        <v>P-A</v>
      </c>
      <c r="I1081" s="1" t="str">
        <f>IFERROR(IF(EXACT(H1081,INDEX(Guide!$A$7:$A$9,MATCH(SUBSTITUTE(SUBSTITUTE(SUBSTITUTE(H1081,"~","~~"),"*","~*"),"?","~?"),Guide!$A$7:$A$9,0))),INDEX(Guide!$B$7:$B$9,MATCH(SUBSTITUTE(SUBSTITUTE(SUBSTITUTE(H1081,"~","~~"),"*","~*"),"?","~?"),Guide!$A$7:$A$9,0)),""),"")</f>
        <v>Accessories</v>
      </c>
      <c r="J1081" s="1" t="str">
        <f>IF(TRIM(Raw!E1081)="",I1081,IF(UPPER(TRIM(Raw!E1081))=UPPER(I1081),I1081,""))</f>
        <v>Accessories</v>
      </c>
      <c r="K1081" s="1" t="str">
        <f>IF(Raw!F1081="","",Raw!F1081)</f>
        <v>sale</v>
      </c>
      <c r="L1081" s="1" t="str">
        <f>IF(LEFT(TRIM(Raw!G1081),2)="-$","-"&amp;MID(TRIM(Raw!G1081),3,99),IF(LEFT(TRIM(Raw!G1081),1)="$",MID(TRIM(Raw!G1081),2,99),TRIM(Raw!G1081)))</f>
        <v>169.48</v>
      </c>
      <c r="M1081" s="1">
        <f t="shared" si="131"/>
        <v>169.48</v>
      </c>
      <c r="N1081" s="10">
        <f t="shared" si="132"/>
        <v>16948</v>
      </c>
      <c r="O1081" s="1" t="b">
        <f>IFERROR(IF(ISNUMBER(Raw!G1081),TRUE,OR(EXACT(L1081,TEXT(M1081,"0.00")),EXACT(L1081,TEXT(M1081,"#,##0.00")))),FALSE)</f>
        <v>1</v>
      </c>
      <c r="P1081" s="1" t="str">
        <f>LEN(IF(Raw!A1081="","",Raw!A1081))&amp;":"&amp;IF(Raw!A1081="","",Raw!A1081)&amp;"|"&amp;LEN(IF(Raw!B1081="","",Raw!B1081))&amp;":"&amp;IF(Raw!B1081="","",Raw!B1081)&amp;"|"&amp;LEN(IF(Raw!C1081="","",Raw!C1081))&amp;":"&amp;IF(Raw!C1081="","",Raw!C1081)&amp;"|"&amp;LEN(IF(Raw!D1081="","",Raw!D1081))&amp;":"&amp;IF(Raw!D1081="","",Raw!D1081)&amp;"|"&amp;LEN(IF(Raw!E1081="","",Raw!E1081))&amp;":"&amp;IF(Raw!E1081="","",Raw!E1081)&amp;"|"&amp;LEN(IF(Raw!F1081="","",Raw!F1081))&amp;":"&amp;IF(Raw!F1081="","",Raw!F1081)&amp;"|"&amp;LEN(IF(Raw!G1081="","",Raw!G1081))&amp;":"&amp;IF(Raw!G1081="","",Raw!G1081)</f>
        <v>6:L01075|6:T00538|10:2026-03-11|3:P-A|11:Accessories|4:sale|6:169.48</v>
      </c>
      <c r="Q1081" s="1">
        <f>1</f>
        <v>1</v>
      </c>
      <c r="R1081" s="1" t="b">
        <f>FALSE</f>
        <v>0</v>
      </c>
      <c r="S1081" s="1">
        <f>1</f>
        <v>1</v>
      </c>
      <c r="T1081" s="1" t="str">
        <f>IF(AND(Raw!A1081="",Raw!B1081="",Raw!C1081="",Raw!D1081="",Raw!E1081="",Raw!F1081="",Raw!G1081=""),"UNUSED",IF(A1081="","missing line ID",IF(B1081="","missing transaction ID",IF(G1081="",IF(C1081="","missing date","invalid date"),IF(I1081="","unknown product",IF(J1081="","conflicting category",IF(NOT(OR(EXACT(K1081,"sale"),EXACT(K1081,"refund"))),"unknown event",IF(OR(N1081="",NOT(O1081)),"invalid amount",IF(OR(AND(K1081="sale",N1081&lt;=0),AND(K1081="refund",N1081&gt;=0)),"invalid sign","")))))))))</f>
        <v/>
      </c>
      <c r="U1081" s="1" t="str">
        <f t="shared" si="133"/>
        <v>INCLUDED</v>
      </c>
      <c r="V1081" s="1" t="str">
        <f t="shared" si="134"/>
        <v>2026-03</v>
      </c>
      <c r="W1081" s="1">
        <f>IF(AND(U1081="INCLUDED",X1081&gt;0,EXACT(A1081,'AI output'!A1081)),1,0)</f>
        <v>1</v>
      </c>
      <c r="X1081" s="1">
        <f>1081</f>
        <v>1081</v>
      </c>
      <c r="Y1081" s="1">
        <f>IF(AND(U1081="INCLUDED",W1081=1),--(NOT(EXACT(A1081,'AI output'!A1081)))+--(NOT(EXACT(B1081,'AI output'!B1081)))+--(NOT(EXACT(TEXT(G1081,"yyyy-mm-dd"),'AI output'!C1081)))+--(NOT(EXACT(H1081,'AI output'!D1081)))+--(NOT(EXACT(J1081,'AI output'!E1081)))+--(NOT(EXACT(K1081,'AI output'!F1081)))+--(N1081&lt;&gt;'AI output'!L1081)+--(NOT('AI output'!M1081)),0)</f>
        <v>0</v>
      </c>
      <c r="Z1081" s="1">
        <f t="shared" si="135"/>
        <v>0</v>
      </c>
      <c r="AA1081" s="1">
        <f>--EXACT(A1081,"L01075")</f>
        <v>1</v>
      </c>
    </row>
    <row r="1082" spans="1:27" ht="18.95" customHeight="1">
      <c r="A1082" s="1" t="str">
        <f>IF(Raw!A1082="","",Raw!A1082)</f>
        <v>L01076</v>
      </c>
      <c r="B1082" s="1" t="str">
        <f>IF(Raw!B1082="","",Raw!B1082)</f>
        <v>T00538</v>
      </c>
      <c r="C1082" s="1" t="str">
        <f>IF(Raw!C1082="","",Raw!C1082)</f>
        <v>2026-03-11</v>
      </c>
      <c r="D1082" s="1">
        <f t="shared" si="128"/>
        <v>2026</v>
      </c>
      <c r="E1082" s="1">
        <f>IFERROR(IF(AND(LEN(C1082)=10,MID(C1082,5,1)="-",MID(C1082,8,1)="-"),VALUE(MID(C1082,6,2)),IF(AND(LEN(C1082)=11,MID(C1082,3,1)="-",MID(C1082,7,1)="-"),MATCH(UPPER(MID(C1082,4,3)),Guide!$D$7:$D$18,0),0)),0)</f>
        <v>3</v>
      </c>
      <c r="F1082" s="1">
        <f t="shared" si="129"/>
        <v>11</v>
      </c>
      <c r="G1082" s="9">
        <f t="shared" si="130"/>
        <v>46092</v>
      </c>
      <c r="H1082" s="1" t="str">
        <f>IF(Raw!D1082="","",Raw!D1082)</f>
        <v>P-H</v>
      </c>
      <c r="I1082" s="1" t="str">
        <f>IFERROR(IF(EXACT(H1082,INDEX(Guide!$A$7:$A$9,MATCH(SUBSTITUTE(SUBSTITUTE(SUBSTITUTE(H1082,"~","~~"),"*","~*"),"?","~?"),Guide!$A$7:$A$9,0))),INDEX(Guide!$B$7:$B$9,MATCH(SUBSTITUTE(SUBSTITUTE(SUBSTITUTE(H1082,"~","~~"),"*","~*"),"?","~?"),Guide!$A$7:$A$9,0)),""),"")</f>
        <v>Home</v>
      </c>
      <c r="J1082" s="1" t="str">
        <f>IF(TRIM(Raw!E1082)="",I1082,IF(UPPER(TRIM(Raw!E1082))=UPPER(I1082),I1082,""))</f>
        <v>Home</v>
      </c>
      <c r="K1082" s="1" t="str">
        <f>IF(Raw!F1082="","",Raw!F1082)</f>
        <v>sale</v>
      </c>
      <c r="L1082" s="1" t="str">
        <f>IF(LEFT(TRIM(Raw!G1082),2)="-$","-"&amp;MID(TRIM(Raw!G1082),3,99),IF(LEFT(TRIM(Raw!G1082),1)="$",MID(TRIM(Raw!G1082),2,99),TRIM(Raw!G1082)))</f>
        <v>42.74</v>
      </c>
      <c r="M1082" s="1">
        <f t="shared" si="131"/>
        <v>42.74</v>
      </c>
      <c r="N1082" s="10">
        <f t="shared" si="132"/>
        <v>4274</v>
      </c>
      <c r="O1082" s="1" t="b">
        <f>IFERROR(IF(ISNUMBER(Raw!G1082),TRUE,OR(EXACT(L1082,TEXT(M1082,"0.00")),EXACT(L1082,TEXT(M1082,"#,##0.00")))),FALSE)</f>
        <v>1</v>
      </c>
      <c r="P1082" s="1" t="str">
        <f>LEN(IF(Raw!A1082="","",Raw!A1082))&amp;":"&amp;IF(Raw!A1082="","",Raw!A1082)&amp;"|"&amp;LEN(IF(Raw!B1082="","",Raw!B1082))&amp;":"&amp;IF(Raw!B1082="","",Raw!B1082)&amp;"|"&amp;LEN(IF(Raw!C1082="","",Raw!C1082))&amp;":"&amp;IF(Raw!C1082="","",Raw!C1082)&amp;"|"&amp;LEN(IF(Raw!D1082="","",Raw!D1082))&amp;":"&amp;IF(Raw!D1082="","",Raw!D1082)&amp;"|"&amp;LEN(IF(Raw!E1082="","",Raw!E1082))&amp;":"&amp;IF(Raw!E1082="","",Raw!E1082)&amp;"|"&amp;LEN(IF(Raw!F1082="","",Raw!F1082))&amp;":"&amp;IF(Raw!F1082="","",Raw!F1082)&amp;"|"&amp;LEN(IF(Raw!G1082="","",Raw!G1082))&amp;":"&amp;IF(Raw!G1082="","",Raw!G1082)</f>
        <v>6:L01076|6:T00538|10:2026-03-11|3:P-H|4:Home|4:sale|5:42.74</v>
      </c>
      <c r="Q1082" s="1">
        <f>1</f>
        <v>1</v>
      </c>
      <c r="R1082" s="1" t="b">
        <f>FALSE</f>
        <v>0</v>
      </c>
      <c r="S1082" s="1">
        <f>1</f>
        <v>1</v>
      </c>
      <c r="T1082" s="1" t="str">
        <f>IF(AND(Raw!A1082="",Raw!B1082="",Raw!C1082="",Raw!D1082="",Raw!E1082="",Raw!F1082="",Raw!G1082=""),"UNUSED",IF(A1082="","missing line ID",IF(B1082="","missing transaction ID",IF(G1082="",IF(C1082="","missing date","invalid date"),IF(I1082="","unknown product",IF(J1082="","conflicting category",IF(NOT(OR(EXACT(K1082,"sale"),EXACT(K1082,"refund"))),"unknown event",IF(OR(N1082="",NOT(O1082)),"invalid amount",IF(OR(AND(K1082="sale",N1082&lt;=0),AND(K1082="refund",N1082&gt;=0)),"invalid sign","")))))))))</f>
        <v/>
      </c>
      <c r="U1082" s="1" t="str">
        <f t="shared" si="133"/>
        <v>INCLUDED</v>
      </c>
      <c r="V1082" s="1" t="str">
        <f t="shared" si="134"/>
        <v>2026-03</v>
      </c>
      <c r="W1082" s="1">
        <f>IF(AND(U1082="INCLUDED",X1082&gt;0,EXACT(A1082,'AI output'!A1082)),1,0)</f>
        <v>1</v>
      </c>
      <c r="X1082" s="1">
        <f>1082</f>
        <v>1082</v>
      </c>
      <c r="Y1082" s="1">
        <f>IF(AND(U1082="INCLUDED",W1082=1),--(NOT(EXACT(A1082,'AI output'!A1082)))+--(NOT(EXACT(B1082,'AI output'!B1082)))+--(NOT(EXACT(TEXT(G1082,"yyyy-mm-dd"),'AI output'!C1082)))+--(NOT(EXACT(H1082,'AI output'!D1082)))+--(NOT(EXACT(J1082,'AI output'!E1082)))+--(NOT(EXACT(K1082,'AI output'!F1082)))+--(N1082&lt;&gt;'AI output'!L1082)+--(NOT('AI output'!M1082)),0)</f>
        <v>0</v>
      </c>
      <c r="Z1082" s="1">
        <f t="shared" si="135"/>
        <v>0</v>
      </c>
      <c r="AA1082" s="1">
        <f>--EXACT(A1082,"L01076")</f>
        <v>1</v>
      </c>
    </row>
    <row r="1083" spans="1:27" ht="18.95" customHeight="1">
      <c r="A1083" s="1" t="str">
        <f>IF(Raw!A1083="","",Raw!A1083)</f>
        <v>L01077</v>
      </c>
      <c r="B1083" s="1" t="str">
        <f>IF(Raw!B1083="","",Raw!B1083)</f>
        <v>T00539</v>
      </c>
      <c r="C1083" s="1" t="str">
        <f>IF(Raw!C1083="","",Raw!C1083)</f>
        <v>2026-03-18</v>
      </c>
      <c r="D1083" s="1">
        <f t="shared" si="128"/>
        <v>2026</v>
      </c>
      <c r="E1083" s="1">
        <f>IFERROR(IF(AND(LEN(C1083)=10,MID(C1083,5,1)="-",MID(C1083,8,1)="-"),VALUE(MID(C1083,6,2)),IF(AND(LEN(C1083)=11,MID(C1083,3,1)="-",MID(C1083,7,1)="-"),MATCH(UPPER(MID(C1083,4,3)),Guide!$D$7:$D$18,0),0)),0)</f>
        <v>3</v>
      </c>
      <c r="F1083" s="1">
        <f t="shared" si="129"/>
        <v>18</v>
      </c>
      <c r="G1083" s="9">
        <f t="shared" si="130"/>
        <v>46099</v>
      </c>
      <c r="H1083" s="1" t="str">
        <f>IF(Raw!D1083="","",Raw!D1083)</f>
        <v>P-O</v>
      </c>
      <c r="I1083" s="1" t="str">
        <f>IFERROR(IF(EXACT(H1083,INDEX(Guide!$A$7:$A$9,MATCH(SUBSTITUTE(SUBSTITUTE(SUBSTITUTE(H1083,"~","~~"),"*","~*"),"?","~?"),Guide!$A$7:$A$9,0))),INDEX(Guide!$B$7:$B$9,MATCH(SUBSTITUTE(SUBSTITUTE(SUBSTITUTE(H1083,"~","~~"),"*","~*"),"?","~?"),Guide!$A$7:$A$9,0)),""),"")</f>
        <v>Office</v>
      </c>
      <c r="J1083" s="1" t="str">
        <f>IF(TRIM(Raw!E1083)="",I1083,IF(UPPER(TRIM(Raw!E1083))=UPPER(I1083),I1083,""))</f>
        <v>Office</v>
      </c>
      <c r="K1083" s="1" t="str">
        <f>IF(Raw!F1083="","",Raw!F1083)</f>
        <v>sale</v>
      </c>
      <c r="L1083" s="1" t="str">
        <f>IF(LEFT(TRIM(Raw!G1083),2)="-$","-"&amp;MID(TRIM(Raw!G1083),3,99),IF(LEFT(TRIM(Raw!G1083),1)="$",MID(TRIM(Raw!G1083),2,99),TRIM(Raw!G1083)))</f>
        <v>129.33</v>
      </c>
      <c r="M1083" s="1">
        <f t="shared" si="131"/>
        <v>129.33000000000001</v>
      </c>
      <c r="N1083" s="10">
        <f t="shared" si="132"/>
        <v>12933</v>
      </c>
      <c r="O1083" s="1" t="b">
        <f>IFERROR(IF(ISNUMBER(Raw!G1083),TRUE,OR(EXACT(L1083,TEXT(M1083,"0.00")),EXACT(L1083,TEXT(M1083,"#,##0.00")))),FALSE)</f>
        <v>1</v>
      </c>
      <c r="P1083" s="1" t="str">
        <f>LEN(IF(Raw!A1083="","",Raw!A1083))&amp;":"&amp;IF(Raw!A1083="","",Raw!A1083)&amp;"|"&amp;LEN(IF(Raw!B1083="","",Raw!B1083))&amp;":"&amp;IF(Raw!B1083="","",Raw!B1083)&amp;"|"&amp;LEN(IF(Raw!C1083="","",Raw!C1083))&amp;":"&amp;IF(Raw!C1083="","",Raw!C1083)&amp;"|"&amp;LEN(IF(Raw!D1083="","",Raw!D1083))&amp;":"&amp;IF(Raw!D1083="","",Raw!D1083)&amp;"|"&amp;LEN(IF(Raw!E1083="","",Raw!E1083))&amp;":"&amp;IF(Raw!E1083="","",Raw!E1083)&amp;"|"&amp;LEN(IF(Raw!F1083="","",Raw!F1083))&amp;":"&amp;IF(Raw!F1083="","",Raw!F1083)&amp;"|"&amp;LEN(IF(Raw!G1083="","",Raw!G1083))&amp;":"&amp;IF(Raw!G1083="","",Raw!G1083)</f>
        <v>6:L01077|6:T00539|10:2026-03-18|3:P-O|6:Office|4:sale|6:129.33</v>
      </c>
      <c r="Q1083" s="1">
        <f>1</f>
        <v>1</v>
      </c>
      <c r="R1083" s="1" t="b">
        <f>FALSE</f>
        <v>0</v>
      </c>
      <c r="S1083" s="1">
        <f>1</f>
        <v>1</v>
      </c>
      <c r="T1083" s="1" t="str">
        <f>IF(AND(Raw!A1083="",Raw!B1083="",Raw!C1083="",Raw!D1083="",Raw!E1083="",Raw!F1083="",Raw!G1083=""),"UNUSED",IF(A1083="","missing line ID",IF(B1083="","missing transaction ID",IF(G1083="",IF(C1083="","missing date","invalid date"),IF(I1083="","unknown product",IF(J1083="","conflicting category",IF(NOT(OR(EXACT(K1083,"sale"),EXACT(K1083,"refund"))),"unknown event",IF(OR(N1083="",NOT(O1083)),"invalid amount",IF(OR(AND(K1083="sale",N1083&lt;=0),AND(K1083="refund",N1083&gt;=0)),"invalid sign","")))))))))</f>
        <v/>
      </c>
      <c r="U1083" s="1" t="str">
        <f t="shared" si="133"/>
        <v>INCLUDED</v>
      </c>
      <c r="V1083" s="1" t="str">
        <f t="shared" si="134"/>
        <v>2026-03</v>
      </c>
      <c r="W1083" s="1">
        <f>IF(AND(U1083="INCLUDED",X1083&gt;0,EXACT(A1083,'AI output'!A1083)),1,0)</f>
        <v>1</v>
      </c>
      <c r="X1083" s="1">
        <f>1083</f>
        <v>1083</v>
      </c>
      <c r="Y1083" s="1">
        <f>IF(AND(U1083="INCLUDED",W1083=1),--(NOT(EXACT(A1083,'AI output'!A1083)))+--(NOT(EXACT(B1083,'AI output'!B1083)))+--(NOT(EXACT(TEXT(G1083,"yyyy-mm-dd"),'AI output'!C1083)))+--(NOT(EXACT(H1083,'AI output'!D1083)))+--(NOT(EXACT(J1083,'AI output'!E1083)))+--(NOT(EXACT(K1083,'AI output'!F1083)))+--(N1083&lt;&gt;'AI output'!L1083)+--(NOT('AI output'!M1083)),0)</f>
        <v>0</v>
      </c>
      <c r="Z1083" s="1">
        <f t="shared" si="135"/>
        <v>0</v>
      </c>
      <c r="AA1083" s="1">
        <f>--EXACT(A1083,"L01077")</f>
        <v>1</v>
      </c>
    </row>
    <row r="1084" spans="1:27" ht="18.95" customHeight="1">
      <c r="A1084" s="1" t="str">
        <f>IF(Raw!A1084="","",Raw!A1084)</f>
        <v>L01078</v>
      </c>
      <c r="B1084" s="1" t="str">
        <f>IF(Raw!B1084="","",Raw!B1084)</f>
        <v>T00539</v>
      </c>
      <c r="C1084" s="1" t="str">
        <f>IF(Raw!C1084="","",Raw!C1084)</f>
        <v>2026-03-18</v>
      </c>
      <c r="D1084" s="1">
        <f t="shared" si="128"/>
        <v>2026</v>
      </c>
      <c r="E1084" s="1">
        <f>IFERROR(IF(AND(LEN(C1084)=10,MID(C1084,5,1)="-",MID(C1084,8,1)="-"),VALUE(MID(C1084,6,2)),IF(AND(LEN(C1084)=11,MID(C1084,3,1)="-",MID(C1084,7,1)="-"),MATCH(UPPER(MID(C1084,4,3)),Guide!$D$7:$D$18,0),0)),0)</f>
        <v>3</v>
      </c>
      <c r="F1084" s="1">
        <f t="shared" si="129"/>
        <v>18</v>
      </c>
      <c r="G1084" s="9">
        <f t="shared" si="130"/>
        <v>46099</v>
      </c>
      <c r="H1084" s="1" t="str">
        <f>IF(Raw!D1084="","",Raw!D1084)</f>
        <v>P-A</v>
      </c>
      <c r="I1084" s="1" t="str">
        <f>IFERROR(IF(EXACT(H1084,INDEX(Guide!$A$7:$A$9,MATCH(SUBSTITUTE(SUBSTITUTE(SUBSTITUTE(H1084,"~","~~"),"*","~*"),"?","~?"),Guide!$A$7:$A$9,0))),INDEX(Guide!$B$7:$B$9,MATCH(SUBSTITUTE(SUBSTITUTE(SUBSTITUTE(H1084,"~","~~"),"*","~*"),"?","~?"),Guide!$A$7:$A$9,0)),""),"")</f>
        <v>Accessories</v>
      </c>
      <c r="J1084" s="1" t="str">
        <f>IF(TRIM(Raw!E1084)="",I1084,IF(UPPER(TRIM(Raw!E1084))=UPPER(I1084),I1084,""))</f>
        <v>Accessories</v>
      </c>
      <c r="K1084" s="1" t="str">
        <f>IF(Raw!F1084="","",Raw!F1084)</f>
        <v>sale</v>
      </c>
      <c r="L1084" s="1" t="str">
        <f>IF(LEFT(TRIM(Raw!G1084),2)="-$","-"&amp;MID(TRIM(Raw!G1084),3,99),IF(LEFT(TRIM(Raw!G1084),1)="$",MID(TRIM(Raw!G1084),2,99),TRIM(Raw!G1084)))</f>
        <v>217.40</v>
      </c>
      <c r="M1084" s="1">
        <f t="shared" si="131"/>
        <v>217.4</v>
      </c>
      <c r="N1084" s="10">
        <f t="shared" si="132"/>
        <v>21740</v>
      </c>
      <c r="O1084" s="1" t="b">
        <f>IFERROR(IF(ISNUMBER(Raw!G1084),TRUE,OR(EXACT(L1084,TEXT(M1084,"0.00")),EXACT(L1084,TEXT(M1084,"#,##0.00")))),FALSE)</f>
        <v>1</v>
      </c>
      <c r="P1084" s="1" t="str">
        <f>LEN(IF(Raw!A1084="","",Raw!A1084))&amp;":"&amp;IF(Raw!A1084="","",Raw!A1084)&amp;"|"&amp;LEN(IF(Raw!B1084="","",Raw!B1084))&amp;":"&amp;IF(Raw!B1084="","",Raw!B1084)&amp;"|"&amp;LEN(IF(Raw!C1084="","",Raw!C1084))&amp;":"&amp;IF(Raw!C1084="","",Raw!C1084)&amp;"|"&amp;LEN(IF(Raw!D1084="","",Raw!D1084))&amp;":"&amp;IF(Raw!D1084="","",Raw!D1084)&amp;"|"&amp;LEN(IF(Raw!E1084="","",Raw!E1084))&amp;":"&amp;IF(Raw!E1084="","",Raw!E1084)&amp;"|"&amp;LEN(IF(Raw!F1084="","",Raw!F1084))&amp;":"&amp;IF(Raw!F1084="","",Raw!F1084)&amp;"|"&amp;LEN(IF(Raw!G1084="","",Raw!G1084))&amp;":"&amp;IF(Raw!G1084="","",Raw!G1084)</f>
        <v>6:L01078|6:T00539|10:2026-03-18|3:P-A|11:Accessories|4:sale|6:217.40</v>
      </c>
      <c r="Q1084" s="1">
        <f>1</f>
        <v>1</v>
      </c>
      <c r="R1084" s="1" t="b">
        <f>FALSE</f>
        <v>0</v>
      </c>
      <c r="S1084" s="1">
        <f>1</f>
        <v>1</v>
      </c>
      <c r="T1084" s="1" t="str">
        <f>IF(AND(Raw!A1084="",Raw!B1084="",Raw!C1084="",Raw!D1084="",Raw!E1084="",Raw!F1084="",Raw!G1084=""),"UNUSED",IF(A1084="","missing line ID",IF(B1084="","missing transaction ID",IF(G1084="",IF(C1084="","missing date","invalid date"),IF(I1084="","unknown product",IF(J1084="","conflicting category",IF(NOT(OR(EXACT(K1084,"sale"),EXACT(K1084,"refund"))),"unknown event",IF(OR(N1084="",NOT(O1084)),"invalid amount",IF(OR(AND(K1084="sale",N1084&lt;=0),AND(K1084="refund",N1084&gt;=0)),"invalid sign","")))))))))</f>
        <v/>
      </c>
      <c r="U1084" s="1" t="str">
        <f t="shared" si="133"/>
        <v>INCLUDED</v>
      </c>
      <c r="V1084" s="1" t="str">
        <f t="shared" si="134"/>
        <v>2026-03</v>
      </c>
      <c r="W1084" s="1">
        <f>IF(AND(U1084="INCLUDED",X1084&gt;0,EXACT(A1084,'AI output'!A1084)),1,0)</f>
        <v>1</v>
      </c>
      <c r="X1084" s="1">
        <f>1084</f>
        <v>1084</v>
      </c>
      <c r="Y1084" s="1">
        <f>IF(AND(U1084="INCLUDED",W1084=1),--(NOT(EXACT(A1084,'AI output'!A1084)))+--(NOT(EXACT(B1084,'AI output'!B1084)))+--(NOT(EXACT(TEXT(G1084,"yyyy-mm-dd"),'AI output'!C1084)))+--(NOT(EXACT(H1084,'AI output'!D1084)))+--(NOT(EXACT(J1084,'AI output'!E1084)))+--(NOT(EXACT(K1084,'AI output'!F1084)))+--(N1084&lt;&gt;'AI output'!L1084)+--(NOT('AI output'!M1084)),0)</f>
        <v>0</v>
      </c>
      <c r="Z1084" s="1">
        <f t="shared" si="135"/>
        <v>0</v>
      </c>
      <c r="AA1084" s="1">
        <f>--EXACT(A1084,"L01078")</f>
        <v>1</v>
      </c>
    </row>
    <row r="1085" spans="1:27" ht="18.95" customHeight="1">
      <c r="A1085" s="1" t="str">
        <f>IF(Raw!A1085="","",Raw!A1085)</f>
        <v>L01079</v>
      </c>
      <c r="B1085" s="1" t="str">
        <f>IF(Raw!B1085="","",Raw!B1085)</f>
        <v>T00540</v>
      </c>
      <c r="C1085" s="1" t="str">
        <f>IF(Raw!C1085="","",Raw!C1085)</f>
        <v>2026-03-25</v>
      </c>
      <c r="D1085" s="1">
        <f t="shared" si="128"/>
        <v>2026</v>
      </c>
      <c r="E1085" s="1">
        <f>IFERROR(IF(AND(LEN(C1085)=10,MID(C1085,5,1)="-",MID(C1085,8,1)="-"),VALUE(MID(C1085,6,2)),IF(AND(LEN(C1085)=11,MID(C1085,3,1)="-",MID(C1085,7,1)="-"),MATCH(UPPER(MID(C1085,4,3)),Guide!$D$7:$D$18,0),0)),0)</f>
        <v>3</v>
      </c>
      <c r="F1085" s="1">
        <f t="shared" si="129"/>
        <v>25</v>
      </c>
      <c r="G1085" s="9">
        <f t="shared" si="130"/>
        <v>46106</v>
      </c>
      <c r="H1085" s="1" t="str">
        <f>IF(Raw!D1085="","",Raw!D1085)</f>
        <v>P-H</v>
      </c>
      <c r="I1085" s="1" t="str">
        <f>IFERROR(IF(EXACT(H1085,INDEX(Guide!$A$7:$A$9,MATCH(SUBSTITUTE(SUBSTITUTE(SUBSTITUTE(H1085,"~","~~"),"*","~*"),"?","~?"),Guide!$A$7:$A$9,0))),INDEX(Guide!$B$7:$B$9,MATCH(SUBSTITUTE(SUBSTITUTE(SUBSTITUTE(H1085,"~","~~"),"*","~*"),"?","~?"),Guide!$A$7:$A$9,0)),""),"")</f>
        <v>Home</v>
      </c>
      <c r="J1085" s="1" t="str">
        <f>IF(TRIM(Raw!E1085)="",I1085,IF(UPPER(TRIM(Raw!E1085))=UPPER(I1085),I1085,""))</f>
        <v>Home</v>
      </c>
      <c r="K1085" s="1" t="str">
        <f>IF(Raw!F1085="","",Raw!F1085)</f>
        <v>sale</v>
      </c>
      <c r="L1085" s="1" t="str">
        <f>IF(LEFT(TRIM(Raw!G1085),2)="-$","-"&amp;MID(TRIM(Raw!G1085),3,99),IF(LEFT(TRIM(Raw!G1085),1)="$",MID(TRIM(Raw!G1085),2,99),TRIM(Raw!G1085)))</f>
        <v>87.70</v>
      </c>
      <c r="M1085" s="1">
        <f t="shared" si="131"/>
        <v>87.7</v>
      </c>
      <c r="N1085" s="10">
        <f t="shared" si="132"/>
        <v>8770</v>
      </c>
      <c r="O1085" s="1" t="b">
        <f>IFERROR(IF(ISNUMBER(Raw!G1085),TRUE,OR(EXACT(L1085,TEXT(M1085,"0.00")),EXACT(L1085,TEXT(M1085,"#,##0.00")))),FALSE)</f>
        <v>1</v>
      </c>
      <c r="P1085" s="1" t="str">
        <f>LEN(IF(Raw!A1085="","",Raw!A1085))&amp;":"&amp;IF(Raw!A1085="","",Raw!A1085)&amp;"|"&amp;LEN(IF(Raw!B1085="","",Raw!B1085))&amp;":"&amp;IF(Raw!B1085="","",Raw!B1085)&amp;"|"&amp;LEN(IF(Raw!C1085="","",Raw!C1085))&amp;":"&amp;IF(Raw!C1085="","",Raw!C1085)&amp;"|"&amp;LEN(IF(Raw!D1085="","",Raw!D1085))&amp;":"&amp;IF(Raw!D1085="","",Raw!D1085)&amp;"|"&amp;LEN(IF(Raw!E1085="","",Raw!E1085))&amp;":"&amp;IF(Raw!E1085="","",Raw!E1085)&amp;"|"&amp;LEN(IF(Raw!F1085="","",Raw!F1085))&amp;":"&amp;IF(Raw!F1085="","",Raw!F1085)&amp;"|"&amp;LEN(IF(Raw!G1085="","",Raw!G1085))&amp;":"&amp;IF(Raw!G1085="","",Raw!G1085)</f>
        <v>6:L01079|6:T00540|10:2026-03-25|3:P-H|4:Home|4:sale|5:87.70</v>
      </c>
      <c r="Q1085" s="1">
        <f>1</f>
        <v>1</v>
      </c>
      <c r="R1085" s="1" t="b">
        <f>FALSE</f>
        <v>0</v>
      </c>
      <c r="S1085" s="1">
        <f>1</f>
        <v>1</v>
      </c>
      <c r="T1085" s="1" t="str">
        <f>IF(AND(Raw!A1085="",Raw!B1085="",Raw!C1085="",Raw!D1085="",Raw!E1085="",Raw!F1085="",Raw!G1085=""),"UNUSED",IF(A1085="","missing line ID",IF(B1085="","missing transaction ID",IF(G1085="",IF(C1085="","missing date","invalid date"),IF(I1085="","unknown product",IF(J1085="","conflicting category",IF(NOT(OR(EXACT(K1085,"sale"),EXACT(K1085,"refund"))),"unknown event",IF(OR(N1085="",NOT(O1085)),"invalid amount",IF(OR(AND(K1085="sale",N1085&lt;=0),AND(K1085="refund",N1085&gt;=0)),"invalid sign","")))))))))</f>
        <v/>
      </c>
      <c r="U1085" s="1" t="str">
        <f t="shared" si="133"/>
        <v>INCLUDED</v>
      </c>
      <c r="V1085" s="1" t="str">
        <f t="shared" si="134"/>
        <v>2026-03</v>
      </c>
      <c r="W1085" s="1">
        <f>IF(AND(U1085="INCLUDED",X1085&gt;0,EXACT(A1085,'AI output'!A1085)),1,0)</f>
        <v>1</v>
      </c>
      <c r="X1085" s="1">
        <f>1085</f>
        <v>1085</v>
      </c>
      <c r="Y1085" s="1">
        <f>IF(AND(U1085="INCLUDED",W1085=1),--(NOT(EXACT(A1085,'AI output'!A1085)))+--(NOT(EXACT(B1085,'AI output'!B1085)))+--(NOT(EXACT(TEXT(G1085,"yyyy-mm-dd"),'AI output'!C1085)))+--(NOT(EXACT(H1085,'AI output'!D1085)))+--(NOT(EXACT(J1085,'AI output'!E1085)))+--(NOT(EXACT(K1085,'AI output'!F1085)))+--(N1085&lt;&gt;'AI output'!L1085)+--(NOT('AI output'!M1085)),0)</f>
        <v>0</v>
      </c>
      <c r="Z1085" s="1">
        <f t="shared" si="135"/>
        <v>0</v>
      </c>
      <c r="AA1085" s="1">
        <f>--EXACT(A1085,"L01079")</f>
        <v>1</v>
      </c>
    </row>
    <row r="1086" spans="1:27" ht="18.95" customHeight="1">
      <c r="A1086" s="1" t="str">
        <f>IF(Raw!A1086="","",Raw!A1086)</f>
        <v>L01080</v>
      </c>
      <c r="B1086" s="1" t="str">
        <f>IF(Raw!B1086="","",Raw!B1086)</f>
        <v>T00540</v>
      </c>
      <c r="C1086" s="1" t="str">
        <f>IF(Raw!C1086="","",Raw!C1086)</f>
        <v>2026-03-25</v>
      </c>
      <c r="D1086" s="1">
        <f t="shared" si="128"/>
        <v>2026</v>
      </c>
      <c r="E1086" s="1">
        <f>IFERROR(IF(AND(LEN(C1086)=10,MID(C1086,5,1)="-",MID(C1086,8,1)="-"),VALUE(MID(C1086,6,2)),IF(AND(LEN(C1086)=11,MID(C1086,3,1)="-",MID(C1086,7,1)="-"),MATCH(UPPER(MID(C1086,4,3)),Guide!$D$7:$D$18,0),0)),0)</f>
        <v>3</v>
      </c>
      <c r="F1086" s="1">
        <f t="shared" si="129"/>
        <v>25</v>
      </c>
      <c r="G1086" s="9">
        <f t="shared" si="130"/>
        <v>46106</v>
      </c>
      <c r="H1086" s="1" t="str">
        <f>IF(Raw!D1086="","",Raw!D1086)</f>
        <v>P-O</v>
      </c>
      <c r="I1086" s="1" t="str">
        <f>IFERROR(IF(EXACT(H1086,INDEX(Guide!$A$7:$A$9,MATCH(SUBSTITUTE(SUBSTITUTE(SUBSTITUTE(H1086,"~","~~"),"*","~*"),"?","~?"),Guide!$A$7:$A$9,0))),INDEX(Guide!$B$7:$B$9,MATCH(SUBSTITUTE(SUBSTITUTE(SUBSTITUTE(H1086,"~","~~"),"*","~*"),"?","~?"),Guide!$A$7:$A$9,0)),""),"")</f>
        <v>Office</v>
      </c>
      <c r="J1086" s="1" t="str">
        <f>IF(TRIM(Raw!E1086)="",I1086,IF(UPPER(TRIM(Raw!E1086))=UPPER(I1086),I1086,""))</f>
        <v>Office</v>
      </c>
      <c r="K1086" s="1" t="str">
        <f>IF(Raw!F1086="","",Raw!F1086)</f>
        <v>sale</v>
      </c>
      <c r="L1086" s="1" t="str">
        <f>IF(LEFT(TRIM(Raw!G1086),2)="-$","-"&amp;MID(TRIM(Raw!G1086),3,99),IF(LEFT(TRIM(Raw!G1086),1)="$",MID(TRIM(Raw!G1086),2,99),TRIM(Raw!G1086)))</f>
        <v>176.88</v>
      </c>
      <c r="M1086" s="1">
        <f t="shared" si="131"/>
        <v>176.88</v>
      </c>
      <c r="N1086" s="10">
        <f t="shared" si="132"/>
        <v>17688</v>
      </c>
      <c r="O1086" s="1" t="b">
        <f>IFERROR(IF(ISNUMBER(Raw!G1086),TRUE,OR(EXACT(L1086,TEXT(M1086,"0.00")),EXACT(L1086,TEXT(M1086,"#,##0.00")))),FALSE)</f>
        <v>1</v>
      </c>
      <c r="P1086" s="1" t="str">
        <f>LEN(IF(Raw!A1086="","",Raw!A1086))&amp;":"&amp;IF(Raw!A1086="","",Raw!A1086)&amp;"|"&amp;LEN(IF(Raw!B1086="","",Raw!B1086))&amp;":"&amp;IF(Raw!B1086="","",Raw!B1086)&amp;"|"&amp;LEN(IF(Raw!C1086="","",Raw!C1086))&amp;":"&amp;IF(Raw!C1086="","",Raw!C1086)&amp;"|"&amp;LEN(IF(Raw!D1086="","",Raw!D1086))&amp;":"&amp;IF(Raw!D1086="","",Raw!D1086)&amp;"|"&amp;LEN(IF(Raw!E1086="","",Raw!E1086))&amp;":"&amp;IF(Raw!E1086="","",Raw!E1086)&amp;"|"&amp;LEN(IF(Raw!F1086="","",Raw!F1086))&amp;":"&amp;IF(Raw!F1086="","",Raw!F1086)&amp;"|"&amp;LEN(IF(Raw!G1086="","",Raw!G1086))&amp;":"&amp;IF(Raw!G1086="","",Raw!G1086)</f>
        <v>6:L01080|6:T00540|10:2026-03-25|3:P-O|6:Office|4:sale|6:176.88</v>
      </c>
      <c r="Q1086" s="1">
        <f>1</f>
        <v>1</v>
      </c>
      <c r="R1086" s="1" t="b">
        <f>FALSE</f>
        <v>0</v>
      </c>
      <c r="S1086" s="1">
        <f>1</f>
        <v>1</v>
      </c>
      <c r="T1086" s="1" t="str">
        <f>IF(AND(Raw!A1086="",Raw!B1086="",Raw!C1086="",Raw!D1086="",Raw!E1086="",Raw!F1086="",Raw!G1086=""),"UNUSED",IF(A1086="","missing line ID",IF(B1086="","missing transaction ID",IF(G1086="",IF(C1086="","missing date","invalid date"),IF(I1086="","unknown product",IF(J1086="","conflicting category",IF(NOT(OR(EXACT(K1086,"sale"),EXACT(K1086,"refund"))),"unknown event",IF(OR(N1086="",NOT(O1086)),"invalid amount",IF(OR(AND(K1086="sale",N1086&lt;=0),AND(K1086="refund",N1086&gt;=0)),"invalid sign","")))))))))</f>
        <v/>
      </c>
      <c r="U1086" s="1" t="str">
        <f t="shared" si="133"/>
        <v>INCLUDED</v>
      </c>
      <c r="V1086" s="1" t="str">
        <f t="shared" si="134"/>
        <v>2026-03</v>
      </c>
      <c r="W1086" s="1">
        <f>IF(AND(U1086="INCLUDED",X1086&gt;0,EXACT(A1086,'AI output'!A1086)),1,0)</f>
        <v>1</v>
      </c>
      <c r="X1086" s="1">
        <f>1086</f>
        <v>1086</v>
      </c>
      <c r="Y1086" s="1">
        <f>IF(AND(U1086="INCLUDED",W1086=1),--(NOT(EXACT(A1086,'AI output'!A1086)))+--(NOT(EXACT(B1086,'AI output'!B1086)))+--(NOT(EXACT(TEXT(G1086,"yyyy-mm-dd"),'AI output'!C1086)))+--(NOT(EXACT(H1086,'AI output'!D1086)))+--(NOT(EXACT(J1086,'AI output'!E1086)))+--(NOT(EXACT(K1086,'AI output'!F1086)))+--(N1086&lt;&gt;'AI output'!L1086)+--(NOT('AI output'!M1086)),0)</f>
        <v>0</v>
      </c>
      <c r="Z1086" s="1">
        <f t="shared" si="135"/>
        <v>0</v>
      </c>
      <c r="AA1086" s="1">
        <f>--EXACT(A1086,"L01080")</f>
        <v>1</v>
      </c>
    </row>
    <row r="1087" spans="1:27" ht="18.95" customHeight="1">
      <c r="A1087" s="1" t="str">
        <f>IF(Raw!A1087="","",Raw!A1087)</f>
        <v>L01081</v>
      </c>
      <c r="B1087" s="1" t="str">
        <f>IF(Raw!B1087="","",Raw!B1087)</f>
        <v>T00541</v>
      </c>
      <c r="C1087" s="1" t="str">
        <f>IF(Raw!C1087="","",Raw!C1087)</f>
        <v>2026-01-01</v>
      </c>
      <c r="D1087" s="1">
        <f t="shared" si="128"/>
        <v>2026</v>
      </c>
      <c r="E1087" s="1">
        <f>IFERROR(IF(AND(LEN(C1087)=10,MID(C1087,5,1)="-",MID(C1087,8,1)="-"),VALUE(MID(C1087,6,2)),IF(AND(LEN(C1087)=11,MID(C1087,3,1)="-",MID(C1087,7,1)="-"),MATCH(UPPER(MID(C1087,4,3)),Guide!$D$7:$D$18,0),0)),0)</f>
        <v>1</v>
      </c>
      <c r="F1087" s="1">
        <f t="shared" si="129"/>
        <v>1</v>
      </c>
      <c r="G1087" s="9">
        <f t="shared" si="130"/>
        <v>46023</v>
      </c>
      <c r="H1087" s="1" t="str">
        <f>IF(Raw!D1087="","",Raw!D1087)</f>
        <v>P-A</v>
      </c>
      <c r="I1087" s="1" t="str">
        <f>IFERROR(IF(EXACT(H1087,INDEX(Guide!$A$7:$A$9,MATCH(SUBSTITUTE(SUBSTITUTE(SUBSTITUTE(H1087,"~","~~"),"*","~*"),"?","~?"),Guide!$A$7:$A$9,0))),INDEX(Guide!$B$7:$B$9,MATCH(SUBSTITUTE(SUBSTITUTE(SUBSTITUTE(H1087,"~","~~"),"*","~*"),"?","~?"),Guide!$A$7:$A$9,0)),""),"")</f>
        <v>Accessories</v>
      </c>
      <c r="J1087" s="1" t="str">
        <f>IF(TRIM(Raw!E1087)="",I1087,IF(UPPER(TRIM(Raw!E1087))=UPPER(I1087),I1087,""))</f>
        <v>Accessories</v>
      </c>
      <c r="K1087" s="1" t="str">
        <f>IF(Raw!F1087="","",Raw!F1087)</f>
        <v>sale</v>
      </c>
      <c r="L1087" s="1" t="str">
        <f>IF(LEFT(TRIM(Raw!G1087),2)="-$","-"&amp;MID(TRIM(Raw!G1087),3,99),IF(LEFT(TRIM(Raw!G1087),1)="$",MID(TRIM(Raw!G1087),2,99),TRIM(Raw!G1087)))</f>
        <v>44.59</v>
      </c>
      <c r="M1087" s="1">
        <f t="shared" si="131"/>
        <v>44.59</v>
      </c>
      <c r="N1087" s="10">
        <f t="shared" si="132"/>
        <v>4459</v>
      </c>
      <c r="O1087" s="1" t="b">
        <f>IFERROR(IF(ISNUMBER(Raw!G1087),TRUE,OR(EXACT(L1087,TEXT(M1087,"0.00")),EXACT(L1087,TEXT(M1087,"#,##0.00")))),FALSE)</f>
        <v>1</v>
      </c>
      <c r="P1087" s="1" t="str">
        <f>LEN(IF(Raw!A1087="","",Raw!A1087))&amp;":"&amp;IF(Raw!A1087="","",Raw!A1087)&amp;"|"&amp;LEN(IF(Raw!B1087="","",Raw!B1087))&amp;":"&amp;IF(Raw!B1087="","",Raw!B1087)&amp;"|"&amp;LEN(IF(Raw!C1087="","",Raw!C1087))&amp;":"&amp;IF(Raw!C1087="","",Raw!C1087)&amp;"|"&amp;LEN(IF(Raw!D1087="","",Raw!D1087))&amp;":"&amp;IF(Raw!D1087="","",Raw!D1087)&amp;"|"&amp;LEN(IF(Raw!E1087="","",Raw!E1087))&amp;":"&amp;IF(Raw!E1087="","",Raw!E1087)&amp;"|"&amp;LEN(IF(Raw!F1087="","",Raw!F1087))&amp;":"&amp;IF(Raw!F1087="","",Raw!F1087)&amp;"|"&amp;LEN(IF(Raw!G1087="","",Raw!G1087))&amp;":"&amp;IF(Raw!G1087="","",Raw!G1087)</f>
        <v>6:L01081|6:T00541|10:2026-01-01|3:P-A|11:Accessories|4:sale|5:44.59</v>
      </c>
      <c r="Q1087" s="1">
        <f>1</f>
        <v>1</v>
      </c>
      <c r="R1087" s="1" t="b">
        <f>FALSE</f>
        <v>0</v>
      </c>
      <c r="S1087" s="1">
        <f>1</f>
        <v>1</v>
      </c>
      <c r="T1087" s="1" t="str">
        <f>IF(AND(Raw!A1087="",Raw!B1087="",Raw!C1087="",Raw!D1087="",Raw!E1087="",Raw!F1087="",Raw!G1087=""),"UNUSED",IF(A1087="","missing line ID",IF(B1087="","missing transaction ID",IF(G1087="",IF(C1087="","missing date","invalid date"),IF(I1087="","unknown product",IF(J1087="","conflicting category",IF(NOT(OR(EXACT(K1087,"sale"),EXACT(K1087,"refund"))),"unknown event",IF(OR(N1087="",NOT(O1087)),"invalid amount",IF(OR(AND(K1087="sale",N1087&lt;=0),AND(K1087="refund",N1087&gt;=0)),"invalid sign","")))))))))</f>
        <v/>
      </c>
      <c r="U1087" s="1" t="str">
        <f t="shared" si="133"/>
        <v>INCLUDED</v>
      </c>
      <c r="V1087" s="1" t="str">
        <f t="shared" si="134"/>
        <v>2026-01</v>
      </c>
      <c r="W1087" s="1">
        <f>IF(AND(U1087="INCLUDED",X1087&gt;0,EXACT(A1087,'AI output'!A1087)),1,0)</f>
        <v>1</v>
      </c>
      <c r="X1087" s="1">
        <f>1087</f>
        <v>1087</v>
      </c>
      <c r="Y1087" s="1">
        <f>IF(AND(U1087="INCLUDED",W1087=1),--(NOT(EXACT(A1087,'AI output'!A1087)))+--(NOT(EXACT(B1087,'AI output'!B1087)))+--(NOT(EXACT(TEXT(G1087,"yyyy-mm-dd"),'AI output'!C1087)))+--(NOT(EXACT(H1087,'AI output'!D1087)))+--(NOT(EXACT(J1087,'AI output'!E1087)))+--(NOT(EXACT(K1087,'AI output'!F1087)))+--(N1087&lt;&gt;'AI output'!L1087)+--(NOT('AI output'!M1087)),0)</f>
        <v>0</v>
      </c>
      <c r="Z1087" s="1">
        <f t="shared" si="135"/>
        <v>0</v>
      </c>
      <c r="AA1087" s="1">
        <f>--EXACT(A1087,"L01081")</f>
        <v>1</v>
      </c>
    </row>
    <row r="1088" spans="1:27" ht="18.95" customHeight="1">
      <c r="A1088" s="1" t="str">
        <f>IF(Raw!A1088="","",Raw!A1088)</f>
        <v>L01082</v>
      </c>
      <c r="B1088" s="1" t="str">
        <f>IF(Raw!B1088="","",Raw!B1088)</f>
        <v>T00541</v>
      </c>
      <c r="C1088" s="1" t="str">
        <f>IF(Raw!C1088="","",Raw!C1088)</f>
        <v>2026-01-01</v>
      </c>
      <c r="D1088" s="1">
        <f t="shared" si="128"/>
        <v>2026</v>
      </c>
      <c r="E1088" s="1">
        <f>IFERROR(IF(AND(LEN(C1088)=10,MID(C1088,5,1)="-",MID(C1088,8,1)="-"),VALUE(MID(C1088,6,2)),IF(AND(LEN(C1088)=11,MID(C1088,3,1)="-",MID(C1088,7,1)="-"),MATCH(UPPER(MID(C1088,4,3)),Guide!$D$7:$D$18,0),0)),0)</f>
        <v>1</v>
      </c>
      <c r="F1088" s="1">
        <f t="shared" si="129"/>
        <v>1</v>
      </c>
      <c r="G1088" s="9">
        <f t="shared" si="130"/>
        <v>46023</v>
      </c>
      <c r="H1088" s="1" t="str">
        <f>IF(Raw!D1088="","",Raw!D1088)</f>
        <v>P-H</v>
      </c>
      <c r="I1088" s="1" t="str">
        <f>IFERROR(IF(EXACT(H1088,INDEX(Guide!$A$7:$A$9,MATCH(SUBSTITUTE(SUBSTITUTE(SUBSTITUTE(H1088,"~","~~"),"*","~*"),"?","~?"),Guide!$A$7:$A$9,0))),INDEX(Guide!$B$7:$B$9,MATCH(SUBSTITUTE(SUBSTITUTE(SUBSTITUTE(H1088,"~","~~"),"*","~*"),"?","~?"),Guide!$A$7:$A$9,0)),""),"")</f>
        <v>Home</v>
      </c>
      <c r="J1088" s="1" t="str">
        <f>IF(TRIM(Raw!E1088)="",I1088,IF(UPPER(TRIM(Raw!E1088))=UPPER(I1088),I1088,""))</f>
        <v>Home</v>
      </c>
      <c r="K1088" s="1" t="str">
        <f>IF(Raw!F1088="","",Raw!F1088)</f>
        <v>refund</v>
      </c>
      <c r="L1088" s="1" t="str">
        <f>IF(LEFT(TRIM(Raw!G1088),2)="-$","-"&amp;MID(TRIM(Raw!G1088),3,99),IF(LEFT(TRIM(Raw!G1088),1)="$",MID(TRIM(Raw!G1088),2,99),TRIM(Raw!G1088)))</f>
        <v>-134.88</v>
      </c>
      <c r="M1088" s="1">
        <f t="shared" si="131"/>
        <v>-134.88</v>
      </c>
      <c r="N1088" s="10">
        <f t="shared" si="132"/>
        <v>-13488</v>
      </c>
      <c r="O1088" s="1" t="b">
        <f>IFERROR(IF(ISNUMBER(Raw!G1088),TRUE,OR(EXACT(L1088,TEXT(M1088,"0.00")),EXACT(L1088,TEXT(M1088,"#,##0.00")))),FALSE)</f>
        <v>1</v>
      </c>
      <c r="P1088" s="1" t="str">
        <f>LEN(IF(Raw!A1088="","",Raw!A1088))&amp;":"&amp;IF(Raw!A1088="","",Raw!A1088)&amp;"|"&amp;LEN(IF(Raw!B1088="","",Raw!B1088))&amp;":"&amp;IF(Raw!B1088="","",Raw!B1088)&amp;"|"&amp;LEN(IF(Raw!C1088="","",Raw!C1088))&amp;":"&amp;IF(Raw!C1088="","",Raw!C1088)&amp;"|"&amp;LEN(IF(Raw!D1088="","",Raw!D1088))&amp;":"&amp;IF(Raw!D1088="","",Raw!D1088)&amp;"|"&amp;LEN(IF(Raw!E1088="","",Raw!E1088))&amp;":"&amp;IF(Raw!E1088="","",Raw!E1088)&amp;"|"&amp;LEN(IF(Raw!F1088="","",Raw!F1088))&amp;":"&amp;IF(Raw!F1088="","",Raw!F1088)&amp;"|"&amp;LEN(IF(Raw!G1088="","",Raw!G1088))&amp;":"&amp;IF(Raw!G1088="","",Raw!G1088)</f>
        <v>6:L01082|6:T00541|10:2026-01-01|3:P-H|4:Home|6:refund|7:-134.88</v>
      </c>
      <c r="Q1088" s="1">
        <f>1</f>
        <v>1</v>
      </c>
      <c r="R1088" s="1" t="b">
        <f>FALSE</f>
        <v>0</v>
      </c>
      <c r="S1088" s="1">
        <f>1</f>
        <v>1</v>
      </c>
      <c r="T1088" s="1" t="str">
        <f>IF(AND(Raw!A1088="",Raw!B1088="",Raw!C1088="",Raw!D1088="",Raw!E1088="",Raw!F1088="",Raw!G1088=""),"UNUSED",IF(A1088="","missing line ID",IF(B1088="","missing transaction ID",IF(G1088="",IF(C1088="","missing date","invalid date"),IF(I1088="","unknown product",IF(J1088="","conflicting category",IF(NOT(OR(EXACT(K1088,"sale"),EXACT(K1088,"refund"))),"unknown event",IF(OR(N1088="",NOT(O1088)),"invalid amount",IF(OR(AND(K1088="sale",N1088&lt;=0),AND(K1088="refund",N1088&gt;=0)),"invalid sign","")))))))))</f>
        <v/>
      </c>
      <c r="U1088" s="1" t="str">
        <f t="shared" si="133"/>
        <v>INCLUDED</v>
      </c>
      <c r="V1088" s="1" t="str">
        <f t="shared" si="134"/>
        <v>2026-01</v>
      </c>
      <c r="W1088" s="1">
        <f>IF(AND(U1088="INCLUDED",X1088&gt;0,EXACT(A1088,'AI output'!A1088)),1,0)</f>
        <v>1</v>
      </c>
      <c r="X1088" s="1">
        <f>1088</f>
        <v>1088</v>
      </c>
      <c r="Y1088" s="1">
        <f>IF(AND(U1088="INCLUDED",W1088=1),--(NOT(EXACT(A1088,'AI output'!A1088)))+--(NOT(EXACT(B1088,'AI output'!B1088)))+--(NOT(EXACT(TEXT(G1088,"yyyy-mm-dd"),'AI output'!C1088)))+--(NOT(EXACT(H1088,'AI output'!D1088)))+--(NOT(EXACT(J1088,'AI output'!E1088)))+--(NOT(EXACT(K1088,'AI output'!F1088)))+--(N1088&lt;&gt;'AI output'!L1088)+--(NOT('AI output'!M1088)),0)</f>
        <v>0</v>
      </c>
      <c r="Z1088" s="1">
        <f t="shared" si="135"/>
        <v>0</v>
      </c>
      <c r="AA1088" s="1">
        <f>--EXACT(A1088,"L01082")</f>
        <v>1</v>
      </c>
    </row>
    <row r="1089" spans="1:27" ht="18.95" customHeight="1">
      <c r="A1089" s="1" t="str">
        <f>IF(Raw!A1089="","",Raw!A1089)</f>
        <v>L01083</v>
      </c>
      <c r="B1089" s="1" t="str">
        <f>IF(Raw!B1089="","",Raw!B1089)</f>
        <v>T00542</v>
      </c>
      <c r="C1089" s="1" t="str">
        <f>IF(Raw!C1089="","",Raw!C1089)</f>
        <v>2026-01-08</v>
      </c>
      <c r="D1089" s="1">
        <f t="shared" si="128"/>
        <v>2026</v>
      </c>
      <c r="E1089" s="1">
        <f>IFERROR(IF(AND(LEN(C1089)=10,MID(C1089,5,1)="-",MID(C1089,8,1)="-"),VALUE(MID(C1089,6,2)),IF(AND(LEN(C1089)=11,MID(C1089,3,1)="-",MID(C1089,7,1)="-"),MATCH(UPPER(MID(C1089,4,3)),Guide!$D$7:$D$18,0),0)),0)</f>
        <v>1</v>
      </c>
      <c r="F1089" s="1">
        <f t="shared" si="129"/>
        <v>8</v>
      </c>
      <c r="G1089" s="9">
        <f t="shared" si="130"/>
        <v>46030</v>
      </c>
      <c r="H1089" s="1" t="str">
        <f>IF(Raw!D1089="","",Raw!D1089)</f>
        <v>P-O</v>
      </c>
      <c r="I1089" s="1" t="str">
        <f>IFERROR(IF(EXACT(H1089,INDEX(Guide!$A$7:$A$9,MATCH(SUBSTITUTE(SUBSTITUTE(SUBSTITUTE(H1089,"~","~~"),"*","~*"),"?","~?"),Guide!$A$7:$A$9,0))),INDEX(Guide!$B$7:$B$9,MATCH(SUBSTITUTE(SUBSTITUTE(SUBSTITUTE(H1089,"~","~~"),"*","~*"),"?","~?"),Guide!$A$7:$A$9,0)),""),"")</f>
        <v>Office</v>
      </c>
      <c r="J1089" s="1" t="str">
        <f>IF(TRIM(Raw!E1089)="",I1089,IF(UPPER(TRIM(Raw!E1089))=UPPER(I1089),I1089,""))</f>
        <v>Office</v>
      </c>
      <c r="K1089" s="1" t="str">
        <f>IF(Raw!F1089="","",Raw!F1089)</f>
        <v>sale</v>
      </c>
      <c r="L1089" s="1" t="str">
        <f>IF(LEFT(TRIM(Raw!G1089),2)="-$","-"&amp;MID(TRIM(Raw!G1089),3,99),IF(LEFT(TRIM(Raw!G1089),1)="$",MID(TRIM(Raw!G1089),2,99),TRIM(Raw!G1089)))</f>
        <v>226.65</v>
      </c>
      <c r="M1089" s="1">
        <f t="shared" si="131"/>
        <v>226.65</v>
      </c>
      <c r="N1089" s="10">
        <f t="shared" si="132"/>
        <v>22665</v>
      </c>
      <c r="O1089" s="1" t="b">
        <f>IFERROR(IF(ISNUMBER(Raw!G1089),TRUE,OR(EXACT(L1089,TEXT(M1089,"0.00")),EXACT(L1089,TEXT(M1089,"#,##0.00")))),FALSE)</f>
        <v>1</v>
      </c>
      <c r="P1089" s="1" t="str">
        <f>LEN(IF(Raw!A1089="","",Raw!A1089))&amp;":"&amp;IF(Raw!A1089="","",Raw!A1089)&amp;"|"&amp;LEN(IF(Raw!B1089="","",Raw!B1089))&amp;":"&amp;IF(Raw!B1089="","",Raw!B1089)&amp;"|"&amp;LEN(IF(Raw!C1089="","",Raw!C1089))&amp;":"&amp;IF(Raw!C1089="","",Raw!C1089)&amp;"|"&amp;LEN(IF(Raw!D1089="","",Raw!D1089))&amp;":"&amp;IF(Raw!D1089="","",Raw!D1089)&amp;"|"&amp;LEN(IF(Raw!E1089="","",Raw!E1089))&amp;":"&amp;IF(Raw!E1089="","",Raw!E1089)&amp;"|"&amp;LEN(IF(Raw!F1089="","",Raw!F1089))&amp;":"&amp;IF(Raw!F1089="","",Raw!F1089)&amp;"|"&amp;LEN(IF(Raw!G1089="","",Raw!G1089))&amp;":"&amp;IF(Raw!G1089="","",Raw!G1089)</f>
        <v>6:L01083|6:T00542|10:2026-01-08|3:P-O|6:Office|4:sale|6:226.65</v>
      </c>
      <c r="Q1089" s="1">
        <f>1</f>
        <v>1</v>
      </c>
      <c r="R1089" s="1" t="b">
        <f>FALSE</f>
        <v>0</v>
      </c>
      <c r="S1089" s="1">
        <f>1</f>
        <v>1</v>
      </c>
      <c r="T1089" s="1" t="str">
        <f>IF(AND(Raw!A1089="",Raw!B1089="",Raw!C1089="",Raw!D1089="",Raw!E1089="",Raw!F1089="",Raw!G1089=""),"UNUSED",IF(A1089="","missing line ID",IF(B1089="","missing transaction ID",IF(G1089="",IF(C1089="","missing date","invalid date"),IF(I1089="","unknown product",IF(J1089="","conflicting category",IF(NOT(OR(EXACT(K1089,"sale"),EXACT(K1089,"refund"))),"unknown event",IF(OR(N1089="",NOT(O1089)),"invalid amount",IF(OR(AND(K1089="sale",N1089&lt;=0),AND(K1089="refund",N1089&gt;=0)),"invalid sign","")))))))))</f>
        <v/>
      </c>
      <c r="U1089" s="1" t="str">
        <f t="shared" si="133"/>
        <v>INCLUDED</v>
      </c>
      <c r="V1089" s="1" t="str">
        <f t="shared" si="134"/>
        <v>2026-01</v>
      </c>
      <c r="W1089" s="1">
        <f>IF(AND(U1089="INCLUDED",X1089&gt;0,EXACT(A1089,'AI output'!A1089)),1,0)</f>
        <v>1</v>
      </c>
      <c r="X1089" s="1">
        <f>1089</f>
        <v>1089</v>
      </c>
      <c r="Y1089" s="1">
        <f>IF(AND(U1089="INCLUDED",W1089=1),--(NOT(EXACT(A1089,'AI output'!A1089)))+--(NOT(EXACT(B1089,'AI output'!B1089)))+--(NOT(EXACT(TEXT(G1089,"yyyy-mm-dd"),'AI output'!C1089)))+--(NOT(EXACT(H1089,'AI output'!D1089)))+--(NOT(EXACT(J1089,'AI output'!E1089)))+--(NOT(EXACT(K1089,'AI output'!F1089)))+--(N1089&lt;&gt;'AI output'!L1089)+--(NOT('AI output'!M1089)),0)</f>
        <v>0</v>
      </c>
      <c r="Z1089" s="1">
        <f t="shared" si="135"/>
        <v>0</v>
      </c>
      <c r="AA1089" s="1">
        <f>--EXACT(A1089,"L01083")</f>
        <v>1</v>
      </c>
    </row>
    <row r="1090" spans="1:27" ht="18.95" customHeight="1">
      <c r="A1090" s="1" t="str">
        <f>IF(Raw!A1090="","",Raw!A1090)</f>
        <v>L01084</v>
      </c>
      <c r="B1090" s="1" t="str">
        <f>IF(Raw!B1090="","",Raw!B1090)</f>
        <v>T00542</v>
      </c>
      <c r="C1090" s="1" t="str">
        <f>IF(Raw!C1090="","",Raw!C1090)</f>
        <v>2026-01-08</v>
      </c>
      <c r="D1090" s="1">
        <f t="shared" si="128"/>
        <v>2026</v>
      </c>
      <c r="E1090" s="1">
        <f>IFERROR(IF(AND(LEN(C1090)=10,MID(C1090,5,1)="-",MID(C1090,8,1)="-"),VALUE(MID(C1090,6,2)),IF(AND(LEN(C1090)=11,MID(C1090,3,1)="-",MID(C1090,7,1)="-"),MATCH(UPPER(MID(C1090,4,3)),Guide!$D$7:$D$18,0),0)),0)</f>
        <v>1</v>
      </c>
      <c r="F1090" s="1">
        <f t="shared" si="129"/>
        <v>8</v>
      </c>
      <c r="G1090" s="9">
        <f t="shared" si="130"/>
        <v>46030</v>
      </c>
      <c r="H1090" s="1" t="str">
        <f>IF(Raw!D1090="","",Raw!D1090)</f>
        <v>P-A</v>
      </c>
      <c r="I1090" s="1" t="str">
        <f>IFERROR(IF(EXACT(H1090,INDEX(Guide!$A$7:$A$9,MATCH(SUBSTITUTE(SUBSTITUTE(SUBSTITUTE(H1090,"~","~~"),"*","~*"),"?","~?"),Guide!$A$7:$A$9,0))),INDEX(Guide!$B$7:$B$9,MATCH(SUBSTITUTE(SUBSTITUTE(SUBSTITUTE(H1090,"~","~~"),"*","~*"),"?","~?"),Guide!$A$7:$A$9,0)),""),"")</f>
        <v>Accessories</v>
      </c>
      <c r="J1090" s="1" t="str">
        <f>IF(TRIM(Raw!E1090)="",I1090,IF(UPPER(TRIM(Raw!E1090))=UPPER(I1090),I1090,""))</f>
        <v>Accessories</v>
      </c>
      <c r="K1090" s="1" t="str">
        <f>IF(Raw!F1090="","",Raw!F1090)</f>
        <v>sale</v>
      </c>
      <c r="L1090" s="1" t="str">
        <f>IF(LEFT(TRIM(Raw!G1090),2)="-$","-"&amp;MID(TRIM(Raw!G1090),3,99),IF(LEFT(TRIM(Raw!G1090),1)="$",MID(TRIM(Raw!G1090),2,99),TRIM(Raw!G1090)))</f>
        <v>91.40</v>
      </c>
      <c r="M1090" s="1">
        <f t="shared" si="131"/>
        <v>91.4</v>
      </c>
      <c r="N1090" s="10">
        <f t="shared" si="132"/>
        <v>9140</v>
      </c>
      <c r="O1090" s="1" t="b">
        <f>IFERROR(IF(ISNUMBER(Raw!G1090),TRUE,OR(EXACT(L1090,TEXT(M1090,"0.00")),EXACT(L1090,TEXT(M1090,"#,##0.00")))),FALSE)</f>
        <v>1</v>
      </c>
      <c r="P1090" s="1" t="str">
        <f>LEN(IF(Raw!A1090="","",Raw!A1090))&amp;":"&amp;IF(Raw!A1090="","",Raw!A1090)&amp;"|"&amp;LEN(IF(Raw!B1090="","",Raw!B1090))&amp;":"&amp;IF(Raw!B1090="","",Raw!B1090)&amp;"|"&amp;LEN(IF(Raw!C1090="","",Raw!C1090))&amp;":"&amp;IF(Raw!C1090="","",Raw!C1090)&amp;"|"&amp;LEN(IF(Raw!D1090="","",Raw!D1090))&amp;":"&amp;IF(Raw!D1090="","",Raw!D1090)&amp;"|"&amp;LEN(IF(Raw!E1090="","",Raw!E1090))&amp;":"&amp;IF(Raw!E1090="","",Raw!E1090)&amp;"|"&amp;LEN(IF(Raw!F1090="","",Raw!F1090))&amp;":"&amp;IF(Raw!F1090="","",Raw!F1090)&amp;"|"&amp;LEN(IF(Raw!G1090="","",Raw!G1090))&amp;":"&amp;IF(Raw!G1090="","",Raw!G1090)</f>
        <v>6:L01084|6:T00542|10:2026-01-08|3:P-A|11:Accessories|4:sale|5:91.40</v>
      </c>
      <c r="Q1090" s="1">
        <f>1</f>
        <v>1</v>
      </c>
      <c r="R1090" s="1" t="b">
        <f>FALSE</f>
        <v>0</v>
      </c>
      <c r="S1090" s="1">
        <f>1</f>
        <v>1</v>
      </c>
      <c r="T1090" s="1" t="str">
        <f>IF(AND(Raw!A1090="",Raw!B1090="",Raw!C1090="",Raw!D1090="",Raw!E1090="",Raw!F1090="",Raw!G1090=""),"UNUSED",IF(A1090="","missing line ID",IF(B1090="","missing transaction ID",IF(G1090="",IF(C1090="","missing date","invalid date"),IF(I1090="","unknown product",IF(J1090="","conflicting category",IF(NOT(OR(EXACT(K1090,"sale"),EXACT(K1090,"refund"))),"unknown event",IF(OR(N1090="",NOT(O1090)),"invalid amount",IF(OR(AND(K1090="sale",N1090&lt;=0),AND(K1090="refund",N1090&gt;=0)),"invalid sign","")))))))))</f>
        <v/>
      </c>
      <c r="U1090" s="1" t="str">
        <f t="shared" si="133"/>
        <v>INCLUDED</v>
      </c>
      <c r="V1090" s="1" t="str">
        <f t="shared" si="134"/>
        <v>2026-01</v>
      </c>
      <c r="W1090" s="1">
        <f>IF(AND(U1090="INCLUDED",X1090&gt;0,EXACT(A1090,'AI output'!A1090)),1,0)</f>
        <v>1</v>
      </c>
      <c r="X1090" s="1">
        <f>1090</f>
        <v>1090</v>
      </c>
      <c r="Y1090" s="1">
        <f>IF(AND(U1090="INCLUDED",W1090=1),--(NOT(EXACT(A1090,'AI output'!A1090)))+--(NOT(EXACT(B1090,'AI output'!B1090)))+--(NOT(EXACT(TEXT(G1090,"yyyy-mm-dd"),'AI output'!C1090)))+--(NOT(EXACT(H1090,'AI output'!D1090)))+--(NOT(EXACT(J1090,'AI output'!E1090)))+--(NOT(EXACT(K1090,'AI output'!F1090)))+--(N1090&lt;&gt;'AI output'!L1090)+--(NOT('AI output'!M1090)),0)</f>
        <v>0</v>
      </c>
      <c r="Z1090" s="1">
        <f t="shared" si="135"/>
        <v>0</v>
      </c>
      <c r="AA1090" s="1">
        <f>--EXACT(A1090,"L01084")</f>
        <v>1</v>
      </c>
    </row>
    <row r="1091" spans="1:27" ht="18.95" customHeight="1">
      <c r="A1091" s="1" t="str">
        <f>IF(Raw!A1091="","",Raw!A1091)</f>
        <v>L01085</v>
      </c>
      <c r="B1091" s="1" t="str">
        <f>IF(Raw!B1091="","",Raw!B1091)</f>
        <v>T00543</v>
      </c>
      <c r="C1091" s="1" t="str">
        <f>IF(Raw!C1091="","",Raw!C1091)</f>
        <v>2026-01-15</v>
      </c>
      <c r="D1091" s="1">
        <f t="shared" si="128"/>
        <v>2026</v>
      </c>
      <c r="E1091" s="1">
        <f>IFERROR(IF(AND(LEN(C1091)=10,MID(C1091,5,1)="-",MID(C1091,8,1)="-"),VALUE(MID(C1091,6,2)),IF(AND(LEN(C1091)=11,MID(C1091,3,1)="-",MID(C1091,7,1)="-"),MATCH(UPPER(MID(C1091,4,3)),Guide!$D$7:$D$18,0),0)),0)</f>
        <v>1</v>
      </c>
      <c r="F1091" s="1">
        <f t="shared" si="129"/>
        <v>15</v>
      </c>
      <c r="G1091" s="9">
        <f t="shared" si="130"/>
        <v>46037</v>
      </c>
      <c r="H1091" s="1" t="str">
        <f>IF(Raw!D1091="","",Raw!D1091)</f>
        <v>P-H</v>
      </c>
      <c r="I1091" s="1" t="str">
        <f>IFERROR(IF(EXACT(H1091,INDEX(Guide!$A$7:$A$9,MATCH(SUBSTITUTE(SUBSTITUTE(SUBSTITUTE(H1091,"~","~~"),"*","~*"),"?","~?"),Guide!$A$7:$A$9,0))),INDEX(Guide!$B$7:$B$9,MATCH(SUBSTITUTE(SUBSTITUTE(SUBSTITUTE(H1091,"~","~~"),"*","~*"),"?","~?"),Guide!$A$7:$A$9,0)),""),"")</f>
        <v>Home</v>
      </c>
      <c r="J1091" s="1" t="str">
        <f>IF(TRIM(Raw!E1091)="",I1091,IF(UPPER(TRIM(Raw!E1091))=UPPER(I1091),I1091,""))</f>
        <v>Home</v>
      </c>
      <c r="K1091" s="1" t="str">
        <f>IF(Raw!F1091="","",Raw!F1091)</f>
        <v>sale</v>
      </c>
      <c r="L1091" s="1" t="str">
        <f>IF(LEFT(TRIM(Raw!G1091),2)="-$","-"&amp;MID(TRIM(Raw!G1091),3,99),IF(LEFT(TRIM(Raw!G1091),1)="$",MID(TRIM(Raw!G1091),2,99),TRIM(Raw!G1091)))</f>
        <v>184.28</v>
      </c>
      <c r="M1091" s="1">
        <f t="shared" si="131"/>
        <v>184.28</v>
      </c>
      <c r="N1091" s="10">
        <f t="shared" si="132"/>
        <v>18428</v>
      </c>
      <c r="O1091" s="1" t="b">
        <f>IFERROR(IF(ISNUMBER(Raw!G1091),TRUE,OR(EXACT(L1091,TEXT(M1091,"0.00")),EXACT(L1091,TEXT(M1091,"#,##0.00")))),FALSE)</f>
        <v>1</v>
      </c>
      <c r="P1091" s="1" t="str">
        <f>LEN(IF(Raw!A1091="","",Raw!A1091))&amp;":"&amp;IF(Raw!A1091="","",Raw!A1091)&amp;"|"&amp;LEN(IF(Raw!B1091="","",Raw!B1091))&amp;":"&amp;IF(Raw!B1091="","",Raw!B1091)&amp;"|"&amp;LEN(IF(Raw!C1091="","",Raw!C1091))&amp;":"&amp;IF(Raw!C1091="","",Raw!C1091)&amp;"|"&amp;LEN(IF(Raw!D1091="","",Raw!D1091))&amp;":"&amp;IF(Raw!D1091="","",Raw!D1091)&amp;"|"&amp;LEN(IF(Raw!E1091="","",Raw!E1091))&amp;":"&amp;IF(Raw!E1091="","",Raw!E1091)&amp;"|"&amp;LEN(IF(Raw!F1091="","",Raw!F1091))&amp;":"&amp;IF(Raw!F1091="","",Raw!F1091)&amp;"|"&amp;LEN(IF(Raw!G1091="","",Raw!G1091))&amp;":"&amp;IF(Raw!G1091="","",Raw!G1091)</f>
        <v>6:L01085|6:T00543|10:2026-01-15|3:P-H|4:Home|4:sale|6:184.28</v>
      </c>
      <c r="Q1091" s="1">
        <f>1</f>
        <v>1</v>
      </c>
      <c r="R1091" s="1" t="b">
        <f>FALSE</f>
        <v>0</v>
      </c>
      <c r="S1091" s="1">
        <f>1</f>
        <v>1</v>
      </c>
      <c r="T1091" s="1" t="str">
        <f>IF(AND(Raw!A1091="",Raw!B1091="",Raw!C1091="",Raw!D1091="",Raw!E1091="",Raw!F1091="",Raw!G1091=""),"UNUSED",IF(A1091="","missing line ID",IF(B1091="","missing transaction ID",IF(G1091="",IF(C1091="","missing date","invalid date"),IF(I1091="","unknown product",IF(J1091="","conflicting category",IF(NOT(OR(EXACT(K1091,"sale"),EXACT(K1091,"refund"))),"unknown event",IF(OR(N1091="",NOT(O1091)),"invalid amount",IF(OR(AND(K1091="sale",N1091&lt;=0),AND(K1091="refund",N1091&gt;=0)),"invalid sign","")))))))))</f>
        <v/>
      </c>
      <c r="U1091" s="1" t="str">
        <f t="shared" si="133"/>
        <v>INCLUDED</v>
      </c>
      <c r="V1091" s="1" t="str">
        <f t="shared" si="134"/>
        <v>2026-01</v>
      </c>
      <c r="W1091" s="1">
        <f>IF(AND(U1091="INCLUDED",X1091&gt;0,EXACT(A1091,'AI output'!A1091)),1,0)</f>
        <v>1</v>
      </c>
      <c r="X1091" s="1">
        <f>1091</f>
        <v>1091</v>
      </c>
      <c r="Y1091" s="1">
        <f>IF(AND(U1091="INCLUDED",W1091=1),--(NOT(EXACT(A1091,'AI output'!A1091)))+--(NOT(EXACT(B1091,'AI output'!B1091)))+--(NOT(EXACT(TEXT(G1091,"yyyy-mm-dd"),'AI output'!C1091)))+--(NOT(EXACT(H1091,'AI output'!D1091)))+--(NOT(EXACT(J1091,'AI output'!E1091)))+--(NOT(EXACT(K1091,'AI output'!F1091)))+--(N1091&lt;&gt;'AI output'!L1091)+--(NOT('AI output'!M1091)),0)</f>
        <v>0</v>
      </c>
      <c r="Z1091" s="1">
        <f t="shared" si="135"/>
        <v>0</v>
      </c>
      <c r="AA1091" s="1">
        <f>--EXACT(A1091,"L01085")</f>
        <v>1</v>
      </c>
    </row>
    <row r="1092" spans="1:27" ht="18.95" customHeight="1">
      <c r="A1092" s="1" t="str">
        <f>IF(Raw!A1092="","",Raw!A1092)</f>
        <v>L01086</v>
      </c>
      <c r="B1092" s="1" t="str">
        <f>IF(Raw!B1092="","",Raw!B1092)</f>
        <v>T00543</v>
      </c>
      <c r="C1092" s="1" t="str">
        <f>IF(Raw!C1092="","",Raw!C1092)</f>
        <v>2026-01-15</v>
      </c>
      <c r="D1092" s="1">
        <f t="shared" si="128"/>
        <v>2026</v>
      </c>
      <c r="E1092" s="1">
        <f>IFERROR(IF(AND(LEN(C1092)=10,MID(C1092,5,1)="-",MID(C1092,8,1)="-"),VALUE(MID(C1092,6,2)),IF(AND(LEN(C1092)=11,MID(C1092,3,1)="-",MID(C1092,7,1)="-"),MATCH(UPPER(MID(C1092,4,3)),Guide!$D$7:$D$18,0),0)),0)</f>
        <v>1</v>
      </c>
      <c r="F1092" s="1">
        <f t="shared" si="129"/>
        <v>15</v>
      </c>
      <c r="G1092" s="9">
        <f t="shared" si="130"/>
        <v>46037</v>
      </c>
      <c r="H1092" s="1" t="str">
        <f>IF(Raw!D1092="","",Raw!D1092)</f>
        <v>P-O</v>
      </c>
      <c r="I1092" s="1" t="str">
        <f>IFERROR(IF(EXACT(H1092,INDEX(Guide!$A$7:$A$9,MATCH(SUBSTITUTE(SUBSTITUTE(SUBSTITUTE(H1092,"~","~~"),"*","~*"),"?","~?"),Guide!$A$7:$A$9,0))),INDEX(Guide!$B$7:$B$9,MATCH(SUBSTITUTE(SUBSTITUTE(SUBSTITUTE(H1092,"~","~~"),"*","~*"),"?","~?"),Guide!$A$7:$A$9,0)),""),"")</f>
        <v>Office</v>
      </c>
      <c r="J1092" s="1" t="str">
        <f>IF(TRIM(Raw!E1092)="",I1092,IF(UPPER(TRIM(Raw!E1092))=UPPER(I1092),I1092,""))</f>
        <v>Office</v>
      </c>
      <c r="K1092" s="1" t="str">
        <f>IF(Raw!F1092="","",Raw!F1092)</f>
        <v>sale</v>
      </c>
      <c r="L1092" s="1" t="str">
        <f>IF(LEFT(TRIM(Raw!G1092),2)="-$","-"&amp;MID(TRIM(Raw!G1092),3,99),IF(LEFT(TRIM(Raw!G1092),1)="$",MID(TRIM(Raw!G1092),2,99),TRIM(Raw!G1092)))</f>
        <v>46.44</v>
      </c>
      <c r="M1092" s="1">
        <f t="shared" si="131"/>
        <v>46.44</v>
      </c>
      <c r="N1092" s="10">
        <f t="shared" si="132"/>
        <v>4644</v>
      </c>
      <c r="O1092" s="1" t="b">
        <f>IFERROR(IF(ISNUMBER(Raw!G1092),TRUE,OR(EXACT(L1092,TEXT(M1092,"0.00")),EXACT(L1092,TEXT(M1092,"#,##0.00")))),FALSE)</f>
        <v>1</v>
      </c>
      <c r="P1092" s="1" t="str">
        <f>LEN(IF(Raw!A1092="","",Raw!A1092))&amp;":"&amp;IF(Raw!A1092="","",Raw!A1092)&amp;"|"&amp;LEN(IF(Raw!B1092="","",Raw!B1092))&amp;":"&amp;IF(Raw!B1092="","",Raw!B1092)&amp;"|"&amp;LEN(IF(Raw!C1092="","",Raw!C1092))&amp;":"&amp;IF(Raw!C1092="","",Raw!C1092)&amp;"|"&amp;LEN(IF(Raw!D1092="","",Raw!D1092))&amp;":"&amp;IF(Raw!D1092="","",Raw!D1092)&amp;"|"&amp;LEN(IF(Raw!E1092="","",Raw!E1092))&amp;":"&amp;IF(Raw!E1092="","",Raw!E1092)&amp;"|"&amp;LEN(IF(Raw!F1092="","",Raw!F1092))&amp;":"&amp;IF(Raw!F1092="","",Raw!F1092)&amp;"|"&amp;LEN(IF(Raw!G1092="","",Raw!G1092))&amp;":"&amp;IF(Raw!G1092="","",Raw!G1092)</f>
        <v>6:L01086|6:T00543|10:2026-01-15|3:P-O|6:Office|4:sale|5:46.44</v>
      </c>
      <c r="Q1092" s="1">
        <f>1</f>
        <v>1</v>
      </c>
      <c r="R1092" s="1" t="b">
        <f>FALSE</f>
        <v>0</v>
      </c>
      <c r="S1092" s="1">
        <f>1</f>
        <v>1</v>
      </c>
      <c r="T1092" s="1" t="str">
        <f>IF(AND(Raw!A1092="",Raw!B1092="",Raw!C1092="",Raw!D1092="",Raw!E1092="",Raw!F1092="",Raw!G1092=""),"UNUSED",IF(A1092="","missing line ID",IF(B1092="","missing transaction ID",IF(G1092="",IF(C1092="","missing date","invalid date"),IF(I1092="","unknown product",IF(J1092="","conflicting category",IF(NOT(OR(EXACT(K1092,"sale"),EXACT(K1092,"refund"))),"unknown event",IF(OR(N1092="",NOT(O1092)),"invalid amount",IF(OR(AND(K1092="sale",N1092&lt;=0),AND(K1092="refund",N1092&gt;=0)),"invalid sign","")))))))))</f>
        <v/>
      </c>
      <c r="U1092" s="1" t="str">
        <f t="shared" si="133"/>
        <v>INCLUDED</v>
      </c>
      <c r="V1092" s="1" t="str">
        <f t="shared" si="134"/>
        <v>2026-01</v>
      </c>
      <c r="W1092" s="1">
        <f>IF(AND(U1092="INCLUDED",X1092&gt;0,EXACT(A1092,'AI output'!A1092)),1,0)</f>
        <v>1</v>
      </c>
      <c r="X1092" s="1">
        <f>1092</f>
        <v>1092</v>
      </c>
      <c r="Y1092" s="1">
        <f>IF(AND(U1092="INCLUDED",W1092=1),--(NOT(EXACT(A1092,'AI output'!A1092)))+--(NOT(EXACT(B1092,'AI output'!B1092)))+--(NOT(EXACT(TEXT(G1092,"yyyy-mm-dd"),'AI output'!C1092)))+--(NOT(EXACT(H1092,'AI output'!D1092)))+--(NOT(EXACT(J1092,'AI output'!E1092)))+--(NOT(EXACT(K1092,'AI output'!F1092)))+--(N1092&lt;&gt;'AI output'!L1092)+--(NOT('AI output'!M1092)),0)</f>
        <v>0</v>
      </c>
      <c r="Z1092" s="1">
        <f t="shared" si="135"/>
        <v>0</v>
      </c>
      <c r="AA1092" s="1">
        <f>--EXACT(A1092,"L01086")</f>
        <v>1</v>
      </c>
    </row>
    <row r="1093" spans="1:27" ht="18.95" customHeight="1">
      <c r="A1093" s="1" t="str">
        <f>IF(Raw!A1093="","",Raw!A1093)</f>
        <v>L01087</v>
      </c>
      <c r="B1093" s="1" t="str">
        <f>IF(Raw!B1093="","",Raw!B1093)</f>
        <v>T00544</v>
      </c>
      <c r="C1093" s="1" t="str">
        <f>IF(Raw!C1093="","",Raw!C1093)</f>
        <v>2026-01-22</v>
      </c>
      <c r="D1093" s="1">
        <f t="shared" si="128"/>
        <v>2026</v>
      </c>
      <c r="E1093" s="1">
        <f>IFERROR(IF(AND(LEN(C1093)=10,MID(C1093,5,1)="-",MID(C1093,8,1)="-"),VALUE(MID(C1093,6,2)),IF(AND(LEN(C1093)=11,MID(C1093,3,1)="-",MID(C1093,7,1)="-"),MATCH(UPPER(MID(C1093,4,3)),Guide!$D$7:$D$18,0),0)),0)</f>
        <v>1</v>
      </c>
      <c r="F1093" s="1">
        <f t="shared" si="129"/>
        <v>22</v>
      </c>
      <c r="G1093" s="9">
        <f t="shared" si="130"/>
        <v>46044</v>
      </c>
      <c r="H1093" s="1" t="str">
        <f>IF(Raw!D1093="","",Raw!D1093)</f>
        <v>P-A</v>
      </c>
      <c r="I1093" s="1" t="str">
        <f>IFERROR(IF(EXACT(H1093,INDEX(Guide!$A$7:$A$9,MATCH(SUBSTITUTE(SUBSTITUTE(SUBSTITUTE(H1093,"~","~~"),"*","~*"),"?","~?"),Guide!$A$7:$A$9,0))),INDEX(Guide!$B$7:$B$9,MATCH(SUBSTITUTE(SUBSTITUTE(SUBSTITUTE(H1093,"~","~~"),"*","~*"),"?","~?"),Guide!$A$7:$A$9,0)),""),"")</f>
        <v>Accessories</v>
      </c>
      <c r="J1093" s="1" t="str">
        <f>IF(TRIM(Raw!E1093)="",I1093,IF(UPPER(TRIM(Raw!E1093))=UPPER(I1093),I1093,""))</f>
        <v>Accessories</v>
      </c>
      <c r="K1093" s="1" t="str">
        <f>IF(Raw!F1093="","",Raw!F1093)</f>
        <v>sale</v>
      </c>
      <c r="L1093" s="1" t="str">
        <f>IF(LEFT(TRIM(Raw!G1093),2)="-$","-"&amp;MID(TRIM(Raw!G1093),3,99),IF(LEFT(TRIM(Raw!G1093),1)="$",MID(TRIM(Raw!G1093),2,99),TRIM(Raw!G1093)))</f>
        <v>140.43</v>
      </c>
      <c r="M1093" s="1">
        <f t="shared" si="131"/>
        <v>140.43</v>
      </c>
      <c r="N1093" s="10">
        <f t="shared" si="132"/>
        <v>14043</v>
      </c>
      <c r="O1093" s="1" t="b">
        <f>IFERROR(IF(ISNUMBER(Raw!G1093),TRUE,OR(EXACT(L1093,TEXT(M1093,"0.00")),EXACT(L1093,TEXT(M1093,"#,##0.00")))),FALSE)</f>
        <v>1</v>
      </c>
      <c r="P1093" s="1" t="str">
        <f>LEN(IF(Raw!A1093="","",Raw!A1093))&amp;":"&amp;IF(Raw!A1093="","",Raw!A1093)&amp;"|"&amp;LEN(IF(Raw!B1093="","",Raw!B1093))&amp;":"&amp;IF(Raw!B1093="","",Raw!B1093)&amp;"|"&amp;LEN(IF(Raw!C1093="","",Raw!C1093))&amp;":"&amp;IF(Raw!C1093="","",Raw!C1093)&amp;"|"&amp;LEN(IF(Raw!D1093="","",Raw!D1093))&amp;":"&amp;IF(Raw!D1093="","",Raw!D1093)&amp;"|"&amp;LEN(IF(Raw!E1093="","",Raw!E1093))&amp;":"&amp;IF(Raw!E1093="","",Raw!E1093)&amp;"|"&amp;LEN(IF(Raw!F1093="","",Raw!F1093))&amp;":"&amp;IF(Raw!F1093="","",Raw!F1093)&amp;"|"&amp;LEN(IF(Raw!G1093="","",Raw!G1093))&amp;":"&amp;IF(Raw!G1093="","",Raw!G1093)</f>
        <v>6:L01087|6:T00544|10:2026-01-22|3:P-A|11:Accessories|4:sale|6:140.43</v>
      </c>
      <c r="Q1093" s="1">
        <f>1</f>
        <v>1</v>
      </c>
      <c r="R1093" s="1" t="b">
        <f>FALSE</f>
        <v>0</v>
      </c>
      <c r="S1093" s="1">
        <f>1</f>
        <v>1</v>
      </c>
      <c r="T1093" s="1" t="str">
        <f>IF(AND(Raw!A1093="",Raw!B1093="",Raw!C1093="",Raw!D1093="",Raw!E1093="",Raw!F1093="",Raw!G1093=""),"UNUSED",IF(A1093="","missing line ID",IF(B1093="","missing transaction ID",IF(G1093="",IF(C1093="","missing date","invalid date"),IF(I1093="","unknown product",IF(J1093="","conflicting category",IF(NOT(OR(EXACT(K1093,"sale"),EXACT(K1093,"refund"))),"unknown event",IF(OR(N1093="",NOT(O1093)),"invalid amount",IF(OR(AND(K1093="sale",N1093&lt;=0),AND(K1093="refund",N1093&gt;=0)),"invalid sign","")))))))))</f>
        <v/>
      </c>
      <c r="U1093" s="1" t="str">
        <f t="shared" si="133"/>
        <v>INCLUDED</v>
      </c>
      <c r="V1093" s="1" t="str">
        <f t="shared" si="134"/>
        <v>2026-01</v>
      </c>
      <c r="W1093" s="1">
        <f>IF(AND(U1093="INCLUDED",X1093&gt;0,EXACT(A1093,'AI output'!A1093)),1,0)</f>
        <v>1</v>
      </c>
      <c r="X1093" s="1">
        <f>1093</f>
        <v>1093</v>
      </c>
      <c r="Y1093" s="1">
        <f>IF(AND(U1093="INCLUDED",W1093=1),--(NOT(EXACT(A1093,'AI output'!A1093)))+--(NOT(EXACT(B1093,'AI output'!B1093)))+--(NOT(EXACT(TEXT(G1093,"yyyy-mm-dd"),'AI output'!C1093)))+--(NOT(EXACT(H1093,'AI output'!D1093)))+--(NOT(EXACT(J1093,'AI output'!E1093)))+--(NOT(EXACT(K1093,'AI output'!F1093)))+--(N1093&lt;&gt;'AI output'!L1093)+--(NOT('AI output'!M1093)),0)</f>
        <v>0</v>
      </c>
      <c r="Z1093" s="1">
        <f t="shared" si="135"/>
        <v>0</v>
      </c>
      <c r="AA1093" s="1">
        <f>--EXACT(A1093,"L01087")</f>
        <v>1</v>
      </c>
    </row>
    <row r="1094" spans="1:27" ht="18.95" customHeight="1">
      <c r="A1094" s="1" t="str">
        <f>IF(Raw!A1094="","",Raw!A1094)</f>
        <v>L01088</v>
      </c>
      <c r="B1094" s="1" t="str">
        <f>IF(Raw!B1094="","",Raw!B1094)</f>
        <v>T00544</v>
      </c>
      <c r="C1094" s="1" t="str">
        <f>IF(Raw!C1094="","",Raw!C1094)</f>
        <v>2026-01-22</v>
      </c>
      <c r="D1094" s="1">
        <f t="shared" si="128"/>
        <v>2026</v>
      </c>
      <c r="E1094" s="1">
        <f>IFERROR(IF(AND(LEN(C1094)=10,MID(C1094,5,1)="-",MID(C1094,8,1)="-"),VALUE(MID(C1094,6,2)),IF(AND(LEN(C1094)=11,MID(C1094,3,1)="-",MID(C1094,7,1)="-"),MATCH(UPPER(MID(C1094,4,3)),Guide!$D$7:$D$18,0),0)),0)</f>
        <v>1</v>
      </c>
      <c r="F1094" s="1">
        <f t="shared" si="129"/>
        <v>22</v>
      </c>
      <c r="G1094" s="9">
        <f t="shared" si="130"/>
        <v>46044</v>
      </c>
      <c r="H1094" s="1" t="str">
        <f>IF(Raw!D1094="","",Raw!D1094)</f>
        <v>P-H</v>
      </c>
      <c r="I1094" s="1" t="str">
        <f>IFERROR(IF(EXACT(H1094,INDEX(Guide!$A$7:$A$9,MATCH(SUBSTITUTE(SUBSTITUTE(SUBSTITUTE(H1094,"~","~~"),"*","~*"),"?","~?"),Guide!$A$7:$A$9,0))),INDEX(Guide!$B$7:$B$9,MATCH(SUBSTITUTE(SUBSTITUTE(SUBSTITUTE(H1094,"~","~~"),"*","~*"),"?","~?"),Guide!$A$7:$A$9,0)),""),"")</f>
        <v>Home</v>
      </c>
      <c r="J1094" s="1" t="str">
        <f>IF(TRIM(Raw!E1094)="",I1094,IF(UPPER(TRIM(Raw!E1094))=UPPER(I1094),I1094,""))</f>
        <v>Home</v>
      </c>
      <c r="K1094" s="1" t="str">
        <f>IF(Raw!F1094="","",Raw!F1094)</f>
        <v>sale</v>
      </c>
      <c r="L1094" s="1" t="str">
        <f>IF(LEFT(TRIM(Raw!G1094),2)="-$","-"&amp;MID(TRIM(Raw!G1094),3,99),IF(LEFT(TRIM(Raw!G1094),1)="$",MID(TRIM(Raw!G1094),2,99),TRIM(Raw!G1094)))</f>
        <v>235.90</v>
      </c>
      <c r="M1094" s="1">
        <f t="shared" si="131"/>
        <v>235.9</v>
      </c>
      <c r="N1094" s="10">
        <f t="shared" si="132"/>
        <v>23590</v>
      </c>
      <c r="O1094" s="1" t="b">
        <f>IFERROR(IF(ISNUMBER(Raw!G1094),TRUE,OR(EXACT(L1094,TEXT(M1094,"0.00")),EXACT(L1094,TEXT(M1094,"#,##0.00")))),FALSE)</f>
        <v>1</v>
      </c>
      <c r="P1094" s="1" t="str">
        <f>LEN(IF(Raw!A1094="","",Raw!A1094))&amp;":"&amp;IF(Raw!A1094="","",Raw!A1094)&amp;"|"&amp;LEN(IF(Raw!B1094="","",Raw!B1094))&amp;":"&amp;IF(Raw!B1094="","",Raw!B1094)&amp;"|"&amp;LEN(IF(Raw!C1094="","",Raw!C1094))&amp;":"&amp;IF(Raw!C1094="","",Raw!C1094)&amp;"|"&amp;LEN(IF(Raw!D1094="","",Raw!D1094))&amp;":"&amp;IF(Raw!D1094="","",Raw!D1094)&amp;"|"&amp;LEN(IF(Raw!E1094="","",Raw!E1094))&amp;":"&amp;IF(Raw!E1094="","",Raw!E1094)&amp;"|"&amp;LEN(IF(Raw!F1094="","",Raw!F1094))&amp;":"&amp;IF(Raw!F1094="","",Raw!F1094)&amp;"|"&amp;LEN(IF(Raw!G1094="","",Raw!G1094))&amp;":"&amp;IF(Raw!G1094="","",Raw!G1094)</f>
        <v>6:L01088|6:T00544|10:2026-01-22|3:P-H|4:Home|4:sale|6:235.90</v>
      </c>
      <c r="Q1094" s="1">
        <f>1</f>
        <v>1</v>
      </c>
      <c r="R1094" s="1" t="b">
        <f>FALSE</f>
        <v>0</v>
      </c>
      <c r="S1094" s="1">
        <f>1</f>
        <v>1</v>
      </c>
      <c r="T1094" s="1" t="str">
        <f>IF(AND(Raw!A1094="",Raw!B1094="",Raw!C1094="",Raw!D1094="",Raw!E1094="",Raw!F1094="",Raw!G1094=""),"UNUSED",IF(A1094="","missing line ID",IF(B1094="","missing transaction ID",IF(G1094="",IF(C1094="","missing date","invalid date"),IF(I1094="","unknown product",IF(J1094="","conflicting category",IF(NOT(OR(EXACT(K1094,"sale"),EXACT(K1094,"refund"))),"unknown event",IF(OR(N1094="",NOT(O1094)),"invalid amount",IF(OR(AND(K1094="sale",N1094&lt;=0),AND(K1094="refund",N1094&gt;=0)),"invalid sign","")))))))))</f>
        <v/>
      </c>
      <c r="U1094" s="1" t="str">
        <f t="shared" si="133"/>
        <v>INCLUDED</v>
      </c>
      <c r="V1094" s="1" t="str">
        <f t="shared" si="134"/>
        <v>2026-01</v>
      </c>
      <c r="W1094" s="1">
        <f>IF(AND(U1094="INCLUDED",X1094&gt;0,EXACT(A1094,'AI output'!A1094)),1,0)</f>
        <v>1</v>
      </c>
      <c r="X1094" s="1">
        <f>1094</f>
        <v>1094</v>
      </c>
      <c r="Y1094" s="1">
        <f>IF(AND(U1094="INCLUDED",W1094=1),--(NOT(EXACT(A1094,'AI output'!A1094)))+--(NOT(EXACT(B1094,'AI output'!B1094)))+--(NOT(EXACT(TEXT(G1094,"yyyy-mm-dd"),'AI output'!C1094)))+--(NOT(EXACT(H1094,'AI output'!D1094)))+--(NOT(EXACT(J1094,'AI output'!E1094)))+--(NOT(EXACT(K1094,'AI output'!F1094)))+--(N1094&lt;&gt;'AI output'!L1094)+--(NOT('AI output'!M1094)),0)</f>
        <v>0</v>
      </c>
      <c r="Z1094" s="1">
        <f t="shared" si="135"/>
        <v>0</v>
      </c>
      <c r="AA1094" s="1">
        <f>--EXACT(A1094,"L01088")</f>
        <v>1</v>
      </c>
    </row>
    <row r="1095" spans="1:27" ht="18.95" customHeight="1">
      <c r="A1095" s="1" t="str">
        <f>IF(Raw!A1095="","",Raw!A1095)</f>
        <v>L01089</v>
      </c>
      <c r="B1095" s="1" t="str">
        <f>IF(Raw!B1095="","",Raw!B1095)</f>
        <v>T00545</v>
      </c>
      <c r="C1095" s="1" t="str">
        <f>IF(Raw!C1095="","",Raw!C1095)</f>
        <v>2026-01-29</v>
      </c>
      <c r="D1095" s="1">
        <f t="shared" ref="D1095:D1158" si="136">IFERROR(IF(AND(LEN(C1095)=10,MID(C1095,5,1)="-",MID(C1095,8,1)="-"),VALUE(LEFT(C1095,4)),IF(AND(LEN(C1095)=11,MID(C1095,3,1)="-",MID(C1095,7,1)="-"),VALUE(RIGHT(C1095,4)),0)),0)</f>
        <v>2026</v>
      </c>
      <c r="E1095" s="1">
        <f>IFERROR(IF(AND(LEN(C1095)=10,MID(C1095,5,1)="-",MID(C1095,8,1)="-"),VALUE(MID(C1095,6,2)),IF(AND(LEN(C1095)=11,MID(C1095,3,1)="-",MID(C1095,7,1)="-"),MATCH(UPPER(MID(C1095,4,3)),Guide!$D$7:$D$18,0),0)),0)</f>
        <v>1</v>
      </c>
      <c r="F1095" s="1">
        <f t="shared" ref="F1095:F1158" si="137">IFERROR(IF(AND(LEN(C1095)=10,MID(C1095,5,1)="-",MID(C1095,8,1)="-"),VALUE(RIGHT(C1095,2)),IF(AND(LEN(C1095)=11,MID(C1095,3,1)="-",MID(C1095,7,1)="-"),VALUE(LEFT(C1095,2)),0)),0)</f>
        <v>29</v>
      </c>
      <c r="G1095" s="9">
        <f t="shared" ref="G1095:G1158" si="138">IFERROR(IF(AND(D1095&gt;=1900,D1095&lt;=9999,YEAR(DATE(D1095,E1095,F1095))=D1095,MONTH(DATE(D1095,E1095,F1095))=E1095,DAY(DATE(D1095,E1095,F1095))=F1095),DATE(D1095,E1095,F1095),""),"")</f>
        <v>46051</v>
      </c>
      <c r="H1095" s="1" t="str">
        <f>IF(Raw!D1095="","",Raw!D1095)</f>
        <v>P-O</v>
      </c>
      <c r="I1095" s="1" t="str">
        <f>IFERROR(IF(EXACT(H1095,INDEX(Guide!$A$7:$A$9,MATCH(SUBSTITUTE(SUBSTITUTE(SUBSTITUTE(H1095,"~","~~"),"*","~*"),"?","~?"),Guide!$A$7:$A$9,0))),INDEX(Guide!$B$7:$B$9,MATCH(SUBSTITUTE(SUBSTITUTE(SUBSTITUTE(H1095,"~","~~"),"*","~*"),"?","~?"),Guide!$A$7:$A$9,0)),""),"")</f>
        <v>Office</v>
      </c>
      <c r="J1095" s="1" t="str">
        <f>IF(TRIM(Raw!E1095)="",I1095,IF(UPPER(TRIM(Raw!E1095))=UPPER(I1095),I1095,""))</f>
        <v>Office</v>
      </c>
      <c r="K1095" s="1" t="str">
        <f>IF(Raw!F1095="","",Raw!F1095)</f>
        <v>sale</v>
      </c>
      <c r="L1095" s="1" t="str">
        <f>IF(LEFT(TRIM(Raw!G1095),2)="-$","-"&amp;MID(TRIM(Raw!G1095),3,99),IF(LEFT(TRIM(Raw!G1095),1)="$",MID(TRIM(Raw!G1095),2,99),TRIM(Raw!G1095)))</f>
        <v>95.10</v>
      </c>
      <c r="M1095" s="1">
        <f t="shared" ref="M1095:M1158" si="139">IFERROR(VALUE(L1095),"")</f>
        <v>95.1</v>
      </c>
      <c r="N1095" s="10">
        <f t="shared" ref="N1095:N1158" si="140">IF(AND(ISNUMBER(M1095),ABS(M1095*100-ROUND(M1095*100,0))&lt;0.0000001),ROUND(M1095*100,0),"")</f>
        <v>9510</v>
      </c>
      <c r="O1095" s="1" t="b">
        <f>IFERROR(IF(ISNUMBER(Raw!G1095),TRUE,OR(EXACT(L1095,TEXT(M1095,"0.00")),EXACT(L1095,TEXT(M1095,"#,##0.00")))),FALSE)</f>
        <v>1</v>
      </c>
      <c r="P1095" s="1" t="str">
        <f>LEN(IF(Raw!A1095="","",Raw!A1095))&amp;":"&amp;IF(Raw!A1095="","",Raw!A1095)&amp;"|"&amp;LEN(IF(Raw!B1095="","",Raw!B1095))&amp;":"&amp;IF(Raw!B1095="","",Raw!B1095)&amp;"|"&amp;LEN(IF(Raw!C1095="","",Raw!C1095))&amp;":"&amp;IF(Raw!C1095="","",Raw!C1095)&amp;"|"&amp;LEN(IF(Raw!D1095="","",Raw!D1095))&amp;":"&amp;IF(Raw!D1095="","",Raw!D1095)&amp;"|"&amp;LEN(IF(Raw!E1095="","",Raw!E1095))&amp;":"&amp;IF(Raw!E1095="","",Raw!E1095)&amp;"|"&amp;LEN(IF(Raw!F1095="","",Raw!F1095))&amp;":"&amp;IF(Raw!F1095="","",Raw!F1095)&amp;"|"&amp;LEN(IF(Raw!G1095="","",Raw!G1095))&amp;":"&amp;IF(Raw!G1095="","",Raw!G1095)</f>
        <v>6:L01089|6:T00545|10:2026-01-29|3:P-O|6:Office|4:sale|5:95.10</v>
      </c>
      <c r="Q1095" s="1">
        <f>1</f>
        <v>1</v>
      </c>
      <c r="R1095" s="1" t="b">
        <f>FALSE</f>
        <v>0</v>
      </c>
      <c r="S1095" s="1">
        <f>1</f>
        <v>1</v>
      </c>
      <c r="T1095" s="1" t="str">
        <f>IF(AND(Raw!A1095="",Raw!B1095="",Raw!C1095="",Raw!D1095="",Raw!E1095="",Raw!F1095="",Raw!G1095=""),"UNUSED",IF(A1095="","missing line ID",IF(B1095="","missing transaction ID",IF(G1095="",IF(C1095="","missing date","invalid date"),IF(I1095="","unknown product",IF(J1095="","conflicting category",IF(NOT(OR(EXACT(K1095,"sale"),EXACT(K1095,"refund"))),"unknown event",IF(OR(N1095="",NOT(O1095)),"invalid amount",IF(OR(AND(K1095="sale",N1095&lt;=0),AND(K1095="refund",N1095&gt;=0)),"invalid sign","")))))))))</f>
        <v/>
      </c>
      <c r="U1095" s="1" t="str">
        <f t="shared" ref="U1095:U1158" si="141">IF(T1095="UNUSED","UNUSED",IF(R1095,"QUARANTINE",IF(S1095&gt;1,"DUPLICATE",IF(T1095&lt;&gt;"","QUARANTINE","INCLUDED"))))</f>
        <v>INCLUDED</v>
      </c>
      <c r="V1095" s="1" t="str">
        <f t="shared" ref="V1095:V1158" si="142">IF(G1095="","",TEXT(G1095,"yyyy-mm"))</f>
        <v>2026-01</v>
      </c>
      <c r="W1095" s="1">
        <f>IF(AND(U1095="INCLUDED",X1095&gt;0,EXACT(A1095,'AI output'!A1095)),1,0)</f>
        <v>1</v>
      </c>
      <c r="X1095" s="1">
        <f>1095</f>
        <v>1095</v>
      </c>
      <c r="Y1095" s="1">
        <f>IF(AND(U1095="INCLUDED",W1095=1),--(NOT(EXACT(A1095,'AI output'!A1095)))+--(NOT(EXACT(B1095,'AI output'!B1095)))+--(NOT(EXACT(TEXT(G1095,"yyyy-mm-dd"),'AI output'!C1095)))+--(NOT(EXACT(H1095,'AI output'!D1095)))+--(NOT(EXACT(J1095,'AI output'!E1095)))+--(NOT(EXACT(K1095,'AI output'!F1095)))+--(N1095&lt;&gt;'AI output'!L1095)+--(NOT('AI output'!M1095)),0)</f>
        <v>0</v>
      </c>
      <c r="Z1095" s="1">
        <f t="shared" ref="Z1095:Z1158" si="143">IF(U1095="INCLUDED",IF(OR(W1095&lt;&gt;1,Y1095&lt;&gt;0),1,0),0)</f>
        <v>0</v>
      </c>
      <c r="AA1095" s="1">
        <f>--EXACT(A1095,"L01089")</f>
        <v>1</v>
      </c>
    </row>
    <row r="1096" spans="1:27" ht="18.95" customHeight="1">
      <c r="A1096" s="1" t="str">
        <f>IF(Raw!A1096="","",Raw!A1096)</f>
        <v>L01090</v>
      </c>
      <c r="B1096" s="1" t="str">
        <f>IF(Raw!B1096="","",Raw!B1096)</f>
        <v>T00545</v>
      </c>
      <c r="C1096" s="1" t="str">
        <f>IF(Raw!C1096="","",Raw!C1096)</f>
        <v>2026-01-29</v>
      </c>
      <c r="D1096" s="1">
        <f t="shared" si="136"/>
        <v>2026</v>
      </c>
      <c r="E1096" s="1">
        <f>IFERROR(IF(AND(LEN(C1096)=10,MID(C1096,5,1)="-",MID(C1096,8,1)="-"),VALUE(MID(C1096,6,2)),IF(AND(LEN(C1096)=11,MID(C1096,3,1)="-",MID(C1096,7,1)="-"),MATCH(UPPER(MID(C1096,4,3)),Guide!$D$7:$D$18,0),0)),0)</f>
        <v>1</v>
      </c>
      <c r="F1096" s="1">
        <f t="shared" si="137"/>
        <v>29</v>
      </c>
      <c r="G1096" s="9">
        <f t="shared" si="138"/>
        <v>46051</v>
      </c>
      <c r="H1096" s="1" t="str">
        <f>IF(Raw!D1096="","",Raw!D1096)</f>
        <v>P-A</v>
      </c>
      <c r="I1096" s="1" t="str">
        <f>IFERROR(IF(EXACT(H1096,INDEX(Guide!$A$7:$A$9,MATCH(SUBSTITUTE(SUBSTITUTE(SUBSTITUTE(H1096,"~","~~"),"*","~*"),"?","~?"),Guide!$A$7:$A$9,0))),INDEX(Guide!$B$7:$B$9,MATCH(SUBSTITUTE(SUBSTITUTE(SUBSTITUTE(H1096,"~","~~"),"*","~*"),"?","~?"),Guide!$A$7:$A$9,0)),""),"")</f>
        <v>Accessories</v>
      </c>
      <c r="J1096" s="1" t="str">
        <f>IF(TRIM(Raw!E1096)="",I1096,IF(UPPER(TRIM(Raw!E1096))=UPPER(I1096),I1096,""))</f>
        <v>Accessories</v>
      </c>
      <c r="K1096" s="1" t="str">
        <f>IF(Raw!F1096="","",Raw!F1096)</f>
        <v>sale</v>
      </c>
      <c r="L1096" s="1" t="str">
        <f>IF(LEFT(TRIM(Raw!G1096),2)="-$","-"&amp;MID(TRIM(Raw!G1096),3,99),IF(LEFT(TRIM(Raw!G1096),1)="$",MID(TRIM(Raw!G1096),2,99),TRIM(Raw!G1096)))</f>
        <v>191.68</v>
      </c>
      <c r="M1096" s="1">
        <f t="shared" si="139"/>
        <v>191.68</v>
      </c>
      <c r="N1096" s="10">
        <f t="shared" si="140"/>
        <v>19168</v>
      </c>
      <c r="O1096" s="1" t="b">
        <f>IFERROR(IF(ISNUMBER(Raw!G1096),TRUE,OR(EXACT(L1096,TEXT(M1096,"0.00")),EXACT(L1096,TEXT(M1096,"#,##0.00")))),FALSE)</f>
        <v>1</v>
      </c>
      <c r="P1096" s="1" t="str">
        <f>LEN(IF(Raw!A1096="","",Raw!A1096))&amp;":"&amp;IF(Raw!A1096="","",Raw!A1096)&amp;"|"&amp;LEN(IF(Raw!B1096="","",Raw!B1096))&amp;":"&amp;IF(Raw!B1096="","",Raw!B1096)&amp;"|"&amp;LEN(IF(Raw!C1096="","",Raw!C1096))&amp;":"&amp;IF(Raw!C1096="","",Raw!C1096)&amp;"|"&amp;LEN(IF(Raw!D1096="","",Raw!D1096))&amp;":"&amp;IF(Raw!D1096="","",Raw!D1096)&amp;"|"&amp;LEN(IF(Raw!E1096="","",Raw!E1096))&amp;":"&amp;IF(Raw!E1096="","",Raw!E1096)&amp;"|"&amp;LEN(IF(Raw!F1096="","",Raw!F1096))&amp;":"&amp;IF(Raw!F1096="","",Raw!F1096)&amp;"|"&amp;LEN(IF(Raw!G1096="","",Raw!G1096))&amp;":"&amp;IF(Raw!G1096="","",Raw!G1096)</f>
        <v>6:L01090|6:T00545|10:2026-01-29|3:P-A|11:Accessories|4:sale|6:191.68</v>
      </c>
      <c r="Q1096" s="1">
        <f>1</f>
        <v>1</v>
      </c>
      <c r="R1096" s="1" t="b">
        <f>FALSE</f>
        <v>0</v>
      </c>
      <c r="S1096" s="1">
        <f>1</f>
        <v>1</v>
      </c>
      <c r="T1096" s="1" t="str">
        <f>IF(AND(Raw!A1096="",Raw!B1096="",Raw!C1096="",Raw!D1096="",Raw!E1096="",Raw!F1096="",Raw!G1096=""),"UNUSED",IF(A1096="","missing line ID",IF(B1096="","missing transaction ID",IF(G1096="",IF(C1096="","missing date","invalid date"),IF(I1096="","unknown product",IF(J1096="","conflicting category",IF(NOT(OR(EXACT(K1096,"sale"),EXACT(K1096,"refund"))),"unknown event",IF(OR(N1096="",NOT(O1096)),"invalid amount",IF(OR(AND(K1096="sale",N1096&lt;=0),AND(K1096="refund",N1096&gt;=0)),"invalid sign","")))))))))</f>
        <v/>
      </c>
      <c r="U1096" s="1" t="str">
        <f t="shared" si="141"/>
        <v>INCLUDED</v>
      </c>
      <c r="V1096" s="1" t="str">
        <f t="shared" si="142"/>
        <v>2026-01</v>
      </c>
      <c r="W1096" s="1">
        <f>IF(AND(U1096="INCLUDED",X1096&gt;0,EXACT(A1096,'AI output'!A1096)),1,0)</f>
        <v>1</v>
      </c>
      <c r="X1096" s="1">
        <f>1096</f>
        <v>1096</v>
      </c>
      <c r="Y1096" s="1">
        <f>IF(AND(U1096="INCLUDED",W1096=1),--(NOT(EXACT(A1096,'AI output'!A1096)))+--(NOT(EXACT(B1096,'AI output'!B1096)))+--(NOT(EXACT(TEXT(G1096,"yyyy-mm-dd"),'AI output'!C1096)))+--(NOT(EXACT(H1096,'AI output'!D1096)))+--(NOT(EXACT(J1096,'AI output'!E1096)))+--(NOT(EXACT(K1096,'AI output'!F1096)))+--(N1096&lt;&gt;'AI output'!L1096)+--(NOT('AI output'!M1096)),0)</f>
        <v>0</v>
      </c>
      <c r="Z1096" s="1">
        <f t="shared" si="143"/>
        <v>0</v>
      </c>
      <c r="AA1096" s="1">
        <f>--EXACT(A1096,"L01090")</f>
        <v>1</v>
      </c>
    </row>
    <row r="1097" spans="1:27" ht="18.95" customHeight="1">
      <c r="A1097" s="1" t="str">
        <f>IF(Raw!A1097="","",Raw!A1097)</f>
        <v>L01091</v>
      </c>
      <c r="B1097" s="1" t="str">
        <f>IF(Raw!B1097="","",Raw!B1097)</f>
        <v>T00546</v>
      </c>
      <c r="C1097" s="1" t="str">
        <f>IF(Raw!C1097="","",Raw!C1097)</f>
        <v>2026-02-05</v>
      </c>
      <c r="D1097" s="1">
        <f t="shared" si="136"/>
        <v>2026</v>
      </c>
      <c r="E1097" s="1">
        <f>IFERROR(IF(AND(LEN(C1097)=10,MID(C1097,5,1)="-",MID(C1097,8,1)="-"),VALUE(MID(C1097,6,2)),IF(AND(LEN(C1097)=11,MID(C1097,3,1)="-",MID(C1097,7,1)="-"),MATCH(UPPER(MID(C1097,4,3)),Guide!$D$7:$D$18,0),0)),0)</f>
        <v>2</v>
      </c>
      <c r="F1097" s="1">
        <f t="shared" si="137"/>
        <v>5</v>
      </c>
      <c r="G1097" s="9">
        <f t="shared" si="138"/>
        <v>46058</v>
      </c>
      <c r="H1097" s="1" t="str">
        <f>IF(Raw!D1097="","",Raw!D1097)</f>
        <v>P-H</v>
      </c>
      <c r="I1097" s="1" t="str">
        <f>IFERROR(IF(EXACT(H1097,INDEX(Guide!$A$7:$A$9,MATCH(SUBSTITUTE(SUBSTITUTE(SUBSTITUTE(H1097,"~","~~"),"*","~*"),"?","~?"),Guide!$A$7:$A$9,0))),INDEX(Guide!$B$7:$B$9,MATCH(SUBSTITUTE(SUBSTITUTE(SUBSTITUTE(H1097,"~","~~"),"*","~*"),"?","~?"),Guide!$A$7:$A$9,0)),""),"")</f>
        <v>Home</v>
      </c>
      <c r="J1097" s="1" t="str">
        <f>IF(TRIM(Raw!E1097)="",I1097,IF(UPPER(TRIM(Raw!E1097))=UPPER(I1097),I1097,""))</f>
        <v>Home</v>
      </c>
      <c r="K1097" s="1" t="str">
        <f>IF(Raw!F1097="","",Raw!F1097)</f>
        <v>sale</v>
      </c>
      <c r="L1097" s="1" t="str">
        <f>IF(LEFT(TRIM(Raw!G1097),2)="-$","-"&amp;MID(TRIM(Raw!G1097),3,99),IF(LEFT(TRIM(Raw!G1097),1)="$",MID(TRIM(Raw!G1097),2,99),TRIM(Raw!G1097)))</f>
        <v>48.29</v>
      </c>
      <c r="M1097" s="1">
        <f t="shared" si="139"/>
        <v>48.29</v>
      </c>
      <c r="N1097" s="10">
        <f t="shared" si="140"/>
        <v>4829</v>
      </c>
      <c r="O1097" s="1" t="b">
        <f>IFERROR(IF(ISNUMBER(Raw!G1097),TRUE,OR(EXACT(L1097,TEXT(M1097,"0.00")),EXACT(L1097,TEXT(M1097,"#,##0.00")))),FALSE)</f>
        <v>1</v>
      </c>
      <c r="P1097" s="1" t="str">
        <f>LEN(IF(Raw!A1097="","",Raw!A1097))&amp;":"&amp;IF(Raw!A1097="","",Raw!A1097)&amp;"|"&amp;LEN(IF(Raw!B1097="","",Raw!B1097))&amp;":"&amp;IF(Raw!B1097="","",Raw!B1097)&amp;"|"&amp;LEN(IF(Raw!C1097="","",Raw!C1097))&amp;":"&amp;IF(Raw!C1097="","",Raw!C1097)&amp;"|"&amp;LEN(IF(Raw!D1097="","",Raw!D1097))&amp;":"&amp;IF(Raw!D1097="","",Raw!D1097)&amp;"|"&amp;LEN(IF(Raw!E1097="","",Raw!E1097))&amp;":"&amp;IF(Raw!E1097="","",Raw!E1097)&amp;"|"&amp;LEN(IF(Raw!F1097="","",Raw!F1097))&amp;":"&amp;IF(Raw!F1097="","",Raw!F1097)&amp;"|"&amp;LEN(IF(Raw!G1097="","",Raw!G1097))&amp;":"&amp;IF(Raw!G1097="","",Raw!G1097)</f>
        <v>6:L01091|6:T00546|10:2026-02-05|3:P-H|4:Home|4:sale|5:48.29</v>
      </c>
      <c r="Q1097" s="1">
        <f>1</f>
        <v>1</v>
      </c>
      <c r="R1097" s="1" t="b">
        <f>FALSE</f>
        <v>0</v>
      </c>
      <c r="S1097" s="1">
        <f>1</f>
        <v>1</v>
      </c>
      <c r="T1097" s="1" t="str">
        <f>IF(AND(Raw!A1097="",Raw!B1097="",Raw!C1097="",Raw!D1097="",Raw!E1097="",Raw!F1097="",Raw!G1097=""),"UNUSED",IF(A1097="","missing line ID",IF(B1097="","missing transaction ID",IF(G1097="",IF(C1097="","missing date","invalid date"),IF(I1097="","unknown product",IF(J1097="","conflicting category",IF(NOT(OR(EXACT(K1097,"sale"),EXACT(K1097,"refund"))),"unknown event",IF(OR(N1097="",NOT(O1097)),"invalid amount",IF(OR(AND(K1097="sale",N1097&lt;=0),AND(K1097="refund",N1097&gt;=0)),"invalid sign","")))))))))</f>
        <v/>
      </c>
      <c r="U1097" s="1" t="str">
        <f t="shared" si="141"/>
        <v>INCLUDED</v>
      </c>
      <c r="V1097" s="1" t="str">
        <f t="shared" si="142"/>
        <v>2026-02</v>
      </c>
      <c r="W1097" s="1">
        <f>IF(AND(U1097="INCLUDED",X1097&gt;0,EXACT(A1097,'AI output'!A1097)),1,0)</f>
        <v>1</v>
      </c>
      <c r="X1097" s="1">
        <f>1097</f>
        <v>1097</v>
      </c>
      <c r="Y1097" s="1">
        <f>IF(AND(U1097="INCLUDED",W1097=1),--(NOT(EXACT(A1097,'AI output'!A1097)))+--(NOT(EXACT(B1097,'AI output'!B1097)))+--(NOT(EXACT(TEXT(G1097,"yyyy-mm-dd"),'AI output'!C1097)))+--(NOT(EXACT(H1097,'AI output'!D1097)))+--(NOT(EXACT(J1097,'AI output'!E1097)))+--(NOT(EXACT(K1097,'AI output'!F1097)))+--(N1097&lt;&gt;'AI output'!L1097)+--(NOT('AI output'!M1097)),0)</f>
        <v>0</v>
      </c>
      <c r="Z1097" s="1">
        <f t="shared" si="143"/>
        <v>0</v>
      </c>
      <c r="AA1097" s="1">
        <f>--EXACT(A1097,"L01091")</f>
        <v>1</v>
      </c>
    </row>
    <row r="1098" spans="1:27" ht="18.95" customHeight="1">
      <c r="A1098" s="1" t="str">
        <f>IF(Raw!A1098="","",Raw!A1098)</f>
        <v>L01092</v>
      </c>
      <c r="B1098" s="1" t="str">
        <f>IF(Raw!B1098="","",Raw!B1098)</f>
        <v>T00546</v>
      </c>
      <c r="C1098" s="1" t="str">
        <f>IF(Raw!C1098="","",Raw!C1098)</f>
        <v>2026-02-05</v>
      </c>
      <c r="D1098" s="1">
        <f t="shared" si="136"/>
        <v>2026</v>
      </c>
      <c r="E1098" s="1">
        <f>IFERROR(IF(AND(LEN(C1098)=10,MID(C1098,5,1)="-",MID(C1098,8,1)="-"),VALUE(MID(C1098,6,2)),IF(AND(LEN(C1098)=11,MID(C1098,3,1)="-",MID(C1098,7,1)="-"),MATCH(UPPER(MID(C1098,4,3)),Guide!$D$7:$D$18,0),0)),0)</f>
        <v>2</v>
      </c>
      <c r="F1098" s="1">
        <f t="shared" si="137"/>
        <v>5</v>
      </c>
      <c r="G1098" s="9">
        <f t="shared" si="138"/>
        <v>46058</v>
      </c>
      <c r="H1098" s="1" t="str">
        <f>IF(Raw!D1098="","",Raw!D1098)</f>
        <v>P-O</v>
      </c>
      <c r="I1098" s="1" t="str">
        <f>IFERROR(IF(EXACT(H1098,INDEX(Guide!$A$7:$A$9,MATCH(SUBSTITUTE(SUBSTITUTE(SUBSTITUTE(H1098,"~","~~"),"*","~*"),"?","~?"),Guide!$A$7:$A$9,0))),INDEX(Guide!$B$7:$B$9,MATCH(SUBSTITUTE(SUBSTITUTE(SUBSTITUTE(H1098,"~","~~"),"*","~*"),"?","~?"),Guide!$A$7:$A$9,0)),""),"")</f>
        <v>Office</v>
      </c>
      <c r="J1098" s="1" t="str">
        <f>IF(TRIM(Raw!E1098)="",I1098,IF(UPPER(TRIM(Raw!E1098))=UPPER(I1098),I1098,""))</f>
        <v>Office</v>
      </c>
      <c r="K1098" s="1" t="str">
        <f>IF(Raw!F1098="","",Raw!F1098)</f>
        <v>sale</v>
      </c>
      <c r="L1098" s="1" t="str">
        <f>IF(LEFT(TRIM(Raw!G1098),2)="-$","-"&amp;MID(TRIM(Raw!G1098),3,99),IF(LEFT(TRIM(Raw!G1098),1)="$",MID(TRIM(Raw!G1098),2,99),TRIM(Raw!G1098)))</f>
        <v>145.98</v>
      </c>
      <c r="M1098" s="1">
        <f t="shared" si="139"/>
        <v>145.97999999999999</v>
      </c>
      <c r="N1098" s="10">
        <f t="shared" si="140"/>
        <v>14598</v>
      </c>
      <c r="O1098" s="1" t="b">
        <f>IFERROR(IF(ISNUMBER(Raw!G1098),TRUE,OR(EXACT(L1098,TEXT(M1098,"0.00")),EXACT(L1098,TEXT(M1098,"#,##0.00")))),FALSE)</f>
        <v>1</v>
      </c>
      <c r="P1098" s="1" t="str">
        <f>LEN(IF(Raw!A1098="","",Raw!A1098))&amp;":"&amp;IF(Raw!A1098="","",Raw!A1098)&amp;"|"&amp;LEN(IF(Raw!B1098="","",Raw!B1098))&amp;":"&amp;IF(Raw!B1098="","",Raw!B1098)&amp;"|"&amp;LEN(IF(Raw!C1098="","",Raw!C1098))&amp;":"&amp;IF(Raw!C1098="","",Raw!C1098)&amp;"|"&amp;LEN(IF(Raw!D1098="","",Raw!D1098))&amp;":"&amp;IF(Raw!D1098="","",Raw!D1098)&amp;"|"&amp;LEN(IF(Raw!E1098="","",Raw!E1098))&amp;":"&amp;IF(Raw!E1098="","",Raw!E1098)&amp;"|"&amp;LEN(IF(Raw!F1098="","",Raw!F1098))&amp;":"&amp;IF(Raw!F1098="","",Raw!F1098)&amp;"|"&amp;LEN(IF(Raw!G1098="","",Raw!G1098))&amp;":"&amp;IF(Raw!G1098="","",Raw!G1098)</f>
        <v>6:L01092|6:T00546|10:2026-02-05|3:P-O|6:Office|4:sale|6:145.98</v>
      </c>
      <c r="Q1098" s="1">
        <f>1</f>
        <v>1</v>
      </c>
      <c r="R1098" s="1" t="b">
        <f>FALSE</f>
        <v>0</v>
      </c>
      <c r="S1098" s="1">
        <f>1</f>
        <v>1</v>
      </c>
      <c r="T1098" s="1" t="str">
        <f>IF(AND(Raw!A1098="",Raw!B1098="",Raw!C1098="",Raw!D1098="",Raw!E1098="",Raw!F1098="",Raw!G1098=""),"UNUSED",IF(A1098="","missing line ID",IF(B1098="","missing transaction ID",IF(G1098="",IF(C1098="","missing date","invalid date"),IF(I1098="","unknown product",IF(J1098="","conflicting category",IF(NOT(OR(EXACT(K1098,"sale"),EXACT(K1098,"refund"))),"unknown event",IF(OR(N1098="",NOT(O1098)),"invalid amount",IF(OR(AND(K1098="sale",N1098&lt;=0),AND(K1098="refund",N1098&gt;=0)),"invalid sign","")))))))))</f>
        <v/>
      </c>
      <c r="U1098" s="1" t="str">
        <f t="shared" si="141"/>
        <v>INCLUDED</v>
      </c>
      <c r="V1098" s="1" t="str">
        <f t="shared" si="142"/>
        <v>2026-02</v>
      </c>
      <c r="W1098" s="1">
        <f>IF(AND(U1098="INCLUDED",X1098&gt;0,EXACT(A1098,'AI output'!A1098)),1,0)</f>
        <v>1</v>
      </c>
      <c r="X1098" s="1">
        <f>1098</f>
        <v>1098</v>
      </c>
      <c r="Y1098" s="1">
        <f>IF(AND(U1098="INCLUDED",W1098=1),--(NOT(EXACT(A1098,'AI output'!A1098)))+--(NOT(EXACT(B1098,'AI output'!B1098)))+--(NOT(EXACT(TEXT(G1098,"yyyy-mm-dd"),'AI output'!C1098)))+--(NOT(EXACT(H1098,'AI output'!D1098)))+--(NOT(EXACT(J1098,'AI output'!E1098)))+--(NOT(EXACT(K1098,'AI output'!F1098)))+--(N1098&lt;&gt;'AI output'!L1098)+--(NOT('AI output'!M1098)),0)</f>
        <v>0</v>
      </c>
      <c r="Z1098" s="1">
        <f t="shared" si="143"/>
        <v>0</v>
      </c>
      <c r="AA1098" s="1">
        <f>--EXACT(A1098,"L01092")</f>
        <v>1</v>
      </c>
    </row>
    <row r="1099" spans="1:27" ht="18.95" customHeight="1">
      <c r="A1099" s="1" t="str">
        <f>IF(Raw!A1099="","",Raw!A1099)</f>
        <v>L01093</v>
      </c>
      <c r="B1099" s="1" t="str">
        <f>IF(Raw!B1099="","",Raw!B1099)</f>
        <v>T00547</v>
      </c>
      <c r="C1099" s="1" t="str">
        <f>IF(Raw!C1099="","",Raw!C1099)</f>
        <v>2026-02-12</v>
      </c>
      <c r="D1099" s="1">
        <f t="shared" si="136"/>
        <v>2026</v>
      </c>
      <c r="E1099" s="1">
        <f>IFERROR(IF(AND(LEN(C1099)=10,MID(C1099,5,1)="-",MID(C1099,8,1)="-"),VALUE(MID(C1099,6,2)),IF(AND(LEN(C1099)=11,MID(C1099,3,1)="-",MID(C1099,7,1)="-"),MATCH(UPPER(MID(C1099,4,3)),Guide!$D$7:$D$18,0),0)),0)</f>
        <v>2</v>
      </c>
      <c r="F1099" s="1">
        <f t="shared" si="137"/>
        <v>12</v>
      </c>
      <c r="G1099" s="9">
        <f t="shared" si="138"/>
        <v>46065</v>
      </c>
      <c r="H1099" s="1" t="str">
        <f>IF(Raw!D1099="","",Raw!D1099)</f>
        <v>P-A</v>
      </c>
      <c r="I1099" s="1" t="str">
        <f>IFERROR(IF(EXACT(H1099,INDEX(Guide!$A$7:$A$9,MATCH(SUBSTITUTE(SUBSTITUTE(SUBSTITUTE(H1099,"~","~~"),"*","~*"),"?","~?"),Guide!$A$7:$A$9,0))),INDEX(Guide!$B$7:$B$9,MATCH(SUBSTITUTE(SUBSTITUTE(SUBSTITUTE(H1099,"~","~~"),"*","~*"),"?","~?"),Guide!$A$7:$A$9,0)),""),"")</f>
        <v>Accessories</v>
      </c>
      <c r="J1099" s="1" t="str">
        <f>IF(TRIM(Raw!E1099)="",I1099,IF(UPPER(TRIM(Raw!E1099))=UPPER(I1099),I1099,""))</f>
        <v>Accessories</v>
      </c>
      <c r="K1099" s="1" t="str">
        <f>IF(Raw!F1099="","",Raw!F1099)</f>
        <v>sale</v>
      </c>
      <c r="L1099" s="1" t="str">
        <f>IF(LEFT(TRIM(Raw!G1099),2)="-$","-"&amp;MID(TRIM(Raw!G1099),3,99),IF(LEFT(TRIM(Raw!G1099),1)="$",MID(TRIM(Raw!G1099),2,99),TRIM(Raw!G1099)))</f>
        <v>245.15</v>
      </c>
      <c r="M1099" s="1">
        <f t="shared" si="139"/>
        <v>245.15</v>
      </c>
      <c r="N1099" s="10">
        <f t="shared" si="140"/>
        <v>24515</v>
      </c>
      <c r="O1099" s="1" t="b">
        <f>IFERROR(IF(ISNUMBER(Raw!G1099),TRUE,OR(EXACT(L1099,TEXT(M1099,"0.00")),EXACT(L1099,TEXT(M1099,"#,##0.00")))),FALSE)</f>
        <v>1</v>
      </c>
      <c r="P1099" s="1" t="str">
        <f>LEN(IF(Raw!A1099="","",Raw!A1099))&amp;":"&amp;IF(Raw!A1099="","",Raw!A1099)&amp;"|"&amp;LEN(IF(Raw!B1099="","",Raw!B1099))&amp;":"&amp;IF(Raw!B1099="","",Raw!B1099)&amp;"|"&amp;LEN(IF(Raw!C1099="","",Raw!C1099))&amp;":"&amp;IF(Raw!C1099="","",Raw!C1099)&amp;"|"&amp;LEN(IF(Raw!D1099="","",Raw!D1099))&amp;":"&amp;IF(Raw!D1099="","",Raw!D1099)&amp;"|"&amp;LEN(IF(Raw!E1099="","",Raw!E1099))&amp;":"&amp;IF(Raw!E1099="","",Raw!E1099)&amp;"|"&amp;LEN(IF(Raw!F1099="","",Raw!F1099))&amp;":"&amp;IF(Raw!F1099="","",Raw!F1099)&amp;"|"&amp;LEN(IF(Raw!G1099="","",Raw!G1099))&amp;":"&amp;IF(Raw!G1099="","",Raw!G1099)</f>
        <v>6:L01093|6:T00547|10:2026-02-12|3:P-A|11:Accessories|4:sale|6:245.15</v>
      </c>
      <c r="Q1099" s="1">
        <f>1</f>
        <v>1</v>
      </c>
      <c r="R1099" s="1" t="b">
        <f>FALSE</f>
        <v>0</v>
      </c>
      <c r="S1099" s="1">
        <f>1</f>
        <v>1</v>
      </c>
      <c r="T1099" s="1" t="str">
        <f>IF(AND(Raw!A1099="",Raw!B1099="",Raw!C1099="",Raw!D1099="",Raw!E1099="",Raw!F1099="",Raw!G1099=""),"UNUSED",IF(A1099="","missing line ID",IF(B1099="","missing transaction ID",IF(G1099="",IF(C1099="","missing date","invalid date"),IF(I1099="","unknown product",IF(J1099="","conflicting category",IF(NOT(OR(EXACT(K1099,"sale"),EXACT(K1099,"refund"))),"unknown event",IF(OR(N1099="",NOT(O1099)),"invalid amount",IF(OR(AND(K1099="sale",N1099&lt;=0),AND(K1099="refund",N1099&gt;=0)),"invalid sign","")))))))))</f>
        <v/>
      </c>
      <c r="U1099" s="1" t="str">
        <f t="shared" si="141"/>
        <v>INCLUDED</v>
      </c>
      <c r="V1099" s="1" t="str">
        <f t="shared" si="142"/>
        <v>2026-02</v>
      </c>
      <c r="W1099" s="1">
        <f>IF(AND(U1099="INCLUDED",X1099&gt;0,EXACT(A1099,'AI output'!A1099)),1,0)</f>
        <v>1</v>
      </c>
      <c r="X1099" s="1">
        <f>1099</f>
        <v>1099</v>
      </c>
      <c r="Y1099" s="1">
        <f>IF(AND(U1099="INCLUDED",W1099=1),--(NOT(EXACT(A1099,'AI output'!A1099)))+--(NOT(EXACT(B1099,'AI output'!B1099)))+--(NOT(EXACT(TEXT(G1099,"yyyy-mm-dd"),'AI output'!C1099)))+--(NOT(EXACT(H1099,'AI output'!D1099)))+--(NOT(EXACT(J1099,'AI output'!E1099)))+--(NOT(EXACT(K1099,'AI output'!F1099)))+--(N1099&lt;&gt;'AI output'!L1099)+--(NOT('AI output'!M1099)),0)</f>
        <v>0</v>
      </c>
      <c r="Z1099" s="1">
        <f t="shared" si="143"/>
        <v>0</v>
      </c>
      <c r="AA1099" s="1">
        <f>--EXACT(A1099,"L01093")</f>
        <v>1</v>
      </c>
    </row>
    <row r="1100" spans="1:27" ht="18.95" customHeight="1">
      <c r="A1100" s="1" t="str">
        <f>IF(Raw!A1100="","",Raw!A1100)</f>
        <v>L01094</v>
      </c>
      <c r="B1100" s="1" t="str">
        <f>IF(Raw!B1100="","",Raw!B1100)</f>
        <v>T00547</v>
      </c>
      <c r="C1100" s="1" t="str">
        <f>IF(Raw!C1100="","",Raw!C1100)</f>
        <v>2026-02-12</v>
      </c>
      <c r="D1100" s="1">
        <f t="shared" si="136"/>
        <v>2026</v>
      </c>
      <c r="E1100" s="1">
        <f>IFERROR(IF(AND(LEN(C1100)=10,MID(C1100,5,1)="-",MID(C1100,8,1)="-"),VALUE(MID(C1100,6,2)),IF(AND(LEN(C1100)=11,MID(C1100,3,1)="-",MID(C1100,7,1)="-"),MATCH(UPPER(MID(C1100,4,3)),Guide!$D$7:$D$18,0),0)),0)</f>
        <v>2</v>
      </c>
      <c r="F1100" s="1">
        <f t="shared" si="137"/>
        <v>12</v>
      </c>
      <c r="G1100" s="9">
        <f t="shared" si="138"/>
        <v>46065</v>
      </c>
      <c r="H1100" s="1" t="str">
        <f>IF(Raw!D1100="","",Raw!D1100)</f>
        <v>P-H</v>
      </c>
      <c r="I1100" s="1" t="str">
        <f>IFERROR(IF(EXACT(H1100,INDEX(Guide!$A$7:$A$9,MATCH(SUBSTITUTE(SUBSTITUTE(SUBSTITUTE(H1100,"~","~~"),"*","~*"),"?","~?"),Guide!$A$7:$A$9,0))),INDEX(Guide!$B$7:$B$9,MATCH(SUBSTITUTE(SUBSTITUTE(SUBSTITUTE(H1100,"~","~~"),"*","~*"),"?","~?"),Guide!$A$7:$A$9,0)),""),"")</f>
        <v>Home</v>
      </c>
      <c r="J1100" s="1" t="str">
        <f>IF(TRIM(Raw!E1100)="",I1100,IF(UPPER(TRIM(Raw!E1100))=UPPER(I1100),I1100,""))</f>
        <v>Home</v>
      </c>
      <c r="K1100" s="1" t="str">
        <f>IF(Raw!F1100="","",Raw!F1100)</f>
        <v>sale</v>
      </c>
      <c r="L1100" s="1" t="str">
        <f>IF(LEFT(TRIM(Raw!G1100),2)="-$","-"&amp;MID(TRIM(Raw!G1100),3,99),IF(LEFT(TRIM(Raw!G1100),1)="$",MID(TRIM(Raw!G1100),2,99),TRIM(Raw!G1100)))</f>
        <v>98.80</v>
      </c>
      <c r="M1100" s="1">
        <f t="shared" si="139"/>
        <v>98.8</v>
      </c>
      <c r="N1100" s="10">
        <f t="shared" si="140"/>
        <v>9880</v>
      </c>
      <c r="O1100" s="1" t="b">
        <f>IFERROR(IF(ISNUMBER(Raw!G1100),TRUE,OR(EXACT(L1100,TEXT(M1100,"0.00")),EXACT(L1100,TEXT(M1100,"#,##0.00")))),FALSE)</f>
        <v>1</v>
      </c>
      <c r="P1100" s="1" t="str">
        <f>LEN(IF(Raw!A1100="","",Raw!A1100))&amp;":"&amp;IF(Raw!A1100="","",Raw!A1100)&amp;"|"&amp;LEN(IF(Raw!B1100="","",Raw!B1100))&amp;":"&amp;IF(Raw!B1100="","",Raw!B1100)&amp;"|"&amp;LEN(IF(Raw!C1100="","",Raw!C1100))&amp;":"&amp;IF(Raw!C1100="","",Raw!C1100)&amp;"|"&amp;LEN(IF(Raw!D1100="","",Raw!D1100))&amp;":"&amp;IF(Raw!D1100="","",Raw!D1100)&amp;"|"&amp;LEN(IF(Raw!E1100="","",Raw!E1100))&amp;":"&amp;IF(Raw!E1100="","",Raw!E1100)&amp;"|"&amp;LEN(IF(Raw!F1100="","",Raw!F1100))&amp;":"&amp;IF(Raw!F1100="","",Raw!F1100)&amp;"|"&amp;LEN(IF(Raw!G1100="","",Raw!G1100))&amp;":"&amp;IF(Raw!G1100="","",Raw!G1100)</f>
        <v>6:L01094|6:T00547|10:2026-02-12|3:P-H|4:Home|4:sale|5:98.80</v>
      </c>
      <c r="Q1100" s="1">
        <f>1</f>
        <v>1</v>
      </c>
      <c r="R1100" s="1" t="b">
        <f>FALSE</f>
        <v>0</v>
      </c>
      <c r="S1100" s="1">
        <f>1</f>
        <v>1</v>
      </c>
      <c r="T1100" s="1" t="str">
        <f>IF(AND(Raw!A1100="",Raw!B1100="",Raw!C1100="",Raw!D1100="",Raw!E1100="",Raw!F1100="",Raw!G1100=""),"UNUSED",IF(A1100="","missing line ID",IF(B1100="","missing transaction ID",IF(G1100="",IF(C1100="","missing date","invalid date"),IF(I1100="","unknown product",IF(J1100="","conflicting category",IF(NOT(OR(EXACT(K1100,"sale"),EXACT(K1100,"refund"))),"unknown event",IF(OR(N1100="",NOT(O1100)),"invalid amount",IF(OR(AND(K1100="sale",N1100&lt;=0),AND(K1100="refund",N1100&gt;=0)),"invalid sign","")))))))))</f>
        <v/>
      </c>
      <c r="U1100" s="1" t="str">
        <f t="shared" si="141"/>
        <v>INCLUDED</v>
      </c>
      <c r="V1100" s="1" t="str">
        <f t="shared" si="142"/>
        <v>2026-02</v>
      </c>
      <c r="W1100" s="1">
        <f>IF(AND(U1100="INCLUDED",X1100&gt;0,EXACT(A1100,'AI output'!A1100)),1,0)</f>
        <v>1</v>
      </c>
      <c r="X1100" s="1">
        <f>1100</f>
        <v>1100</v>
      </c>
      <c r="Y1100" s="1">
        <f>IF(AND(U1100="INCLUDED",W1100=1),--(NOT(EXACT(A1100,'AI output'!A1100)))+--(NOT(EXACT(B1100,'AI output'!B1100)))+--(NOT(EXACT(TEXT(G1100,"yyyy-mm-dd"),'AI output'!C1100)))+--(NOT(EXACT(H1100,'AI output'!D1100)))+--(NOT(EXACT(J1100,'AI output'!E1100)))+--(NOT(EXACT(K1100,'AI output'!F1100)))+--(N1100&lt;&gt;'AI output'!L1100)+--(NOT('AI output'!M1100)),0)</f>
        <v>0</v>
      </c>
      <c r="Z1100" s="1">
        <f t="shared" si="143"/>
        <v>0</v>
      </c>
      <c r="AA1100" s="1">
        <f>--EXACT(A1100,"L01094")</f>
        <v>1</v>
      </c>
    </row>
    <row r="1101" spans="1:27" ht="18.95" customHeight="1">
      <c r="A1101" s="1" t="str">
        <f>IF(Raw!A1101="","",Raw!A1101)</f>
        <v>L01095</v>
      </c>
      <c r="B1101" s="1" t="str">
        <f>IF(Raw!B1101="","",Raw!B1101)</f>
        <v>T00548</v>
      </c>
      <c r="C1101" s="1" t="str">
        <f>IF(Raw!C1101="","",Raw!C1101)</f>
        <v>2026-02-19</v>
      </c>
      <c r="D1101" s="1">
        <f t="shared" si="136"/>
        <v>2026</v>
      </c>
      <c r="E1101" s="1">
        <f>IFERROR(IF(AND(LEN(C1101)=10,MID(C1101,5,1)="-",MID(C1101,8,1)="-"),VALUE(MID(C1101,6,2)),IF(AND(LEN(C1101)=11,MID(C1101,3,1)="-",MID(C1101,7,1)="-"),MATCH(UPPER(MID(C1101,4,3)),Guide!$D$7:$D$18,0),0)),0)</f>
        <v>2</v>
      </c>
      <c r="F1101" s="1">
        <f t="shared" si="137"/>
        <v>19</v>
      </c>
      <c r="G1101" s="9">
        <f t="shared" si="138"/>
        <v>46072</v>
      </c>
      <c r="H1101" s="1" t="str">
        <f>IF(Raw!D1101="","",Raw!D1101)</f>
        <v>P-O</v>
      </c>
      <c r="I1101" s="1" t="str">
        <f>IFERROR(IF(EXACT(H1101,INDEX(Guide!$A$7:$A$9,MATCH(SUBSTITUTE(SUBSTITUTE(SUBSTITUTE(H1101,"~","~~"),"*","~*"),"?","~?"),Guide!$A$7:$A$9,0))),INDEX(Guide!$B$7:$B$9,MATCH(SUBSTITUTE(SUBSTITUTE(SUBSTITUTE(H1101,"~","~~"),"*","~*"),"?","~?"),Guide!$A$7:$A$9,0)),""),"")</f>
        <v>Office</v>
      </c>
      <c r="J1101" s="1" t="str">
        <f>IF(TRIM(Raw!E1101)="",I1101,IF(UPPER(TRIM(Raw!E1101))=UPPER(I1101),I1101,""))</f>
        <v>Office</v>
      </c>
      <c r="K1101" s="1" t="str">
        <f>IF(Raw!F1101="","",Raw!F1101)</f>
        <v>sale</v>
      </c>
      <c r="L1101" s="1" t="str">
        <f>IF(LEFT(TRIM(Raw!G1101),2)="-$","-"&amp;MID(TRIM(Raw!G1101),3,99),IF(LEFT(TRIM(Raw!G1101),1)="$",MID(TRIM(Raw!G1101),2,99),TRIM(Raw!G1101)))</f>
        <v>199.08</v>
      </c>
      <c r="M1101" s="1">
        <f t="shared" si="139"/>
        <v>199.08</v>
      </c>
      <c r="N1101" s="10">
        <f t="shared" si="140"/>
        <v>19908</v>
      </c>
      <c r="O1101" s="1" t="b">
        <f>IFERROR(IF(ISNUMBER(Raw!G1101),TRUE,OR(EXACT(L1101,TEXT(M1101,"0.00")),EXACT(L1101,TEXT(M1101,"#,##0.00")))),FALSE)</f>
        <v>1</v>
      </c>
      <c r="P1101" s="1" t="str">
        <f>LEN(IF(Raw!A1101="","",Raw!A1101))&amp;":"&amp;IF(Raw!A1101="","",Raw!A1101)&amp;"|"&amp;LEN(IF(Raw!B1101="","",Raw!B1101))&amp;":"&amp;IF(Raw!B1101="","",Raw!B1101)&amp;"|"&amp;LEN(IF(Raw!C1101="","",Raw!C1101))&amp;":"&amp;IF(Raw!C1101="","",Raw!C1101)&amp;"|"&amp;LEN(IF(Raw!D1101="","",Raw!D1101))&amp;":"&amp;IF(Raw!D1101="","",Raw!D1101)&amp;"|"&amp;LEN(IF(Raw!E1101="","",Raw!E1101))&amp;":"&amp;IF(Raw!E1101="","",Raw!E1101)&amp;"|"&amp;LEN(IF(Raw!F1101="","",Raw!F1101))&amp;":"&amp;IF(Raw!F1101="","",Raw!F1101)&amp;"|"&amp;LEN(IF(Raw!G1101="","",Raw!G1101))&amp;":"&amp;IF(Raw!G1101="","",Raw!G1101)</f>
        <v>6:L01095|6:T00548|10:2026-02-19|3:P-O|6:Office|4:sale|6:199.08</v>
      </c>
      <c r="Q1101" s="1">
        <f>1</f>
        <v>1</v>
      </c>
      <c r="R1101" s="1" t="b">
        <f>FALSE</f>
        <v>0</v>
      </c>
      <c r="S1101" s="1">
        <f>1</f>
        <v>1</v>
      </c>
      <c r="T1101" s="1" t="str">
        <f>IF(AND(Raw!A1101="",Raw!B1101="",Raw!C1101="",Raw!D1101="",Raw!E1101="",Raw!F1101="",Raw!G1101=""),"UNUSED",IF(A1101="","missing line ID",IF(B1101="","missing transaction ID",IF(G1101="",IF(C1101="","missing date","invalid date"),IF(I1101="","unknown product",IF(J1101="","conflicting category",IF(NOT(OR(EXACT(K1101,"sale"),EXACT(K1101,"refund"))),"unknown event",IF(OR(N1101="",NOT(O1101)),"invalid amount",IF(OR(AND(K1101="sale",N1101&lt;=0),AND(K1101="refund",N1101&gt;=0)),"invalid sign","")))))))))</f>
        <v/>
      </c>
      <c r="U1101" s="1" t="str">
        <f t="shared" si="141"/>
        <v>INCLUDED</v>
      </c>
      <c r="V1101" s="1" t="str">
        <f t="shared" si="142"/>
        <v>2026-02</v>
      </c>
      <c r="W1101" s="1">
        <f>IF(AND(U1101="INCLUDED",X1101&gt;0,EXACT(A1101,'AI output'!A1101)),1,0)</f>
        <v>1</v>
      </c>
      <c r="X1101" s="1">
        <f>1101</f>
        <v>1101</v>
      </c>
      <c r="Y1101" s="1">
        <f>IF(AND(U1101="INCLUDED",W1101=1),--(NOT(EXACT(A1101,'AI output'!A1101)))+--(NOT(EXACT(B1101,'AI output'!B1101)))+--(NOT(EXACT(TEXT(G1101,"yyyy-mm-dd"),'AI output'!C1101)))+--(NOT(EXACT(H1101,'AI output'!D1101)))+--(NOT(EXACT(J1101,'AI output'!E1101)))+--(NOT(EXACT(K1101,'AI output'!F1101)))+--(N1101&lt;&gt;'AI output'!L1101)+--(NOT('AI output'!M1101)),0)</f>
        <v>0</v>
      </c>
      <c r="Z1101" s="1">
        <f t="shared" si="143"/>
        <v>0</v>
      </c>
      <c r="AA1101" s="1">
        <f>--EXACT(A1101,"L01095")</f>
        <v>1</v>
      </c>
    </row>
    <row r="1102" spans="1:27" ht="18.95" customHeight="1">
      <c r="A1102" s="1" t="str">
        <f>IF(Raw!A1102="","",Raw!A1102)</f>
        <v>L01096</v>
      </c>
      <c r="B1102" s="1" t="str">
        <f>IF(Raw!B1102="","",Raw!B1102)</f>
        <v>T00548</v>
      </c>
      <c r="C1102" s="1" t="str">
        <f>IF(Raw!C1102="","",Raw!C1102)</f>
        <v>2026-02-19</v>
      </c>
      <c r="D1102" s="1">
        <f t="shared" si="136"/>
        <v>2026</v>
      </c>
      <c r="E1102" s="1">
        <f>IFERROR(IF(AND(LEN(C1102)=10,MID(C1102,5,1)="-",MID(C1102,8,1)="-"),VALUE(MID(C1102,6,2)),IF(AND(LEN(C1102)=11,MID(C1102,3,1)="-",MID(C1102,7,1)="-"),MATCH(UPPER(MID(C1102,4,3)),Guide!$D$7:$D$18,0),0)),0)</f>
        <v>2</v>
      </c>
      <c r="F1102" s="1">
        <f t="shared" si="137"/>
        <v>19</v>
      </c>
      <c r="G1102" s="9">
        <f t="shared" si="138"/>
        <v>46072</v>
      </c>
      <c r="H1102" s="1" t="str">
        <f>IF(Raw!D1102="","",Raw!D1102)</f>
        <v>P-A</v>
      </c>
      <c r="I1102" s="1" t="str">
        <f>IFERROR(IF(EXACT(H1102,INDEX(Guide!$A$7:$A$9,MATCH(SUBSTITUTE(SUBSTITUTE(SUBSTITUTE(H1102,"~","~~"),"*","~*"),"?","~?"),Guide!$A$7:$A$9,0))),INDEX(Guide!$B$7:$B$9,MATCH(SUBSTITUTE(SUBSTITUTE(SUBSTITUTE(H1102,"~","~~"),"*","~*"),"?","~?"),Guide!$A$7:$A$9,0)),""),"")</f>
        <v>Accessories</v>
      </c>
      <c r="J1102" s="1" t="str">
        <f>IF(TRIM(Raw!E1102)="",I1102,IF(UPPER(TRIM(Raw!E1102))=UPPER(I1102),I1102,""))</f>
        <v>Accessories</v>
      </c>
      <c r="K1102" s="1" t="str">
        <f>IF(Raw!F1102="","",Raw!F1102)</f>
        <v>sale</v>
      </c>
      <c r="L1102" s="1" t="str">
        <f>IF(LEFT(TRIM(Raw!G1102),2)="-$","-"&amp;MID(TRIM(Raw!G1102),3,99),IF(LEFT(TRIM(Raw!G1102),1)="$",MID(TRIM(Raw!G1102),2,99),TRIM(Raw!G1102)))</f>
        <v>50.14</v>
      </c>
      <c r="M1102" s="1">
        <f t="shared" si="139"/>
        <v>50.14</v>
      </c>
      <c r="N1102" s="10">
        <f t="shared" si="140"/>
        <v>5014</v>
      </c>
      <c r="O1102" s="1" t="b">
        <f>IFERROR(IF(ISNUMBER(Raw!G1102),TRUE,OR(EXACT(L1102,TEXT(M1102,"0.00")),EXACT(L1102,TEXT(M1102,"#,##0.00")))),FALSE)</f>
        <v>1</v>
      </c>
      <c r="P1102" s="1" t="str">
        <f>LEN(IF(Raw!A1102="","",Raw!A1102))&amp;":"&amp;IF(Raw!A1102="","",Raw!A1102)&amp;"|"&amp;LEN(IF(Raw!B1102="","",Raw!B1102))&amp;":"&amp;IF(Raw!B1102="","",Raw!B1102)&amp;"|"&amp;LEN(IF(Raw!C1102="","",Raw!C1102))&amp;":"&amp;IF(Raw!C1102="","",Raw!C1102)&amp;"|"&amp;LEN(IF(Raw!D1102="","",Raw!D1102))&amp;":"&amp;IF(Raw!D1102="","",Raw!D1102)&amp;"|"&amp;LEN(IF(Raw!E1102="","",Raw!E1102))&amp;":"&amp;IF(Raw!E1102="","",Raw!E1102)&amp;"|"&amp;LEN(IF(Raw!F1102="","",Raw!F1102))&amp;":"&amp;IF(Raw!F1102="","",Raw!F1102)&amp;"|"&amp;LEN(IF(Raw!G1102="","",Raw!G1102))&amp;":"&amp;IF(Raw!G1102="","",Raw!G1102)</f>
        <v>6:L01096|6:T00548|10:2026-02-19|3:P-A|11:Accessories|4:sale|5:50.14</v>
      </c>
      <c r="Q1102" s="1">
        <f>1</f>
        <v>1</v>
      </c>
      <c r="R1102" s="1" t="b">
        <f>FALSE</f>
        <v>0</v>
      </c>
      <c r="S1102" s="1">
        <f>1</f>
        <v>1</v>
      </c>
      <c r="T1102" s="1" t="str">
        <f>IF(AND(Raw!A1102="",Raw!B1102="",Raw!C1102="",Raw!D1102="",Raw!E1102="",Raw!F1102="",Raw!G1102=""),"UNUSED",IF(A1102="","missing line ID",IF(B1102="","missing transaction ID",IF(G1102="",IF(C1102="","missing date","invalid date"),IF(I1102="","unknown product",IF(J1102="","conflicting category",IF(NOT(OR(EXACT(K1102,"sale"),EXACT(K1102,"refund"))),"unknown event",IF(OR(N1102="",NOT(O1102)),"invalid amount",IF(OR(AND(K1102="sale",N1102&lt;=0),AND(K1102="refund",N1102&gt;=0)),"invalid sign","")))))))))</f>
        <v/>
      </c>
      <c r="U1102" s="1" t="str">
        <f t="shared" si="141"/>
        <v>INCLUDED</v>
      </c>
      <c r="V1102" s="1" t="str">
        <f t="shared" si="142"/>
        <v>2026-02</v>
      </c>
      <c r="W1102" s="1">
        <f>IF(AND(U1102="INCLUDED",X1102&gt;0,EXACT(A1102,'AI output'!A1102)),1,0)</f>
        <v>1</v>
      </c>
      <c r="X1102" s="1">
        <f>1102</f>
        <v>1102</v>
      </c>
      <c r="Y1102" s="1">
        <f>IF(AND(U1102="INCLUDED",W1102=1),--(NOT(EXACT(A1102,'AI output'!A1102)))+--(NOT(EXACT(B1102,'AI output'!B1102)))+--(NOT(EXACT(TEXT(G1102,"yyyy-mm-dd"),'AI output'!C1102)))+--(NOT(EXACT(H1102,'AI output'!D1102)))+--(NOT(EXACT(J1102,'AI output'!E1102)))+--(NOT(EXACT(K1102,'AI output'!F1102)))+--(N1102&lt;&gt;'AI output'!L1102)+--(NOT('AI output'!M1102)),0)</f>
        <v>0</v>
      </c>
      <c r="Z1102" s="1">
        <f t="shared" si="143"/>
        <v>0</v>
      </c>
      <c r="AA1102" s="1">
        <f>--EXACT(A1102,"L01096")</f>
        <v>1</v>
      </c>
    </row>
    <row r="1103" spans="1:27" ht="18.95" customHeight="1">
      <c r="A1103" s="1" t="str">
        <f>IF(Raw!A1103="","",Raw!A1103)</f>
        <v>L01097</v>
      </c>
      <c r="B1103" s="1" t="str">
        <f>IF(Raw!B1103="","",Raw!B1103)</f>
        <v>T00549</v>
      </c>
      <c r="C1103" s="1" t="str">
        <f>IF(Raw!C1103="","",Raw!C1103)</f>
        <v>2026-02-26</v>
      </c>
      <c r="D1103" s="1">
        <f t="shared" si="136"/>
        <v>2026</v>
      </c>
      <c r="E1103" s="1">
        <f>IFERROR(IF(AND(LEN(C1103)=10,MID(C1103,5,1)="-",MID(C1103,8,1)="-"),VALUE(MID(C1103,6,2)),IF(AND(LEN(C1103)=11,MID(C1103,3,1)="-",MID(C1103,7,1)="-"),MATCH(UPPER(MID(C1103,4,3)),Guide!$D$7:$D$18,0),0)),0)</f>
        <v>2</v>
      </c>
      <c r="F1103" s="1">
        <f t="shared" si="137"/>
        <v>26</v>
      </c>
      <c r="G1103" s="9">
        <f t="shared" si="138"/>
        <v>46079</v>
      </c>
      <c r="H1103" s="1" t="str">
        <f>IF(Raw!D1103="","",Raw!D1103)</f>
        <v>P-H</v>
      </c>
      <c r="I1103" s="1" t="str">
        <f>IFERROR(IF(EXACT(H1103,INDEX(Guide!$A$7:$A$9,MATCH(SUBSTITUTE(SUBSTITUTE(SUBSTITUTE(H1103,"~","~~"),"*","~*"),"?","~?"),Guide!$A$7:$A$9,0))),INDEX(Guide!$B$7:$B$9,MATCH(SUBSTITUTE(SUBSTITUTE(SUBSTITUTE(H1103,"~","~~"),"*","~*"),"?","~?"),Guide!$A$7:$A$9,0)),""),"")</f>
        <v>Home</v>
      </c>
      <c r="J1103" s="1" t="str">
        <f>IF(TRIM(Raw!E1103)="",I1103,IF(UPPER(TRIM(Raw!E1103))=UPPER(I1103),I1103,""))</f>
        <v>Home</v>
      </c>
      <c r="K1103" s="1" t="str">
        <f>IF(Raw!F1103="","",Raw!F1103)</f>
        <v>sale</v>
      </c>
      <c r="L1103" s="1" t="str">
        <f>IF(LEFT(TRIM(Raw!G1103),2)="-$","-"&amp;MID(TRIM(Raw!G1103),3,99),IF(LEFT(TRIM(Raw!G1103),1)="$",MID(TRIM(Raw!G1103),2,99),TRIM(Raw!G1103)))</f>
        <v>151.53</v>
      </c>
      <c r="M1103" s="1">
        <f t="shared" si="139"/>
        <v>151.53</v>
      </c>
      <c r="N1103" s="10">
        <f t="shared" si="140"/>
        <v>15153</v>
      </c>
      <c r="O1103" s="1" t="b">
        <f>IFERROR(IF(ISNUMBER(Raw!G1103),TRUE,OR(EXACT(L1103,TEXT(M1103,"0.00")),EXACT(L1103,TEXT(M1103,"#,##0.00")))),FALSE)</f>
        <v>1</v>
      </c>
      <c r="P1103" s="1" t="str">
        <f>LEN(IF(Raw!A1103="","",Raw!A1103))&amp;":"&amp;IF(Raw!A1103="","",Raw!A1103)&amp;"|"&amp;LEN(IF(Raw!B1103="","",Raw!B1103))&amp;":"&amp;IF(Raw!B1103="","",Raw!B1103)&amp;"|"&amp;LEN(IF(Raw!C1103="","",Raw!C1103))&amp;":"&amp;IF(Raw!C1103="","",Raw!C1103)&amp;"|"&amp;LEN(IF(Raw!D1103="","",Raw!D1103))&amp;":"&amp;IF(Raw!D1103="","",Raw!D1103)&amp;"|"&amp;LEN(IF(Raw!E1103="","",Raw!E1103))&amp;":"&amp;IF(Raw!E1103="","",Raw!E1103)&amp;"|"&amp;LEN(IF(Raw!F1103="","",Raw!F1103))&amp;":"&amp;IF(Raw!F1103="","",Raw!F1103)&amp;"|"&amp;LEN(IF(Raw!G1103="","",Raw!G1103))&amp;":"&amp;IF(Raw!G1103="","",Raw!G1103)</f>
        <v>6:L01097|6:T00549|10:2026-02-26|3:P-H|4:Home|4:sale|6:151.53</v>
      </c>
      <c r="Q1103" s="1">
        <f>1</f>
        <v>1</v>
      </c>
      <c r="R1103" s="1" t="b">
        <f>FALSE</f>
        <v>0</v>
      </c>
      <c r="S1103" s="1">
        <f>1</f>
        <v>1</v>
      </c>
      <c r="T1103" s="1" t="str">
        <f>IF(AND(Raw!A1103="",Raw!B1103="",Raw!C1103="",Raw!D1103="",Raw!E1103="",Raw!F1103="",Raw!G1103=""),"UNUSED",IF(A1103="","missing line ID",IF(B1103="","missing transaction ID",IF(G1103="",IF(C1103="","missing date","invalid date"),IF(I1103="","unknown product",IF(J1103="","conflicting category",IF(NOT(OR(EXACT(K1103,"sale"),EXACT(K1103,"refund"))),"unknown event",IF(OR(N1103="",NOT(O1103)),"invalid amount",IF(OR(AND(K1103="sale",N1103&lt;=0),AND(K1103="refund",N1103&gt;=0)),"invalid sign","")))))))))</f>
        <v/>
      </c>
      <c r="U1103" s="1" t="str">
        <f t="shared" si="141"/>
        <v>INCLUDED</v>
      </c>
      <c r="V1103" s="1" t="str">
        <f t="shared" si="142"/>
        <v>2026-02</v>
      </c>
      <c r="W1103" s="1">
        <f>IF(AND(U1103="INCLUDED",X1103&gt;0,EXACT(A1103,'AI output'!A1103)),1,0)</f>
        <v>1</v>
      </c>
      <c r="X1103" s="1">
        <f>1103</f>
        <v>1103</v>
      </c>
      <c r="Y1103" s="1">
        <f>IF(AND(U1103="INCLUDED",W1103=1),--(NOT(EXACT(A1103,'AI output'!A1103)))+--(NOT(EXACT(B1103,'AI output'!B1103)))+--(NOT(EXACT(TEXT(G1103,"yyyy-mm-dd"),'AI output'!C1103)))+--(NOT(EXACT(H1103,'AI output'!D1103)))+--(NOT(EXACT(J1103,'AI output'!E1103)))+--(NOT(EXACT(K1103,'AI output'!F1103)))+--(N1103&lt;&gt;'AI output'!L1103)+--(NOT('AI output'!M1103)),0)</f>
        <v>0</v>
      </c>
      <c r="Z1103" s="1">
        <f t="shared" si="143"/>
        <v>0</v>
      </c>
      <c r="AA1103" s="1">
        <f>--EXACT(A1103,"L01097")</f>
        <v>1</v>
      </c>
    </row>
    <row r="1104" spans="1:27" ht="18.95" customHeight="1">
      <c r="A1104" s="1" t="str">
        <f>IF(Raw!A1104="","",Raw!A1104)</f>
        <v>L01098</v>
      </c>
      <c r="B1104" s="1" t="str">
        <f>IF(Raw!B1104="","",Raw!B1104)</f>
        <v>T00549</v>
      </c>
      <c r="C1104" s="1" t="str">
        <f>IF(Raw!C1104="","",Raw!C1104)</f>
        <v>2026-02-26</v>
      </c>
      <c r="D1104" s="1">
        <f t="shared" si="136"/>
        <v>2026</v>
      </c>
      <c r="E1104" s="1">
        <f>IFERROR(IF(AND(LEN(C1104)=10,MID(C1104,5,1)="-",MID(C1104,8,1)="-"),VALUE(MID(C1104,6,2)),IF(AND(LEN(C1104)=11,MID(C1104,3,1)="-",MID(C1104,7,1)="-"),MATCH(UPPER(MID(C1104,4,3)),Guide!$D$7:$D$18,0),0)),0)</f>
        <v>2</v>
      </c>
      <c r="F1104" s="1">
        <f t="shared" si="137"/>
        <v>26</v>
      </c>
      <c r="G1104" s="9">
        <f t="shared" si="138"/>
        <v>46079</v>
      </c>
      <c r="H1104" s="1" t="str">
        <f>IF(Raw!D1104="","",Raw!D1104)</f>
        <v>P-O</v>
      </c>
      <c r="I1104" s="1" t="str">
        <f>IFERROR(IF(EXACT(H1104,INDEX(Guide!$A$7:$A$9,MATCH(SUBSTITUTE(SUBSTITUTE(SUBSTITUTE(H1104,"~","~~"),"*","~*"),"?","~?"),Guide!$A$7:$A$9,0))),INDEX(Guide!$B$7:$B$9,MATCH(SUBSTITUTE(SUBSTITUTE(SUBSTITUTE(H1104,"~","~~"),"*","~*"),"?","~?"),Guide!$A$7:$A$9,0)),""),"")</f>
        <v>Office</v>
      </c>
      <c r="J1104" s="1" t="str">
        <f>IF(TRIM(Raw!E1104)="",I1104,IF(UPPER(TRIM(Raw!E1104))=UPPER(I1104),I1104,""))</f>
        <v>Office</v>
      </c>
      <c r="K1104" s="1" t="str">
        <f>IF(Raw!F1104="","",Raw!F1104)</f>
        <v>sale</v>
      </c>
      <c r="L1104" s="1" t="str">
        <f>IF(LEFT(TRIM(Raw!G1104),2)="-$","-"&amp;MID(TRIM(Raw!G1104),3,99),IF(LEFT(TRIM(Raw!G1104),1)="$",MID(TRIM(Raw!G1104),2,99),TRIM(Raw!G1104)))</f>
        <v>254.40</v>
      </c>
      <c r="M1104" s="1">
        <f t="shared" si="139"/>
        <v>254.4</v>
      </c>
      <c r="N1104" s="10">
        <f t="shared" si="140"/>
        <v>25440</v>
      </c>
      <c r="O1104" s="1" t="b">
        <f>IFERROR(IF(ISNUMBER(Raw!G1104),TRUE,OR(EXACT(L1104,TEXT(M1104,"0.00")),EXACT(L1104,TEXT(M1104,"#,##0.00")))),FALSE)</f>
        <v>1</v>
      </c>
      <c r="P1104" s="1" t="str">
        <f>LEN(IF(Raw!A1104="","",Raw!A1104))&amp;":"&amp;IF(Raw!A1104="","",Raw!A1104)&amp;"|"&amp;LEN(IF(Raw!B1104="","",Raw!B1104))&amp;":"&amp;IF(Raw!B1104="","",Raw!B1104)&amp;"|"&amp;LEN(IF(Raw!C1104="","",Raw!C1104))&amp;":"&amp;IF(Raw!C1104="","",Raw!C1104)&amp;"|"&amp;LEN(IF(Raw!D1104="","",Raw!D1104))&amp;":"&amp;IF(Raw!D1104="","",Raw!D1104)&amp;"|"&amp;LEN(IF(Raw!E1104="","",Raw!E1104))&amp;":"&amp;IF(Raw!E1104="","",Raw!E1104)&amp;"|"&amp;LEN(IF(Raw!F1104="","",Raw!F1104))&amp;":"&amp;IF(Raw!F1104="","",Raw!F1104)&amp;"|"&amp;LEN(IF(Raw!G1104="","",Raw!G1104))&amp;":"&amp;IF(Raw!G1104="","",Raw!G1104)</f>
        <v>6:L01098|6:T00549|10:2026-02-26|3:P-O|6:Office|4:sale|6:254.40</v>
      </c>
      <c r="Q1104" s="1">
        <f>1</f>
        <v>1</v>
      </c>
      <c r="R1104" s="1" t="b">
        <f>FALSE</f>
        <v>0</v>
      </c>
      <c r="S1104" s="1">
        <f>1</f>
        <v>1</v>
      </c>
      <c r="T1104" s="1" t="str">
        <f>IF(AND(Raw!A1104="",Raw!B1104="",Raw!C1104="",Raw!D1104="",Raw!E1104="",Raw!F1104="",Raw!G1104=""),"UNUSED",IF(A1104="","missing line ID",IF(B1104="","missing transaction ID",IF(G1104="",IF(C1104="","missing date","invalid date"),IF(I1104="","unknown product",IF(J1104="","conflicting category",IF(NOT(OR(EXACT(K1104,"sale"),EXACT(K1104,"refund"))),"unknown event",IF(OR(N1104="",NOT(O1104)),"invalid amount",IF(OR(AND(K1104="sale",N1104&lt;=0),AND(K1104="refund",N1104&gt;=0)),"invalid sign","")))))))))</f>
        <v/>
      </c>
      <c r="U1104" s="1" t="str">
        <f t="shared" si="141"/>
        <v>INCLUDED</v>
      </c>
      <c r="V1104" s="1" t="str">
        <f t="shared" si="142"/>
        <v>2026-02</v>
      </c>
      <c r="W1104" s="1">
        <f>IF(AND(U1104="INCLUDED",X1104&gt;0,EXACT(A1104,'AI output'!A1104)),1,0)</f>
        <v>1</v>
      </c>
      <c r="X1104" s="1">
        <f>1104</f>
        <v>1104</v>
      </c>
      <c r="Y1104" s="1">
        <f>IF(AND(U1104="INCLUDED",W1104=1),--(NOT(EXACT(A1104,'AI output'!A1104)))+--(NOT(EXACT(B1104,'AI output'!B1104)))+--(NOT(EXACT(TEXT(G1104,"yyyy-mm-dd"),'AI output'!C1104)))+--(NOT(EXACT(H1104,'AI output'!D1104)))+--(NOT(EXACT(J1104,'AI output'!E1104)))+--(NOT(EXACT(K1104,'AI output'!F1104)))+--(N1104&lt;&gt;'AI output'!L1104)+--(NOT('AI output'!M1104)),0)</f>
        <v>0</v>
      </c>
      <c r="Z1104" s="1">
        <f t="shared" si="143"/>
        <v>0</v>
      </c>
      <c r="AA1104" s="1">
        <f>--EXACT(A1104,"L01098")</f>
        <v>1</v>
      </c>
    </row>
    <row r="1105" spans="1:27" ht="18.95" customHeight="1">
      <c r="A1105" s="1" t="str">
        <f>IF(Raw!A1105="","",Raw!A1105)</f>
        <v>L01099</v>
      </c>
      <c r="B1105" s="1" t="str">
        <f>IF(Raw!B1105="","",Raw!B1105)</f>
        <v>T00550</v>
      </c>
      <c r="C1105" s="1" t="str">
        <f>IF(Raw!C1105="","",Raw!C1105)</f>
        <v>2026-03-05</v>
      </c>
      <c r="D1105" s="1">
        <f t="shared" si="136"/>
        <v>2026</v>
      </c>
      <c r="E1105" s="1">
        <f>IFERROR(IF(AND(LEN(C1105)=10,MID(C1105,5,1)="-",MID(C1105,8,1)="-"),VALUE(MID(C1105,6,2)),IF(AND(LEN(C1105)=11,MID(C1105,3,1)="-",MID(C1105,7,1)="-"),MATCH(UPPER(MID(C1105,4,3)),Guide!$D$7:$D$18,0),0)),0)</f>
        <v>3</v>
      </c>
      <c r="F1105" s="1">
        <f t="shared" si="137"/>
        <v>5</v>
      </c>
      <c r="G1105" s="9">
        <f t="shared" si="138"/>
        <v>46086</v>
      </c>
      <c r="H1105" s="1" t="str">
        <f>IF(Raw!D1105="","",Raw!D1105)</f>
        <v>P-A</v>
      </c>
      <c r="I1105" s="1" t="str">
        <f>IFERROR(IF(EXACT(H1105,INDEX(Guide!$A$7:$A$9,MATCH(SUBSTITUTE(SUBSTITUTE(SUBSTITUTE(H1105,"~","~~"),"*","~*"),"?","~?"),Guide!$A$7:$A$9,0))),INDEX(Guide!$B$7:$B$9,MATCH(SUBSTITUTE(SUBSTITUTE(SUBSTITUTE(H1105,"~","~~"),"*","~*"),"?","~?"),Guide!$A$7:$A$9,0)),""),"")</f>
        <v>Accessories</v>
      </c>
      <c r="J1105" s="1" t="str">
        <f>IF(TRIM(Raw!E1105)="",I1105,IF(UPPER(TRIM(Raw!E1105))=UPPER(I1105),I1105,""))</f>
        <v>Accessories</v>
      </c>
      <c r="K1105" s="1" t="str">
        <f>IF(Raw!F1105="","",Raw!F1105)</f>
        <v>sale</v>
      </c>
      <c r="L1105" s="1" t="str">
        <f>IF(LEFT(TRIM(Raw!G1105),2)="-$","-"&amp;MID(TRIM(Raw!G1105),3,99),IF(LEFT(TRIM(Raw!G1105),1)="$",MID(TRIM(Raw!G1105),2,99),TRIM(Raw!G1105)))</f>
        <v>102.50</v>
      </c>
      <c r="M1105" s="1">
        <f t="shared" si="139"/>
        <v>102.5</v>
      </c>
      <c r="N1105" s="10">
        <f t="shared" si="140"/>
        <v>10250</v>
      </c>
      <c r="O1105" s="1" t="b">
        <f>IFERROR(IF(ISNUMBER(Raw!G1105),TRUE,OR(EXACT(L1105,TEXT(M1105,"0.00")),EXACT(L1105,TEXT(M1105,"#,##0.00")))),FALSE)</f>
        <v>1</v>
      </c>
      <c r="P1105" s="1" t="str">
        <f>LEN(IF(Raw!A1105="","",Raw!A1105))&amp;":"&amp;IF(Raw!A1105="","",Raw!A1105)&amp;"|"&amp;LEN(IF(Raw!B1105="","",Raw!B1105))&amp;":"&amp;IF(Raw!B1105="","",Raw!B1105)&amp;"|"&amp;LEN(IF(Raw!C1105="","",Raw!C1105))&amp;":"&amp;IF(Raw!C1105="","",Raw!C1105)&amp;"|"&amp;LEN(IF(Raw!D1105="","",Raw!D1105))&amp;":"&amp;IF(Raw!D1105="","",Raw!D1105)&amp;"|"&amp;LEN(IF(Raw!E1105="","",Raw!E1105))&amp;":"&amp;IF(Raw!E1105="","",Raw!E1105)&amp;"|"&amp;LEN(IF(Raw!F1105="","",Raw!F1105))&amp;":"&amp;IF(Raw!F1105="","",Raw!F1105)&amp;"|"&amp;LEN(IF(Raw!G1105="","",Raw!G1105))&amp;":"&amp;IF(Raw!G1105="","",Raw!G1105)</f>
        <v>6:L01099|6:T00550|10:2026-03-05|3:P-A|11:Accessories|4:sale|6:102.50</v>
      </c>
      <c r="Q1105" s="1">
        <f>1</f>
        <v>1</v>
      </c>
      <c r="R1105" s="1" t="b">
        <f>FALSE</f>
        <v>0</v>
      </c>
      <c r="S1105" s="1">
        <f>1</f>
        <v>1</v>
      </c>
      <c r="T1105" s="1" t="str">
        <f>IF(AND(Raw!A1105="",Raw!B1105="",Raw!C1105="",Raw!D1105="",Raw!E1105="",Raw!F1105="",Raw!G1105=""),"UNUSED",IF(A1105="","missing line ID",IF(B1105="","missing transaction ID",IF(G1105="",IF(C1105="","missing date","invalid date"),IF(I1105="","unknown product",IF(J1105="","conflicting category",IF(NOT(OR(EXACT(K1105,"sale"),EXACT(K1105,"refund"))),"unknown event",IF(OR(N1105="",NOT(O1105)),"invalid amount",IF(OR(AND(K1105="sale",N1105&lt;=0),AND(K1105="refund",N1105&gt;=0)),"invalid sign","")))))))))</f>
        <v/>
      </c>
      <c r="U1105" s="1" t="str">
        <f t="shared" si="141"/>
        <v>INCLUDED</v>
      </c>
      <c r="V1105" s="1" t="str">
        <f t="shared" si="142"/>
        <v>2026-03</v>
      </c>
      <c r="W1105" s="1">
        <f>IF(AND(U1105="INCLUDED",X1105&gt;0,EXACT(A1105,'AI output'!A1105)),1,0)</f>
        <v>1</v>
      </c>
      <c r="X1105" s="1">
        <f>1105</f>
        <v>1105</v>
      </c>
      <c r="Y1105" s="1">
        <f>IF(AND(U1105="INCLUDED",W1105=1),--(NOT(EXACT(A1105,'AI output'!A1105)))+--(NOT(EXACT(B1105,'AI output'!B1105)))+--(NOT(EXACT(TEXT(G1105,"yyyy-mm-dd"),'AI output'!C1105)))+--(NOT(EXACT(H1105,'AI output'!D1105)))+--(NOT(EXACT(J1105,'AI output'!E1105)))+--(NOT(EXACT(K1105,'AI output'!F1105)))+--(N1105&lt;&gt;'AI output'!L1105)+--(NOT('AI output'!M1105)),0)</f>
        <v>0</v>
      </c>
      <c r="Z1105" s="1">
        <f t="shared" si="143"/>
        <v>0</v>
      </c>
      <c r="AA1105" s="1">
        <f>--EXACT(A1105,"L01099")</f>
        <v>1</v>
      </c>
    </row>
    <row r="1106" spans="1:27" ht="18.95" customHeight="1">
      <c r="A1106" s="1" t="str">
        <f>IF(Raw!A1106="","",Raw!A1106)</f>
        <v>L01100</v>
      </c>
      <c r="B1106" s="1" t="str">
        <f>IF(Raw!B1106="","",Raw!B1106)</f>
        <v>T00550</v>
      </c>
      <c r="C1106" s="1" t="str">
        <f>IF(Raw!C1106="","",Raw!C1106)</f>
        <v>2026-03-05</v>
      </c>
      <c r="D1106" s="1">
        <f t="shared" si="136"/>
        <v>2026</v>
      </c>
      <c r="E1106" s="1">
        <f>IFERROR(IF(AND(LEN(C1106)=10,MID(C1106,5,1)="-",MID(C1106,8,1)="-"),VALUE(MID(C1106,6,2)),IF(AND(LEN(C1106)=11,MID(C1106,3,1)="-",MID(C1106,7,1)="-"),MATCH(UPPER(MID(C1106,4,3)),Guide!$D$7:$D$18,0),0)),0)</f>
        <v>3</v>
      </c>
      <c r="F1106" s="1">
        <f t="shared" si="137"/>
        <v>5</v>
      </c>
      <c r="G1106" s="9">
        <f t="shared" si="138"/>
        <v>46086</v>
      </c>
      <c r="H1106" s="1" t="str">
        <f>IF(Raw!D1106="","",Raw!D1106)</f>
        <v>P-H</v>
      </c>
      <c r="I1106" s="1" t="str">
        <f>IFERROR(IF(EXACT(H1106,INDEX(Guide!$A$7:$A$9,MATCH(SUBSTITUTE(SUBSTITUTE(SUBSTITUTE(H1106,"~","~~"),"*","~*"),"?","~?"),Guide!$A$7:$A$9,0))),INDEX(Guide!$B$7:$B$9,MATCH(SUBSTITUTE(SUBSTITUTE(SUBSTITUTE(H1106,"~","~~"),"*","~*"),"?","~?"),Guide!$A$7:$A$9,0)),""),"")</f>
        <v>Home</v>
      </c>
      <c r="J1106" s="1" t="str">
        <f>IF(TRIM(Raw!E1106)="",I1106,IF(UPPER(TRIM(Raw!E1106))=UPPER(I1106),I1106,""))</f>
        <v>Home</v>
      </c>
      <c r="K1106" s="1" t="str">
        <f>IF(Raw!F1106="","",Raw!F1106)</f>
        <v>sale</v>
      </c>
      <c r="L1106" s="1" t="str">
        <f>IF(LEFT(TRIM(Raw!G1106),2)="-$","-"&amp;MID(TRIM(Raw!G1106),3,99),IF(LEFT(TRIM(Raw!G1106),1)="$",MID(TRIM(Raw!G1106),2,99),TRIM(Raw!G1106)))</f>
        <v>206.48</v>
      </c>
      <c r="M1106" s="1">
        <f t="shared" si="139"/>
        <v>206.48</v>
      </c>
      <c r="N1106" s="10">
        <f t="shared" si="140"/>
        <v>20648</v>
      </c>
      <c r="O1106" s="1" t="b">
        <f>IFERROR(IF(ISNUMBER(Raw!G1106),TRUE,OR(EXACT(L1106,TEXT(M1106,"0.00")),EXACT(L1106,TEXT(M1106,"#,##0.00")))),FALSE)</f>
        <v>1</v>
      </c>
      <c r="P1106" s="1" t="str">
        <f>LEN(IF(Raw!A1106="","",Raw!A1106))&amp;":"&amp;IF(Raw!A1106="","",Raw!A1106)&amp;"|"&amp;LEN(IF(Raw!B1106="","",Raw!B1106))&amp;":"&amp;IF(Raw!B1106="","",Raw!B1106)&amp;"|"&amp;LEN(IF(Raw!C1106="","",Raw!C1106))&amp;":"&amp;IF(Raw!C1106="","",Raw!C1106)&amp;"|"&amp;LEN(IF(Raw!D1106="","",Raw!D1106))&amp;":"&amp;IF(Raw!D1106="","",Raw!D1106)&amp;"|"&amp;LEN(IF(Raw!E1106="","",Raw!E1106))&amp;":"&amp;IF(Raw!E1106="","",Raw!E1106)&amp;"|"&amp;LEN(IF(Raw!F1106="","",Raw!F1106))&amp;":"&amp;IF(Raw!F1106="","",Raw!F1106)&amp;"|"&amp;LEN(IF(Raw!G1106="","",Raw!G1106))&amp;":"&amp;IF(Raw!G1106="","",Raw!G1106)</f>
        <v>6:L01100|6:T00550|10:2026-03-05|3:P-H|4:Home|4:sale|6:206.48</v>
      </c>
      <c r="Q1106" s="1">
        <f>1</f>
        <v>1</v>
      </c>
      <c r="R1106" s="1" t="b">
        <f>FALSE</f>
        <v>0</v>
      </c>
      <c r="S1106" s="1">
        <f>1</f>
        <v>1</v>
      </c>
      <c r="T1106" s="1" t="str">
        <f>IF(AND(Raw!A1106="",Raw!B1106="",Raw!C1106="",Raw!D1106="",Raw!E1106="",Raw!F1106="",Raw!G1106=""),"UNUSED",IF(A1106="","missing line ID",IF(B1106="","missing transaction ID",IF(G1106="",IF(C1106="","missing date","invalid date"),IF(I1106="","unknown product",IF(J1106="","conflicting category",IF(NOT(OR(EXACT(K1106,"sale"),EXACT(K1106,"refund"))),"unknown event",IF(OR(N1106="",NOT(O1106)),"invalid amount",IF(OR(AND(K1106="sale",N1106&lt;=0),AND(K1106="refund",N1106&gt;=0)),"invalid sign","")))))))))</f>
        <v/>
      </c>
      <c r="U1106" s="1" t="str">
        <f t="shared" si="141"/>
        <v>INCLUDED</v>
      </c>
      <c r="V1106" s="1" t="str">
        <f t="shared" si="142"/>
        <v>2026-03</v>
      </c>
      <c r="W1106" s="1">
        <f>IF(AND(U1106="INCLUDED",X1106&gt;0,EXACT(A1106,'AI output'!A1106)),1,0)</f>
        <v>1</v>
      </c>
      <c r="X1106" s="1">
        <f>1106</f>
        <v>1106</v>
      </c>
      <c r="Y1106" s="1">
        <f>IF(AND(U1106="INCLUDED",W1106=1),--(NOT(EXACT(A1106,'AI output'!A1106)))+--(NOT(EXACT(B1106,'AI output'!B1106)))+--(NOT(EXACT(TEXT(G1106,"yyyy-mm-dd"),'AI output'!C1106)))+--(NOT(EXACT(H1106,'AI output'!D1106)))+--(NOT(EXACT(J1106,'AI output'!E1106)))+--(NOT(EXACT(K1106,'AI output'!F1106)))+--(N1106&lt;&gt;'AI output'!L1106)+--(NOT('AI output'!M1106)),0)</f>
        <v>0</v>
      </c>
      <c r="Z1106" s="1">
        <f t="shared" si="143"/>
        <v>0</v>
      </c>
      <c r="AA1106" s="1">
        <f>--EXACT(A1106,"L01100")</f>
        <v>1</v>
      </c>
    </row>
    <row r="1107" spans="1:27" ht="18.95" customHeight="1">
      <c r="A1107" s="1" t="str">
        <f>IF(Raw!A1107="","",Raw!A1107)</f>
        <v>L01101</v>
      </c>
      <c r="B1107" s="1" t="str">
        <f>IF(Raw!B1107="","",Raw!B1107)</f>
        <v>T00551</v>
      </c>
      <c r="C1107" s="1" t="str">
        <f>IF(Raw!C1107="","",Raw!C1107)</f>
        <v>2026-03-12</v>
      </c>
      <c r="D1107" s="1">
        <f t="shared" si="136"/>
        <v>2026</v>
      </c>
      <c r="E1107" s="1">
        <f>IFERROR(IF(AND(LEN(C1107)=10,MID(C1107,5,1)="-",MID(C1107,8,1)="-"),VALUE(MID(C1107,6,2)),IF(AND(LEN(C1107)=11,MID(C1107,3,1)="-",MID(C1107,7,1)="-"),MATCH(UPPER(MID(C1107,4,3)),Guide!$D$7:$D$18,0),0)),0)</f>
        <v>3</v>
      </c>
      <c r="F1107" s="1">
        <f t="shared" si="137"/>
        <v>12</v>
      </c>
      <c r="G1107" s="9">
        <f t="shared" si="138"/>
        <v>46093</v>
      </c>
      <c r="H1107" s="1" t="str">
        <f>IF(Raw!D1107="","",Raw!D1107)</f>
        <v>P-O</v>
      </c>
      <c r="I1107" s="1" t="str">
        <f>IFERROR(IF(EXACT(H1107,INDEX(Guide!$A$7:$A$9,MATCH(SUBSTITUTE(SUBSTITUTE(SUBSTITUTE(H1107,"~","~~"),"*","~*"),"?","~?"),Guide!$A$7:$A$9,0))),INDEX(Guide!$B$7:$B$9,MATCH(SUBSTITUTE(SUBSTITUTE(SUBSTITUTE(H1107,"~","~~"),"*","~*"),"?","~?"),Guide!$A$7:$A$9,0)),""),"")</f>
        <v>Office</v>
      </c>
      <c r="J1107" s="1" t="str">
        <f>IF(TRIM(Raw!E1107)="",I1107,IF(UPPER(TRIM(Raw!E1107))=UPPER(I1107),I1107,""))</f>
        <v>Office</v>
      </c>
      <c r="K1107" s="1" t="str">
        <f>IF(Raw!F1107="","",Raw!F1107)</f>
        <v>sale</v>
      </c>
      <c r="L1107" s="1" t="str">
        <f>IF(LEFT(TRIM(Raw!G1107),2)="-$","-"&amp;MID(TRIM(Raw!G1107),3,99),IF(LEFT(TRIM(Raw!G1107),1)="$",MID(TRIM(Raw!G1107),2,99),TRIM(Raw!G1107)))</f>
        <v>51.99</v>
      </c>
      <c r="M1107" s="1">
        <f t="shared" si="139"/>
        <v>51.99</v>
      </c>
      <c r="N1107" s="10">
        <f t="shared" si="140"/>
        <v>5199</v>
      </c>
      <c r="O1107" s="1" t="b">
        <f>IFERROR(IF(ISNUMBER(Raw!G1107),TRUE,OR(EXACT(L1107,TEXT(M1107,"0.00")),EXACT(L1107,TEXT(M1107,"#,##0.00")))),FALSE)</f>
        <v>1</v>
      </c>
      <c r="P1107" s="1" t="str">
        <f>LEN(IF(Raw!A1107="","",Raw!A1107))&amp;":"&amp;IF(Raw!A1107="","",Raw!A1107)&amp;"|"&amp;LEN(IF(Raw!B1107="","",Raw!B1107))&amp;":"&amp;IF(Raw!B1107="","",Raw!B1107)&amp;"|"&amp;LEN(IF(Raw!C1107="","",Raw!C1107))&amp;":"&amp;IF(Raw!C1107="","",Raw!C1107)&amp;"|"&amp;LEN(IF(Raw!D1107="","",Raw!D1107))&amp;":"&amp;IF(Raw!D1107="","",Raw!D1107)&amp;"|"&amp;LEN(IF(Raw!E1107="","",Raw!E1107))&amp;":"&amp;IF(Raw!E1107="","",Raw!E1107)&amp;"|"&amp;LEN(IF(Raw!F1107="","",Raw!F1107))&amp;":"&amp;IF(Raw!F1107="","",Raw!F1107)&amp;"|"&amp;LEN(IF(Raw!G1107="","",Raw!G1107))&amp;":"&amp;IF(Raw!G1107="","",Raw!G1107)</f>
        <v>6:L01101|6:T00551|10:2026-03-12|3:P-O|6:Office|4:sale|5:51.99</v>
      </c>
      <c r="Q1107" s="1">
        <f>1</f>
        <v>1</v>
      </c>
      <c r="R1107" s="1" t="b">
        <f>FALSE</f>
        <v>0</v>
      </c>
      <c r="S1107" s="1">
        <f>1</f>
        <v>1</v>
      </c>
      <c r="T1107" s="1" t="str">
        <f>IF(AND(Raw!A1107="",Raw!B1107="",Raw!C1107="",Raw!D1107="",Raw!E1107="",Raw!F1107="",Raw!G1107=""),"UNUSED",IF(A1107="","missing line ID",IF(B1107="","missing transaction ID",IF(G1107="",IF(C1107="","missing date","invalid date"),IF(I1107="","unknown product",IF(J1107="","conflicting category",IF(NOT(OR(EXACT(K1107,"sale"),EXACT(K1107,"refund"))),"unknown event",IF(OR(N1107="",NOT(O1107)),"invalid amount",IF(OR(AND(K1107="sale",N1107&lt;=0),AND(K1107="refund",N1107&gt;=0)),"invalid sign","")))))))))</f>
        <v/>
      </c>
      <c r="U1107" s="1" t="str">
        <f t="shared" si="141"/>
        <v>INCLUDED</v>
      </c>
      <c r="V1107" s="1" t="str">
        <f t="shared" si="142"/>
        <v>2026-03</v>
      </c>
      <c r="W1107" s="1">
        <f>IF(AND(U1107="INCLUDED",X1107&gt;0,EXACT(A1107,'AI output'!A1107)),1,0)</f>
        <v>1</v>
      </c>
      <c r="X1107" s="1">
        <f>1107</f>
        <v>1107</v>
      </c>
      <c r="Y1107" s="1">
        <f>IF(AND(U1107="INCLUDED",W1107=1),--(NOT(EXACT(A1107,'AI output'!A1107)))+--(NOT(EXACT(B1107,'AI output'!B1107)))+--(NOT(EXACT(TEXT(G1107,"yyyy-mm-dd"),'AI output'!C1107)))+--(NOT(EXACT(H1107,'AI output'!D1107)))+--(NOT(EXACT(J1107,'AI output'!E1107)))+--(NOT(EXACT(K1107,'AI output'!F1107)))+--(N1107&lt;&gt;'AI output'!L1107)+--(NOT('AI output'!M1107)),0)</f>
        <v>0</v>
      </c>
      <c r="Z1107" s="1">
        <f t="shared" si="143"/>
        <v>0</v>
      </c>
      <c r="AA1107" s="1">
        <f>--EXACT(A1107,"L01101")</f>
        <v>1</v>
      </c>
    </row>
    <row r="1108" spans="1:27" ht="18.95" customHeight="1">
      <c r="A1108" s="1" t="str">
        <f>IF(Raw!A1108="","",Raw!A1108)</f>
        <v>L01102</v>
      </c>
      <c r="B1108" s="1" t="str">
        <f>IF(Raw!B1108="","",Raw!B1108)</f>
        <v>T00551</v>
      </c>
      <c r="C1108" s="1" t="str">
        <f>IF(Raw!C1108="","",Raw!C1108)</f>
        <v>2026-03-12</v>
      </c>
      <c r="D1108" s="1">
        <f t="shared" si="136"/>
        <v>2026</v>
      </c>
      <c r="E1108" s="1">
        <f>IFERROR(IF(AND(LEN(C1108)=10,MID(C1108,5,1)="-",MID(C1108,8,1)="-"),VALUE(MID(C1108,6,2)),IF(AND(LEN(C1108)=11,MID(C1108,3,1)="-",MID(C1108,7,1)="-"),MATCH(UPPER(MID(C1108,4,3)),Guide!$D$7:$D$18,0),0)),0)</f>
        <v>3</v>
      </c>
      <c r="F1108" s="1">
        <f t="shared" si="137"/>
        <v>12</v>
      </c>
      <c r="G1108" s="9">
        <f t="shared" si="138"/>
        <v>46093</v>
      </c>
      <c r="H1108" s="1" t="str">
        <f>IF(Raw!D1108="","",Raw!D1108)</f>
        <v>P-A</v>
      </c>
      <c r="I1108" s="1" t="str">
        <f>IFERROR(IF(EXACT(H1108,INDEX(Guide!$A$7:$A$9,MATCH(SUBSTITUTE(SUBSTITUTE(SUBSTITUTE(H1108,"~","~~"),"*","~*"),"?","~?"),Guide!$A$7:$A$9,0))),INDEX(Guide!$B$7:$B$9,MATCH(SUBSTITUTE(SUBSTITUTE(SUBSTITUTE(H1108,"~","~~"),"*","~*"),"?","~?"),Guide!$A$7:$A$9,0)),""),"")</f>
        <v>Accessories</v>
      </c>
      <c r="J1108" s="1" t="str">
        <f>IF(TRIM(Raw!E1108)="",I1108,IF(UPPER(TRIM(Raw!E1108))=UPPER(I1108),I1108,""))</f>
        <v>Accessories</v>
      </c>
      <c r="K1108" s="1" t="str">
        <f>IF(Raw!F1108="","",Raw!F1108)</f>
        <v>sale</v>
      </c>
      <c r="L1108" s="1" t="str">
        <f>IF(LEFT(TRIM(Raw!G1108),2)="-$","-"&amp;MID(TRIM(Raw!G1108),3,99),IF(LEFT(TRIM(Raw!G1108),1)="$",MID(TRIM(Raw!G1108),2,99),TRIM(Raw!G1108)))</f>
        <v>157.08</v>
      </c>
      <c r="M1108" s="1">
        <f t="shared" si="139"/>
        <v>157.08000000000001</v>
      </c>
      <c r="N1108" s="10">
        <f t="shared" si="140"/>
        <v>15708</v>
      </c>
      <c r="O1108" s="1" t="b">
        <f>IFERROR(IF(ISNUMBER(Raw!G1108),TRUE,OR(EXACT(L1108,TEXT(M1108,"0.00")),EXACT(L1108,TEXT(M1108,"#,##0.00")))),FALSE)</f>
        <v>1</v>
      </c>
      <c r="P1108" s="1" t="str">
        <f>LEN(IF(Raw!A1108="","",Raw!A1108))&amp;":"&amp;IF(Raw!A1108="","",Raw!A1108)&amp;"|"&amp;LEN(IF(Raw!B1108="","",Raw!B1108))&amp;":"&amp;IF(Raw!B1108="","",Raw!B1108)&amp;"|"&amp;LEN(IF(Raw!C1108="","",Raw!C1108))&amp;":"&amp;IF(Raw!C1108="","",Raw!C1108)&amp;"|"&amp;LEN(IF(Raw!D1108="","",Raw!D1108))&amp;":"&amp;IF(Raw!D1108="","",Raw!D1108)&amp;"|"&amp;LEN(IF(Raw!E1108="","",Raw!E1108))&amp;":"&amp;IF(Raw!E1108="","",Raw!E1108)&amp;"|"&amp;LEN(IF(Raw!F1108="","",Raw!F1108))&amp;":"&amp;IF(Raw!F1108="","",Raw!F1108)&amp;"|"&amp;LEN(IF(Raw!G1108="","",Raw!G1108))&amp;":"&amp;IF(Raw!G1108="","",Raw!G1108)</f>
        <v>6:L01102|6:T00551|10:2026-03-12|3:P-A|11:Accessories|4:sale|6:157.08</v>
      </c>
      <c r="Q1108" s="1">
        <f>1</f>
        <v>1</v>
      </c>
      <c r="R1108" s="1" t="b">
        <f>FALSE</f>
        <v>0</v>
      </c>
      <c r="S1108" s="1">
        <f>1</f>
        <v>1</v>
      </c>
      <c r="T1108" s="1" t="str">
        <f>IF(AND(Raw!A1108="",Raw!B1108="",Raw!C1108="",Raw!D1108="",Raw!E1108="",Raw!F1108="",Raw!G1108=""),"UNUSED",IF(A1108="","missing line ID",IF(B1108="","missing transaction ID",IF(G1108="",IF(C1108="","missing date","invalid date"),IF(I1108="","unknown product",IF(J1108="","conflicting category",IF(NOT(OR(EXACT(K1108,"sale"),EXACT(K1108,"refund"))),"unknown event",IF(OR(N1108="",NOT(O1108)),"invalid amount",IF(OR(AND(K1108="sale",N1108&lt;=0),AND(K1108="refund",N1108&gt;=0)),"invalid sign","")))))))))</f>
        <v/>
      </c>
      <c r="U1108" s="1" t="str">
        <f t="shared" si="141"/>
        <v>INCLUDED</v>
      </c>
      <c r="V1108" s="1" t="str">
        <f t="shared" si="142"/>
        <v>2026-03</v>
      </c>
      <c r="W1108" s="1">
        <f>IF(AND(U1108="INCLUDED",X1108&gt;0,EXACT(A1108,'AI output'!A1108)),1,0)</f>
        <v>1</v>
      </c>
      <c r="X1108" s="1">
        <f>1108</f>
        <v>1108</v>
      </c>
      <c r="Y1108" s="1">
        <f>IF(AND(U1108="INCLUDED",W1108=1),--(NOT(EXACT(A1108,'AI output'!A1108)))+--(NOT(EXACT(B1108,'AI output'!B1108)))+--(NOT(EXACT(TEXT(G1108,"yyyy-mm-dd"),'AI output'!C1108)))+--(NOT(EXACT(H1108,'AI output'!D1108)))+--(NOT(EXACT(J1108,'AI output'!E1108)))+--(NOT(EXACT(K1108,'AI output'!F1108)))+--(N1108&lt;&gt;'AI output'!L1108)+--(NOT('AI output'!M1108)),0)</f>
        <v>0</v>
      </c>
      <c r="Z1108" s="1">
        <f t="shared" si="143"/>
        <v>0</v>
      </c>
      <c r="AA1108" s="1">
        <f>--EXACT(A1108,"L01102")</f>
        <v>1</v>
      </c>
    </row>
    <row r="1109" spans="1:27" ht="18.95" customHeight="1">
      <c r="A1109" s="1" t="str">
        <f>IF(Raw!A1109="","",Raw!A1109)</f>
        <v>L01103</v>
      </c>
      <c r="B1109" s="1" t="str">
        <f>IF(Raw!B1109="","",Raw!B1109)</f>
        <v>T00552</v>
      </c>
      <c r="C1109" s="1" t="str">
        <f>IF(Raw!C1109="","",Raw!C1109)</f>
        <v>2026-03-19</v>
      </c>
      <c r="D1109" s="1">
        <f t="shared" si="136"/>
        <v>2026</v>
      </c>
      <c r="E1109" s="1">
        <f>IFERROR(IF(AND(LEN(C1109)=10,MID(C1109,5,1)="-",MID(C1109,8,1)="-"),VALUE(MID(C1109,6,2)),IF(AND(LEN(C1109)=11,MID(C1109,3,1)="-",MID(C1109,7,1)="-"),MATCH(UPPER(MID(C1109,4,3)),Guide!$D$7:$D$18,0),0)),0)</f>
        <v>3</v>
      </c>
      <c r="F1109" s="1">
        <f t="shared" si="137"/>
        <v>19</v>
      </c>
      <c r="G1109" s="9">
        <f t="shared" si="138"/>
        <v>46100</v>
      </c>
      <c r="H1109" s="1" t="str">
        <f>IF(Raw!D1109="","",Raw!D1109)</f>
        <v>P-H</v>
      </c>
      <c r="I1109" s="1" t="str">
        <f>IFERROR(IF(EXACT(H1109,INDEX(Guide!$A$7:$A$9,MATCH(SUBSTITUTE(SUBSTITUTE(SUBSTITUTE(H1109,"~","~~"),"*","~*"),"?","~?"),Guide!$A$7:$A$9,0))),INDEX(Guide!$B$7:$B$9,MATCH(SUBSTITUTE(SUBSTITUTE(SUBSTITUTE(H1109,"~","~~"),"*","~*"),"?","~?"),Guide!$A$7:$A$9,0)),""),"")</f>
        <v>Home</v>
      </c>
      <c r="J1109" s="1" t="str">
        <f>IF(TRIM(Raw!E1109)="",I1109,IF(UPPER(TRIM(Raw!E1109))=UPPER(I1109),I1109,""))</f>
        <v>Home</v>
      </c>
      <c r="K1109" s="1" t="str">
        <f>IF(Raw!F1109="","",Raw!F1109)</f>
        <v>sale</v>
      </c>
      <c r="L1109" s="1" t="str">
        <f>IF(LEFT(TRIM(Raw!G1109),2)="-$","-"&amp;MID(TRIM(Raw!G1109),3,99),IF(LEFT(TRIM(Raw!G1109),1)="$",MID(TRIM(Raw!G1109),2,99),TRIM(Raw!G1109)))</f>
        <v>263.65</v>
      </c>
      <c r="M1109" s="1">
        <f t="shared" si="139"/>
        <v>263.64999999999998</v>
      </c>
      <c r="N1109" s="10">
        <f t="shared" si="140"/>
        <v>26365</v>
      </c>
      <c r="O1109" s="1" t="b">
        <f>IFERROR(IF(ISNUMBER(Raw!G1109),TRUE,OR(EXACT(L1109,TEXT(M1109,"0.00")),EXACT(L1109,TEXT(M1109,"#,##0.00")))),FALSE)</f>
        <v>1</v>
      </c>
      <c r="P1109" s="1" t="str">
        <f>LEN(IF(Raw!A1109="","",Raw!A1109))&amp;":"&amp;IF(Raw!A1109="","",Raw!A1109)&amp;"|"&amp;LEN(IF(Raw!B1109="","",Raw!B1109))&amp;":"&amp;IF(Raw!B1109="","",Raw!B1109)&amp;"|"&amp;LEN(IF(Raw!C1109="","",Raw!C1109))&amp;":"&amp;IF(Raw!C1109="","",Raw!C1109)&amp;"|"&amp;LEN(IF(Raw!D1109="","",Raw!D1109))&amp;":"&amp;IF(Raw!D1109="","",Raw!D1109)&amp;"|"&amp;LEN(IF(Raw!E1109="","",Raw!E1109))&amp;":"&amp;IF(Raw!E1109="","",Raw!E1109)&amp;"|"&amp;LEN(IF(Raw!F1109="","",Raw!F1109))&amp;":"&amp;IF(Raw!F1109="","",Raw!F1109)&amp;"|"&amp;LEN(IF(Raw!G1109="","",Raw!G1109))&amp;":"&amp;IF(Raw!G1109="","",Raw!G1109)</f>
        <v>6:L01103|6:T00552|10:2026-03-19|3:P-H|4:Home|4:sale|6:263.65</v>
      </c>
      <c r="Q1109" s="1">
        <f>1</f>
        <v>1</v>
      </c>
      <c r="R1109" s="1" t="b">
        <f>FALSE</f>
        <v>0</v>
      </c>
      <c r="S1109" s="1">
        <f>1</f>
        <v>1</v>
      </c>
      <c r="T1109" s="1" t="str">
        <f>IF(AND(Raw!A1109="",Raw!B1109="",Raw!C1109="",Raw!D1109="",Raw!E1109="",Raw!F1109="",Raw!G1109=""),"UNUSED",IF(A1109="","missing line ID",IF(B1109="","missing transaction ID",IF(G1109="",IF(C1109="","missing date","invalid date"),IF(I1109="","unknown product",IF(J1109="","conflicting category",IF(NOT(OR(EXACT(K1109,"sale"),EXACT(K1109,"refund"))),"unknown event",IF(OR(N1109="",NOT(O1109)),"invalid amount",IF(OR(AND(K1109="sale",N1109&lt;=0),AND(K1109="refund",N1109&gt;=0)),"invalid sign","")))))))))</f>
        <v/>
      </c>
      <c r="U1109" s="1" t="str">
        <f t="shared" si="141"/>
        <v>INCLUDED</v>
      </c>
      <c r="V1109" s="1" t="str">
        <f t="shared" si="142"/>
        <v>2026-03</v>
      </c>
      <c r="W1109" s="1">
        <f>IF(AND(U1109="INCLUDED",X1109&gt;0,EXACT(A1109,'AI output'!A1109)),1,0)</f>
        <v>1</v>
      </c>
      <c r="X1109" s="1">
        <f>1109</f>
        <v>1109</v>
      </c>
      <c r="Y1109" s="1">
        <f>IF(AND(U1109="INCLUDED",W1109=1),--(NOT(EXACT(A1109,'AI output'!A1109)))+--(NOT(EXACT(B1109,'AI output'!B1109)))+--(NOT(EXACT(TEXT(G1109,"yyyy-mm-dd"),'AI output'!C1109)))+--(NOT(EXACT(H1109,'AI output'!D1109)))+--(NOT(EXACT(J1109,'AI output'!E1109)))+--(NOT(EXACT(K1109,'AI output'!F1109)))+--(N1109&lt;&gt;'AI output'!L1109)+--(NOT('AI output'!M1109)),0)</f>
        <v>0</v>
      </c>
      <c r="Z1109" s="1">
        <f t="shared" si="143"/>
        <v>0</v>
      </c>
      <c r="AA1109" s="1">
        <f>--EXACT(A1109,"L01103")</f>
        <v>1</v>
      </c>
    </row>
    <row r="1110" spans="1:27" ht="18.95" customHeight="1">
      <c r="A1110" s="1" t="str">
        <f>IF(Raw!A1110="","",Raw!A1110)</f>
        <v>L01104</v>
      </c>
      <c r="B1110" s="1" t="str">
        <f>IF(Raw!B1110="","",Raw!B1110)</f>
        <v>T00552</v>
      </c>
      <c r="C1110" s="1" t="str">
        <f>IF(Raw!C1110="","",Raw!C1110)</f>
        <v>2026-03-19</v>
      </c>
      <c r="D1110" s="1">
        <f t="shared" si="136"/>
        <v>2026</v>
      </c>
      <c r="E1110" s="1">
        <f>IFERROR(IF(AND(LEN(C1110)=10,MID(C1110,5,1)="-",MID(C1110,8,1)="-"),VALUE(MID(C1110,6,2)),IF(AND(LEN(C1110)=11,MID(C1110,3,1)="-",MID(C1110,7,1)="-"),MATCH(UPPER(MID(C1110,4,3)),Guide!$D$7:$D$18,0),0)),0)</f>
        <v>3</v>
      </c>
      <c r="F1110" s="1">
        <f t="shared" si="137"/>
        <v>19</v>
      </c>
      <c r="G1110" s="9">
        <f t="shared" si="138"/>
        <v>46100</v>
      </c>
      <c r="H1110" s="1" t="str">
        <f>IF(Raw!D1110="","",Raw!D1110)</f>
        <v>P-O</v>
      </c>
      <c r="I1110" s="1" t="str">
        <f>IFERROR(IF(EXACT(H1110,INDEX(Guide!$A$7:$A$9,MATCH(SUBSTITUTE(SUBSTITUTE(SUBSTITUTE(H1110,"~","~~"),"*","~*"),"?","~?"),Guide!$A$7:$A$9,0))),INDEX(Guide!$B$7:$B$9,MATCH(SUBSTITUTE(SUBSTITUTE(SUBSTITUTE(H1110,"~","~~"),"*","~*"),"?","~?"),Guide!$A$7:$A$9,0)),""),"")</f>
        <v>Office</v>
      </c>
      <c r="J1110" s="1" t="str">
        <f>IF(TRIM(Raw!E1110)="",I1110,IF(UPPER(TRIM(Raw!E1110))=UPPER(I1110),I1110,""))</f>
        <v>Office</v>
      </c>
      <c r="K1110" s="1" t="str">
        <f>IF(Raw!F1110="","",Raw!F1110)</f>
        <v>sale</v>
      </c>
      <c r="L1110" s="1" t="str">
        <f>IF(LEFT(TRIM(Raw!G1110),2)="-$","-"&amp;MID(TRIM(Raw!G1110),3,99),IF(LEFT(TRIM(Raw!G1110),1)="$",MID(TRIM(Raw!G1110),2,99),TRIM(Raw!G1110)))</f>
        <v>106.20</v>
      </c>
      <c r="M1110" s="1">
        <f t="shared" si="139"/>
        <v>106.2</v>
      </c>
      <c r="N1110" s="10">
        <f t="shared" si="140"/>
        <v>10620</v>
      </c>
      <c r="O1110" s="1" t="b">
        <f>IFERROR(IF(ISNUMBER(Raw!G1110),TRUE,OR(EXACT(L1110,TEXT(M1110,"0.00")),EXACT(L1110,TEXT(M1110,"#,##0.00")))),FALSE)</f>
        <v>1</v>
      </c>
      <c r="P1110" s="1" t="str">
        <f>LEN(IF(Raw!A1110="","",Raw!A1110))&amp;":"&amp;IF(Raw!A1110="","",Raw!A1110)&amp;"|"&amp;LEN(IF(Raw!B1110="","",Raw!B1110))&amp;":"&amp;IF(Raw!B1110="","",Raw!B1110)&amp;"|"&amp;LEN(IF(Raw!C1110="","",Raw!C1110))&amp;":"&amp;IF(Raw!C1110="","",Raw!C1110)&amp;"|"&amp;LEN(IF(Raw!D1110="","",Raw!D1110))&amp;":"&amp;IF(Raw!D1110="","",Raw!D1110)&amp;"|"&amp;LEN(IF(Raw!E1110="","",Raw!E1110))&amp;":"&amp;IF(Raw!E1110="","",Raw!E1110)&amp;"|"&amp;LEN(IF(Raw!F1110="","",Raw!F1110))&amp;":"&amp;IF(Raw!F1110="","",Raw!F1110)&amp;"|"&amp;LEN(IF(Raw!G1110="","",Raw!G1110))&amp;":"&amp;IF(Raw!G1110="","",Raw!G1110)</f>
        <v>6:L01104|6:T00552|10:2026-03-19|3:P-O|6:Office|4:sale|6:106.20</v>
      </c>
      <c r="Q1110" s="1">
        <f>1</f>
        <v>1</v>
      </c>
      <c r="R1110" s="1" t="b">
        <f>FALSE</f>
        <v>0</v>
      </c>
      <c r="S1110" s="1">
        <f>1</f>
        <v>1</v>
      </c>
      <c r="T1110" s="1" t="str">
        <f>IF(AND(Raw!A1110="",Raw!B1110="",Raw!C1110="",Raw!D1110="",Raw!E1110="",Raw!F1110="",Raw!G1110=""),"UNUSED",IF(A1110="","missing line ID",IF(B1110="","missing transaction ID",IF(G1110="",IF(C1110="","missing date","invalid date"),IF(I1110="","unknown product",IF(J1110="","conflicting category",IF(NOT(OR(EXACT(K1110,"sale"),EXACT(K1110,"refund"))),"unknown event",IF(OR(N1110="",NOT(O1110)),"invalid amount",IF(OR(AND(K1110="sale",N1110&lt;=0),AND(K1110="refund",N1110&gt;=0)),"invalid sign","")))))))))</f>
        <v/>
      </c>
      <c r="U1110" s="1" t="str">
        <f t="shared" si="141"/>
        <v>INCLUDED</v>
      </c>
      <c r="V1110" s="1" t="str">
        <f t="shared" si="142"/>
        <v>2026-03</v>
      </c>
      <c r="W1110" s="1">
        <f>IF(AND(U1110="INCLUDED",X1110&gt;0,EXACT(A1110,'AI output'!A1110)),1,0)</f>
        <v>1</v>
      </c>
      <c r="X1110" s="1">
        <f>1110</f>
        <v>1110</v>
      </c>
      <c r="Y1110" s="1">
        <f>IF(AND(U1110="INCLUDED",W1110=1),--(NOT(EXACT(A1110,'AI output'!A1110)))+--(NOT(EXACT(B1110,'AI output'!B1110)))+--(NOT(EXACT(TEXT(G1110,"yyyy-mm-dd"),'AI output'!C1110)))+--(NOT(EXACT(H1110,'AI output'!D1110)))+--(NOT(EXACT(J1110,'AI output'!E1110)))+--(NOT(EXACT(K1110,'AI output'!F1110)))+--(N1110&lt;&gt;'AI output'!L1110)+--(NOT('AI output'!M1110)),0)</f>
        <v>0</v>
      </c>
      <c r="Z1110" s="1">
        <f t="shared" si="143"/>
        <v>0</v>
      </c>
      <c r="AA1110" s="1">
        <f>--EXACT(A1110,"L01104")</f>
        <v>1</v>
      </c>
    </row>
    <row r="1111" spans="1:27" ht="18.95" customHeight="1">
      <c r="A1111" s="1" t="str">
        <f>IF(Raw!A1111="","",Raw!A1111)</f>
        <v>L01105</v>
      </c>
      <c r="B1111" s="1" t="str">
        <f>IF(Raw!B1111="","",Raw!B1111)</f>
        <v>T00553</v>
      </c>
      <c r="C1111" s="1" t="str">
        <f>IF(Raw!C1111="","",Raw!C1111)</f>
        <v>2026-03-26</v>
      </c>
      <c r="D1111" s="1">
        <f t="shared" si="136"/>
        <v>2026</v>
      </c>
      <c r="E1111" s="1">
        <f>IFERROR(IF(AND(LEN(C1111)=10,MID(C1111,5,1)="-",MID(C1111,8,1)="-"),VALUE(MID(C1111,6,2)),IF(AND(LEN(C1111)=11,MID(C1111,3,1)="-",MID(C1111,7,1)="-"),MATCH(UPPER(MID(C1111,4,3)),Guide!$D$7:$D$18,0),0)),0)</f>
        <v>3</v>
      </c>
      <c r="F1111" s="1">
        <f t="shared" si="137"/>
        <v>26</v>
      </c>
      <c r="G1111" s="9">
        <f t="shared" si="138"/>
        <v>46107</v>
      </c>
      <c r="H1111" s="1" t="str">
        <f>IF(Raw!D1111="","",Raw!D1111)</f>
        <v>P-A</v>
      </c>
      <c r="I1111" s="1" t="str">
        <f>IFERROR(IF(EXACT(H1111,INDEX(Guide!$A$7:$A$9,MATCH(SUBSTITUTE(SUBSTITUTE(SUBSTITUTE(H1111,"~","~~"),"*","~*"),"?","~?"),Guide!$A$7:$A$9,0))),INDEX(Guide!$B$7:$B$9,MATCH(SUBSTITUTE(SUBSTITUTE(SUBSTITUTE(H1111,"~","~~"),"*","~*"),"?","~?"),Guide!$A$7:$A$9,0)),""),"")</f>
        <v>Accessories</v>
      </c>
      <c r="J1111" s="1" t="str">
        <f>IF(TRIM(Raw!E1111)="",I1111,IF(UPPER(TRIM(Raw!E1111))=UPPER(I1111),I1111,""))</f>
        <v>Accessories</v>
      </c>
      <c r="K1111" s="1" t="str">
        <f>IF(Raw!F1111="","",Raw!F1111)</f>
        <v>refund</v>
      </c>
      <c r="L1111" s="1" t="str">
        <f>IF(LEFT(TRIM(Raw!G1111),2)="-$","-"&amp;MID(TRIM(Raw!G1111),3,99),IF(LEFT(TRIM(Raw!G1111),1)="$",MID(TRIM(Raw!G1111),2,99),TRIM(Raw!G1111)))</f>
        <v>-213.88</v>
      </c>
      <c r="M1111" s="1">
        <f t="shared" si="139"/>
        <v>-213.88</v>
      </c>
      <c r="N1111" s="10">
        <f t="shared" si="140"/>
        <v>-21388</v>
      </c>
      <c r="O1111" s="1" t="b">
        <f>IFERROR(IF(ISNUMBER(Raw!G1111),TRUE,OR(EXACT(L1111,TEXT(M1111,"0.00")),EXACT(L1111,TEXT(M1111,"#,##0.00")))),FALSE)</f>
        <v>1</v>
      </c>
      <c r="P1111" s="1" t="str">
        <f>LEN(IF(Raw!A1111="","",Raw!A1111))&amp;":"&amp;IF(Raw!A1111="","",Raw!A1111)&amp;"|"&amp;LEN(IF(Raw!B1111="","",Raw!B1111))&amp;":"&amp;IF(Raw!B1111="","",Raw!B1111)&amp;"|"&amp;LEN(IF(Raw!C1111="","",Raw!C1111))&amp;":"&amp;IF(Raw!C1111="","",Raw!C1111)&amp;"|"&amp;LEN(IF(Raw!D1111="","",Raw!D1111))&amp;":"&amp;IF(Raw!D1111="","",Raw!D1111)&amp;"|"&amp;LEN(IF(Raw!E1111="","",Raw!E1111))&amp;":"&amp;IF(Raw!E1111="","",Raw!E1111)&amp;"|"&amp;LEN(IF(Raw!F1111="","",Raw!F1111))&amp;":"&amp;IF(Raw!F1111="","",Raw!F1111)&amp;"|"&amp;LEN(IF(Raw!G1111="","",Raw!G1111))&amp;":"&amp;IF(Raw!G1111="","",Raw!G1111)</f>
        <v>6:L01105|6:T00553|10:2026-03-26|3:P-A|11:Accessories|6:refund|7:-213.88</v>
      </c>
      <c r="Q1111" s="1">
        <f>1</f>
        <v>1</v>
      </c>
      <c r="R1111" s="1" t="b">
        <f>FALSE</f>
        <v>0</v>
      </c>
      <c r="S1111" s="1">
        <f>1</f>
        <v>1</v>
      </c>
      <c r="T1111" s="1" t="str">
        <f>IF(AND(Raw!A1111="",Raw!B1111="",Raw!C1111="",Raw!D1111="",Raw!E1111="",Raw!F1111="",Raw!G1111=""),"UNUSED",IF(A1111="","missing line ID",IF(B1111="","missing transaction ID",IF(G1111="",IF(C1111="","missing date","invalid date"),IF(I1111="","unknown product",IF(J1111="","conflicting category",IF(NOT(OR(EXACT(K1111,"sale"),EXACT(K1111,"refund"))),"unknown event",IF(OR(N1111="",NOT(O1111)),"invalid amount",IF(OR(AND(K1111="sale",N1111&lt;=0),AND(K1111="refund",N1111&gt;=0)),"invalid sign","")))))))))</f>
        <v/>
      </c>
      <c r="U1111" s="1" t="str">
        <f t="shared" si="141"/>
        <v>INCLUDED</v>
      </c>
      <c r="V1111" s="1" t="str">
        <f t="shared" si="142"/>
        <v>2026-03</v>
      </c>
      <c r="W1111" s="1">
        <f>IF(AND(U1111="INCLUDED",X1111&gt;0,EXACT(A1111,'AI output'!A1111)),1,0)</f>
        <v>1</v>
      </c>
      <c r="X1111" s="1">
        <f>1111</f>
        <v>1111</v>
      </c>
      <c r="Y1111" s="1">
        <f>IF(AND(U1111="INCLUDED",W1111=1),--(NOT(EXACT(A1111,'AI output'!A1111)))+--(NOT(EXACT(B1111,'AI output'!B1111)))+--(NOT(EXACT(TEXT(G1111,"yyyy-mm-dd"),'AI output'!C1111)))+--(NOT(EXACT(H1111,'AI output'!D1111)))+--(NOT(EXACT(J1111,'AI output'!E1111)))+--(NOT(EXACT(K1111,'AI output'!F1111)))+--(N1111&lt;&gt;'AI output'!L1111)+--(NOT('AI output'!M1111)),0)</f>
        <v>0</v>
      </c>
      <c r="Z1111" s="1">
        <f t="shared" si="143"/>
        <v>0</v>
      </c>
      <c r="AA1111" s="1">
        <f>--EXACT(A1111,"L01105")</f>
        <v>1</v>
      </c>
    </row>
    <row r="1112" spans="1:27" ht="18.95" customHeight="1">
      <c r="A1112" s="1" t="str">
        <f>IF(Raw!A1112="","",Raw!A1112)</f>
        <v>L01106</v>
      </c>
      <c r="B1112" s="1" t="str">
        <f>IF(Raw!B1112="","",Raw!B1112)</f>
        <v>T00553</v>
      </c>
      <c r="C1112" s="1" t="str">
        <f>IF(Raw!C1112="","",Raw!C1112)</f>
        <v>2026-03-26</v>
      </c>
      <c r="D1112" s="1">
        <f t="shared" si="136"/>
        <v>2026</v>
      </c>
      <c r="E1112" s="1">
        <f>IFERROR(IF(AND(LEN(C1112)=10,MID(C1112,5,1)="-",MID(C1112,8,1)="-"),VALUE(MID(C1112,6,2)),IF(AND(LEN(C1112)=11,MID(C1112,3,1)="-",MID(C1112,7,1)="-"),MATCH(UPPER(MID(C1112,4,3)),Guide!$D$7:$D$18,0),0)),0)</f>
        <v>3</v>
      </c>
      <c r="F1112" s="1">
        <f t="shared" si="137"/>
        <v>26</v>
      </c>
      <c r="G1112" s="9">
        <f t="shared" si="138"/>
        <v>46107</v>
      </c>
      <c r="H1112" s="1" t="str">
        <f>IF(Raw!D1112="","",Raw!D1112)</f>
        <v>P-H</v>
      </c>
      <c r="I1112" s="1" t="str">
        <f>IFERROR(IF(EXACT(H1112,INDEX(Guide!$A$7:$A$9,MATCH(SUBSTITUTE(SUBSTITUTE(SUBSTITUTE(H1112,"~","~~"),"*","~*"),"?","~?"),Guide!$A$7:$A$9,0))),INDEX(Guide!$B$7:$B$9,MATCH(SUBSTITUTE(SUBSTITUTE(SUBSTITUTE(H1112,"~","~~"),"*","~*"),"?","~?"),Guide!$A$7:$A$9,0)),""),"")</f>
        <v>Home</v>
      </c>
      <c r="J1112" s="1" t="str">
        <f>IF(TRIM(Raw!E1112)="",I1112,IF(UPPER(TRIM(Raw!E1112))=UPPER(I1112),I1112,""))</f>
        <v>Home</v>
      </c>
      <c r="K1112" s="1" t="str">
        <f>IF(Raw!F1112="","",Raw!F1112)</f>
        <v>sale</v>
      </c>
      <c r="L1112" s="1" t="str">
        <f>IF(LEFT(TRIM(Raw!G1112),2)="-$","-"&amp;MID(TRIM(Raw!G1112),3,99),IF(LEFT(TRIM(Raw!G1112),1)="$",MID(TRIM(Raw!G1112),2,99),TRIM(Raw!G1112)))</f>
        <v>53.84</v>
      </c>
      <c r="M1112" s="1">
        <f t="shared" si="139"/>
        <v>53.84</v>
      </c>
      <c r="N1112" s="10">
        <f t="shared" si="140"/>
        <v>5384</v>
      </c>
      <c r="O1112" s="1" t="b">
        <f>IFERROR(IF(ISNUMBER(Raw!G1112),TRUE,OR(EXACT(L1112,TEXT(M1112,"0.00")),EXACT(L1112,TEXT(M1112,"#,##0.00")))),FALSE)</f>
        <v>1</v>
      </c>
      <c r="P1112" s="1" t="str">
        <f>LEN(IF(Raw!A1112="","",Raw!A1112))&amp;":"&amp;IF(Raw!A1112="","",Raw!A1112)&amp;"|"&amp;LEN(IF(Raw!B1112="","",Raw!B1112))&amp;":"&amp;IF(Raw!B1112="","",Raw!B1112)&amp;"|"&amp;LEN(IF(Raw!C1112="","",Raw!C1112))&amp;":"&amp;IF(Raw!C1112="","",Raw!C1112)&amp;"|"&amp;LEN(IF(Raw!D1112="","",Raw!D1112))&amp;":"&amp;IF(Raw!D1112="","",Raw!D1112)&amp;"|"&amp;LEN(IF(Raw!E1112="","",Raw!E1112))&amp;":"&amp;IF(Raw!E1112="","",Raw!E1112)&amp;"|"&amp;LEN(IF(Raw!F1112="","",Raw!F1112))&amp;":"&amp;IF(Raw!F1112="","",Raw!F1112)&amp;"|"&amp;LEN(IF(Raw!G1112="","",Raw!G1112))&amp;":"&amp;IF(Raw!G1112="","",Raw!G1112)</f>
        <v>6:L01106|6:T00553|10:2026-03-26|3:P-H|4:Home|4:sale|5:53.84</v>
      </c>
      <c r="Q1112" s="1">
        <f>1</f>
        <v>1</v>
      </c>
      <c r="R1112" s="1" t="b">
        <f>FALSE</f>
        <v>0</v>
      </c>
      <c r="S1112" s="1">
        <f>1</f>
        <v>1</v>
      </c>
      <c r="T1112" s="1" t="str">
        <f>IF(AND(Raw!A1112="",Raw!B1112="",Raw!C1112="",Raw!D1112="",Raw!E1112="",Raw!F1112="",Raw!G1112=""),"UNUSED",IF(A1112="","missing line ID",IF(B1112="","missing transaction ID",IF(G1112="",IF(C1112="","missing date","invalid date"),IF(I1112="","unknown product",IF(J1112="","conflicting category",IF(NOT(OR(EXACT(K1112,"sale"),EXACT(K1112,"refund"))),"unknown event",IF(OR(N1112="",NOT(O1112)),"invalid amount",IF(OR(AND(K1112="sale",N1112&lt;=0),AND(K1112="refund",N1112&gt;=0)),"invalid sign","")))))))))</f>
        <v/>
      </c>
      <c r="U1112" s="1" t="str">
        <f t="shared" si="141"/>
        <v>INCLUDED</v>
      </c>
      <c r="V1112" s="1" t="str">
        <f t="shared" si="142"/>
        <v>2026-03</v>
      </c>
      <c r="W1112" s="1">
        <f>IF(AND(U1112="INCLUDED",X1112&gt;0,EXACT(A1112,'AI output'!A1112)),1,0)</f>
        <v>1</v>
      </c>
      <c r="X1112" s="1">
        <f>1112</f>
        <v>1112</v>
      </c>
      <c r="Y1112" s="1">
        <f>IF(AND(U1112="INCLUDED",W1112=1),--(NOT(EXACT(A1112,'AI output'!A1112)))+--(NOT(EXACT(B1112,'AI output'!B1112)))+--(NOT(EXACT(TEXT(G1112,"yyyy-mm-dd"),'AI output'!C1112)))+--(NOT(EXACT(H1112,'AI output'!D1112)))+--(NOT(EXACT(J1112,'AI output'!E1112)))+--(NOT(EXACT(K1112,'AI output'!F1112)))+--(N1112&lt;&gt;'AI output'!L1112)+--(NOT('AI output'!M1112)),0)</f>
        <v>0</v>
      </c>
      <c r="Z1112" s="1">
        <f t="shared" si="143"/>
        <v>0</v>
      </c>
      <c r="AA1112" s="1">
        <f>--EXACT(A1112,"L01106")</f>
        <v>1</v>
      </c>
    </row>
    <row r="1113" spans="1:27" ht="18.95" customHeight="1">
      <c r="A1113" s="1" t="str">
        <f>IF(Raw!A1113="","",Raw!A1113)</f>
        <v>L01107</v>
      </c>
      <c r="B1113" s="1" t="str">
        <f>IF(Raw!B1113="","",Raw!B1113)</f>
        <v>T00554</v>
      </c>
      <c r="C1113" s="1" t="str">
        <f>IF(Raw!C1113="","",Raw!C1113)</f>
        <v>2026-01-02</v>
      </c>
      <c r="D1113" s="1">
        <f t="shared" si="136"/>
        <v>2026</v>
      </c>
      <c r="E1113" s="1">
        <f>IFERROR(IF(AND(LEN(C1113)=10,MID(C1113,5,1)="-",MID(C1113,8,1)="-"),VALUE(MID(C1113,6,2)),IF(AND(LEN(C1113)=11,MID(C1113,3,1)="-",MID(C1113,7,1)="-"),MATCH(UPPER(MID(C1113,4,3)),Guide!$D$7:$D$18,0),0)),0)</f>
        <v>1</v>
      </c>
      <c r="F1113" s="1">
        <f t="shared" si="137"/>
        <v>2</v>
      </c>
      <c r="G1113" s="9">
        <f t="shared" si="138"/>
        <v>46024</v>
      </c>
      <c r="H1113" s="1" t="str">
        <f>IF(Raw!D1113="","",Raw!D1113)</f>
        <v>P-O</v>
      </c>
      <c r="I1113" s="1" t="str">
        <f>IFERROR(IF(EXACT(H1113,INDEX(Guide!$A$7:$A$9,MATCH(SUBSTITUTE(SUBSTITUTE(SUBSTITUTE(H1113,"~","~~"),"*","~*"),"?","~?"),Guide!$A$7:$A$9,0))),INDEX(Guide!$B$7:$B$9,MATCH(SUBSTITUTE(SUBSTITUTE(SUBSTITUTE(H1113,"~","~~"),"*","~*"),"?","~?"),Guide!$A$7:$A$9,0)),""),"")</f>
        <v>Office</v>
      </c>
      <c r="J1113" s="1" t="str">
        <f>IF(TRIM(Raw!E1113)="",I1113,IF(UPPER(TRIM(Raw!E1113))=UPPER(I1113),I1113,""))</f>
        <v>Office</v>
      </c>
      <c r="K1113" s="1" t="str">
        <f>IF(Raw!F1113="","",Raw!F1113)</f>
        <v>sale</v>
      </c>
      <c r="L1113" s="1" t="str">
        <f>IF(LEFT(TRIM(Raw!G1113),2)="-$","-"&amp;MID(TRIM(Raw!G1113),3,99),IF(LEFT(TRIM(Raw!G1113),1)="$",MID(TRIM(Raw!G1113),2,99),TRIM(Raw!G1113)))</f>
        <v>162.63</v>
      </c>
      <c r="M1113" s="1">
        <f t="shared" si="139"/>
        <v>162.63</v>
      </c>
      <c r="N1113" s="10">
        <f t="shared" si="140"/>
        <v>16263</v>
      </c>
      <c r="O1113" s="1" t="b">
        <f>IFERROR(IF(ISNUMBER(Raw!G1113),TRUE,OR(EXACT(L1113,TEXT(M1113,"0.00")),EXACT(L1113,TEXT(M1113,"#,##0.00")))),FALSE)</f>
        <v>1</v>
      </c>
      <c r="P1113" s="1" t="str">
        <f>LEN(IF(Raw!A1113="","",Raw!A1113))&amp;":"&amp;IF(Raw!A1113="","",Raw!A1113)&amp;"|"&amp;LEN(IF(Raw!B1113="","",Raw!B1113))&amp;":"&amp;IF(Raw!B1113="","",Raw!B1113)&amp;"|"&amp;LEN(IF(Raw!C1113="","",Raw!C1113))&amp;":"&amp;IF(Raw!C1113="","",Raw!C1113)&amp;"|"&amp;LEN(IF(Raw!D1113="","",Raw!D1113))&amp;":"&amp;IF(Raw!D1113="","",Raw!D1113)&amp;"|"&amp;LEN(IF(Raw!E1113="","",Raw!E1113))&amp;":"&amp;IF(Raw!E1113="","",Raw!E1113)&amp;"|"&amp;LEN(IF(Raw!F1113="","",Raw!F1113))&amp;":"&amp;IF(Raw!F1113="","",Raw!F1113)&amp;"|"&amp;LEN(IF(Raw!G1113="","",Raw!G1113))&amp;":"&amp;IF(Raw!G1113="","",Raw!G1113)</f>
        <v>6:L01107|6:T00554|10:2026-01-02|3:P-O|6:Office|4:sale|6:162.63</v>
      </c>
      <c r="Q1113" s="1">
        <f>1</f>
        <v>1</v>
      </c>
      <c r="R1113" s="1" t="b">
        <f>FALSE</f>
        <v>0</v>
      </c>
      <c r="S1113" s="1">
        <f>1</f>
        <v>1</v>
      </c>
      <c r="T1113" s="1" t="str">
        <f>IF(AND(Raw!A1113="",Raw!B1113="",Raw!C1113="",Raw!D1113="",Raw!E1113="",Raw!F1113="",Raw!G1113=""),"UNUSED",IF(A1113="","missing line ID",IF(B1113="","missing transaction ID",IF(G1113="",IF(C1113="","missing date","invalid date"),IF(I1113="","unknown product",IF(J1113="","conflicting category",IF(NOT(OR(EXACT(K1113,"sale"),EXACT(K1113,"refund"))),"unknown event",IF(OR(N1113="",NOT(O1113)),"invalid amount",IF(OR(AND(K1113="sale",N1113&lt;=0),AND(K1113="refund",N1113&gt;=0)),"invalid sign","")))))))))</f>
        <v/>
      </c>
      <c r="U1113" s="1" t="str">
        <f t="shared" si="141"/>
        <v>INCLUDED</v>
      </c>
      <c r="V1113" s="1" t="str">
        <f t="shared" si="142"/>
        <v>2026-01</v>
      </c>
      <c r="W1113" s="1">
        <f>IF(AND(U1113="INCLUDED",X1113&gt;0,EXACT(A1113,'AI output'!A1113)),1,0)</f>
        <v>1</v>
      </c>
      <c r="X1113" s="1">
        <f>1113</f>
        <v>1113</v>
      </c>
      <c r="Y1113" s="1">
        <f>IF(AND(U1113="INCLUDED",W1113=1),--(NOT(EXACT(A1113,'AI output'!A1113)))+--(NOT(EXACT(B1113,'AI output'!B1113)))+--(NOT(EXACT(TEXT(G1113,"yyyy-mm-dd"),'AI output'!C1113)))+--(NOT(EXACT(H1113,'AI output'!D1113)))+--(NOT(EXACT(J1113,'AI output'!E1113)))+--(NOT(EXACT(K1113,'AI output'!F1113)))+--(N1113&lt;&gt;'AI output'!L1113)+--(NOT('AI output'!M1113)),0)</f>
        <v>0</v>
      </c>
      <c r="Z1113" s="1">
        <f t="shared" si="143"/>
        <v>0</v>
      </c>
      <c r="AA1113" s="1">
        <f>--EXACT(A1113,"L01107")</f>
        <v>1</v>
      </c>
    </row>
    <row r="1114" spans="1:27" ht="18.95" customHeight="1">
      <c r="A1114" s="1" t="str">
        <f>IF(Raw!A1114="","",Raw!A1114)</f>
        <v>L01108</v>
      </c>
      <c r="B1114" s="1" t="str">
        <f>IF(Raw!B1114="","",Raw!B1114)</f>
        <v>T00554</v>
      </c>
      <c r="C1114" s="1" t="str">
        <f>IF(Raw!C1114="","",Raw!C1114)</f>
        <v>2026-01-02</v>
      </c>
      <c r="D1114" s="1">
        <f t="shared" si="136"/>
        <v>2026</v>
      </c>
      <c r="E1114" s="1">
        <f>IFERROR(IF(AND(LEN(C1114)=10,MID(C1114,5,1)="-",MID(C1114,8,1)="-"),VALUE(MID(C1114,6,2)),IF(AND(LEN(C1114)=11,MID(C1114,3,1)="-",MID(C1114,7,1)="-"),MATCH(UPPER(MID(C1114,4,3)),Guide!$D$7:$D$18,0),0)),0)</f>
        <v>1</v>
      </c>
      <c r="F1114" s="1">
        <f t="shared" si="137"/>
        <v>2</v>
      </c>
      <c r="G1114" s="9">
        <f t="shared" si="138"/>
        <v>46024</v>
      </c>
      <c r="H1114" s="1" t="str">
        <f>IF(Raw!D1114="","",Raw!D1114)</f>
        <v>P-A</v>
      </c>
      <c r="I1114" s="1" t="str">
        <f>IFERROR(IF(EXACT(H1114,INDEX(Guide!$A$7:$A$9,MATCH(SUBSTITUTE(SUBSTITUTE(SUBSTITUTE(H1114,"~","~~"),"*","~*"),"?","~?"),Guide!$A$7:$A$9,0))),INDEX(Guide!$B$7:$B$9,MATCH(SUBSTITUTE(SUBSTITUTE(SUBSTITUTE(H1114,"~","~~"),"*","~*"),"?","~?"),Guide!$A$7:$A$9,0)),""),"")</f>
        <v>Accessories</v>
      </c>
      <c r="J1114" s="1" t="str">
        <f>IF(TRIM(Raw!E1114)="",I1114,IF(UPPER(TRIM(Raw!E1114))=UPPER(I1114),I1114,""))</f>
        <v>Accessories</v>
      </c>
      <c r="K1114" s="1" t="str">
        <f>IF(Raw!F1114="","",Raw!F1114)</f>
        <v>sale</v>
      </c>
      <c r="L1114" s="1" t="str">
        <f>IF(LEFT(TRIM(Raw!G1114),2)="-$","-"&amp;MID(TRIM(Raw!G1114),3,99),IF(LEFT(TRIM(Raw!G1114),1)="$",MID(TRIM(Raw!G1114),2,99),TRIM(Raw!G1114)))</f>
        <v>272.90</v>
      </c>
      <c r="M1114" s="1">
        <f t="shared" si="139"/>
        <v>272.89999999999998</v>
      </c>
      <c r="N1114" s="10">
        <f t="shared" si="140"/>
        <v>27290</v>
      </c>
      <c r="O1114" s="1" t="b">
        <f>IFERROR(IF(ISNUMBER(Raw!G1114),TRUE,OR(EXACT(L1114,TEXT(M1114,"0.00")),EXACT(L1114,TEXT(M1114,"#,##0.00")))),FALSE)</f>
        <v>1</v>
      </c>
      <c r="P1114" s="1" t="str">
        <f>LEN(IF(Raw!A1114="","",Raw!A1114))&amp;":"&amp;IF(Raw!A1114="","",Raw!A1114)&amp;"|"&amp;LEN(IF(Raw!B1114="","",Raw!B1114))&amp;":"&amp;IF(Raw!B1114="","",Raw!B1114)&amp;"|"&amp;LEN(IF(Raw!C1114="","",Raw!C1114))&amp;":"&amp;IF(Raw!C1114="","",Raw!C1114)&amp;"|"&amp;LEN(IF(Raw!D1114="","",Raw!D1114))&amp;":"&amp;IF(Raw!D1114="","",Raw!D1114)&amp;"|"&amp;LEN(IF(Raw!E1114="","",Raw!E1114))&amp;":"&amp;IF(Raw!E1114="","",Raw!E1114)&amp;"|"&amp;LEN(IF(Raw!F1114="","",Raw!F1114))&amp;":"&amp;IF(Raw!F1114="","",Raw!F1114)&amp;"|"&amp;LEN(IF(Raw!G1114="","",Raw!G1114))&amp;":"&amp;IF(Raw!G1114="","",Raw!G1114)</f>
        <v>6:L01108|6:T00554|10:2026-01-02|3:P-A|11:Accessories|4:sale|6:272.90</v>
      </c>
      <c r="Q1114" s="1">
        <f>1</f>
        <v>1</v>
      </c>
      <c r="R1114" s="1" t="b">
        <f>FALSE</f>
        <v>0</v>
      </c>
      <c r="S1114" s="1">
        <f>1</f>
        <v>1</v>
      </c>
      <c r="T1114" s="1" t="str">
        <f>IF(AND(Raw!A1114="",Raw!B1114="",Raw!C1114="",Raw!D1114="",Raw!E1114="",Raw!F1114="",Raw!G1114=""),"UNUSED",IF(A1114="","missing line ID",IF(B1114="","missing transaction ID",IF(G1114="",IF(C1114="","missing date","invalid date"),IF(I1114="","unknown product",IF(J1114="","conflicting category",IF(NOT(OR(EXACT(K1114,"sale"),EXACT(K1114,"refund"))),"unknown event",IF(OR(N1114="",NOT(O1114)),"invalid amount",IF(OR(AND(K1114="sale",N1114&lt;=0),AND(K1114="refund",N1114&gt;=0)),"invalid sign","")))))))))</f>
        <v/>
      </c>
      <c r="U1114" s="1" t="str">
        <f t="shared" si="141"/>
        <v>INCLUDED</v>
      </c>
      <c r="V1114" s="1" t="str">
        <f t="shared" si="142"/>
        <v>2026-01</v>
      </c>
      <c r="W1114" s="1">
        <f>IF(AND(U1114="INCLUDED",X1114&gt;0,EXACT(A1114,'AI output'!A1114)),1,0)</f>
        <v>1</v>
      </c>
      <c r="X1114" s="1">
        <f>1114</f>
        <v>1114</v>
      </c>
      <c r="Y1114" s="1">
        <f>IF(AND(U1114="INCLUDED",W1114=1),--(NOT(EXACT(A1114,'AI output'!A1114)))+--(NOT(EXACT(B1114,'AI output'!B1114)))+--(NOT(EXACT(TEXT(G1114,"yyyy-mm-dd"),'AI output'!C1114)))+--(NOT(EXACT(H1114,'AI output'!D1114)))+--(NOT(EXACT(J1114,'AI output'!E1114)))+--(NOT(EXACT(K1114,'AI output'!F1114)))+--(N1114&lt;&gt;'AI output'!L1114)+--(NOT('AI output'!M1114)),0)</f>
        <v>0</v>
      </c>
      <c r="Z1114" s="1">
        <f t="shared" si="143"/>
        <v>0</v>
      </c>
      <c r="AA1114" s="1">
        <f>--EXACT(A1114,"L01108")</f>
        <v>1</v>
      </c>
    </row>
    <row r="1115" spans="1:27" ht="18.95" customHeight="1">
      <c r="A1115" s="1" t="str">
        <f>IF(Raw!A1115="","",Raw!A1115)</f>
        <v>L01109</v>
      </c>
      <c r="B1115" s="1" t="str">
        <f>IF(Raw!B1115="","",Raw!B1115)</f>
        <v>T00555</v>
      </c>
      <c r="C1115" s="1" t="str">
        <f>IF(Raw!C1115="","",Raw!C1115)</f>
        <v>2026-01-09</v>
      </c>
      <c r="D1115" s="1">
        <f t="shared" si="136"/>
        <v>2026</v>
      </c>
      <c r="E1115" s="1">
        <f>IFERROR(IF(AND(LEN(C1115)=10,MID(C1115,5,1)="-",MID(C1115,8,1)="-"),VALUE(MID(C1115,6,2)),IF(AND(LEN(C1115)=11,MID(C1115,3,1)="-",MID(C1115,7,1)="-"),MATCH(UPPER(MID(C1115,4,3)),Guide!$D$7:$D$18,0),0)),0)</f>
        <v>1</v>
      </c>
      <c r="F1115" s="1">
        <f t="shared" si="137"/>
        <v>9</v>
      </c>
      <c r="G1115" s="9">
        <f t="shared" si="138"/>
        <v>46031</v>
      </c>
      <c r="H1115" s="1" t="str">
        <f>IF(Raw!D1115="","",Raw!D1115)</f>
        <v>P-H</v>
      </c>
      <c r="I1115" s="1" t="str">
        <f>IFERROR(IF(EXACT(H1115,INDEX(Guide!$A$7:$A$9,MATCH(SUBSTITUTE(SUBSTITUTE(SUBSTITUTE(H1115,"~","~~"),"*","~*"),"?","~?"),Guide!$A$7:$A$9,0))),INDEX(Guide!$B$7:$B$9,MATCH(SUBSTITUTE(SUBSTITUTE(SUBSTITUTE(H1115,"~","~~"),"*","~*"),"?","~?"),Guide!$A$7:$A$9,0)),""),"")</f>
        <v>Home</v>
      </c>
      <c r="J1115" s="1" t="str">
        <f>IF(TRIM(Raw!E1115)="",I1115,IF(UPPER(TRIM(Raw!E1115))=UPPER(I1115),I1115,""))</f>
        <v>Home</v>
      </c>
      <c r="K1115" s="1" t="str">
        <f>IF(Raw!F1115="","",Raw!F1115)</f>
        <v>sale</v>
      </c>
      <c r="L1115" s="1" t="str">
        <f>IF(LEFT(TRIM(Raw!G1115),2)="-$","-"&amp;MID(TRIM(Raw!G1115),3,99),IF(LEFT(TRIM(Raw!G1115),1)="$",MID(TRIM(Raw!G1115),2,99),TRIM(Raw!G1115)))</f>
        <v>109.90</v>
      </c>
      <c r="M1115" s="1">
        <f t="shared" si="139"/>
        <v>109.9</v>
      </c>
      <c r="N1115" s="10">
        <f t="shared" si="140"/>
        <v>10990</v>
      </c>
      <c r="O1115" s="1" t="b">
        <f>IFERROR(IF(ISNUMBER(Raw!G1115),TRUE,OR(EXACT(L1115,TEXT(M1115,"0.00")),EXACT(L1115,TEXT(M1115,"#,##0.00")))),FALSE)</f>
        <v>1</v>
      </c>
      <c r="P1115" s="1" t="str">
        <f>LEN(IF(Raw!A1115="","",Raw!A1115))&amp;":"&amp;IF(Raw!A1115="","",Raw!A1115)&amp;"|"&amp;LEN(IF(Raw!B1115="","",Raw!B1115))&amp;":"&amp;IF(Raw!B1115="","",Raw!B1115)&amp;"|"&amp;LEN(IF(Raw!C1115="","",Raw!C1115))&amp;":"&amp;IF(Raw!C1115="","",Raw!C1115)&amp;"|"&amp;LEN(IF(Raw!D1115="","",Raw!D1115))&amp;":"&amp;IF(Raw!D1115="","",Raw!D1115)&amp;"|"&amp;LEN(IF(Raw!E1115="","",Raw!E1115))&amp;":"&amp;IF(Raw!E1115="","",Raw!E1115)&amp;"|"&amp;LEN(IF(Raw!F1115="","",Raw!F1115))&amp;":"&amp;IF(Raw!F1115="","",Raw!F1115)&amp;"|"&amp;LEN(IF(Raw!G1115="","",Raw!G1115))&amp;":"&amp;IF(Raw!G1115="","",Raw!G1115)</f>
        <v>6:L01109|6:T00555|10:2026-01-09|3:P-H|4:Home|4:sale|6:109.90</v>
      </c>
      <c r="Q1115" s="1">
        <f>1</f>
        <v>1</v>
      </c>
      <c r="R1115" s="1" t="b">
        <f>FALSE</f>
        <v>0</v>
      </c>
      <c r="S1115" s="1">
        <f>1</f>
        <v>1</v>
      </c>
      <c r="T1115" s="1" t="str">
        <f>IF(AND(Raw!A1115="",Raw!B1115="",Raw!C1115="",Raw!D1115="",Raw!E1115="",Raw!F1115="",Raw!G1115=""),"UNUSED",IF(A1115="","missing line ID",IF(B1115="","missing transaction ID",IF(G1115="",IF(C1115="","missing date","invalid date"),IF(I1115="","unknown product",IF(J1115="","conflicting category",IF(NOT(OR(EXACT(K1115,"sale"),EXACT(K1115,"refund"))),"unknown event",IF(OR(N1115="",NOT(O1115)),"invalid amount",IF(OR(AND(K1115="sale",N1115&lt;=0),AND(K1115="refund",N1115&gt;=0)),"invalid sign","")))))))))</f>
        <v/>
      </c>
      <c r="U1115" s="1" t="str">
        <f t="shared" si="141"/>
        <v>INCLUDED</v>
      </c>
      <c r="V1115" s="1" t="str">
        <f t="shared" si="142"/>
        <v>2026-01</v>
      </c>
      <c r="W1115" s="1">
        <f>IF(AND(U1115="INCLUDED",X1115&gt;0,EXACT(A1115,'AI output'!A1115)),1,0)</f>
        <v>1</v>
      </c>
      <c r="X1115" s="1">
        <f>1115</f>
        <v>1115</v>
      </c>
      <c r="Y1115" s="1">
        <f>IF(AND(U1115="INCLUDED",W1115=1),--(NOT(EXACT(A1115,'AI output'!A1115)))+--(NOT(EXACT(B1115,'AI output'!B1115)))+--(NOT(EXACT(TEXT(G1115,"yyyy-mm-dd"),'AI output'!C1115)))+--(NOT(EXACT(H1115,'AI output'!D1115)))+--(NOT(EXACT(J1115,'AI output'!E1115)))+--(NOT(EXACT(K1115,'AI output'!F1115)))+--(N1115&lt;&gt;'AI output'!L1115)+--(NOT('AI output'!M1115)),0)</f>
        <v>0</v>
      </c>
      <c r="Z1115" s="1">
        <f t="shared" si="143"/>
        <v>0</v>
      </c>
      <c r="AA1115" s="1">
        <f>--EXACT(A1115,"L01109")</f>
        <v>1</v>
      </c>
    </row>
    <row r="1116" spans="1:27" ht="18.95" customHeight="1">
      <c r="A1116" s="1" t="str">
        <f>IF(Raw!A1116="","",Raw!A1116)</f>
        <v>L01110</v>
      </c>
      <c r="B1116" s="1" t="str">
        <f>IF(Raw!B1116="","",Raw!B1116)</f>
        <v>T00555</v>
      </c>
      <c r="C1116" s="1" t="str">
        <f>IF(Raw!C1116="","",Raw!C1116)</f>
        <v>2026-01-09</v>
      </c>
      <c r="D1116" s="1">
        <f t="shared" si="136"/>
        <v>2026</v>
      </c>
      <c r="E1116" s="1">
        <f>IFERROR(IF(AND(LEN(C1116)=10,MID(C1116,5,1)="-",MID(C1116,8,1)="-"),VALUE(MID(C1116,6,2)),IF(AND(LEN(C1116)=11,MID(C1116,3,1)="-",MID(C1116,7,1)="-"),MATCH(UPPER(MID(C1116,4,3)),Guide!$D$7:$D$18,0),0)),0)</f>
        <v>1</v>
      </c>
      <c r="F1116" s="1">
        <f t="shared" si="137"/>
        <v>9</v>
      </c>
      <c r="G1116" s="9">
        <f t="shared" si="138"/>
        <v>46031</v>
      </c>
      <c r="H1116" s="1" t="str">
        <f>IF(Raw!D1116="","",Raw!D1116)</f>
        <v>P-O</v>
      </c>
      <c r="I1116" s="1" t="str">
        <f>IFERROR(IF(EXACT(H1116,INDEX(Guide!$A$7:$A$9,MATCH(SUBSTITUTE(SUBSTITUTE(SUBSTITUTE(H1116,"~","~~"),"*","~*"),"?","~?"),Guide!$A$7:$A$9,0))),INDEX(Guide!$B$7:$B$9,MATCH(SUBSTITUTE(SUBSTITUTE(SUBSTITUTE(H1116,"~","~~"),"*","~*"),"?","~?"),Guide!$A$7:$A$9,0)),""),"")</f>
        <v>Office</v>
      </c>
      <c r="J1116" s="1" t="str">
        <f>IF(TRIM(Raw!E1116)="",I1116,IF(UPPER(TRIM(Raw!E1116))=UPPER(I1116),I1116,""))</f>
        <v>Office</v>
      </c>
      <c r="K1116" s="1" t="str">
        <f>IF(Raw!F1116="","",Raw!F1116)</f>
        <v>sale</v>
      </c>
      <c r="L1116" s="1" t="str">
        <f>IF(LEFT(TRIM(Raw!G1116),2)="-$","-"&amp;MID(TRIM(Raw!G1116),3,99),IF(LEFT(TRIM(Raw!G1116),1)="$",MID(TRIM(Raw!G1116),2,99),TRIM(Raw!G1116)))</f>
        <v>221.28</v>
      </c>
      <c r="M1116" s="1">
        <f t="shared" si="139"/>
        <v>221.28</v>
      </c>
      <c r="N1116" s="10">
        <f t="shared" si="140"/>
        <v>22128</v>
      </c>
      <c r="O1116" s="1" t="b">
        <f>IFERROR(IF(ISNUMBER(Raw!G1116),TRUE,OR(EXACT(L1116,TEXT(M1116,"0.00")),EXACT(L1116,TEXT(M1116,"#,##0.00")))),FALSE)</f>
        <v>1</v>
      </c>
      <c r="P1116" s="1" t="str">
        <f>LEN(IF(Raw!A1116="","",Raw!A1116))&amp;":"&amp;IF(Raw!A1116="","",Raw!A1116)&amp;"|"&amp;LEN(IF(Raw!B1116="","",Raw!B1116))&amp;":"&amp;IF(Raw!B1116="","",Raw!B1116)&amp;"|"&amp;LEN(IF(Raw!C1116="","",Raw!C1116))&amp;":"&amp;IF(Raw!C1116="","",Raw!C1116)&amp;"|"&amp;LEN(IF(Raw!D1116="","",Raw!D1116))&amp;":"&amp;IF(Raw!D1116="","",Raw!D1116)&amp;"|"&amp;LEN(IF(Raw!E1116="","",Raw!E1116))&amp;":"&amp;IF(Raw!E1116="","",Raw!E1116)&amp;"|"&amp;LEN(IF(Raw!F1116="","",Raw!F1116))&amp;":"&amp;IF(Raw!F1116="","",Raw!F1116)&amp;"|"&amp;LEN(IF(Raw!G1116="","",Raw!G1116))&amp;":"&amp;IF(Raw!G1116="","",Raw!G1116)</f>
        <v>6:L01110|6:T00555|10:2026-01-09|3:P-O|6:Office|4:sale|6:221.28</v>
      </c>
      <c r="Q1116" s="1">
        <f>1</f>
        <v>1</v>
      </c>
      <c r="R1116" s="1" t="b">
        <f>FALSE</f>
        <v>0</v>
      </c>
      <c r="S1116" s="1">
        <f>1</f>
        <v>1</v>
      </c>
      <c r="T1116" s="1" t="str">
        <f>IF(AND(Raw!A1116="",Raw!B1116="",Raw!C1116="",Raw!D1116="",Raw!E1116="",Raw!F1116="",Raw!G1116=""),"UNUSED",IF(A1116="","missing line ID",IF(B1116="","missing transaction ID",IF(G1116="",IF(C1116="","missing date","invalid date"),IF(I1116="","unknown product",IF(J1116="","conflicting category",IF(NOT(OR(EXACT(K1116,"sale"),EXACT(K1116,"refund"))),"unknown event",IF(OR(N1116="",NOT(O1116)),"invalid amount",IF(OR(AND(K1116="sale",N1116&lt;=0),AND(K1116="refund",N1116&gt;=0)),"invalid sign","")))))))))</f>
        <v/>
      </c>
      <c r="U1116" s="1" t="str">
        <f t="shared" si="141"/>
        <v>INCLUDED</v>
      </c>
      <c r="V1116" s="1" t="str">
        <f t="shared" si="142"/>
        <v>2026-01</v>
      </c>
      <c r="W1116" s="1">
        <f>IF(AND(U1116="INCLUDED",X1116&gt;0,EXACT(A1116,'AI output'!A1116)),1,0)</f>
        <v>1</v>
      </c>
      <c r="X1116" s="1">
        <f>1116</f>
        <v>1116</v>
      </c>
      <c r="Y1116" s="1">
        <f>IF(AND(U1116="INCLUDED",W1116=1),--(NOT(EXACT(A1116,'AI output'!A1116)))+--(NOT(EXACT(B1116,'AI output'!B1116)))+--(NOT(EXACT(TEXT(G1116,"yyyy-mm-dd"),'AI output'!C1116)))+--(NOT(EXACT(H1116,'AI output'!D1116)))+--(NOT(EXACT(J1116,'AI output'!E1116)))+--(NOT(EXACT(K1116,'AI output'!F1116)))+--(N1116&lt;&gt;'AI output'!L1116)+--(NOT('AI output'!M1116)),0)</f>
        <v>0</v>
      </c>
      <c r="Z1116" s="1">
        <f t="shared" si="143"/>
        <v>0</v>
      </c>
      <c r="AA1116" s="1">
        <f>--EXACT(A1116,"L01110")</f>
        <v>1</v>
      </c>
    </row>
    <row r="1117" spans="1:27" ht="18.95" customHeight="1">
      <c r="A1117" s="1" t="str">
        <f>IF(Raw!A1117="","",Raw!A1117)</f>
        <v>L01111</v>
      </c>
      <c r="B1117" s="1" t="str">
        <f>IF(Raw!B1117="","",Raw!B1117)</f>
        <v>T00556</v>
      </c>
      <c r="C1117" s="1" t="str">
        <f>IF(Raw!C1117="","",Raw!C1117)</f>
        <v>2026-01-16</v>
      </c>
      <c r="D1117" s="1">
        <f t="shared" si="136"/>
        <v>2026</v>
      </c>
      <c r="E1117" s="1">
        <f>IFERROR(IF(AND(LEN(C1117)=10,MID(C1117,5,1)="-",MID(C1117,8,1)="-"),VALUE(MID(C1117,6,2)),IF(AND(LEN(C1117)=11,MID(C1117,3,1)="-",MID(C1117,7,1)="-"),MATCH(UPPER(MID(C1117,4,3)),Guide!$D$7:$D$18,0),0)),0)</f>
        <v>1</v>
      </c>
      <c r="F1117" s="1">
        <f t="shared" si="137"/>
        <v>16</v>
      </c>
      <c r="G1117" s="9">
        <f t="shared" si="138"/>
        <v>46038</v>
      </c>
      <c r="H1117" s="1" t="str">
        <f>IF(Raw!D1117="","",Raw!D1117)</f>
        <v>P-A</v>
      </c>
      <c r="I1117" s="1" t="str">
        <f>IFERROR(IF(EXACT(H1117,INDEX(Guide!$A$7:$A$9,MATCH(SUBSTITUTE(SUBSTITUTE(SUBSTITUTE(H1117,"~","~~"),"*","~*"),"?","~?"),Guide!$A$7:$A$9,0))),INDEX(Guide!$B$7:$B$9,MATCH(SUBSTITUTE(SUBSTITUTE(SUBSTITUTE(H1117,"~","~~"),"*","~*"),"?","~?"),Guide!$A$7:$A$9,0)),""),"")</f>
        <v>Accessories</v>
      </c>
      <c r="J1117" s="1" t="str">
        <f>IF(TRIM(Raw!E1117)="",I1117,IF(UPPER(TRIM(Raw!E1117))=UPPER(I1117),I1117,""))</f>
        <v>Accessories</v>
      </c>
      <c r="K1117" s="1" t="str">
        <f>IF(Raw!F1117="","",Raw!F1117)</f>
        <v>sale</v>
      </c>
      <c r="L1117" s="1" t="str">
        <f>IF(LEFT(TRIM(Raw!G1117),2)="-$","-"&amp;MID(TRIM(Raw!G1117),3,99),IF(LEFT(TRIM(Raw!G1117),1)="$",MID(TRIM(Raw!G1117),2,99),TRIM(Raw!G1117)))</f>
        <v>55.69</v>
      </c>
      <c r="M1117" s="1">
        <f t="shared" si="139"/>
        <v>55.69</v>
      </c>
      <c r="N1117" s="10">
        <f t="shared" si="140"/>
        <v>5569</v>
      </c>
      <c r="O1117" s="1" t="b">
        <f>IFERROR(IF(ISNUMBER(Raw!G1117),TRUE,OR(EXACT(L1117,TEXT(M1117,"0.00")),EXACT(L1117,TEXT(M1117,"#,##0.00")))),FALSE)</f>
        <v>1</v>
      </c>
      <c r="P1117" s="1" t="str">
        <f>LEN(IF(Raw!A1117="","",Raw!A1117))&amp;":"&amp;IF(Raw!A1117="","",Raw!A1117)&amp;"|"&amp;LEN(IF(Raw!B1117="","",Raw!B1117))&amp;":"&amp;IF(Raw!B1117="","",Raw!B1117)&amp;"|"&amp;LEN(IF(Raw!C1117="","",Raw!C1117))&amp;":"&amp;IF(Raw!C1117="","",Raw!C1117)&amp;"|"&amp;LEN(IF(Raw!D1117="","",Raw!D1117))&amp;":"&amp;IF(Raw!D1117="","",Raw!D1117)&amp;"|"&amp;LEN(IF(Raw!E1117="","",Raw!E1117))&amp;":"&amp;IF(Raw!E1117="","",Raw!E1117)&amp;"|"&amp;LEN(IF(Raw!F1117="","",Raw!F1117))&amp;":"&amp;IF(Raw!F1117="","",Raw!F1117)&amp;"|"&amp;LEN(IF(Raw!G1117="","",Raw!G1117))&amp;":"&amp;IF(Raw!G1117="","",Raw!G1117)</f>
        <v>6:L01111|6:T00556|10:2026-01-16|3:P-A|11:Accessories|4:sale|5:55.69</v>
      </c>
      <c r="Q1117" s="1">
        <f>1</f>
        <v>1</v>
      </c>
      <c r="R1117" s="1" t="b">
        <f>FALSE</f>
        <v>0</v>
      </c>
      <c r="S1117" s="1">
        <f>1</f>
        <v>1</v>
      </c>
      <c r="T1117" s="1" t="str">
        <f>IF(AND(Raw!A1117="",Raw!B1117="",Raw!C1117="",Raw!D1117="",Raw!E1117="",Raw!F1117="",Raw!G1117=""),"UNUSED",IF(A1117="","missing line ID",IF(B1117="","missing transaction ID",IF(G1117="",IF(C1117="","missing date","invalid date"),IF(I1117="","unknown product",IF(J1117="","conflicting category",IF(NOT(OR(EXACT(K1117,"sale"),EXACT(K1117,"refund"))),"unknown event",IF(OR(N1117="",NOT(O1117)),"invalid amount",IF(OR(AND(K1117="sale",N1117&lt;=0),AND(K1117="refund",N1117&gt;=0)),"invalid sign","")))))))))</f>
        <v/>
      </c>
      <c r="U1117" s="1" t="str">
        <f t="shared" si="141"/>
        <v>INCLUDED</v>
      </c>
      <c r="V1117" s="1" t="str">
        <f t="shared" si="142"/>
        <v>2026-01</v>
      </c>
      <c r="W1117" s="1">
        <f>IF(AND(U1117="INCLUDED",X1117&gt;0,EXACT(A1117,'AI output'!A1117)),1,0)</f>
        <v>1</v>
      </c>
      <c r="X1117" s="1">
        <f>1117</f>
        <v>1117</v>
      </c>
      <c r="Y1117" s="1">
        <f>IF(AND(U1117="INCLUDED",W1117=1),--(NOT(EXACT(A1117,'AI output'!A1117)))+--(NOT(EXACT(B1117,'AI output'!B1117)))+--(NOT(EXACT(TEXT(G1117,"yyyy-mm-dd"),'AI output'!C1117)))+--(NOT(EXACT(H1117,'AI output'!D1117)))+--(NOT(EXACT(J1117,'AI output'!E1117)))+--(NOT(EXACT(K1117,'AI output'!F1117)))+--(N1117&lt;&gt;'AI output'!L1117)+--(NOT('AI output'!M1117)),0)</f>
        <v>0</v>
      </c>
      <c r="Z1117" s="1">
        <f t="shared" si="143"/>
        <v>0</v>
      </c>
      <c r="AA1117" s="1">
        <f>--EXACT(A1117,"L01111")</f>
        <v>1</v>
      </c>
    </row>
    <row r="1118" spans="1:27" ht="18.95" customHeight="1">
      <c r="A1118" s="1" t="str">
        <f>IF(Raw!A1118="","",Raw!A1118)</f>
        <v>L01112</v>
      </c>
      <c r="B1118" s="1" t="str">
        <f>IF(Raw!B1118="","",Raw!B1118)</f>
        <v>T00556</v>
      </c>
      <c r="C1118" s="1" t="str">
        <f>IF(Raw!C1118="","",Raw!C1118)</f>
        <v>2026-01-16</v>
      </c>
      <c r="D1118" s="1">
        <f t="shared" si="136"/>
        <v>2026</v>
      </c>
      <c r="E1118" s="1">
        <f>IFERROR(IF(AND(LEN(C1118)=10,MID(C1118,5,1)="-",MID(C1118,8,1)="-"),VALUE(MID(C1118,6,2)),IF(AND(LEN(C1118)=11,MID(C1118,3,1)="-",MID(C1118,7,1)="-"),MATCH(UPPER(MID(C1118,4,3)),Guide!$D$7:$D$18,0),0)),0)</f>
        <v>1</v>
      </c>
      <c r="F1118" s="1">
        <f t="shared" si="137"/>
        <v>16</v>
      </c>
      <c r="G1118" s="9">
        <f t="shared" si="138"/>
        <v>46038</v>
      </c>
      <c r="H1118" s="1" t="str">
        <f>IF(Raw!D1118="","",Raw!D1118)</f>
        <v>P-H</v>
      </c>
      <c r="I1118" s="1" t="str">
        <f>IFERROR(IF(EXACT(H1118,INDEX(Guide!$A$7:$A$9,MATCH(SUBSTITUTE(SUBSTITUTE(SUBSTITUTE(H1118,"~","~~"),"*","~*"),"?","~?"),Guide!$A$7:$A$9,0))),INDEX(Guide!$B$7:$B$9,MATCH(SUBSTITUTE(SUBSTITUTE(SUBSTITUTE(H1118,"~","~~"),"*","~*"),"?","~?"),Guide!$A$7:$A$9,0)),""),"")</f>
        <v>Home</v>
      </c>
      <c r="J1118" s="1" t="str">
        <f>IF(TRIM(Raw!E1118)="",I1118,IF(UPPER(TRIM(Raw!E1118))=UPPER(I1118),I1118,""))</f>
        <v>Home</v>
      </c>
      <c r="K1118" s="1" t="str">
        <f>IF(Raw!F1118="","",Raw!F1118)</f>
        <v>sale</v>
      </c>
      <c r="L1118" s="1" t="str">
        <f>IF(LEFT(TRIM(Raw!G1118),2)="-$","-"&amp;MID(TRIM(Raw!G1118),3,99),IF(LEFT(TRIM(Raw!G1118),1)="$",MID(TRIM(Raw!G1118),2,99),TRIM(Raw!G1118)))</f>
        <v>168.18</v>
      </c>
      <c r="M1118" s="1">
        <f t="shared" si="139"/>
        <v>168.18</v>
      </c>
      <c r="N1118" s="10">
        <f t="shared" si="140"/>
        <v>16818</v>
      </c>
      <c r="O1118" s="1" t="b">
        <f>IFERROR(IF(ISNUMBER(Raw!G1118),TRUE,OR(EXACT(L1118,TEXT(M1118,"0.00")),EXACT(L1118,TEXT(M1118,"#,##0.00")))),FALSE)</f>
        <v>1</v>
      </c>
      <c r="P1118" s="1" t="str">
        <f>LEN(IF(Raw!A1118="","",Raw!A1118))&amp;":"&amp;IF(Raw!A1118="","",Raw!A1118)&amp;"|"&amp;LEN(IF(Raw!B1118="","",Raw!B1118))&amp;":"&amp;IF(Raw!B1118="","",Raw!B1118)&amp;"|"&amp;LEN(IF(Raw!C1118="","",Raw!C1118))&amp;":"&amp;IF(Raw!C1118="","",Raw!C1118)&amp;"|"&amp;LEN(IF(Raw!D1118="","",Raw!D1118))&amp;":"&amp;IF(Raw!D1118="","",Raw!D1118)&amp;"|"&amp;LEN(IF(Raw!E1118="","",Raw!E1118))&amp;":"&amp;IF(Raw!E1118="","",Raw!E1118)&amp;"|"&amp;LEN(IF(Raw!F1118="","",Raw!F1118))&amp;":"&amp;IF(Raw!F1118="","",Raw!F1118)&amp;"|"&amp;LEN(IF(Raw!G1118="","",Raw!G1118))&amp;":"&amp;IF(Raw!G1118="","",Raw!G1118)</f>
        <v>6:L01112|6:T00556|10:2026-01-16|3:P-H|4:Home|4:sale|6:168.18</v>
      </c>
      <c r="Q1118" s="1">
        <f>1</f>
        <v>1</v>
      </c>
      <c r="R1118" s="1" t="b">
        <f>FALSE</f>
        <v>0</v>
      </c>
      <c r="S1118" s="1">
        <f>1</f>
        <v>1</v>
      </c>
      <c r="T1118" s="1" t="str">
        <f>IF(AND(Raw!A1118="",Raw!B1118="",Raw!C1118="",Raw!D1118="",Raw!E1118="",Raw!F1118="",Raw!G1118=""),"UNUSED",IF(A1118="","missing line ID",IF(B1118="","missing transaction ID",IF(G1118="",IF(C1118="","missing date","invalid date"),IF(I1118="","unknown product",IF(J1118="","conflicting category",IF(NOT(OR(EXACT(K1118,"sale"),EXACT(K1118,"refund"))),"unknown event",IF(OR(N1118="",NOT(O1118)),"invalid amount",IF(OR(AND(K1118="sale",N1118&lt;=0),AND(K1118="refund",N1118&gt;=0)),"invalid sign","")))))))))</f>
        <v/>
      </c>
      <c r="U1118" s="1" t="str">
        <f t="shared" si="141"/>
        <v>INCLUDED</v>
      </c>
      <c r="V1118" s="1" t="str">
        <f t="shared" si="142"/>
        <v>2026-01</v>
      </c>
      <c r="W1118" s="1">
        <f>IF(AND(U1118="INCLUDED",X1118&gt;0,EXACT(A1118,'AI output'!A1118)),1,0)</f>
        <v>1</v>
      </c>
      <c r="X1118" s="1">
        <f>1118</f>
        <v>1118</v>
      </c>
      <c r="Y1118" s="1">
        <f>IF(AND(U1118="INCLUDED",W1118=1),--(NOT(EXACT(A1118,'AI output'!A1118)))+--(NOT(EXACT(B1118,'AI output'!B1118)))+--(NOT(EXACT(TEXT(G1118,"yyyy-mm-dd"),'AI output'!C1118)))+--(NOT(EXACT(H1118,'AI output'!D1118)))+--(NOT(EXACT(J1118,'AI output'!E1118)))+--(NOT(EXACT(K1118,'AI output'!F1118)))+--(N1118&lt;&gt;'AI output'!L1118)+--(NOT('AI output'!M1118)),0)</f>
        <v>0</v>
      </c>
      <c r="Z1118" s="1">
        <f t="shared" si="143"/>
        <v>0</v>
      </c>
      <c r="AA1118" s="1">
        <f>--EXACT(A1118,"L01112")</f>
        <v>1</v>
      </c>
    </row>
    <row r="1119" spans="1:27" ht="18.95" customHeight="1">
      <c r="A1119" s="1" t="str">
        <f>IF(Raw!A1119="","",Raw!A1119)</f>
        <v>L01113</v>
      </c>
      <c r="B1119" s="1" t="str">
        <f>IF(Raw!B1119="","",Raw!B1119)</f>
        <v>T00557</v>
      </c>
      <c r="C1119" s="1" t="str">
        <f>IF(Raw!C1119="","",Raw!C1119)</f>
        <v>2026-01-23</v>
      </c>
      <c r="D1119" s="1">
        <f t="shared" si="136"/>
        <v>2026</v>
      </c>
      <c r="E1119" s="1">
        <f>IFERROR(IF(AND(LEN(C1119)=10,MID(C1119,5,1)="-",MID(C1119,8,1)="-"),VALUE(MID(C1119,6,2)),IF(AND(LEN(C1119)=11,MID(C1119,3,1)="-",MID(C1119,7,1)="-"),MATCH(UPPER(MID(C1119,4,3)),Guide!$D$7:$D$18,0),0)),0)</f>
        <v>1</v>
      </c>
      <c r="F1119" s="1">
        <f t="shared" si="137"/>
        <v>23</v>
      </c>
      <c r="G1119" s="9">
        <f t="shared" si="138"/>
        <v>46045</v>
      </c>
      <c r="H1119" s="1" t="str">
        <f>IF(Raw!D1119="","",Raw!D1119)</f>
        <v>P-O</v>
      </c>
      <c r="I1119" s="1" t="str">
        <f>IFERROR(IF(EXACT(H1119,INDEX(Guide!$A$7:$A$9,MATCH(SUBSTITUTE(SUBSTITUTE(SUBSTITUTE(H1119,"~","~~"),"*","~*"),"?","~?"),Guide!$A$7:$A$9,0))),INDEX(Guide!$B$7:$B$9,MATCH(SUBSTITUTE(SUBSTITUTE(SUBSTITUTE(H1119,"~","~~"),"*","~*"),"?","~?"),Guide!$A$7:$A$9,0)),""),"")</f>
        <v>Office</v>
      </c>
      <c r="J1119" s="1" t="str">
        <f>IF(TRIM(Raw!E1119)="",I1119,IF(UPPER(TRIM(Raw!E1119))=UPPER(I1119),I1119,""))</f>
        <v>Office</v>
      </c>
      <c r="K1119" s="1" t="str">
        <f>IF(Raw!F1119="","",Raw!F1119)</f>
        <v>sale</v>
      </c>
      <c r="L1119" s="1" t="str">
        <f>IF(LEFT(TRIM(Raw!G1119),2)="-$","-"&amp;MID(TRIM(Raw!G1119),3,99),IF(LEFT(TRIM(Raw!G1119),1)="$",MID(TRIM(Raw!G1119),2,99),TRIM(Raw!G1119)))</f>
        <v>282.15</v>
      </c>
      <c r="M1119" s="1">
        <f t="shared" si="139"/>
        <v>282.14999999999998</v>
      </c>
      <c r="N1119" s="10">
        <f t="shared" si="140"/>
        <v>28215</v>
      </c>
      <c r="O1119" s="1" t="b">
        <f>IFERROR(IF(ISNUMBER(Raw!G1119),TRUE,OR(EXACT(L1119,TEXT(M1119,"0.00")),EXACT(L1119,TEXT(M1119,"#,##0.00")))),FALSE)</f>
        <v>1</v>
      </c>
      <c r="P1119" s="1" t="str">
        <f>LEN(IF(Raw!A1119="","",Raw!A1119))&amp;":"&amp;IF(Raw!A1119="","",Raw!A1119)&amp;"|"&amp;LEN(IF(Raw!B1119="","",Raw!B1119))&amp;":"&amp;IF(Raw!B1119="","",Raw!B1119)&amp;"|"&amp;LEN(IF(Raw!C1119="","",Raw!C1119))&amp;":"&amp;IF(Raw!C1119="","",Raw!C1119)&amp;"|"&amp;LEN(IF(Raw!D1119="","",Raw!D1119))&amp;":"&amp;IF(Raw!D1119="","",Raw!D1119)&amp;"|"&amp;LEN(IF(Raw!E1119="","",Raw!E1119))&amp;":"&amp;IF(Raw!E1119="","",Raw!E1119)&amp;"|"&amp;LEN(IF(Raw!F1119="","",Raw!F1119))&amp;":"&amp;IF(Raw!F1119="","",Raw!F1119)&amp;"|"&amp;LEN(IF(Raw!G1119="","",Raw!G1119))&amp;":"&amp;IF(Raw!G1119="","",Raw!G1119)</f>
        <v>6:L01113|6:T00557|10:2026-01-23|3:P-O|6:Office|4:sale|6:282.15</v>
      </c>
      <c r="Q1119" s="1">
        <f>1</f>
        <v>1</v>
      </c>
      <c r="R1119" s="1" t="b">
        <f>FALSE</f>
        <v>0</v>
      </c>
      <c r="S1119" s="1">
        <f>1</f>
        <v>1</v>
      </c>
      <c r="T1119" s="1" t="str">
        <f>IF(AND(Raw!A1119="",Raw!B1119="",Raw!C1119="",Raw!D1119="",Raw!E1119="",Raw!F1119="",Raw!G1119=""),"UNUSED",IF(A1119="","missing line ID",IF(B1119="","missing transaction ID",IF(G1119="",IF(C1119="","missing date","invalid date"),IF(I1119="","unknown product",IF(J1119="","conflicting category",IF(NOT(OR(EXACT(K1119,"sale"),EXACT(K1119,"refund"))),"unknown event",IF(OR(N1119="",NOT(O1119)),"invalid amount",IF(OR(AND(K1119="sale",N1119&lt;=0),AND(K1119="refund",N1119&gt;=0)),"invalid sign","")))))))))</f>
        <v/>
      </c>
      <c r="U1119" s="1" t="str">
        <f t="shared" si="141"/>
        <v>INCLUDED</v>
      </c>
      <c r="V1119" s="1" t="str">
        <f t="shared" si="142"/>
        <v>2026-01</v>
      </c>
      <c r="W1119" s="1">
        <f>IF(AND(U1119="INCLUDED",X1119&gt;0,EXACT(A1119,'AI output'!A1119)),1,0)</f>
        <v>1</v>
      </c>
      <c r="X1119" s="1">
        <f>1119</f>
        <v>1119</v>
      </c>
      <c r="Y1119" s="1">
        <f>IF(AND(U1119="INCLUDED",W1119=1),--(NOT(EXACT(A1119,'AI output'!A1119)))+--(NOT(EXACT(B1119,'AI output'!B1119)))+--(NOT(EXACT(TEXT(G1119,"yyyy-mm-dd"),'AI output'!C1119)))+--(NOT(EXACT(H1119,'AI output'!D1119)))+--(NOT(EXACT(J1119,'AI output'!E1119)))+--(NOT(EXACT(K1119,'AI output'!F1119)))+--(N1119&lt;&gt;'AI output'!L1119)+--(NOT('AI output'!M1119)),0)</f>
        <v>0</v>
      </c>
      <c r="Z1119" s="1">
        <f t="shared" si="143"/>
        <v>0</v>
      </c>
      <c r="AA1119" s="1">
        <f>--EXACT(A1119,"L01113")</f>
        <v>1</v>
      </c>
    </row>
    <row r="1120" spans="1:27" ht="18.95" customHeight="1">
      <c r="A1120" s="1" t="str">
        <f>IF(Raw!A1120="","",Raw!A1120)</f>
        <v>L01114</v>
      </c>
      <c r="B1120" s="1" t="str">
        <f>IF(Raw!B1120="","",Raw!B1120)</f>
        <v>T00557</v>
      </c>
      <c r="C1120" s="1" t="str">
        <f>IF(Raw!C1120="","",Raw!C1120)</f>
        <v>2026-01-23</v>
      </c>
      <c r="D1120" s="1">
        <f t="shared" si="136"/>
        <v>2026</v>
      </c>
      <c r="E1120" s="1">
        <f>IFERROR(IF(AND(LEN(C1120)=10,MID(C1120,5,1)="-",MID(C1120,8,1)="-"),VALUE(MID(C1120,6,2)),IF(AND(LEN(C1120)=11,MID(C1120,3,1)="-",MID(C1120,7,1)="-"),MATCH(UPPER(MID(C1120,4,3)),Guide!$D$7:$D$18,0),0)),0)</f>
        <v>1</v>
      </c>
      <c r="F1120" s="1">
        <f t="shared" si="137"/>
        <v>23</v>
      </c>
      <c r="G1120" s="9">
        <f t="shared" si="138"/>
        <v>46045</v>
      </c>
      <c r="H1120" s="1" t="str">
        <f>IF(Raw!D1120="","",Raw!D1120)</f>
        <v>P-A</v>
      </c>
      <c r="I1120" s="1" t="str">
        <f>IFERROR(IF(EXACT(H1120,INDEX(Guide!$A$7:$A$9,MATCH(SUBSTITUTE(SUBSTITUTE(SUBSTITUTE(H1120,"~","~~"),"*","~*"),"?","~?"),Guide!$A$7:$A$9,0))),INDEX(Guide!$B$7:$B$9,MATCH(SUBSTITUTE(SUBSTITUTE(SUBSTITUTE(H1120,"~","~~"),"*","~*"),"?","~?"),Guide!$A$7:$A$9,0)),""),"")</f>
        <v>Accessories</v>
      </c>
      <c r="J1120" s="1" t="str">
        <f>IF(TRIM(Raw!E1120)="",I1120,IF(UPPER(TRIM(Raw!E1120))=UPPER(I1120),I1120,""))</f>
        <v>Accessories</v>
      </c>
      <c r="K1120" s="1" t="str">
        <f>IF(Raw!F1120="","",Raw!F1120)</f>
        <v>sale</v>
      </c>
      <c r="L1120" s="1" t="str">
        <f>IF(LEFT(TRIM(Raw!G1120),2)="-$","-"&amp;MID(TRIM(Raw!G1120),3,99),IF(LEFT(TRIM(Raw!G1120),1)="$",MID(TRIM(Raw!G1120),2,99),TRIM(Raw!G1120)))</f>
        <v>113.60</v>
      </c>
      <c r="M1120" s="1">
        <f t="shared" si="139"/>
        <v>113.6</v>
      </c>
      <c r="N1120" s="10">
        <f t="shared" si="140"/>
        <v>11360</v>
      </c>
      <c r="O1120" s="1" t="b">
        <f>IFERROR(IF(ISNUMBER(Raw!G1120),TRUE,OR(EXACT(L1120,TEXT(M1120,"0.00")),EXACT(L1120,TEXT(M1120,"#,##0.00")))),FALSE)</f>
        <v>1</v>
      </c>
      <c r="P1120" s="1" t="str">
        <f>LEN(IF(Raw!A1120="","",Raw!A1120))&amp;":"&amp;IF(Raw!A1120="","",Raw!A1120)&amp;"|"&amp;LEN(IF(Raw!B1120="","",Raw!B1120))&amp;":"&amp;IF(Raw!B1120="","",Raw!B1120)&amp;"|"&amp;LEN(IF(Raw!C1120="","",Raw!C1120))&amp;":"&amp;IF(Raw!C1120="","",Raw!C1120)&amp;"|"&amp;LEN(IF(Raw!D1120="","",Raw!D1120))&amp;":"&amp;IF(Raw!D1120="","",Raw!D1120)&amp;"|"&amp;LEN(IF(Raw!E1120="","",Raw!E1120))&amp;":"&amp;IF(Raw!E1120="","",Raw!E1120)&amp;"|"&amp;LEN(IF(Raw!F1120="","",Raw!F1120))&amp;":"&amp;IF(Raw!F1120="","",Raw!F1120)&amp;"|"&amp;LEN(IF(Raw!G1120="","",Raw!G1120))&amp;":"&amp;IF(Raw!G1120="","",Raw!G1120)</f>
        <v>6:L01114|6:T00557|10:2026-01-23|3:P-A|11:Accessories|4:sale|6:113.60</v>
      </c>
      <c r="Q1120" s="1">
        <f>1</f>
        <v>1</v>
      </c>
      <c r="R1120" s="1" t="b">
        <f>FALSE</f>
        <v>0</v>
      </c>
      <c r="S1120" s="1">
        <f>1</f>
        <v>1</v>
      </c>
      <c r="T1120" s="1" t="str">
        <f>IF(AND(Raw!A1120="",Raw!B1120="",Raw!C1120="",Raw!D1120="",Raw!E1120="",Raw!F1120="",Raw!G1120=""),"UNUSED",IF(A1120="","missing line ID",IF(B1120="","missing transaction ID",IF(G1120="",IF(C1120="","missing date","invalid date"),IF(I1120="","unknown product",IF(J1120="","conflicting category",IF(NOT(OR(EXACT(K1120,"sale"),EXACT(K1120,"refund"))),"unknown event",IF(OR(N1120="",NOT(O1120)),"invalid amount",IF(OR(AND(K1120="sale",N1120&lt;=0),AND(K1120="refund",N1120&gt;=0)),"invalid sign","")))))))))</f>
        <v/>
      </c>
      <c r="U1120" s="1" t="str">
        <f t="shared" si="141"/>
        <v>INCLUDED</v>
      </c>
      <c r="V1120" s="1" t="str">
        <f t="shared" si="142"/>
        <v>2026-01</v>
      </c>
      <c r="W1120" s="1">
        <f>IF(AND(U1120="INCLUDED",X1120&gt;0,EXACT(A1120,'AI output'!A1120)),1,0)</f>
        <v>1</v>
      </c>
      <c r="X1120" s="1">
        <f>1120</f>
        <v>1120</v>
      </c>
      <c r="Y1120" s="1">
        <f>IF(AND(U1120="INCLUDED",W1120=1),--(NOT(EXACT(A1120,'AI output'!A1120)))+--(NOT(EXACT(B1120,'AI output'!B1120)))+--(NOT(EXACT(TEXT(G1120,"yyyy-mm-dd"),'AI output'!C1120)))+--(NOT(EXACT(H1120,'AI output'!D1120)))+--(NOT(EXACT(J1120,'AI output'!E1120)))+--(NOT(EXACT(K1120,'AI output'!F1120)))+--(N1120&lt;&gt;'AI output'!L1120)+--(NOT('AI output'!M1120)),0)</f>
        <v>0</v>
      </c>
      <c r="Z1120" s="1">
        <f t="shared" si="143"/>
        <v>0</v>
      </c>
      <c r="AA1120" s="1">
        <f>--EXACT(A1120,"L01114")</f>
        <v>1</v>
      </c>
    </row>
    <row r="1121" spans="1:27" ht="18.95" customHeight="1">
      <c r="A1121" s="1" t="str">
        <f>IF(Raw!A1121="","",Raw!A1121)</f>
        <v>L01115</v>
      </c>
      <c r="B1121" s="1" t="str">
        <f>IF(Raw!B1121="","",Raw!B1121)</f>
        <v>T00558</v>
      </c>
      <c r="C1121" s="1" t="str">
        <f>IF(Raw!C1121="","",Raw!C1121)</f>
        <v>2026-01-30</v>
      </c>
      <c r="D1121" s="1">
        <f t="shared" si="136"/>
        <v>2026</v>
      </c>
      <c r="E1121" s="1">
        <f>IFERROR(IF(AND(LEN(C1121)=10,MID(C1121,5,1)="-",MID(C1121,8,1)="-"),VALUE(MID(C1121,6,2)),IF(AND(LEN(C1121)=11,MID(C1121,3,1)="-",MID(C1121,7,1)="-"),MATCH(UPPER(MID(C1121,4,3)),Guide!$D$7:$D$18,0),0)),0)</f>
        <v>1</v>
      </c>
      <c r="F1121" s="1">
        <f t="shared" si="137"/>
        <v>30</v>
      </c>
      <c r="G1121" s="9">
        <f t="shared" si="138"/>
        <v>46052</v>
      </c>
      <c r="H1121" s="1" t="str">
        <f>IF(Raw!D1121="","",Raw!D1121)</f>
        <v>P-H</v>
      </c>
      <c r="I1121" s="1" t="str">
        <f>IFERROR(IF(EXACT(H1121,INDEX(Guide!$A$7:$A$9,MATCH(SUBSTITUTE(SUBSTITUTE(SUBSTITUTE(H1121,"~","~~"),"*","~*"),"?","~?"),Guide!$A$7:$A$9,0))),INDEX(Guide!$B$7:$B$9,MATCH(SUBSTITUTE(SUBSTITUTE(SUBSTITUTE(H1121,"~","~~"),"*","~*"),"?","~?"),Guide!$A$7:$A$9,0)),""),"")</f>
        <v>Home</v>
      </c>
      <c r="J1121" s="1" t="str">
        <f>IF(TRIM(Raw!E1121)="",I1121,IF(UPPER(TRIM(Raw!E1121))=UPPER(I1121),I1121,""))</f>
        <v>Home</v>
      </c>
      <c r="K1121" s="1" t="str">
        <f>IF(Raw!F1121="","",Raw!F1121)</f>
        <v>sale</v>
      </c>
      <c r="L1121" s="1" t="str">
        <f>IF(LEFT(TRIM(Raw!G1121),2)="-$","-"&amp;MID(TRIM(Raw!G1121),3,99),IF(LEFT(TRIM(Raw!G1121),1)="$",MID(TRIM(Raw!G1121),2,99),TRIM(Raw!G1121)))</f>
        <v>228.68</v>
      </c>
      <c r="M1121" s="1">
        <f t="shared" si="139"/>
        <v>228.68</v>
      </c>
      <c r="N1121" s="10">
        <f t="shared" si="140"/>
        <v>22868</v>
      </c>
      <c r="O1121" s="1" t="b">
        <f>IFERROR(IF(ISNUMBER(Raw!G1121),TRUE,OR(EXACT(L1121,TEXT(M1121,"0.00")),EXACT(L1121,TEXT(M1121,"#,##0.00")))),FALSE)</f>
        <v>1</v>
      </c>
      <c r="P1121" s="1" t="str">
        <f>LEN(IF(Raw!A1121="","",Raw!A1121))&amp;":"&amp;IF(Raw!A1121="","",Raw!A1121)&amp;"|"&amp;LEN(IF(Raw!B1121="","",Raw!B1121))&amp;":"&amp;IF(Raw!B1121="","",Raw!B1121)&amp;"|"&amp;LEN(IF(Raw!C1121="","",Raw!C1121))&amp;":"&amp;IF(Raw!C1121="","",Raw!C1121)&amp;"|"&amp;LEN(IF(Raw!D1121="","",Raw!D1121))&amp;":"&amp;IF(Raw!D1121="","",Raw!D1121)&amp;"|"&amp;LEN(IF(Raw!E1121="","",Raw!E1121))&amp;":"&amp;IF(Raw!E1121="","",Raw!E1121)&amp;"|"&amp;LEN(IF(Raw!F1121="","",Raw!F1121))&amp;":"&amp;IF(Raw!F1121="","",Raw!F1121)&amp;"|"&amp;LEN(IF(Raw!G1121="","",Raw!G1121))&amp;":"&amp;IF(Raw!G1121="","",Raw!G1121)</f>
        <v>6:L01115|6:T00558|10:2026-01-30|3:P-H|4:Home|4:sale|6:228.68</v>
      </c>
      <c r="Q1121" s="1">
        <f>1</f>
        <v>1</v>
      </c>
      <c r="R1121" s="1" t="b">
        <f>FALSE</f>
        <v>0</v>
      </c>
      <c r="S1121" s="1">
        <f>1</f>
        <v>1</v>
      </c>
      <c r="T1121" s="1" t="str">
        <f>IF(AND(Raw!A1121="",Raw!B1121="",Raw!C1121="",Raw!D1121="",Raw!E1121="",Raw!F1121="",Raw!G1121=""),"UNUSED",IF(A1121="","missing line ID",IF(B1121="","missing transaction ID",IF(G1121="",IF(C1121="","missing date","invalid date"),IF(I1121="","unknown product",IF(J1121="","conflicting category",IF(NOT(OR(EXACT(K1121,"sale"),EXACT(K1121,"refund"))),"unknown event",IF(OR(N1121="",NOT(O1121)),"invalid amount",IF(OR(AND(K1121="sale",N1121&lt;=0),AND(K1121="refund",N1121&gt;=0)),"invalid sign","")))))))))</f>
        <v/>
      </c>
      <c r="U1121" s="1" t="str">
        <f t="shared" si="141"/>
        <v>INCLUDED</v>
      </c>
      <c r="V1121" s="1" t="str">
        <f t="shared" si="142"/>
        <v>2026-01</v>
      </c>
      <c r="W1121" s="1">
        <f>IF(AND(U1121="INCLUDED",X1121&gt;0,EXACT(A1121,'AI output'!A1121)),1,0)</f>
        <v>1</v>
      </c>
      <c r="X1121" s="1">
        <f>1121</f>
        <v>1121</v>
      </c>
      <c r="Y1121" s="1">
        <f>IF(AND(U1121="INCLUDED",W1121=1),--(NOT(EXACT(A1121,'AI output'!A1121)))+--(NOT(EXACT(B1121,'AI output'!B1121)))+--(NOT(EXACT(TEXT(G1121,"yyyy-mm-dd"),'AI output'!C1121)))+--(NOT(EXACT(H1121,'AI output'!D1121)))+--(NOT(EXACT(J1121,'AI output'!E1121)))+--(NOT(EXACT(K1121,'AI output'!F1121)))+--(N1121&lt;&gt;'AI output'!L1121)+--(NOT('AI output'!M1121)),0)</f>
        <v>0</v>
      </c>
      <c r="Z1121" s="1">
        <f t="shared" si="143"/>
        <v>0</v>
      </c>
      <c r="AA1121" s="1">
        <f>--EXACT(A1121,"L01115")</f>
        <v>1</v>
      </c>
    </row>
    <row r="1122" spans="1:27" ht="18.95" customHeight="1">
      <c r="A1122" s="1" t="str">
        <f>IF(Raw!A1122="","",Raw!A1122)</f>
        <v>L01116</v>
      </c>
      <c r="B1122" s="1" t="str">
        <f>IF(Raw!B1122="","",Raw!B1122)</f>
        <v>T00558</v>
      </c>
      <c r="C1122" s="1" t="str">
        <f>IF(Raw!C1122="","",Raw!C1122)</f>
        <v>2026-01-30</v>
      </c>
      <c r="D1122" s="1">
        <f t="shared" si="136"/>
        <v>2026</v>
      </c>
      <c r="E1122" s="1">
        <f>IFERROR(IF(AND(LEN(C1122)=10,MID(C1122,5,1)="-",MID(C1122,8,1)="-"),VALUE(MID(C1122,6,2)),IF(AND(LEN(C1122)=11,MID(C1122,3,1)="-",MID(C1122,7,1)="-"),MATCH(UPPER(MID(C1122,4,3)),Guide!$D$7:$D$18,0),0)),0)</f>
        <v>1</v>
      </c>
      <c r="F1122" s="1">
        <f t="shared" si="137"/>
        <v>30</v>
      </c>
      <c r="G1122" s="9">
        <f t="shared" si="138"/>
        <v>46052</v>
      </c>
      <c r="H1122" s="1" t="str">
        <f>IF(Raw!D1122="","",Raw!D1122)</f>
        <v>P-O</v>
      </c>
      <c r="I1122" s="1" t="str">
        <f>IFERROR(IF(EXACT(H1122,INDEX(Guide!$A$7:$A$9,MATCH(SUBSTITUTE(SUBSTITUTE(SUBSTITUTE(H1122,"~","~~"),"*","~*"),"?","~?"),Guide!$A$7:$A$9,0))),INDEX(Guide!$B$7:$B$9,MATCH(SUBSTITUTE(SUBSTITUTE(SUBSTITUTE(H1122,"~","~~"),"*","~*"),"?","~?"),Guide!$A$7:$A$9,0)),""),"")</f>
        <v>Office</v>
      </c>
      <c r="J1122" s="1" t="str">
        <f>IF(TRIM(Raw!E1122)="",I1122,IF(UPPER(TRIM(Raw!E1122))=UPPER(I1122),I1122,""))</f>
        <v>Office</v>
      </c>
      <c r="K1122" s="1" t="str">
        <f>IF(Raw!F1122="","",Raw!F1122)</f>
        <v>sale</v>
      </c>
      <c r="L1122" s="1" t="str">
        <f>IF(LEFT(TRIM(Raw!G1122),2)="-$","-"&amp;MID(TRIM(Raw!G1122),3,99),IF(LEFT(TRIM(Raw!G1122),1)="$",MID(TRIM(Raw!G1122),2,99),TRIM(Raw!G1122)))</f>
        <v>57.54</v>
      </c>
      <c r="M1122" s="1">
        <f t="shared" si="139"/>
        <v>57.54</v>
      </c>
      <c r="N1122" s="10">
        <f t="shared" si="140"/>
        <v>5754</v>
      </c>
      <c r="O1122" s="1" t="b">
        <f>IFERROR(IF(ISNUMBER(Raw!G1122),TRUE,OR(EXACT(L1122,TEXT(M1122,"0.00")),EXACT(L1122,TEXT(M1122,"#,##0.00")))),FALSE)</f>
        <v>1</v>
      </c>
      <c r="P1122" s="1" t="str">
        <f>LEN(IF(Raw!A1122="","",Raw!A1122))&amp;":"&amp;IF(Raw!A1122="","",Raw!A1122)&amp;"|"&amp;LEN(IF(Raw!B1122="","",Raw!B1122))&amp;":"&amp;IF(Raw!B1122="","",Raw!B1122)&amp;"|"&amp;LEN(IF(Raw!C1122="","",Raw!C1122))&amp;":"&amp;IF(Raw!C1122="","",Raw!C1122)&amp;"|"&amp;LEN(IF(Raw!D1122="","",Raw!D1122))&amp;":"&amp;IF(Raw!D1122="","",Raw!D1122)&amp;"|"&amp;LEN(IF(Raw!E1122="","",Raw!E1122))&amp;":"&amp;IF(Raw!E1122="","",Raw!E1122)&amp;"|"&amp;LEN(IF(Raw!F1122="","",Raw!F1122))&amp;":"&amp;IF(Raw!F1122="","",Raw!F1122)&amp;"|"&amp;LEN(IF(Raw!G1122="","",Raw!G1122))&amp;":"&amp;IF(Raw!G1122="","",Raw!G1122)</f>
        <v>6:L01116|6:T00558|10:2026-01-30|3:P-O|10:  office  |4:sale|5:57.54</v>
      </c>
      <c r="Q1122" s="1">
        <f>1</f>
        <v>1</v>
      </c>
      <c r="R1122" s="1" t="b">
        <f>FALSE</f>
        <v>0</v>
      </c>
      <c r="S1122" s="1">
        <f>1</f>
        <v>1</v>
      </c>
      <c r="T1122" s="1" t="str">
        <f>IF(AND(Raw!A1122="",Raw!B1122="",Raw!C1122="",Raw!D1122="",Raw!E1122="",Raw!F1122="",Raw!G1122=""),"UNUSED",IF(A1122="","missing line ID",IF(B1122="","missing transaction ID",IF(G1122="",IF(C1122="","missing date","invalid date"),IF(I1122="","unknown product",IF(J1122="","conflicting category",IF(NOT(OR(EXACT(K1122,"sale"),EXACT(K1122,"refund"))),"unknown event",IF(OR(N1122="",NOT(O1122)),"invalid amount",IF(OR(AND(K1122="sale",N1122&lt;=0),AND(K1122="refund",N1122&gt;=0)),"invalid sign","")))))))))</f>
        <v/>
      </c>
      <c r="U1122" s="1" t="str">
        <f t="shared" si="141"/>
        <v>INCLUDED</v>
      </c>
      <c r="V1122" s="1" t="str">
        <f t="shared" si="142"/>
        <v>2026-01</v>
      </c>
      <c r="W1122" s="1">
        <f>IF(AND(U1122="INCLUDED",X1122&gt;0,EXACT(A1122,'AI output'!A1122)),1,0)</f>
        <v>1</v>
      </c>
      <c r="X1122" s="1">
        <f>1122</f>
        <v>1122</v>
      </c>
      <c r="Y1122" s="1">
        <f>IF(AND(U1122="INCLUDED",W1122=1),--(NOT(EXACT(A1122,'AI output'!A1122)))+--(NOT(EXACT(B1122,'AI output'!B1122)))+--(NOT(EXACT(TEXT(G1122,"yyyy-mm-dd"),'AI output'!C1122)))+--(NOT(EXACT(H1122,'AI output'!D1122)))+--(NOT(EXACT(J1122,'AI output'!E1122)))+--(NOT(EXACT(K1122,'AI output'!F1122)))+--(N1122&lt;&gt;'AI output'!L1122)+--(NOT('AI output'!M1122)),0)</f>
        <v>0</v>
      </c>
      <c r="Z1122" s="1">
        <f t="shared" si="143"/>
        <v>0</v>
      </c>
      <c r="AA1122" s="1">
        <f>--EXACT(A1122,"L01116")</f>
        <v>1</v>
      </c>
    </row>
    <row r="1123" spans="1:27" ht="18.95" customHeight="1">
      <c r="A1123" s="1" t="str">
        <f>IF(Raw!A1123="","",Raw!A1123)</f>
        <v>L01117</v>
      </c>
      <c r="B1123" s="1" t="str">
        <f>IF(Raw!B1123="","",Raw!B1123)</f>
        <v>T00559</v>
      </c>
      <c r="C1123" s="1" t="str">
        <f>IF(Raw!C1123="","",Raw!C1123)</f>
        <v>2026-02-06</v>
      </c>
      <c r="D1123" s="1">
        <f t="shared" si="136"/>
        <v>2026</v>
      </c>
      <c r="E1123" s="1">
        <f>IFERROR(IF(AND(LEN(C1123)=10,MID(C1123,5,1)="-",MID(C1123,8,1)="-"),VALUE(MID(C1123,6,2)),IF(AND(LEN(C1123)=11,MID(C1123,3,1)="-",MID(C1123,7,1)="-"),MATCH(UPPER(MID(C1123,4,3)),Guide!$D$7:$D$18,0),0)),0)</f>
        <v>2</v>
      </c>
      <c r="F1123" s="1">
        <f t="shared" si="137"/>
        <v>6</v>
      </c>
      <c r="G1123" s="9">
        <f t="shared" si="138"/>
        <v>46059</v>
      </c>
      <c r="H1123" s="1" t="str">
        <f>IF(Raw!D1123="","",Raw!D1123)</f>
        <v>P-A</v>
      </c>
      <c r="I1123" s="1" t="str">
        <f>IFERROR(IF(EXACT(H1123,INDEX(Guide!$A$7:$A$9,MATCH(SUBSTITUTE(SUBSTITUTE(SUBSTITUTE(H1123,"~","~~"),"*","~*"),"?","~?"),Guide!$A$7:$A$9,0))),INDEX(Guide!$B$7:$B$9,MATCH(SUBSTITUTE(SUBSTITUTE(SUBSTITUTE(H1123,"~","~~"),"*","~*"),"?","~?"),Guide!$A$7:$A$9,0)),""),"")</f>
        <v>Accessories</v>
      </c>
      <c r="J1123" s="1" t="str">
        <f>IF(TRIM(Raw!E1123)="",I1123,IF(UPPER(TRIM(Raw!E1123))=UPPER(I1123),I1123,""))</f>
        <v>Accessories</v>
      </c>
      <c r="K1123" s="1" t="str">
        <f>IF(Raw!F1123="","",Raw!F1123)</f>
        <v>sale</v>
      </c>
      <c r="L1123" s="1" t="str">
        <f>IF(LEFT(TRIM(Raw!G1123),2)="-$","-"&amp;MID(TRIM(Raw!G1123),3,99),IF(LEFT(TRIM(Raw!G1123),1)="$",MID(TRIM(Raw!G1123),2,99),TRIM(Raw!G1123)))</f>
        <v>173.73</v>
      </c>
      <c r="M1123" s="1">
        <f t="shared" si="139"/>
        <v>173.73</v>
      </c>
      <c r="N1123" s="10">
        <f t="shared" si="140"/>
        <v>17373</v>
      </c>
      <c r="O1123" s="1" t="b">
        <f>IFERROR(IF(ISNUMBER(Raw!G1123),TRUE,OR(EXACT(L1123,TEXT(M1123,"0.00")),EXACT(L1123,TEXT(M1123,"#,##0.00")))),FALSE)</f>
        <v>1</v>
      </c>
      <c r="P1123" s="1" t="str">
        <f>LEN(IF(Raw!A1123="","",Raw!A1123))&amp;":"&amp;IF(Raw!A1123="","",Raw!A1123)&amp;"|"&amp;LEN(IF(Raw!B1123="","",Raw!B1123))&amp;":"&amp;IF(Raw!B1123="","",Raw!B1123)&amp;"|"&amp;LEN(IF(Raw!C1123="","",Raw!C1123))&amp;":"&amp;IF(Raw!C1123="","",Raw!C1123)&amp;"|"&amp;LEN(IF(Raw!D1123="","",Raw!D1123))&amp;":"&amp;IF(Raw!D1123="","",Raw!D1123)&amp;"|"&amp;LEN(IF(Raw!E1123="","",Raw!E1123))&amp;":"&amp;IF(Raw!E1123="","",Raw!E1123)&amp;"|"&amp;LEN(IF(Raw!F1123="","",Raw!F1123))&amp;":"&amp;IF(Raw!F1123="","",Raw!F1123)&amp;"|"&amp;LEN(IF(Raw!G1123="","",Raw!G1123))&amp;":"&amp;IF(Raw!G1123="","",Raw!G1123)</f>
        <v>6:L01117|6:T00559|10:2026-02-06|3:P-A|11:Accessories|4:sale|6:173.73</v>
      </c>
      <c r="Q1123" s="1">
        <f>1</f>
        <v>1</v>
      </c>
      <c r="R1123" s="1" t="b">
        <f>FALSE</f>
        <v>0</v>
      </c>
      <c r="S1123" s="1">
        <f>1</f>
        <v>1</v>
      </c>
      <c r="T1123" s="1" t="str">
        <f>IF(AND(Raw!A1123="",Raw!B1123="",Raw!C1123="",Raw!D1123="",Raw!E1123="",Raw!F1123="",Raw!G1123=""),"UNUSED",IF(A1123="","missing line ID",IF(B1123="","missing transaction ID",IF(G1123="",IF(C1123="","missing date","invalid date"),IF(I1123="","unknown product",IF(J1123="","conflicting category",IF(NOT(OR(EXACT(K1123,"sale"),EXACT(K1123,"refund"))),"unknown event",IF(OR(N1123="",NOT(O1123)),"invalid amount",IF(OR(AND(K1123="sale",N1123&lt;=0),AND(K1123="refund",N1123&gt;=0)),"invalid sign","")))))))))</f>
        <v/>
      </c>
      <c r="U1123" s="1" t="str">
        <f t="shared" si="141"/>
        <v>INCLUDED</v>
      </c>
      <c r="V1123" s="1" t="str">
        <f t="shared" si="142"/>
        <v>2026-02</v>
      </c>
      <c r="W1123" s="1">
        <f>IF(AND(U1123="INCLUDED",X1123&gt;0,EXACT(A1123,'AI output'!A1123)),1,0)</f>
        <v>1</v>
      </c>
      <c r="X1123" s="1">
        <f>1123</f>
        <v>1123</v>
      </c>
      <c r="Y1123" s="1">
        <f>IF(AND(U1123="INCLUDED",W1123=1),--(NOT(EXACT(A1123,'AI output'!A1123)))+--(NOT(EXACT(B1123,'AI output'!B1123)))+--(NOT(EXACT(TEXT(G1123,"yyyy-mm-dd"),'AI output'!C1123)))+--(NOT(EXACT(H1123,'AI output'!D1123)))+--(NOT(EXACT(J1123,'AI output'!E1123)))+--(NOT(EXACT(K1123,'AI output'!F1123)))+--(N1123&lt;&gt;'AI output'!L1123)+--(NOT('AI output'!M1123)),0)</f>
        <v>0</v>
      </c>
      <c r="Z1123" s="1">
        <f t="shared" si="143"/>
        <v>0</v>
      </c>
      <c r="AA1123" s="1">
        <f>--EXACT(A1123,"L01117")</f>
        <v>1</v>
      </c>
    </row>
    <row r="1124" spans="1:27" ht="18.95" customHeight="1">
      <c r="A1124" s="1" t="str">
        <f>IF(Raw!A1124="","",Raw!A1124)</f>
        <v>L01118</v>
      </c>
      <c r="B1124" s="1" t="str">
        <f>IF(Raw!B1124="","",Raw!B1124)</f>
        <v>T00559</v>
      </c>
      <c r="C1124" s="1" t="str">
        <f>IF(Raw!C1124="","",Raw!C1124)</f>
        <v>2026-02-06</v>
      </c>
      <c r="D1124" s="1">
        <f t="shared" si="136"/>
        <v>2026</v>
      </c>
      <c r="E1124" s="1">
        <f>IFERROR(IF(AND(LEN(C1124)=10,MID(C1124,5,1)="-",MID(C1124,8,1)="-"),VALUE(MID(C1124,6,2)),IF(AND(LEN(C1124)=11,MID(C1124,3,1)="-",MID(C1124,7,1)="-"),MATCH(UPPER(MID(C1124,4,3)),Guide!$D$7:$D$18,0),0)),0)</f>
        <v>2</v>
      </c>
      <c r="F1124" s="1">
        <f t="shared" si="137"/>
        <v>6</v>
      </c>
      <c r="G1124" s="9">
        <f t="shared" si="138"/>
        <v>46059</v>
      </c>
      <c r="H1124" s="1" t="str">
        <f>IF(Raw!D1124="","",Raw!D1124)</f>
        <v>P-H</v>
      </c>
      <c r="I1124" s="1" t="str">
        <f>IFERROR(IF(EXACT(H1124,INDEX(Guide!$A$7:$A$9,MATCH(SUBSTITUTE(SUBSTITUTE(SUBSTITUTE(H1124,"~","~~"),"*","~*"),"?","~?"),Guide!$A$7:$A$9,0))),INDEX(Guide!$B$7:$B$9,MATCH(SUBSTITUTE(SUBSTITUTE(SUBSTITUTE(H1124,"~","~~"),"*","~*"),"?","~?"),Guide!$A$7:$A$9,0)),""),"")</f>
        <v>Home</v>
      </c>
      <c r="J1124" s="1" t="str">
        <f>IF(TRIM(Raw!E1124)="",I1124,IF(UPPER(TRIM(Raw!E1124))=UPPER(I1124),I1124,""))</f>
        <v>Home</v>
      </c>
      <c r="K1124" s="1" t="str">
        <f>IF(Raw!F1124="","",Raw!F1124)</f>
        <v>sale</v>
      </c>
      <c r="L1124" s="1" t="str">
        <f>IF(LEFT(TRIM(Raw!G1124),2)="-$","-"&amp;MID(TRIM(Raw!G1124),3,99),IF(LEFT(TRIM(Raw!G1124),1)="$",MID(TRIM(Raw!G1124),2,99),TRIM(Raw!G1124)))</f>
        <v>291.40</v>
      </c>
      <c r="M1124" s="1">
        <f t="shared" si="139"/>
        <v>291.39999999999998</v>
      </c>
      <c r="N1124" s="10">
        <f t="shared" si="140"/>
        <v>29140</v>
      </c>
      <c r="O1124" s="1" t="b">
        <f>IFERROR(IF(ISNUMBER(Raw!G1124),TRUE,OR(EXACT(L1124,TEXT(M1124,"0.00")),EXACT(L1124,TEXT(M1124,"#,##0.00")))),FALSE)</f>
        <v>1</v>
      </c>
      <c r="P1124" s="1" t="str">
        <f>LEN(IF(Raw!A1124="","",Raw!A1124))&amp;":"&amp;IF(Raw!A1124="","",Raw!A1124)&amp;"|"&amp;LEN(IF(Raw!B1124="","",Raw!B1124))&amp;":"&amp;IF(Raw!B1124="","",Raw!B1124)&amp;"|"&amp;LEN(IF(Raw!C1124="","",Raw!C1124))&amp;":"&amp;IF(Raw!C1124="","",Raw!C1124)&amp;"|"&amp;LEN(IF(Raw!D1124="","",Raw!D1124))&amp;":"&amp;IF(Raw!D1124="","",Raw!D1124)&amp;"|"&amp;LEN(IF(Raw!E1124="","",Raw!E1124))&amp;":"&amp;IF(Raw!E1124="","",Raw!E1124)&amp;"|"&amp;LEN(IF(Raw!F1124="","",Raw!F1124))&amp;":"&amp;IF(Raw!F1124="","",Raw!F1124)&amp;"|"&amp;LEN(IF(Raw!G1124="","",Raw!G1124))&amp;":"&amp;IF(Raw!G1124="","",Raw!G1124)</f>
        <v>6:L01118|6:T00559|10:2026-02-06|3:P-H|4:Home|4:sale|6:291.40</v>
      </c>
      <c r="Q1124" s="1">
        <f>1</f>
        <v>1</v>
      </c>
      <c r="R1124" s="1" t="b">
        <f>FALSE</f>
        <v>0</v>
      </c>
      <c r="S1124" s="1">
        <f>1</f>
        <v>1</v>
      </c>
      <c r="T1124" s="1" t="str">
        <f>IF(AND(Raw!A1124="",Raw!B1124="",Raw!C1124="",Raw!D1124="",Raw!E1124="",Raw!F1124="",Raw!G1124=""),"UNUSED",IF(A1124="","missing line ID",IF(B1124="","missing transaction ID",IF(G1124="",IF(C1124="","missing date","invalid date"),IF(I1124="","unknown product",IF(J1124="","conflicting category",IF(NOT(OR(EXACT(K1124,"sale"),EXACT(K1124,"refund"))),"unknown event",IF(OR(N1124="",NOT(O1124)),"invalid amount",IF(OR(AND(K1124="sale",N1124&lt;=0),AND(K1124="refund",N1124&gt;=0)),"invalid sign","")))))))))</f>
        <v/>
      </c>
      <c r="U1124" s="1" t="str">
        <f t="shared" si="141"/>
        <v>INCLUDED</v>
      </c>
      <c r="V1124" s="1" t="str">
        <f t="shared" si="142"/>
        <v>2026-02</v>
      </c>
      <c r="W1124" s="1">
        <f>IF(AND(U1124="INCLUDED",X1124&gt;0,EXACT(A1124,'AI output'!A1124)),1,0)</f>
        <v>1</v>
      </c>
      <c r="X1124" s="1">
        <f>1124</f>
        <v>1124</v>
      </c>
      <c r="Y1124" s="1">
        <f>IF(AND(U1124="INCLUDED",W1124=1),--(NOT(EXACT(A1124,'AI output'!A1124)))+--(NOT(EXACT(B1124,'AI output'!B1124)))+--(NOT(EXACT(TEXT(G1124,"yyyy-mm-dd"),'AI output'!C1124)))+--(NOT(EXACT(H1124,'AI output'!D1124)))+--(NOT(EXACT(J1124,'AI output'!E1124)))+--(NOT(EXACT(K1124,'AI output'!F1124)))+--(N1124&lt;&gt;'AI output'!L1124)+--(NOT('AI output'!M1124)),0)</f>
        <v>0</v>
      </c>
      <c r="Z1124" s="1">
        <f t="shared" si="143"/>
        <v>0</v>
      </c>
      <c r="AA1124" s="1">
        <f>--EXACT(A1124,"L01118")</f>
        <v>1</v>
      </c>
    </row>
    <row r="1125" spans="1:27" ht="18.95" customHeight="1">
      <c r="A1125" s="1" t="str">
        <f>IF(Raw!A1125="","",Raw!A1125)</f>
        <v>L01119</v>
      </c>
      <c r="B1125" s="1" t="str">
        <f>IF(Raw!B1125="","",Raw!B1125)</f>
        <v>T00560</v>
      </c>
      <c r="C1125" s="1" t="str">
        <f>IF(Raw!C1125="","",Raw!C1125)</f>
        <v>2026-02-13</v>
      </c>
      <c r="D1125" s="1">
        <f t="shared" si="136"/>
        <v>2026</v>
      </c>
      <c r="E1125" s="1">
        <f>IFERROR(IF(AND(LEN(C1125)=10,MID(C1125,5,1)="-",MID(C1125,8,1)="-"),VALUE(MID(C1125,6,2)),IF(AND(LEN(C1125)=11,MID(C1125,3,1)="-",MID(C1125,7,1)="-"),MATCH(UPPER(MID(C1125,4,3)),Guide!$D$7:$D$18,0),0)),0)</f>
        <v>2</v>
      </c>
      <c r="F1125" s="1">
        <f t="shared" si="137"/>
        <v>13</v>
      </c>
      <c r="G1125" s="9">
        <f t="shared" si="138"/>
        <v>46066</v>
      </c>
      <c r="H1125" s="1" t="str">
        <f>IF(Raw!D1125="","",Raw!D1125)</f>
        <v>P-O</v>
      </c>
      <c r="I1125" s="1" t="str">
        <f>IFERROR(IF(EXACT(H1125,INDEX(Guide!$A$7:$A$9,MATCH(SUBSTITUTE(SUBSTITUTE(SUBSTITUTE(H1125,"~","~~"),"*","~*"),"?","~?"),Guide!$A$7:$A$9,0))),INDEX(Guide!$B$7:$B$9,MATCH(SUBSTITUTE(SUBSTITUTE(SUBSTITUTE(H1125,"~","~~"),"*","~*"),"?","~?"),Guide!$A$7:$A$9,0)),""),"")</f>
        <v>Office</v>
      </c>
      <c r="J1125" s="1" t="str">
        <f>IF(TRIM(Raw!E1125)="",I1125,IF(UPPER(TRIM(Raw!E1125))=UPPER(I1125),I1125,""))</f>
        <v>Office</v>
      </c>
      <c r="K1125" s="1" t="str">
        <f>IF(Raw!F1125="","",Raw!F1125)</f>
        <v>sale</v>
      </c>
      <c r="L1125" s="1" t="str">
        <f>IF(LEFT(TRIM(Raw!G1125),2)="-$","-"&amp;MID(TRIM(Raw!G1125),3,99),IF(LEFT(TRIM(Raw!G1125),1)="$",MID(TRIM(Raw!G1125),2,99),TRIM(Raw!G1125)))</f>
        <v>117.30</v>
      </c>
      <c r="M1125" s="1">
        <f t="shared" si="139"/>
        <v>117.3</v>
      </c>
      <c r="N1125" s="10">
        <f t="shared" si="140"/>
        <v>11730</v>
      </c>
      <c r="O1125" s="1" t="b">
        <f>IFERROR(IF(ISNUMBER(Raw!G1125),TRUE,OR(EXACT(L1125,TEXT(M1125,"0.00")),EXACT(L1125,TEXT(M1125,"#,##0.00")))),FALSE)</f>
        <v>1</v>
      </c>
      <c r="P1125" s="1" t="str">
        <f>LEN(IF(Raw!A1125="","",Raw!A1125))&amp;":"&amp;IF(Raw!A1125="","",Raw!A1125)&amp;"|"&amp;LEN(IF(Raw!B1125="","",Raw!B1125))&amp;":"&amp;IF(Raw!B1125="","",Raw!B1125)&amp;"|"&amp;LEN(IF(Raw!C1125="","",Raw!C1125))&amp;":"&amp;IF(Raw!C1125="","",Raw!C1125)&amp;"|"&amp;LEN(IF(Raw!D1125="","",Raw!D1125))&amp;":"&amp;IF(Raw!D1125="","",Raw!D1125)&amp;"|"&amp;LEN(IF(Raw!E1125="","",Raw!E1125))&amp;":"&amp;IF(Raw!E1125="","",Raw!E1125)&amp;"|"&amp;LEN(IF(Raw!F1125="","",Raw!F1125))&amp;":"&amp;IF(Raw!F1125="","",Raw!F1125)&amp;"|"&amp;LEN(IF(Raw!G1125="","",Raw!G1125))&amp;":"&amp;IF(Raw!G1125="","",Raw!G1125)</f>
        <v>6:L01119|6:T00560|10:2026-02-13|3:P-O|6:Office|4:sale|6:117.30</v>
      </c>
      <c r="Q1125" s="1">
        <f>1</f>
        <v>1</v>
      </c>
      <c r="R1125" s="1" t="b">
        <f>FALSE</f>
        <v>0</v>
      </c>
      <c r="S1125" s="1">
        <f>1</f>
        <v>1</v>
      </c>
      <c r="T1125" s="1" t="str">
        <f>IF(AND(Raw!A1125="",Raw!B1125="",Raw!C1125="",Raw!D1125="",Raw!E1125="",Raw!F1125="",Raw!G1125=""),"UNUSED",IF(A1125="","missing line ID",IF(B1125="","missing transaction ID",IF(G1125="",IF(C1125="","missing date","invalid date"),IF(I1125="","unknown product",IF(J1125="","conflicting category",IF(NOT(OR(EXACT(K1125,"sale"),EXACT(K1125,"refund"))),"unknown event",IF(OR(N1125="",NOT(O1125)),"invalid amount",IF(OR(AND(K1125="sale",N1125&lt;=0),AND(K1125="refund",N1125&gt;=0)),"invalid sign","")))))))))</f>
        <v/>
      </c>
      <c r="U1125" s="1" t="str">
        <f t="shared" si="141"/>
        <v>INCLUDED</v>
      </c>
      <c r="V1125" s="1" t="str">
        <f t="shared" si="142"/>
        <v>2026-02</v>
      </c>
      <c r="W1125" s="1">
        <f>IF(AND(U1125="INCLUDED",X1125&gt;0,EXACT(A1125,'AI output'!A1125)),1,0)</f>
        <v>1</v>
      </c>
      <c r="X1125" s="1">
        <f>1125</f>
        <v>1125</v>
      </c>
      <c r="Y1125" s="1">
        <f>IF(AND(U1125="INCLUDED",W1125=1),--(NOT(EXACT(A1125,'AI output'!A1125)))+--(NOT(EXACT(B1125,'AI output'!B1125)))+--(NOT(EXACT(TEXT(G1125,"yyyy-mm-dd"),'AI output'!C1125)))+--(NOT(EXACT(H1125,'AI output'!D1125)))+--(NOT(EXACT(J1125,'AI output'!E1125)))+--(NOT(EXACT(K1125,'AI output'!F1125)))+--(N1125&lt;&gt;'AI output'!L1125)+--(NOT('AI output'!M1125)),0)</f>
        <v>0</v>
      </c>
      <c r="Z1125" s="1">
        <f t="shared" si="143"/>
        <v>0</v>
      </c>
      <c r="AA1125" s="1">
        <f>--EXACT(A1125,"L01119")</f>
        <v>1</v>
      </c>
    </row>
    <row r="1126" spans="1:27" ht="18.95" customHeight="1">
      <c r="A1126" s="1" t="str">
        <f>IF(Raw!A1126="","",Raw!A1126)</f>
        <v>L01120</v>
      </c>
      <c r="B1126" s="1" t="str">
        <f>IF(Raw!B1126="","",Raw!B1126)</f>
        <v>T00560</v>
      </c>
      <c r="C1126" s="1" t="str">
        <f>IF(Raw!C1126="","",Raw!C1126)</f>
        <v>2026-02-13</v>
      </c>
      <c r="D1126" s="1">
        <f t="shared" si="136"/>
        <v>2026</v>
      </c>
      <c r="E1126" s="1">
        <f>IFERROR(IF(AND(LEN(C1126)=10,MID(C1126,5,1)="-",MID(C1126,8,1)="-"),VALUE(MID(C1126,6,2)),IF(AND(LEN(C1126)=11,MID(C1126,3,1)="-",MID(C1126,7,1)="-"),MATCH(UPPER(MID(C1126,4,3)),Guide!$D$7:$D$18,0),0)),0)</f>
        <v>2</v>
      </c>
      <c r="F1126" s="1">
        <f t="shared" si="137"/>
        <v>13</v>
      </c>
      <c r="G1126" s="9">
        <f t="shared" si="138"/>
        <v>46066</v>
      </c>
      <c r="H1126" s="1" t="str">
        <f>IF(Raw!D1126="","",Raw!D1126)</f>
        <v>P-A</v>
      </c>
      <c r="I1126" s="1" t="str">
        <f>IFERROR(IF(EXACT(H1126,INDEX(Guide!$A$7:$A$9,MATCH(SUBSTITUTE(SUBSTITUTE(SUBSTITUTE(H1126,"~","~~"),"*","~*"),"?","~?"),Guide!$A$7:$A$9,0))),INDEX(Guide!$B$7:$B$9,MATCH(SUBSTITUTE(SUBSTITUTE(SUBSTITUTE(H1126,"~","~~"),"*","~*"),"?","~?"),Guide!$A$7:$A$9,0)),""),"")</f>
        <v>Accessories</v>
      </c>
      <c r="J1126" s="1" t="str">
        <f>IF(TRIM(Raw!E1126)="",I1126,IF(UPPER(TRIM(Raw!E1126))=UPPER(I1126),I1126,""))</f>
        <v>Accessories</v>
      </c>
      <c r="K1126" s="1" t="str">
        <f>IF(Raw!F1126="","",Raw!F1126)</f>
        <v>sale</v>
      </c>
      <c r="L1126" s="1" t="str">
        <f>IF(LEFT(TRIM(Raw!G1126),2)="-$","-"&amp;MID(TRIM(Raw!G1126),3,99),IF(LEFT(TRIM(Raw!G1126),1)="$",MID(TRIM(Raw!G1126),2,99),TRIM(Raw!G1126)))</f>
        <v>236.08</v>
      </c>
      <c r="M1126" s="1">
        <f t="shared" si="139"/>
        <v>236.08</v>
      </c>
      <c r="N1126" s="10">
        <f t="shared" si="140"/>
        <v>23608</v>
      </c>
      <c r="O1126" s="1" t="b">
        <f>IFERROR(IF(ISNUMBER(Raw!G1126),TRUE,OR(EXACT(L1126,TEXT(M1126,"0.00")),EXACT(L1126,TEXT(M1126,"#,##0.00")))),FALSE)</f>
        <v>1</v>
      </c>
      <c r="P1126" s="1" t="str">
        <f>LEN(IF(Raw!A1126="","",Raw!A1126))&amp;":"&amp;IF(Raw!A1126="","",Raw!A1126)&amp;"|"&amp;LEN(IF(Raw!B1126="","",Raw!B1126))&amp;":"&amp;IF(Raw!B1126="","",Raw!B1126)&amp;"|"&amp;LEN(IF(Raw!C1126="","",Raw!C1126))&amp;":"&amp;IF(Raw!C1126="","",Raw!C1126)&amp;"|"&amp;LEN(IF(Raw!D1126="","",Raw!D1126))&amp;":"&amp;IF(Raw!D1126="","",Raw!D1126)&amp;"|"&amp;LEN(IF(Raw!E1126="","",Raw!E1126))&amp;":"&amp;IF(Raw!E1126="","",Raw!E1126)&amp;"|"&amp;LEN(IF(Raw!F1126="","",Raw!F1126))&amp;":"&amp;IF(Raw!F1126="","",Raw!F1126)&amp;"|"&amp;LEN(IF(Raw!G1126="","",Raw!G1126))&amp;":"&amp;IF(Raw!G1126="","",Raw!G1126)</f>
        <v>6:L01120|6:T00560|10:2026-02-13|3:P-A|11:Accessories|4:sale|6:236.08</v>
      </c>
      <c r="Q1126" s="1">
        <f>1</f>
        <v>1</v>
      </c>
      <c r="R1126" s="1" t="b">
        <f>FALSE</f>
        <v>0</v>
      </c>
      <c r="S1126" s="1">
        <f>1</f>
        <v>1</v>
      </c>
      <c r="T1126" s="1" t="str">
        <f>IF(AND(Raw!A1126="",Raw!B1126="",Raw!C1126="",Raw!D1126="",Raw!E1126="",Raw!F1126="",Raw!G1126=""),"UNUSED",IF(A1126="","missing line ID",IF(B1126="","missing transaction ID",IF(G1126="",IF(C1126="","missing date","invalid date"),IF(I1126="","unknown product",IF(J1126="","conflicting category",IF(NOT(OR(EXACT(K1126,"sale"),EXACT(K1126,"refund"))),"unknown event",IF(OR(N1126="",NOT(O1126)),"invalid amount",IF(OR(AND(K1126="sale",N1126&lt;=0),AND(K1126="refund",N1126&gt;=0)),"invalid sign","")))))))))</f>
        <v/>
      </c>
      <c r="U1126" s="1" t="str">
        <f t="shared" si="141"/>
        <v>INCLUDED</v>
      </c>
      <c r="V1126" s="1" t="str">
        <f t="shared" si="142"/>
        <v>2026-02</v>
      </c>
      <c r="W1126" s="1">
        <f>IF(AND(U1126="INCLUDED",X1126&gt;0,EXACT(A1126,'AI output'!A1126)),1,0)</f>
        <v>1</v>
      </c>
      <c r="X1126" s="1">
        <f>1126</f>
        <v>1126</v>
      </c>
      <c r="Y1126" s="1">
        <f>IF(AND(U1126="INCLUDED",W1126=1),--(NOT(EXACT(A1126,'AI output'!A1126)))+--(NOT(EXACT(B1126,'AI output'!B1126)))+--(NOT(EXACT(TEXT(G1126,"yyyy-mm-dd"),'AI output'!C1126)))+--(NOT(EXACT(H1126,'AI output'!D1126)))+--(NOT(EXACT(J1126,'AI output'!E1126)))+--(NOT(EXACT(K1126,'AI output'!F1126)))+--(N1126&lt;&gt;'AI output'!L1126)+--(NOT('AI output'!M1126)),0)</f>
        <v>0</v>
      </c>
      <c r="Z1126" s="1">
        <f t="shared" si="143"/>
        <v>0</v>
      </c>
      <c r="AA1126" s="1">
        <f>--EXACT(A1126,"L01120")</f>
        <v>1</v>
      </c>
    </row>
    <row r="1127" spans="1:27" ht="18.95" customHeight="1">
      <c r="A1127" s="1" t="str">
        <f>IF(Raw!A1127="","",Raw!A1127)</f>
        <v>L01121</v>
      </c>
      <c r="B1127" s="1" t="str">
        <f>IF(Raw!B1127="","",Raw!B1127)</f>
        <v>T00561</v>
      </c>
      <c r="C1127" s="1" t="str">
        <f>IF(Raw!C1127="","",Raw!C1127)</f>
        <v>2026-02-20</v>
      </c>
      <c r="D1127" s="1">
        <f t="shared" si="136"/>
        <v>2026</v>
      </c>
      <c r="E1127" s="1">
        <f>IFERROR(IF(AND(LEN(C1127)=10,MID(C1127,5,1)="-",MID(C1127,8,1)="-"),VALUE(MID(C1127,6,2)),IF(AND(LEN(C1127)=11,MID(C1127,3,1)="-",MID(C1127,7,1)="-"),MATCH(UPPER(MID(C1127,4,3)),Guide!$D$7:$D$18,0),0)),0)</f>
        <v>2</v>
      </c>
      <c r="F1127" s="1">
        <f t="shared" si="137"/>
        <v>20</v>
      </c>
      <c r="G1127" s="9">
        <f t="shared" si="138"/>
        <v>46073</v>
      </c>
      <c r="H1127" s="1" t="str">
        <f>IF(Raw!D1127="","",Raw!D1127)</f>
        <v>P-H</v>
      </c>
      <c r="I1127" s="1" t="str">
        <f>IFERROR(IF(EXACT(H1127,INDEX(Guide!$A$7:$A$9,MATCH(SUBSTITUTE(SUBSTITUTE(SUBSTITUTE(H1127,"~","~~"),"*","~*"),"?","~?"),Guide!$A$7:$A$9,0))),INDEX(Guide!$B$7:$B$9,MATCH(SUBSTITUTE(SUBSTITUTE(SUBSTITUTE(H1127,"~","~~"),"*","~*"),"?","~?"),Guide!$A$7:$A$9,0)),""),"")</f>
        <v>Home</v>
      </c>
      <c r="J1127" s="1" t="str">
        <f>IF(TRIM(Raw!E1127)="",I1127,IF(UPPER(TRIM(Raw!E1127))=UPPER(I1127),I1127,""))</f>
        <v>Home</v>
      </c>
      <c r="K1127" s="1" t="str">
        <f>IF(Raw!F1127="","",Raw!F1127)</f>
        <v>sale</v>
      </c>
      <c r="L1127" s="1" t="str">
        <f>IF(LEFT(TRIM(Raw!G1127),2)="-$","-"&amp;MID(TRIM(Raw!G1127),3,99),IF(LEFT(TRIM(Raw!G1127),1)="$",MID(TRIM(Raw!G1127),2,99),TRIM(Raw!G1127)))</f>
        <v>59.39</v>
      </c>
      <c r="M1127" s="1">
        <f t="shared" si="139"/>
        <v>59.39</v>
      </c>
      <c r="N1127" s="10">
        <f t="shared" si="140"/>
        <v>5939</v>
      </c>
      <c r="O1127" s="1" t="b">
        <f>IFERROR(IF(ISNUMBER(Raw!G1127),TRUE,OR(EXACT(L1127,TEXT(M1127,"0.00")),EXACT(L1127,TEXT(M1127,"#,##0.00")))),FALSE)</f>
        <v>1</v>
      </c>
      <c r="P1127" s="1" t="str">
        <f>LEN(IF(Raw!A1127="","",Raw!A1127))&amp;":"&amp;IF(Raw!A1127="","",Raw!A1127)&amp;"|"&amp;LEN(IF(Raw!B1127="","",Raw!B1127))&amp;":"&amp;IF(Raw!B1127="","",Raw!B1127)&amp;"|"&amp;LEN(IF(Raw!C1127="","",Raw!C1127))&amp;":"&amp;IF(Raw!C1127="","",Raw!C1127)&amp;"|"&amp;LEN(IF(Raw!D1127="","",Raw!D1127))&amp;":"&amp;IF(Raw!D1127="","",Raw!D1127)&amp;"|"&amp;LEN(IF(Raw!E1127="","",Raw!E1127))&amp;":"&amp;IF(Raw!E1127="","",Raw!E1127)&amp;"|"&amp;LEN(IF(Raw!F1127="","",Raw!F1127))&amp;":"&amp;IF(Raw!F1127="","",Raw!F1127)&amp;"|"&amp;LEN(IF(Raw!G1127="","",Raw!G1127))&amp;":"&amp;IF(Raw!G1127="","",Raw!G1127)</f>
        <v>6:L01121|6:T00561|10:2026-02-20|3:P-H|4:Home|4:sale|5:59.39</v>
      </c>
      <c r="Q1127" s="1">
        <f>1</f>
        <v>1</v>
      </c>
      <c r="R1127" s="1" t="b">
        <f>FALSE</f>
        <v>0</v>
      </c>
      <c r="S1127" s="1">
        <f>1</f>
        <v>1</v>
      </c>
      <c r="T1127" s="1" t="str">
        <f>IF(AND(Raw!A1127="",Raw!B1127="",Raw!C1127="",Raw!D1127="",Raw!E1127="",Raw!F1127="",Raw!G1127=""),"UNUSED",IF(A1127="","missing line ID",IF(B1127="","missing transaction ID",IF(G1127="",IF(C1127="","missing date","invalid date"),IF(I1127="","unknown product",IF(J1127="","conflicting category",IF(NOT(OR(EXACT(K1127,"sale"),EXACT(K1127,"refund"))),"unknown event",IF(OR(N1127="",NOT(O1127)),"invalid amount",IF(OR(AND(K1127="sale",N1127&lt;=0),AND(K1127="refund",N1127&gt;=0)),"invalid sign","")))))))))</f>
        <v/>
      </c>
      <c r="U1127" s="1" t="str">
        <f t="shared" si="141"/>
        <v>INCLUDED</v>
      </c>
      <c r="V1127" s="1" t="str">
        <f t="shared" si="142"/>
        <v>2026-02</v>
      </c>
      <c r="W1127" s="1">
        <f>IF(AND(U1127="INCLUDED",X1127&gt;0,EXACT(A1127,'AI output'!A1127)),1,0)</f>
        <v>1</v>
      </c>
      <c r="X1127" s="1">
        <f>1127</f>
        <v>1127</v>
      </c>
      <c r="Y1127" s="1">
        <f>IF(AND(U1127="INCLUDED",W1127=1),--(NOT(EXACT(A1127,'AI output'!A1127)))+--(NOT(EXACT(B1127,'AI output'!B1127)))+--(NOT(EXACT(TEXT(G1127,"yyyy-mm-dd"),'AI output'!C1127)))+--(NOT(EXACT(H1127,'AI output'!D1127)))+--(NOT(EXACT(J1127,'AI output'!E1127)))+--(NOT(EXACT(K1127,'AI output'!F1127)))+--(N1127&lt;&gt;'AI output'!L1127)+--(NOT('AI output'!M1127)),0)</f>
        <v>0</v>
      </c>
      <c r="Z1127" s="1">
        <f t="shared" si="143"/>
        <v>0</v>
      </c>
      <c r="AA1127" s="1">
        <f>--EXACT(A1127,"L01121")</f>
        <v>1</v>
      </c>
    </row>
    <row r="1128" spans="1:27" ht="18.95" customHeight="1">
      <c r="A1128" s="1" t="str">
        <f>IF(Raw!A1128="","",Raw!A1128)</f>
        <v>L01122</v>
      </c>
      <c r="B1128" s="1" t="str">
        <f>IF(Raw!B1128="","",Raw!B1128)</f>
        <v>T00561</v>
      </c>
      <c r="C1128" s="1" t="str">
        <f>IF(Raw!C1128="","",Raw!C1128)</f>
        <v>2026-02-20</v>
      </c>
      <c r="D1128" s="1">
        <f t="shared" si="136"/>
        <v>2026</v>
      </c>
      <c r="E1128" s="1">
        <f>IFERROR(IF(AND(LEN(C1128)=10,MID(C1128,5,1)="-",MID(C1128,8,1)="-"),VALUE(MID(C1128,6,2)),IF(AND(LEN(C1128)=11,MID(C1128,3,1)="-",MID(C1128,7,1)="-"),MATCH(UPPER(MID(C1128,4,3)),Guide!$D$7:$D$18,0),0)),0)</f>
        <v>2</v>
      </c>
      <c r="F1128" s="1">
        <f t="shared" si="137"/>
        <v>20</v>
      </c>
      <c r="G1128" s="9">
        <f t="shared" si="138"/>
        <v>46073</v>
      </c>
      <c r="H1128" s="1" t="str">
        <f>IF(Raw!D1128="","",Raw!D1128)</f>
        <v>P-O</v>
      </c>
      <c r="I1128" s="1" t="str">
        <f>IFERROR(IF(EXACT(H1128,INDEX(Guide!$A$7:$A$9,MATCH(SUBSTITUTE(SUBSTITUTE(SUBSTITUTE(H1128,"~","~~"),"*","~*"),"?","~?"),Guide!$A$7:$A$9,0))),INDEX(Guide!$B$7:$B$9,MATCH(SUBSTITUTE(SUBSTITUTE(SUBSTITUTE(H1128,"~","~~"),"*","~*"),"?","~?"),Guide!$A$7:$A$9,0)),""),"")</f>
        <v>Office</v>
      </c>
      <c r="J1128" s="1" t="str">
        <f>IF(TRIM(Raw!E1128)="",I1128,IF(UPPER(TRIM(Raw!E1128))=UPPER(I1128),I1128,""))</f>
        <v>Office</v>
      </c>
      <c r="K1128" s="1" t="str">
        <f>IF(Raw!F1128="","",Raw!F1128)</f>
        <v>sale</v>
      </c>
      <c r="L1128" s="1" t="str">
        <f>IF(LEFT(TRIM(Raw!G1128),2)="-$","-"&amp;MID(TRIM(Raw!G1128),3,99),IF(LEFT(TRIM(Raw!G1128),1)="$",MID(TRIM(Raw!G1128),2,99),TRIM(Raw!G1128)))</f>
        <v>179.28</v>
      </c>
      <c r="M1128" s="1">
        <f t="shared" si="139"/>
        <v>179.28</v>
      </c>
      <c r="N1128" s="10">
        <f t="shared" si="140"/>
        <v>17928</v>
      </c>
      <c r="O1128" s="1" t="b">
        <f>IFERROR(IF(ISNUMBER(Raw!G1128),TRUE,OR(EXACT(L1128,TEXT(M1128,"0.00")),EXACT(L1128,TEXT(M1128,"#,##0.00")))),FALSE)</f>
        <v>1</v>
      </c>
      <c r="P1128" s="1" t="str">
        <f>LEN(IF(Raw!A1128="","",Raw!A1128))&amp;":"&amp;IF(Raw!A1128="","",Raw!A1128)&amp;"|"&amp;LEN(IF(Raw!B1128="","",Raw!B1128))&amp;":"&amp;IF(Raw!B1128="","",Raw!B1128)&amp;"|"&amp;LEN(IF(Raw!C1128="","",Raw!C1128))&amp;":"&amp;IF(Raw!C1128="","",Raw!C1128)&amp;"|"&amp;LEN(IF(Raw!D1128="","",Raw!D1128))&amp;":"&amp;IF(Raw!D1128="","",Raw!D1128)&amp;"|"&amp;LEN(IF(Raw!E1128="","",Raw!E1128))&amp;":"&amp;IF(Raw!E1128="","",Raw!E1128)&amp;"|"&amp;LEN(IF(Raw!F1128="","",Raw!F1128))&amp;":"&amp;IF(Raw!F1128="","",Raw!F1128)&amp;"|"&amp;LEN(IF(Raw!G1128="","",Raw!G1128))&amp;":"&amp;IF(Raw!G1128="","",Raw!G1128)</f>
        <v>6:L01122|6:T00561|10:2026-02-20|3:P-O|6:Office|4:sale|6:179.28</v>
      </c>
      <c r="Q1128" s="1">
        <f>1</f>
        <v>1</v>
      </c>
      <c r="R1128" s="1" t="b">
        <f>FALSE</f>
        <v>0</v>
      </c>
      <c r="S1128" s="1">
        <f>1</f>
        <v>1</v>
      </c>
      <c r="T1128" s="1" t="str">
        <f>IF(AND(Raw!A1128="",Raw!B1128="",Raw!C1128="",Raw!D1128="",Raw!E1128="",Raw!F1128="",Raw!G1128=""),"UNUSED",IF(A1128="","missing line ID",IF(B1128="","missing transaction ID",IF(G1128="",IF(C1128="","missing date","invalid date"),IF(I1128="","unknown product",IF(J1128="","conflicting category",IF(NOT(OR(EXACT(K1128,"sale"),EXACT(K1128,"refund"))),"unknown event",IF(OR(N1128="",NOT(O1128)),"invalid amount",IF(OR(AND(K1128="sale",N1128&lt;=0),AND(K1128="refund",N1128&gt;=0)),"invalid sign","")))))))))</f>
        <v/>
      </c>
      <c r="U1128" s="1" t="str">
        <f t="shared" si="141"/>
        <v>INCLUDED</v>
      </c>
      <c r="V1128" s="1" t="str">
        <f t="shared" si="142"/>
        <v>2026-02</v>
      </c>
      <c r="W1128" s="1">
        <f>IF(AND(U1128="INCLUDED",X1128&gt;0,EXACT(A1128,'AI output'!A1128)),1,0)</f>
        <v>1</v>
      </c>
      <c r="X1128" s="1">
        <f>1128</f>
        <v>1128</v>
      </c>
      <c r="Y1128" s="1">
        <f>IF(AND(U1128="INCLUDED",W1128=1),--(NOT(EXACT(A1128,'AI output'!A1128)))+--(NOT(EXACT(B1128,'AI output'!B1128)))+--(NOT(EXACT(TEXT(G1128,"yyyy-mm-dd"),'AI output'!C1128)))+--(NOT(EXACT(H1128,'AI output'!D1128)))+--(NOT(EXACT(J1128,'AI output'!E1128)))+--(NOT(EXACT(K1128,'AI output'!F1128)))+--(N1128&lt;&gt;'AI output'!L1128)+--(NOT('AI output'!M1128)),0)</f>
        <v>0</v>
      </c>
      <c r="Z1128" s="1">
        <f t="shared" si="143"/>
        <v>0</v>
      </c>
      <c r="AA1128" s="1">
        <f>--EXACT(A1128,"L01122")</f>
        <v>1</v>
      </c>
    </row>
    <row r="1129" spans="1:27" ht="18.95" customHeight="1">
      <c r="A1129" s="1" t="str">
        <f>IF(Raw!A1129="","",Raw!A1129)</f>
        <v>L01123</v>
      </c>
      <c r="B1129" s="1" t="str">
        <f>IF(Raw!B1129="","",Raw!B1129)</f>
        <v>T00562</v>
      </c>
      <c r="C1129" s="1" t="str">
        <f>IF(Raw!C1129="","",Raw!C1129)</f>
        <v>2026-02-27</v>
      </c>
      <c r="D1129" s="1">
        <f t="shared" si="136"/>
        <v>2026</v>
      </c>
      <c r="E1129" s="1">
        <f>IFERROR(IF(AND(LEN(C1129)=10,MID(C1129,5,1)="-",MID(C1129,8,1)="-"),VALUE(MID(C1129,6,2)),IF(AND(LEN(C1129)=11,MID(C1129,3,1)="-",MID(C1129,7,1)="-"),MATCH(UPPER(MID(C1129,4,3)),Guide!$D$7:$D$18,0),0)),0)</f>
        <v>2</v>
      </c>
      <c r="F1129" s="1">
        <f t="shared" si="137"/>
        <v>27</v>
      </c>
      <c r="G1129" s="9">
        <f t="shared" si="138"/>
        <v>46080</v>
      </c>
      <c r="H1129" s="1" t="str">
        <f>IF(Raw!D1129="","",Raw!D1129)</f>
        <v>P-A</v>
      </c>
      <c r="I1129" s="1" t="str">
        <f>IFERROR(IF(EXACT(H1129,INDEX(Guide!$A$7:$A$9,MATCH(SUBSTITUTE(SUBSTITUTE(SUBSTITUTE(H1129,"~","~~"),"*","~*"),"?","~?"),Guide!$A$7:$A$9,0))),INDEX(Guide!$B$7:$B$9,MATCH(SUBSTITUTE(SUBSTITUTE(SUBSTITUTE(H1129,"~","~~"),"*","~*"),"?","~?"),Guide!$A$7:$A$9,0)),""),"")</f>
        <v>Accessories</v>
      </c>
      <c r="J1129" s="1" t="str">
        <f>IF(TRIM(Raw!E1129)="",I1129,IF(UPPER(TRIM(Raw!E1129))=UPPER(I1129),I1129,""))</f>
        <v>Accessories</v>
      </c>
      <c r="K1129" s="1" t="str">
        <f>IF(Raw!F1129="","",Raw!F1129)</f>
        <v>sale</v>
      </c>
      <c r="L1129" s="1" t="str">
        <f>IF(LEFT(TRIM(Raw!G1129),2)="-$","-"&amp;MID(TRIM(Raw!G1129),3,99),IF(LEFT(TRIM(Raw!G1129),1)="$",MID(TRIM(Raw!G1129),2,99),TRIM(Raw!G1129)))</f>
        <v>300.65</v>
      </c>
      <c r="M1129" s="1">
        <f t="shared" si="139"/>
        <v>300.64999999999998</v>
      </c>
      <c r="N1129" s="10">
        <f t="shared" si="140"/>
        <v>30065</v>
      </c>
      <c r="O1129" s="1" t="b">
        <f>IFERROR(IF(ISNUMBER(Raw!G1129),TRUE,OR(EXACT(L1129,TEXT(M1129,"0.00")),EXACT(L1129,TEXT(M1129,"#,##0.00")))),FALSE)</f>
        <v>1</v>
      </c>
      <c r="P1129" s="1" t="str">
        <f>LEN(IF(Raw!A1129="","",Raw!A1129))&amp;":"&amp;IF(Raw!A1129="","",Raw!A1129)&amp;"|"&amp;LEN(IF(Raw!B1129="","",Raw!B1129))&amp;":"&amp;IF(Raw!B1129="","",Raw!B1129)&amp;"|"&amp;LEN(IF(Raw!C1129="","",Raw!C1129))&amp;":"&amp;IF(Raw!C1129="","",Raw!C1129)&amp;"|"&amp;LEN(IF(Raw!D1129="","",Raw!D1129))&amp;":"&amp;IF(Raw!D1129="","",Raw!D1129)&amp;"|"&amp;LEN(IF(Raw!E1129="","",Raw!E1129))&amp;":"&amp;IF(Raw!E1129="","",Raw!E1129)&amp;"|"&amp;LEN(IF(Raw!F1129="","",Raw!F1129))&amp;":"&amp;IF(Raw!F1129="","",Raw!F1129)&amp;"|"&amp;LEN(IF(Raw!G1129="","",Raw!G1129))&amp;":"&amp;IF(Raw!G1129="","",Raw!G1129)</f>
        <v>6:L01123|6:T00562|10:2026-02-27|3:P-A|11:Accessories|4:sale|6:300.65</v>
      </c>
      <c r="Q1129" s="1">
        <f>1</f>
        <v>1</v>
      </c>
      <c r="R1129" s="1" t="b">
        <f>FALSE</f>
        <v>0</v>
      </c>
      <c r="S1129" s="1">
        <f>1</f>
        <v>1</v>
      </c>
      <c r="T1129" s="1" t="str">
        <f>IF(AND(Raw!A1129="",Raw!B1129="",Raw!C1129="",Raw!D1129="",Raw!E1129="",Raw!F1129="",Raw!G1129=""),"UNUSED",IF(A1129="","missing line ID",IF(B1129="","missing transaction ID",IF(G1129="",IF(C1129="","missing date","invalid date"),IF(I1129="","unknown product",IF(J1129="","conflicting category",IF(NOT(OR(EXACT(K1129,"sale"),EXACT(K1129,"refund"))),"unknown event",IF(OR(N1129="",NOT(O1129)),"invalid amount",IF(OR(AND(K1129="sale",N1129&lt;=0),AND(K1129="refund",N1129&gt;=0)),"invalid sign","")))))))))</f>
        <v/>
      </c>
      <c r="U1129" s="1" t="str">
        <f t="shared" si="141"/>
        <v>INCLUDED</v>
      </c>
      <c r="V1129" s="1" t="str">
        <f t="shared" si="142"/>
        <v>2026-02</v>
      </c>
      <c r="W1129" s="1">
        <f>IF(AND(U1129="INCLUDED",X1129&gt;0,EXACT(A1129,'AI output'!A1129)),1,0)</f>
        <v>1</v>
      </c>
      <c r="X1129" s="1">
        <f>1129</f>
        <v>1129</v>
      </c>
      <c r="Y1129" s="1">
        <f>IF(AND(U1129="INCLUDED",W1129=1),--(NOT(EXACT(A1129,'AI output'!A1129)))+--(NOT(EXACT(B1129,'AI output'!B1129)))+--(NOT(EXACT(TEXT(G1129,"yyyy-mm-dd"),'AI output'!C1129)))+--(NOT(EXACT(H1129,'AI output'!D1129)))+--(NOT(EXACT(J1129,'AI output'!E1129)))+--(NOT(EXACT(K1129,'AI output'!F1129)))+--(N1129&lt;&gt;'AI output'!L1129)+--(NOT('AI output'!M1129)),0)</f>
        <v>0</v>
      </c>
      <c r="Z1129" s="1">
        <f t="shared" si="143"/>
        <v>0</v>
      </c>
      <c r="AA1129" s="1">
        <f>--EXACT(A1129,"L01123")</f>
        <v>1</v>
      </c>
    </row>
    <row r="1130" spans="1:27" ht="18.95" customHeight="1">
      <c r="A1130" s="1" t="str">
        <f>IF(Raw!A1130="","",Raw!A1130)</f>
        <v>L01124</v>
      </c>
      <c r="B1130" s="1" t="str">
        <f>IF(Raw!B1130="","",Raw!B1130)</f>
        <v>T00562</v>
      </c>
      <c r="C1130" s="1" t="str">
        <f>IF(Raw!C1130="","",Raw!C1130)</f>
        <v>2026-02-27</v>
      </c>
      <c r="D1130" s="1">
        <f t="shared" si="136"/>
        <v>2026</v>
      </c>
      <c r="E1130" s="1">
        <f>IFERROR(IF(AND(LEN(C1130)=10,MID(C1130,5,1)="-",MID(C1130,8,1)="-"),VALUE(MID(C1130,6,2)),IF(AND(LEN(C1130)=11,MID(C1130,3,1)="-",MID(C1130,7,1)="-"),MATCH(UPPER(MID(C1130,4,3)),Guide!$D$7:$D$18,0),0)),0)</f>
        <v>2</v>
      </c>
      <c r="F1130" s="1">
        <f t="shared" si="137"/>
        <v>27</v>
      </c>
      <c r="G1130" s="9">
        <f t="shared" si="138"/>
        <v>46080</v>
      </c>
      <c r="H1130" s="1" t="str">
        <f>IF(Raw!D1130="","",Raw!D1130)</f>
        <v>P-H</v>
      </c>
      <c r="I1130" s="1" t="str">
        <f>IFERROR(IF(EXACT(H1130,INDEX(Guide!$A$7:$A$9,MATCH(SUBSTITUTE(SUBSTITUTE(SUBSTITUTE(H1130,"~","~~"),"*","~*"),"?","~?"),Guide!$A$7:$A$9,0))),INDEX(Guide!$B$7:$B$9,MATCH(SUBSTITUTE(SUBSTITUTE(SUBSTITUTE(H1130,"~","~~"),"*","~*"),"?","~?"),Guide!$A$7:$A$9,0)),""),"")</f>
        <v>Home</v>
      </c>
      <c r="J1130" s="1" t="str">
        <f>IF(TRIM(Raw!E1130)="",I1130,IF(UPPER(TRIM(Raw!E1130))=UPPER(I1130),I1130,""))</f>
        <v>Home</v>
      </c>
      <c r="K1130" s="1" t="str">
        <f>IF(Raw!F1130="","",Raw!F1130)</f>
        <v>sale</v>
      </c>
      <c r="L1130" s="1" t="str">
        <f>IF(LEFT(TRIM(Raw!G1130),2)="-$","-"&amp;MID(TRIM(Raw!G1130),3,99),IF(LEFT(TRIM(Raw!G1130),1)="$",MID(TRIM(Raw!G1130),2,99),TRIM(Raw!G1130)))</f>
        <v>121.00</v>
      </c>
      <c r="M1130" s="1">
        <f t="shared" si="139"/>
        <v>121</v>
      </c>
      <c r="N1130" s="10">
        <f t="shared" si="140"/>
        <v>12100</v>
      </c>
      <c r="O1130" s="1" t="b">
        <f>IFERROR(IF(ISNUMBER(Raw!G1130),TRUE,OR(EXACT(L1130,TEXT(M1130,"0.00")),EXACT(L1130,TEXT(M1130,"#,##0.00")))),FALSE)</f>
        <v>1</v>
      </c>
      <c r="P1130" s="1" t="str">
        <f>LEN(IF(Raw!A1130="","",Raw!A1130))&amp;":"&amp;IF(Raw!A1130="","",Raw!A1130)&amp;"|"&amp;LEN(IF(Raw!B1130="","",Raw!B1130))&amp;":"&amp;IF(Raw!B1130="","",Raw!B1130)&amp;"|"&amp;LEN(IF(Raw!C1130="","",Raw!C1130))&amp;":"&amp;IF(Raw!C1130="","",Raw!C1130)&amp;"|"&amp;LEN(IF(Raw!D1130="","",Raw!D1130))&amp;":"&amp;IF(Raw!D1130="","",Raw!D1130)&amp;"|"&amp;LEN(IF(Raw!E1130="","",Raw!E1130))&amp;":"&amp;IF(Raw!E1130="","",Raw!E1130)&amp;"|"&amp;LEN(IF(Raw!F1130="","",Raw!F1130))&amp;":"&amp;IF(Raw!F1130="","",Raw!F1130)&amp;"|"&amp;LEN(IF(Raw!G1130="","",Raw!G1130))&amp;":"&amp;IF(Raw!G1130="","",Raw!G1130)</f>
        <v>6:L01124|6:T00562|10:2026-02-27|3:P-H|4:Home|4:sale|6:121.00</v>
      </c>
      <c r="Q1130" s="1">
        <f>1</f>
        <v>1</v>
      </c>
      <c r="R1130" s="1" t="b">
        <f>FALSE</f>
        <v>0</v>
      </c>
      <c r="S1130" s="1">
        <f>1</f>
        <v>1</v>
      </c>
      <c r="T1130" s="1" t="str">
        <f>IF(AND(Raw!A1130="",Raw!B1130="",Raw!C1130="",Raw!D1130="",Raw!E1130="",Raw!F1130="",Raw!G1130=""),"UNUSED",IF(A1130="","missing line ID",IF(B1130="","missing transaction ID",IF(G1130="",IF(C1130="","missing date","invalid date"),IF(I1130="","unknown product",IF(J1130="","conflicting category",IF(NOT(OR(EXACT(K1130,"sale"),EXACT(K1130,"refund"))),"unknown event",IF(OR(N1130="",NOT(O1130)),"invalid amount",IF(OR(AND(K1130="sale",N1130&lt;=0),AND(K1130="refund",N1130&gt;=0)),"invalid sign","")))))))))</f>
        <v/>
      </c>
      <c r="U1130" s="1" t="str">
        <f t="shared" si="141"/>
        <v>INCLUDED</v>
      </c>
      <c r="V1130" s="1" t="str">
        <f t="shared" si="142"/>
        <v>2026-02</v>
      </c>
      <c r="W1130" s="1">
        <f>IF(AND(U1130="INCLUDED",X1130&gt;0,EXACT(A1130,'AI output'!A1130)),1,0)</f>
        <v>1</v>
      </c>
      <c r="X1130" s="1">
        <f>1130</f>
        <v>1130</v>
      </c>
      <c r="Y1130" s="1">
        <f>IF(AND(U1130="INCLUDED",W1130=1),--(NOT(EXACT(A1130,'AI output'!A1130)))+--(NOT(EXACT(B1130,'AI output'!B1130)))+--(NOT(EXACT(TEXT(G1130,"yyyy-mm-dd"),'AI output'!C1130)))+--(NOT(EXACT(H1130,'AI output'!D1130)))+--(NOT(EXACT(J1130,'AI output'!E1130)))+--(NOT(EXACT(K1130,'AI output'!F1130)))+--(N1130&lt;&gt;'AI output'!L1130)+--(NOT('AI output'!M1130)),0)</f>
        <v>0</v>
      </c>
      <c r="Z1130" s="1">
        <f t="shared" si="143"/>
        <v>0</v>
      </c>
      <c r="AA1130" s="1">
        <f>--EXACT(A1130,"L01124")</f>
        <v>1</v>
      </c>
    </row>
    <row r="1131" spans="1:27" ht="18.95" customHeight="1">
      <c r="A1131" s="1" t="str">
        <f>IF(Raw!A1131="","",Raw!A1131)</f>
        <v>L01125</v>
      </c>
      <c r="B1131" s="1" t="str">
        <f>IF(Raw!B1131="","",Raw!B1131)</f>
        <v>T00563</v>
      </c>
      <c r="C1131" s="1" t="str">
        <f>IF(Raw!C1131="","",Raw!C1131)</f>
        <v>2026-03-06</v>
      </c>
      <c r="D1131" s="1">
        <f t="shared" si="136"/>
        <v>2026</v>
      </c>
      <c r="E1131" s="1">
        <f>IFERROR(IF(AND(LEN(C1131)=10,MID(C1131,5,1)="-",MID(C1131,8,1)="-"),VALUE(MID(C1131,6,2)),IF(AND(LEN(C1131)=11,MID(C1131,3,1)="-",MID(C1131,7,1)="-"),MATCH(UPPER(MID(C1131,4,3)),Guide!$D$7:$D$18,0),0)),0)</f>
        <v>3</v>
      </c>
      <c r="F1131" s="1">
        <f t="shared" si="137"/>
        <v>6</v>
      </c>
      <c r="G1131" s="9">
        <f t="shared" si="138"/>
        <v>46087</v>
      </c>
      <c r="H1131" s="1" t="str">
        <f>IF(Raw!D1131="","",Raw!D1131)</f>
        <v>P-O</v>
      </c>
      <c r="I1131" s="1" t="str">
        <f>IFERROR(IF(EXACT(H1131,INDEX(Guide!$A$7:$A$9,MATCH(SUBSTITUTE(SUBSTITUTE(SUBSTITUTE(H1131,"~","~~"),"*","~*"),"?","~?"),Guide!$A$7:$A$9,0))),INDEX(Guide!$B$7:$B$9,MATCH(SUBSTITUTE(SUBSTITUTE(SUBSTITUTE(H1131,"~","~~"),"*","~*"),"?","~?"),Guide!$A$7:$A$9,0)),""),"")</f>
        <v>Office</v>
      </c>
      <c r="J1131" s="1" t="str">
        <f>IF(TRIM(Raw!E1131)="",I1131,IF(UPPER(TRIM(Raw!E1131))=UPPER(I1131),I1131,""))</f>
        <v>Office</v>
      </c>
      <c r="K1131" s="1" t="str">
        <f>IF(Raw!F1131="","",Raw!F1131)</f>
        <v>sale</v>
      </c>
      <c r="L1131" s="1" t="str">
        <f>IF(LEFT(TRIM(Raw!G1131),2)="-$","-"&amp;MID(TRIM(Raw!G1131),3,99),IF(LEFT(TRIM(Raw!G1131),1)="$",MID(TRIM(Raw!G1131),2,99),TRIM(Raw!G1131)))</f>
        <v>243.48</v>
      </c>
      <c r="M1131" s="1">
        <f t="shared" si="139"/>
        <v>243.48</v>
      </c>
      <c r="N1131" s="10">
        <f t="shared" si="140"/>
        <v>24348</v>
      </c>
      <c r="O1131" s="1" t="b">
        <f>IFERROR(IF(ISNUMBER(Raw!G1131),TRUE,OR(EXACT(L1131,TEXT(M1131,"0.00")),EXACT(L1131,TEXT(M1131,"#,##0.00")))),FALSE)</f>
        <v>1</v>
      </c>
      <c r="P1131" s="1" t="str">
        <f>LEN(IF(Raw!A1131="","",Raw!A1131))&amp;":"&amp;IF(Raw!A1131="","",Raw!A1131)&amp;"|"&amp;LEN(IF(Raw!B1131="","",Raw!B1131))&amp;":"&amp;IF(Raw!B1131="","",Raw!B1131)&amp;"|"&amp;LEN(IF(Raw!C1131="","",Raw!C1131))&amp;":"&amp;IF(Raw!C1131="","",Raw!C1131)&amp;"|"&amp;LEN(IF(Raw!D1131="","",Raw!D1131))&amp;":"&amp;IF(Raw!D1131="","",Raw!D1131)&amp;"|"&amp;LEN(IF(Raw!E1131="","",Raw!E1131))&amp;":"&amp;IF(Raw!E1131="","",Raw!E1131)&amp;"|"&amp;LEN(IF(Raw!F1131="","",Raw!F1131))&amp;":"&amp;IF(Raw!F1131="","",Raw!F1131)&amp;"|"&amp;LEN(IF(Raw!G1131="","",Raw!G1131))&amp;":"&amp;IF(Raw!G1131="","",Raw!G1131)</f>
        <v>6:L01125|6:T00563|10:2026-03-06|3:P-O|6:Office|4:sale|6:243.48</v>
      </c>
      <c r="Q1131" s="1">
        <f>1</f>
        <v>1</v>
      </c>
      <c r="R1131" s="1" t="b">
        <f>FALSE</f>
        <v>0</v>
      </c>
      <c r="S1131" s="1">
        <f>1</f>
        <v>1</v>
      </c>
      <c r="T1131" s="1" t="str">
        <f>IF(AND(Raw!A1131="",Raw!B1131="",Raw!C1131="",Raw!D1131="",Raw!E1131="",Raw!F1131="",Raw!G1131=""),"UNUSED",IF(A1131="","missing line ID",IF(B1131="","missing transaction ID",IF(G1131="",IF(C1131="","missing date","invalid date"),IF(I1131="","unknown product",IF(J1131="","conflicting category",IF(NOT(OR(EXACT(K1131,"sale"),EXACT(K1131,"refund"))),"unknown event",IF(OR(N1131="",NOT(O1131)),"invalid amount",IF(OR(AND(K1131="sale",N1131&lt;=0),AND(K1131="refund",N1131&gt;=0)),"invalid sign","")))))))))</f>
        <v/>
      </c>
      <c r="U1131" s="1" t="str">
        <f t="shared" si="141"/>
        <v>INCLUDED</v>
      </c>
      <c r="V1131" s="1" t="str">
        <f t="shared" si="142"/>
        <v>2026-03</v>
      </c>
      <c r="W1131" s="1">
        <f>IF(AND(U1131="INCLUDED",X1131&gt;0,EXACT(A1131,'AI output'!A1131)),1,0)</f>
        <v>1</v>
      </c>
      <c r="X1131" s="1">
        <f>1131</f>
        <v>1131</v>
      </c>
      <c r="Y1131" s="1">
        <f>IF(AND(U1131="INCLUDED",W1131=1),--(NOT(EXACT(A1131,'AI output'!A1131)))+--(NOT(EXACT(B1131,'AI output'!B1131)))+--(NOT(EXACT(TEXT(G1131,"yyyy-mm-dd"),'AI output'!C1131)))+--(NOT(EXACT(H1131,'AI output'!D1131)))+--(NOT(EXACT(J1131,'AI output'!E1131)))+--(NOT(EXACT(K1131,'AI output'!F1131)))+--(N1131&lt;&gt;'AI output'!L1131)+--(NOT('AI output'!M1131)),0)</f>
        <v>0</v>
      </c>
      <c r="Z1131" s="1">
        <f t="shared" si="143"/>
        <v>0</v>
      </c>
      <c r="AA1131" s="1">
        <f>--EXACT(A1131,"L01125")</f>
        <v>1</v>
      </c>
    </row>
    <row r="1132" spans="1:27" ht="18.95" customHeight="1">
      <c r="A1132" s="1" t="str">
        <f>IF(Raw!A1132="","",Raw!A1132)</f>
        <v>L01126</v>
      </c>
      <c r="B1132" s="1" t="str">
        <f>IF(Raw!B1132="","",Raw!B1132)</f>
        <v>T00563</v>
      </c>
      <c r="C1132" s="1" t="str">
        <f>IF(Raw!C1132="","",Raw!C1132)</f>
        <v>2026-03-06</v>
      </c>
      <c r="D1132" s="1">
        <f t="shared" si="136"/>
        <v>2026</v>
      </c>
      <c r="E1132" s="1">
        <f>IFERROR(IF(AND(LEN(C1132)=10,MID(C1132,5,1)="-",MID(C1132,8,1)="-"),VALUE(MID(C1132,6,2)),IF(AND(LEN(C1132)=11,MID(C1132,3,1)="-",MID(C1132,7,1)="-"),MATCH(UPPER(MID(C1132,4,3)),Guide!$D$7:$D$18,0),0)),0)</f>
        <v>3</v>
      </c>
      <c r="F1132" s="1">
        <f t="shared" si="137"/>
        <v>6</v>
      </c>
      <c r="G1132" s="9">
        <f t="shared" si="138"/>
        <v>46087</v>
      </c>
      <c r="H1132" s="1" t="str">
        <f>IF(Raw!D1132="","",Raw!D1132)</f>
        <v>P-A</v>
      </c>
      <c r="I1132" s="1" t="str">
        <f>IFERROR(IF(EXACT(H1132,INDEX(Guide!$A$7:$A$9,MATCH(SUBSTITUTE(SUBSTITUTE(SUBSTITUTE(H1132,"~","~~"),"*","~*"),"?","~?"),Guide!$A$7:$A$9,0))),INDEX(Guide!$B$7:$B$9,MATCH(SUBSTITUTE(SUBSTITUTE(SUBSTITUTE(H1132,"~","~~"),"*","~*"),"?","~?"),Guide!$A$7:$A$9,0)),""),"")</f>
        <v>Accessories</v>
      </c>
      <c r="J1132" s="1" t="str">
        <f>IF(TRIM(Raw!E1132)="",I1132,IF(UPPER(TRIM(Raw!E1132))=UPPER(I1132),I1132,""))</f>
        <v>Accessories</v>
      </c>
      <c r="K1132" s="1" t="str">
        <f>IF(Raw!F1132="","",Raw!F1132)</f>
        <v>sale</v>
      </c>
      <c r="L1132" s="1" t="str">
        <f>IF(LEFT(TRIM(Raw!G1132),2)="-$","-"&amp;MID(TRIM(Raw!G1132),3,99),IF(LEFT(TRIM(Raw!G1132),1)="$",MID(TRIM(Raw!G1132),2,99),TRIM(Raw!G1132)))</f>
        <v>61.24</v>
      </c>
      <c r="M1132" s="1">
        <f t="shared" si="139"/>
        <v>61.24</v>
      </c>
      <c r="N1132" s="10">
        <f t="shared" si="140"/>
        <v>6124</v>
      </c>
      <c r="O1132" s="1" t="b">
        <f>IFERROR(IF(ISNUMBER(Raw!G1132),TRUE,OR(EXACT(L1132,TEXT(M1132,"0.00")),EXACT(L1132,TEXT(M1132,"#,##0.00")))),FALSE)</f>
        <v>1</v>
      </c>
      <c r="P1132" s="1" t="str">
        <f>LEN(IF(Raw!A1132="","",Raw!A1132))&amp;":"&amp;IF(Raw!A1132="","",Raw!A1132)&amp;"|"&amp;LEN(IF(Raw!B1132="","",Raw!B1132))&amp;":"&amp;IF(Raw!B1132="","",Raw!B1132)&amp;"|"&amp;LEN(IF(Raw!C1132="","",Raw!C1132))&amp;":"&amp;IF(Raw!C1132="","",Raw!C1132)&amp;"|"&amp;LEN(IF(Raw!D1132="","",Raw!D1132))&amp;":"&amp;IF(Raw!D1132="","",Raw!D1132)&amp;"|"&amp;LEN(IF(Raw!E1132="","",Raw!E1132))&amp;":"&amp;IF(Raw!E1132="","",Raw!E1132)&amp;"|"&amp;LEN(IF(Raw!F1132="","",Raw!F1132))&amp;":"&amp;IF(Raw!F1132="","",Raw!F1132)&amp;"|"&amp;LEN(IF(Raw!G1132="","",Raw!G1132))&amp;":"&amp;IF(Raw!G1132="","",Raw!G1132)</f>
        <v>6:L01126|6:T00563|10:2026-03-06|3:P-A|11:Accessories|4:sale|5:61.24</v>
      </c>
      <c r="Q1132" s="1">
        <f>1</f>
        <v>1</v>
      </c>
      <c r="R1132" s="1" t="b">
        <f>FALSE</f>
        <v>0</v>
      </c>
      <c r="S1132" s="1">
        <f>1</f>
        <v>1</v>
      </c>
      <c r="T1132" s="1" t="str">
        <f>IF(AND(Raw!A1132="",Raw!B1132="",Raw!C1132="",Raw!D1132="",Raw!E1132="",Raw!F1132="",Raw!G1132=""),"UNUSED",IF(A1132="","missing line ID",IF(B1132="","missing transaction ID",IF(G1132="",IF(C1132="","missing date","invalid date"),IF(I1132="","unknown product",IF(J1132="","conflicting category",IF(NOT(OR(EXACT(K1132,"sale"),EXACT(K1132,"refund"))),"unknown event",IF(OR(N1132="",NOT(O1132)),"invalid amount",IF(OR(AND(K1132="sale",N1132&lt;=0),AND(K1132="refund",N1132&gt;=0)),"invalid sign","")))))))))</f>
        <v/>
      </c>
      <c r="U1132" s="1" t="str">
        <f t="shared" si="141"/>
        <v>INCLUDED</v>
      </c>
      <c r="V1132" s="1" t="str">
        <f t="shared" si="142"/>
        <v>2026-03</v>
      </c>
      <c r="W1132" s="1">
        <f>IF(AND(U1132="INCLUDED",X1132&gt;0,EXACT(A1132,'AI output'!A1132)),1,0)</f>
        <v>1</v>
      </c>
      <c r="X1132" s="1">
        <f>1132</f>
        <v>1132</v>
      </c>
      <c r="Y1132" s="1">
        <f>IF(AND(U1132="INCLUDED",W1132=1),--(NOT(EXACT(A1132,'AI output'!A1132)))+--(NOT(EXACT(B1132,'AI output'!B1132)))+--(NOT(EXACT(TEXT(G1132,"yyyy-mm-dd"),'AI output'!C1132)))+--(NOT(EXACT(H1132,'AI output'!D1132)))+--(NOT(EXACT(J1132,'AI output'!E1132)))+--(NOT(EXACT(K1132,'AI output'!F1132)))+--(N1132&lt;&gt;'AI output'!L1132)+--(NOT('AI output'!M1132)),0)</f>
        <v>0</v>
      </c>
      <c r="Z1132" s="1">
        <f t="shared" si="143"/>
        <v>0</v>
      </c>
      <c r="AA1132" s="1">
        <f>--EXACT(A1132,"L01126")</f>
        <v>1</v>
      </c>
    </row>
    <row r="1133" spans="1:27" ht="18.95" customHeight="1">
      <c r="A1133" s="1" t="str">
        <f>IF(Raw!A1133="","",Raw!A1133)</f>
        <v>L01127</v>
      </c>
      <c r="B1133" s="1" t="str">
        <f>IF(Raw!B1133="","",Raw!B1133)</f>
        <v>T00564</v>
      </c>
      <c r="C1133" s="1" t="str">
        <f>IF(Raw!C1133="","",Raw!C1133)</f>
        <v>2026-03-13</v>
      </c>
      <c r="D1133" s="1">
        <f t="shared" si="136"/>
        <v>2026</v>
      </c>
      <c r="E1133" s="1">
        <f>IFERROR(IF(AND(LEN(C1133)=10,MID(C1133,5,1)="-",MID(C1133,8,1)="-"),VALUE(MID(C1133,6,2)),IF(AND(LEN(C1133)=11,MID(C1133,3,1)="-",MID(C1133,7,1)="-"),MATCH(UPPER(MID(C1133,4,3)),Guide!$D$7:$D$18,0),0)),0)</f>
        <v>3</v>
      </c>
      <c r="F1133" s="1">
        <f t="shared" si="137"/>
        <v>13</v>
      </c>
      <c r="G1133" s="9">
        <f t="shared" si="138"/>
        <v>46094</v>
      </c>
      <c r="H1133" s="1" t="str">
        <f>IF(Raw!D1133="","",Raw!D1133)</f>
        <v>P-H</v>
      </c>
      <c r="I1133" s="1" t="str">
        <f>IFERROR(IF(EXACT(H1133,INDEX(Guide!$A$7:$A$9,MATCH(SUBSTITUTE(SUBSTITUTE(SUBSTITUTE(H1133,"~","~~"),"*","~*"),"?","~?"),Guide!$A$7:$A$9,0))),INDEX(Guide!$B$7:$B$9,MATCH(SUBSTITUTE(SUBSTITUTE(SUBSTITUTE(H1133,"~","~~"),"*","~*"),"?","~?"),Guide!$A$7:$A$9,0)),""),"")</f>
        <v>Home</v>
      </c>
      <c r="J1133" s="1" t="str">
        <f>IF(TRIM(Raw!E1133)="",I1133,IF(UPPER(TRIM(Raw!E1133))=UPPER(I1133),I1133,""))</f>
        <v>Home</v>
      </c>
      <c r="K1133" s="1" t="str">
        <f>IF(Raw!F1133="","",Raw!F1133)</f>
        <v>sale</v>
      </c>
      <c r="L1133" s="1" t="str">
        <f>IF(LEFT(TRIM(Raw!G1133),2)="-$","-"&amp;MID(TRIM(Raw!G1133),3,99),IF(LEFT(TRIM(Raw!G1133),1)="$",MID(TRIM(Raw!G1133),2,99),TRIM(Raw!G1133)))</f>
        <v>184.83</v>
      </c>
      <c r="M1133" s="1">
        <f t="shared" si="139"/>
        <v>184.83</v>
      </c>
      <c r="N1133" s="10">
        <f t="shared" si="140"/>
        <v>18483</v>
      </c>
      <c r="O1133" s="1" t="b">
        <f>IFERROR(IF(ISNUMBER(Raw!G1133),TRUE,OR(EXACT(L1133,TEXT(M1133,"0.00")),EXACT(L1133,TEXT(M1133,"#,##0.00")))),FALSE)</f>
        <v>1</v>
      </c>
      <c r="P1133" s="1" t="str">
        <f>LEN(IF(Raw!A1133="","",Raw!A1133))&amp;":"&amp;IF(Raw!A1133="","",Raw!A1133)&amp;"|"&amp;LEN(IF(Raw!B1133="","",Raw!B1133))&amp;":"&amp;IF(Raw!B1133="","",Raw!B1133)&amp;"|"&amp;LEN(IF(Raw!C1133="","",Raw!C1133))&amp;":"&amp;IF(Raw!C1133="","",Raw!C1133)&amp;"|"&amp;LEN(IF(Raw!D1133="","",Raw!D1133))&amp;":"&amp;IF(Raw!D1133="","",Raw!D1133)&amp;"|"&amp;LEN(IF(Raw!E1133="","",Raw!E1133))&amp;":"&amp;IF(Raw!E1133="","",Raw!E1133)&amp;"|"&amp;LEN(IF(Raw!F1133="","",Raw!F1133))&amp;":"&amp;IF(Raw!F1133="","",Raw!F1133)&amp;"|"&amp;LEN(IF(Raw!G1133="","",Raw!G1133))&amp;":"&amp;IF(Raw!G1133="","",Raw!G1133)</f>
        <v>6:L01127|6:T00564|10:2026-03-13|3:P-H|4:Home|4:sale|6:184.83</v>
      </c>
      <c r="Q1133" s="1">
        <f>1</f>
        <v>1</v>
      </c>
      <c r="R1133" s="1" t="b">
        <f>FALSE</f>
        <v>0</v>
      </c>
      <c r="S1133" s="1">
        <f>1</f>
        <v>1</v>
      </c>
      <c r="T1133" s="1" t="str">
        <f>IF(AND(Raw!A1133="",Raw!B1133="",Raw!C1133="",Raw!D1133="",Raw!E1133="",Raw!F1133="",Raw!G1133=""),"UNUSED",IF(A1133="","missing line ID",IF(B1133="","missing transaction ID",IF(G1133="",IF(C1133="","missing date","invalid date"),IF(I1133="","unknown product",IF(J1133="","conflicting category",IF(NOT(OR(EXACT(K1133,"sale"),EXACT(K1133,"refund"))),"unknown event",IF(OR(N1133="",NOT(O1133)),"invalid amount",IF(OR(AND(K1133="sale",N1133&lt;=0),AND(K1133="refund",N1133&gt;=0)),"invalid sign","")))))))))</f>
        <v/>
      </c>
      <c r="U1133" s="1" t="str">
        <f t="shared" si="141"/>
        <v>INCLUDED</v>
      </c>
      <c r="V1133" s="1" t="str">
        <f t="shared" si="142"/>
        <v>2026-03</v>
      </c>
      <c r="W1133" s="1">
        <f>IF(AND(U1133="INCLUDED",X1133&gt;0,EXACT(A1133,'AI output'!A1133)),1,0)</f>
        <v>1</v>
      </c>
      <c r="X1133" s="1">
        <f>1133</f>
        <v>1133</v>
      </c>
      <c r="Y1133" s="1">
        <f>IF(AND(U1133="INCLUDED",W1133=1),--(NOT(EXACT(A1133,'AI output'!A1133)))+--(NOT(EXACT(B1133,'AI output'!B1133)))+--(NOT(EXACT(TEXT(G1133,"yyyy-mm-dd"),'AI output'!C1133)))+--(NOT(EXACT(H1133,'AI output'!D1133)))+--(NOT(EXACT(J1133,'AI output'!E1133)))+--(NOT(EXACT(K1133,'AI output'!F1133)))+--(N1133&lt;&gt;'AI output'!L1133)+--(NOT('AI output'!M1133)),0)</f>
        <v>0</v>
      </c>
      <c r="Z1133" s="1">
        <f t="shared" si="143"/>
        <v>0</v>
      </c>
      <c r="AA1133" s="1">
        <f>--EXACT(A1133,"L01127")</f>
        <v>1</v>
      </c>
    </row>
    <row r="1134" spans="1:27" ht="18.95" customHeight="1">
      <c r="A1134" s="1" t="str">
        <f>IF(Raw!A1134="","",Raw!A1134)</f>
        <v>L01128</v>
      </c>
      <c r="B1134" s="1" t="str">
        <f>IF(Raw!B1134="","",Raw!B1134)</f>
        <v>T00564</v>
      </c>
      <c r="C1134" s="1" t="str">
        <f>IF(Raw!C1134="","",Raw!C1134)</f>
        <v>2026-03-13</v>
      </c>
      <c r="D1134" s="1">
        <f t="shared" si="136"/>
        <v>2026</v>
      </c>
      <c r="E1134" s="1">
        <f>IFERROR(IF(AND(LEN(C1134)=10,MID(C1134,5,1)="-",MID(C1134,8,1)="-"),VALUE(MID(C1134,6,2)),IF(AND(LEN(C1134)=11,MID(C1134,3,1)="-",MID(C1134,7,1)="-"),MATCH(UPPER(MID(C1134,4,3)),Guide!$D$7:$D$18,0),0)),0)</f>
        <v>3</v>
      </c>
      <c r="F1134" s="1">
        <f t="shared" si="137"/>
        <v>13</v>
      </c>
      <c r="G1134" s="9">
        <f t="shared" si="138"/>
        <v>46094</v>
      </c>
      <c r="H1134" s="1" t="str">
        <f>IF(Raw!D1134="","",Raw!D1134)</f>
        <v>P-O</v>
      </c>
      <c r="I1134" s="1" t="str">
        <f>IFERROR(IF(EXACT(H1134,INDEX(Guide!$A$7:$A$9,MATCH(SUBSTITUTE(SUBSTITUTE(SUBSTITUTE(H1134,"~","~~"),"*","~*"),"?","~?"),Guide!$A$7:$A$9,0))),INDEX(Guide!$B$7:$B$9,MATCH(SUBSTITUTE(SUBSTITUTE(SUBSTITUTE(H1134,"~","~~"),"*","~*"),"?","~?"),Guide!$A$7:$A$9,0)),""),"")</f>
        <v>Office</v>
      </c>
      <c r="J1134" s="1" t="str">
        <f>IF(TRIM(Raw!E1134)="",I1134,IF(UPPER(TRIM(Raw!E1134))=UPPER(I1134),I1134,""))</f>
        <v>Office</v>
      </c>
      <c r="K1134" s="1" t="str">
        <f>IF(Raw!F1134="","",Raw!F1134)</f>
        <v>refund</v>
      </c>
      <c r="L1134" s="1" t="str">
        <f>IF(LEFT(TRIM(Raw!G1134),2)="-$","-"&amp;MID(TRIM(Raw!G1134),3,99),IF(LEFT(TRIM(Raw!G1134),1)="$",MID(TRIM(Raw!G1134),2,99),TRIM(Raw!G1134)))</f>
        <v>-309.90</v>
      </c>
      <c r="M1134" s="1">
        <f t="shared" si="139"/>
        <v>-309.89999999999998</v>
      </c>
      <c r="N1134" s="10">
        <f t="shared" si="140"/>
        <v>-30990</v>
      </c>
      <c r="O1134" s="1" t="b">
        <f>IFERROR(IF(ISNUMBER(Raw!G1134),TRUE,OR(EXACT(L1134,TEXT(M1134,"0.00")),EXACT(L1134,TEXT(M1134,"#,##0.00")))),FALSE)</f>
        <v>1</v>
      </c>
      <c r="P1134" s="1" t="str">
        <f>LEN(IF(Raw!A1134="","",Raw!A1134))&amp;":"&amp;IF(Raw!A1134="","",Raw!A1134)&amp;"|"&amp;LEN(IF(Raw!B1134="","",Raw!B1134))&amp;":"&amp;IF(Raw!B1134="","",Raw!B1134)&amp;"|"&amp;LEN(IF(Raw!C1134="","",Raw!C1134))&amp;":"&amp;IF(Raw!C1134="","",Raw!C1134)&amp;"|"&amp;LEN(IF(Raw!D1134="","",Raw!D1134))&amp;":"&amp;IF(Raw!D1134="","",Raw!D1134)&amp;"|"&amp;LEN(IF(Raw!E1134="","",Raw!E1134))&amp;":"&amp;IF(Raw!E1134="","",Raw!E1134)&amp;"|"&amp;LEN(IF(Raw!F1134="","",Raw!F1134))&amp;":"&amp;IF(Raw!F1134="","",Raw!F1134)&amp;"|"&amp;LEN(IF(Raw!G1134="","",Raw!G1134))&amp;":"&amp;IF(Raw!G1134="","",Raw!G1134)</f>
        <v>6:L01128|6:T00564|10:2026-03-13|3:P-O|6:Office|6:refund|7:-309.90</v>
      </c>
      <c r="Q1134" s="1">
        <f>1</f>
        <v>1</v>
      </c>
      <c r="R1134" s="1" t="b">
        <f>FALSE</f>
        <v>0</v>
      </c>
      <c r="S1134" s="1">
        <f>1</f>
        <v>1</v>
      </c>
      <c r="T1134" s="1" t="str">
        <f>IF(AND(Raw!A1134="",Raw!B1134="",Raw!C1134="",Raw!D1134="",Raw!E1134="",Raw!F1134="",Raw!G1134=""),"UNUSED",IF(A1134="","missing line ID",IF(B1134="","missing transaction ID",IF(G1134="",IF(C1134="","missing date","invalid date"),IF(I1134="","unknown product",IF(J1134="","conflicting category",IF(NOT(OR(EXACT(K1134,"sale"),EXACT(K1134,"refund"))),"unknown event",IF(OR(N1134="",NOT(O1134)),"invalid amount",IF(OR(AND(K1134="sale",N1134&lt;=0),AND(K1134="refund",N1134&gt;=0)),"invalid sign","")))))))))</f>
        <v/>
      </c>
      <c r="U1134" s="1" t="str">
        <f t="shared" si="141"/>
        <v>INCLUDED</v>
      </c>
      <c r="V1134" s="1" t="str">
        <f t="shared" si="142"/>
        <v>2026-03</v>
      </c>
      <c r="W1134" s="1">
        <f>IF(AND(U1134="INCLUDED",X1134&gt;0,EXACT(A1134,'AI output'!A1134)),1,0)</f>
        <v>1</v>
      </c>
      <c r="X1134" s="1">
        <f>1134</f>
        <v>1134</v>
      </c>
      <c r="Y1134" s="1">
        <f>IF(AND(U1134="INCLUDED",W1134=1),--(NOT(EXACT(A1134,'AI output'!A1134)))+--(NOT(EXACT(B1134,'AI output'!B1134)))+--(NOT(EXACT(TEXT(G1134,"yyyy-mm-dd"),'AI output'!C1134)))+--(NOT(EXACT(H1134,'AI output'!D1134)))+--(NOT(EXACT(J1134,'AI output'!E1134)))+--(NOT(EXACT(K1134,'AI output'!F1134)))+--(N1134&lt;&gt;'AI output'!L1134)+--(NOT('AI output'!M1134)),0)</f>
        <v>0</v>
      </c>
      <c r="Z1134" s="1">
        <f t="shared" si="143"/>
        <v>0</v>
      </c>
      <c r="AA1134" s="1">
        <f>--EXACT(A1134,"L01128")</f>
        <v>1</v>
      </c>
    </row>
    <row r="1135" spans="1:27" ht="18.95" customHeight="1">
      <c r="A1135" s="1" t="str">
        <f>IF(Raw!A1135="","",Raw!A1135)</f>
        <v>L01129</v>
      </c>
      <c r="B1135" s="1" t="str">
        <f>IF(Raw!B1135="","",Raw!B1135)</f>
        <v>T00565</v>
      </c>
      <c r="C1135" s="1" t="str">
        <f>IF(Raw!C1135="","",Raw!C1135)</f>
        <v>2026-03-20</v>
      </c>
      <c r="D1135" s="1">
        <f t="shared" si="136"/>
        <v>2026</v>
      </c>
      <c r="E1135" s="1">
        <f>IFERROR(IF(AND(LEN(C1135)=10,MID(C1135,5,1)="-",MID(C1135,8,1)="-"),VALUE(MID(C1135,6,2)),IF(AND(LEN(C1135)=11,MID(C1135,3,1)="-",MID(C1135,7,1)="-"),MATCH(UPPER(MID(C1135,4,3)),Guide!$D$7:$D$18,0),0)),0)</f>
        <v>3</v>
      </c>
      <c r="F1135" s="1">
        <f t="shared" si="137"/>
        <v>20</v>
      </c>
      <c r="G1135" s="9">
        <f t="shared" si="138"/>
        <v>46101</v>
      </c>
      <c r="H1135" s="1" t="str">
        <f>IF(Raw!D1135="","",Raw!D1135)</f>
        <v>P-A</v>
      </c>
      <c r="I1135" s="1" t="str">
        <f>IFERROR(IF(EXACT(H1135,INDEX(Guide!$A$7:$A$9,MATCH(SUBSTITUTE(SUBSTITUTE(SUBSTITUTE(H1135,"~","~~"),"*","~*"),"?","~?"),Guide!$A$7:$A$9,0))),INDEX(Guide!$B$7:$B$9,MATCH(SUBSTITUTE(SUBSTITUTE(SUBSTITUTE(H1135,"~","~~"),"*","~*"),"?","~?"),Guide!$A$7:$A$9,0)),""),"")</f>
        <v>Accessories</v>
      </c>
      <c r="J1135" s="1" t="str">
        <f>IF(TRIM(Raw!E1135)="",I1135,IF(UPPER(TRIM(Raw!E1135))=UPPER(I1135),I1135,""))</f>
        <v>Accessories</v>
      </c>
      <c r="K1135" s="1" t="str">
        <f>IF(Raw!F1135="","",Raw!F1135)</f>
        <v>sale</v>
      </c>
      <c r="L1135" s="1" t="str">
        <f>IF(LEFT(TRIM(Raw!G1135),2)="-$","-"&amp;MID(TRIM(Raw!G1135),3,99),IF(LEFT(TRIM(Raw!G1135),1)="$",MID(TRIM(Raw!G1135),2,99),TRIM(Raw!G1135)))</f>
        <v>124.70</v>
      </c>
      <c r="M1135" s="1">
        <f t="shared" si="139"/>
        <v>124.7</v>
      </c>
      <c r="N1135" s="10">
        <f t="shared" si="140"/>
        <v>12470</v>
      </c>
      <c r="O1135" s="1" t="b">
        <f>IFERROR(IF(ISNUMBER(Raw!G1135),TRUE,OR(EXACT(L1135,TEXT(M1135,"0.00")),EXACT(L1135,TEXT(M1135,"#,##0.00")))),FALSE)</f>
        <v>1</v>
      </c>
      <c r="P1135" s="1" t="str">
        <f>LEN(IF(Raw!A1135="","",Raw!A1135))&amp;":"&amp;IF(Raw!A1135="","",Raw!A1135)&amp;"|"&amp;LEN(IF(Raw!B1135="","",Raw!B1135))&amp;":"&amp;IF(Raw!B1135="","",Raw!B1135)&amp;"|"&amp;LEN(IF(Raw!C1135="","",Raw!C1135))&amp;":"&amp;IF(Raw!C1135="","",Raw!C1135)&amp;"|"&amp;LEN(IF(Raw!D1135="","",Raw!D1135))&amp;":"&amp;IF(Raw!D1135="","",Raw!D1135)&amp;"|"&amp;LEN(IF(Raw!E1135="","",Raw!E1135))&amp;":"&amp;IF(Raw!E1135="","",Raw!E1135)&amp;"|"&amp;LEN(IF(Raw!F1135="","",Raw!F1135))&amp;":"&amp;IF(Raw!F1135="","",Raw!F1135)&amp;"|"&amp;LEN(IF(Raw!G1135="","",Raw!G1135))&amp;":"&amp;IF(Raw!G1135="","",Raw!G1135)</f>
        <v>6:L01129|6:T00565|10:2026-03-20|3:P-A|11:Accessories|4:sale|6:124.70</v>
      </c>
      <c r="Q1135" s="1">
        <f>1</f>
        <v>1</v>
      </c>
      <c r="R1135" s="1" t="b">
        <f>FALSE</f>
        <v>0</v>
      </c>
      <c r="S1135" s="1">
        <f>1</f>
        <v>1</v>
      </c>
      <c r="T1135" s="1" t="str">
        <f>IF(AND(Raw!A1135="",Raw!B1135="",Raw!C1135="",Raw!D1135="",Raw!E1135="",Raw!F1135="",Raw!G1135=""),"UNUSED",IF(A1135="","missing line ID",IF(B1135="","missing transaction ID",IF(G1135="",IF(C1135="","missing date","invalid date"),IF(I1135="","unknown product",IF(J1135="","conflicting category",IF(NOT(OR(EXACT(K1135,"sale"),EXACT(K1135,"refund"))),"unknown event",IF(OR(N1135="",NOT(O1135)),"invalid amount",IF(OR(AND(K1135="sale",N1135&lt;=0),AND(K1135="refund",N1135&gt;=0)),"invalid sign","")))))))))</f>
        <v/>
      </c>
      <c r="U1135" s="1" t="str">
        <f t="shared" si="141"/>
        <v>INCLUDED</v>
      </c>
      <c r="V1135" s="1" t="str">
        <f t="shared" si="142"/>
        <v>2026-03</v>
      </c>
      <c r="W1135" s="1">
        <f>IF(AND(U1135="INCLUDED",X1135&gt;0,EXACT(A1135,'AI output'!A1135)),1,0)</f>
        <v>1</v>
      </c>
      <c r="X1135" s="1">
        <f>1135</f>
        <v>1135</v>
      </c>
      <c r="Y1135" s="1">
        <f>IF(AND(U1135="INCLUDED",W1135=1),--(NOT(EXACT(A1135,'AI output'!A1135)))+--(NOT(EXACT(B1135,'AI output'!B1135)))+--(NOT(EXACT(TEXT(G1135,"yyyy-mm-dd"),'AI output'!C1135)))+--(NOT(EXACT(H1135,'AI output'!D1135)))+--(NOT(EXACT(J1135,'AI output'!E1135)))+--(NOT(EXACT(K1135,'AI output'!F1135)))+--(N1135&lt;&gt;'AI output'!L1135)+--(NOT('AI output'!M1135)),0)</f>
        <v>0</v>
      </c>
      <c r="Z1135" s="1">
        <f t="shared" si="143"/>
        <v>0</v>
      </c>
      <c r="AA1135" s="1">
        <f>--EXACT(A1135,"L01129")</f>
        <v>1</v>
      </c>
    </row>
    <row r="1136" spans="1:27" ht="18.95" customHeight="1">
      <c r="A1136" s="1" t="str">
        <f>IF(Raw!A1136="","",Raw!A1136)</f>
        <v>L01130</v>
      </c>
      <c r="B1136" s="1" t="str">
        <f>IF(Raw!B1136="","",Raw!B1136)</f>
        <v>T00565</v>
      </c>
      <c r="C1136" s="1" t="str">
        <f>IF(Raw!C1136="","",Raw!C1136)</f>
        <v>20-Mar-2026</v>
      </c>
      <c r="D1136" s="1">
        <f t="shared" si="136"/>
        <v>2026</v>
      </c>
      <c r="E1136" s="1">
        <f>IFERROR(IF(AND(LEN(C1136)=10,MID(C1136,5,1)="-",MID(C1136,8,1)="-"),VALUE(MID(C1136,6,2)),IF(AND(LEN(C1136)=11,MID(C1136,3,1)="-",MID(C1136,7,1)="-"),MATCH(UPPER(MID(C1136,4,3)),Guide!$D$7:$D$18,0),0)),0)</f>
        <v>3</v>
      </c>
      <c r="F1136" s="1">
        <f t="shared" si="137"/>
        <v>20</v>
      </c>
      <c r="G1136" s="9">
        <f t="shared" si="138"/>
        <v>46101</v>
      </c>
      <c r="H1136" s="1" t="str">
        <f>IF(Raw!D1136="","",Raw!D1136)</f>
        <v>P-H</v>
      </c>
      <c r="I1136" s="1" t="str">
        <f>IFERROR(IF(EXACT(H1136,INDEX(Guide!$A$7:$A$9,MATCH(SUBSTITUTE(SUBSTITUTE(SUBSTITUTE(H1136,"~","~~"),"*","~*"),"?","~?"),Guide!$A$7:$A$9,0))),INDEX(Guide!$B$7:$B$9,MATCH(SUBSTITUTE(SUBSTITUTE(SUBSTITUTE(H1136,"~","~~"),"*","~*"),"?","~?"),Guide!$A$7:$A$9,0)),""),"")</f>
        <v>Home</v>
      </c>
      <c r="J1136" s="1" t="str">
        <f>IF(TRIM(Raw!E1136)="",I1136,IF(UPPER(TRIM(Raw!E1136))=UPPER(I1136),I1136,""))</f>
        <v>Home</v>
      </c>
      <c r="K1136" s="1" t="str">
        <f>IF(Raw!F1136="","",Raw!F1136)</f>
        <v>sale</v>
      </c>
      <c r="L1136" s="1" t="str">
        <f>IF(LEFT(TRIM(Raw!G1136),2)="-$","-"&amp;MID(TRIM(Raw!G1136),3,99),IF(LEFT(TRIM(Raw!G1136),1)="$",MID(TRIM(Raw!G1136),2,99),TRIM(Raw!G1136)))</f>
        <v>250.88</v>
      </c>
      <c r="M1136" s="1">
        <f t="shared" si="139"/>
        <v>250.88</v>
      </c>
      <c r="N1136" s="10">
        <f t="shared" si="140"/>
        <v>25088</v>
      </c>
      <c r="O1136" s="1" t="b">
        <f>IFERROR(IF(ISNUMBER(Raw!G1136),TRUE,OR(EXACT(L1136,TEXT(M1136,"0.00")),EXACT(L1136,TEXT(M1136,"#,##0.00")))),FALSE)</f>
        <v>1</v>
      </c>
      <c r="P1136" s="1" t="str">
        <f>LEN(IF(Raw!A1136="","",Raw!A1136))&amp;":"&amp;IF(Raw!A1136="","",Raw!A1136)&amp;"|"&amp;LEN(IF(Raw!B1136="","",Raw!B1136))&amp;":"&amp;IF(Raw!B1136="","",Raw!B1136)&amp;"|"&amp;LEN(IF(Raw!C1136="","",Raw!C1136))&amp;":"&amp;IF(Raw!C1136="","",Raw!C1136)&amp;"|"&amp;LEN(IF(Raw!D1136="","",Raw!D1136))&amp;":"&amp;IF(Raw!D1136="","",Raw!D1136)&amp;"|"&amp;LEN(IF(Raw!E1136="","",Raw!E1136))&amp;":"&amp;IF(Raw!E1136="","",Raw!E1136)&amp;"|"&amp;LEN(IF(Raw!F1136="","",Raw!F1136))&amp;":"&amp;IF(Raw!F1136="","",Raw!F1136)&amp;"|"&amp;LEN(IF(Raw!G1136="","",Raw!G1136))&amp;":"&amp;IF(Raw!G1136="","",Raw!G1136)</f>
        <v>6:L01130|6:T00565|11:20-Mar-2026|3:P-H|4:Home|4:sale|6:250.88</v>
      </c>
      <c r="Q1136" s="1">
        <f>1</f>
        <v>1</v>
      </c>
      <c r="R1136" s="1" t="b">
        <f>FALSE</f>
        <v>0</v>
      </c>
      <c r="S1136" s="1">
        <f>1</f>
        <v>1</v>
      </c>
      <c r="T1136" s="1" t="str">
        <f>IF(AND(Raw!A1136="",Raw!B1136="",Raw!C1136="",Raw!D1136="",Raw!E1136="",Raw!F1136="",Raw!G1136=""),"UNUSED",IF(A1136="","missing line ID",IF(B1136="","missing transaction ID",IF(G1136="",IF(C1136="","missing date","invalid date"),IF(I1136="","unknown product",IF(J1136="","conflicting category",IF(NOT(OR(EXACT(K1136,"sale"),EXACT(K1136,"refund"))),"unknown event",IF(OR(N1136="",NOT(O1136)),"invalid amount",IF(OR(AND(K1136="sale",N1136&lt;=0),AND(K1136="refund",N1136&gt;=0)),"invalid sign","")))))))))</f>
        <v/>
      </c>
      <c r="U1136" s="1" t="str">
        <f t="shared" si="141"/>
        <v>INCLUDED</v>
      </c>
      <c r="V1136" s="1" t="str">
        <f t="shared" si="142"/>
        <v>2026-03</v>
      </c>
      <c r="W1136" s="1">
        <f>IF(AND(U1136="INCLUDED",X1136&gt;0,EXACT(A1136,'AI output'!A1136)),1,0)</f>
        <v>1</v>
      </c>
      <c r="X1136" s="1">
        <f>1136</f>
        <v>1136</v>
      </c>
      <c r="Y1136" s="1">
        <f>IF(AND(U1136="INCLUDED",W1136=1),--(NOT(EXACT(A1136,'AI output'!A1136)))+--(NOT(EXACT(B1136,'AI output'!B1136)))+--(NOT(EXACT(TEXT(G1136,"yyyy-mm-dd"),'AI output'!C1136)))+--(NOT(EXACT(H1136,'AI output'!D1136)))+--(NOT(EXACT(J1136,'AI output'!E1136)))+--(NOT(EXACT(K1136,'AI output'!F1136)))+--(N1136&lt;&gt;'AI output'!L1136)+--(NOT('AI output'!M1136)),0)</f>
        <v>0</v>
      </c>
      <c r="Z1136" s="1">
        <f t="shared" si="143"/>
        <v>0</v>
      </c>
      <c r="AA1136" s="1">
        <f>--EXACT(A1136,"L01130")</f>
        <v>1</v>
      </c>
    </row>
    <row r="1137" spans="1:27" ht="18.95" customHeight="1">
      <c r="A1137" s="1" t="str">
        <f>IF(Raw!A1137="","",Raw!A1137)</f>
        <v>L01131</v>
      </c>
      <c r="B1137" s="1" t="str">
        <f>IF(Raw!B1137="","",Raw!B1137)</f>
        <v>T00566</v>
      </c>
      <c r="C1137" s="1" t="str">
        <f>IF(Raw!C1137="","",Raw!C1137)</f>
        <v>2026-03-27</v>
      </c>
      <c r="D1137" s="1">
        <f t="shared" si="136"/>
        <v>2026</v>
      </c>
      <c r="E1137" s="1">
        <f>IFERROR(IF(AND(LEN(C1137)=10,MID(C1137,5,1)="-",MID(C1137,8,1)="-"),VALUE(MID(C1137,6,2)),IF(AND(LEN(C1137)=11,MID(C1137,3,1)="-",MID(C1137,7,1)="-"),MATCH(UPPER(MID(C1137,4,3)),Guide!$D$7:$D$18,0),0)),0)</f>
        <v>3</v>
      </c>
      <c r="F1137" s="1">
        <f t="shared" si="137"/>
        <v>27</v>
      </c>
      <c r="G1137" s="9">
        <f t="shared" si="138"/>
        <v>46108</v>
      </c>
      <c r="H1137" s="1" t="str">
        <f>IF(Raw!D1137="","",Raw!D1137)</f>
        <v>P-O</v>
      </c>
      <c r="I1137" s="1" t="str">
        <f>IFERROR(IF(EXACT(H1137,INDEX(Guide!$A$7:$A$9,MATCH(SUBSTITUTE(SUBSTITUTE(SUBSTITUTE(H1137,"~","~~"),"*","~*"),"?","~?"),Guide!$A$7:$A$9,0))),INDEX(Guide!$B$7:$B$9,MATCH(SUBSTITUTE(SUBSTITUTE(SUBSTITUTE(H1137,"~","~~"),"*","~*"),"?","~?"),Guide!$A$7:$A$9,0)),""),"")</f>
        <v>Office</v>
      </c>
      <c r="J1137" s="1" t="str">
        <f>IF(TRIM(Raw!E1137)="",I1137,IF(UPPER(TRIM(Raw!E1137))=UPPER(I1137),I1137,""))</f>
        <v>Office</v>
      </c>
      <c r="K1137" s="1" t="str">
        <f>IF(Raw!F1137="","",Raw!F1137)</f>
        <v>sale</v>
      </c>
      <c r="L1137" s="1" t="str">
        <f>IF(LEFT(TRIM(Raw!G1137),2)="-$","-"&amp;MID(TRIM(Raw!G1137),3,99),IF(LEFT(TRIM(Raw!G1137),1)="$",MID(TRIM(Raw!G1137),2,99),TRIM(Raw!G1137)))</f>
        <v>63.09</v>
      </c>
      <c r="M1137" s="1">
        <f t="shared" si="139"/>
        <v>63.09</v>
      </c>
      <c r="N1137" s="10">
        <f t="shared" si="140"/>
        <v>6309</v>
      </c>
      <c r="O1137" s="1" t="b">
        <f>IFERROR(IF(ISNUMBER(Raw!G1137),TRUE,OR(EXACT(L1137,TEXT(M1137,"0.00")),EXACT(L1137,TEXT(M1137,"#,##0.00")))),FALSE)</f>
        <v>1</v>
      </c>
      <c r="P1137" s="1" t="str">
        <f>LEN(IF(Raw!A1137="","",Raw!A1137))&amp;":"&amp;IF(Raw!A1137="","",Raw!A1137)&amp;"|"&amp;LEN(IF(Raw!B1137="","",Raw!B1137))&amp;":"&amp;IF(Raw!B1137="","",Raw!B1137)&amp;"|"&amp;LEN(IF(Raw!C1137="","",Raw!C1137))&amp;":"&amp;IF(Raw!C1137="","",Raw!C1137)&amp;"|"&amp;LEN(IF(Raw!D1137="","",Raw!D1137))&amp;":"&amp;IF(Raw!D1137="","",Raw!D1137)&amp;"|"&amp;LEN(IF(Raw!E1137="","",Raw!E1137))&amp;":"&amp;IF(Raw!E1137="","",Raw!E1137)&amp;"|"&amp;LEN(IF(Raw!F1137="","",Raw!F1137))&amp;":"&amp;IF(Raw!F1137="","",Raw!F1137)&amp;"|"&amp;LEN(IF(Raw!G1137="","",Raw!G1137))&amp;":"&amp;IF(Raw!G1137="","",Raw!G1137)</f>
        <v>6:L01131|6:T00566|10:2026-03-27|3:P-O|6:Office|4:sale|5:63.09</v>
      </c>
      <c r="Q1137" s="1">
        <f>1</f>
        <v>1</v>
      </c>
      <c r="R1137" s="1" t="b">
        <f>FALSE</f>
        <v>0</v>
      </c>
      <c r="S1137" s="1">
        <f>1</f>
        <v>1</v>
      </c>
      <c r="T1137" s="1" t="str">
        <f>IF(AND(Raw!A1137="",Raw!B1137="",Raw!C1137="",Raw!D1137="",Raw!E1137="",Raw!F1137="",Raw!G1137=""),"UNUSED",IF(A1137="","missing line ID",IF(B1137="","missing transaction ID",IF(G1137="",IF(C1137="","missing date","invalid date"),IF(I1137="","unknown product",IF(J1137="","conflicting category",IF(NOT(OR(EXACT(K1137,"sale"),EXACT(K1137,"refund"))),"unknown event",IF(OR(N1137="",NOT(O1137)),"invalid amount",IF(OR(AND(K1137="sale",N1137&lt;=0),AND(K1137="refund",N1137&gt;=0)),"invalid sign","")))))))))</f>
        <v/>
      </c>
      <c r="U1137" s="1" t="str">
        <f t="shared" si="141"/>
        <v>INCLUDED</v>
      </c>
      <c r="V1137" s="1" t="str">
        <f t="shared" si="142"/>
        <v>2026-03</v>
      </c>
      <c r="W1137" s="1">
        <f>IF(AND(U1137="INCLUDED",X1137&gt;0,EXACT(A1137,'AI output'!A1137)),1,0)</f>
        <v>1</v>
      </c>
      <c r="X1137" s="1">
        <f>1137</f>
        <v>1137</v>
      </c>
      <c r="Y1137" s="1">
        <f>IF(AND(U1137="INCLUDED",W1137=1),--(NOT(EXACT(A1137,'AI output'!A1137)))+--(NOT(EXACT(B1137,'AI output'!B1137)))+--(NOT(EXACT(TEXT(G1137,"yyyy-mm-dd"),'AI output'!C1137)))+--(NOT(EXACT(H1137,'AI output'!D1137)))+--(NOT(EXACT(J1137,'AI output'!E1137)))+--(NOT(EXACT(K1137,'AI output'!F1137)))+--(N1137&lt;&gt;'AI output'!L1137)+--(NOT('AI output'!M1137)),0)</f>
        <v>0</v>
      </c>
      <c r="Z1137" s="1">
        <f t="shared" si="143"/>
        <v>0</v>
      </c>
      <c r="AA1137" s="1">
        <f>--EXACT(A1137,"L01131")</f>
        <v>1</v>
      </c>
    </row>
    <row r="1138" spans="1:27" ht="18.95" customHeight="1">
      <c r="A1138" s="1" t="str">
        <f>IF(Raw!A1138="","",Raw!A1138)</f>
        <v>L01132</v>
      </c>
      <c r="B1138" s="1" t="str">
        <f>IF(Raw!B1138="","",Raw!B1138)</f>
        <v>T00566</v>
      </c>
      <c r="C1138" s="1" t="str">
        <f>IF(Raw!C1138="","",Raw!C1138)</f>
        <v>2026-03-27</v>
      </c>
      <c r="D1138" s="1">
        <f t="shared" si="136"/>
        <v>2026</v>
      </c>
      <c r="E1138" s="1">
        <f>IFERROR(IF(AND(LEN(C1138)=10,MID(C1138,5,1)="-",MID(C1138,8,1)="-"),VALUE(MID(C1138,6,2)),IF(AND(LEN(C1138)=11,MID(C1138,3,1)="-",MID(C1138,7,1)="-"),MATCH(UPPER(MID(C1138,4,3)),Guide!$D$7:$D$18,0),0)),0)</f>
        <v>3</v>
      </c>
      <c r="F1138" s="1">
        <f t="shared" si="137"/>
        <v>27</v>
      </c>
      <c r="G1138" s="9">
        <f t="shared" si="138"/>
        <v>46108</v>
      </c>
      <c r="H1138" s="1" t="str">
        <f>IF(Raw!D1138="","",Raw!D1138)</f>
        <v>P-A</v>
      </c>
      <c r="I1138" s="1" t="str">
        <f>IFERROR(IF(EXACT(H1138,INDEX(Guide!$A$7:$A$9,MATCH(SUBSTITUTE(SUBSTITUTE(SUBSTITUTE(H1138,"~","~~"),"*","~*"),"?","~?"),Guide!$A$7:$A$9,0))),INDEX(Guide!$B$7:$B$9,MATCH(SUBSTITUTE(SUBSTITUTE(SUBSTITUTE(H1138,"~","~~"),"*","~*"),"?","~?"),Guide!$A$7:$A$9,0)),""),"")</f>
        <v>Accessories</v>
      </c>
      <c r="J1138" s="1" t="str">
        <f>IF(TRIM(Raw!E1138)="",I1138,IF(UPPER(TRIM(Raw!E1138))=UPPER(I1138),I1138,""))</f>
        <v>Accessories</v>
      </c>
      <c r="K1138" s="1" t="str">
        <f>IF(Raw!F1138="","",Raw!F1138)</f>
        <v>sale</v>
      </c>
      <c r="L1138" s="1" t="str">
        <f>IF(LEFT(TRIM(Raw!G1138),2)="-$","-"&amp;MID(TRIM(Raw!G1138),3,99),IF(LEFT(TRIM(Raw!G1138),1)="$",MID(TRIM(Raw!G1138),2,99),TRIM(Raw!G1138)))</f>
        <v>190.38</v>
      </c>
      <c r="M1138" s="1">
        <f t="shared" si="139"/>
        <v>190.38</v>
      </c>
      <c r="N1138" s="10">
        <f t="shared" si="140"/>
        <v>19038</v>
      </c>
      <c r="O1138" s="1" t="b">
        <f>IFERROR(IF(ISNUMBER(Raw!G1138),TRUE,OR(EXACT(L1138,TEXT(M1138,"0.00")),EXACT(L1138,TEXT(M1138,"#,##0.00")))),FALSE)</f>
        <v>1</v>
      </c>
      <c r="P1138" s="1" t="str">
        <f>LEN(IF(Raw!A1138="","",Raw!A1138))&amp;":"&amp;IF(Raw!A1138="","",Raw!A1138)&amp;"|"&amp;LEN(IF(Raw!B1138="","",Raw!B1138))&amp;":"&amp;IF(Raw!B1138="","",Raw!B1138)&amp;"|"&amp;LEN(IF(Raw!C1138="","",Raw!C1138))&amp;":"&amp;IF(Raw!C1138="","",Raw!C1138)&amp;"|"&amp;LEN(IF(Raw!D1138="","",Raw!D1138))&amp;":"&amp;IF(Raw!D1138="","",Raw!D1138)&amp;"|"&amp;LEN(IF(Raw!E1138="","",Raw!E1138))&amp;":"&amp;IF(Raw!E1138="","",Raw!E1138)&amp;"|"&amp;LEN(IF(Raw!F1138="","",Raw!F1138))&amp;":"&amp;IF(Raw!F1138="","",Raw!F1138)&amp;"|"&amp;LEN(IF(Raw!G1138="","",Raw!G1138))&amp;":"&amp;IF(Raw!G1138="","",Raw!G1138)</f>
        <v>6:L01132|6:T00566|10:2026-03-27|3:P-A|11:Accessories|4:sale|6:190.38</v>
      </c>
      <c r="Q1138" s="1">
        <f>1</f>
        <v>1</v>
      </c>
      <c r="R1138" s="1" t="b">
        <f>FALSE</f>
        <v>0</v>
      </c>
      <c r="S1138" s="1">
        <f>1</f>
        <v>1</v>
      </c>
      <c r="T1138" s="1" t="str">
        <f>IF(AND(Raw!A1138="",Raw!B1138="",Raw!C1138="",Raw!D1138="",Raw!E1138="",Raw!F1138="",Raw!G1138=""),"UNUSED",IF(A1138="","missing line ID",IF(B1138="","missing transaction ID",IF(G1138="",IF(C1138="","missing date","invalid date"),IF(I1138="","unknown product",IF(J1138="","conflicting category",IF(NOT(OR(EXACT(K1138,"sale"),EXACT(K1138,"refund"))),"unknown event",IF(OR(N1138="",NOT(O1138)),"invalid amount",IF(OR(AND(K1138="sale",N1138&lt;=0),AND(K1138="refund",N1138&gt;=0)),"invalid sign","")))))))))</f>
        <v/>
      </c>
      <c r="U1138" s="1" t="str">
        <f t="shared" si="141"/>
        <v>INCLUDED</v>
      </c>
      <c r="V1138" s="1" t="str">
        <f t="shared" si="142"/>
        <v>2026-03</v>
      </c>
      <c r="W1138" s="1">
        <f>IF(AND(U1138="INCLUDED",X1138&gt;0,EXACT(A1138,'AI output'!A1138)),1,0)</f>
        <v>1</v>
      </c>
      <c r="X1138" s="1">
        <f>1138</f>
        <v>1138</v>
      </c>
      <c r="Y1138" s="1">
        <f>IF(AND(U1138="INCLUDED",W1138=1),--(NOT(EXACT(A1138,'AI output'!A1138)))+--(NOT(EXACT(B1138,'AI output'!B1138)))+--(NOT(EXACT(TEXT(G1138,"yyyy-mm-dd"),'AI output'!C1138)))+--(NOT(EXACT(H1138,'AI output'!D1138)))+--(NOT(EXACT(J1138,'AI output'!E1138)))+--(NOT(EXACT(K1138,'AI output'!F1138)))+--(N1138&lt;&gt;'AI output'!L1138)+--(NOT('AI output'!M1138)),0)</f>
        <v>0</v>
      </c>
      <c r="Z1138" s="1">
        <f t="shared" si="143"/>
        <v>0</v>
      </c>
      <c r="AA1138" s="1">
        <f>--EXACT(A1138,"L01132")</f>
        <v>1</v>
      </c>
    </row>
    <row r="1139" spans="1:27" ht="18.95" customHeight="1">
      <c r="A1139" s="1" t="str">
        <f>IF(Raw!A1139="","",Raw!A1139)</f>
        <v>L01133</v>
      </c>
      <c r="B1139" s="1" t="str">
        <f>IF(Raw!B1139="","",Raw!B1139)</f>
        <v>T00567</v>
      </c>
      <c r="C1139" s="1" t="str">
        <f>IF(Raw!C1139="","",Raw!C1139)</f>
        <v>2026-01-03</v>
      </c>
      <c r="D1139" s="1">
        <f t="shared" si="136"/>
        <v>2026</v>
      </c>
      <c r="E1139" s="1">
        <f>IFERROR(IF(AND(LEN(C1139)=10,MID(C1139,5,1)="-",MID(C1139,8,1)="-"),VALUE(MID(C1139,6,2)),IF(AND(LEN(C1139)=11,MID(C1139,3,1)="-",MID(C1139,7,1)="-"),MATCH(UPPER(MID(C1139,4,3)),Guide!$D$7:$D$18,0),0)),0)</f>
        <v>1</v>
      </c>
      <c r="F1139" s="1">
        <f t="shared" si="137"/>
        <v>3</v>
      </c>
      <c r="G1139" s="9">
        <f t="shared" si="138"/>
        <v>46025</v>
      </c>
      <c r="H1139" s="1" t="str">
        <f>IF(Raw!D1139="","",Raw!D1139)</f>
        <v>P-H</v>
      </c>
      <c r="I1139" s="1" t="str">
        <f>IFERROR(IF(EXACT(H1139,INDEX(Guide!$A$7:$A$9,MATCH(SUBSTITUTE(SUBSTITUTE(SUBSTITUTE(H1139,"~","~~"),"*","~*"),"?","~?"),Guide!$A$7:$A$9,0))),INDEX(Guide!$B$7:$B$9,MATCH(SUBSTITUTE(SUBSTITUTE(SUBSTITUTE(H1139,"~","~~"),"*","~*"),"?","~?"),Guide!$A$7:$A$9,0)),""),"")</f>
        <v>Home</v>
      </c>
      <c r="J1139" s="1" t="str">
        <f>IF(TRIM(Raw!E1139)="",I1139,IF(UPPER(TRIM(Raw!E1139))=UPPER(I1139),I1139,""))</f>
        <v>Home</v>
      </c>
      <c r="K1139" s="1" t="str">
        <f>IF(Raw!F1139="","",Raw!F1139)</f>
        <v>sale</v>
      </c>
      <c r="L1139" s="1" t="str">
        <f>IF(LEFT(TRIM(Raw!G1139),2)="-$","-"&amp;MID(TRIM(Raw!G1139),3,99),IF(LEFT(TRIM(Raw!G1139),1)="$",MID(TRIM(Raw!G1139),2,99),TRIM(Raw!G1139)))</f>
        <v>319.15</v>
      </c>
      <c r="M1139" s="1">
        <f t="shared" si="139"/>
        <v>319.14999999999998</v>
      </c>
      <c r="N1139" s="10">
        <f t="shared" si="140"/>
        <v>31915</v>
      </c>
      <c r="O1139" s="1" t="b">
        <f>IFERROR(IF(ISNUMBER(Raw!G1139),TRUE,OR(EXACT(L1139,TEXT(M1139,"0.00")),EXACT(L1139,TEXT(M1139,"#,##0.00")))),FALSE)</f>
        <v>1</v>
      </c>
      <c r="P1139" s="1" t="str">
        <f>LEN(IF(Raw!A1139="","",Raw!A1139))&amp;":"&amp;IF(Raw!A1139="","",Raw!A1139)&amp;"|"&amp;LEN(IF(Raw!B1139="","",Raw!B1139))&amp;":"&amp;IF(Raw!B1139="","",Raw!B1139)&amp;"|"&amp;LEN(IF(Raw!C1139="","",Raw!C1139))&amp;":"&amp;IF(Raw!C1139="","",Raw!C1139)&amp;"|"&amp;LEN(IF(Raw!D1139="","",Raw!D1139))&amp;":"&amp;IF(Raw!D1139="","",Raw!D1139)&amp;"|"&amp;LEN(IF(Raw!E1139="","",Raw!E1139))&amp;":"&amp;IF(Raw!E1139="","",Raw!E1139)&amp;"|"&amp;LEN(IF(Raw!F1139="","",Raw!F1139))&amp;":"&amp;IF(Raw!F1139="","",Raw!F1139)&amp;"|"&amp;LEN(IF(Raw!G1139="","",Raw!G1139))&amp;":"&amp;IF(Raw!G1139="","",Raw!G1139)</f>
        <v>6:L01133|6:T00567|10:2026-01-03|3:P-H|4:Home|4:sale|6:319.15</v>
      </c>
      <c r="Q1139" s="1">
        <f>1</f>
        <v>1</v>
      </c>
      <c r="R1139" s="1" t="b">
        <f>FALSE</f>
        <v>0</v>
      </c>
      <c r="S1139" s="1">
        <f>1</f>
        <v>1</v>
      </c>
      <c r="T1139" s="1" t="str">
        <f>IF(AND(Raw!A1139="",Raw!B1139="",Raw!C1139="",Raw!D1139="",Raw!E1139="",Raw!F1139="",Raw!G1139=""),"UNUSED",IF(A1139="","missing line ID",IF(B1139="","missing transaction ID",IF(G1139="",IF(C1139="","missing date","invalid date"),IF(I1139="","unknown product",IF(J1139="","conflicting category",IF(NOT(OR(EXACT(K1139,"sale"),EXACT(K1139,"refund"))),"unknown event",IF(OR(N1139="",NOT(O1139)),"invalid amount",IF(OR(AND(K1139="sale",N1139&lt;=0),AND(K1139="refund",N1139&gt;=0)),"invalid sign","")))))))))</f>
        <v/>
      </c>
      <c r="U1139" s="1" t="str">
        <f t="shared" si="141"/>
        <v>INCLUDED</v>
      </c>
      <c r="V1139" s="1" t="str">
        <f t="shared" si="142"/>
        <v>2026-01</v>
      </c>
      <c r="W1139" s="1">
        <f>IF(AND(U1139="INCLUDED",X1139&gt;0,EXACT(A1139,'AI output'!A1139)),1,0)</f>
        <v>1</v>
      </c>
      <c r="X1139" s="1">
        <f>1139</f>
        <v>1139</v>
      </c>
      <c r="Y1139" s="1">
        <f>IF(AND(U1139="INCLUDED",W1139=1),--(NOT(EXACT(A1139,'AI output'!A1139)))+--(NOT(EXACT(B1139,'AI output'!B1139)))+--(NOT(EXACT(TEXT(G1139,"yyyy-mm-dd"),'AI output'!C1139)))+--(NOT(EXACT(H1139,'AI output'!D1139)))+--(NOT(EXACT(J1139,'AI output'!E1139)))+--(NOT(EXACT(K1139,'AI output'!F1139)))+--(N1139&lt;&gt;'AI output'!L1139)+--(NOT('AI output'!M1139)),0)</f>
        <v>0</v>
      </c>
      <c r="Z1139" s="1">
        <f t="shared" si="143"/>
        <v>0</v>
      </c>
      <c r="AA1139" s="1">
        <f>--EXACT(A1139,"L01133")</f>
        <v>1</v>
      </c>
    </row>
    <row r="1140" spans="1:27" ht="18.95" customHeight="1">
      <c r="A1140" s="1" t="str">
        <f>IF(Raw!A1140="","",Raw!A1140)</f>
        <v>L01134</v>
      </c>
      <c r="B1140" s="1" t="str">
        <f>IF(Raw!B1140="","",Raw!B1140)</f>
        <v>T00567</v>
      </c>
      <c r="C1140" s="1" t="str">
        <f>IF(Raw!C1140="","",Raw!C1140)</f>
        <v>2026-01-03</v>
      </c>
      <c r="D1140" s="1">
        <f t="shared" si="136"/>
        <v>2026</v>
      </c>
      <c r="E1140" s="1">
        <f>IFERROR(IF(AND(LEN(C1140)=10,MID(C1140,5,1)="-",MID(C1140,8,1)="-"),VALUE(MID(C1140,6,2)),IF(AND(LEN(C1140)=11,MID(C1140,3,1)="-",MID(C1140,7,1)="-"),MATCH(UPPER(MID(C1140,4,3)),Guide!$D$7:$D$18,0),0)),0)</f>
        <v>1</v>
      </c>
      <c r="F1140" s="1">
        <f t="shared" si="137"/>
        <v>3</v>
      </c>
      <c r="G1140" s="9">
        <f t="shared" si="138"/>
        <v>46025</v>
      </c>
      <c r="H1140" s="1" t="str">
        <f>IF(Raw!D1140="","",Raw!D1140)</f>
        <v>P-O</v>
      </c>
      <c r="I1140" s="1" t="str">
        <f>IFERROR(IF(EXACT(H1140,INDEX(Guide!$A$7:$A$9,MATCH(SUBSTITUTE(SUBSTITUTE(SUBSTITUTE(H1140,"~","~~"),"*","~*"),"?","~?"),Guide!$A$7:$A$9,0))),INDEX(Guide!$B$7:$B$9,MATCH(SUBSTITUTE(SUBSTITUTE(SUBSTITUTE(H1140,"~","~~"),"*","~*"),"?","~?"),Guide!$A$7:$A$9,0)),""),"")</f>
        <v>Office</v>
      </c>
      <c r="J1140" s="1" t="str">
        <f>IF(TRIM(Raw!E1140)="",I1140,IF(UPPER(TRIM(Raw!E1140))=UPPER(I1140),I1140,""))</f>
        <v>Office</v>
      </c>
      <c r="K1140" s="1" t="str">
        <f>IF(Raw!F1140="","",Raw!F1140)</f>
        <v>sale</v>
      </c>
      <c r="L1140" s="1" t="str">
        <f>IF(LEFT(TRIM(Raw!G1140),2)="-$","-"&amp;MID(TRIM(Raw!G1140),3,99),IF(LEFT(TRIM(Raw!G1140),1)="$",MID(TRIM(Raw!G1140),2,99),TRIM(Raw!G1140)))</f>
        <v>128.40</v>
      </c>
      <c r="M1140" s="1">
        <f t="shared" si="139"/>
        <v>128.4</v>
      </c>
      <c r="N1140" s="10">
        <f t="shared" si="140"/>
        <v>12840</v>
      </c>
      <c r="O1140" s="1" t="b">
        <f>IFERROR(IF(ISNUMBER(Raw!G1140),TRUE,OR(EXACT(L1140,TEXT(M1140,"0.00")),EXACT(L1140,TEXT(M1140,"#,##0.00")))),FALSE)</f>
        <v>1</v>
      </c>
      <c r="P1140" s="1" t="str">
        <f>LEN(IF(Raw!A1140="","",Raw!A1140))&amp;":"&amp;IF(Raw!A1140="","",Raw!A1140)&amp;"|"&amp;LEN(IF(Raw!B1140="","",Raw!B1140))&amp;":"&amp;IF(Raw!B1140="","",Raw!B1140)&amp;"|"&amp;LEN(IF(Raw!C1140="","",Raw!C1140))&amp;":"&amp;IF(Raw!C1140="","",Raw!C1140)&amp;"|"&amp;LEN(IF(Raw!D1140="","",Raw!D1140))&amp;":"&amp;IF(Raw!D1140="","",Raw!D1140)&amp;"|"&amp;LEN(IF(Raw!E1140="","",Raw!E1140))&amp;":"&amp;IF(Raw!E1140="","",Raw!E1140)&amp;"|"&amp;LEN(IF(Raw!F1140="","",Raw!F1140))&amp;":"&amp;IF(Raw!F1140="","",Raw!F1140)&amp;"|"&amp;LEN(IF(Raw!G1140="","",Raw!G1140))&amp;":"&amp;IF(Raw!G1140="","",Raw!G1140)</f>
        <v>6:L01134|6:T00567|10:2026-01-03|3:P-O|6:Office|4:sale|6:128.40</v>
      </c>
      <c r="Q1140" s="1">
        <f>1</f>
        <v>1</v>
      </c>
      <c r="R1140" s="1" t="b">
        <f>FALSE</f>
        <v>0</v>
      </c>
      <c r="S1140" s="1">
        <f>1</f>
        <v>1</v>
      </c>
      <c r="T1140" s="1" t="str">
        <f>IF(AND(Raw!A1140="",Raw!B1140="",Raw!C1140="",Raw!D1140="",Raw!E1140="",Raw!F1140="",Raw!G1140=""),"UNUSED",IF(A1140="","missing line ID",IF(B1140="","missing transaction ID",IF(G1140="",IF(C1140="","missing date","invalid date"),IF(I1140="","unknown product",IF(J1140="","conflicting category",IF(NOT(OR(EXACT(K1140,"sale"),EXACT(K1140,"refund"))),"unknown event",IF(OR(N1140="",NOT(O1140)),"invalid amount",IF(OR(AND(K1140="sale",N1140&lt;=0),AND(K1140="refund",N1140&gt;=0)),"invalid sign","")))))))))</f>
        <v/>
      </c>
      <c r="U1140" s="1" t="str">
        <f t="shared" si="141"/>
        <v>INCLUDED</v>
      </c>
      <c r="V1140" s="1" t="str">
        <f t="shared" si="142"/>
        <v>2026-01</v>
      </c>
      <c r="W1140" s="1">
        <f>IF(AND(U1140="INCLUDED",X1140&gt;0,EXACT(A1140,'AI output'!A1140)),1,0)</f>
        <v>1</v>
      </c>
      <c r="X1140" s="1">
        <f>1140</f>
        <v>1140</v>
      </c>
      <c r="Y1140" s="1">
        <f>IF(AND(U1140="INCLUDED",W1140=1),--(NOT(EXACT(A1140,'AI output'!A1140)))+--(NOT(EXACT(B1140,'AI output'!B1140)))+--(NOT(EXACT(TEXT(G1140,"yyyy-mm-dd"),'AI output'!C1140)))+--(NOT(EXACT(H1140,'AI output'!D1140)))+--(NOT(EXACT(J1140,'AI output'!E1140)))+--(NOT(EXACT(K1140,'AI output'!F1140)))+--(N1140&lt;&gt;'AI output'!L1140)+--(NOT('AI output'!M1140)),0)</f>
        <v>0</v>
      </c>
      <c r="Z1140" s="1">
        <f t="shared" si="143"/>
        <v>0</v>
      </c>
      <c r="AA1140" s="1">
        <f>--EXACT(A1140,"L01134")</f>
        <v>1</v>
      </c>
    </row>
    <row r="1141" spans="1:27" ht="18.95" customHeight="1">
      <c r="A1141" s="1" t="str">
        <f>IF(Raw!A1141="","",Raw!A1141)</f>
        <v>L01135</v>
      </c>
      <c r="B1141" s="1" t="str">
        <f>IF(Raw!B1141="","",Raw!B1141)</f>
        <v>T00568</v>
      </c>
      <c r="C1141" s="1" t="str">
        <f>IF(Raw!C1141="","",Raw!C1141)</f>
        <v>2026-01-10</v>
      </c>
      <c r="D1141" s="1">
        <f t="shared" si="136"/>
        <v>2026</v>
      </c>
      <c r="E1141" s="1">
        <f>IFERROR(IF(AND(LEN(C1141)=10,MID(C1141,5,1)="-",MID(C1141,8,1)="-"),VALUE(MID(C1141,6,2)),IF(AND(LEN(C1141)=11,MID(C1141,3,1)="-",MID(C1141,7,1)="-"),MATCH(UPPER(MID(C1141,4,3)),Guide!$D$7:$D$18,0),0)),0)</f>
        <v>1</v>
      </c>
      <c r="F1141" s="1">
        <f t="shared" si="137"/>
        <v>10</v>
      </c>
      <c r="G1141" s="9">
        <f t="shared" si="138"/>
        <v>46032</v>
      </c>
      <c r="H1141" s="1" t="str">
        <f>IF(Raw!D1141="","",Raw!D1141)</f>
        <v>P-A</v>
      </c>
      <c r="I1141" s="1" t="str">
        <f>IFERROR(IF(EXACT(H1141,INDEX(Guide!$A$7:$A$9,MATCH(SUBSTITUTE(SUBSTITUTE(SUBSTITUTE(H1141,"~","~~"),"*","~*"),"?","~?"),Guide!$A$7:$A$9,0))),INDEX(Guide!$B$7:$B$9,MATCH(SUBSTITUTE(SUBSTITUTE(SUBSTITUTE(H1141,"~","~~"),"*","~*"),"?","~?"),Guide!$A$7:$A$9,0)),""),"")</f>
        <v>Accessories</v>
      </c>
      <c r="J1141" s="1" t="str">
        <f>IF(TRIM(Raw!E1141)="",I1141,IF(UPPER(TRIM(Raw!E1141))=UPPER(I1141),I1141,""))</f>
        <v>Accessories</v>
      </c>
      <c r="K1141" s="1" t="str">
        <f>IF(Raw!F1141="","",Raw!F1141)</f>
        <v>sale</v>
      </c>
      <c r="L1141" s="1" t="str">
        <f>IF(LEFT(TRIM(Raw!G1141),2)="-$","-"&amp;MID(TRIM(Raw!G1141),3,99),IF(LEFT(TRIM(Raw!G1141),1)="$",MID(TRIM(Raw!G1141),2,99),TRIM(Raw!G1141)))</f>
        <v>258.28</v>
      </c>
      <c r="M1141" s="1">
        <f t="shared" si="139"/>
        <v>258.27999999999997</v>
      </c>
      <c r="N1141" s="10">
        <f t="shared" si="140"/>
        <v>25828</v>
      </c>
      <c r="O1141" s="1" t="b">
        <f>IFERROR(IF(ISNUMBER(Raw!G1141),TRUE,OR(EXACT(L1141,TEXT(M1141,"0.00")),EXACT(L1141,TEXT(M1141,"#,##0.00")))),FALSE)</f>
        <v>1</v>
      </c>
      <c r="P1141" s="1" t="str">
        <f>LEN(IF(Raw!A1141="","",Raw!A1141))&amp;":"&amp;IF(Raw!A1141="","",Raw!A1141)&amp;"|"&amp;LEN(IF(Raw!B1141="","",Raw!B1141))&amp;":"&amp;IF(Raw!B1141="","",Raw!B1141)&amp;"|"&amp;LEN(IF(Raw!C1141="","",Raw!C1141))&amp;":"&amp;IF(Raw!C1141="","",Raw!C1141)&amp;"|"&amp;LEN(IF(Raw!D1141="","",Raw!D1141))&amp;":"&amp;IF(Raw!D1141="","",Raw!D1141)&amp;"|"&amp;LEN(IF(Raw!E1141="","",Raw!E1141))&amp;":"&amp;IF(Raw!E1141="","",Raw!E1141)&amp;"|"&amp;LEN(IF(Raw!F1141="","",Raw!F1141))&amp;":"&amp;IF(Raw!F1141="","",Raw!F1141)&amp;"|"&amp;LEN(IF(Raw!G1141="","",Raw!G1141))&amp;":"&amp;IF(Raw!G1141="","",Raw!G1141)</f>
        <v>6:L01135|6:T00568|10:2026-01-10|3:P-A|11:Accessories|4:sale|6:258.28</v>
      </c>
      <c r="Q1141" s="1">
        <f>1</f>
        <v>1</v>
      </c>
      <c r="R1141" s="1" t="b">
        <f>FALSE</f>
        <v>0</v>
      </c>
      <c r="S1141" s="1">
        <f>1</f>
        <v>1</v>
      </c>
      <c r="T1141" s="1" t="str">
        <f>IF(AND(Raw!A1141="",Raw!B1141="",Raw!C1141="",Raw!D1141="",Raw!E1141="",Raw!F1141="",Raw!G1141=""),"UNUSED",IF(A1141="","missing line ID",IF(B1141="","missing transaction ID",IF(G1141="",IF(C1141="","missing date","invalid date"),IF(I1141="","unknown product",IF(J1141="","conflicting category",IF(NOT(OR(EXACT(K1141,"sale"),EXACT(K1141,"refund"))),"unknown event",IF(OR(N1141="",NOT(O1141)),"invalid amount",IF(OR(AND(K1141="sale",N1141&lt;=0),AND(K1141="refund",N1141&gt;=0)),"invalid sign","")))))))))</f>
        <v/>
      </c>
      <c r="U1141" s="1" t="str">
        <f t="shared" si="141"/>
        <v>INCLUDED</v>
      </c>
      <c r="V1141" s="1" t="str">
        <f t="shared" si="142"/>
        <v>2026-01</v>
      </c>
      <c r="W1141" s="1">
        <f>IF(AND(U1141="INCLUDED",X1141&gt;0,EXACT(A1141,'AI output'!A1141)),1,0)</f>
        <v>1</v>
      </c>
      <c r="X1141" s="1">
        <f>1141</f>
        <v>1141</v>
      </c>
      <c r="Y1141" s="1">
        <f>IF(AND(U1141="INCLUDED",W1141=1),--(NOT(EXACT(A1141,'AI output'!A1141)))+--(NOT(EXACT(B1141,'AI output'!B1141)))+--(NOT(EXACT(TEXT(G1141,"yyyy-mm-dd"),'AI output'!C1141)))+--(NOT(EXACT(H1141,'AI output'!D1141)))+--(NOT(EXACT(J1141,'AI output'!E1141)))+--(NOT(EXACT(K1141,'AI output'!F1141)))+--(N1141&lt;&gt;'AI output'!L1141)+--(NOT('AI output'!M1141)),0)</f>
        <v>0</v>
      </c>
      <c r="Z1141" s="1">
        <f t="shared" si="143"/>
        <v>0</v>
      </c>
      <c r="AA1141" s="1">
        <f>--EXACT(A1141,"L01135")</f>
        <v>1</v>
      </c>
    </row>
    <row r="1142" spans="1:27" ht="18.95" customHeight="1">
      <c r="A1142" s="1" t="str">
        <f>IF(Raw!A1142="","",Raw!A1142)</f>
        <v>L01136</v>
      </c>
      <c r="B1142" s="1" t="str">
        <f>IF(Raw!B1142="","",Raw!B1142)</f>
        <v>T00568</v>
      </c>
      <c r="C1142" s="1" t="str">
        <f>IF(Raw!C1142="","",Raw!C1142)</f>
        <v>2026-01-10</v>
      </c>
      <c r="D1142" s="1">
        <f t="shared" si="136"/>
        <v>2026</v>
      </c>
      <c r="E1142" s="1">
        <f>IFERROR(IF(AND(LEN(C1142)=10,MID(C1142,5,1)="-",MID(C1142,8,1)="-"),VALUE(MID(C1142,6,2)),IF(AND(LEN(C1142)=11,MID(C1142,3,1)="-",MID(C1142,7,1)="-"),MATCH(UPPER(MID(C1142,4,3)),Guide!$D$7:$D$18,0),0)),0)</f>
        <v>1</v>
      </c>
      <c r="F1142" s="1">
        <f t="shared" si="137"/>
        <v>10</v>
      </c>
      <c r="G1142" s="9">
        <f t="shared" si="138"/>
        <v>46032</v>
      </c>
      <c r="H1142" s="1" t="str">
        <f>IF(Raw!D1142="","",Raw!D1142)</f>
        <v>P-H</v>
      </c>
      <c r="I1142" s="1" t="str">
        <f>IFERROR(IF(EXACT(H1142,INDEX(Guide!$A$7:$A$9,MATCH(SUBSTITUTE(SUBSTITUTE(SUBSTITUTE(H1142,"~","~~"),"*","~*"),"?","~?"),Guide!$A$7:$A$9,0))),INDEX(Guide!$B$7:$B$9,MATCH(SUBSTITUTE(SUBSTITUTE(SUBSTITUTE(H1142,"~","~~"),"*","~*"),"?","~?"),Guide!$A$7:$A$9,0)),""),"")</f>
        <v>Home</v>
      </c>
      <c r="J1142" s="1" t="str">
        <f>IF(TRIM(Raw!E1142)="",I1142,IF(UPPER(TRIM(Raw!E1142))=UPPER(I1142),I1142,""))</f>
        <v>Home</v>
      </c>
      <c r="K1142" s="1" t="str">
        <f>IF(Raw!F1142="","",Raw!F1142)</f>
        <v>sale</v>
      </c>
      <c r="L1142" s="1" t="str">
        <f>IF(LEFT(TRIM(Raw!G1142),2)="-$","-"&amp;MID(TRIM(Raw!G1142),3,99),IF(LEFT(TRIM(Raw!G1142),1)="$",MID(TRIM(Raw!G1142),2,99),TRIM(Raw!G1142)))</f>
        <v>64.94</v>
      </c>
      <c r="M1142" s="1">
        <f t="shared" si="139"/>
        <v>64.94</v>
      </c>
      <c r="N1142" s="10">
        <f t="shared" si="140"/>
        <v>6494</v>
      </c>
      <c r="O1142" s="1" t="b">
        <f>IFERROR(IF(ISNUMBER(Raw!G1142),TRUE,OR(EXACT(L1142,TEXT(M1142,"0.00")),EXACT(L1142,TEXT(M1142,"#,##0.00")))),FALSE)</f>
        <v>1</v>
      </c>
      <c r="P1142" s="1" t="str">
        <f>LEN(IF(Raw!A1142="","",Raw!A1142))&amp;":"&amp;IF(Raw!A1142="","",Raw!A1142)&amp;"|"&amp;LEN(IF(Raw!B1142="","",Raw!B1142))&amp;":"&amp;IF(Raw!B1142="","",Raw!B1142)&amp;"|"&amp;LEN(IF(Raw!C1142="","",Raw!C1142))&amp;":"&amp;IF(Raw!C1142="","",Raw!C1142)&amp;"|"&amp;LEN(IF(Raw!D1142="","",Raw!D1142))&amp;":"&amp;IF(Raw!D1142="","",Raw!D1142)&amp;"|"&amp;LEN(IF(Raw!E1142="","",Raw!E1142))&amp;":"&amp;IF(Raw!E1142="","",Raw!E1142)&amp;"|"&amp;LEN(IF(Raw!F1142="","",Raw!F1142))&amp;":"&amp;IF(Raw!F1142="","",Raw!F1142)&amp;"|"&amp;LEN(IF(Raw!G1142="","",Raw!G1142))&amp;":"&amp;IF(Raw!G1142="","",Raw!G1142)</f>
        <v>6:L01136|6:T00568|10:2026-01-10|3:P-H|4:Home|4:sale|5:64.94</v>
      </c>
      <c r="Q1142" s="1">
        <f>1</f>
        <v>1</v>
      </c>
      <c r="R1142" s="1" t="b">
        <f>FALSE</f>
        <v>0</v>
      </c>
      <c r="S1142" s="1">
        <f>1</f>
        <v>1</v>
      </c>
      <c r="T1142" s="1" t="str">
        <f>IF(AND(Raw!A1142="",Raw!B1142="",Raw!C1142="",Raw!D1142="",Raw!E1142="",Raw!F1142="",Raw!G1142=""),"UNUSED",IF(A1142="","missing line ID",IF(B1142="","missing transaction ID",IF(G1142="",IF(C1142="","missing date","invalid date"),IF(I1142="","unknown product",IF(J1142="","conflicting category",IF(NOT(OR(EXACT(K1142,"sale"),EXACT(K1142,"refund"))),"unknown event",IF(OR(N1142="",NOT(O1142)),"invalid amount",IF(OR(AND(K1142="sale",N1142&lt;=0),AND(K1142="refund",N1142&gt;=0)),"invalid sign","")))))))))</f>
        <v/>
      </c>
      <c r="U1142" s="1" t="str">
        <f t="shared" si="141"/>
        <v>INCLUDED</v>
      </c>
      <c r="V1142" s="1" t="str">
        <f t="shared" si="142"/>
        <v>2026-01</v>
      </c>
      <c r="W1142" s="1">
        <f>IF(AND(U1142="INCLUDED",X1142&gt;0,EXACT(A1142,'AI output'!A1142)),1,0)</f>
        <v>1</v>
      </c>
      <c r="X1142" s="1">
        <f>1142</f>
        <v>1142</v>
      </c>
      <c r="Y1142" s="1">
        <f>IF(AND(U1142="INCLUDED",W1142=1),--(NOT(EXACT(A1142,'AI output'!A1142)))+--(NOT(EXACT(B1142,'AI output'!B1142)))+--(NOT(EXACT(TEXT(G1142,"yyyy-mm-dd"),'AI output'!C1142)))+--(NOT(EXACT(H1142,'AI output'!D1142)))+--(NOT(EXACT(J1142,'AI output'!E1142)))+--(NOT(EXACT(K1142,'AI output'!F1142)))+--(N1142&lt;&gt;'AI output'!L1142)+--(NOT('AI output'!M1142)),0)</f>
        <v>0</v>
      </c>
      <c r="Z1142" s="1">
        <f t="shared" si="143"/>
        <v>0</v>
      </c>
      <c r="AA1142" s="1">
        <f>--EXACT(A1142,"L01136")</f>
        <v>1</v>
      </c>
    </row>
    <row r="1143" spans="1:27" ht="18.95" customHeight="1">
      <c r="A1143" s="1" t="str">
        <f>IF(Raw!A1143="","",Raw!A1143)</f>
        <v>L01137</v>
      </c>
      <c r="B1143" s="1" t="str">
        <f>IF(Raw!B1143="","",Raw!B1143)</f>
        <v>T00569</v>
      </c>
      <c r="C1143" s="1" t="str">
        <f>IF(Raw!C1143="","",Raw!C1143)</f>
        <v>2026-01-17</v>
      </c>
      <c r="D1143" s="1">
        <f t="shared" si="136"/>
        <v>2026</v>
      </c>
      <c r="E1143" s="1">
        <f>IFERROR(IF(AND(LEN(C1143)=10,MID(C1143,5,1)="-",MID(C1143,8,1)="-"),VALUE(MID(C1143,6,2)),IF(AND(LEN(C1143)=11,MID(C1143,3,1)="-",MID(C1143,7,1)="-"),MATCH(UPPER(MID(C1143,4,3)),Guide!$D$7:$D$18,0),0)),0)</f>
        <v>1</v>
      </c>
      <c r="F1143" s="1">
        <f t="shared" si="137"/>
        <v>17</v>
      </c>
      <c r="G1143" s="9">
        <f t="shared" si="138"/>
        <v>46039</v>
      </c>
      <c r="H1143" s="1" t="str">
        <f>IF(Raw!D1143="","",Raw!D1143)</f>
        <v>P-O</v>
      </c>
      <c r="I1143" s="1" t="str">
        <f>IFERROR(IF(EXACT(H1143,INDEX(Guide!$A$7:$A$9,MATCH(SUBSTITUTE(SUBSTITUTE(SUBSTITUTE(H1143,"~","~~"),"*","~*"),"?","~?"),Guide!$A$7:$A$9,0))),INDEX(Guide!$B$7:$B$9,MATCH(SUBSTITUTE(SUBSTITUTE(SUBSTITUTE(H1143,"~","~~"),"*","~*"),"?","~?"),Guide!$A$7:$A$9,0)),""),"")</f>
        <v>Office</v>
      </c>
      <c r="J1143" s="1" t="str">
        <f>IF(TRIM(Raw!E1143)="",I1143,IF(UPPER(TRIM(Raw!E1143))=UPPER(I1143),I1143,""))</f>
        <v>Office</v>
      </c>
      <c r="K1143" s="1" t="str">
        <f>IF(Raw!F1143="","",Raw!F1143)</f>
        <v>sale</v>
      </c>
      <c r="L1143" s="1" t="str">
        <f>IF(LEFT(TRIM(Raw!G1143),2)="-$","-"&amp;MID(TRIM(Raw!G1143),3,99),IF(LEFT(TRIM(Raw!G1143),1)="$",MID(TRIM(Raw!G1143),2,99),TRIM(Raw!G1143)))</f>
        <v>195.93</v>
      </c>
      <c r="M1143" s="1">
        <f t="shared" si="139"/>
        <v>195.93</v>
      </c>
      <c r="N1143" s="10">
        <f t="shared" si="140"/>
        <v>19593</v>
      </c>
      <c r="O1143" s="1" t="b">
        <f>IFERROR(IF(ISNUMBER(Raw!G1143),TRUE,OR(EXACT(L1143,TEXT(M1143,"0.00")),EXACT(L1143,TEXT(M1143,"#,##0.00")))),FALSE)</f>
        <v>1</v>
      </c>
      <c r="P1143" s="1" t="str">
        <f>LEN(IF(Raw!A1143="","",Raw!A1143))&amp;":"&amp;IF(Raw!A1143="","",Raw!A1143)&amp;"|"&amp;LEN(IF(Raw!B1143="","",Raw!B1143))&amp;":"&amp;IF(Raw!B1143="","",Raw!B1143)&amp;"|"&amp;LEN(IF(Raw!C1143="","",Raw!C1143))&amp;":"&amp;IF(Raw!C1143="","",Raw!C1143)&amp;"|"&amp;LEN(IF(Raw!D1143="","",Raw!D1143))&amp;":"&amp;IF(Raw!D1143="","",Raw!D1143)&amp;"|"&amp;LEN(IF(Raw!E1143="","",Raw!E1143))&amp;":"&amp;IF(Raw!E1143="","",Raw!E1143)&amp;"|"&amp;LEN(IF(Raw!F1143="","",Raw!F1143))&amp;":"&amp;IF(Raw!F1143="","",Raw!F1143)&amp;"|"&amp;LEN(IF(Raw!G1143="","",Raw!G1143))&amp;":"&amp;IF(Raw!G1143="","",Raw!G1143)</f>
        <v>6:L01137|6:T00569|10:2026-01-17|3:P-O|6:Office|4:sale|6:195.93</v>
      </c>
      <c r="Q1143" s="1">
        <f>1</f>
        <v>1</v>
      </c>
      <c r="R1143" s="1" t="b">
        <f>FALSE</f>
        <v>0</v>
      </c>
      <c r="S1143" s="1">
        <f>1</f>
        <v>1</v>
      </c>
      <c r="T1143" s="1" t="str">
        <f>IF(AND(Raw!A1143="",Raw!B1143="",Raw!C1143="",Raw!D1143="",Raw!E1143="",Raw!F1143="",Raw!G1143=""),"UNUSED",IF(A1143="","missing line ID",IF(B1143="","missing transaction ID",IF(G1143="",IF(C1143="","missing date","invalid date"),IF(I1143="","unknown product",IF(J1143="","conflicting category",IF(NOT(OR(EXACT(K1143,"sale"),EXACT(K1143,"refund"))),"unknown event",IF(OR(N1143="",NOT(O1143)),"invalid amount",IF(OR(AND(K1143="sale",N1143&lt;=0),AND(K1143="refund",N1143&gt;=0)),"invalid sign","")))))))))</f>
        <v/>
      </c>
      <c r="U1143" s="1" t="str">
        <f t="shared" si="141"/>
        <v>INCLUDED</v>
      </c>
      <c r="V1143" s="1" t="str">
        <f t="shared" si="142"/>
        <v>2026-01</v>
      </c>
      <c r="W1143" s="1">
        <f>IF(AND(U1143="INCLUDED",X1143&gt;0,EXACT(A1143,'AI output'!A1143)),1,0)</f>
        <v>1</v>
      </c>
      <c r="X1143" s="1">
        <f>1143</f>
        <v>1143</v>
      </c>
      <c r="Y1143" s="1">
        <f>IF(AND(U1143="INCLUDED",W1143=1),--(NOT(EXACT(A1143,'AI output'!A1143)))+--(NOT(EXACT(B1143,'AI output'!B1143)))+--(NOT(EXACT(TEXT(G1143,"yyyy-mm-dd"),'AI output'!C1143)))+--(NOT(EXACT(H1143,'AI output'!D1143)))+--(NOT(EXACT(J1143,'AI output'!E1143)))+--(NOT(EXACT(K1143,'AI output'!F1143)))+--(N1143&lt;&gt;'AI output'!L1143)+--(NOT('AI output'!M1143)),0)</f>
        <v>0</v>
      </c>
      <c r="Z1143" s="1">
        <f t="shared" si="143"/>
        <v>0</v>
      </c>
      <c r="AA1143" s="1">
        <f>--EXACT(A1143,"L01137")</f>
        <v>1</v>
      </c>
    </row>
    <row r="1144" spans="1:27" ht="18.95" customHeight="1">
      <c r="A1144" s="1" t="str">
        <f>IF(Raw!A1144="","",Raw!A1144)</f>
        <v>L01138</v>
      </c>
      <c r="B1144" s="1" t="str">
        <f>IF(Raw!B1144="","",Raw!B1144)</f>
        <v>T00569</v>
      </c>
      <c r="C1144" s="1" t="str">
        <f>IF(Raw!C1144="","",Raw!C1144)</f>
        <v>2026-01-17</v>
      </c>
      <c r="D1144" s="1">
        <f t="shared" si="136"/>
        <v>2026</v>
      </c>
      <c r="E1144" s="1">
        <f>IFERROR(IF(AND(LEN(C1144)=10,MID(C1144,5,1)="-",MID(C1144,8,1)="-"),VALUE(MID(C1144,6,2)),IF(AND(LEN(C1144)=11,MID(C1144,3,1)="-",MID(C1144,7,1)="-"),MATCH(UPPER(MID(C1144,4,3)),Guide!$D$7:$D$18,0),0)),0)</f>
        <v>1</v>
      </c>
      <c r="F1144" s="1">
        <f t="shared" si="137"/>
        <v>17</v>
      </c>
      <c r="G1144" s="9">
        <f t="shared" si="138"/>
        <v>46039</v>
      </c>
      <c r="H1144" s="1" t="str">
        <f>IF(Raw!D1144="","",Raw!D1144)</f>
        <v>P-A</v>
      </c>
      <c r="I1144" s="1" t="str">
        <f>IFERROR(IF(EXACT(H1144,INDEX(Guide!$A$7:$A$9,MATCH(SUBSTITUTE(SUBSTITUTE(SUBSTITUTE(H1144,"~","~~"),"*","~*"),"?","~?"),Guide!$A$7:$A$9,0))),INDEX(Guide!$B$7:$B$9,MATCH(SUBSTITUTE(SUBSTITUTE(SUBSTITUTE(H1144,"~","~~"),"*","~*"),"?","~?"),Guide!$A$7:$A$9,0)),""),"")</f>
        <v>Accessories</v>
      </c>
      <c r="J1144" s="1" t="str">
        <f>IF(TRIM(Raw!E1144)="",I1144,IF(UPPER(TRIM(Raw!E1144))=UPPER(I1144),I1144,""))</f>
        <v>Accessories</v>
      </c>
      <c r="K1144" s="1" t="str">
        <f>IF(Raw!F1144="","",Raw!F1144)</f>
        <v>sale</v>
      </c>
      <c r="L1144" s="1" t="str">
        <f>IF(LEFT(TRIM(Raw!G1144),2)="-$","-"&amp;MID(TRIM(Raw!G1144),3,99),IF(LEFT(TRIM(Raw!G1144),1)="$",MID(TRIM(Raw!G1144),2,99),TRIM(Raw!G1144)))</f>
        <v>328.40</v>
      </c>
      <c r="M1144" s="1">
        <f t="shared" si="139"/>
        <v>328.4</v>
      </c>
      <c r="N1144" s="10">
        <f t="shared" si="140"/>
        <v>32840</v>
      </c>
      <c r="O1144" s="1" t="b">
        <f>IFERROR(IF(ISNUMBER(Raw!G1144),TRUE,OR(EXACT(L1144,TEXT(M1144,"0.00")),EXACT(L1144,TEXT(M1144,"#,##0.00")))),FALSE)</f>
        <v>1</v>
      </c>
      <c r="P1144" s="1" t="str">
        <f>LEN(IF(Raw!A1144="","",Raw!A1144))&amp;":"&amp;IF(Raw!A1144="","",Raw!A1144)&amp;"|"&amp;LEN(IF(Raw!B1144="","",Raw!B1144))&amp;":"&amp;IF(Raw!B1144="","",Raw!B1144)&amp;"|"&amp;LEN(IF(Raw!C1144="","",Raw!C1144))&amp;":"&amp;IF(Raw!C1144="","",Raw!C1144)&amp;"|"&amp;LEN(IF(Raw!D1144="","",Raw!D1144))&amp;":"&amp;IF(Raw!D1144="","",Raw!D1144)&amp;"|"&amp;LEN(IF(Raw!E1144="","",Raw!E1144))&amp;":"&amp;IF(Raw!E1144="","",Raw!E1144)&amp;"|"&amp;LEN(IF(Raw!F1144="","",Raw!F1144))&amp;":"&amp;IF(Raw!F1144="","",Raw!F1144)&amp;"|"&amp;LEN(IF(Raw!G1144="","",Raw!G1144))&amp;":"&amp;IF(Raw!G1144="","",Raw!G1144)</f>
        <v>6:L01138|6:T00569|10:2026-01-17|3:P-A|11:Accessories|4:sale|6:328.40</v>
      </c>
      <c r="Q1144" s="1">
        <f>1</f>
        <v>1</v>
      </c>
      <c r="R1144" s="1" t="b">
        <f>FALSE</f>
        <v>0</v>
      </c>
      <c r="S1144" s="1">
        <f>1</f>
        <v>1</v>
      </c>
      <c r="T1144" s="1" t="str">
        <f>IF(AND(Raw!A1144="",Raw!B1144="",Raw!C1144="",Raw!D1144="",Raw!E1144="",Raw!F1144="",Raw!G1144=""),"UNUSED",IF(A1144="","missing line ID",IF(B1144="","missing transaction ID",IF(G1144="",IF(C1144="","missing date","invalid date"),IF(I1144="","unknown product",IF(J1144="","conflicting category",IF(NOT(OR(EXACT(K1144,"sale"),EXACT(K1144,"refund"))),"unknown event",IF(OR(N1144="",NOT(O1144)),"invalid amount",IF(OR(AND(K1144="sale",N1144&lt;=0),AND(K1144="refund",N1144&gt;=0)),"invalid sign","")))))))))</f>
        <v/>
      </c>
      <c r="U1144" s="1" t="str">
        <f t="shared" si="141"/>
        <v>INCLUDED</v>
      </c>
      <c r="V1144" s="1" t="str">
        <f t="shared" si="142"/>
        <v>2026-01</v>
      </c>
      <c r="W1144" s="1">
        <f>IF(AND(U1144="INCLUDED",X1144&gt;0,EXACT(A1144,'AI output'!A1144)),1,0)</f>
        <v>1</v>
      </c>
      <c r="X1144" s="1">
        <f>1144</f>
        <v>1144</v>
      </c>
      <c r="Y1144" s="1">
        <f>IF(AND(U1144="INCLUDED",W1144=1),--(NOT(EXACT(A1144,'AI output'!A1144)))+--(NOT(EXACT(B1144,'AI output'!B1144)))+--(NOT(EXACT(TEXT(G1144,"yyyy-mm-dd"),'AI output'!C1144)))+--(NOT(EXACT(H1144,'AI output'!D1144)))+--(NOT(EXACT(J1144,'AI output'!E1144)))+--(NOT(EXACT(K1144,'AI output'!F1144)))+--(N1144&lt;&gt;'AI output'!L1144)+--(NOT('AI output'!M1144)),0)</f>
        <v>0</v>
      </c>
      <c r="Z1144" s="1">
        <f t="shared" si="143"/>
        <v>0</v>
      </c>
      <c r="AA1144" s="1">
        <f>--EXACT(A1144,"L01138")</f>
        <v>1</v>
      </c>
    </row>
    <row r="1145" spans="1:27" ht="18.95" customHeight="1">
      <c r="A1145" s="1" t="str">
        <f>IF(Raw!A1145="","",Raw!A1145)</f>
        <v>L01139</v>
      </c>
      <c r="B1145" s="1" t="str">
        <f>IF(Raw!B1145="","",Raw!B1145)</f>
        <v>T00570</v>
      </c>
      <c r="C1145" s="1" t="str">
        <f>IF(Raw!C1145="","",Raw!C1145)</f>
        <v>2026-01-24</v>
      </c>
      <c r="D1145" s="1">
        <f t="shared" si="136"/>
        <v>2026</v>
      </c>
      <c r="E1145" s="1">
        <f>IFERROR(IF(AND(LEN(C1145)=10,MID(C1145,5,1)="-",MID(C1145,8,1)="-"),VALUE(MID(C1145,6,2)),IF(AND(LEN(C1145)=11,MID(C1145,3,1)="-",MID(C1145,7,1)="-"),MATCH(UPPER(MID(C1145,4,3)),Guide!$D$7:$D$18,0),0)),0)</f>
        <v>1</v>
      </c>
      <c r="F1145" s="1">
        <f t="shared" si="137"/>
        <v>24</v>
      </c>
      <c r="G1145" s="9">
        <f t="shared" si="138"/>
        <v>46046</v>
      </c>
      <c r="H1145" s="1" t="str">
        <f>IF(Raw!D1145="","",Raw!D1145)</f>
        <v>P-H</v>
      </c>
      <c r="I1145" s="1" t="str">
        <f>IFERROR(IF(EXACT(H1145,INDEX(Guide!$A$7:$A$9,MATCH(SUBSTITUTE(SUBSTITUTE(SUBSTITUTE(H1145,"~","~~"),"*","~*"),"?","~?"),Guide!$A$7:$A$9,0))),INDEX(Guide!$B$7:$B$9,MATCH(SUBSTITUTE(SUBSTITUTE(SUBSTITUTE(H1145,"~","~~"),"*","~*"),"?","~?"),Guide!$A$7:$A$9,0)),""),"")</f>
        <v>Home</v>
      </c>
      <c r="J1145" s="1" t="str">
        <f>IF(TRIM(Raw!E1145)="",I1145,IF(UPPER(TRIM(Raw!E1145))=UPPER(I1145),I1145,""))</f>
        <v>Home</v>
      </c>
      <c r="K1145" s="1" t="str">
        <f>IF(Raw!F1145="","",Raw!F1145)</f>
        <v>sale</v>
      </c>
      <c r="L1145" s="1" t="str">
        <f>IF(LEFT(TRIM(Raw!G1145),2)="-$","-"&amp;MID(TRIM(Raw!G1145),3,99),IF(LEFT(TRIM(Raw!G1145),1)="$",MID(TRIM(Raw!G1145),2,99),TRIM(Raw!G1145)))</f>
        <v>132.10</v>
      </c>
      <c r="M1145" s="1">
        <f t="shared" si="139"/>
        <v>132.1</v>
      </c>
      <c r="N1145" s="10">
        <f t="shared" si="140"/>
        <v>13210</v>
      </c>
      <c r="O1145" s="1" t="b">
        <f>IFERROR(IF(ISNUMBER(Raw!G1145),TRUE,OR(EXACT(L1145,TEXT(M1145,"0.00")),EXACT(L1145,TEXT(M1145,"#,##0.00")))),FALSE)</f>
        <v>1</v>
      </c>
      <c r="P1145" s="1" t="str">
        <f>LEN(IF(Raw!A1145="","",Raw!A1145))&amp;":"&amp;IF(Raw!A1145="","",Raw!A1145)&amp;"|"&amp;LEN(IF(Raw!B1145="","",Raw!B1145))&amp;":"&amp;IF(Raw!B1145="","",Raw!B1145)&amp;"|"&amp;LEN(IF(Raw!C1145="","",Raw!C1145))&amp;":"&amp;IF(Raw!C1145="","",Raw!C1145)&amp;"|"&amp;LEN(IF(Raw!D1145="","",Raw!D1145))&amp;":"&amp;IF(Raw!D1145="","",Raw!D1145)&amp;"|"&amp;LEN(IF(Raw!E1145="","",Raw!E1145))&amp;":"&amp;IF(Raw!E1145="","",Raw!E1145)&amp;"|"&amp;LEN(IF(Raw!F1145="","",Raw!F1145))&amp;":"&amp;IF(Raw!F1145="","",Raw!F1145)&amp;"|"&amp;LEN(IF(Raw!G1145="","",Raw!G1145))&amp;":"&amp;IF(Raw!G1145="","",Raw!G1145)</f>
        <v>6:L01139|6:T00570|10:2026-01-24|3:P-H|4:Home|4:sale|6:132.10</v>
      </c>
      <c r="Q1145" s="1">
        <f>1</f>
        <v>1</v>
      </c>
      <c r="R1145" s="1" t="b">
        <f>FALSE</f>
        <v>0</v>
      </c>
      <c r="S1145" s="1">
        <f>1</f>
        <v>1</v>
      </c>
      <c r="T1145" s="1" t="str">
        <f>IF(AND(Raw!A1145="",Raw!B1145="",Raw!C1145="",Raw!D1145="",Raw!E1145="",Raw!F1145="",Raw!G1145=""),"UNUSED",IF(A1145="","missing line ID",IF(B1145="","missing transaction ID",IF(G1145="",IF(C1145="","missing date","invalid date"),IF(I1145="","unknown product",IF(J1145="","conflicting category",IF(NOT(OR(EXACT(K1145,"sale"),EXACT(K1145,"refund"))),"unknown event",IF(OR(N1145="",NOT(O1145)),"invalid amount",IF(OR(AND(K1145="sale",N1145&lt;=0),AND(K1145="refund",N1145&gt;=0)),"invalid sign","")))))))))</f>
        <v/>
      </c>
      <c r="U1145" s="1" t="str">
        <f t="shared" si="141"/>
        <v>INCLUDED</v>
      </c>
      <c r="V1145" s="1" t="str">
        <f t="shared" si="142"/>
        <v>2026-01</v>
      </c>
      <c r="W1145" s="1">
        <f>IF(AND(U1145="INCLUDED",X1145&gt;0,EXACT(A1145,'AI output'!A1145)),1,0)</f>
        <v>1</v>
      </c>
      <c r="X1145" s="1">
        <f>1145</f>
        <v>1145</v>
      </c>
      <c r="Y1145" s="1">
        <f>IF(AND(U1145="INCLUDED",W1145=1),--(NOT(EXACT(A1145,'AI output'!A1145)))+--(NOT(EXACT(B1145,'AI output'!B1145)))+--(NOT(EXACT(TEXT(G1145,"yyyy-mm-dd"),'AI output'!C1145)))+--(NOT(EXACT(H1145,'AI output'!D1145)))+--(NOT(EXACT(J1145,'AI output'!E1145)))+--(NOT(EXACT(K1145,'AI output'!F1145)))+--(N1145&lt;&gt;'AI output'!L1145)+--(NOT('AI output'!M1145)),0)</f>
        <v>0</v>
      </c>
      <c r="Z1145" s="1">
        <f t="shared" si="143"/>
        <v>0</v>
      </c>
      <c r="AA1145" s="1">
        <f>--EXACT(A1145,"L01139")</f>
        <v>1</v>
      </c>
    </row>
    <row r="1146" spans="1:27" ht="18.95" customHeight="1">
      <c r="A1146" s="1" t="str">
        <f>IF(Raw!A1146="","",Raw!A1146)</f>
        <v>L01140</v>
      </c>
      <c r="B1146" s="1" t="str">
        <f>IF(Raw!B1146="","",Raw!B1146)</f>
        <v>T00570</v>
      </c>
      <c r="C1146" s="1" t="str">
        <f>IF(Raw!C1146="","",Raw!C1146)</f>
        <v>2026-01-24</v>
      </c>
      <c r="D1146" s="1">
        <f t="shared" si="136"/>
        <v>2026</v>
      </c>
      <c r="E1146" s="1">
        <f>IFERROR(IF(AND(LEN(C1146)=10,MID(C1146,5,1)="-",MID(C1146,8,1)="-"),VALUE(MID(C1146,6,2)),IF(AND(LEN(C1146)=11,MID(C1146,3,1)="-",MID(C1146,7,1)="-"),MATCH(UPPER(MID(C1146,4,3)),Guide!$D$7:$D$18,0),0)),0)</f>
        <v>1</v>
      </c>
      <c r="F1146" s="1">
        <f t="shared" si="137"/>
        <v>24</v>
      </c>
      <c r="G1146" s="9">
        <f t="shared" si="138"/>
        <v>46046</v>
      </c>
      <c r="H1146" s="1" t="str">
        <f>IF(Raw!D1146="","",Raw!D1146)</f>
        <v>P-O</v>
      </c>
      <c r="I1146" s="1" t="str">
        <f>IFERROR(IF(EXACT(H1146,INDEX(Guide!$A$7:$A$9,MATCH(SUBSTITUTE(SUBSTITUTE(SUBSTITUTE(H1146,"~","~~"),"*","~*"),"?","~?"),Guide!$A$7:$A$9,0))),INDEX(Guide!$B$7:$B$9,MATCH(SUBSTITUTE(SUBSTITUTE(SUBSTITUTE(H1146,"~","~~"),"*","~*"),"?","~?"),Guide!$A$7:$A$9,0)),""),"")</f>
        <v>Office</v>
      </c>
      <c r="J1146" s="1" t="str">
        <f>IF(TRIM(Raw!E1146)="",I1146,IF(UPPER(TRIM(Raw!E1146))=UPPER(I1146),I1146,""))</f>
        <v>Office</v>
      </c>
      <c r="K1146" s="1" t="str">
        <f>IF(Raw!F1146="","",Raw!F1146)</f>
        <v>sale</v>
      </c>
      <c r="L1146" s="1" t="str">
        <f>IF(LEFT(TRIM(Raw!G1146),2)="-$","-"&amp;MID(TRIM(Raw!G1146),3,99),IF(LEFT(TRIM(Raw!G1146),1)="$",MID(TRIM(Raw!G1146),2,99),TRIM(Raw!G1146)))</f>
        <v>265.68</v>
      </c>
      <c r="M1146" s="1">
        <f t="shared" si="139"/>
        <v>265.68</v>
      </c>
      <c r="N1146" s="10">
        <f t="shared" si="140"/>
        <v>26568</v>
      </c>
      <c r="O1146" s="1" t="b">
        <f>IFERROR(IF(ISNUMBER(Raw!G1146),TRUE,OR(EXACT(L1146,TEXT(M1146,"0.00")),EXACT(L1146,TEXT(M1146,"#,##0.00")))),FALSE)</f>
        <v>1</v>
      </c>
      <c r="P1146" s="1" t="str">
        <f>LEN(IF(Raw!A1146="","",Raw!A1146))&amp;":"&amp;IF(Raw!A1146="","",Raw!A1146)&amp;"|"&amp;LEN(IF(Raw!B1146="","",Raw!B1146))&amp;":"&amp;IF(Raw!B1146="","",Raw!B1146)&amp;"|"&amp;LEN(IF(Raw!C1146="","",Raw!C1146))&amp;":"&amp;IF(Raw!C1146="","",Raw!C1146)&amp;"|"&amp;LEN(IF(Raw!D1146="","",Raw!D1146))&amp;":"&amp;IF(Raw!D1146="","",Raw!D1146)&amp;"|"&amp;LEN(IF(Raw!E1146="","",Raw!E1146))&amp;":"&amp;IF(Raw!E1146="","",Raw!E1146)&amp;"|"&amp;LEN(IF(Raw!F1146="","",Raw!F1146))&amp;":"&amp;IF(Raw!F1146="","",Raw!F1146)&amp;"|"&amp;LEN(IF(Raw!G1146="","",Raw!G1146))&amp;":"&amp;IF(Raw!G1146="","",Raw!G1146)</f>
        <v>6:L01140|6:T00570|10:2026-01-24|3:P-O|6:Office|4:sale|6:265.68</v>
      </c>
      <c r="Q1146" s="1">
        <f>1</f>
        <v>1</v>
      </c>
      <c r="R1146" s="1" t="b">
        <f>FALSE</f>
        <v>0</v>
      </c>
      <c r="S1146" s="1">
        <f>1</f>
        <v>1</v>
      </c>
      <c r="T1146" s="1" t="str">
        <f>IF(AND(Raw!A1146="",Raw!B1146="",Raw!C1146="",Raw!D1146="",Raw!E1146="",Raw!F1146="",Raw!G1146=""),"UNUSED",IF(A1146="","missing line ID",IF(B1146="","missing transaction ID",IF(G1146="",IF(C1146="","missing date","invalid date"),IF(I1146="","unknown product",IF(J1146="","conflicting category",IF(NOT(OR(EXACT(K1146,"sale"),EXACT(K1146,"refund"))),"unknown event",IF(OR(N1146="",NOT(O1146)),"invalid amount",IF(OR(AND(K1146="sale",N1146&lt;=0),AND(K1146="refund",N1146&gt;=0)),"invalid sign","")))))))))</f>
        <v/>
      </c>
      <c r="U1146" s="1" t="str">
        <f t="shared" si="141"/>
        <v>INCLUDED</v>
      </c>
      <c r="V1146" s="1" t="str">
        <f t="shared" si="142"/>
        <v>2026-01</v>
      </c>
      <c r="W1146" s="1">
        <f>IF(AND(U1146="INCLUDED",X1146&gt;0,EXACT(A1146,'AI output'!A1146)),1,0)</f>
        <v>1</v>
      </c>
      <c r="X1146" s="1">
        <f>1146</f>
        <v>1146</v>
      </c>
      <c r="Y1146" s="1">
        <f>IF(AND(U1146="INCLUDED",W1146=1),--(NOT(EXACT(A1146,'AI output'!A1146)))+--(NOT(EXACT(B1146,'AI output'!B1146)))+--(NOT(EXACT(TEXT(G1146,"yyyy-mm-dd"),'AI output'!C1146)))+--(NOT(EXACT(H1146,'AI output'!D1146)))+--(NOT(EXACT(J1146,'AI output'!E1146)))+--(NOT(EXACT(K1146,'AI output'!F1146)))+--(N1146&lt;&gt;'AI output'!L1146)+--(NOT('AI output'!M1146)),0)</f>
        <v>0</v>
      </c>
      <c r="Z1146" s="1">
        <f t="shared" si="143"/>
        <v>0</v>
      </c>
      <c r="AA1146" s="1">
        <f>--EXACT(A1146,"L01140")</f>
        <v>1</v>
      </c>
    </row>
    <row r="1147" spans="1:27" ht="18.95" customHeight="1">
      <c r="A1147" s="1" t="str">
        <f>IF(Raw!A1147="","",Raw!A1147)</f>
        <v>L01141</v>
      </c>
      <c r="B1147" s="1" t="str">
        <f>IF(Raw!B1147="","",Raw!B1147)</f>
        <v>T00571</v>
      </c>
      <c r="C1147" s="1" t="str">
        <f>IF(Raw!C1147="","",Raw!C1147)</f>
        <v>2026-01-31</v>
      </c>
      <c r="D1147" s="1">
        <f t="shared" si="136"/>
        <v>2026</v>
      </c>
      <c r="E1147" s="1">
        <f>IFERROR(IF(AND(LEN(C1147)=10,MID(C1147,5,1)="-",MID(C1147,8,1)="-"),VALUE(MID(C1147,6,2)),IF(AND(LEN(C1147)=11,MID(C1147,3,1)="-",MID(C1147,7,1)="-"),MATCH(UPPER(MID(C1147,4,3)),Guide!$D$7:$D$18,0),0)),0)</f>
        <v>1</v>
      </c>
      <c r="F1147" s="1">
        <f t="shared" si="137"/>
        <v>31</v>
      </c>
      <c r="G1147" s="9">
        <f t="shared" si="138"/>
        <v>46053</v>
      </c>
      <c r="H1147" s="1" t="str">
        <f>IF(Raw!D1147="","",Raw!D1147)</f>
        <v>P-A</v>
      </c>
      <c r="I1147" s="1" t="str">
        <f>IFERROR(IF(EXACT(H1147,INDEX(Guide!$A$7:$A$9,MATCH(SUBSTITUTE(SUBSTITUTE(SUBSTITUTE(H1147,"~","~~"),"*","~*"),"?","~?"),Guide!$A$7:$A$9,0))),INDEX(Guide!$B$7:$B$9,MATCH(SUBSTITUTE(SUBSTITUTE(SUBSTITUTE(H1147,"~","~~"),"*","~*"),"?","~?"),Guide!$A$7:$A$9,0)),""),"")</f>
        <v>Accessories</v>
      </c>
      <c r="J1147" s="1" t="str">
        <f>IF(TRIM(Raw!E1147)="",I1147,IF(UPPER(TRIM(Raw!E1147))=UPPER(I1147),I1147,""))</f>
        <v>Accessories</v>
      </c>
      <c r="K1147" s="1" t="str">
        <f>IF(Raw!F1147="","",Raw!F1147)</f>
        <v>sale</v>
      </c>
      <c r="L1147" s="1" t="str">
        <f>IF(LEFT(TRIM(Raw!G1147),2)="-$","-"&amp;MID(TRIM(Raw!G1147),3,99),IF(LEFT(TRIM(Raw!G1147),1)="$",MID(TRIM(Raw!G1147),2,99),TRIM(Raw!G1147)))</f>
        <v>66.79</v>
      </c>
      <c r="M1147" s="1">
        <f t="shared" si="139"/>
        <v>66.790000000000006</v>
      </c>
      <c r="N1147" s="10">
        <f t="shared" si="140"/>
        <v>6679</v>
      </c>
      <c r="O1147" s="1" t="b">
        <f>IFERROR(IF(ISNUMBER(Raw!G1147),TRUE,OR(EXACT(L1147,TEXT(M1147,"0.00")),EXACT(L1147,TEXT(M1147,"#,##0.00")))),FALSE)</f>
        <v>1</v>
      </c>
      <c r="P1147" s="1" t="str">
        <f>LEN(IF(Raw!A1147="","",Raw!A1147))&amp;":"&amp;IF(Raw!A1147="","",Raw!A1147)&amp;"|"&amp;LEN(IF(Raw!B1147="","",Raw!B1147))&amp;":"&amp;IF(Raw!B1147="","",Raw!B1147)&amp;"|"&amp;LEN(IF(Raw!C1147="","",Raw!C1147))&amp;":"&amp;IF(Raw!C1147="","",Raw!C1147)&amp;"|"&amp;LEN(IF(Raw!D1147="","",Raw!D1147))&amp;":"&amp;IF(Raw!D1147="","",Raw!D1147)&amp;"|"&amp;LEN(IF(Raw!E1147="","",Raw!E1147))&amp;":"&amp;IF(Raw!E1147="","",Raw!E1147)&amp;"|"&amp;LEN(IF(Raw!F1147="","",Raw!F1147))&amp;":"&amp;IF(Raw!F1147="","",Raw!F1147)&amp;"|"&amp;LEN(IF(Raw!G1147="","",Raw!G1147))&amp;":"&amp;IF(Raw!G1147="","",Raw!G1147)</f>
        <v>6:L01141|6:T00571|10:2026-01-31|3:P-A|11:Accessories|4:sale|5:66.79</v>
      </c>
      <c r="Q1147" s="1">
        <f>1</f>
        <v>1</v>
      </c>
      <c r="R1147" s="1" t="b">
        <f>FALSE</f>
        <v>0</v>
      </c>
      <c r="S1147" s="1">
        <f>1</f>
        <v>1</v>
      </c>
      <c r="T1147" s="1" t="str">
        <f>IF(AND(Raw!A1147="",Raw!B1147="",Raw!C1147="",Raw!D1147="",Raw!E1147="",Raw!F1147="",Raw!G1147=""),"UNUSED",IF(A1147="","missing line ID",IF(B1147="","missing transaction ID",IF(G1147="",IF(C1147="","missing date","invalid date"),IF(I1147="","unknown product",IF(J1147="","conflicting category",IF(NOT(OR(EXACT(K1147,"sale"),EXACT(K1147,"refund"))),"unknown event",IF(OR(N1147="",NOT(O1147)),"invalid amount",IF(OR(AND(K1147="sale",N1147&lt;=0),AND(K1147="refund",N1147&gt;=0)),"invalid sign","")))))))))</f>
        <v/>
      </c>
      <c r="U1147" s="1" t="str">
        <f t="shared" si="141"/>
        <v>INCLUDED</v>
      </c>
      <c r="V1147" s="1" t="str">
        <f t="shared" si="142"/>
        <v>2026-01</v>
      </c>
      <c r="W1147" s="1">
        <f>IF(AND(U1147="INCLUDED",X1147&gt;0,EXACT(A1147,'AI output'!A1147)),1,0)</f>
        <v>1</v>
      </c>
      <c r="X1147" s="1">
        <f>1147</f>
        <v>1147</v>
      </c>
      <c r="Y1147" s="1">
        <f>IF(AND(U1147="INCLUDED",W1147=1),--(NOT(EXACT(A1147,'AI output'!A1147)))+--(NOT(EXACT(B1147,'AI output'!B1147)))+--(NOT(EXACT(TEXT(G1147,"yyyy-mm-dd"),'AI output'!C1147)))+--(NOT(EXACT(H1147,'AI output'!D1147)))+--(NOT(EXACT(J1147,'AI output'!E1147)))+--(NOT(EXACT(K1147,'AI output'!F1147)))+--(N1147&lt;&gt;'AI output'!L1147)+--(NOT('AI output'!M1147)),0)</f>
        <v>0</v>
      </c>
      <c r="Z1147" s="1">
        <f t="shared" si="143"/>
        <v>0</v>
      </c>
      <c r="AA1147" s="1">
        <f>--EXACT(A1147,"L01141")</f>
        <v>1</v>
      </c>
    </row>
    <row r="1148" spans="1:27" ht="18.95" customHeight="1">
      <c r="A1148" s="1" t="str">
        <f>IF(Raw!A1148="","",Raw!A1148)</f>
        <v>L01142</v>
      </c>
      <c r="B1148" s="1" t="str">
        <f>IF(Raw!B1148="","",Raw!B1148)</f>
        <v>T00571</v>
      </c>
      <c r="C1148" s="1" t="str">
        <f>IF(Raw!C1148="","",Raw!C1148)</f>
        <v>2026-01-31</v>
      </c>
      <c r="D1148" s="1">
        <f t="shared" si="136"/>
        <v>2026</v>
      </c>
      <c r="E1148" s="1">
        <f>IFERROR(IF(AND(LEN(C1148)=10,MID(C1148,5,1)="-",MID(C1148,8,1)="-"),VALUE(MID(C1148,6,2)),IF(AND(LEN(C1148)=11,MID(C1148,3,1)="-",MID(C1148,7,1)="-"),MATCH(UPPER(MID(C1148,4,3)),Guide!$D$7:$D$18,0),0)),0)</f>
        <v>1</v>
      </c>
      <c r="F1148" s="1">
        <f t="shared" si="137"/>
        <v>31</v>
      </c>
      <c r="G1148" s="9">
        <f t="shared" si="138"/>
        <v>46053</v>
      </c>
      <c r="H1148" s="1" t="str">
        <f>IF(Raw!D1148="","",Raw!D1148)</f>
        <v>P-H</v>
      </c>
      <c r="I1148" s="1" t="str">
        <f>IFERROR(IF(EXACT(H1148,INDEX(Guide!$A$7:$A$9,MATCH(SUBSTITUTE(SUBSTITUTE(SUBSTITUTE(H1148,"~","~~"),"*","~*"),"?","~?"),Guide!$A$7:$A$9,0))),INDEX(Guide!$B$7:$B$9,MATCH(SUBSTITUTE(SUBSTITUTE(SUBSTITUTE(H1148,"~","~~"),"*","~*"),"?","~?"),Guide!$A$7:$A$9,0)),""),"")</f>
        <v>Home</v>
      </c>
      <c r="J1148" s="1" t="str">
        <f>IF(TRIM(Raw!E1148)="",I1148,IF(UPPER(TRIM(Raw!E1148))=UPPER(I1148),I1148,""))</f>
        <v>Home</v>
      </c>
      <c r="K1148" s="1" t="str">
        <f>IF(Raw!F1148="","",Raw!F1148)</f>
        <v>sale</v>
      </c>
      <c r="L1148" s="1" t="str">
        <f>IF(LEFT(TRIM(Raw!G1148),2)="-$","-"&amp;MID(TRIM(Raw!G1148),3,99),IF(LEFT(TRIM(Raw!G1148),1)="$",MID(TRIM(Raw!G1148),2,99),TRIM(Raw!G1148)))</f>
        <v>201.48</v>
      </c>
      <c r="M1148" s="1">
        <f t="shared" si="139"/>
        <v>201.48</v>
      </c>
      <c r="N1148" s="10">
        <f t="shared" si="140"/>
        <v>20148</v>
      </c>
      <c r="O1148" s="1" t="b">
        <f>IFERROR(IF(ISNUMBER(Raw!G1148),TRUE,OR(EXACT(L1148,TEXT(M1148,"0.00")),EXACT(L1148,TEXT(M1148,"#,##0.00")))),FALSE)</f>
        <v>1</v>
      </c>
      <c r="P1148" s="1" t="str">
        <f>LEN(IF(Raw!A1148="","",Raw!A1148))&amp;":"&amp;IF(Raw!A1148="","",Raw!A1148)&amp;"|"&amp;LEN(IF(Raw!B1148="","",Raw!B1148))&amp;":"&amp;IF(Raw!B1148="","",Raw!B1148)&amp;"|"&amp;LEN(IF(Raw!C1148="","",Raw!C1148))&amp;":"&amp;IF(Raw!C1148="","",Raw!C1148)&amp;"|"&amp;LEN(IF(Raw!D1148="","",Raw!D1148))&amp;":"&amp;IF(Raw!D1148="","",Raw!D1148)&amp;"|"&amp;LEN(IF(Raw!E1148="","",Raw!E1148))&amp;":"&amp;IF(Raw!E1148="","",Raw!E1148)&amp;"|"&amp;LEN(IF(Raw!F1148="","",Raw!F1148))&amp;":"&amp;IF(Raw!F1148="","",Raw!F1148)&amp;"|"&amp;LEN(IF(Raw!G1148="","",Raw!G1148))&amp;":"&amp;IF(Raw!G1148="","",Raw!G1148)</f>
        <v>6:L01142|6:T00571|10:2026-01-31|3:P-H|4:Home|4:sale|6:201.48</v>
      </c>
      <c r="Q1148" s="1">
        <f>1</f>
        <v>1</v>
      </c>
      <c r="R1148" s="1" t="b">
        <f>FALSE</f>
        <v>0</v>
      </c>
      <c r="S1148" s="1">
        <f>1</f>
        <v>1</v>
      </c>
      <c r="T1148" s="1" t="str">
        <f>IF(AND(Raw!A1148="",Raw!B1148="",Raw!C1148="",Raw!D1148="",Raw!E1148="",Raw!F1148="",Raw!G1148=""),"UNUSED",IF(A1148="","missing line ID",IF(B1148="","missing transaction ID",IF(G1148="",IF(C1148="","missing date","invalid date"),IF(I1148="","unknown product",IF(J1148="","conflicting category",IF(NOT(OR(EXACT(K1148,"sale"),EXACT(K1148,"refund"))),"unknown event",IF(OR(N1148="",NOT(O1148)),"invalid amount",IF(OR(AND(K1148="sale",N1148&lt;=0),AND(K1148="refund",N1148&gt;=0)),"invalid sign","")))))))))</f>
        <v/>
      </c>
      <c r="U1148" s="1" t="str">
        <f t="shared" si="141"/>
        <v>INCLUDED</v>
      </c>
      <c r="V1148" s="1" t="str">
        <f t="shared" si="142"/>
        <v>2026-01</v>
      </c>
      <c r="W1148" s="1">
        <f>IF(AND(U1148="INCLUDED",X1148&gt;0,EXACT(A1148,'AI output'!A1148)),1,0)</f>
        <v>1</v>
      </c>
      <c r="X1148" s="1">
        <f>1148</f>
        <v>1148</v>
      </c>
      <c r="Y1148" s="1">
        <f>IF(AND(U1148="INCLUDED",W1148=1),--(NOT(EXACT(A1148,'AI output'!A1148)))+--(NOT(EXACT(B1148,'AI output'!B1148)))+--(NOT(EXACT(TEXT(G1148,"yyyy-mm-dd"),'AI output'!C1148)))+--(NOT(EXACT(H1148,'AI output'!D1148)))+--(NOT(EXACT(J1148,'AI output'!E1148)))+--(NOT(EXACT(K1148,'AI output'!F1148)))+--(N1148&lt;&gt;'AI output'!L1148)+--(NOT('AI output'!M1148)),0)</f>
        <v>0</v>
      </c>
      <c r="Z1148" s="1">
        <f t="shared" si="143"/>
        <v>0</v>
      </c>
      <c r="AA1148" s="1">
        <f>--EXACT(A1148,"L01142")</f>
        <v>1</v>
      </c>
    </row>
    <row r="1149" spans="1:27" ht="18.95" customHeight="1">
      <c r="A1149" s="1" t="str">
        <f>IF(Raw!A1149="","",Raw!A1149)</f>
        <v>L01143</v>
      </c>
      <c r="B1149" s="1" t="str">
        <f>IF(Raw!B1149="","",Raw!B1149)</f>
        <v>T00572</v>
      </c>
      <c r="C1149" s="1" t="str">
        <f>IF(Raw!C1149="","",Raw!C1149)</f>
        <v>2026-02-07</v>
      </c>
      <c r="D1149" s="1">
        <f t="shared" si="136"/>
        <v>2026</v>
      </c>
      <c r="E1149" s="1">
        <f>IFERROR(IF(AND(LEN(C1149)=10,MID(C1149,5,1)="-",MID(C1149,8,1)="-"),VALUE(MID(C1149,6,2)),IF(AND(LEN(C1149)=11,MID(C1149,3,1)="-",MID(C1149,7,1)="-"),MATCH(UPPER(MID(C1149,4,3)),Guide!$D$7:$D$18,0),0)),0)</f>
        <v>2</v>
      </c>
      <c r="F1149" s="1">
        <f t="shared" si="137"/>
        <v>7</v>
      </c>
      <c r="G1149" s="9">
        <f t="shared" si="138"/>
        <v>46060</v>
      </c>
      <c r="H1149" s="1" t="str">
        <f>IF(Raw!D1149="","",Raw!D1149)</f>
        <v>P-O</v>
      </c>
      <c r="I1149" s="1" t="str">
        <f>IFERROR(IF(EXACT(H1149,INDEX(Guide!$A$7:$A$9,MATCH(SUBSTITUTE(SUBSTITUTE(SUBSTITUTE(H1149,"~","~~"),"*","~*"),"?","~?"),Guide!$A$7:$A$9,0))),INDEX(Guide!$B$7:$B$9,MATCH(SUBSTITUTE(SUBSTITUTE(SUBSTITUTE(H1149,"~","~~"),"*","~*"),"?","~?"),Guide!$A$7:$A$9,0)),""),"")</f>
        <v>Office</v>
      </c>
      <c r="J1149" s="1" t="str">
        <f>IF(TRIM(Raw!E1149)="",I1149,IF(UPPER(TRIM(Raw!E1149))=UPPER(I1149),I1149,""))</f>
        <v>Office</v>
      </c>
      <c r="K1149" s="1" t="str">
        <f>IF(Raw!F1149="","",Raw!F1149)</f>
        <v>sale</v>
      </c>
      <c r="L1149" s="1" t="str">
        <f>IF(LEFT(TRIM(Raw!G1149),2)="-$","-"&amp;MID(TRIM(Raw!G1149),3,99),IF(LEFT(TRIM(Raw!G1149),1)="$",MID(TRIM(Raw!G1149),2,99),TRIM(Raw!G1149)))</f>
        <v>337.65</v>
      </c>
      <c r="M1149" s="1">
        <f t="shared" si="139"/>
        <v>337.65</v>
      </c>
      <c r="N1149" s="10">
        <f t="shared" si="140"/>
        <v>33765</v>
      </c>
      <c r="O1149" s="1" t="b">
        <f>IFERROR(IF(ISNUMBER(Raw!G1149),TRUE,OR(EXACT(L1149,TEXT(M1149,"0.00")),EXACT(L1149,TEXT(M1149,"#,##0.00")))),FALSE)</f>
        <v>1</v>
      </c>
      <c r="P1149" s="1" t="str">
        <f>LEN(IF(Raw!A1149="","",Raw!A1149))&amp;":"&amp;IF(Raw!A1149="","",Raw!A1149)&amp;"|"&amp;LEN(IF(Raw!B1149="","",Raw!B1149))&amp;":"&amp;IF(Raw!B1149="","",Raw!B1149)&amp;"|"&amp;LEN(IF(Raw!C1149="","",Raw!C1149))&amp;":"&amp;IF(Raw!C1149="","",Raw!C1149)&amp;"|"&amp;LEN(IF(Raw!D1149="","",Raw!D1149))&amp;":"&amp;IF(Raw!D1149="","",Raw!D1149)&amp;"|"&amp;LEN(IF(Raw!E1149="","",Raw!E1149))&amp;":"&amp;IF(Raw!E1149="","",Raw!E1149)&amp;"|"&amp;LEN(IF(Raw!F1149="","",Raw!F1149))&amp;":"&amp;IF(Raw!F1149="","",Raw!F1149)&amp;"|"&amp;LEN(IF(Raw!G1149="","",Raw!G1149))&amp;":"&amp;IF(Raw!G1149="","",Raw!G1149)</f>
        <v>6:L01143|6:T00572|10:2026-02-07|3:P-O|6:Office|4:sale|6:337.65</v>
      </c>
      <c r="Q1149" s="1">
        <f>2</f>
        <v>2</v>
      </c>
      <c r="R1149" s="1" t="b">
        <f>OR(NOT(EXACT(P1149,P2000)))</f>
        <v>0</v>
      </c>
      <c r="S1149" s="1">
        <f>1</f>
        <v>1</v>
      </c>
      <c r="T1149" s="1" t="str">
        <f>IF(AND(Raw!A1149="",Raw!B1149="",Raw!C1149="",Raw!D1149="",Raw!E1149="",Raw!F1149="",Raw!G1149=""),"UNUSED",IF(A1149="","missing line ID",IF(B1149="","missing transaction ID",IF(G1149="",IF(C1149="","missing date","invalid date"),IF(I1149="","unknown product",IF(J1149="","conflicting category",IF(NOT(OR(EXACT(K1149,"sale"),EXACT(K1149,"refund"))),"unknown event",IF(OR(N1149="",NOT(O1149)),"invalid amount",IF(OR(AND(K1149="sale",N1149&lt;=0),AND(K1149="refund",N1149&gt;=0)),"invalid sign","")))))))))</f>
        <v/>
      </c>
      <c r="U1149" s="1" t="str">
        <f t="shared" si="141"/>
        <v>INCLUDED</v>
      </c>
      <c r="V1149" s="1" t="str">
        <f t="shared" si="142"/>
        <v>2026-02</v>
      </c>
      <c r="W1149" s="1">
        <f>IF(AND(U1149="INCLUDED",X1149&gt;0,EXACT(A1149,'AI output'!A1149)),1,0)</f>
        <v>1</v>
      </c>
      <c r="X1149" s="1">
        <f>1149</f>
        <v>1149</v>
      </c>
      <c r="Y1149" s="1">
        <f>IF(AND(U1149="INCLUDED",W1149=1),--(NOT(EXACT(A1149,'AI output'!A1149)))+--(NOT(EXACT(B1149,'AI output'!B1149)))+--(NOT(EXACT(TEXT(G1149,"yyyy-mm-dd"),'AI output'!C1149)))+--(NOT(EXACT(H1149,'AI output'!D1149)))+--(NOT(EXACT(J1149,'AI output'!E1149)))+--(NOT(EXACT(K1149,'AI output'!F1149)))+--(N1149&lt;&gt;'AI output'!L1149)+--(NOT('AI output'!M1149)),0)</f>
        <v>0</v>
      </c>
      <c r="Z1149" s="1">
        <f t="shared" si="143"/>
        <v>0</v>
      </c>
      <c r="AA1149" s="1">
        <f>--EXACT(A1149,"L01143")</f>
        <v>1</v>
      </c>
    </row>
    <row r="1150" spans="1:27" ht="18.95" customHeight="1">
      <c r="A1150" s="1" t="str">
        <f>IF(Raw!A1150="","",Raw!A1150)</f>
        <v>L01144</v>
      </c>
      <c r="B1150" s="1" t="str">
        <f>IF(Raw!B1150="","",Raw!B1150)</f>
        <v>T00572</v>
      </c>
      <c r="C1150" s="1" t="str">
        <f>IF(Raw!C1150="","",Raw!C1150)</f>
        <v>2026-02-07</v>
      </c>
      <c r="D1150" s="1">
        <f t="shared" si="136"/>
        <v>2026</v>
      </c>
      <c r="E1150" s="1">
        <f>IFERROR(IF(AND(LEN(C1150)=10,MID(C1150,5,1)="-",MID(C1150,8,1)="-"),VALUE(MID(C1150,6,2)),IF(AND(LEN(C1150)=11,MID(C1150,3,1)="-",MID(C1150,7,1)="-"),MATCH(UPPER(MID(C1150,4,3)),Guide!$D$7:$D$18,0),0)),0)</f>
        <v>2</v>
      </c>
      <c r="F1150" s="1">
        <f t="shared" si="137"/>
        <v>7</v>
      </c>
      <c r="G1150" s="9">
        <f t="shared" si="138"/>
        <v>46060</v>
      </c>
      <c r="H1150" s="1" t="str">
        <f>IF(Raw!D1150="","",Raw!D1150)</f>
        <v>P-A</v>
      </c>
      <c r="I1150" s="1" t="str">
        <f>IFERROR(IF(EXACT(H1150,INDEX(Guide!$A$7:$A$9,MATCH(SUBSTITUTE(SUBSTITUTE(SUBSTITUTE(H1150,"~","~~"),"*","~*"),"?","~?"),Guide!$A$7:$A$9,0))),INDEX(Guide!$B$7:$B$9,MATCH(SUBSTITUTE(SUBSTITUTE(SUBSTITUTE(H1150,"~","~~"),"*","~*"),"?","~?"),Guide!$A$7:$A$9,0)),""),"")</f>
        <v>Accessories</v>
      </c>
      <c r="J1150" s="1" t="str">
        <f>IF(TRIM(Raw!E1150)="",I1150,IF(UPPER(TRIM(Raw!E1150))=UPPER(I1150),I1150,""))</f>
        <v>Accessories</v>
      </c>
      <c r="K1150" s="1" t="str">
        <f>IF(Raw!F1150="","",Raw!F1150)</f>
        <v>sale</v>
      </c>
      <c r="L1150" s="1" t="str">
        <f>IF(LEFT(TRIM(Raw!G1150),2)="-$","-"&amp;MID(TRIM(Raw!G1150),3,99),IF(LEFT(TRIM(Raw!G1150),1)="$",MID(TRIM(Raw!G1150),2,99),TRIM(Raw!G1150)))</f>
        <v>135.80</v>
      </c>
      <c r="M1150" s="1">
        <f t="shared" si="139"/>
        <v>135.80000000000001</v>
      </c>
      <c r="N1150" s="10">
        <f t="shared" si="140"/>
        <v>13580</v>
      </c>
      <c r="O1150" s="1" t="b">
        <f>IFERROR(IF(ISNUMBER(Raw!G1150),TRUE,OR(EXACT(L1150,TEXT(M1150,"0.00")),EXACT(L1150,TEXT(M1150,"#,##0.00")))),FALSE)</f>
        <v>1</v>
      </c>
      <c r="P1150" s="1" t="str">
        <f>LEN(IF(Raw!A1150="","",Raw!A1150))&amp;":"&amp;IF(Raw!A1150="","",Raw!A1150)&amp;"|"&amp;LEN(IF(Raw!B1150="","",Raw!B1150))&amp;":"&amp;IF(Raw!B1150="","",Raw!B1150)&amp;"|"&amp;LEN(IF(Raw!C1150="","",Raw!C1150))&amp;":"&amp;IF(Raw!C1150="","",Raw!C1150)&amp;"|"&amp;LEN(IF(Raw!D1150="","",Raw!D1150))&amp;":"&amp;IF(Raw!D1150="","",Raw!D1150)&amp;"|"&amp;LEN(IF(Raw!E1150="","",Raw!E1150))&amp;":"&amp;IF(Raw!E1150="","",Raw!E1150)&amp;"|"&amp;LEN(IF(Raw!F1150="","",Raw!F1150))&amp;":"&amp;IF(Raw!F1150="","",Raw!F1150)&amp;"|"&amp;LEN(IF(Raw!G1150="","",Raw!G1150))&amp;":"&amp;IF(Raw!G1150="","",Raw!G1150)</f>
        <v>6:L01144|6:T00572|10:2026-02-07|3:P-A|11:Accessories|4:sale|6:135.80</v>
      </c>
      <c r="Q1150" s="1">
        <f>1</f>
        <v>1</v>
      </c>
      <c r="R1150" s="1" t="b">
        <f>FALSE</f>
        <v>0</v>
      </c>
      <c r="S1150" s="1">
        <f>1</f>
        <v>1</v>
      </c>
      <c r="T1150" s="1" t="str">
        <f>IF(AND(Raw!A1150="",Raw!B1150="",Raw!C1150="",Raw!D1150="",Raw!E1150="",Raw!F1150="",Raw!G1150=""),"UNUSED",IF(A1150="","missing line ID",IF(B1150="","missing transaction ID",IF(G1150="",IF(C1150="","missing date","invalid date"),IF(I1150="","unknown product",IF(J1150="","conflicting category",IF(NOT(OR(EXACT(K1150,"sale"),EXACT(K1150,"refund"))),"unknown event",IF(OR(N1150="",NOT(O1150)),"invalid amount",IF(OR(AND(K1150="sale",N1150&lt;=0),AND(K1150="refund",N1150&gt;=0)),"invalid sign","")))))))))</f>
        <v/>
      </c>
      <c r="U1150" s="1" t="str">
        <f t="shared" si="141"/>
        <v>INCLUDED</v>
      </c>
      <c r="V1150" s="1" t="str">
        <f t="shared" si="142"/>
        <v>2026-02</v>
      </c>
      <c r="W1150" s="1">
        <f>IF(AND(U1150="INCLUDED",X1150&gt;0,EXACT(A1150,'AI output'!A1150)),1,0)</f>
        <v>1</v>
      </c>
      <c r="X1150" s="1">
        <f>1150</f>
        <v>1150</v>
      </c>
      <c r="Y1150" s="1">
        <f>IF(AND(U1150="INCLUDED",W1150=1),--(NOT(EXACT(A1150,'AI output'!A1150)))+--(NOT(EXACT(B1150,'AI output'!B1150)))+--(NOT(EXACT(TEXT(G1150,"yyyy-mm-dd"),'AI output'!C1150)))+--(NOT(EXACT(H1150,'AI output'!D1150)))+--(NOT(EXACT(J1150,'AI output'!E1150)))+--(NOT(EXACT(K1150,'AI output'!F1150)))+--(N1150&lt;&gt;'AI output'!L1150)+--(NOT('AI output'!M1150)),0)</f>
        <v>0</v>
      </c>
      <c r="Z1150" s="1">
        <f t="shared" si="143"/>
        <v>0</v>
      </c>
      <c r="AA1150" s="1">
        <f>--EXACT(A1150,"L01144")</f>
        <v>1</v>
      </c>
    </row>
    <row r="1151" spans="1:27" ht="18.95" customHeight="1">
      <c r="A1151" s="1" t="str">
        <f>IF(Raw!A1151="","",Raw!A1151)</f>
        <v>L01145</v>
      </c>
      <c r="B1151" s="1" t="str">
        <f>IF(Raw!B1151="","",Raw!B1151)</f>
        <v>T00573</v>
      </c>
      <c r="C1151" s="1" t="str">
        <f>IF(Raw!C1151="","",Raw!C1151)</f>
        <v>2026-02-14</v>
      </c>
      <c r="D1151" s="1">
        <f t="shared" si="136"/>
        <v>2026</v>
      </c>
      <c r="E1151" s="1">
        <f>IFERROR(IF(AND(LEN(C1151)=10,MID(C1151,5,1)="-",MID(C1151,8,1)="-"),VALUE(MID(C1151,6,2)),IF(AND(LEN(C1151)=11,MID(C1151,3,1)="-",MID(C1151,7,1)="-"),MATCH(UPPER(MID(C1151,4,3)),Guide!$D$7:$D$18,0),0)),0)</f>
        <v>2</v>
      </c>
      <c r="F1151" s="1">
        <f t="shared" si="137"/>
        <v>14</v>
      </c>
      <c r="G1151" s="9">
        <f t="shared" si="138"/>
        <v>46067</v>
      </c>
      <c r="H1151" s="1" t="str">
        <f>IF(Raw!D1151="","",Raw!D1151)</f>
        <v>P-H</v>
      </c>
      <c r="I1151" s="1" t="str">
        <f>IFERROR(IF(EXACT(H1151,INDEX(Guide!$A$7:$A$9,MATCH(SUBSTITUTE(SUBSTITUTE(SUBSTITUTE(H1151,"~","~~"),"*","~*"),"?","~?"),Guide!$A$7:$A$9,0))),INDEX(Guide!$B$7:$B$9,MATCH(SUBSTITUTE(SUBSTITUTE(SUBSTITUTE(H1151,"~","~~"),"*","~*"),"?","~?"),Guide!$A$7:$A$9,0)),""),"")</f>
        <v>Home</v>
      </c>
      <c r="J1151" s="1" t="str">
        <f>IF(TRIM(Raw!E1151)="",I1151,IF(UPPER(TRIM(Raw!E1151))=UPPER(I1151),I1151,""))</f>
        <v>Home</v>
      </c>
      <c r="K1151" s="1" t="str">
        <f>IF(Raw!F1151="","",Raw!F1151)</f>
        <v>sale</v>
      </c>
      <c r="L1151" s="1" t="str">
        <f>IF(LEFT(TRIM(Raw!G1151),2)="-$","-"&amp;MID(TRIM(Raw!G1151),3,99),IF(LEFT(TRIM(Raw!G1151),1)="$",MID(TRIM(Raw!G1151),2,99),TRIM(Raw!G1151)))</f>
        <v>273.08</v>
      </c>
      <c r="M1151" s="1">
        <f t="shared" si="139"/>
        <v>273.08</v>
      </c>
      <c r="N1151" s="10">
        <f t="shared" si="140"/>
        <v>27308</v>
      </c>
      <c r="O1151" s="1" t="b">
        <f>IFERROR(IF(ISNUMBER(Raw!G1151),TRUE,OR(EXACT(L1151,TEXT(M1151,"0.00")),EXACT(L1151,TEXT(M1151,"#,##0.00")))),FALSE)</f>
        <v>1</v>
      </c>
      <c r="P1151" s="1" t="str">
        <f>LEN(IF(Raw!A1151="","",Raw!A1151))&amp;":"&amp;IF(Raw!A1151="","",Raw!A1151)&amp;"|"&amp;LEN(IF(Raw!B1151="","",Raw!B1151))&amp;":"&amp;IF(Raw!B1151="","",Raw!B1151)&amp;"|"&amp;LEN(IF(Raw!C1151="","",Raw!C1151))&amp;":"&amp;IF(Raw!C1151="","",Raw!C1151)&amp;"|"&amp;LEN(IF(Raw!D1151="","",Raw!D1151))&amp;":"&amp;IF(Raw!D1151="","",Raw!D1151)&amp;"|"&amp;LEN(IF(Raw!E1151="","",Raw!E1151))&amp;":"&amp;IF(Raw!E1151="","",Raw!E1151)&amp;"|"&amp;LEN(IF(Raw!F1151="","",Raw!F1151))&amp;":"&amp;IF(Raw!F1151="","",Raw!F1151)&amp;"|"&amp;LEN(IF(Raw!G1151="","",Raw!G1151))&amp;":"&amp;IF(Raw!G1151="","",Raw!G1151)</f>
        <v>6:L01145|6:T00573|10:2026-02-14|3:P-H|4:Home|4:sale|6:273.08</v>
      </c>
      <c r="Q1151" s="1">
        <f>1</f>
        <v>1</v>
      </c>
      <c r="R1151" s="1" t="b">
        <f>FALSE</f>
        <v>0</v>
      </c>
      <c r="S1151" s="1">
        <f>1</f>
        <v>1</v>
      </c>
      <c r="T1151" s="1" t="str">
        <f>IF(AND(Raw!A1151="",Raw!B1151="",Raw!C1151="",Raw!D1151="",Raw!E1151="",Raw!F1151="",Raw!G1151=""),"UNUSED",IF(A1151="","missing line ID",IF(B1151="","missing transaction ID",IF(G1151="",IF(C1151="","missing date","invalid date"),IF(I1151="","unknown product",IF(J1151="","conflicting category",IF(NOT(OR(EXACT(K1151,"sale"),EXACT(K1151,"refund"))),"unknown event",IF(OR(N1151="",NOT(O1151)),"invalid amount",IF(OR(AND(K1151="sale",N1151&lt;=0),AND(K1151="refund",N1151&gt;=0)),"invalid sign","")))))))))</f>
        <v/>
      </c>
      <c r="U1151" s="1" t="str">
        <f t="shared" si="141"/>
        <v>INCLUDED</v>
      </c>
      <c r="V1151" s="1" t="str">
        <f t="shared" si="142"/>
        <v>2026-02</v>
      </c>
      <c r="W1151" s="1">
        <f>IF(AND(U1151="INCLUDED",X1151&gt;0,EXACT(A1151,'AI output'!A1151)),1,0)</f>
        <v>1</v>
      </c>
      <c r="X1151" s="1">
        <f>1151</f>
        <v>1151</v>
      </c>
      <c r="Y1151" s="1">
        <f>IF(AND(U1151="INCLUDED",W1151=1),--(NOT(EXACT(A1151,'AI output'!A1151)))+--(NOT(EXACT(B1151,'AI output'!B1151)))+--(NOT(EXACT(TEXT(G1151,"yyyy-mm-dd"),'AI output'!C1151)))+--(NOT(EXACT(H1151,'AI output'!D1151)))+--(NOT(EXACT(J1151,'AI output'!E1151)))+--(NOT(EXACT(K1151,'AI output'!F1151)))+--(N1151&lt;&gt;'AI output'!L1151)+--(NOT('AI output'!M1151)),0)</f>
        <v>0</v>
      </c>
      <c r="Z1151" s="1">
        <f t="shared" si="143"/>
        <v>0</v>
      </c>
      <c r="AA1151" s="1">
        <f>--EXACT(A1151,"L01145")</f>
        <v>1</v>
      </c>
    </row>
    <row r="1152" spans="1:27" ht="18.95" customHeight="1">
      <c r="A1152" s="1" t="str">
        <f>IF(Raw!A1152="","",Raw!A1152)</f>
        <v>L01146</v>
      </c>
      <c r="B1152" s="1" t="str">
        <f>IF(Raw!B1152="","",Raw!B1152)</f>
        <v>T00573</v>
      </c>
      <c r="C1152" s="1" t="str">
        <f>IF(Raw!C1152="","",Raw!C1152)</f>
        <v>2026-02-14</v>
      </c>
      <c r="D1152" s="1">
        <f t="shared" si="136"/>
        <v>2026</v>
      </c>
      <c r="E1152" s="1">
        <f>IFERROR(IF(AND(LEN(C1152)=10,MID(C1152,5,1)="-",MID(C1152,8,1)="-"),VALUE(MID(C1152,6,2)),IF(AND(LEN(C1152)=11,MID(C1152,3,1)="-",MID(C1152,7,1)="-"),MATCH(UPPER(MID(C1152,4,3)),Guide!$D$7:$D$18,0),0)),0)</f>
        <v>2</v>
      </c>
      <c r="F1152" s="1">
        <f t="shared" si="137"/>
        <v>14</v>
      </c>
      <c r="G1152" s="9">
        <f t="shared" si="138"/>
        <v>46067</v>
      </c>
      <c r="H1152" s="1" t="str">
        <f>IF(Raw!D1152="","",Raw!D1152)</f>
        <v>P-O</v>
      </c>
      <c r="I1152" s="1" t="str">
        <f>IFERROR(IF(EXACT(H1152,INDEX(Guide!$A$7:$A$9,MATCH(SUBSTITUTE(SUBSTITUTE(SUBSTITUTE(H1152,"~","~~"),"*","~*"),"?","~?"),Guide!$A$7:$A$9,0))),INDEX(Guide!$B$7:$B$9,MATCH(SUBSTITUTE(SUBSTITUTE(SUBSTITUTE(H1152,"~","~~"),"*","~*"),"?","~?"),Guide!$A$7:$A$9,0)),""),"")</f>
        <v>Office</v>
      </c>
      <c r="J1152" s="1" t="str">
        <f>IF(TRIM(Raw!E1152)="",I1152,IF(UPPER(TRIM(Raw!E1152))=UPPER(I1152),I1152,""))</f>
        <v>Office</v>
      </c>
      <c r="K1152" s="1" t="str">
        <f>IF(Raw!F1152="","",Raw!F1152)</f>
        <v>sale</v>
      </c>
      <c r="L1152" s="1" t="str">
        <f>IF(LEFT(TRIM(Raw!G1152),2)="-$","-"&amp;MID(TRIM(Raw!G1152),3,99),IF(LEFT(TRIM(Raw!G1152),1)="$",MID(TRIM(Raw!G1152),2,99),TRIM(Raw!G1152)))</f>
        <v>68.64</v>
      </c>
      <c r="M1152" s="1">
        <f t="shared" si="139"/>
        <v>68.64</v>
      </c>
      <c r="N1152" s="10">
        <f t="shared" si="140"/>
        <v>6864</v>
      </c>
      <c r="O1152" s="1" t="b">
        <f>IFERROR(IF(ISNUMBER(Raw!G1152),TRUE,OR(EXACT(L1152,TEXT(M1152,"0.00")),EXACT(L1152,TEXT(M1152,"#,##0.00")))),FALSE)</f>
        <v>1</v>
      </c>
      <c r="P1152" s="1" t="str">
        <f>LEN(IF(Raw!A1152="","",Raw!A1152))&amp;":"&amp;IF(Raw!A1152="","",Raw!A1152)&amp;"|"&amp;LEN(IF(Raw!B1152="","",Raw!B1152))&amp;":"&amp;IF(Raw!B1152="","",Raw!B1152)&amp;"|"&amp;LEN(IF(Raw!C1152="","",Raw!C1152))&amp;":"&amp;IF(Raw!C1152="","",Raw!C1152)&amp;"|"&amp;LEN(IF(Raw!D1152="","",Raw!D1152))&amp;":"&amp;IF(Raw!D1152="","",Raw!D1152)&amp;"|"&amp;LEN(IF(Raw!E1152="","",Raw!E1152))&amp;":"&amp;IF(Raw!E1152="","",Raw!E1152)&amp;"|"&amp;LEN(IF(Raw!F1152="","",Raw!F1152))&amp;":"&amp;IF(Raw!F1152="","",Raw!F1152)&amp;"|"&amp;LEN(IF(Raw!G1152="","",Raw!G1152))&amp;":"&amp;IF(Raw!G1152="","",Raw!G1152)</f>
        <v>6:L01146|6:T00573|10:2026-02-14|3:P-O|6:Office|4:sale|5:68.64</v>
      </c>
      <c r="Q1152" s="1">
        <f>1</f>
        <v>1</v>
      </c>
      <c r="R1152" s="1" t="b">
        <f>FALSE</f>
        <v>0</v>
      </c>
      <c r="S1152" s="1">
        <f>1</f>
        <v>1</v>
      </c>
      <c r="T1152" s="1" t="str">
        <f>IF(AND(Raw!A1152="",Raw!B1152="",Raw!C1152="",Raw!D1152="",Raw!E1152="",Raw!F1152="",Raw!G1152=""),"UNUSED",IF(A1152="","missing line ID",IF(B1152="","missing transaction ID",IF(G1152="",IF(C1152="","missing date","invalid date"),IF(I1152="","unknown product",IF(J1152="","conflicting category",IF(NOT(OR(EXACT(K1152,"sale"),EXACT(K1152,"refund"))),"unknown event",IF(OR(N1152="",NOT(O1152)),"invalid amount",IF(OR(AND(K1152="sale",N1152&lt;=0),AND(K1152="refund",N1152&gt;=0)),"invalid sign","")))))))))</f>
        <v/>
      </c>
      <c r="U1152" s="1" t="str">
        <f t="shared" si="141"/>
        <v>INCLUDED</v>
      </c>
      <c r="V1152" s="1" t="str">
        <f t="shared" si="142"/>
        <v>2026-02</v>
      </c>
      <c r="W1152" s="1">
        <f>IF(AND(U1152="INCLUDED",X1152&gt;0,EXACT(A1152,'AI output'!A1152)),1,0)</f>
        <v>1</v>
      </c>
      <c r="X1152" s="1">
        <f>1152</f>
        <v>1152</v>
      </c>
      <c r="Y1152" s="1">
        <f>IF(AND(U1152="INCLUDED",W1152=1),--(NOT(EXACT(A1152,'AI output'!A1152)))+--(NOT(EXACT(B1152,'AI output'!B1152)))+--(NOT(EXACT(TEXT(G1152,"yyyy-mm-dd"),'AI output'!C1152)))+--(NOT(EXACT(H1152,'AI output'!D1152)))+--(NOT(EXACT(J1152,'AI output'!E1152)))+--(NOT(EXACT(K1152,'AI output'!F1152)))+--(N1152&lt;&gt;'AI output'!L1152)+--(NOT('AI output'!M1152)),0)</f>
        <v>0</v>
      </c>
      <c r="Z1152" s="1">
        <f t="shared" si="143"/>
        <v>0</v>
      </c>
      <c r="AA1152" s="1">
        <f>--EXACT(A1152,"L01146")</f>
        <v>1</v>
      </c>
    </row>
    <row r="1153" spans="1:27" ht="18.95" customHeight="1">
      <c r="A1153" s="1" t="str">
        <f>IF(Raw!A1153="","",Raw!A1153)</f>
        <v>L01147</v>
      </c>
      <c r="B1153" s="1" t="str">
        <f>IF(Raw!B1153="","",Raw!B1153)</f>
        <v>T00574</v>
      </c>
      <c r="C1153" s="1" t="str">
        <f>IF(Raw!C1153="","",Raw!C1153)</f>
        <v>2026-02-21</v>
      </c>
      <c r="D1153" s="1">
        <f t="shared" si="136"/>
        <v>2026</v>
      </c>
      <c r="E1153" s="1">
        <f>IFERROR(IF(AND(LEN(C1153)=10,MID(C1153,5,1)="-",MID(C1153,8,1)="-"),VALUE(MID(C1153,6,2)),IF(AND(LEN(C1153)=11,MID(C1153,3,1)="-",MID(C1153,7,1)="-"),MATCH(UPPER(MID(C1153,4,3)),Guide!$D$7:$D$18,0),0)),0)</f>
        <v>2</v>
      </c>
      <c r="F1153" s="1">
        <f t="shared" si="137"/>
        <v>21</v>
      </c>
      <c r="G1153" s="9">
        <f t="shared" si="138"/>
        <v>46074</v>
      </c>
      <c r="H1153" s="1" t="str">
        <f>IF(Raw!D1153="","",Raw!D1153)</f>
        <v>P-A</v>
      </c>
      <c r="I1153" s="1" t="str">
        <f>IFERROR(IF(EXACT(H1153,INDEX(Guide!$A$7:$A$9,MATCH(SUBSTITUTE(SUBSTITUTE(SUBSTITUTE(H1153,"~","~~"),"*","~*"),"?","~?"),Guide!$A$7:$A$9,0))),INDEX(Guide!$B$7:$B$9,MATCH(SUBSTITUTE(SUBSTITUTE(SUBSTITUTE(H1153,"~","~~"),"*","~*"),"?","~?"),Guide!$A$7:$A$9,0)),""),"")</f>
        <v>Accessories</v>
      </c>
      <c r="J1153" s="1" t="str">
        <f>IF(TRIM(Raw!E1153)="",I1153,IF(UPPER(TRIM(Raw!E1153))=UPPER(I1153),I1153,""))</f>
        <v>Accessories</v>
      </c>
      <c r="K1153" s="1" t="str">
        <f>IF(Raw!F1153="","",Raw!F1153)</f>
        <v>sale</v>
      </c>
      <c r="L1153" s="1" t="str">
        <f>IF(LEFT(TRIM(Raw!G1153),2)="-$","-"&amp;MID(TRIM(Raw!G1153),3,99),IF(LEFT(TRIM(Raw!G1153),1)="$",MID(TRIM(Raw!G1153),2,99),TRIM(Raw!G1153)))</f>
        <v>207.03</v>
      </c>
      <c r="M1153" s="1">
        <f t="shared" si="139"/>
        <v>207.03</v>
      </c>
      <c r="N1153" s="10">
        <f t="shared" si="140"/>
        <v>20703</v>
      </c>
      <c r="O1153" s="1" t="b">
        <f>IFERROR(IF(ISNUMBER(Raw!G1153),TRUE,OR(EXACT(L1153,TEXT(M1153,"0.00")),EXACT(L1153,TEXT(M1153,"#,##0.00")))),FALSE)</f>
        <v>1</v>
      </c>
      <c r="P1153" s="1" t="str">
        <f>LEN(IF(Raw!A1153="","",Raw!A1153))&amp;":"&amp;IF(Raw!A1153="","",Raw!A1153)&amp;"|"&amp;LEN(IF(Raw!B1153="","",Raw!B1153))&amp;":"&amp;IF(Raw!B1153="","",Raw!B1153)&amp;"|"&amp;LEN(IF(Raw!C1153="","",Raw!C1153))&amp;":"&amp;IF(Raw!C1153="","",Raw!C1153)&amp;"|"&amp;LEN(IF(Raw!D1153="","",Raw!D1153))&amp;":"&amp;IF(Raw!D1153="","",Raw!D1153)&amp;"|"&amp;LEN(IF(Raw!E1153="","",Raw!E1153))&amp;":"&amp;IF(Raw!E1153="","",Raw!E1153)&amp;"|"&amp;LEN(IF(Raw!F1153="","",Raw!F1153))&amp;":"&amp;IF(Raw!F1153="","",Raw!F1153)&amp;"|"&amp;LEN(IF(Raw!G1153="","",Raw!G1153))&amp;":"&amp;IF(Raw!G1153="","",Raw!G1153)</f>
        <v>6:L01147|6:T00574|10:2026-02-21|3:P-A|11:Accessories|4:sale|6:207.03</v>
      </c>
      <c r="Q1153" s="1">
        <f>1</f>
        <v>1</v>
      </c>
      <c r="R1153" s="1" t="b">
        <f>FALSE</f>
        <v>0</v>
      </c>
      <c r="S1153" s="1">
        <f>1</f>
        <v>1</v>
      </c>
      <c r="T1153" s="1" t="str">
        <f>IF(AND(Raw!A1153="",Raw!B1153="",Raw!C1153="",Raw!D1153="",Raw!E1153="",Raw!F1153="",Raw!G1153=""),"UNUSED",IF(A1153="","missing line ID",IF(B1153="","missing transaction ID",IF(G1153="",IF(C1153="","missing date","invalid date"),IF(I1153="","unknown product",IF(J1153="","conflicting category",IF(NOT(OR(EXACT(K1153,"sale"),EXACT(K1153,"refund"))),"unknown event",IF(OR(N1153="",NOT(O1153)),"invalid amount",IF(OR(AND(K1153="sale",N1153&lt;=0),AND(K1153="refund",N1153&gt;=0)),"invalid sign","")))))))))</f>
        <v/>
      </c>
      <c r="U1153" s="1" t="str">
        <f t="shared" si="141"/>
        <v>INCLUDED</v>
      </c>
      <c r="V1153" s="1" t="str">
        <f t="shared" si="142"/>
        <v>2026-02</v>
      </c>
      <c r="W1153" s="1">
        <f>IF(AND(U1153="INCLUDED",X1153&gt;0,EXACT(A1153,'AI output'!A1153)),1,0)</f>
        <v>1</v>
      </c>
      <c r="X1153" s="1">
        <f>1153</f>
        <v>1153</v>
      </c>
      <c r="Y1153" s="1">
        <f>IF(AND(U1153="INCLUDED",W1153=1),--(NOT(EXACT(A1153,'AI output'!A1153)))+--(NOT(EXACT(B1153,'AI output'!B1153)))+--(NOT(EXACT(TEXT(G1153,"yyyy-mm-dd"),'AI output'!C1153)))+--(NOT(EXACT(H1153,'AI output'!D1153)))+--(NOT(EXACT(J1153,'AI output'!E1153)))+--(NOT(EXACT(K1153,'AI output'!F1153)))+--(N1153&lt;&gt;'AI output'!L1153)+--(NOT('AI output'!M1153)),0)</f>
        <v>0</v>
      </c>
      <c r="Z1153" s="1">
        <f t="shared" si="143"/>
        <v>0</v>
      </c>
      <c r="AA1153" s="1">
        <f>--EXACT(A1153,"L01147")</f>
        <v>1</v>
      </c>
    </row>
    <row r="1154" spans="1:27" ht="18.95" customHeight="1">
      <c r="A1154" s="1" t="str">
        <f>IF(Raw!A1154="","",Raw!A1154)</f>
        <v>L01148</v>
      </c>
      <c r="B1154" s="1" t="str">
        <f>IF(Raw!B1154="","",Raw!B1154)</f>
        <v>T00574</v>
      </c>
      <c r="C1154" s="1" t="str">
        <f>IF(Raw!C1154="","",Raw!C1154)</f>
        <v>2026-02-21</v>
      </c>
      <c r="D1154" s="1">
        <f t="shared" si="136"/>
        <v>2026</v>
      </c>
      <c r="E1154" s="1">
        <f>IFERROR(IF(AND(LEN(C1154)=10,MID(C1154,5,1)="-",MID(C1154,8,1)="-"),VALUE(MID(C1154,6,2)),IF(AND(LEN(C1154)=11,MID(C1154,3,1)="-",MID(C1154,7,1)="-"),MATCH(UPPER(MID(C1154,4,3)),Guide!$D$7:$D$18,0),0)),0)</f>
        <v>2</v>
      </c>
      <c r="F1154" s="1">
        <f t="shared" si="137"/>
        <v>21</v>
      </c>
      <c r="G1154" s="9">
        <f t="shared" si="138"/>
        <v>46074</v>
      </c>
      <c r="H1154" s="1" t="str">
        <f>IF(Raw!D1154="","",Raw!D1154)</f>
        <v>P-H</v>
      </c>
      <c r="I1154" s="1" t="str">
        <f>IFERROR(IF(EXACT(H1154,INDEX(Guide!$A$7:$A$9,MATCH(SUBSTITUTE(SUBSTITUTE(SUBSTITUTE(H1154,"~","~~"),"*","~*"),"?","~?"),Guide!$A$7:$A$9,0))),INDEX(Guide!$B$7:$B$9,MATCH(SUBSTITUTE(SUBSTITUTE(SUBSTITUTE(H1154,"~","~~"),"*","~*"),"?","~?"),Guide!$A$7:$A$9,0)),""),"")</f>
        <v>Home</v>
      </c>
      <c r="J1154" s="1" t="str">
        <f>IF(TRIM(Raw!E1154)="",I1154,IF(UPPER(TRIM(Raw!E1154))=UPPER(I1154),I1154,""))</f>
        <v>Home</v>
      </c>
      <c r="K1154" s="1" t="str">
        <f>IF(Raw!F1154="","",Raw!F1154)</f>
        <v>sale</v>
      </c>
      <c r="L1154" s="1" t="str">
        <f>IF(LEFT(TRIM(Raw!G1154),2)="-$","-"&amp;MID(TRIM(Raw!G1154),3,99),IF(LEFT(TRIM(Raw!G1154),1)="$",MID(TRIM(Raw!G1154),2,99),TRIM(Raw!G1154)))</f>
        <v>346.90</v>
      </c>
      <c r="M1154" s="1">
        <f t="shared" si="139"/>
        <v>346.9</v>
      </c>
      <c r="N1154" s="10">
        <f t="shared" si="140"/>
        <v>34690</v>
      </c>
      <c r="O1154" s="1" t="b">
        <f>IFERROR(IF(ISNUMBER(Raw!G1154),TRUE,OR(EXACT(L1154,TEXT(M1154,"0.00")),EXACT(L1154,TEXT(M1154,"#,##0.00")))),FALSE)</f>
        <v>1</v>
      </c>
      <c r="P1154" s="1" t="str">
        <f>LEN(IF(Raw!A1154="","",Raw!A1154))&amp;":"&amp;IF(Raw!A1154="","",Raw!A1154)&amp;"|"&amp;LEN(IF(Raw!B1154="","",Raw!B1154))&amp;":"&amp;IF(Raw!B1154="","",Raw!B1154)&amp;"|"&amp;LEN(IF(Raw!C1154="","",Raw!C1154))&amp;":"&amp;IF(Raw!C1154="","",Raw!C1154)&amp;"|"&amp;LEN(IF(Raw!D1154="","",Raw!D1154))&amp;":"&amp;IF(Raw!D1154="","",Raw!D1154)&amp;"|"&amp;LEN(IF(Raw!E1154="","",Raw!E1154))&amp;":"&amp;IF(Raw!E1154="","",Raw!E1154)&amp;"|"&amp;LEN(IF(Raw!F1154="","",Raw!F1154))&amp;":"&amp;IF(Raw!F1154="","",Raw!F1154)&amp;"|"&amp;LEN(IF(Raw!G1154="","",Raw!G1154))&amp;":"&amp;IF(Raw!G1154="","",Raw!G1154)</f>
        <v>6:L01148|6:T00574|10:2026-02-21|3:P-H|4:Home|4:sale|6:346.90</v>
      </c>
      <c r="Q1154" s="1">
        <f>1</f>
        <v>1</v>
      </c>
      <c r="R1154" s="1" t="b">
        <f>FALSE</f>
        <v>0</v>
      </c>
      <c r="S1154" s="1">
        <f>1</f>
        <v>1</v>
      </c>
      <c r="T1154" s="1" t="str">
        <f>IF(AND(Raw!A1154="",Raw!B1154="",Raw!C1154="",Raw!D1154="",Raw!E1154="",Raw!F1154="",Raw!G1154=""),"UNUSED",IF(A1154="","missing line ID",IF(B1154="","missing transaction ID",IF(G1154="",IF(C1154="","missing date","invalid date"),IF(I1154="","unknown product",IF(J1154="","conflicting category",IF(NOT(OR(EXACT(K1154,"sale"),EXACT(K1154,"refund"))),"unknown event",IF(OR(N1154="",NOT(O1154)),"invalid amount",IF(OR(AND(K1154="sale",N1154&lt;=0),AND(K1154="refund",N1154&gt;=0)),"invalid sign","")))))))))</f>
        <v/>
      </c>
      <c r="U1154" s="1" t="str">
        <f t="shared" si="141"/>
        <v>INCLUDED</v>
      </c>
      <c r="V1154" s="1" t="str">
        <f t="shared" si="142"/>
        <v>2026-02</v>
      </c>
      <c r="W1154" s="1">
        <f>IF(AND(U1154="INCLUDED",X1154&gt;0,EXACT(A1154,'AI output'!A1154)),1,0)</f>
        <v>1</v>
      </c>
      <c r="X1154" s="1">
        <f>1154</f>
        <v>1154</v>
      </c>
      <c r="Y1154" s="1">
        <f>IF(AND(U1154="INCLUDED",W1154=1),--(NOT(EXACT(A1154,'AI output'!A1154)))+--(NOT(EXACT(B1154,'AI output'!B1154)))+--(NOT(EXACT(TEXT(G1154,"yyyy-mm-dd"),'AI output'!C1154)))+--(NOT(EXACT(H1154,'AI output'!D1154)))+--(NOT(EXACT(J1154,'AI output'!E1154)))+--(NOT(EXACT(K1154,'AI output'!F1154)))+--(N1154&lt;&gt;'AI output'!L1154)+--(NOT('AI output'!M1154)),0)</f>
        <v>0</v>
      </c>
      <c r="Z1154" s="1">
        <f t="shared" si="143"/>
        <v>0</v>
      </c>
      <c r="AA1154" s="1">
        <f>--EXACT(A1154,"L01148")</f>
        <v>1</v>
      </c>
    </row>
    <row r="1155" spans="1:27" ht="18.95" customHeight="1">
      <c r="A1155" s="1" t="str">
        <f>IF(Raw!A1155="","",Raw!A1155)</f>
        <v>L01149</v>
      </c>
      <c r="B1155" s="1" t="str">
        <f>IF(Raw!B1155="","",Raw!B1155)</f>
        <v>T00575</v>
      </c>
      <c r="C1155" s="1" t="str">
        <f>IF(Raw!C1155="","",Raw!C1155)</f>
        <v>2026-02-28</v>
      </c>
      <c r="D1155" s="1">
        <f t="shared" si="136"/>
        <v>2026</v>
      </c>
      <c r="E1155" s="1">
        <f>IFERROR(IF(AND(LEN(C1155)=10,MID(C1155,5,1)="-",MID(C1155,8,1)="-"),VALUE(MID(C1155,6,2)),IF(AND(LEN(C1155)=11,MID(C1155,3,1)="-",MID(C1155,7,1)="-"),MATCH(UPPER(MID(C1155,4,3)),Guide!$D$7:$D$18,0),0)),0)</f>
        <v>2</v>
      </c>
      <c r="F1155" s="1">
        <f t="shared" si="137"/>
        <v>28</v>
      </c>
      <c r="G1155" s="9">
        <f t="shared" si="138"/>
        <v>46081</v>
      </c>
      <c r="H1155" s="1" t="str">
        <f>IF(Raw!D1155="","",Raw!D1155)</f>
        <v>P-O</v>
      </c>
      <c r="I1155" s="1" t="str">
        <f>IFERROR(IF(EXACT(H1155,INDEX(Guide!$A$7:$A$9,MATCH(SUBSTITUTE(SUBSTITUTE(SUBSTITUTE(H1155,"~","~~"),"*","~*"),"?","~?"),Guide!$A$7:$A$9,0))),INDEX(Guide!$B$7:$B$9,MATCH(SUBSTITUTE(SUBSTITUTE(SUBSTITUTE(H1155,"~","~~"),"*","~*"),"?","~?"),Guide!$A$7:$A$9,0)),""),"")</f>
        <v>Office</v>
      </c>
      <c r="J1155" s="1" t="str">
        <f>IF(TRIM(Raw!E1155)="",I1155,IF(UPPER(TRIM(Raw!E1155))=UPPER(I1155),I1155,""))</f>
        <v>Office</v>
      </c>
      <c r="K1155" s="1" t="str">
        <f>IF(Raw!F1155="","",Raw!F1155)</f>
        <v>sale</v>
      </c>
      <c r="L1155" s="1" t="str">
        <f>IF(LEFT(TRIM(Raw!G1155),2)="-$","-"&amp;MID(TRIM(Raw!G1155),3,99),IF(LEFT(TRIM(Raw!G1155),1)="$",MID(TRIM(Raw!G1155),2,99),TRIM(Raw!G1155)))</f>
        <v>139.50</v>
      </c>
      <c r="M1155" s="1">
        <f t="shared" si="139"/>
        <v>139.5</v>
      </c>
      <c r="N1155" s="10">
        <f t="shared" si="140"/>
        <v>13950</v>
      </c>
      <c r="O1155" s="1" t="b">
        <f>IFERROR(IF(ISNUMBER(Raw!G1155),TRUE,OR(EXACT(L1155,TEXT(M1155,"0.00")),EXACT(L1155,TEXT(M1155,"#,##0.00")))),FALSE)</f>
        <v>1</v>
      </c>
      <c r="P1155" s="1" t="str">
        <f>LEN(IF(Raw!A1155="","",Raw!A1155))&amp;":"&amp;IF(Raw!A1155="","",Raw!A1155)&amp;"|"&amp;LEN(IF(Raw!B1155="","",Raw!B1155))&amp;":"&amp;IF(Raw!B1155="","",Raw!B1155)&amp;"|"&amp;LEN(IF(Raw!C1155="","",Raw!C1155))&amp;":"&amp;IF(Raw!C1155="","",Raw!C1155)&amp;"|"&amp;LEN(IF(Raw!D1155="","",Raw!D1155))&amp;":"&amp;IF(Raw!D1155="","",Raw!D1155)&amp;"|"&amp;LEN(IF(Raw!E1155="","",Raw!E1155))&amp;":"&amp;IF(Raw!E1155="","",Raw!E1155)&amp;"|"&amp;LEN(IF(Raw!F1155="","",Raw!F1155))&amp;":"&amp;IF(Raw!F1155="","",Raw!F1155)&amp;"|"&amp;LEN(IF(Raw!G1155="","",Raw!G1155))&amp;":"&amp;IF(Raw!G1155="","",Raw!G1155)</f>
        <v>6:L01149|6:T00575|10:2026-02-28|3:P-O|6:Office|4:sale|6:139.50</v>
      </c>
      <c r="Q1155" s="1">
        <f>1</f>
        <v>1</v>
      </c>
      <c r="R1155" s="1" t="b">
        <f>FALSE</f>
        <v>0</v>
      </c>
      <c r="S1155" s="1">
        <f>1</f>
        <v>1</v>
      </c>
      <c r="T1155" s="1" t="str">
        <f>IF(AND(Raw!A1155="",Raw!B1155="",Raw!C1155="",Raw!D1155="",Raw!E1155="",Raw!F1155="",Raw!G1155=""),"UNUSED",IF(A1155="","missing line ID",IF(B1155="","missing transaction ID",IF(G1155="",IF(C1155="","missing date","invalid date"),IF(I1155="","unknown product",IF(J1155="","conflicting category",IF(NOT(OR(EXACT(K1155,"sale"),EXACT(K1155,"refund"))),"unknown event",IF(OR(N1155="",NOT(O1155)),"invalid amount",IF(OR(AND(K1155="sale",N1155&lt;=0),AND(K1155="refund",N1155&gt;=0)),"invalid sign","")))))))))</f>
        <v/>
      </c>
      <c r="U1155" s="1" t="str">
        <f t="shared" si="141"/>
        <v>INCLUDED</v>
      </c>
      <c r="V1155" s="1" t="str">
        <f t="shared" si="142"/>
        <v>2026-02</v>
      </c>
      <c r="W1155" s="1">
        <f>IF(AND(U1155="INCLUDED",X1155&gt;0,EXACT(A1155,'AI output'!A1155)),1,0)</f>
        <v>1</v>
      </c>
      <c r="X1155" s="1">
        <f>1155</f>
        <v>1155</v>
      </c>
      <c r="Y1155" s="1">
        <f>IF(AND(U1155="INCLUDED",W1155=1),--(NOT(EXACT(A1155,'AI output'!A1155)))+--(NOT(EXACT(B1155,'AI output'!B1155)))+--(NOT(EXACT(TEXT(G1155,"yyyy-mm-dd"),'AI output'!C1155)))+--(NOT(EXACT(H1155,'AI output'!D1155)))+--(NOT(EXACT(J1155,'AI output'!E1155)))+--(NOT(EXACT(K1155,'AI output'!F1155)))+--(N1155&lt;&gt;'AI output'!L1155)+--(NOT('AI output'!M1155)),0)</f>
        <v>0</v>
      </c>
      <c r="Z1155" s="1">
        <f t="shared" si="143"/>
        <v>0</v>
      </c>
      <c r="AA1155" s="1">
        <f>--EXACT(A1155,"L01149")</f>
        <v>1</v>
      </c>
    </row>
    <row r="1156" spans="1:27" ht="18.95" customHeight="1">
      <c r="A1156" s="1" t="str">
        <f>IF(Raw!A1156="","",Raw!A1156)</f>
        <v>L01150</v>
      </c>
      <c r="B1156" s="1" t="str">
        <f>IF(Raw!B1156="","",Raw!B1156)</f>
        <v>T00575</v>
      </c>
      <c r="C1156" s="1" t="str">
        <f>IF(Raw!C1156="","",Raw!C1156)</f>
        <v>2026-02-28</v>
      </c>
      <c r="D1156" s="1">
        <f t="shared" si="136"/>
        <v>2026</v>
      </c>
      <c r="E1156" s="1">
        <f>IFERROR(IF(AND(LEN(C1156)=10,MID(C1156,5,1)="-",MID(C1156,8,1)="-"),VALUE(MID(C1156,6,2)),IF(AND(LEN(C1156)=11,MID(C1156,3,1)="-",MID(C1156,7,1)="-"),MATCH(UPPER(MID(C1156,4,3)),Guide!$D$7:$D$18,0),0)),0)</f>
        <v>2</v>
      </c>
      <c r="F1156" s="1">
        <f t="shared" si="137"/>
        <v>28</v>
      </c>
      <c r="G1156" s="9">
        <f t="shared" si="138"/>
        <v>46081</v>
      </c>
      <c r="H1156" s="1" t="str">
        <f>IF(Raw!D1156="","",Raw!D1156)</f>
        <v>P-A</v>
      </c>
      <c r="I1156" s="1" t="str">
        <f>IFERROR(IF(EXACT(H1156,INDEX(Guide!$A$7:$A$9,MATCH(SUBSTITUTE(SUBSTITUTE(SUBSTITUTE(H1156,"~","~~"),"*","~*"),"?","~?"),Guide!$A$7:$A$9,0))),INDEX(Guide!$B$7:$B$9,MATCH(SUBSTITUTE(SUBSTITUTE(SUBSTITUTE(H1156,"~","~~"),"*","~*"),"?","~?"),Guide!$A$7:$A$9,0)),""),"")</f>
        <v>Accessories</v>
      </c>
      <c r="J1156" s="1" t="str">
        <f>IF(TRIM(Raw!E1156)="",I1156,IF(UPPER(TRIM(Raw!E1156))=UPPER(I1156),I1156,""))</f>
        <v>Accessories</v>
      </c>
      <c r="K1156" s="1" t="str">
        <f>IF(Raw!F1156="","",Raw!F1156)</f>
        <v>sale</v>
      </c>
      <c r="L1156" s="1" t="str">
        <f>IF(LEFT(TRIM(Raw!G1156),2)="-$","-"&amp;MID(TRIM(Raw!G1156),3,99),IF(LEFT(TRIM(Raw!G1156),1)="$",MID(TRIM(Raw!G1156),2,99),TRIM(Raw!G1156)))</f>
        <v>280.48</v>
      </c>
      <c r="M1156" s="1">
        <f t="shared" si="139"/>
        <v>280.48</v>
      </c>
      <c r="N1156" s="10">
        <f t="shared" si="140"/>
        <v>28048</v>
      </c>
      <c r="O1156" s="1" t="b">
        <f>IFERROR(IF(ISNUMBER(Raw!G1156),TRUE,OR(EXACT(L1156,TEXT(M1156,"0.00")),EXACT(L1156,TEXT(M1156,"#,##0.00")))),FALSE)</f>
        <v>1</v>
      </c>
      <c r="P1156" s="1" t="str">
        <f>LEN(IF(Raw!A1156="","",Raw!A1156))&amp;":"&amp;IF(Raw!A1156="","",Raw!A1156)&amp;"|"&amp;LEN(IF(Raw!B1156="","",Raw!B1156))&amp;":"&amp;IF(Raw!B1156="","",Raw!B1156)&amp;"|"&amp;LEN(IF(Raw!C1156="","",Raw!C1156))&amp;":"&amp;IF(Raw!C1156="","",Raw!C1156)&amp;"|"&amp;LEN(IF(Raw!D1156="","",Raw!D1156))&amp;":"&amp;IF(Raw!D1156="","",Raw!D1156)&amp;"|"&amp;LEN(IF(Raw!E1156="","",Raw!E1156))&amp;":"&amp;IF(Raw!E1156="","",Raw!E1156)&amp;"|"&amp;LEN(IF(Raw!F1156="","",Raw!F1156))&amp;":"&amp;IF(Raw!F1156="","",Raw!F1156)&amp;"|"&amp;LEN(IF(Raw!G1156="","",Raw!G1156))&amp;":"&amp;IF(Raw!G1156="","",Raw!G1156)</f>
        <v>6:L01150|6:T00575|10:2026-02-28|3:P-A|11:Accessories|4:sale|6:280.48</v>
      </c>
      <c r="Q1156" s="1">
        <f>1</f>
        <v>1</v>
      </c>
      <c r="R1156" s="1" t="b">
        <f>FALSE</f>
        <v>0</v>
      </c>
      <c r="S1156" s="1">
        <f>1</f>
        <v>1</v>
      </c>
      <c r="T1156" s="1" t="str">
        <f>IF(AND(Raw!A1156="",Raw!B1156="",Raw!C1156="",Raw!D1156="",Raw!E1156="",Raw!F1156="",Raw!G1156=""),"UNUSED",IF(A1156="","missing line ID",IF(B1156="","missing transaction ID",IF(G1156="",IF(C1156="","missing date","invalid date"),IF(I1156="","unknown product",IF(J1156="","conflicting category",IF(NOT(OR(EXACT(K1156,"sale"),EXACT(K1156,"refund"))),"unknown event",IF(OR(N1156="",NOT(O1156)),"invalid amount",IF(OR(AND(K1156="sale",N1156&lt;=0),AND(K1156="refund",N1156&gt;=0)),"invalid sign","")))))))))</f>
        <v/>
      </c>
      <c r="U1156" s="1" t="str">
        <f t="shared" si="141"/>
        <v>INCLUDED</v>
      </c>
      <c r="V1156" s="1" t="str">
        <f t="shared" si="142"/>
        <v>2026-02</v>
      </c>
      <c r="W1156" s="1">
        <f>IF(AND(U1156="INCLUDED",X1156&gt;0,EXACT(A1156,'AI output'!A1156)),1,0)</f>
        <v>1</v>
      </c>
      <c r="X1156" s="1">
        <f>1156</f>
        <v>1156</v>
      </c>
      <c r="Y1156" s="1">
        <f>IF(AND(U1156="INCLUDED",W1156=1),--(NOT(EXACT(A1156,'AI output'!A1156)))+--(NOT(EXACT(B1156,'AI output'!B1156)))+--(NOT(EXACT(TEXT(G1156,"yyyy-mm-dd"),'AI output'!C1156)))+--(NOT(EXACT(H1156,'AI output'!D1156)))+--(NOT(EXACT(J1156,'AI output'!E1156)))+--(NOT(EXACT(K1156,'AI output'!F1156)))+--(N1156&lt;&gt;'AI output'!L1156)+--(NOT('AI output'!M1156)),0)</f>
        <v>0</v>
      </c>
      <c r="Z1156" s="1">
        <f t="shared" si="143"/>
        <v>0</v>
      </c>
      <c r="AA1156" s="1">
        <f>--EXACT(A1156,"L01150")</f>
        <v>1</v>
      </c>
    </row>
    <row r="1157" spans="1:27" ht="18.95" customHeight="1">
      <c r="A1157" s="1" t="str">
        <f>IF(Raw!A1157="","",Raw!A1157)</f>
        <v>L01151</v>
      </c>
      <c r="B1157" s="1" t="str">
        <f>IF(Raw!B1157="","",Raw!B1157)</f>
        <v>T00576</v>
      </c>
      <c r="C1157" s="1" t="str">
        <f>IF(Raw!C1157="","",Raw!C1157)</f>
        <v>2026-03-07</v>
      </c>
      <c r="D1157" s="1">
        <f t="shared" si="136"/>
        <v>2026</v>
      </c>
      <c r="E1157" s="1">
        <f>IFERROR(IF(AND(LEN(C1157)=10,MID(C1157,5,1)="-",MID(C1157,8,1)="-"),VALUE(MID(C1157,6,2)),IF(AND(LEN(C1157)=11,MID(C1157,3,1)="-",MID(C1157,7,1)="-"),MATCH(UPPER(MID(C1157,4,3)),Guide!$D$7:$D$18,0),0)),0)</f>
        <v>3</v>
      </c>
      <c r="F1157" s="1">
        <f t="shared" si="137"/>
        <v>7</v>
      </c>
      <c r="G1157" s="9">
        <f t="shared" si="138"/>
        <v>46088</v>
      </c>
      <c r="H1157" s="1" t="str">
        <f>IF(Raw!D1157="","",Raw!D1157)</f>
        <v>P-H</v>
      </c>
      <c r="I1157" s="1" t="str">
        <f>IFERROR(IF(EXACT(H1157,INDEX(Guide!$A$7:$A$9,MATCH(SUBSTITUTE(SUBSTITUTE(SUBSTITUTE(H1157,"~","~~"),"*","~*"),"?","~?"),Guide!$A$7:$A$9,0))),INDEX(Guide!$B$7:$B$9,MATCH(SUBSTITUTE(SUBSTITUTE(SUBSTITUTE(H1157,"~","~~"),"*","~*"),"?","~?"),Guide!$A$7:$A$9,0)),""),"")</f>
        <v>Home</v>
      </c>
      <c r="J1157" s="1" t="str">
        <f>IF(TRIM(Raw!E1157)="",I1157,IF(UPPER(TRIM(Raw!E1157))=UPPER(I1157),I1157,""))</f>
        <v>Home</v>
      </c>
      <c r="K1157" s="1" t="str">
        <f>IF(Raw!F1157="","",Raw!F1157)</f>
        <v>refund</v>
      </c>
      <c r="L1157" s="1" t="str">
        <f>IF(LEFT(TRIM(Raw!G1157),2)="-$","-"&amp;MID(TRIM(Raw!G1157),3,99),IF(LEFT(TRIM(Raw!G1157),1)="$",MID(TRIM(Raw!G1157),2,99),TRIM(Raw!G1157)))</f>
        <v>-70.49</v>
      </c>
      <c r="M1157" s="1">
        <f t="shared" si="139"/>
        <v>-70.489999999999995</v>
      </c>
      <c r="N1157" s="10">
        <f t="shared" si="140"/>
        <v>-7049</v>
      </c>
      <c r="O1157" s="1" t="b">
        <f>IFERROR(IF(ISNUMBER(Raw!G1157),TRUE,OR(EXACT(L1157,TEXT(M1157,"0.00")),EXACT(L1157,TEXT(M1157,"#,##0.00")))),FALSE)</f>
        <v>1</v>
      </c>
      <c r="P1157" s="1" t="str">
        <f>LEN(IF(Raw!A1157="","",Raw!A1157))&amp;":"&amp;IF(Raw!A1157="","",Raw!A1157)&amp;"|"&amp;LEN(IF(Raw!B1157="","",Raw!B1157))&amp;":"&amp;IF(Raw!B1157="","",Raw!B1157)&amp;"|"&amp;LEN(IF(Raw!C1157="","",Raw!C1157))&amp;":"&amp;IF(Raw!C1157="","",Raw!C1157)&amp;"|"&amp;LEN(IF(Raw!D1157="","",Raw!D1157))&amp;":"&amp;IF(Raw!D1157="","",Raw!D1157)&amp;"|"&amp;LEN(IF(Raw!E1157="","",Raw!E1157))&amp;":"&amp;IF(Raw!E1157="","",Raw!E1157)&amp;"|"&amp;LEN(IF(Raw!F1157="","",Raw!F1157))&amp;":"&amp;IF(Raw!F1157="","",Raw!F1157)&amp;"|"&amp;LEN(IF(Raw!G1157="","",Raw!G1157))&amp;":"&amp;IF(Raw!G1157="","",Raw!G1157)</f>
        <v>6:L01151|6:T00576|10:2026-03-07|3:P-H|4:Home|6:refund|6:-70.49</v>
      </c>
      <c r="Q1157" s="1">
        <f>1</f>
        <v>1</v>
      </c>
      <c r="R1157" s="1" t="b">
        <f>FALSE</f>
        <v>0</v>
      </c>
      <c r="S1157" s="1">
        <f>1</f>
        <v>1</v>
      </c>
      <c r="T1157" s="1" t="str">
        <f>IF(AND(Raw!A1157="",Raw!B1157="",Raw!C1157="",Raw!D1157="",Raw!E1157="",Raw!F1157="",Raw!G1157=""),"UNUSED",IF(A1157="","missing line ID",IF(B1157="","missing transaction ID",IF(G1157="",IF(C1157="","missing date","invalid date"),IF(I1157="","unknown product",IF(J1157="","conflicting category",IF(NOT(OR(EXACT(K1157,"sale"),EXACT(K1157,"refund"))),"unknown event",IF(OR(N1157="",NOT(O1157)),"invalid amount",IF(OR(AND(K1157="sale",N1157&lt;=0),AND(K1157="refund",N1157&gt;=0)),"invalid sign","")))))))))</f>
        <v/>
      </c>
      <c r="U1157" s="1" t="str">
        <f t="shared" si="141"/>
        <v>INCLUDED</v>
      </c>
      <c r="V1157" s="1" t="str">
        <f t="shared" si="142"/>
        <v>2026-03</v>
      </c>
      <c r="W1157" s="1">
        <f>IF(AND(U1157="INCLUDED",X1157&gt;0,EXACT(A1157,'AI output'!A1157)),1,0)</f>
        <v>1</v>
      </c>
      <c r="X1157" s="1">
        <f>1157</f>
        <v>1157</v>
      </c>
      <c r="Y1157" s="1">
        <f>IF(AND(U1157="INCLUDED",W1157=1),--(NOT(EXACT(A1157,'AI output'!A1157)))+--(NOT(EXACT(B1157,'AI output'!B1157)))+--(NOT(EXACT(TEXT(G1157,"yyyy-mm-dd"),'AI output'!C1157)))+--(NOT(EXACT(H1157,'AI output'!D1157)))+--(NOT(EXACT(J1157,'AI output'!E1157)))+--(NOT(EXACT(K1157,'AI output'!F1157)))+--(N1157&lt;&gt;'AI output'!L1157)+--(NOT('AI output'!M1157)),0)</f>
        <v>0</v>
      </c>
      <c r="Z1157" s="1">
        <f t="shared" si="143"/>
        <v>0</v>
      </c>
      <c r="AA1157" s="1">
        <f>--EXACT(A1157,"L01151")</f>
        <v>1</v>
      </c>
    </row>
    <row r="1158" spans="1:27" ht="18.95" customHeight="1">
      <c r="A1158" s="1" t="str">
        <f>IF(Raw!A1158="","",Raw!A1158)</f>
        <v>L01152</v>
      </c>
      <c r="B1158" s="1" t="str">
        <f>IF(Raw!B1158="","",Raw!B1158)</f>
        <v>T00576</v>
      </c>
      <c r="C1158" s="1" t="str">
        <f>IF(Raw!C1158="","",Raw!C1158)</f>
        <v>2026-03-07</v>
      </c>
      <c r="D1158" s="1">
        <f t="shared" si="136"/>
        <v>2026</v>
      </c>
      <c r="E1158" s="1">
        <f>IFERROR(IF(AND(LEN(C1158)=10,MID(C1158,5,1)="-",MID(C1158,8,1)="-"),VALUE(MID(C1158,6,2)),IF(AND(LEN(C1158)=11,MID(C1158,3,1)="-",MID(C1158,7,1)="-"),MATCH(UPPER(MID(C1158,4,3)),Guide!$D$7:$D$18,0),0)),0)</f>
        <v>3</v>
      </c>
      <c r="F1158" s="1">
        <f t="shared" si="137"/>
        <v>7</v>
      </c>
      <c r="G1158" s="9">
        <f t="shared" si="138"/>
        <v>46088</v>
      </c>
      <c r="H1158" s="1" t="str">
        <f>IF(Raw!D1158="","",Raw!D1158)</f>
        <v>P-O</v>
      </c>
      <c r="I1158" s="1" t="str">
        <f>IFERROR(IF(EXACT(H1158,INDEX(Guide!$A$7:$A$9,MATCH(SUBSTITUTE(SUBSTITUTE(SUBSTITUTE(H1158,"~","~~"),"*","~*"),"?","~?"),Guide!$A$7:$A$9,0))),INDEX(Guide!$B$7:$B$9,MATCH(SUBSTITUTE(SUBSTITUTE(SUBSTITUTE(H1158,"~","~~"),"*","~*"),"?","~?"),Guide!$A$7:$A$9,0)),""),"")</f>
        <v>Office</v>
      </c>
      <c r="J1158" s="1" t="str">
        <f>IF(TRIM(Raw!E1158)="",I1158,IF(UPPER(TRIM(Raw!E1158))=UPPER(I1158),I1158,""))</f>
        <v>Office</v>
      </c>
      <c r="K1158" s="1" t="str">
        <f>IF(Raw!F1158="","",Raw!F1158)</f>
        <v>sale</v>
      </c>
      <c r="L1158" s="1" t="str">
        <f>IF(LEFT(TRIM(Raw!G1158),2)="-$","-"&amp;MID(TRIM(Raw!G1158),3,99),IF(LEFT(TRIM(Raw!G1158),1)="$",MID(TRIM(Raw!G1158),2,99),TRIM(Raw!G1158)))</f>
        <v>212.58</v>
      </c>
      <c r="M1158" s="1">
        <f t="shared" si="139"/>
        <v>212.58</v>
      </c>
      <c r="N1158" s="10">
        <f t="shared" si="140"/>
        <v>21258</v>
      </c>
      <c r="O1158" s="1" t="b">
        <f>IFERROR(IF(ISNUMBER(Raw!G1158),TRUE,OR(EXACT(L1158,TEXT(M1158,"0.00")),EXACT(L1158,TEXT(M1158,"#,##0.00")))),FALSE)</f>
        <v>1</v>
      </c>
      <c r="P1158" s="1" t="str">
        <f>LEN(IF(Raw!A1158="","",Raw!A1158))&amp;":"&amp;IF(Raw!A1158="","",Raw!A1158)&amp;"|"&amp;LEN(IF(Raw!B1158="","",Raw!B1158))&amp;":"&amp;IF(Raw!B1158="","",Raw!B1158)&amp;"|"&amp;LEN(IF(Raw!C1158="","",Raw!C1158))&amp;":"&amp;IF(Raw!C1158="","",Raw!C1158)&amp;"|"&amp;LEN(IF(Raw!D1158="","",Raw!D1158))&amp;":"&amp;IF(Raw!D1158="","",Raw!D1158)&amp;"|"&amp;LEN(IF(Raw!E1158="","",Raw!E1158))&amp;":"&amp;IF(Raw!E1158="","",Raw!E1158)&amp;"|"&amp;LEN(IF(Raw!F1158="","",Raw!F1158))&amp;":"&amp;IF(Raw!F1158="","",Raw!F1158)&amp;"|"&amp;LEN(IF(Raw!G1158="","",Raw!G1158))&amp;":"&amp;IF(Raw!G1158="","",Raw!G1158)</f>
        <v>6:L01152|6:T00576|10:2026-03-07|3:P-O|6:Office|4:sale|6:212.58</v>
      </c>
      <c r="Q1158" s="1">
        <f>1</f>
        <v>1</v>
      </c>
      <c r="R1158" s="1" t="b">
        <f>FALSE</f>
        <v>0</v>
      </c>
      <c r="S1158" s="1">
        <f>1</f>
        <v>1</v>
      </c>
      <c r="T1158" s="1" t="str">
        <f>IF(AND(Raw!A1158="",Raw!B1158="",Raw!C1158="",Raw!D1158="",Raw!E1158="",Raw!F1158="",Raw!G1158=""),"UNUSED",IF(A1158="","missing line ID",IF(B1158="","missing transaction ID",IF(G1158="",IF(C1158="","missing date","invalid date"),IF(I1158="","unknown product",IF(J1158="","conflicting category",IF(NOT(OR(EXACT(K1158,"sale"),EXACT(K1158,"refund"))),"unknown event",IF(OR(N1158="",NOT(O1158)),"invalid amount",IF(OR(AND(K1158="sale",N1158&lt;=0),AND(K1158="refund",N1158&gt;=0)),"invalid sign","")))))))))</f>
        <v/>
      </c>
      <c r="U1158" s="1" t="str">
        <f t="shared" si="141"/>
        <v>INCLUDED</v>
      </c>
      <c r="V1158" s="1" t="str">
        <f t="shared" si="142"/>
        <v>2026-03</v>
      </c>
      <c r="W1158" s="1">
        <f>IF(AND(U1158="INCLUDED",X1158&gt;0,EXACT(A1158,'AI output'!A1158)),1,0)</f>
        <v>1</v>
      </c>
      <c r="X1158" s="1">
        <f>1158</f>
        <v>1158</v>
      </c>
      <c r="Y1158" s="1">
        <f>IF(AND(U1158="INCLUDED",W1158=1),--(NOT(EXACT(A1158,'AI output'!A1158)))+--(NOT(EXACT(B1158,'AI output'!B1158)))+--(NOT(EXACT(TEXT(G1158,"yyyy-mm-dd"),'AI output'!C1158)))+--(NOT(EXACT(H1158,'AI output'!D1158)))+--(NOT(EXACT(J1158,'AI output'!E1158)))+--(NOT(EXACT(K1158,'AI output'!F1158)))+--(N1158&lt;&gt;'AI output'!L1158)+--(NOT('AI output'!M1158)),0)</f>
        <v>0</v>
      </c>
      <c r="Z1158" s="1">
        <f t="shared" si="143"/>
        <v>0</v>
      </c>
      <c r="AA1158" s="1">
        <f>--EXACT(A1158,"L01152")</f>
        <v>1</v>
      </c>
    </row>
    <row r="1159" spans="1:27" ht="18.95" customHeight="1">
      <c r="A1159" s="1" t="str">
        <f>IF(Raw!A1159="","",Raw!A1159)</f>
        <v>L01153</v>
      </c>
      <c r="B1159" s="1" t="str">
        <f>IF(Raw!B1159="","",Raw!B1159)</f>
        <v>T00577</v>
      </c>
      <c r="C1159" s="1" t="str">
        <f>IF(Raw!C1159="","",Raw!C1159)</f>
        <v>2026-03-14</v>
      </c>
      <c r="D1159" s="1">
        <f t="shared" ref="D1159:D1222" si="144">IFERROR(IF(AND(LEN(C1159)=10,MID(C1159,5,1)="-",MID(C1159,8,1)="-"),VALUE(LEFT(C1159,4)),IF(AND(LEN(C1159)=11,MID(C1159,3,1)="-",MID(C1159,7,1)="-"),VALUE(RIGHT(C1159,4)),0)),0)</f>
        <v>2026</v>
      </c>
      <c r="E1159" s="1">
        <f>IFERROR(IF(AND(LEN(C1159)=10,MID(C1159,5,1)="-",MID(C1159,8,1)="-"),VALUE(MID(C1159,6,2)),IF(AND(LEN(C1159)=11,MID(C1159,3,1)="-",MID(C1159,7,1)="-"),MATCH(UPPER(MID(C1159,4,3)),Guide!$D$7:$D$18,0),0)),0)</f>
        <v>3</v>
      </c>
      <c r="F1159" s="1">
        <f t="shared" ref="F1159:F1222" si="145">IFERROR(IF(AND(LEN(C1159)=10,MID(C1159,5,1)="-",MID(C1159,8,1)="-"),VALUE(RIGHT(C1159,2)),IF(AND(LEN(C1159)=11,MID(C1159,3,1)="-",MID(C1159,7,1)="-"),VALUE(LEFT(C1159,2)),0)),0)</f>
        <v>14</v>
      </c>
      <c r="G1159" s="9">
        <f t="shared" ref="G1159:G1222" si="146">IFERROR(IF(AND(D1159&gt;=1900,D1159&lt;=9999,YEAR(DATE(D1159,E1159,F1159))=D1159,MONTH(DATE(D1159,E1159,F1159))=E1159,DAY(DATE(D1159,E1159,F1159))=F1159),DATE(D1159,E1159,F1159),""),"")</f>
        <v>46095</v>
      </c>
      <c r="H1159" s="1" t="str">
        <f>IF(Raw!D1159="","",Raw!D1159)</f>
        <v>P-A</v>
      </c>
      <c r="I1159" s="1" t="str">
        <f>IFERROR(IF(EXACT(H1159,INDEX(Guide!$A$7:$A$9,MATCH(SUBSTITUTE(SUBSTITUTE(SUBSTITUTE(H1159,"~","~~"),"*","~*"),"?","~?"),Guide!$A$7:$A$9,0))),INDEX(Guide!$B$7:$B$9,MATCH(SUBSTITUTE(SUBSTITUTE(SUBSTITUTE(H1159,"~","~~"),"*","~*"),"?","~?"),Guide!$A$7:$A$9,0)),""),"")</f>
        <v>Accessories</v>
      </c>
      <c r="J1159" s="1" t="str">
        <f>IF(TRIM(Raw!E1159)="",I1159,IF(UPPER(TRIM(Raw!E1159))=UPPER(I1159),I1159,""))</f>
        <v>Accessories</v>
      </c>
      <c r="K1159" s="1" t="str">
        <f>IF(Raw!F1159="","",Raw!F1159)</f>
        <v>sale</v>
      </c>
      <c r="L1159" s="1" t="str">
        <f>IF(LEFT(TRIM(Raw!G1159),2)="-$","-"&amp;MID(TRIM(Raw!G1159),3,99),IF(LEFT(TRIM(Raw!G1159),1)="$",MID(TRIM(Raw!G1159),2,99),TRIM(Raw!G1159)))</f>
        <v>356.15</v>
      </c>
      <c r="M1159" s="1">
        <f t="shared" ref="M1159:M1222" si="147">IFERROR(VALUE(L1159),"")</f>
        <v>356.15</v>
      </c>
      <c r="N1159" s="10">
        <f t="shared" ref="N1159:N1222" si="148">IF(AND(ISNUMBER(M1159),ABS(M1159*100-ROUND(M1159*100,0))&lt;0.0000001),ROUND(M1159*100,0),"")</f>
        <v>35615</v>
      </c>
      <c r="O1159" s="1" t="b">
        <f>IFERROR(IF(ISNUMBER(Raw!G1159),TRUE,OR(EXACT(L1159,TEXT(M1159,"0.00")),EXACT(L1159,TEXT(M1159,"#,##0.00")))),FALSE)</f>
        <v>1</v>
      </c>
      <c r="P1159" s="1" t="str">
        <f>LEN(IF(Raw!A1159="","",Raw!A1159))&amp;":"&amp;IF(Raw!A1159="","",Raw!A1159)&amp;"|"&amp;LEN(IF(Raw!B1159="","",Raw!B1159))&amp;":"&amp;IF(Raw!B1159="","",Raw!B1159)&amp;"|"&amp;LEN(IF(Raw!C1159="","",Raw!C1159))&amp;":"&amp;IF(Raw!C1159="","",Raw!C1159)&amp;"|"&amp;LEN(IF(Raw!D1159="","",Raw!D1159))&amp;":"&amp;IF(Raw!D1159="","",Raw!D1159)&amp;"|"&amp;LEN(IF(Raw!E1159="","",Raw!E1159))&amp;":"&amp;IF(Raw!E1159="","",Raw!E1159)&amp;"|"&amp;LEN(IF(Raw!F1159="","",Raw!F1159))&amp;":"&amp;IF(Raw!F1159="","",Raw!F1159)&amp;"|"&amp;LEN(IF(Raw!G1159="","",Raw!G1159))&amp;":"&amp;IF(Raw!G1159="","",Raw!G1159)</f>
        <v>6:L01153|6:T00577|10:2026-03-14|3:P-A|11:Accessories|4:sale|6:356.15</v>
      </c>
      <c r="Q1159" s="1">
        <f>1</f>
        <v>1</v>
      </c>
      <c r="R1159" s="1" t="b">
        <f>FALSE</f>
        <v>0</v>
      </c>
      <c r="S1159" s="1">
        <f>1</f>
        <v>1</v>
      </c>
      <c r="T1159" s="1" t="str">
        <f>IF(AND(Raw!A1159="",Raw!B1159="",Raw!C1159="",Raw!D1159="",Raw!E1159="",Raw!F1159="",Raw!G1159=""),"UNUSED",IF(A1159="","missing line ID",IF(B1159="","missing transaction ID",IF(G1159="",IF(C1159="","missing date","invalid date"),IF(I1159="","unknown product",IF(J1159="","conflicting category",IF(NOT(OR(EXACT(K1159,"sale"),EXACT(K1159,"refund"))),"unknown event",IF(OR(N1159="",NOT(O1159)),"invalid amount",IF(OR(AND(K1159="sale",N1159&lt;=0),AND(K1159="refund",N1159&gt;=0)),"invalid sign","")))))))))</f>
        <v/>
      </c>
      <c r="U1159" s="1" t="str">
        <f t="shared" ref="U1159:U1222" si="149">IF(T1159="UNUSED","UNUSED",IF(R1159,"QUARANTINE",IF(S1159&gt;1,"DUPLICATE",IF(T1159&lt;&gt;"","QUARANTINE","INCLUDED"))))</f>
        <v>INCLUDED</v>
      </c>
      <c r="V1159" s="1" t="str">
        <f t="shared" ref="V1159:V1222" si="150">IF(G1159="","",TEXT(G1159,"yyyy-mm"))</f>
        <v>2026-03</v>
      </c>
      <c r="W1159" s="1">
        <f>IF(AND(U1159="INCLUDED",X1159&gt;0,EXACT(A1159,'AI output'!A1159)),1,0)</f>
        <v>1</v>
      </c>
      <c r="X1159" s="1">
        <f>1159</f>
        <v>1159</v>
      </c>
      <c r="Y1159" s="1">
        <f>IF(AND(U1159="INCLUDED",W1159=1),--(NOT(EXACT(A1159,'AI output'!A1159)))+--(NOT(EXACT(B1159,'AI output'!B1159)))+--(NOT(EXACT(TEXT(G1159,"yyyy-mm-dd"),'AI output'!C1159)))+--(NOT(EXACT(H1159,'AI output'!D1159)))+--(NOT(EXACT(J1159,'AI output'!E1159)))+--(NOT(EXACT(K1159,'AI output'!F1159)))+--(N1159&lt;&gt;'AI output'!L1159)+--(NOT('AI output'!M1159)),0)</f>
        <v>0</v>
      </c>
      <c r="Z1159" s="1">
        <f t="shared" ref="Z1159:Z1222" si="151">IF(U1159="INCLUDED",IF(OR(W1159&lt;&gt;1,Y1159&lt;&gt;0),1,0),0)</f>
        <v>0</v>
      </c>
      <c r="AA1159" s="1">
        <f>--EXACT(A1159,"L01153")</f>
        <v>1</v>
      </c>
    </row>
    <row r="1160" spans="1:27" ht="18.95" customHeight="1">
      <c r="A1160" s="1" t="str">
        <f>IF(Raw!A1160="","",Raw!A1160)</f>
        <v>L01154</v>
      </c>
      <c r="B1160" s="1" t="str">
        <f>IF(Raw!B1160="","",Raw!B1160)</f>
        <v>T00577</v>
      </c>
      <c r="C1160" s="1" t="str">
        <f>IF(Raw!C1160="","",Raw!C1160)</f>
        <v>2026-03-14</v>
      </c>
      <c r="D1160" s="1">
        <f t="shared" si="144"/>
        <v>2026</v>
      </c>
      <c r="E1160" s="1">
        <f>IFERROR(IF(AND(LEN(C1160)=10,MID(C1160,5,1)="-",MID(C1160,8,1)="-"),VALUE(MID(C1160,6,2)),IF(AND(LEN(C1160)=11,MID(C1160,3,1)="-",MID(C1160,7,1)="-"),MATCH(UPPER(MID(C1160,4,3)),Guide!$D$7:$D$18,0),0)),0)</f>
        <v>3</v>
      </c>
      <c r="F1160" s="1">
        <f t="shared" si="145"/>
        <v>14</v>
      </c>
      <c r="G1160" s="9">
        <f t="shared" si="146"/>
        <v>46095</v>
      </c>
      <c r="H1160" s="1" t="str">
        <f>IF(Raw!D1160="","",Raw!D1160)</f>
        <v>P-H</v>
      </c>
      <c r="I1160" s="1" t="str">
        <f>IFERROR(IF(EXACT(H1160,INDEX(Guide!$A$7:$A$9,MATCH(SUBSTITUTE(SUBSTITUTE(SUBSTITUTE(H1160,"~","~~"),"*","~*"),"?","~?"),Guide!$A$7:$A$9,0))),INDEX(Guide!$B$7:$B$9,MATCH(SUBSTITUTE(SUBSTITUTE(SUBSTITUTE(H1160,"~","~~"),"*","~*"),"?","~?"),Guide!$A$7:$A$9,0)),""),"")</f>
        <v>Home</v>
      </c>
      <c r="J1160" s="1" t="str">
        <f>IF(TRIM(Raw!E1160)="",I1160,IF(UPPER(TRIM(Raw!E1160))=UPPER(I1160),I1160,""))</f>
        <v>Home</v>
      </c>
      <c r="K1160" s="1" t="str">
        <f>IF(Raw!F1160="","",Raw!F1160)</f>
        <v>sale</v>
      </c>
      <c r="L1160" s="1" t="str">
        <f>IF(LEFT(TRIM(Raw!G1160),2)="-$","-"&amp;MID(TRIM(Raw!G1160),3,99),IF(LEFT(TRIM(Raw!G1160),1)="$",MID(TRIM(Raw!G1160),2,99),TRIM(Raw!G1160)))</f>
        <v>143.20</v>
      </c>
      <c r="M1160" s="1">
        <f t="shared" si="147"/>
        <v>143.19999999999999</v>
      </c>
      <c r="N1160" s="10">
        <f t="shared" si="148"/>
        <v>14320</v>
      </c>
      <c r="O1160" s="1" t="b">
        <f>IFERROR(IF(ISNUMBER(Raw!G1160),TRUE,OR(EXACT(L1160,TEXT(M1160,"0.00")),EXACT(L1160,TEXT(M1160,"#,##0.00")))),FALSE)</f>
        <v>1</v>
      </c>
      <c r="P1160" s="1" t="str">
        <f>LEN(IF(Raw!A1160="","",Raw!A1160))&amp;":"&amp;IF(Raw!A1160="","",Raw!A1160)&amp;"|"&amp;LEN(IF(Raw!B1160="","",Raw!B1160))&amp;":"&amp;IF(Raw!B1160="","",Raw!B1160)&amp;"|"&amp;LEN(IF(Raw!C1160="","",Raw!C1160))&amp;":"&amp;IF(Raw!C1160="","",Raw!C1160)&amp;"|"&amp;LEN(IF(Raw!D1160="","",Raw!D1160))&amp;":"&amp;IF(Raw!D1160="","",Raw!D1160)&amp;"|"&amp;LEN(IF(Raw!E1160="","",Raw!E1160))&amp;":"&amp;IF(Raw!E1160="","",Raw!E1160)&amp;"|"&amp;LEN(IF(Raw!F1160="","",Raw!F1160))&amp;":"&amp;IF(Raw!F1160="","",Raw!F1160)&amp;"|"&amp;LEN(IF(Raw!G1160="","",Raw!G1160))&amp;":"&amp;IF(Raw!G1160="","",Raw!G1160)</f>
        <v>6:L01154|6:T00577|10:2026-03-14|3:P-H|4:Home|4:sale|6:143.20</v>
      </c>
      <c r="Q1160" s="1">
        <f>1</f>
        <v>1</v>
      </c>
      <c r="R1160" s="1" t="b">
        <f>FALSE</f>
        <v>0</v>
      </c>
      <c r="S1160" s="1">
        <f>1</f>
        <v>1</v>
      </c>
      <c r="T1160" s="1" t="str">
        <f>IF(AND(Raw!A1160="",Raw!B1160="",Raw!C1160="",Raw!D1160="",Raw!E1160="",Raw!F1160="",Raw!G1160=""),"UNUSED",IF(A1160="","missing line ID",IF(B1160="","missing transaction ID",IF(G1160="",IF(C1160="","missing date","invalid date"),IF(I1160="","unknown product",IF(J1160="","conflicting category",IF(NOT(OR(EXACT(K1160,"sale"),EXACT(K1160,"refund"))),"unknown event",IF(OR(N1160="",NOT(O1160)),"invalid amount",IF(OR(AND(K1160="sale",N1160&lt;=0),AND(K1160="refund",N1160&gt;=0)),"invalid sign","")))))))))</f>
        <v/>
      </c>
      <c r="U1160" s="1" t="str">
        <f t="shared" si="149"/>
        <v>INCLUDED</v>
      </c>
      <c r="V1160" s="1" t="str">
        <f t="shared" si="150"/>
        <v>2026-03</v>
      </c>
      <c r="W1160" s="1">
        <f>IF(AND(U1160="INCLUDED",X1160&gt;0,EXACT(A1160,'AI output'!A1160)),1,0)</f>
        <v>1</v>
      </c>
      <c r="X1160" s="1">
        <f>1160</f>
        <v>1160</v>
      </c>
      <c r="Y1160" s="1">
        <f>IF(AND(U1160="INCLUDED",W1160=1),--(NOT(EXACT(A1160,'AI output'!A1160)))+--(NOT(EXACT(B1160,'AI output'!B1160)))+--(NOT(EXACT(TEXT(G1160,"yyyy-mm-dd"),'AI output'!C1160)))+--(NOT(EXACT(H1160,'AI output'!D1160)))+--(NOT(EXACT(J1160,'AI output'!E1160)))+--(NOT(EXACT(K1160,'AI output'!F1160)))+--(N1160&lt;&gt;'AI output'!L1160)+--(NOT('AI output'!M1160)),0)</f>
        <v>0</v>
      </c>
      <c r="Z1160" s="1">
        <f t="shared" si="151"/>
        <v>0</v>
      </c>
      <c r="AA1160" s="1">
        <f>--EXACT(A1160,"L01154")</f>
        <v>1</v>
      </c>
    </row>
    <row r="1161" spans="1:27" ht="18.95" customHeight="1">
      <c r="A1161" s="1" t="str">
        <f>IF(Raw!A1161="","",Raw!A1161)</f>
        <v>L01155</v>
      </c>
      <c r="B1161" s="1" t="str">
        <f>IF(Raw!B1161="","",Raw!B1161)</f>
        <v>T00578</v>
      </c>
      <c r="C1161" s="1" t="str">
        <f>IF(Raw!C1161="","",Raw!C1161)</f>
        <v>2026-03-21</v>
      </c>
      <c r="D1161" s="1">
        <f t="shared" si="144"/>
        <v>2026</v>
      </c>
      <c r="E1161" s="1">
        <f>IFERROR(IF(AND(LEN(C1161)=10,MID(C1161,5,1)="-",MID(C1161,8,1)="-"),VALUE(MID(C1161,6,2)),IF(AND(LEN(C1161)=11,MID(C1161,3,1)="-",MID(C1161,7,1)="-"),MATCH(UPPER(MID(C1161,4,3)),Guide!$D$7:$D$18,0),0)),0)</f>
        <v>3</v>
      </c>
      <c r="F1161" s="1">
        <f t="shared" si="145"/>
        <v>21</v>
      </c>
      <c r="G1161" s="9">
        <f t="shared" si="146"/>
        <v>46102</v>
      </c>
      <c r="H1161" s="1" t="str">
        <f>IF(Raw!D1161="","",Raw!D1161)</f>
        <v>P-O</v>
      </c>
      <c r="I1161" s="1" t="str">
        <f>IFERROR(IF(EXACT(H1161,INDEX(Guide!$A$7:$A$9,MATCH(SUBSTITUTE(SUBSTITUTE(SUBSTITUTE(H1161,"~","~~"),"*","~*"),"?","~?"),Guide!$A$7:$A$9,0))),INDEX(Guide!$B$7:$B$9,MATCH(SUBSTITUTE(SUBSTITUTE(SUBSTITUTE(H1161,"~","~~"),"*","~*"),"?","~?"),Guide!$A$7:$A$9,0)),""),"")</f>
        <v>Office</v>
      </c>
      <c r="J1161" s="1" t="str">
        <f>IF(TRIM(Raw!E1161)="",I1161,IF(UPPER(TRIM(Raw!E1161))=UPPER(I1161),I1161,""))</f>
        <v>Office</v>
      </c>
      <c r="K1161" s="1" t="str">
        <f>IF(Raw!F1161="","",Raw!F1161)</f>
        <v>sale</v>
      </c>
      <c r="L1161" s="1" t="str">
        <f>IF(LEFT(TRIM(Raw!G1161),2)="-$","-"&amp;MID(TRIM(Raw!G1161),3,99),IF(LEFT(TRIM(Raw!G1161),1)="$",MID(TRIM(Raw!G1161),2,99),TRIM(Raw!G1161)))</f>
        <v>287.88</v>
      </c>
      <c r="M1161" s="1">
        <f t="shared" si="147"/>
        <v>287.88</v>
      </c>
      <c r="N1161" s="10">
        <f t="shared" si="148"/>
        <v>28788</v>
      </c>
      <c r="O1161" s="1" t="b">
        <f>IFERROR(IF(ISNUMBER(Raw!G1161),TRUE,OR(EXACT(L1161,TEXT(M1161,"0.00")),EXACT(L1161,TEXT(M1161,"#,##0.00")))),FALSE)</f>
        <v>1</v>
      </c>
      <c r="P1161" s="1" t="str">
        <f>LEN(IF(Raw!A1161="","",Raw!A1161))&amp;":"&amp;IF(Raw!A1161="","",Raw!A1161)&amp;"|"&amp;LEN(IF(Raw!B1161="","",Raw!B1161))&amp;":"&amp;IF(Raw!B1161="","",Raw!B1161)&amp;"|"&amp;LEN(IF(Raw!C1161="","",Raw!C1161))&amp;":"&amp;IF(Raw!C1161="","",Raw!C1161)&amp;"|"&amp;LEN(IF(Raw!D1161="","",Raw!D1161))&amp;":"&amp;IF(Raw!D1161="","",Raw!D1161)&amp;"|"&amp;LEN(IF(Raw!E1161="","",Raw!E1161))&amp;":"&amp;IF(Raw!E1161="","",Raw!E1161)&amp;"|"&amp;LEN(IF(Raw!F1161="","",Raw!F1161))&amp;":"&amp;IF(Raw!F1161="","",Raw!F1161)&amp;"|"&amp;LEN(IF(Raw!G1161="","",Raw!G1161))&amp;":"&amp;IF(Raw!G1161="","",Raw!G1161)</f>
        <v>6:L01155|6:T00578|10:2026-03-21|3:P-O|6:Office|4:sale|6:287.88</v>
      </c>
      <c r="Q1161" s="1">
        <f>1</f>
        <v>1</v>
      </c>
      <c r="R1161" s="1" t="b">
        <f>FALSE</f>
        <v>0</v>
      </c>
      <c r="S1161" s="1">
        <f>1</f>
        <v>1</v>
      </c>
      <c r="T1161" s="1" t="str">
        <f>IF(AND(Raw!A1161="",Raw!B1161="",Raw!C1161="",Raw!D1161="",Raw!E1161="",Raw!F1161="",Raw!G1161=""),"UNUSED",IF(A1161="","missing line ID",IF(B1161="","missing transaction ID",IF(G1161="",IF(C1161="","missing date","invalid date"),IF(I1161="","unknown product",IF(J1161="","conflicting category",IF(NOT(OR(EXACT(K1161,"sale"),EXACT(K1161,"refund"))),"unknown event",IF(OR(N1161="",NOT(O1161)),"invalid amount",IF(OR(AND(K1161="sale",N1161&lt;=0),AND(K1161="refund",N1161&gt;=0)),"invalid sign","")))))))))</f>
        <v/>
      </c>
      <c r="U1161" s="1" t="str">
        <f t="shared" si="149"/>
        <v>INCLUDED</v>
      </c>
      <c r="V1161" s="1" t="str">
        <f t="shared" si="150"/>
        <v>2026-03</v>
      </c>
      <c r="W1161" s="1">
        <f>IF(AND(U1161="INCLUDED",X1161&gt;0,EXACT(A1161,'AI output'!A1161)),1,0)</f>
        <v>1</v>
      </c>
      <c r="X1161" s="1">
        <f>1161</f>
        <v>1161</v>
      </c>
      <c r="Y1161" s="1">
        <f>IF(AND(U1161="INCLUDED",W1161=1),--(NOT(EXACT(A1161,'AI output'!A1161)))+--(NOT(EXACT(B1161,'AI output'!B1161)))+--(NOT(EXACT(TEXT(G1161,"yyyy-mm-dd"),'AI output'!C1161)))+--(NOT(EXACT(H1161,'AI output'!D1161)))+--(NOT(EXACT(J1161,'AI output'!E1161)))+--(NOT(EXACT(K1161,'AI output'!F1161)))+--(N1161&lt;&gt;'AI output'!L1161)+--(NOT('AI output'!M1161)),0)</f>
        <v>0</v>
      </c>
      <c r="Z1161" s="1">
        <f t="shared" si="151"/>
        <v>0</v>
      </c>
      <c r="AA1161" s="1">
        <f>--EXACT(A1161,"L01155")</f>
        <v>1</v>
      </c>
    </row>
    <row r="1162" spans="1:27" ht="18.95" customHeight="1">
      <c r="A1162" s="1" t="str">
        <f>IF(Raw!A1162="","",Raw!A1162)</f>
        <v>L01156</v>
      </c>
      <c r="B1162" s="1" t="str">
        <f>IF(Raw!B1162="","",Raw!B1162)</f>
        <v>T00578</v>
      </c>
      <c r="C1162" s="1" t="str">
        <f>IF(Raw!C1162="","",Raw!C1162)</f>
        <v>2026-03-21</v>
      </c>
      <c r="D1162" s="1">
        <f t="shared" si="144"/>
        <v>2026</v>
      </c>
      <c r="E1162" s="1">
        <f>IFERROR(IF(AND(LEN(C1162)=10,MID(C1162,5,1)="-",MID(C1162,8,1)="-"),VALUE(MID(C1162,6,2)),IF(AND(LEN(C1162)=11,MID(C1162,3,1)="-",MID(C1162,7,1)="-"),MATCH(UPPER(MID(C1162,4,3)),Guide!$D$7:$D$18,0),0)),0)</f>
        <v>3</v>
      </c>
      <c r="F1162" s="1">
        <f t="shared" si="145"/>
        <v>21</v>
      </c>
      <c r="G1162" s="9">
        <f t="shared" si="146"/>
        <v>46102</v>
      </c>
      <c r="H1162" s="1" t="str">
        <f>IF(Raw!D1162="","",Raw!D1162)</f>
        <v>P-A</v>
      </c>
      <c r="I1162" s="1" t="str">
        <f>IFERROR(IF(EXACT(H1162,INDEX(Guide!$A$7:$A$9,MATCH(SUBSTITUTE(SUBSTITUTE(SUBSTITUTE(H1162,"~","~~"),"*","~*"),"?","~?"),Guide!$A$7:$A$9,0))),INDEX(Guide!$B$7:$B$9,MATCH(SUBSTITUTE(SUBSTITUTE(SUBSTITUTE(H1162,"~","~~"),"*","~*"),"?","~?"),Guide!$A$7:$A$9,0)),""),"")</f>
        <v>Accessories</v>
      </c>
      <c r="J1162" s="1" t="str">
        <f>IF(TRIM(Raw!E1162)="",I1162,IF(UPPER(TRIM(Raw!E1162))=UPPER(I1162),I1162,""))</f>
        <v>Accessories</v>
      </c>
      <c r="K1162" s="1" t="str">
        <f>IF(Raw!F1162="","",Raw!F1162)</f>
        <v>sale</v>
      </c>
      <c r="L1162" s="1" t="str">
        <f>IF(LEFT(TRIM(Raw!G1162),2)="-$","-"&amp;MID(TRIM(Raw!G1162),3,99),IF(LEFT(TRIM(Raw!G1162),1)="$",MID(TRIM(Raw!G1162),2,99),TRIM(Raw!G1162)))</f>
        <v>72.34</v>
      </c>
      <c r="M1162" s="1">
        <f t="shared" si="147"/>
        <v>72.34</v>
      </c>
      <c r="N1162" s="10">
        <f t="shared" si="148"/>
        <v>7234</v>
      </c>
      <c r="O1162" s="1" t="b">
        <f>IFERROR(IF(ISNUMBER(Raw!G1162),TRUE,OR(EXACT(L1162,TEXT(M1162,"0.00")),EXACT(L1162,TEXT(M1162,"#,##0.00")))),FALSE)</f>
        <v>1</v>
      </c>
      <c r="P1162" s="1" t="str">
        <f>LEN(IF(Raw!A1162="","",Raw!A1162))&amp;":"&amp;IF(Raw!A1162="","",Raw!A1162)&amp;"|"&amp;LEN(IF(Raw!B1162="","",Raw!B1162))&amp;":"&amp;IF(Raw!B1162="","",Raw!B1162)&amp;"|"&amp;LEN(IF(Raw!C1162="","",Raw!C1162))&amp;":"&amp;IF(Raw!C1162="","",Raw!C1162)&amp;"|"&amp;LEN(IF(Raw!D1162="","",Raw!D1162))&amp;":"&amp;IF(Raw!D1162="","",Raw!D1162)&amp;"|"&amp;LEN(IF(Raw!E1162="","",Raw!E1162))&amp;":"&amp;IF(Raw!E1162="","",Raw!E1162)&amp;"|"&amp;LEN(IF(Raw!F1162="","",Raw!F1162))&amp;":"&amp;IF(Raw!F1162="","",Raw!F1162)&amp;"|"&amp;LEN(IF(Raw!G1162="","",Raw!G1162))&amp;":"&amp;IF(Raw!G1162="","",Raw!G1162)</f>
        <v>6:L01156|6:T00578|10:2026-03-21|3:P-A|0:|4:sale|6:$72.34</v>
      </c>
      <c r="Q1162" s="1">
        <f>1</f>
        <v>1</v>
      </c>
      <c r="R1162" s="1" t="b">
        <f>FALSE</f>
        <v>0</v>
      </c>
      <c r="S1162" s="1">
        <f>1</f>
        <v>1</v>
      </c>
      <c r="T1162" s="1" t="str">
        <f>IF(AND(Raw!A1162="",Raw!B1162="",Raw!C1162="",Raw!D1162="",Raw!E1162="",Raw!F1162="",Raw!G1162=""),"UNUSED",IF(A1162="","missing line ID",IF(B1162="","missing transaction ID",IF(G1162="",IF(C1162="","missing date","invalid date"),IF(I1162="","unknown product",IF(J1162="","conflicting category",IF(NOT(OR(EXACT(K1162,"sale"),EXACT(K1162,"refund"))),"unknown event",IF(OR(N1162="",NOT(O1162)),"invalid amount",IF(OR(AND(K1162="sale",N1162&lt;=0),AND(K1162="refund",N1162&gt;=0)),"invalid sign","")))))))))</f>
        <v/>
      </c>
      <c r="U1162" s="1" t="str">
        <f t="shared" si="149"/>
        <v>INCLUDED</v>
      </c>
      <c r="V1162" s="1" t="str">
        <f t="shared" si="150"/>
        <v>2026-03</v>
      </c>
      <c r="W1162" s="1">
        <f>IF(AND(U1162="INCLUDED",X1162&gt;0,EXACT(A1162,'AI output'!A1162)),1,0)</f>
        <v>1</v>
      </c>
      <c r="X1162" s="1">
        <f>1162</f>
        <v>1162</v>
      </c>
      <c r="Y1162" s="1">
        <f>IF(AND(U1162="INCLUDED",W1162=1),--(NOT(EXACT(A1162,'AI output'!A1162)))+--(NOT(EXACT(B1162,'AI output'!B1162)))+--(NOT(EXACT(TEXT(G1162,"yyyy-mm-dd"),'AI output'!C1162)))+--(NOT(EXACT(H1162,'AI output'!D1162)))+--(NOT(EXACT(J1162,'AI output'!E1162)))+--(NOT(EXACT(K1162,'AI output'!F1162)))+--(N1162&lt;&gt;'AI output'!L1162)+--(NOT('AI output'!M1162)),0)</f>
        <v>0</v>
      </c>
      <c r="Z1162" s="1">
        <f t="shared" si="151"/>
        <v>0</v>
      </c>
      <c r="AA1162" s="1">
        <f>--EXACT(A1162,"L01156")</f>
        <v>1</v>
      </c>
    </row>
    <row r="1163" spans="1:27" ht="18.95" customHeight="1">
      <c r="A1163" s="1" t="str">
        <f>IF(Raw!A1163="","",Raw!A1163)</f>
        <v>L01157</v>
      </c>
      <c r="B1163" s="1" t="str">
        <f>IF(Raw!B1163="","",Raw!B1163)</f>
        <v>T00579</v>
      </c>
      <c r="C1163" s="1" t="str">
        <f>IF(Raw!C1163="","",Raw!C1163)</f>
        <v>2026-03-28</v>
      </c>
      <c r="D1163" s="1">
        <f t="shared" si="144"/>
        <v>2026</v>
      </c>
      <c r="E1163" s="1">
        <f>IFERROR(IF(AND(LEN(C1163)=10,MID(C1163,5,1)="-",MID(C1163,8,1)="-"),VALUE(MID(C1163,6,2)),IF(AND(LEN(C1163)=11,MID(C1163,3,1)="-",MID(C1163,7,1)="-"),MATCH(UPPER(MID(C1163,4,3)),Guide!$D$7:$D$18,0),0)),0)</f>
        <v>3</v>
      </c>
      <c r="F1163" s="1">
        <f t="shared" si="145"/>
        <v>28</v>
      </c>
      <c r="G1163" s="9">
        <f t="shared" si="146"/>
        <v>46109</v>
      </c>
      <c r="H1163" s="1" t="str">
        <f>IF(Raw!D1163="","",Raw!D1163)</f>
        <v>P-H</v>
      </c>
      <c r="I1163" s="1" t="str">
        <f>IFERROR(IF(EXACT(H1163,INDEX(Guide!$A$7:$A$9,MATCH(SUBSTITUTE(SUBSTITUTE(SUBSTITUTE(H1163,"~","~~"),"*","~*"),"?","~?"),Guide!$A$7:$A$9,0))),INDEX(Guide!$B$7:$B$9,MATCH(SUBSTITUTE(SUBSTITUTE(SUBSTITUTE(H1163,"~","~~"),"*","~*"),"?","~?"),Guide!$A$7:$A$9,0)),""),"")</f>
        <v>Home</v>
      </c>
      <c r="J1163" s="1" t="str">
        <f>IF(TRIM(Raw!E1163)="",I1163,IF(UPPER(TRIM(Raw!E1163))=UPPER(I1163),I1163,""))</f>
        <v>Home</v>
      </c>
      <c r="K1163" s="1" t="str">
        <f>IF(Raw!F1163="","",Raw!F1163)</f>
        <v>sale</v>
      </c>
      <c r="L1163" s="1" t="str">
        <f>IF(LEFT(TRIM(Raw!G1163),2)="-$","-"&amp;MID(TRIM(Raw!G1163),3,99),IF(LEFT(TRIM(Raw!G1163),1)="$",MID(TRIM(Raw!G1163),2,99),TRIM(Raw!G1163)))</f>
        <v>218.13</v>
      </c>
      <c r="M1163" s="1">
        <f t="shared" si="147"/>
        <v>218.13</v>
      </c>
      <c r="N1163" s="10">
        <f t="shared" si="148"/>
        <v>21813</v>
      </c>
      <c r="O1163" s="1" t="b">
        <f>IFERROR(IF(ISNUMBER(Raw!G1163),TRUE,OR(EXACT(L1163,TEXT(M1163,"0.00")),EXACT(L1163,TEXT(M1163,"#,##0.00")))),FALSE)</f>
        <v>1</v>
      </c>
      <c r="P1163" s="1" t="str">
        <f>LEN(IF(Raw!A1163="","",Raw!A1163))&amp;":"&amp;IF(Raw!A1163="","",Raw!A1163)&amp;"|"&amp;LEN(IF(Raw!B1163="","",Raw!B1163))&amp;":"&amp;IF(Raw!B1163="","",Raw!B1163)&amp;"|"&amp;LEN(IF(Raw!C1163="","",Raw!C1163))&amp;":"&amp;IF(Raw!C1163="","",Raw!C1163)&amp;"|"&amp;LEN(IF(Raw!D1163="","",Raw!D1163))&amp;":"&amp;IF(Raw!D1163="","",Raw!D1163)&amp;"|"&amp;LEN(IF(Raw!E1163="","",Raw!E1163))&amp;":"&amp;IF(Raw!E1163="","",Raw!E1163)&amp;"|"&amp;LEN(IF(Raw!F1163="","",Raw!F1163))&amp;":"&amp;IF(Raw!F1163="","",Raw!F1163)&amp;"|"&amp;LEN(IF(Raw!G1163="","",Raw!G1163))&amp;":"&amp;IF(Raw!G1163="","",Raw!G1163)</f>
        <v>6:L01157|6:T00579|10:2026-03-28|3:P-H|4:Home|4:sale|6:218.13</v>
      </c>
      <c r="Q1163" s="1">
        <f>1</f>
        <v>1</v>
      </c>
      <c r="R1163" s="1" t="b">
        <f>FALSE</f>
        <v>0</v>
      </c>
      <c r="S1163" s="1">
        <f>1</f>
        <v>1</v>
      </c>
      <c r="T1163" s="1" t="str">
        <f>IF(AND(Raw!A1163="",Raw!B1163="",Raw!C1163="",Raw!D1163="",Raw!E1163="",Raw!F1163="",Raw!G1163=""),"UNUSED",IF(A1163="","missing line ID",IF(B1163="","missing transaction ID",IF(G1163="",IF(C1163="","missing date","invalid date"),IF(I1163="","unknown product",IF(J1163="","conflicting category",IF(NOT(OR(EXACT(K1163,"sale"),EXACT(K1163,"refund"))),"unknown event",IF(OR(N1163="",NOT(O1163)),"invalid amount",IF(OR(AND(K1163="sale",N1163&lt;=0),AND(K1163="refund",N1163&gt;=0)),"invalid sign","")))))))))</f>
        <v/>
      </c>
      <c r="U1163" s="1" t="str">
        <f t="shared" si="149"/>
        <v>INCLUDED</v>
      </c>
      <c r="V1163" s="1" t="str">
        <f t="shared" si="150"/>
        <v>2026-03</v>
      </c>
      <c r="W1163" s="1">
        <f>IF(AND(U1163="INCLUDED",X1163&gt;0,EXACT(A1163,'AI output'!A1163)),1,0)</f>
        <v>1</v>
      </c>
      <c r="X1163" s="1">
        <f>1163</f>
        <v>1163</v>
      </c>
      <c r="Y1163" s="1">
        <f>IF(AND(U1163="INCLUDED",W1163=1),--(NOT(EXACT(A1163,'AI output'!A1163)))+--(NOT(EXACT(B1163,'AI output'!B1163)))+--(NOT(EXACT(TEXT(G1163,"yyyy-mm-dd"),'AI output'!C1163)))+--(NOT(EXACT(H1163,'AI output'!D1163)))+--(NOT(EXACT(J1163,'AI output'!E1163)))+--(NOT(EXACT(K1163,'AI output'!F1163)))+--(N1163&lt;&gt;'AI output'!L1163)+--(NOT('AI output'!M1163)),0)</f>
        <v>0</v>
      </c>
      <c r="Z1163" s="1">
        <f t="shared" si="151"/>
        <v>0</v>
      </c>
      <c r="AA1163" s="1">
        <f>--EXACT(A1163,"L01157")</f>
        <v>1</v>
      </c>
    </row>
    <row r="1164" spans="1:27" ht="18.95" customHeight="1">
      <c r="A1164" s="1" t="str">
        <f>IF(Raw!A1164="","",Raw!A1164)</f>
        <v>L01158</v>
      </c>
      <c r="B1164" s="1" t="str">
        <f>IF(Raw!B1164="","",Raw!B1164)</f>
        <v>T00579</v>
      </c>
      <c r="C1164" s="1" t="str">
        <f>IF(Raw!C1164="","",Raw!C1164)</f>
        <v>2026-03-28</v>
      </c>
      <c r="D1164" s="1">
        <f t="shared" si="144"/>
        <v>2026</v>
      </c>
      <c r="E1164" s="1">
        <f>IFERROR(IF(AND(LEN(C1164)=10,MID(C1164,5,1)="-",MID(C1164,8,1)="-"),VALUE(MID(C1164,6,2)),IF(AND(LEN(C1164)=11,MID(C1164,3,1)="-",MID(C1164,7,1)="-"),MATCH(UPPER(MID(C1164,4,3)),Guide!$D$7:$D$18,0),0)),0)</f>
        <v>3</v>
      </c>
      <c r="F1164" s="1">
        <f t="shared" si="145"/>
        <v>28</v>
      </c>
      <c r="G1164" s="9">
        <f t="shared" si="146"/>
        <v>46109</v>
      </c>
      <c r="H1164" s="1" t="str">
        <f>IF(Raw!D1164="","",Raw!D1164)</f>
        <v>P-O</v>
      </c>
      <c r="I1164" s="1" t="str">
        <f>IFERROR(IF(EXACT(H1164,INDEX(Guide!$A$7:$A$9,MATCH(SUBSTITUTE(SUBSTITUTE(SUBSTITUTE(H1164,"~","~~"),"*","~*"),"?","~?"),Guide!$A$7:$A$9,0))),INDEX(Guide!$B$7:$B$9,MATCH(SUBSTITUTE(SUBSTITUTE(SUBSTITUTE(H1164,"~","~~"),"*","~*"),"?","~?"),Guide!$A$7:$A$9,0)),""),"")</f>
        <v>Office</v>
      </c>
      <c r="J1164" s="1" t="str">
        <f>IF(TRIM(Raw!E1164)="",I1164,IF(UPPER(TRIM(Raw!E1164))=UPPER(I1164),I1164,""))</f>
        <v>Office</v>
      </c>
      <c r="K1164" s="1" t="str">
        <f>IF(Raw!F1164="","",Raw!F1164)</f>
        <v>sale</v>
      </c>
      <c r="L1164" s="1" t="str">
        <f>IF(LEFT(TRIM(Raw!G1164),2)="-$","-"&amp;MID(TRIM(Raw!G1164),3,99),IF(LEFT(TRIM(Raw!G1164),1)="$",MID(TRIM(Raw!G1164),2,99),TRIM(Raw!G1164)))</f>
        <v>365.40</v>
      </c>
      <c r="M1164" s="1">
        <f t="shared" si="147"/>
        <v>365.4</v>
      </c>
      <c r="N1164" s="10">
        <f t="shared" si="148"/>
        <v>36540</v>
      </c>
      <c r="O1164" s="1" t="b">
        <f>IFERROR(IF(ISNUMBER(Raw!G1164),TRUE,OR(EXACT(L1164,TEXT(M1164,"0.00")),EXACT(L1164,TEXT(M1164,"#,##0.00")))),FALSE)</f>
        <v>1</v>
      </c>
      <c r="P1164" s="1" t="str">
        <f>LEN(IF(Raw!A1164="","",Raw!A1164))&amp;":"&amp;IF(Raw!A1164="","",Raw!A1164)&amp;"|"&amp;LEN(IF(Raw!B1164="","",Raw!B1164))&amp;":"&amp;IF(Raw!B1164="","",Raw!B1164)&amp;"|"&amp;LEN(IF(Raw!C1164="","",Raw!C1164))&amp;":"&amp;IF(Raw!C1164="","",Raw!C1164)&amp;"|"&amp;LEN(IF(Raw!D1164="","",Raw!D1164))&amp;":"&amp;IF(Raw!D1164="","",Raw!D1164)&amp;"|"&amp;LEN(IF(Raw!E1164="","",Raw!E1164))&amp;":"&amp;IF(Raw!E1164="","",Raw!E1164)&amp;"|"&amp;LEN(IF(Raw!F1164="","",Raw!F1164))&amp;":"&amp;IF(Raw!F1164="","",Raw!F1164)&amp;"|"&amp;LEN(IF(Raw!G1164="","",Raw!G1164))&amp;":"&amp;IF(Raw!G1164="","",Raw!G1164)</f>
        <v>6:L01158|6:T00579|10:2026-03-28|3:P-O|6:Office|4:sale|6:365.40</v>
      </c>
      <c r="Q1164" s="1">
        <f>1</f>
        <v>1</v>
      </c>
      <c r="R1164" s="1" t="b">
        <f>FALSE</f>
        <v>0</v>
      </c>
      <c r="S1164" s="1">
        <f>1</f>
        <v>1</v>
      </c>
      <c r="T1164" s="1" t="str">
        <f>IF(AND(Raw!A1164="",Raw!B1164="",Raw!C1164="",Raw!D1164="",Raw!E1164="",Raw!F1164="",Raw!G1164=""),"UNUSED",IF(A1164="","missing line ID",IF(B1164="","missing transaction ID",IF(G1164="",IF(C1164="","missing date","invalid date"),IF(I1164="","unknown product",IF(J1164="","conflicting category",IF(NOT(OR(EXACT(K1164,"sale"),EXACT(K1164,"refund"))),"unknown event",IF(OR(N1164="",NOT(O1164)),"invalid amount",IF(OR(AND(K1164="sale",N1164&lt;=0),AND(K1164="refund",N1164&gt;=0)),"invalid sign","")))))))))</f>
        <v/>
      </c>
      <c r="U1164" s="1" t="str">
        <f t="shared" si="149"/>
        <v>INCLUDED</v>
      </c>
      <c r="V1164" s="1" t="str">
        <f t="shared" si="150"/>
        <v>2026-03</v>
      </c>
      <c r="W1164" s="1">
        <f>IF(AND(U1164="INCLUDED",X1164&gt;0,EXACT(A1164,'AI output'!A1164)),1,0)</f>
        <v>1</v>
      </c>
      <c r="X1164" s="1">
        <f>1164</f>
        <v>1164</v>
      </c>
      <c r="Y1164" s="1">
        <f>IF(AND(U1164="INCLUDED",W1164=1),--(NOT(EXACT(A1164,'AI output'!A1164)))+--(NOT(EXACT(B1164,'AI output'!B1164)))+--(NOT(EXACT(TEXT(G1164,"yyyy-mm-dd"),'AI output'!C1164)))+--(NOT(EXACT(H1164,'AI output'!D1164)))+--(NOT(EXACT(J1164,'AI output'!E1164)))+--(NOT(EXACT(K1164,'AI output'!F1164)))+--(N1164&lt;&gt;'AI output'!L1164)+--(NOT('AI output'!M1164)),0)</f>
        <v>0</v>
      </c>
      <c r="Z1164" s="1">
        <f t="shared" si="151"/>
        <v>0</v>
      </c>
      <c r="AA1164" s="1">
        <f>--EXACT(A1164,"L01158")</f>
        <v>1</v>
      </c>
    </row>
    <row r="1165" spans="1:27" ht="18.95" customHeight="1">
      <c r="A1165" s="1" t="str">
        <f>IF(Raw!A1165="","",Raw!A1165)</f>
        <v>L01159</v>
      </c>
      <c r="B1165" s="1" t="str">
        <f>IF(Raw!B1165="","",Raw!B1165)</f>
        <v>T00580</v>
      </c>
      <c r="C1165" s="1" t="str">
        <f>IF(Raw!C1165="","",Raw!C1165)</f>
        <v>2026-01-04</v>
      </c>
      <c r="D1165" s="1">
        <f t="shared" si="144"/>
        <v>2026</v>
      </c>
      <c r="E1165" s="1">
        <f>IFERROR(IF(AND(LEN(C1165)=10,MID(C1165,5,1)="-",MID(C1165,8,1)="-"),VALUE(MID(C1165,6,2)),IF(AND(LEN(C1165)=11,MID(C1165,3,1)="-",MID(C1165,7,1)="-"),MATCH(UPPER(MID(C1165,4,3)),Guide!$D$7:$D$18,0),0)),0)</f>
        <v>1</v>
      </c>
      <c r="F1165" s="1">
        <f t="shared" si="145"/>
        <v>4</v>
      </c>
      <c r="G1165" s="9">
        <f t="shared" si="146"/>
        <v>46026</v>
      </c>
      <c r="H1165" s="1" t="str">
        <f>IF(Raw!D1165="","",Raw!D1165)</f>
        <v>P-A</v>
      </c>
      <c r="I1165" s="1" t="str">
        <f>IFERROR(IF(EXACT(H1165,INDEX(Guide!$A$7:$A$9,MATCH(SUBSTITUTE(SUBSTITUTE(SUBSTITUTE(H1165,"~","~~"),"*","~*"),"?","~?"),Guide!$A$7:$A$9,0))),INDEX(Guide!$B$7:$B$9,MATCH(SUBSTITUTE(SUBSTITUTE(SUBSTITUTE(H1165,"~","~~"),"*","~*"),"?","~?"),Guide!$A$7:$A$9,0)),""),"")</f>
        <v>Accessories</v>
      </c>
      <c r="J1165" s="1" t="str">
        <f>IF(TRIM(Raw!E1165)="",I1165,IF(UPPER(TRIM(Raw!E1165))=UPPER(I1165),I1165,""))</f>
        <v>Accessories</v>
      </c>
      <c r="K1165" s="1" t="str">
        <f>IF(Raw!F1165="","",Raw!F1165)</f>
        <v>sale</v>
      </c>
      <c r="L1165" s="1" t="str">
        <f>IF(LEFT(TRIM(Raw!G1165),2)="-$","-"&amp;MID(TRIM(Raw!G1165),3,99),IF(LEFT(TRIM(Raw!G1165),1)="$",MID(TRIM(Raw!G1165),2,99),TRIM(Raw!G1165)))</f>
        <v>146.90</v>
      </c>
      <c r="M1165" s="1">
        <f t="shared" si="147"/>
        <v>146.9</v>
      </c>
      <c r="N1165" s="10">
        <f t="shared" si="148"/>
        <v>14690</v>
      </c>
      <c r="O1165" s="1" t="b">
        <f>IFERROR(IF(ISNUMBER(Raw!G1165),TRUE,OR(EXACT(L1165,TEXT(M1165,"0.00")),EXACT(L1165,TEXT(M1165,"#,##0.00")))),FALSE)</f>
        <v>1</v>
      </c>
      <c r="P1165" s="1" t="str">
        <f>LEN(IF(Raw!A1165="","",Raw!A1165))&amp;":"&amp;IF(Raw!A1165="","",Raw!A1165)&amp;"|"&amp;LEN(IF(Raw!B1165="","",Raw!B1165))&amp;":"&amp;IF(Raw!B1165="","",Raw!B1165)&amp;"|"&amp;LEN(IF(Raw!C1165="","",Raw!C1165))&amp;":"&amp;IF(Raw!C1165="","",Raw!C1165)&amp;"|"&amp;LEN(IF(Raw!D1165="","",Raw!D1165))&amp;":"&amp;IF(Raw!D1165="","",Raw!D1165)&amp;"|"&amp;LEN(IF(Raw!E1165="","",Raw!E1165))&amp;":"&amp;IF(Raw!E1165="","",Raw!E1165)&amp;"|"&amp;LEN(IF(Raw!F1165="","",Raw!F1165))&amp;":"&amp;IF(Raw!F1165="","",Raw!F1165)&amp;"|"&amp;LEN(IF(Raw!G1165="","",Raw!G1165))&amp;":"&amp;IF(Raw!G1165="","",Raw!G1165)</f>
        <v>6:L01159|6:T00580|10:2026-01-04|3:P-A|11:Accessories|4:sale|6:146.90</v>
      </c>
      <c r="Q1165" s="1">
        <f>1</f>
        <v>1</v>
      </c>
      <c r="R1165" s="1" t="b">
        <f>FALSE</f>
        <v>0</v>
      </c>
      <c r="S1165" s="1">
        <f>1</f>
        <v>1</v>
      </c>
      <c r="T1165" s="1" t="str">
        <f>IF(AND(Raw!A1165="",Raw!B1165="",Raw!C1165="",Raw!D1165="",Raw!E1165="",Raw!F1165="",Raw!G1165=""),"UNUSED",IF(A1165="","missing line ID",IF(B1165="","missing transaction ID",IF(G1165="",IF(C1165="","missing date","invalid date"),IF(I1165="","unknown product",IF(J1165="","conflicting category",IF(NOT(OR(EXACT(K1165,"sale"),EXACT(K1165,"refund"))),"unknown event",IF(OR(N1165="",NOT(O1165)),"invalid amount",IF(OR(AND(K1165="sale",N1165&lt;=0),AND(K1165="refund",N1165&gt;=0)),"invalid sign","")))))))))</f>
        <v/>
      </c>
      <c r="U1165" s="1" t="str">
        <f t="shared" si="149"/>
        <v>INCLUDED</v>
      </c>
      <c r="V1165" s="1" t="str">
        <f t="shared" si="150"/>
        <v>2026-01</v>
      </c>
      <c r="W1165" s="1">
        <f>IF(AND(U1165="INCLUDED",X1165&gt;0,EXACT(A1165,'AI output'!A1165)),1,0)</f>
        <v>1</v>
      </c>
      <c r="X1165" s="1">
        <f>1165</f>
        <v>1165</v>
      </c>
      <c r="Y1165" s="1">
        <f>IF(AND(U1165="INCLUDED",W1165=1),--(NOT(EXACT(A1165,'AI output'!A1165)))+--(NOT(EXACT(B1165,'AI output'!B1165)))+--(NOT(EXACT(TEXT(G1165,"yyyy-mm-dd"),'AI output'!C1165)))+--(NOT(EXACT(H1165,'AI output'!D1165)))+--(NOT(EXACT(J1165,'AI output'!E1165)))+--(NOT(EXACT(K1165,'AI output'!F1165)))+--(N1165&lt;&gt;'AI output'!L1165)+--(NOT('AI output'!M1165)),0)</f>
        <v>0</v>
      </c>
      <c r="Z1165" s="1">
        <f t="shared" si="151"/>
        <v>0</v>
      </c>
      <c r="AA1165" s="1">
        <f>--EXACT(A1165,"L01159")</f>
        <v>1</v>
      </c>
    </row>
    <row r="1166" spans="1:27" ht="18.95" customHeight="1">
      <c r="A1166" s="1" t="str">
        <f>IF(Raw!A1166="","",Raw!A1166)</f>
        <v>L01160</v>
      </c>
      <c r="B1166" s="1" t="str">
        <f>IF(Raw!B1166="","",Raw!B1166)</f>
        <v>T00580</v>
      </c>
      <c r="C1166" s="1" t="str">
        <f>IF(Raw!C1166="","",Raw!C1166)</f>
        <v>2026-01-04</v>
      </c>
      <c r="D1166" s="1">
        <f t="shared" si="144"/>
        <v>2026</v>
      </c>
      <c r="E1166" s="1">
        <f>IFERROR(IF(AND(LEN(C1166)=10,MID(C1166,5,1)="-",MID(C1166,8,1)="-"),VALUE(MID(C1166,6,2)),IF(AND(LEN(C1166)=11,MID(C1166,3,1)="-",MID(C1166,7,1)="-"),MATCH(UPPER(MID(C1166,4,3)),Guide!$D$7:$D$18,0),0)),0)</f>
        <v>1</v>
      </c>
      <c r="F1166" s="1">
        <f t="shared" si="145"/>
        <v>4</v>
      </c>
      <c r="G1166" s="9">
        <f t="shared" si="146"/>
        <v>46026</v>
      </c>
      <c r="H1166" s="1" t="str">
        <f>IF(Raw!D1166="","",Raw!D1166)</f>
        <v>P-H</v>
      </c>
      <c r="I1166" s="1" t="str">
        <f>IFERROR(IF(EXACT(H1166,INDEX(Guide!$A$7:$A$9,MATCH(SUBSTITUTE(SUBSTITUTE(SUBSTITUTE(H1166,"~","~~"),"*","~*"),"?","~?"),Guide!$A$7:$A$9,0))),INDEX(Guide!$B$7:$B$9,MATCH(SUBSTITUTE(SUBSTITUTE(SUBSTITUTE(H1166,"~","~~"),"*","~*"),"?","~?"),Guide!$A$7:$A$9,0)),""),"")</f>
        <v>Home</v>
      </c>
      <c r="J1166" s="1" t="str">
        <f>IF(TRIM(Raw!E1166)="",I1166,IF(UPPER(TRIM(Raw!E1166))=UPPER(I1166),I1166,""))</f>
        <v>Home</v>
      </c>
      <c r="K1166" s="1" t="str">
        <f>IF(Raw!F1166="","",Raw!F1166)</f>
        <v>sale</v>
      </c>
      <c r="L1166" s="1" t="str">
        <f>IF(LEFT(TRIM(Raw!G1166),2)="-$","-"&amp;MID(TRIM(Raw!G1166),3,99),IF(LEFT(TRIM(Raw!G1166),1)="$",MID(TRIM(Raw!G1166),2,99),TRIM(Raw!G1166)))</f>
        <v>295.28</v>
      </c>
      <c r="M1166" s="1">
        <f t="shared" si="147"/>
        <v>295.27999999999997</v>
      </c>
      <c r="N1166" s="10">
        <f t="shared" si="148"/>
        <v>29528</v>
      </c>
      <c r="O1166" s="1" t="b">
        <f>IFERROR(IF(ISNUMBER(Raw!G1166),TRUE,OR(EXACT(L1166,TEXT(M1166,"0.00")),EXACT(L1166,TEXT(M1166,"#,##0.00")))),FALSE)</f>
        <v>1</v>
      </c>
      <c r="P1166" s="1" t="str">
        <f>LEN(IF(Raw!A1166="","",Raw!A1166))&amp;":"&amp;IF(Raw!A1166="","",Raw!A1166)&amp;"|"&amp;LEN(IF(Raw!B1166="","",Raw!B1166))&amp;":"&amp;IF(Raw!B1166="","",Raw!B1166)&amp;"|"&amp;LEN(IF(Raw!C1166="","",Raw!C1166))&amp;":"&amp;IF(Raw!C1166="","",Raw!C1166)&amp;"|"&amp;LEN(IF(Raw!D1166="","",Raw!D1166))&amp;":"&amp;IF(Raw!D1166="","",Raw!D1166)&amp;"|"&amp;LEN(IF(Raw!E1166="","",Raw!E1166))&amp;":"&amp;IF(Raw!E1166="","",Raw!E1166)&amp;"|"&amp;LEN(IF(Raw!F1166="","",Raw!F1166))&amp;":"&amp;IF(Raw!F1166="","",Raw!F1166)&amp;"|"&amp;LEN(IF(Raw!G1166="","",Raw!G1166))&amp;":"&amp;IF(Raw!G1166="","",Raw!G1166)</f>
        <v>6:L01160|6:T00580|10:2026-01-04|3:P-H|4:Home|4:sale|6:295.28</v>
      </c>
      <c r="Q1166" s="1">
        <f>1</f>
        <v>1</v>
      </c>
      <c r="R1166" s="1" t="b">
        <f>FALSE</f>
        <v>0</v>
      </c>
      <c r="S1166" s="1">
        <f>1</f>
        <v>1</v>
      </c>
      <c r="T1166" s="1" t="str">
        <f>IF(AND(Raw!A1166="",Raw!B1166="",Raw!C1166="",Raw!D1166="",Raw!E1166="",Raw!F1166="",Raw!G1166=""),"UNUSED",IF(A1166="","missing line ID",IF(B1166="","missing transaction ID",IF(G1166="",IF(C1166="","missing date","invalid date"),IF(I1166="","unknown product",IF(J1166="","conflicting category",IF(NOT(OR(EXACT(K1166,"sale"),EXACT(K1166,"refund"))),"unknown event",IF(OR(N1166="",NOT(O1166)),"invalid amount",IF(OR(AND(K1166="sale",N1166&lt;=0),AND(K1166="refund",N1166&gt;=0)),"invalid sign","")))))))))</f>
        <v/>
      </c>
      <c r="U1166" s="1" t="str">
        <f t="shared" si="149"/>
        <v>INCLUDED</v>
      </c>
      <c r="V1166" s="1" t="str">
        <f t="shared" si="150"/>
        <v>2026-01</v>
      </c>
      <c r="W1166" s="1">
        <f>IF(AND(U1166="INCLUDED",X1166&gt;0,EXACT(A1166,'AI output'!A1166)),1,0)</f>
        <v>1</v>
      </c>
      <c r="X1166" s="1">
        <f>1166</f>
        <v>1166</v>
      </c>
      <c r="Y1166" s="1">
        <f>IF(AND(U1166="INCLUDED",W1166=1),--(NOT(EXACT(A1166,'AI output'!A1166)))+--(NOT(EXACT(B1166,'AI output'!B1166)))+--(NOT(EXACT(TEXT(G1166,"yyyy-mm-dd"),'AI output'!C1166)))+--(NOT(EXACT(H1166,'AI output'!D1166)))+--(NOT(EXACT(J1166,'AI output'!E1166)))+--(NOT(EXACT(K1166,'AI output'!F1166)))+--(N1166&lt;&gt;'AI output'!L1166)+--(NOT('AI output'!M1166)),0)</f>
        <v>0</v>
      </c>
      <c r="Z1166" s="1">
        <f t="shared" si="151"/>
        <v>0</v>
      </c>
      <c r="AA1166" s="1">
        <f>--EXACT(A1166,"L01160")</f>
        <v>1</v>
      </c>
    </row>
    <row r="1167" spans="1:27" ht="18.95" customHeight="1">
      <c r="A1167" s="1" t="str">
        <f>IF(Raw!A1167="","",Raw!A1167)</f>
        <v>L01161</v>
      </c>
      <c r="B1167" s="1" t="str">
        <f>IF(Raw!B1167="","",Raw!B1167)</f>
        <v>T00581</v>
      </c>
      <c r="C1167" s="1" t="str">
        <f>IF(Raw!C1167="","",Raw!C1167)</f>
        <v>2026-01-11</v>
      </c>
      <c r="D1167" s="1">
        <f t="shared" si="144"/>
        <v>2026</v>
      </c>
      <c r="E1167" s="1">
        <f>IFERROR(IF(AND(LEN(C1167)=10,MID(C1167,5,1)="-",MID(C1167,8,1)="-"),VALUE(MID(C1167,6,2)),IF(AND(LEN(C1167)=11,MID(C1167,3,1)="-",MID(C1167,7,1)="-"),MATCH(UPPER(MID(C1167,4,3)),Guide!$D$7:$D$18,0),0)),0)</f>
        <v>1</v>
      </c>
      <c r="F1167" s="1">
        <f t="shared" si="145"/>
        <v>11</v>
      </c>
      <c r="G1167" s="9">
        <f t="shared" si="146"/>
        <v>46033</v>
      </c>
      <c r="H1167" s="1" t="str">
        <f>IF(Raw!D1167="","",Raw!D1167)</f>
        <v>P-O</v>
      </c>
      <c r="I1167" s="1" t="str">
        <f>IFERROR(IF(EXACT(H1167,INDEX(Guide!$A$7:$A$9,MATCH(SUBSTITUTE(SUBSTITUTE(SUBSTITUTE(H1167,"~","~~"),"*","~*"),"?","~?"),Guide!$A$7:$A$9,0))),INDEX(Guide!$B$7:$B$9,MATCH(SUBSTITUTE(SUBSTITUTE(SUBSTITUTE(H1167,"~","~~"),"*","~*"),"?","~?"),Guide!$A$7:$A$9,0)),""),"")</f>
        <v>Office</v>
      </c>
      <c r="J1167" s="1" t="str">
        <f>IF(TRIM(Raw!E1167)="",I1167,IF(UPPER(TRIM(Raw!E1167))=UPPER(I1167),I1167,""))</f>
        <v>Office</v>
      </c>
      <c r="K1167" s="1" t="str">
        <f>IF(Raw!F1167="","",Raw!F1167)</f>
        <v>sale</v>
      </c>
      <c r="L1167" s="1" t="str">
        <f>IF(LEFT(TRIM(Raw!G1167),2)="-$","-"&amp;MID(TRIM(Raw!G1167),3,99),IF(LEFT(TRIM(Raw!G1167),1)="$",MID(TRIM(Raw!G1167),2,99),TRIM(Raw!G1167)))</f>
        <v>74.19</v>
      </c>
      <c r="M1167" s="1">
        <f t="shared" si="147"/>
        <v>74.19</v>
      </c>
      <c r="N1167" s="10">
        <f t="shared" si="148"/>
        <v>7419</v>
      </c>
      <c r="O1167" s="1" t="b">
        <f>IFERROR(IF(ISNUMBER(Raw!G1167),TRUE,OR(EXACT(L1167,TEXT(M1167,"0.00")),EXACT(L1167,TEXT(M1167,"#,##0.00")))),FALSE)</f>
        <v>1</v>
      </c>
      <c r="P1167" s="1" t="str">
        <f>LEN(IF(Raw!A1167="","",Raw!A1167))&amp;":"&amp;IF(Raw!A1167="","",Raw!A1167)&amp;"|"&amp;LEN(IF(Raw!B1167="","",Raw!B1167))&amp;":"&amp;IF(Raw!B1167="","",Raw!B1167)&amp;"|"&amp;LEN(IF(Raw!C1167="","",Raw!C1167))&amp;":"&amp;IF(Raw!C1167="","",Raw!C1167)&amp;"|"&amp;LEN(IF(Raw!D1167="","",Raw!D1167))&amp;":"&amp;IF(Raw!D1167="","",Raw!D1167)&amp;"|"&amp;LEN(IF(Raw!E1167="","",Raw!E1167))&amp;":"&amp;IF(Raw!E1167="","",Raw!E1167)&amp;"|"&amp;LEN(IF(Raw!F1167="","",Raw!F1167))&amp;":"&amp;IF(Raw!F1167="","",Raw!F1167)&amp;"|"&amp;LEN(IF(Raw!G1167="","",Raw!G1167))&amp;":"&amp;IF(Raw!G1167="","",Raw!G1167)</f>
        <v>6:L01161|6:T00581|10:2026-01-11|3:P-O|6:Office|4:sale|5:74.19</v>
      </c>
      <c r="Q1167" s="1">
        <f>1</f>
        <v>1</v>
      </c>
      <c r="R1167" s="1" t="b">
        <f>FALSE</f>
        <v>0</v>
      </c>
      <c r="S1167" s="1">
        <f>1</f>
        <v>1</v>
      </c>
      <c r="T1167" s="1" t="str">
        <f>IF(AND(Raw!A1167="",Raw!B1167="",Raw!C1167="",Raw!D1167="",Raw!E1167="",Raw!F1167="",Raw!G1167=""),"UNUSED",IF(A1167="","missing line ID",IF(B1167="","missing transaction ID",IF(G1167="",IF(C1167="","missing date","invalid date"),IF(I1167="","unknown product",IF(J1167="","conflicting category",IF(NOT(OR(EXACT(K1167,"sale"),EXACT(K1167,"refund"))),"unknown event",IF(OR(N1167="",NOT(O1167)),"invalid amount",IF(OR(AND(K1167="sale",N1167&lt;=0),AND(K1167="refund",N1167&gt;=0)),"invalid sign","")))))))))</f>
        <v/>
      </c>
      <c r="U1167" s="1" t="str">
        <f t="shared" si="149"/>
        <v>INCLUDED</v>
      </c>
      <c r="V1167" s="1" t="str">
        <f t="shared" si="150"/>
        <v>2026-01</v>
      </c>
      <c r="W1167" s="1">
        <f>IF(AND(U1167="INCLUDED",X1167&gt;0,EXACT(A1167,'AI output'!A1167)),1,0)</f>
        <v>1</v>
      </c>
      <c r="X1167" s="1">
        <f>1167</f>
        <v>1167</v>
      </c>
      <c r="Y1167" s="1">
        <f>IF(AND(U1167="INCLUDED",W1167=1),--(NOT(EXACT(A1167,'AI output'!A1167)))+--(NOT(EXACT(B1167,'AI output'!B1167)))+--(NOT(EXACT(TEXT(G1167,"yyyy-mm-dd"),'AI output'!C1167)))+--(NOT(EXACT(H1167,'AI output'!D1167)))+--(NOT(EXACT(J1167,'AI output'!E1167)))+--(NOT(EXACT(K1167,'AI output'!F1167)))+--(N1167&lt;&gt;'AI output'!L1167)+--(NOT('AI output'!M1167)),0)</f>
        <v>0</v>
      </c>
      <c r="Z1167" s="1">
        <f t="shared" si="151"/>
        <v>0</v>
      </c>
      <c r="AA1167" s="1">
        <f>--EXACT(A1167,"L01161")</f>
        <v>1</v>
      </c>
    </row>
    <row r="1168" spans="1:27" ht="18.95" customHeight="1">
      <c r="A1168" s="1" t="str">
        <f>IF(Raw!A1168="","",Raw!A1168)</f>
        <v>L01162</v>
      </c>
      <c r="B1168" s="1" t="str">
        <f>IF(Raw!B1168="","",Raw!B1168)</f>
        <v>T00581</v>
      </c>
      <c r="C1168" s="1" t="str">
        <f>IF(Raw!C1168="","",Raw!C1168)</f>
        <v>2026-01-11</v>
      </c>
      <c r="D1168" s="1">
        <f t="shared" si="144"/>
        <v>2026</v>
      </c>
      <c r="E1168" s="1">
        <f>IFERROR(IF(AND(LEN(C1168)=10,MID(C1168,5,1)="-",MID(C1168,8,1)="-"),VALUE(MID(C1168,6,2)),IF(AND(LEN(C1168)=11,MID(C1168,3,1)="-",MID(C1168,7,1)="-"),MATCH(UPPER(MID(C1168,4,3)),Guide!$D$7:$D$18,0),0)),0)</f>
        <v>1</v>
      </c>
      <c r="F1168" s="1">
        <f t="shared" si="145"/>
        <v>11</v>
      </c>
      <c r="G1168" s="9">
        <f t="shared" si="146"/>
        <v>46033</v>
      </c>
      <c r="H1168" s="1" t="str">
        <f>IF(Raw!D1168="","",Raw!D1168)</f>
        <v>P-A</v>
      </c>
      <c r="I1168" s="1" t="str">
        <f>IFERROR(IF(EXACT(H1168,INDEX(Guide!$A$7:$A$9,MATCH(SUBSTITUTE(SUBSTITUTE(SUBSTITUTE(H1168,"~","~~"),"*","~*"),"?","~?"),Guide!$A$7:$A$9,0))),INDEX(Guide!$B$7:$B$9,MATCH(SUBSTITUTE(SUBSTITUTE(SUBSTITUTE(H1168,"~","~~"),"*","~*"),"?","~?"),Guide!$A$7:$A$9,0)),""),"")</f>
        <v>Accessories</v>
      </c>
      <c r="J1168" s="1" t="str">
        <f>IF(TRIM(Raw!E1168)="",I1168,IF(UPPER(TRIM(Raw!E1168))=UPPER(I1168),I1168,""))</f>
        <v>Accessories</v>
      </c>
      <c r="K1168" s="1" t="str">
        <f>IF(Raw!F1168="","",Raw!F1168)</f>
        <v>sale</v>
      </c>
      <c r="L1168" s="1" t="str">
        <f>IF(LEFT(TRIM(Raw!G1168),2)="-$","-"&amp;MID(TRIM(Raw!G1168),3,99),IF(LEFT(TRIM(Raw!G1168),1)="$",MID(TRIM(Raw!G1168),2,99),TRIM(Raw!G1168)))</f>
        <v>223.68</v>
      </c>
      <c r="M1168" s="1">
        <f t="shared" si="147"/>
        <v>223.68</v>
      </c>
      <c r="N1168" s="10">
        <f t="shared" si="148"/>
        <v>22368</v>
      </c>
      <c r="O1168" s="1" t="b">
        <f>IFERROR(IF(ISNUMBER(Raw!G1168),TRUE,OR(EXACT(L1168,TEXT(M1168,"0.00")),EXACT(L1168,TEXT(M1168,"#,##0.00")))),FALSE)</f>
        <v>1</v>
      </c>
      <c r="P1168" s="1" t="str">
        <f>LEN(IF(Raw!A1168="","",Raw!A1168))&amp;":"&amp;IF(Raw!A1168="","",Raw!A1168)&amp;"|"&amp;LEN(IF(Raw!B1168="","",Raw!B1168))&amp;":"&amp;IF(Raw!B1168="","",Raw!B1168)&amp;"|"&amp;LEN(IF(Raw!C1168="","",Raw!C1168))&amp;":"&amp;IF(Raw!C1168="","",Raw!C1168)&amp;"|"&amp;LEN(IF(Raw!D1168="","",Raw!D1168))&amp;":"&amp;IF(Raw!D1168="","",Raw!D1168)&amp;"|"&amp;LEN(IF(Raw!E1168="","",Raw!E1168))&amp;":"&amp;IF(Raw!E1168="","",Raw!E1168)&amp;"|"&amp;LEN(IF(Raw!F1168="","",Raw!F1168))&amp;":"&amp;IF(Raw!F1168="","",Raw!F1168)&amp;"|"&amp;LEN(IF(Raw!G1168="","",Raw!G1168))&amp;":"&amp;IF(Raw!G1168="","",Raw!G1168)</f>
        <v>6:L01162|6:T00581|10:2026-01-11|3:P-A|11:Accessories|4:sale|6:223.68</v>
      </c>
      <c r="Q1168" s="1">
        <f>1</f>
        <v>1</v>
      </c>
      <c r="R1168" s="1" t="b">
        <f>FALSE</f>
        <v>0</v>
      </c>
      <c r="S1168" s="1">
        <f>1</f>
        <v>1</v>
      </c>
      <c r="T1168" s="1" t="str">
        <f>IF(AND(Raw!A1168="",Raw!B1168="",Raw!C1168="",Raw!D1168="",Raw!E1168="",Raw!F1168="",Raw!G1168=""),"UNUSED",IF(A1168="","missing line ID",IF(B1168="","missing transaction ID",IF(G1168="",IF(C1168="","missing date","invalid date"),IF(I1168="","unknown product",IF(J1168="","conflicting category",IF(NOT(OR(EXACT(K1168,"sale"),EXACT(K1168,"refund"))),"unknown event",IF(OR(N1168="",NOT(O1168)),"invalid amount",IF(OR(AND(K1168="sale",N1168&lt;=0),AND(K1168="refund",N1168&gt;=0)),"invalid sign","")))))))))</f>
        <v/>
      </c>
      <c r="U1168" s="1" t="str">
        <f t="shared" si="149"/>
        <v>INCLUDED</v>
      </c>
      <c r="V1168" s="1" t="str">
        <f t="shared" si="150"/>
        <v>2026-01</v>
      </c>
      <c r="W1168" s="1">
        <f>IF(AND(U1168="INCLUDED",X1168&gt;0,EXACT(A1168,'AI output'!A1168)),1,0)</f>
        <v>1</v>
      </c>
      <c r="X1168" s="1">
        <f>1168</f>
        <v>1168</v>
      </c>
      <c r="Y1168" s="1">
        <f>IF(AND(U1168="INCLUDED",W1168=1),--(NOT(EXACT(A1168,'AI output'!A1168)))+--(NOT(EXACT(B1168,'AI output'!B1168)))+--(NOT(EXACT(TEXT(G1168,"yyyy-mm-dd"),'AI output'!C1168)))+--(NOT(EXACT(H1168,'AI output'!D1168)))+--(NOT(EXACT(J1168,'AI output'!E1168)))+--(NOT(EXACT(K1168,'AI output'!F1168)))+--(N1168&lt;&gt;'AI output'!L1168)+--(NOT('AI output'!M1168)),0)</f>
        <v>0</v>
      </c>
      <c r="Z1168" s="1">
        <f t="shared" si="151"/>
        <v>0</v>
      </c>
      <c r="AA1168" s="1">
        <f>--EXACT(A1168,"L01162")</f>
        <v>1</v>
      </c>
    </row>
    <row r="1169" spans="1:27" ht="18.95" customHeight="1">
      <c r="A1169" s="1" t="str">
        <f>IF(Raw!A1169="","",Raw!A1169)</f>
        <v>L01163</v>
      </c>
      <c r="B1169" s="1" t="str">
        <f>IF(Raw!B1169="","",Raw!B1169)</f>
        <v>T00582</v>
      </c>
      <c r="C1169" s="1" t="str">
        <f>IF(Raw!C1169="","",Raw!C1169)</f>
        <v>2026-01-18</v>
      </c>
      <c r="D1169" s="1">
        <f t="shared" si="144"/>
        <v>2026</v>
      </c>
      <c r="E1169" s="1">
        <f>IFERROR(IF(AND(LEN(C1169)=10,MID(C1169,5,1)="-",MID(C1169,8,1)="-"),VALUE(MID(C1169,6,2)),IF(AND(LEN(C1169)=11,MID(C1169,3,1)="-",MID(C1169,7,1)="-"),MATCH(UPPER(MID(C1169,4,3)),Guide!$D$7:$D$18,0),0)),0)</f>
        <v>1</v>
      </c>
      <c r="F1169" s="1">
        <f t="shared" si="145"/>
        <v>18</v>
      </c>
      <c r="G1169" s="9">
        <f t="shared" si="146"/>
        <v>46040</v>
      </c>
      <c r="H1169" s="1" t="str">
        <f>IF(Raw!D1169="","",Raw!D1169)</f>
        <v>P-H</v>
      </c>
      <c r="I1169" s="1" t="str">
        <f>IFERROR(IF(EXACT(H1169,INDEX(Guide!$A$7:$A$9,MATCH(SUBSTITUTE(SUBSTITUTE(SUBSTITUTE(H1169,"~","~~"),"*","~*"),"?","~?"),Guide!$A$7:$A$9,0))),INDEX(Guide!$B$7:$B$9,MATCH(SUBSTITUTE(SUBSTITUTE(SUBSTITUTE(H1169,"~","~~"),"*","~*"),"?","~?"),Guide!$A$7:$A$9,0)),""),"")</f>
        <v>Home</v>
      </c>
      <c r="J1169" s="1" t="str">
        <f>IF(TRIM(Raw!E1169)="",I1169,IF(UPPER(TRIM(Raw!E1169))=UPPER(I1169),I1169,""))</f>
        <v>Home</v>
      </c>
      <c r="K1169" s="1" t="str">
        <f>IF(Raw!F1169="","",Raw!F1169)</f>
        <v>sale</v>
      </c>
      <c r="L1169" s="1" t="str">
        <f>IF(LEFT(TRIM(Raw!G1169),2)="-$","-"&amp;MID(TRIM(Raw!G1169),3,99),IF(LEFT(TRIM(Raw!G1169),1)="$",MID(TRIM(Raw!G1169),2,99),TRIM(Raw!G1169)))</f>
        <v>374.65</v>
      </c>
      <c r="M1169" s="1">
        <f t="shared" si="147"/>
        <v>374.65</v>
      </c>
      <c r="N1169" s="10">
        <f t="shared" si="148"/>
        <v>37465</v>
      </c>
      <c r="O1169" s="1" t="b">
        <f>IFERROR(IF(ISNUMBER(Raw!G1169),TRUE,OR(EXACT(L1169,TEXT(M1169,"0.00")),EXACT(L1169,TEXT(M1169,"#,##0.00")))),FALSE)</f>
        <v>1</v>
      </c>
      <c r="P1169" s="1" t="str">
        <f>LEN(IF(Raw!A1169="","",Raw!A1169))&amp;":"&amp;IF(Raw!A1169="","",Raw!A1169)&amp;"|"&amp;LEN(IF(Raw!B1169="","",Raw!B1169))&amp;":"&amp;IF(Raw!B1169="","",Raw!B1169)&amp;"|"&amp;LEN(IF(Raw!C1169="","",Raw!C1169))&amp;":"&amp;IF(Raw!C1169="","",Raw!C1169)&amp;"|"&amp;LEN(IF(Raw!D1169="","",Raw!D1169))&amp;":"&amp;IF(Raw!D1169="","",Raw!D1169)&amp;"|"&amp;LEN(IF(Raw!E1169="","",Raw!E1169))&amp;":"&amp;IF(Raw!E1169="","",Raw!E1169)&amp;"|"&amp;LEN(IF(Raw!F1169="","",Raw!F1169))&amp;":"&amp;IF(Raw!F1169="","",Raw!F1169)&amp;"|"&amp;LEN(IF(Raw!G1169="","",Raw!G1169))&amp;":"&amp;IF(Raw!G1169="","",Raw!G1169)</f>
        <v>6:L01163|6:T00582|10:2026-01-18|3:P-H|4:Home|4:sale|6:374.65</v>
      </c>
      <c r="Q1169" s="1">
        <f>1</f>
        <v>1</v>
      </c>
      <c r="R1169" s="1" t="b">
        <f>FALSE</f>
        <v>0</v>
      </c>
      <c r="S1169" s="1">
        <f>1</f>
        <v>1</v>
      </c>
      <c r="T1169" s="1" t="str">
        <f>IF(AND(Raw!A1169="",Raw!B1169="",Raw!C1169="",Raw!D1169="",Raw!E1169="",Raw!F1169="",Raw!G1169=""),"UNUSED",IF(A1169="","missing line ID",IF(B1169="","missing transaction ID",IF(G1169="",IF(C1169="","missing date","invalid date"),IF(I1169="","unknown product",IF(J1169="","conflicting category",IF(NOT(OR(EXACT(K1169,"sale"),EXACT(K1169,"refund"))),"unknown event",IF(OR(N1169="",NOT(O1169)),"invalid amount",IF(OR(AND(K1169="sale",N1169&lt;=0),AND(K1169="refund",N1169&gt;=0)),"invalid sign","")))))))))</f>
        <v/>
      </c>
      <c r="U1169" s="1" t="str">
        <f t="shared" si="149"/>
        <v>INCLUDED</v>
      </c>
      <c r="V1169" s="1" t="str">
        <f t="shared" si="150"/>
        <v>2026-01</v>
      </c>
      <c r="W1169" s="1">
        <f>IF(AND(U1169="INCLUDED",X1169&gt;0,EXACT(A1169,'AI output'!A1169)),1,0)</f>
        <v>1</v>
      </c>
      <c r="X1169" s="1">
        <f>1169</f>
        <v>1169</v>
      </c>
      <c r="Y1169" s="1">
        <f>IF(AND(U1169="INCLUDED",W1169=1),--(NOT(EXACT(A1169,'AI output'!A1169)))+--(NOT(EXACT(B1169,'AI output'!B1169)))+--(NOT(EXACT(TEXT(G1169,"yyyy-mm-dd"),'AI output'!C1169)))+--(NOT(EXACT(H1169,'AI output'!D1169)))+--(NOT(EXACT(J1169,'AI output'!E1169)))+--(NOT(EXACT(K1169,'AI output'!F1169)))+--(N1169&lt;&gt;'AI output'!L1169)+--(NOT('AI output'!M1169)),0)</f>
        <v>0</v>
      </c>
      <c r="Z1169" s="1">
        <f t="shared" si="151"/>
        <v>0</v>
      </c>
      <c r="AA1169" s="1">
        <f>--EXACT(A1169,"L01163")</f>
        <v>1</v>
      </c>
    </row>
    <row r="1170" spans="1:27" ht="18.95" customHeight="1">
      <c r="A1170" s="1" t="str">
        <f>IF(Raw!A1170="","",Raw!A1170)</f>
        <v>L01164</v>
      </c>
      <c r="B1170" s="1" t="str">
        <f>IF(Raw!B1170="","",Raw!B1170)</f>
        <v>T00582</v>
      </c>
      <c r="C1170" s="1" t="str">
        <f>IF(Raw!C1170="","",Raw!C1170)</f>
        <v>2026-01-18</v>
      </c>
      <c r="D1170" s="1">
        <f t="shared" si="144"/>
        <v>2026</v>
      </c>
      <c r="E1170" s="1">
        <f>IFERROR(IF(AND(LEN(C1170)=10,MID(C1170,5,1)="-",MID(C1170,8,1)="-"),VALUE(MID(C1170,6,2)),IF(AND(LEN(C1170)=11,MID(C1170,3,1)="-",MID(C1170,7,1)="-"),MATCH(UPPER(MID(C1170,4,3)),Guide!$D$7:$D$18,0),0)),0)</f>
        <v>1</v>
      </c>
      <c r="F1170" s="1">
        <f t="shared" si="145"/>
        <v>18</v>
      </c>
      <c r="G1170" s="9">
        <f t="shared" si="146"/>
        <v>46040</v>
      </c>
      <c r="H1170" s="1" t="str">
        <f>IF(Raw!D1170="","",Raw!D1170)</f>
        <v>P-O</v>
      </c>
      <c r="I1170" s="1" t="str">
        <f>IFERROR(IF(EXACT(H1170,INDEX(Guide!$A$7:$A$9,MATCH(SUBSTITUTE(SUBSTITUTE(SUBSTITUTE(H1170,"~","~~"),"*","~*"),"?","~?"),Guide!$A$7:$A$9,0))),INDEX(Guide!$B$7:$B$9,MATCH(SUBSTITUTE(SUBSTITUTE(SUBSTITUTE(H1170,"~","~~"),"*","~*"),"?","~?"),Guide!$A$7:$A$9,0)),""),"")</f>
        <v>Office</v>
      </c>
      <c r="J1170" s="1" t="str">
        <f>IF(TRIM(Raw!E1170)="",I1170,IF(UPPER(TRIM(Raw!E1170))=UPPER(I1170),I1170,""))</f>
        <v>Office</v>
      </c>
      <c r="K1170" s="1" t="str">
        <f>IF(Raw!F1170="","",Raw!F1170)</f>
        <v>sale</v>
      </c>
      <c r="L1170" s="1" t="str">
        <f>IF(LEFT(TRIM(Raw!G1170),2)="-$","-"&amp;MID(TRIM(Raw!G1170),3,99),IF(LEFT(TRIM(Raw!G1170),1)="$",MID(TRIM(Raw!G1170),2,99),TRIM(Raw!G1170)))</f>
        <v>150.60</v>
      </c>
      <c r="M1170" s="1">
        <f t="shared" si="147"/>
        <v>150.6</v>
      </c>
      <c r="N1170" s="10">
        <f t="shared" si="148"/>
        <v>15060</v>
      </c>
      <c r="O1170" s="1" t="b">
        <f>IFERROR(IF(ISNUMBER(Raw!G1170),TRUE,OR(EXACT(L1170,TEXT(M1170,"0.00")),EXACT(L1170,TEXT(M1170,"#,##0.00")))),FALSE)</f>
        <v>1</v>
      </c>
      <c r="P1170" s="1" t="str">
        <f>LEN(IF(Raw!A1170="","",Raw!A1170))&amp;":"&amp;IF(Raw!A1170="","",Raw!A1170)&amp;"|"&amp;LEN(IF(Raw!B1170="","",Raw!B1170))&amp;":"&amp;IF(Raw!B1170="","",Raw!B1170)&amp;"|"&amp;LEN(IF(Raw!C1170="","",Raw!C1170))&amp;":"&amp;IF(Raw!C1170="","",Raw!C1170)&amp;"|"&amp;LEN(IF(Raw!D1170="","",Raw!D1170))&amp;":"&amp;IF(Raw!D1170="","",Raw!D1170)&amp;"|"&amp;LEN(IF(Raw!E1170="","",Raw!E1170))&amp;":"&amp;IF(Raw!E1170="","",Raw!E1170)&amp;"|"&amp;LEN(IF(Raw!F1170="","",Raw!F1170))&amp;":"&amp;IF(Raw!F1170="","",Raw!F1170)&amp;"|"&amp;LEN(IF(Raw!G1170="","",Raw!G1170))&amp;":"&amp;IF(Raw!G1170="","",Raw!G1170)</f>
        <v>6:L01164|6:T00582|10:2026-01-18|3:P-O|6:Office|4:sale|6:150.60</v>
      </c>
      <c r="Q1170" s="1">
        <f>1</f>
        <v>1</v>
      </c>
      <c r="R1170" s="1" t="b">
        <f>FALSE</f>
        <v>0</v>
      </c>
      <c r="S1170" s="1">
        <f>1</f>
        <v>1</v>
      </c>
      <c r="T1170" s="1" t="str">
        <f>IF(AND(Raw!A1170="",Raw!B1170="",Raw!C1170="",Raw!D1170="",Raw!E1170="",Raw!F1170="",Raw!G1170=""),"UNUSED",IF(A1170="","missing line ID",IF(B1170="","missing transaction ID",IF(G1170="",IF(C1170="","missing date","invalid date"),IF(I1170="","unknown product",IF(J1170="","conflicting category",IF(NOT(OR(EXACT(K1170,"sale"),EXACT(K1170,"refund"))),"unknown event",IF(OR(N1170="",NOT(O1170)),"invalid amount",IF(OR(AND(K1170="sale",N1170&lt;=0),AND(K1170="refund",N1170&gt;=0)),"invalid sign","")))))))))</f>
        <v/>
      </c>
      <c r="U1170" s="1" t="str">
        <f t="shared" si="149"/>
        <v>INCLUDED</v>
      </c>
      <c r="V1170" s="1" t="str">
        <f t="shared" si="150"/>
        <v>2026-01</v>
      </c>
      <c r="W1170" s="1">
        <f>IF(AND(U1170="INCLUDED",X1170&gt;0,EXACT(A1170,'AI output'!A1170)),1,0)</f>
        <v>1</v>
      </c>
      <c r="X1170" s="1">
        <f>1170</f>
        <v>1170</v>
      </c>
      <c r="Y1170" s="1">
        <f>IF(AND(U1170="INCLUDED",W1170=1),--(NOT(EXACT(A1170,'AI output'!A1170)))+--(NOT(EXACT(B1170,'AI output'!B1170)))+--(NOT(EXACT(TEXT(G1170,"yyyy-mm-dd"),'AI output'!C1170)))+--(NOT(EXACT(H1170,'AI output'!D1170)))+--(NOT(EXACT(J1170,'AI output'!E1170)))+--(NOT(EXACT(K1170,'AI output'!F1170)))+--(N1170&lt;&gt;'AI output'!L1170)+--(NOT('AI output'!M1170)),0)</f>
        <v>0</v>
      </c>
      <c r="Z1170" s="1">
        <f t="shared" si="151"/>
        <v>0</v>
      </c>
      <c r="AA1170" s="1">
        <f>--EXACT(A1170,"L01164")</f>
        <v>1</v>
      </c>
    </row>
    <row r="1171" spans="1:27" ht="18.95" customHeight="1">
      <c r="A1171" s="1" t="str">
        <f>IF(Raw!A1171="","",Raw!A1171)</f>
        <v>L01165</v>
      </c>
      <c r="B1171" s="1" t="str">
        <f>IF(Raw!B1171="","",Raw!B1171)</f>
        <v>T00583</v>
      </c>
      <c r="C1171" s="1" t="str">
        <f>IF(Raw!C1171="","",Raw!C1171)</f>
        <v>2026-01-25</v>
      </c>
      <c r="D1171" s="1">
        <f t="shared" si="144"/>
        <v>2026</v>
      </c>
      <c r="E1171" s="1">
        <f>IFERROR(IF(AND(LEN(C1171)=10,MID(C1171,5,1)="-",MID(C1171,8,1)="-"),VALUE(MID(C1171,6,2)),IF(AND(LEN(C1171)=11,MID(C1171,3,1)="-",MID(C1171,7,1)="-"),MATCH(UPPER(MID(C1171,4,3)),Guide!$D$7:$D$18,0),0)),0)</f>
        <v>1</v>
      </c>
      <c r="F1171" s="1">
        <f t="shared" si="145"/>
        <v>25</v>
      </c>
      <c r="G1171" s="9">
        <f t="shared" si="146"/>
        <v>46047</v>
      </c>
      <c r="H1171" s="1" t="str">
        <f>IF(Raw!D1171="","",Raw!D1171)</f>
        <v>P-A</v>
      </c>
      <c r="I1171" s="1" t="str">
        <f>IFERROR(IF(EXACT(H1171,INDEX(Guide!$A$7:$A$9,MATCH(SUBSTITUTE(SUBSTITUTE(SUBSTITUTE(H1171,"~","~~"),"*","~*"),"?","~?"),Guide!$A$7:$A$9,0))),INDEX(Guide!$B$7:$B$9,MATCH(SUBSTITUTE(SUBSTITUTE(SUBSTITUTE(H1171,"~","~~"),"*","~*"),"?","~?"),Guide!$A$7:$A$9,0)),""),"")</f>
        <v>Accessories</v>
      </c>
      <c r="J1171" s="1" t="str">
        <f>IF(TRIM(Raw!E1171)="",I1171,IF(UPPER(TRIM(Raw!E1171))=UPPER(I1171),I1171,""))</f>
        <v>Accessories</v>
      </c>
      <c r="K1171" s="1" t="str">
        <f>IF(Raw!F1171="","",Raw!F1171)</f>
        <v>sale</v>
      </c>
      <c r="L1171" s="1" t="str">
        <f>IF(LEFT(TRIM(Raw!G1171),2)="-$","-"&amp;MID(TRIM(Raw!G1171),3,99),IF(LEFT(TRIM(Raw!G1171),1)="$",MID(TRIM(Raw!G1171),2,99),TRIM(Raw!G1171)))</f>
        <v>302.68</v>
      </c>
      <c r="M1171" s="1">
        <f t="shared" si="147"/>
        <v>302.68</v>
      </c>
      <c r="N1171" s="10">
        <f t="shared" si="148"/>
        <v>30268</v>
      </c>
      <c r="O1171" s="1" t="b">
        <f>IFERROR(IF(ISNUMBER(Raw!G1171),TRUE,OR(EXACT(L1171,TEXT(M1171,"0.00")),EXACT(L1171,TEXT(M1171,"#,##0.00")))),FALSE)</f>
        <v>1</v>
      </c>
      <c r="P1171" s="1" t="str">
        <f>LEN(IF(Raw!A1171="","",Raw!A1171))&amp;":"&amp;IF(Raw!A1171="","",Raw!A1171)&amp;"|"&amp;LEN(IF(Raw!B1171="","",Raw!B1171))&amp;":"&amp;IF(Raw!B1171="","",Raw!B1171)&amp;"|"&amp;LEN(IF(Raw!C1171="","",Raw!C1171))&amp;":"&amp;IF(Raw!C1171="","",Raw!C1171)&amp;"|"&amp;LEN(IF(Raw!D1171="","",Raw!D1171))&amp;":"&amp;IF(Raw!D1171="","",Raw!D1171)&amp;"|"&amp;LEN(IF(Raw!E1171="","",Raw!E1171))&amp;":"&amp;IF(Raw!E1171="","",Raw!E1171)&amp;"|"&amp;LEN(IF(Raw!F1171="","",Raw!F1171))&amp;":"&amp;IF(Raw!F1171="","",Raw!F1171)&amp;"|"&amp;LEN(IF(Raw!G1171="","",Raw!G1171))&amp;":"&amp;IF(Raw!G1171="","",Raw!G1171)</f>
        <v>6:L01165|6:T00583|10:2026-01-25|3:P-A|11:Accessories|4:sale|6:302.68</v>
      </c>
      <c r="Q1171" s="1">
        <f>1</f>
        <v>1</v>
      </c>
      <c r="R1171" s="1" t="b">
        <f>FALSE</f>
        <v>0</v>
      </c>
      <c r="S1171" s="1">
        <f>1</f>
        <v>1</v>
      </c>
      <c r="T1171" s="1" t="str">
        <f>IF(AND(Raw!A1171="",Raw!B1171="",Raw!C1171="",Raw!D1171="",Raw!E1171="",Raw!F1171="",Raw!G1171=""),"UNUSED",IF(A1171="","missing line ID",IF(B1171="","missing transaction ID",IF(G1171="",IF(C1171="","missing date","invalid date"),IF(I1171="","unknown product",IF(J1171="","conflicting category",IF(NOT(OR(EXACT(K1171,"sale"),EXACT(K1171,"refund"))),"unknown event",IF(OR(N1171="",NOT(O1171)),"invalid amount",IF(OR(AND(K1171="sale",N1171&lt;=0),AND(K1171="refund",N1171&gt;=0)),"invalid sign","")))))))))</f>
        <v/>
      </c>
      <c r="U1171" s="1" t="str">
        <f t="shared" si="149"/>
        <v>INCLUDED</v>
      </c>
      <c r="V1171" s="1" t="str">
        <f t="shared" si="150"/>
        <v>2026-01</v>
      </c>
      <c r="W1171" s="1">
        <f>IF(AND(U1171="INCLUDED",X1171&gt;0,EXACT(A1171,'AI output'!A1171)),1,0)</f>
        <v>1</v>
      </c>
      <c r="X1171" s="1">
        <f>1171</f>
        <v>1171</v>
      </c>
      <c r="Y1171" s="1">
        <f>IF(AND(U1171="INCLUDED",W1171=1),--(NOT(EXACT(A1171,'AI output'!A1171)))+--(NOT(EXACT(B1171,'AI output'!B1171)))+--(NOT(EXACT(TEXT(G1171,"yyyy-mm-dd"),'AI output'!C1171)))+--(NOT(EXACT(H1171,'AI output'!D1171)))+--(NOT(EXACT(J1171,'AI output'!E1171)))+--(NOT(EXACT(K1171,'AI output'!F1171)))+--(N1171&lt;&gt;'AI output'!L1171)+--(NOT('AI output'!M1171)),0)</f>
        <v>0</v>
      </c>
      <c r="Z1171" s="1">
        <f t="shared" si="151"/>
        <v>0</v>
      </c>
      <c r="AA1171" s="1">
        <f>--EXACT(A1171,"L01165")</f>
        <v>1</v>
      </c>
    </row>
    <row r="1172" spans="1:27" ht="18.95" customHeight="1">
      <c r="A1172" s="1" t="str">
        <f>IF(Raw!A1172="","",Raw!A1172)</f>
        <v>L01166</v>
      </c>
      <c r="B1172" s="1" t="str">
        <f>IF(Raw!B1172="","",Raw!B1172)</f>
        <v>T00583</v>
      </c>
      <c r="C1172" s="1" t="str">
        <f>IF(Raw!C1172="","",Raw!C1172)</f>
        <v>2026-01-25</v>
      </c>
      <c r="D1172" s="1">
        <f t="shared" si="144"/>
        <v>2026</v>
      </c>
      <c r="E1172" s="1">
        <f>IFERROR(IF(AND(LEN(C1172)=10,MID(C1172,5,1)="-",MID(C1172,8,1)="-"),VALUE(MID(C1172,6,2)),IF(AND(LEN(C1172)=11,MID(C1172,3,1)="-",MID(C1172,7,1)="-"),MATCH(UPPER(MID(C1172,4,3)),Guide!$D$7:$D$18,0),0)),0)</f>
        <v>1</v>
      </c>
      <c r="F1172" s="1">
        <f t="shared" si="145"/>
        <v>25</v>
      </c>
      <c r="G1172" s="9">
        <f t="shared" si="146"/>
        <v>46047</v>
      </c>
      <c r="H1172" s="1" t="str">
        <f>IF(Raw!D1172="","",Raw!D1172)</f>
        <v>P-H</v>
      </c>
      <c r="I1172" s="1" t="str">
        <f>IFERROR(IF(EXACT(H1172,INDEX(Guide!$A$7:$A$9,MATCH(SUBSTITUTE(SUBSTITUTE(SUBSTITUTE(H1172,"~","~~"),"*","~*"),"?","~?"),Guide!$A$7:$A$9,0))),INDEX(Guide!$B$7:$B$9,MATCH(SUBSTITUTE(SUBSTITUTE(SUBSTITUTE(H1172,"~","~~"),"*","~*"),"?","~?"),Guide!$A$7:$A$9,0)),""),"")</f>
        <v>Home</v>
      </c>
      <c r="J1172" s="1" t="str">
        <f>IF(TRIM(Raw!E1172)="",I1172,IF(UPPER(TRIM(Raw!E1172))=UPPER(I1172),I1172,""))</f>
        <v>Home</v>
      </c>
      <c r="K1172" s="1" t="str">
        <f>IF(Raw!F1172="","",Raw!F1172)</f>
        <v>sale</v>
      </c>
      <c r="L1172" s="1" t="str">
        <f>IF(LEFT(TRIM(Raw!G1172),2)="-$","-"&amp;MID(TRIM(Raw!G1172),3,99),IF(LEFT(TRIM(Raw!G1172),1)="$",MID(TRIM(Raw!G1172),2,99),TRIM(Raw!G1172)))</f>
        <v>76.04</v>
      </c>
      <c r="M1172" s="1">
        <f t="shared" si="147"/>
        <v>76.040000000000006</v>
      </c>
      <c r="N1172" s="10">
        <f t="shared" si="148"/>
        <v>7604</v>
      </c>
      <c r="O1172" s="1" t="b">
        <f>IFERROR(IF(ISNUMBER(Raw!G1172),TRUE,OR(EXACT(L1172,TEXT(M1172,"0.00")),EXACT(L1172,TEXT(M1172,"#,##0.00")))),FALSE)</f>
        <v>1</v>
      </c>
      <c r="P1172" s="1" t="str">
        <f>LEN(IF(Raw!A1172="","",Raw!A1172))&amp;":"&amp;IF(Raw!A1172="","",Raw!A1172)&amp;"|"&amp;LEN(IF(Raw!B1172="","",Raw!B1172))&amp;":"&amp;IF(Raw!B1172="","",Raw!B1172)&amp;"|"&amp;LEN(IF(Raw!C1172="","",Raw!C1172))&amp;":"&amp;IF(Raw!C1172="","",Raw!C1172)&amp;"|"&amp;LEN(IF(Raw!D1172="","",Raw!D1172))&amp;":"&amp;IF(Raw!D1172="","",Raw!D1172)&amp;"|"&amp;LEN(IF(Raw!E1172="","",Raw!E1172))&amp;":"&amp;IF(Raw!E1172="","",Raw!E1172)&amp;"|"&amp;LEN(IF(Raw!F1172="","",Raw!F1172))&amp;":"&amp;IF(Raw!F1172="","",Raw!F1172)&amp;"|"&amp;LEN(IF(Raw!G1172="","",Raw!G1172))&amp;":"&amp;IF(Raw!G1172="","",Raw!G1172)</f>
        <v>6:L01166|6:T00583|10:2026-01-25|3:P-H|4:Home|4:sale|5:76.04</v>
      </c>
      <c r="Q1172" s="1">
        <f>1</f>
        <v>1</v>
      </c>
      <c r="R1172" s="1" t="b">
        <f>FALSE</f>
        <v>0</v>
      </c>
      <c r="S1172" s="1">
        <f>1</f>
        <v>1</v>
      </c>
      <c r="T1172" s="1" t="str">
        <f>IF(AND(Raw!A1172="",Raw!B1172="",Raw!C1172="",Raw!D1172="",Raw!E1172="",Raw!F1172="",Raw!G1172=""),"UNUSED",IF(A1172="","missing line ID",IF(B1172="","missing transaction ID",IF(G1172="",IF(C1172="","missing date","invalid date"),IF(I1172="","unknown product",IF(J1172="","conflicting category",IF(NOT(OR(EXACT(K1172,"sale"),EXACT(K1172,"refund"))),"unknown event",IF(OR(N1172="",NOT(O1172)),"invalid amount",IF(OR(AND(K1172="sale",N1172&lt;=0),AND(K1172="refund",N1172&gt;=0)),"invalid sign","")))))))))</f>
        <v/>
      </c>
      <c r="U1172" s="1" t="str">
        <f t="shared" si="149"/>
        <v>INCLUDED</v>
      </c>
      <c r="V1172" s="1" t="str">
        <f t="shared" si="150"/>
        <v>2026-01</v>
      </c>
      <c r="W1172" s="1">
        <f>IF(AND(U1172="INCLUDED",X1172&gt;0,EXACT(A1172,'AI output'!A1172)),1,0)</f>
        <v>1</v>
      </c>
      <c r="X1172" s="1">
        <f>1172</f>
        <v>1172</v>
      </c>
      <c r="Y1172" s="1">
        <f>IF(AND(U1172="INCLUDED",W1172=1),--(NOT(EXACT(A1172,'AI output'!A1172)))+--(NOT(EXACT(B1172,'AI output'!B1172)))+--(NOT(EXACT(TEXT(G1172,"yyyy-mm-dd"),'AI output'!C1172)))+--(NOT(EXACT(H1172,'AI output'!D1172)))+--(NOT(EXACT(J1172,'AI output'!E1172)))+--(NOT(EXACT(K1172,'AI output'!F1172)))+--(N1172&lt;&gt;'AI output'!L1172)+--(NOT('AI output'!M1172)),0)</f>
        <v>0</v>
      </c>
      <c r="Z1172" s="1">
        <f t="shared" si="151"/>
        <v>0</v>
      </c>
      <c r="AA1172" s="1">
        <f>--EXACT(A1172,"L01166")</f>
        <v>1</v>
      </c>
    </row>
    <row r="1173" spans="1:27" ht="18.95" customHeight="1">
      <c r="A1173" s="1" t="str">
        <f>IF(Raw!A1173="","",Raw!A1173)</f>
        <v>L01167</v>
      </c>
      <c r="B1173" s="1" t="str">
        <f>IF(Raw!B1173="","",Raw!B1173)</f>
        <v>T00584</v>
      </c>
      <c r="C1173" s="1" t="str">
        <f>IF(Raw!C1173="","",Raw!C1173)</f>
        <v>2026-02-01</v>
      </c>
      <c r="D1173" s="1">
        <f t="shared" si="144"/>
        <v>2026</v>
      </c>
      <c r="E1173" s="1">
        <f>IFERROR(IF(AND(LEN(C1173)=10,MID(C1173,5,1)="-",MID(C1173,8,1)="-"),VALUE(MID(C1173,6,2)),IF(AND(LEN(C1173)=11,MID(C1173,3,1)="-",MID(C1173,7,1)="-"),MATCH(UPPER(MID(C1173,4,3)),Guide!$D$7:$D$18,0),0)),0)</f>
        <v>2</v>
      </c>
      <c r="F1173" s="1">
        <f t="shared" si="145"/>
        <v>1</v>
      </c>
      <c r="G1173" s="9">
        <f t="shared" si="146"/>
        <v>46054</v>
      </c>
      <c r="H1173" s="1" t="str">
        <f>IF(Raw!D1173="","",Raw!D1173)</f>
        <v>P-O</v>
      </c>
      <c r="I1173" s="1" t="str">
        <f>IFERROR(IF(EXACT(H1173,INDEX(Guide!$A$7:$A$9,MATCH(SUBSTITUTE(SUBSTITUTE(SUBSTITUTE(H1173,"~","~~"),"*","~*"),"?","~?"),Guide!$A$7:$A$9,0))),INDEX(Guide!$B$7:$B$9,MATCH(SUBSTITUTE(SUBSTITUTE(SUBSTITUTE(H1173,"~","~~"),"*","~*"),"?","~?"),Guide!$A$7:$A$9,0)),""),"")</f>
        <v>Office</v>
      </c>
      <c r="J1173" s="1" t="str">
        <f>IF(TRIM(Raw!E1173)="",I1173,IF(UPPER(TRIM(Raw!E1173))=UPPER(I1173),I1173,""))</f>
        <v>Office</v>
      </c>
      <c r="K1173" s="1" t="str">
        <f>IF(Raw!F1173="","",Raw!F1173)</f>
        <v>sale</v>
      </c>
      <c r="L1173" s="1" t="str">
        <f>IF(LEFT(TRIM(Raw!G1173),2)="-$","-"&amp;MID(TRIM(Raw!G1173),3,99),IF(LEFT(TRIM(Raw!G1173),1)="$",MID(TRIM(Raw!G1173),2,99),TRIM(Raw!G1173)))</f>
        <v>229.23</v>
      </c>
      <c r="M1173" s="1">
        <f t="shared" si="147"/>
        <v>229.23</v>
      </c>
      <c r="N1173" s="10">
        <f t="shared" si="148"/>
        <v>22923</v>
      </c>
      <c r="O1173" s="1" t="b">
        <f>IFERROR(IF(ISNUMBER(Raw!G1173),TRUE,OR(EXACT(L1173,TEXT(M1173,"0.00")),EXACT(L1173,TEXT(M1173,"#,##0.00")))),FALSE)</f>
        <v>1</v>
      </c>
      <c r="P1173" s="1" t="str">
        <f>LEN(IF(Raw!A1173="","",Raw!A1173))&amp;":"&amp;IF(Raw!A1173="","",Raw!A1173)&amp;"|"&amp;LEN(IF(Raw!B1173="","",Raw!B1173))&amp;":"&amp;IF(Raw!B1173="","",Raw!B1173)&amp;"|"&amp;LEN(IF(Raw!C1173="","",Raw!C1173))&amp;":"&amp;IF(Raw!C1173="","",Raw!C1173)&amp;"|"&amp;LEN(IF(Raw!D1173="","",Raw!D1173))&amp;":"&amp;IF(Raw!D1173="","",Raw!D1173)&amp;"|"&amp;LEN(IF(Raw!E1173="","",Raw!E1173))&amp;":"&amp;IF(Raw!E1173="","",Raw!E1173)&amp;"|"&amp;LEN(IF(Raw!F1173="","",Raw!F1173))&amp;":"&amp;IF(Raw!F1173="","",Raw!F1173)&amp;"|"&amp;LEN(IF(Raw!G1173="","",Raw!G1173))&amp;":"&amp;IF(Raw!G1173="","",Raw!G1173)</f>
        <v>6:L01167|6:T00584|10:2026-02-01|3:P-O|6:Office|4:sale|6:229.23</v>
      </c>
      <c r="Q1173" s="1">
        <f>1</f>
        <v>1</v>
      </c>
      <c r="R1173" s="1" t="b">
        <f>FALSE</f>
        <v>0</v>
      </c>
      <c r="S1173" s="1">
        <f>1</f>
        <v>1</v>
      </c>
      <c r="T1173" s="1" t="str">
        <f>IF(AND(Raw!A1173="",Raw!B1173="",Raw!C1173="",Raw!D1173="",Raw!E1173="",Raw!F1173="",Raw!G1173=""),"UNUSED",IF(A1173="","missing line ID",IF(B1173="","missing transaction ID",IF(G1173="",IF(C1173="","missing date","invalid date"),IF(I1173="","unknown product",IF(J1173="","conflicting category",IF(NOT(OR(EXACT(K1173,"sale"),EXACT(K1173,"refund"))),"unknown event",IF(OR(N1173="",NOT(O1173)),"invalid amount",IF(OR(AND(K1173="sale",N1173&lt;=0),AND(K1173="refund",N1173&gt;=0)),"invalid sign","")))))))))</f>
        <v/>
      </c>
      <c r="U1173" s="1" t="str">
        <f t="shared" si="149"/>
        <v>INCLUDED</v>
      </c>
      <c r="V1173" s="1" t="str">
        <f t="shared" si="150"/>
        <v>2026-02</v>
      </c>
      <c r="W1173" s="1">
        <f>IF(AND(U1173="INCLUDED",X1173&gt;0,EXACT(A1173,'AI output'!A1173)),1,0)</f>
        <v>1</v>
      </c>
      <c r="X1173" s="1">
        <f>1173</f>
        <v>1173</v>
      </c>
      <c r="Y1173" s="1">
        <f>IF(AND(U1173="INCLUDED",W1173=1),--(NOT(EXACT(A1173,'AI output'!A1173)))+--(NOT(EXACT(B1173,'AI output'!B1173)))+--(NOT(EXACT(TEXT(G1173,"yyyy-mm-dd"),'AI output'!C1173)))+--(NOT(EXACT(H1173,'AI output'!D1173)))+--(NOT(EXACT(J1173,'AI output'!E1173)))+--(NOT(EXACT(K1173,'AI output'!F1173)))+--(N1173&lt;&gt;'AI output'!L1173)+--(NOT('AI output'!M1173)),0)</f>
        <v>0</v>
      </c>
      <c r="Z1173" s="1">
        <f t="shared" si="151"/>
        <v>0</v>
      </c>
      <c r="AA1173" s="1">
        <f>--EXACT(A1173,"L01167")</f>
        <v>1</v>
      </c>
    </row>
    <row r="1174" spans="1:27" ht="18.95" customHeight="1">
      <c r="A1174" s="1" t="str">
        <f>IF(Raw!A1174="","",Raw!A1174)</f>
        <v>L01168</v>
      </c>
      <c r="B1174" s="1" t="str">
        <f>IF(Raw!B1174="","",Raw!B1174)</f>
        <v>T00584</v>
      </c>
      <c r="C1174" s="1" t="str">
        <f>IF(Raw!C1174="","",Raw!C1174)</f>
        <v>2026-02-01</v>
      </c>
      <c r="D1174" s="1">
        <f t="shared" si="144"/>
        <v>2026</v>
      </c>
      <c r="E1174" s="1">
        <f>IFERROR(IF(AND(LEN(C1174)=10,MID(C1174,5,1)="-",MID(C1174,8,1)="-"),VALUE(MID(C1174,6,2)),IF(AND(LEN(C1174)=11,MID(C1174,3,1)="-",MID(C1174,7,1)="-"),MATCH(UPPER(MID(C1174,4,3)),Guide!$D$7:$D$18,0),0)),0)</f>
        <v>2</v>
      </c>
      <c r="F1174" s="1">
        <f t="shared" si="145"/>
        <v>1</v>
      </c>
      <c r="G1174" s="9">
        <f t="shared" si="146"/>
        <v>46054</v>
      </c>
      <c r="H1174" s="1" t="str">
        <f>IF(Raw!D1174="","",Raw!D1174)</f>
        <v>P-A</v>
      </c>
      <c r="I1174" s="1" t="str">
        <f>IFERROR(IF(EXACT(H1174,INDEX(Guide!$A$7:$A$9,MATCH(SUBSTITUTE(SUBSTITUTE(SUBSTITUTE(H1174,"~","~~"),"*","~*"),"?","~?"),Guide!$A$7:$A$9,0))),INDEX(Guide!$B$7:$B$9,MATCH(SUBSTITUTE(SUBSTITUTE(SUBSTITUTE(H1174,"~","~~"),"*","~*"),"?","~?"),Guide!$A$7:$A$9,0)),""),"")</f>
        <v>Accessories</v>
      </c>
      <c r="J1174" s="1" t="str">
        <f>IF(TRIM(Raw!E1174)="",I1174,IF(UPPER(TRIM(Raw!E1174))=UPPER(I1174),I1174,""))</f>
        <v>Accessories</v>
      </c>
      <c r="K1174" s="1" t="str">
        <f>IF(Raw!F1174="","",Raw!F1174)</f>
        <v>sale</v>
      </c>
      <c r="L1174" s="1" t="str">
        <f>IF(LEFT(TRIM(Raw!G1174),2)="-$","-"&amp;MID(TRIM(Raw!G1174),3,99),IF(LEFT(TRIM(Raw!G1174),1)="$",MID(TRIM(Raw!G1174),2,99),TRIM(Raw!G1174)))</f>
        <v>383.90</v>
      </c>
      <c r="M1174" s="1">
        <f t="shared" si="147"/>
        <v>383.9</v>
      </c>
      <c r="N1174" s="10">
        <f t="shared" si="148"/>
        <v>38390</v>
      </c>
      <c r="O1174" s="1" t="b">
        <f>IFERROR(IF(ISNUMBER(Raw!G1174),TRUE,OR(EXACT(L1174,TEXT(M1174,"0.00")),EXACT(L1174,TEXT(M1174,"#,##0.00")))),FALSE)</f>
        <v>1</v>
      </c>
      <c r="P1174" s="1" t="str">
        <f>LEN(IF(Raw!A1174="","",Raw!A1174))&amp;":"&amp;IF(Raw!A1174="","",Raw!A1174)&amp;"|"&amp;LEN(IF(Raw!B1174="","",Raw!B1174))&amp;":"&amp;IF(Raw!B1174="","",Raw!B1174)&amp;"|"&amp;LEN(IF(Raw!C1174="","",Raw!C1174))&amp;":"&amp;IF(Raw!C1174="","",Raw!C1174)&amp;"|"&amp;LEN(IF(Raw!D1174="","",Raw!D1174))&amp;":"&amp;IF(Raw!D1174="","",Raw!D1174)&amp;"|"&amp;LEN(IF(Raw!E1174="","",Raw!E1174))&amp;":"&amp;IF(Raw!E1174="","",Raw!E1174)&amp;"|"&amp;LEN(IF(Raw!F1174="","",Raw!F1174))&amp;":"&amp;IF(Raw!F1174="","",Raw!F1174)&amp;"|"&amp;LEN(IF(Raw!G1174="","",Raw!G1174))&amp;":"&amp;IF(Raw!G1174="","",Raw!G1174)</f>
        <v>6:L01168|6:T00584|10:2026-02-01|3:P-A|11:Accessories|4:sale|6:383.90</v>
      </c>
      <c r="Q1174" s="1">
        <f>1</f>
        <v>1</v>
      </c>
      <c r="R1174" s="1" t="b">
        <f>FALSE</f>
        <v>0</v>
      </c>
      <c r="S1174" s="1">
        <f>1</f>
        <v>1</v>
      </c>
      <c r="T1174" s="1" t="str">
        <f>IF(AND(Raw!A1174="",Raw!B1174="",Raw!C1174="",Raw!D1174="",Raw!E1174="",Raw!F1174="",Raw!G1174=""),"UNUSED",IF(A1174="","missing line ID",IF(B1174="","missing transaction ID",IF(G1174="",IF(C1174="","missing date","invalid date"),IF(I1174="","unknown product",IF(J1174="","conflicting category",IF(NOT(OR(EXACT(K1174,"sale"),EXACT(K1174,"refund"))),"unknown event",IF(OR(N1174="",NOT(O1174)),"invalid amount",IF(OR(AND(K1174="sale",N1174&lt;=0),AND(K1174="refund",N1174&gt;=0)),"invalid sign","")))))))))</f>
        <v/>
      </c>
      <c r="U1174" s="1" t="str">
        <f t="shared" si="149"/>
        <v>INCLUDED</v>
      </c>
      <c r="V1174" s="1" t="str">
        <f t="shared" si="150"/>
        <v>2026-02</v>
      </c>
      <c r="W1174" s="1">
        <f>IF(AND(U1174="INCLUDED",X1174&gt;0,EXACT(A1174,'AI output'!A1174)),1,0)</f>
        <v>1</v>
      </c>
      <c r="X1174" s="1">
        <f>1174</f>
        <v>1174</v>
      </c>
      <c r="Y1174" s="1">
        <f>IF(AND(U1174="INCLUDED",W1174=1),--(NOT(EXACT(A1174,'AI output'!A1174)))+--(NOT(EXACT(B1174,'AI output'!B1174)))+--(NOT(EXACT(TEXT(G1174,"yyyy-mm-dd"),'AI output'!C1174)))+--(NOT(EXACT(H1174,'AI output'!D1174)))+--(NOT(EXACT(J1174,'AI output'!E1174)))+--(NOT(EXACT(K1174,'AI output'!F1174)))+--(N1174&lt;&gt;'AI output'!L1174)+--(NOT('AI output'!M1174)),0)</f>
        <v>0</v>
      </c>
      <c r="Z1174" s="1">
        <f t="shared" si="151"/>
        <v>0</v>
      </c>
      <c r="AA1174" s="1">
        <f>--EXACT(A1174,"L01168")</f>
        <v>1</v>
      </c>
    </row>
    <row r="1175" spans="1:27" ht="18.95" customHeight="1">
      <c r="A1175" s="1" t="str">
        <f>IF(Raw!A1175="","",Raw!A1175)</f>
        <v>L01169</v>
      </c>
      <c r="B1175" s="1" t="str">
        <f>IF(Raw!B1175="","",Raw!B1175)</f>
        <v>T00585</v>
      </c>
      <c r="C1175" s="1" t="str">
        <f>IF(Raw!C1175="","",Raw!C1175)</f>
        <v>2026-02-08</v>
      </c>
      <c r="D1175" s="1">
        <f t="shared" si="144"/>
        <v>2026</v>
      </c>
      <c r="E1175" s="1">
        <f>IFERROR(IF(AND(LEN(C1175)=10,MID(C1175,5,1)="-",MID(C1175,8,1)="-"),VALUE(MID(C1175,6,2)),IF(AND(LEN(C1175)=11,MID(C1175,3,1)="-",MID(C1175,7,1)="-"),MATCH(UPPER(MID(C1175,4,3)),Guide!$D$7:$D$18,0),0)),0)</f>
        <v>2</v>
      </c>
      <c r="F1175" s="1">
        <f t="shared" si="145"/>
        <v>8</v>
      </c>
      <c r="G1175" s="9">
        <f t="shared" si="146"/>
        <v>46061</v>
      </c>
      <c r="H1175" s="1" t="str">
        <f>IF(Raw!D1175="","",Raw!D1175)</f>
        <v>P-H</v>
      </c>
      <c r="I1175" s="1" t="str">
        <f>IFERROR(IF(EXACT(H1175,INDEX(Guide!$A$7:$A$9,MATCH(SUBSTITUTE(SUBSTITUTE(SUBSTITUTE(H1175,"~","~~"),"*","~*"),"?","~?"),Guide!$A$7:$A$9,0))),INDEX(Guide!$B$7:$B$9,MATCH(SUBSTITUTE(SUBSTITUTE(SUBSTITUTE(H1175,"~","~~"),"*","~*"),"?","~?"),Guide!$A$7:$A$9,0)),""),"")</f>
        <v>Home</v>
      </c>
      <c r="J1175" s="1" t="str">
        <f>IF(TRIM(Raw!E1175)="",I1175,IF(UPPER(TRIM(Raw!E1175))=UPPER(I1175),I1175,""))</f>
        <v>Home</v>
      </c>
      <c r="K1175" s="1" t="str">
        <f>IF(Raw!F1175="","",Raw!F1175)</f>
        <v>sale</v>
      </c>
      <c r="L1175" s="1" t="str">
        <f>IF(LEFT(TRIM(Raw!G1175),2)="-$","-"&amp;MID(TRIM(Raw!G1175),3,99),IF(LEFT(TRIM(Raw!G1175),1)="$",MID(TRIM(Raw!G1175),2,99),TRIM(Raw!G1175)))</f>
        <v>154.30</v>
      </c>
      <c r="M1175" s="1">
        <f t="shared" si="147"/>
        <v>154.30000000000001</v>
      </c>
      <c r="N1175" s="10">
        <f t="shared" si="148"/>
        <v>15430</v>
      </c>
      <c r="O1175" s="1" t="b">
        <f>IFERROR(IF(ISNUMBER(Raw!G1175),TRUE,OR(EXACT(L1175,TEXT(M1175,"0.00")),EXACT(L1175,TEXT(M1175,"#,##0.00")))),FALSE)</f>
        <v>1</v>
      </c>
      <c r="P1175" s="1" t="str">
        <f>LEN(IF(Raw!A1175="","",Raw!A1175))&amp;":"&amp;IF(Raw!A1175="","",Raw!A1175)&amp;"|"&amp;LEN(IF(Raw!B1175="","",Raw!B1175))&amp;":"&amp;IF(Raw!B1175="","",Raw!B1175)&amp;"|"&amp;LEN(IF(Raw!C1175="","",Raw!C1175))&amp;":"&amp;IF(Raw!C1175="","",Raw!C1175)&amp;"|"&amp;LEN(IF(Raw!D1175="","",Raw!D1175))&amp;":"&amp;IF(Raw!D1175="","",Raw!D1175)&amp;"|"&amp;LEN(IF(Raw!E1175="","",Raw!E1175))&amp;":"&amp;IF(Raw!E1175="","",Raw!E1175)&amp;"|"&amp;LEN(IF(Raw!F1175="","",Raw!F1175))&amp;":"&amp;IF(Raw!F1175="","",Raw!F1175)&amp;"|"&amp;LEN(IF(Raw!G1175="","",Raw!G1175))&amp;":"&amp;IF(Raw!G1175="","",Raw!G1175)</f>
        <v>6:L01169|6:T00585|10:2026-02-08|3:P-H|4:Home|4:sale|6:154.30</v>
      </c>
      <c r="Q1175" s="1">
        <f>1</f>
        <v>1</v>
      </c>
      <c r="R1175" s="1" t="b">
        <f>FALSE</f>
        <v>0</v>
      </c>
      <c r="S1175" s="1">
        <f>1</f>
        <v>1</v>
      </c>
      <c r="T1175" s="1" t="str">
        <f>IF(AND(Raw!A1175="",Raw!B1175="",Raw!C1175="",Raw!D1175="",Raw!E1175="",Raw!F1175="",Raw!G1175=""),"UNUSED",IF(A1175="","missing line ID",IF(B1175="","missing transaction ID",IF(G1175="",IF(C1175="","missing date","invalid date"),IF(I1175="","unknown product",IF(J1175="","conflicting category",IF(NOT(OR(EXACT(K1175,"sale"),EXACT(K1175,"refund"))),"unknown event",IF(OR(N1175="",NOT(O1175)),"invalid amount",IF(OR(AND(K1175="sale",N1175&lt;=0),AND(K1175="refund",N1175&gt;=0)),"invalid sign","")))))))))</f>
        <v/>
      </c>
      <c r="U1175" s="1" t="str">
        <f t="shared" si="149"/>
        <v>INCLUDED</v>
      </c>
      <c r="V1175" s="1" t="str">
        <f t="shared" si="150"/>
        <v>2026-02</v>
      </c>
      <c r="W1175" s="1">
        <f>IF(AND(U1175="INCLUDED",X1175&gt;0,EXACT(A1175,'AI output'!A1175)),1,0)</f>
        <v>1</v>
      </c>
      <c r="X1175" s="1">
        <f>1175</f>
        <v>1175</v>
      </c>
      <c r="Y1175" s="1">
        <f>IF(AND(U1175="INCLUDED",W1175=1),--(NOT(EXACT(A1175,'AI output'!A1175)))+--(NOT(EXACT(B1175,'AI output'!B1175)))+--(NOT(EXACT(TEXT(G1175,"yyyy-mm-dd"),'AI output'!C1175)))+--(NOT(EXACT(H1175,'AI output'!D1175)))+--(NOT(EXACT(J1175,'AI output'!E1175)))+--(NOT(EXACT(K1175,'AI output'!F1175)))+--(N1175&lt;&gt;'AI output'!L1175)+--(NOT('AI output'!M1175)),0)</f>
        <v>0</v>
      </c>
      <c r="Z1175" s="1">
        <f t="shared" si="151"/>
        <v>0</v>
      </c>
      <c r="AA1175" s="1">
        <f>--EXACT(A1175,"L01169")</f>
        <v>1</v>
      </c>
    </row>
    <row r="1176" spans="1:27" ht="18.95" customHeight="1">
      <c r="A1176" s="1" t="str">
        <f>IF(Raw!A1176="","",Raw!A1176)</f>
        <v>L01170</v>
      </c>
      <c r="B1176" s="1" t="str">
        <f>IF(Raw!B1176="","",Raw!B1176)</f>
        <v>T00585</v>
      </c>
      <c r="C1176" s="1" t="str">
        <f>IF(Raw!C1176="","",Raw!C1176)</f>
        <v>2026-02-08</v>
      </c>
      <c r="D1176" s="1">
        <f t="shared" si="144"/>
        <v>2026</v>
      </c>
      <c r="E1176" s="1">
        <f>IFERROR(IF(AND(LEN(C1176)=10,MID(C1176,5,1)="-",MID(C1176,8,1)="-"),VALUE(MID(C1176,6,2)),IF(AND(LEN(C1176)=11,MID(C1176,3,1)="-",MID(C1176,7,1)="-"),MATCH(UPPER(MID(C1176,4,3)),Guide!$D$7:$D$18,0),0)),0)</f>
        <v>2</v>
      </c>
      <c r="F1176" s="1">
        <f t="shared" si="145"/>
        <v>8</v>
      </c>
      <c r="G1176" s="9">
        <f t="shared" si="146"/>
        <v>46061</v>
      </c>
      <c r="H1176" s="1" t="str">
        <f>IF(Raw!D1176="","",Raw!D1176)</f>
        <v>P-O</v>
      </c>
      <c r="I1176" s="1" t="str">
        <f>IFERROR(IF(EXACT(H1176,INDEX(Guide!$A$7:$A$9,MATCH(SUBSTITUTE(SUBSTITUTE(SUBSTITUTE(H1176,"~","~~"),"*","~*"),"?","~?"),Guide!$A$7:$A$9,0))),INDEX(Guide!$B$7:$B$9,MATCH(SUBSTITUTE(SUBSTITUTE(SUBSTITUTE(H1176,"~","~~"),"*","~*"),"?","~?"),Guide!$A$7:$A$9,0)),""),"")</f>
        <v>Office</v>
      </c>
      <c r="J1176" s="1" t="str">
        <f>IF(TRIM(Raw!E1176)="",I1176,IF(UPPER(TRIM(Raw!E1176))=UPPER(I1176),I1176,""))</f>
        <v>Office</v>
      </c>
      <c r="K1176" s="1" t="str">
        <f>IF(Raw!F1176="","",Raw!F1176)</f>
        <v>sale</v>
      </c>
      <c r="L1176" s="1" t="str">
        <f>IF(LEFT(TRIM(Raw!G1176),2)="-$","-"&amp;MID(TRIM(Raw!G1176),3,99),IF(LEFT(TRIM(Raw!G1176),1)="$",MID(TRIM(Raw!G1176),2,99),TRIM(Raw!G1176)))</f>
        <v>310.08</v>
      </c>
      <c r="M1176" s="1">
        <f t="shared" si="147"/>
        <v>310.08</v>
      </c>
      <c r="N1176" s="10">
        <f t="shared" si="148"/>
        <v>31008</v>
      </c>
      <c r="O1176" s="1" t="b">
        <f>IFERROR(IF(ISNUMBER(Raw!G1176),TRUE,OR(EXACT(L1176,TEXT(M1176,"0.00")),EXACT(L1176,TEXT(M1176,"#,##0.00")))),FALSE)</f>
        <v>1</v>
      </c>
      <c r="P1176" s="1" t="str">
        <f>LEN(IF(Raw!A1176="","",Raw!A1176))&amp;":"&amp;IF(Raw!A1176="","",Raw!A1176)&amp;"|"&amp;LEN(IF(Raw!B1176="","",Raw!B1176))&amp;":"&amp;IF(Raw!B1176="","",Raw!B1176)&amp;"|"&amp;LEN(IF(Raw!C1176="","",Raw!C1176))&amp;":"&amp;IF(Raw!C1176="","",Raw!C1176)&amp;"|"&amp;LEN(IF(Raw!D1176="","",Raw!D1176))&amp;":"&amp;IF(Raw!D1176="","",Raw!D1176)&amp;"|"&amp;LEN(IF(Raw!E1176="","",Raw!E1176))&amp;":"&amp;IF(Raw!E1176="","",Raw!E1176)&amp;"|"&amp;LEN(IF(Raw!F1176="","",Raw!F1176))&amp;":"&amp;IF(Raw!F1176="","",Raw!F1176)&amp;"|"&amp;LEN(IF(Raw!G1176="","",Raw!G1176))&amp;":"&amp;IF(Raw!G1176="","",Raw!G1176)</f>
        <v>6:L01170|6:T00585|10:2026-02-08|3:P-O|6:Office|4:sale|6:310.08</v>
      </c>
      <c r="Q1176" s="1">
        <f>1</f>
        <v>1</v>
      </c>
      <c r="R1176" s="1" t="b">
        <f>FALSE</f>
        <v>0</v>
      </c>
      <c r="S1176" s="1">
        <f>1</f>
        <v>1</v>
      </c>
      <c r="T1176" s="1" t="str">
        <f>IF(AND(Raw!A1176="",Raw!B1176="",Raw!C1176="",Raw!D1176="",Raw!E1176="",Raw!F1176="",Raw!G1176=""),"UNUSED",IF(A1176="","missing line ID",IF(B1176="","missing transaction ID",IF(G1176="",IF(C1176="","missing date","invalid date"),IF(I1176="","unknown product",IF(J1176="","conflicting category",IF(NOT(OR(EXACT(K1176,"sale"),EXACT(K1176,"refund"))),"unknown event",IF(OR(N1176="",NOT(O1176)),"invalid amount",IF(OR(AND(K1176="sale",N1176&lt;=0),AND(K1176="refund",N1176&gt;=0)),"invalid sign","")))))))))</f>
        <v/>
      </c>
      <c r="U1176" s="1" t="str">
        <f t="shared" si="149"/>
        <v>INCLUDED</v>
      </c>
      <c r="V1176" s="1" t="str">
        <f t="shared" si="150"/>
        <v>2026-02</v>
      </c>
      <c r="W1176" s="1">
        <f>IF(AND(U1176="INCLUDED",X1176&gt;0,EXACT(A1176,'AI output'!A1176)),1,0)</f>
        <v>1</v>
      </c>
      <c r="X1176" s="1">
        <f>1176</f>
        <v>1176</v>
      </c>
      <c r="Y1176" s="1">
        <f>IF(AND(U1176="INCLUDED",W1176=1),--(NOT(EXACT(A1176,'AI output'!A1176)))+--(NOT(EXACT(B1176,'AI output'!B1176)))+--(NOT(EXACT(TEXT(G1176,"yyyy-mm-dd"),'AI output'!C1176)))+--(NOT(EXACT(H1176,'AI output'!D1176)))+--(NOT(EXACT(J1176,'AI output'!E1176)))+--(NOT(EXACT(K1176,'AI output'!F1176)))+--(N1176&lt;&gt;'AI output'!L1176)+--(NOT('AI output'!M1176)),0)</f>
        <v>0</v>
      </c>
      <c r="Z1176" s="1">
        <f t="shared" si="151"/>
        <v>0</v>
      </c>
      <c r="AA1176" s="1">
        <f>--EXACT(A1176,"L01170")</f>
        <v>1</v>
      </c>
    </row>
    <row r="1177" spans="1:27" ht="18.95" customHeight="1">
      <c r="A1177" s="1" t="str">
        <f>IF(Raw!A1177="","",Raw!A1177)</f>
        <v>L01171</v>
      </c>
      <c r="B1177" s="1" t="str">
        <f>IF(Raw!B1177="","",Raw!B1177)</f>
        <v>T00586</v>
      </c>
      <c r="C1177" s="1" t="str">
        <f>IF(Raw!C1177="","",Raw!C1177)</f>
        <v>2026-02-15</v>
      </c>
      <c r="D1177" s="1">
        <f t="shared" si="144"/>
        <v>2026</v>
      </c>
      <c r="E1177" s="1">
        <f>IFERROR(IF(AND(LEN(C1177)=10,MID(C1177,5,1)="-",MID(C1177,8,1)="-"),VALUE(MID(C1177,6,2)),IF(AND(LEN(C1177)=11,MID(C1177,3,1)="-",MID(C1177,7,1)="-"),MATCH(UPPER(MID(C1177,4,3)),Guide!$D$7:$D$18,0),0)),0)</f>
        <v>2</v>
      </c>
      <c r="F1177" s="1">
        <f t="shared" si="145"/>
        <v>15</v>
      </c>
      <c r="G1177" s="9">
        <f t="shared" si="146"/>
        <v>46068</v>
      </c>
      <c r="H1177" s="1" t="str">
        <f>IF(Raw!D1177="","",Raw!D1177)</f>
        <v>P-A</v>
      </c>
      <c r="I1177" s="1" t="str">
        <f>IFERROR(IF(EXACT(H1177,INDEX(Guide!$A$7:$A$9,MATCH(SUBSTITUTE(SUBSTITUTE(SUBSTITUTE(H1177,"~","~~"),"*","~*"),"?","~?"),Guide!$A$7:$A$9,0))),INDEX(Guide!$B$7:$B$9,MATCH(SUBSTITUTE(SUBSTITUTE(SUBSTITUTE(H1177,"~","~~"),"*","~*"),"?","~?"),Guide!$A$7:$A$9,0)),""),"")</f>
        <v>Accessories</v>
      </c>
      <c r="J1177" s="1" t="str">
        <f>IF(TRIM(Raw!E1177)="",I1177,IF(UPPER(TRIM(Raw!E1177))=UPPER(I1177),I1177,""))</f>
        <v>Accessories</v>
      </c>
      <c r="K1177" s="1" t="str">
        <f>IF(Raw!F1177="","",Raw!F1177)</f>
        <v>sale</v>
      </c>
      <c r="L1177" s="1" t="str">
        <f>IF(LEFT(TRIM(Raw!G1177),2)="-$","-"&amp;MID(TRIM(Raw!G1177),3,99),IF(LEFT(TRIM(Raw!G1177),1)="$",MID(TRIM(Raw!G1177),2,99),TRIM(Raw!G1177)))</f>
        <v>77.89</v>
      </c>
      <c r="M1177" s="1">
        <f t="shared" si="147"/>
        <v>77.89</v>
      </c>
      <c r="N1177" s="10">
        <f t="shared" si="148"/>
        <v>7789</v>
      </c>
      <c r="O1177" s="1" t="b">
        <f>IFERROR(IF(ISNUMBER(Raw!G1177),TRUE,OR(EXACT(L1177,TEXT(M1177,"0.00")),EXACT(L1177,TEXT(M1177,"#,##0.00")))),FALSE)</f>
        <v>1</v>
      </c>
      <c r="P1177" s="1" t="str">
        <f>LEN(IF(Raw!A1177="","",Raw!A1177))&amp;":"&amp;IF(Raw!A1177="","",Raw!A1177)&amp;"|"&amp;LEN(IF(Raw!B1177="","",Raw!B1177))&amp;":"&amp;IF(Raw!B1177="","",Raw!B1177)&amp;"|"&amp;LEN(IF(Raw!C1177="","",Raw!C1177))&amp;":"&amp;IF(Raw!C1177="","",Raw!C1177)&amp;"|"&amp;LEN(IF(Raw!D1177="","",Raw!D1177))&amp;":"&amp;IF(Raw!D1177="","",Raw!D1177)&amp;"|"&amp;LEN(IF(Raw!E1177="","",Raw!E1177))&amp;":"&amp;IF(Raw!E1177="","",Raw!E1177)&amp;"|"&amp;LEN(IF(Raw!F1177="","",Raw!F1177))&amp;":"&amp;IF(Raw!F1177="","",Raw!F1177)&amp;"|"&amp;LEN(IF(Raw!G1177="","",Raw!G1177))&amp;":"&amp;IF(Raw!G1177="","",Raw!G1177)</f>
        <v>6:L01171|6:T00586|10:2026-02-15|3:P-A|11:Accessories|4:sale|5:77.89</v>
      </c>
      <c r="Q1177" s="1">
        <f>1</f>
        <v>1</v>
      </c>
      <c r="R1177" s="1" t="b">
        <f>FALSE</f>
        <v>0</v>
      </c>
      <c r="S1177" s="1">
        <f>1</f>
        <v>1</v>
      </c>
      <c r="T1177" s="1" t="str">
        <f>IF(AND(Raw!A1177="",Raw!B1177="",Raw!C1177="",Raw!D1177="",Raw!E1177="",Raw!F1177="",Raw!G1177=""),"UNUSED",IF(A1177="","missing line ID",IF(B1177="","missing transaction ID",IF(G1177="",IF(C1177="","missing date","invalid date"),IF(I1177="","unknown product",IF(J1177="","conflicting category",IF(NOT(OR(EXACT(K1177,"sale"),EXACT(K1177,"refund"))),"unknown event",IF(OR(N1177="",NOT(O1177)),"invalid amount",IF(OR(AND(K1177="sale",N1177&lt;=0),AND(K1177="refund",N1177&gt;=0)),"invalid sign","")))))))))</f>
        <v/>
      </c>
      <c r="U1177" s="1" t="str">
        <f t="shared" si="149"/>
        <v>INCLUDED</v>
      </c>
      <c r="V1177" s="1" t="str">
        <f t="shared" si="150"/>
        <v>2026-02</v>
      </c>
      <c r="W1177" s="1">
        <f>IF(AND(U1177="INCLUDED",X1177&gt;0,EXACT(A1177,'AI output'!A1177)),1,0)</f>
        <v>1</v>
      </c>
      <c r="X1177" s="1">
        <f>1177</f>
        <v>1177</v>
      </c>
      <c r="Y1177" s="1">
        <f>IF(AND(U1177="INCLUDED",W1177=1),--(NOT(EXACT(A1177,'AI output'!A1177)))+--(NOT(EXACT(B1177,'AI output'!B1177)))+--(NOT(EXACT(TEXT(G1177,"yyyy-mm-dd"),'AI output'!C1177)))+--(NOT(EXACT(H1177,'AI output'!D1177)))+--(NOT(EXACT(J1177,'AI output'!E1177)))+--(NOT(EXACT(K1177,'AI output'!F1177)))+--(N1177&lt;&gt;'AI output'!L1177)+--(NOT('AI output'!M1177)),0)</f>
        <v>0</v>
      </c>
      <c r="Z1177" s="1">
        <f t="shared" si="151"/>
        <v>0</v>
      </c>
      <c r="AA1177" s="1">
        <f>--EXACT(A1177,"L01171")</f>
        <v>1</v>
      </c>
    </row>
    <row r="1178" spans="1:27" ht="18.95" customHeight="1">
      <c r="A1178" s="1" t="str">
        <f>IF(Raw!A1178="","",Raw!A1178)</f>
        <v>L01172</v>
      </c>
      <c r="B1178" s="1" t="str">
        <f>IF(Raw!B1178="","",Raw!B1178)</f>
        <v>T00586</v>
      </c>
      <c r="C1178" s="1" t="str">
        <f>IF(Raw!C1178="","",Raw!C1178)</f>
        <v>2026-02-15</v>
      </c>
      <c r="D1178" s="1">
        <f t="shared" si="144"/>
        <v>2026</v>
      </c>
      <c r="E1178" s="1">
        <f>IFERROR(IF(AND(LEN(C1178)=10,MID(C1178,5,1)="-",MID(C1178,8,1)="-"),VALUE(MID(C1178,6,2)),IF(AND(LEN(C1178)=11,MID(C1178,3,1)="-",MID(C1178,7,1)="-"),MATCH(UPPER(MID(C1178,4,3)),Guide!$D$7:$D$18,0),0)),0)</f>
        <v>2</v>
      </c>
      <c r="F1178" s="1">
        <f t="shared" si="145"/>
        <v>15</v>
      </c>
      <c r="G1178" s="9">
        <f t="shared" si="146"/>
        <v>46068</v>
      </c>
      <c r="H1178" s="1" t="str">
        <f>IF(Raw!D1178="","",Raw!D1178)</f>
        <v>P-H</v>
      </c>
      <c r="I1178" s="1" t="str">
        <f>IFERROR(IF(EXACT(H1178,INDEX(Guide!$A$7:$A$9,MATCH(SUBSTITUTE(SUBSTITUTE(SUBSTITUTE(H1178,"~","~~"),"*","~*"),"?","~?"),Guide!$A$7:$A$9,0))),INDEX(Guide!$B$7:$B$9,MATCH(SUBSTITUTE(SUBSTITUTE(SUBSTITUTE(H1178,"~","~~"),"*","~*"),"?","~?"),Guide!$A$7:$A$9,0)),""),"")</f>
        <v>Home</v>
      </c>
      <c r="J1178" s="1" t="str">
        <f>IF(TRIM(Raw!E1178)="",I1178,IF(UPPER(TRIM(Raw!E1178))=UPPER(I1178),I1178,""))</f>
        <v>Home</v>
      </c>
      <c r="K1178" s="1" t="str">
        <f>IF(Raw!F1178="","",Raw!F1178)</f>
        <v>sale</v>
      </c>
      <c r="L1178" s="1" t="str">
        <f>IF(LEFT(TRIM(Raw!G1178),2)="-$","-"&amp;MID(TRIM(Raw!G1178),3,99),IF(LEFT(TRIM(Raw!G1178),1)="$",MID(TRIM(Raw!G1178),2,99),TRIM(Raw!G1178)))</f>
        <v>234.78</v>
      </c>
      <c r="M1178" s="1">
        <f t="shared" si="147"/>
        <v>234.78</v>
      </c>
      <c r="N1178" s="10">
        <f t="shared" si="148"/>
        <v>23478</v>
      </c>
      <c r="O1178" s="1" t="b">
        <f>IFERROR(IF(ISNUMBER(Raw!G1178),TRUE,OR(EXACT(L1178,TEXT(M1178,"0.00")),EXACT(L1178,TEXT(M1178,"#,##0.00")))),FALSE)</f>
        <v>1</v>
      </c>
      <c r="P1178" s="1" t="str">
        <f>LEN(IF(Raw!A1178="","",Raw!A1178))&amp;":"&amp;IF(Raw!A1178="","",Raw!A1178)&amp;"|"&amp;LEN(IF(Raw!B1178="","",Raw!B1178))&amp;":"&amp;IF(Raw!B1178="","",Raw!B1178)&amp;"|"&amp;LEN(IF(Raw!C1178="","",Raw!C1178))&amp;":"&amp;IF(Raw!C1178="","",Raw!C1178)&amp;"|"&amp;LEN(IF(Raw!D1178="","",Raw!D1178))&amp;":"&amp;IF(Raw!D1178="","",Raw!D1178)&amp;"|"&amp;LEN(IF(Raw!E1178="","",Raw!E1178))&amp;":"&amp;IF(Raw!E1178="","",Raw!E1178)&amp;"|"&amp;LEN(IF(Raw!F1178="","",Raw!F1178))&amp;":"&amp;IF(Raw!F1178="","",Raw!F1178)&amp;"|"&amp;LEN(IF(Raw!G1178="","",Raw!G1178))&amp;":"&amp;IF(Raw!G1178="","",Raw!G1178)</f>
        <v>6:L01172|6:T00586|10:2026-02-15|3:P-H|4:Home|4:sale|6:234.78</v>
      </c>
      <c r="Q1178" s="1">
        <f>1</f>
        <v>1</v>
      </c>
      <c r="R1178" s="1" t="b">
        <f>FALSE</f>
        <v>0</v>
      </c>
      <c r="S1178" s="1">
        <f>1</f>
        <v>1</v>
      </c>
      <c r="T1178" s="1" t="str">
        <f>IF(AND(Raw!A1178="",Raw!B1178="",Raw!C1178="",Raw!D1178="",Raw!E1178="",Raw!F1178="",Raw!G1178=""),"UNUSED",IF(A1178="","missing line ID",IF(B1178="","missing transaction ID",IF(G1178="",IF(C1178="","missing date","invalid date"),IF(I1178="","unknown product",IF(J1178="","conflicting category",IF(NOT(OR(EXACT(K1178,"sale"),EXACT(K1178,"refund"))),"unknown event",IF(OR(N1178="",NOT(O1178)),"invalid amount",IF(OR(AND(K1178="sale",N1178&lt;=0),AND(K1178="refund",N1178&gt;=0)),"invalid sign","")))))))))</f>
        <v/>
      </c>
      <c r="U1178" s="1" t="str">
        <f t="shared" si="149"/>
        <v>INCLUDED</v>
      </c>
      <c r="V1178" s="1" t="str">
        <f t="shared" si="150"/>
        <v>2026-02</v>
      </c>
      <c r="W1178" s="1">
        <f>IF(AND(U1178="INCLUDED",X1178&gt;0,EXACT(A1178,'AI output'!A1178)),1,0)</f>
        <v>1</v>
      </c>
      <c r="X1178" s="1">
        <f>1178</f>
        <v>1178</v>
      </c>
      <c r="Y1178" s="1">
        <f>IF(AND(U1178="INCLUDED",W1178=1),--(NOT(EXACT(A1178,'AI output'!A1178)))+--(NOT(EXACT(B1178,'AI output'!B1178)))+--(NOT(EXACT(TEXT(G1178,"yyyy-mm-dd"),'AI output'!C1178)))+--(NOT(EXACT(H1178,'AI output'!D1178)))+--(NOT(EXACT(J1178,'AI output'!E1178)))+--(NOT(EXACT(K1178,'AI output'!F1178)))+--(N1178&lt;&gt;'AI output'!L1178)+--(NOT('AI output'!M1178)),0)</f>
        <v>0</v>
      </c>
      <c r="Z1178" s="1">
        <f t="shared" si="151"/>
        <v>0</v>
      </c>
      <c r="AA1178" s="1">
        <f>--EXACT(A1178,"L01172")</f>
        <v>1</v>
      </c>
    </row>
    <row r="1179" spans="1:27" ht="18.95" customHeight="1">
      <c r="A1179" s="1" t="str">
        <f>IF(Raw!A1179="","",Raw!A1179)</f>
        <v>L01173</v>
      </c>
      <c r="B1179" s="1" t="str">
        <f>IF(Raw!B1179="","",Raw!B1179)</f>
        <v>T00587</v>
      </c>
      <c r="C1179" s="1" t="str">
        <f>IF(Raw!C1179="","",Raw!C1179)</f>
        <v>2026-02-22</v>
      </c>
      <c r="D1179" s="1">
        <f t="shared" si="144"/>
        <v>2026</v>
      </c>
      <c r="E1179" s="1">
        <f>IFERROR(IF(AND(LEN(C1179)=10,MID(C1179,5,1)="-",MID(C1179,8,1)="-"),VALUE(MID(C1179,6,2)),IF(AND(LEN(C1179)=11,MID(C1179,3,1)="-",MID(C1179,7,1)="-"),MATCH(UPPER(MID(C1179,4,3)),Guide!$D$7:$D$18,0),0)),0)</f>
        <v>2</v>
      </c>
      <c r="F1179" s="1">
        <f t="shared" si="145"/>
        <v>22</v>
      </c>
      <c r="G1179" s="9">
        <f t="shared" si="146"/>
        <v>46075</v>
      </c>
      <c r="H1179" s="1" t="str">
        <f>IF(Raw!D1179="","",Raw!D1179)</f>
        <v>P-O</v>
      </c>
      <c r="I1179" s="1" t="str">
        <f>IFERROR(IF(EXACT(H1179,INDEX(Guide!$A$7:$A$9,MATCH(SUBSTITUTE(SUBSTITUTE(SUBSTITUTE(H1179,"~","~~"),"*","~*"),"?","~?"),Guide!$A$7:$A$9,0))),INDEX(Guide!$B$7:$B$9,MATCH(SUBSTITUTE(SUBSTITUTE(SUBSTITUTE(H1179,"~","~~"),"*","~*"),"?","~?"),Guide!$A$7:$A$9,0)),""),"")</f>
        <v>Office</v>
      </c>
      <c r="J1179" s="1" t="str">
        <f>IF(TRIM(Raw!E1179)="",I1179,IF(UPPER(TRIM(Raw!E1179))=UPPER(I1179),I1179,""))</f>
        <v>Office</v>
      </c>
      <c r="K1179" s="1" t="str">
        <f>IF(Raw!F1179="","",Raw!F1179)</f>
        <v>sale</v>
      </c>
      <c r="L1179" s="1" t="str">
        <f>IF(LEFT(TRIM(Raw!G1179),2)="-$","-"&amp;MID(TRIM(Raw!G1179),3,99),IF(LEFT(TRIM(Raw!G1179),1)="$",MID(TRIM(Raw!G1179),2,99),TRIM(Raw!G1179)))</f>
        <v>393.15</v>
      </c>
      <c r="M1179" s="1">
        <f t="shared" si="147"/>
        <v>393.15</v>
      </c>
      <c r="N1179" s="10">
        <f t="shared" si="148"/>
        <v>39315</v>
      </c>
      <c r="O1179" s="1" t="b">
        <f>IFERROR(IF(ISNUMBER(Raw!G1179),TRUE,OR(EXACT(L1179,TEXT(M1179,"0.00")),EXACT(L1179,TEXT(M1179,"#,##0.00")))),FALSE)</f>
        <v>1</v>
      </c>
      <c r="P1179" s="1" t="str">
        <f>LEN(IF(Raw!A1179="","",Raw!A1179))&amp;":"&amp;IF(Raw!A1179="","",Raw!A1179)&amp;"|"&amp;LEN(IF(Raw!B1179="","",Raw!B1179))&amp;":"&amp;IF(Raw!B1179="","",Raw!B1179)&amp;"|"&amp;LEN(IF(Raw!C1179="","",Raw!C1179))&amp;":"&amp;IF(Raw!C1179="","",Raw!C1179)&amp;"|"&amp;LEN(IF(Raw!D1179="","",Raw!D1179))&amp;":"&amp;IF(Raw!D1179="","",Raw!D1179)&amp;"|"&amp;LEN(IF(Raw!E1179="","",Raw!E1179))&amp;":"&amp;IF(Raw!E1179="","",Raw!E1179)&amp;"|"&amp;LEN(IF(Raw!F1179="","",Raw!F1179))&amp;":"&amp;IF(Raw!F1179="","",Raw!F1179)&amp;"|"&amp;LEN(IF(Raw!G1179="","",Raw!G1179))&amp;":"&amp;IF(Raw!G1179="","",Raw!G1179)</f>
        <v>6:L01173|6:T00587|10:2026-02-22|3:P-O|6:Office|4:sale|6:393.15</v>
      </c>
      <c r="Q1179" s="1">
        <f>1</f>
        <v>1</v>
      </c>
      <c r="R1179" s="1" t="b">
        <f>FALSE</f>
        <v>0</v>
      </c>
      <c r="S1179" s="1">
        <f>1</f>
        <v>1</v>
      </c>
      <c r="T1179" s="1" t="str">
        <f>IF(AND(Raw!A1179="",Raw!B1179="",Raw!C1179="",Raw!D1179="",Raw!E1179="",Raw!F1179="",Raw!G1179=""),"UNUSED",IF(A1179="","missing line ID",IF(B1179="","missing transaction ID",IF(G1179="",IF(C1179="","missing date","invalid date"),IF(I1179="","unknown product",IF(J1179="","conflicting category",IF(NOT(OR(EXACT(K1179,"sale"),EXACT(K1179,"refund"))),"unknown event",IF(OR(N1179="",NOT(O1179)),"invalid amount",IF(OR(AND(K1179="sale",N1179&lt;=0),AND(K1179="refund",N1179&gt;=0)),"invalid sign","")))))))))</f>
        <v/>
      </c>
      <c r="U1179" s="1" t="str">
        <f t="shared" si="149"/>
        <v>INCLUDED</v>
      </c>
      <c r="V1179" s="1" t="str">
        <f t="shared" si="150"/>
        <v>2026-02</v>
      </c>
      <c r="W1179" s="1">
        <f>IF(AND(U1179="INCLUDED",X1179&gt;0,EXACT(A1179,'AI output'!A1179)),1,0)</f>
        <v>1</v>
      </c>
      <c r="X1179" s="1">
        <f>1179</f>
        <v>1179</v>
      </c>
      <c r="Y1179" s="1">
        <f>IF(AND(U1179="INCLUDED",W1179=1),--(NOT(EXACT(A1179,'AI output'!A1179)))+--(NOT(EXACT(B1179,'AI output'!B1179)))+--(NOT(EXACT(TEXT(G1179,"yyyy-mm-dd"),'AI output'!C1179)))+--(NOT(EXACT(H1179,'AI output'!D1179)))+--(NOT(EXACT(J1179,'AI output'!E1179)))+--(NOT(EXACT(K1179,'AI output'!F1179)))+--(N1179&lt;&gt;'AI output'!L1179)+--(NOT('AI output'!M1179)),0)</f>
        <v>0</v>
      </c>
      <c r="Z1179" s="1">
        <f t="shared" si="151"/>
        <v>0</v>
      </c>
      <c r="AA1179" s="1">
        <f>--EXACT(A1179,"L01173")</f>
        <v>1</v>
      </c>
    </row>
    <row r="1180" spans="1:27" ht="18.95" customHeight="1">
      <c r="A1180" s="1" t="str">
        <f>IF(Raw!A1180="","",Raw!A1180)</f>
        <v>L01174</v>
      </c>
      <c r="B1180" s="1" t="str">
        <f>IF(Raw!B1180="","",Raw!B1180)</f>
        <v>T00587</v>
      </c>
      <c r="C1180" s="1" t="str">
        <f>IF(Raw!C1180="","",Raw!C1180)</f>
        <v>2026-02-22</v>
      </c>
      <c r="D1180" s="1">
        <f t="shared" si="144"/>
        <v>2026</v>
      </c>
      <c r="E1180" s="1">
        <f>IFERROR(IF(AND(LEN(C1180)=10,MID(C1180,5,1)="-",MID(C1180,8,1)="-"),VALUE(MID(C1180,6,2)),IF(AND(LEN(C1180)=11,MID(C1180,3,1)="-",MID(C1180,7,1)="-"),MATCH(UPPER(MID(C1180,4,3)),Guide!$D$7:$D$18,0),0)),0)</f>
        <v>2</v>
      </c>
      <c r="F1180" s="1">
        <f t="shared" si="145"/>
        <v>22</v>
      </c>
      <c r="G1180" s="9">
        <f t="shared" si="146"/>
        <v>46075</v>
      </c>
      <c r="H1180" s="1" t="str">
        <f>IF(Raw!D1180="","",Raw!D1180)</f>
        <v>P-A</v>
      </c>
      <c r="I1180" s="1" t="str">
        <f>IFERROR(IF(EXACT(H1180,INDEX(Guide!$A$7:$A$9,MATCH(SUBSTITUTE(SUBSTITUTE(SUBSTITUTE(H1180,"~","~~"),"*","~*"),"?","~?"),Guide!$A$7:$A$9,0))),INDEX(Guide!$B$7:$B$9,MATCH(SUBSTITUTE(SUBSTITUTE(SUBSTITUTE(H1180,"~","~~"),"*","~*"),"?","~?"),Guide!$A$7:$A$9,0)),""),"")</f>
        <v>Accessories</v>
      </c>
      <c r="J1180" s="1" t="str">
        <f>IF(TRIM(Raw!E1180)="",I1180,IF(UPPER(TRIM(Raw!E1180))=UPPER(I1180),I1180,""))</f>
        <v>Accessories</v>
      </c>
      <c r="K1180" s="1" t="str">
        <f>IF(Raw!F1180="","",Raw!F1180)</f>
        <v>refund</v>
      </c>
      <c r="L1180" s="1" t="str">
        <f>IF(LEFT(TRIM(Raw!G1180),2)="-$","-"&amp;MID(TRIM(Raw!G1180),3,99),IF(LEFT(TRIM(Raw!G1180),1)="$",MID(TRIM(Raw!G1180),2,99),TRIM(Raw!G1180)))</f>
        <v>-158.00</v>
      </c>
      <c r="M1180" s="1">
        <f t="shared" si="147"/>
        <v>-158</v>
      </c>
      <c r="N1180" s="10">
        <f t="shared" si="148"/>
        <v>-15800</v>
      </c>
      <c r="O1180" s="1" t="b">
        <f>IFERROR(IF(ISNUMBER(Raw!G1180),TRUE,OR(EXACT(L1180,TEXT(M1180,"0.00")),EXACT(L1180,TEXT(M1180,"#,##0.00")))),FALSE)</f>
        <v>1</v>
      </c>
      <c r="P1180" s="1" t="str">
        <f>LEN(IF(Raw!A1180="","",Raw!A1180))&amp;":"&amp;IF(Raw!A1180="","",Raw!A1180)&amp;"|"&amp;LEN(IF(Raw!B1180="","",Raw!B1180))&amp;":"&amp;IF(Raw!B1180="","",Raw!B1180)&amp;"|"&amp;LEN(IF(Raw!C1180="","",Raw!C1180))&amp;":"&amp;IF(Raw!C1180="","",Raw!C1180)&amp;"|"&amp;LEN(IF(Raw!D1180="","",Raw!D1180))&amp;":"&amp;IF(Raw!D1180="","",Raw!D1180)&amp;"|"&amp;LEN(IF(Raw!E1180="","",Raw!E1180))&amp;":"&amp;IF(Raw!E1180="","",Raw!E1180)&amp;"|"&amp;LEN(IF(Raw!F1180="","",Raw!F1180))&amp;":"&amp;IF(Raw!F1180="","",Raw!F1180)&amp;"|"&amp;LEN(IF(Raw!G1180="","",Raw!G1180))&amp;":"&amp;IF(Raw!G1180="","",Raw!G1180)</f>
        <v>6:L01174|6:T00587|10:2026-02-22|3:P-A|11:Accessories|6:refund|7:-158.00</v>
      </c>
      <c r="Q1180" s="1">
        <f>1</f>
        <v>1</v>
      </c>
      <c r="R1180" s="1" t="b">
        <f>FALSE</f>
        <v>0</v>
      </c>
      <c r="S1180" s="1">
        <f>1</f>
        <v>1</v>
      </c>
      <c r="T1180" s="1" t="str">
        <f>IF(AND(Raw!A1180="",Raw!B1180="",Raw!C1180="",Raw!D1180="",Raw!E1180="",Raw!F1180="",Raw!G1180=""),"UNUSED",IF(A1180="","missing line ID",IF(B1180="","missing transaction ID",IF(G1180="",IF(C1180="","missing date","invalid date"),IF(I1180="","unknown product",IF(J1180="","conflicting category",IF(NOT(OR(EXACT(K1180,"sale"),EXACT(K1180,"refund"))),"unknown event",IF(OR(N1180="",NOT(O1180)),"invalid amount",IF(OR(AND(K1180="sale",N1180&lt;=0),AND(K1180="refund",N1180&gt;=0)),"invalid sign","")))))))))</f>
        <v/>
      </c>
      <c r="U1180" s="1" t="str">
        <f t="shared" si="149"/>
        <v>INCLUDED</v>
      </c>
      <c r="V1180" s="1" t="str">
        <f t="shared" si="150"/>
        <v>2026-02</v>
      </c>
      <c r="W1180" s="1">
        <f>IF(AND(U1180="INCLUDED",X1180&gt;0,EXACT(A1180,'AI output'!A1180)),1,0)</f>
        <v>1</v>
      </c>
      <c r="X1180" s="1">
        <f>1180</f>
        <v>1180</v>
      </c>
      <c r="Y1180" s="1">
        <f>IF(AND(U1180="INCLUDED",W1180=1),--(NOT(EXACT(A1180,'AI output'!A1180)))+--(NOT(EXACT(B1180,'AI output'!B1180)))+--(NOT(EXACT(TEXT(G1180,"yyyy-mm-dd"),'AI output'!C1180)))+--(NOT(EXACT(H1180,'AI output'!D1180)))+--(NOT(EXACT(J1180,'AI output'!E1180)))+--(NOT(EXACT(K1180,'AI output'!F1180)))+--(N1180&lt;&gt;'AI output'!L1180)+--(NOT('AI output'!M1180)),0)</f>
        <v>0</v>
      </c>
      <c r="Z1180" s="1">
        <f t="shared" si="151"/>
        <v>0</v>
      </c>
      <c r="AA1180" s="1">
        <f>--EXACT(A1180,"L01174")</f>
        <v>1</v>
      </c>
    </row>
    <row r="1181" spans="1:27" ht="18.95" customHeight="1">
      <c r="A1181" s="1" t="str">
        <f>IF(Raw!A1181="","",Raw!A1181)</f>
        <v>L01175</v>
      </c>
      <c r="B1181" s="1" t="str">
        <f>IF(Raw!B1181="","",Raw!B1181)</f>
        <v>T00588</v>
      </c>
      <c r="C1181" s="1" t="str">
        <f>IF(Raw!C1181="","",Raw!C1181)</f>
        <v>2026-03-01</v>
      </c>
      <c r="D1181" s="1">
        <f t="shared" si="144"/>
        <v>2026</v>
      </c>
      <c r="E1181" s="1">
        <f>IFERROR(IF(AND(LEN(C1181)=10,MID(C1181,5,1)="-",MID(C1181,8,1)="-"),VALUE(MID(C1181,6,2)),IF(AND(LEN(C1181)=11,MID(C1181,3,1)="-",MID(C1181,7,1)="-"),MATCH(UPPER(MID(C1181,4,3)),Guide!$D$7:$D$18,0),0)),0)</f>
        <v>3</v>
      </c>
      <c r="F1181" s="1">
        <f t="shared" si="145"/>
        <v>1</v>
      </c>
      <c r="G1181" s="9">
        <f t="shared" si="146"/>
        <v>46082</v>
      </c>
      <c r="H1181" s="1" t="str">
        <f>IF(Raw!D1181="","",Raw!D1181)</f>
        <v>P-H</v>
      </c>
      <c r="I1181" s="1" t="str">
        <f>IFERROR(IF(EXACT(H1181,INDEX(Guide!$A$7:$A$9,MATCH(SUBSTITUTE(SUBSTITUTE(SUBSTITUTE(H1181,"~","~~"),"*","~*"),"?","~?"),Guide!$A$7:$A$9,0))),INDEX(Guide!$B$7:$B$9,MATCH(SUBSTITUTE(SUBSTITUTE(SUBSTITUTE(H1181,"~","~~"),"*","~*"),"?","~?"),Guide!$A$7:$A$9,0)),""),"")</f>
        <v>Home</v>
      </c>
      <c r="J1181" s="1" t="str">
        <f>IF(TRIM(Raw!E1181)="",I1181,IF(UPPER(TRIM(Raw!E1181))=UPPER(I1181),I1181,""))</f>
        <v>Home</v>
      </c>
      <c r="K1181" s="1" t="str">
        <f>IF(Raw!F1181="","",Raw!F1181)</f>
        <v>sale</v>
      </c>
      <c r="L1181" s="1" t="str">
        <f>IF(LEFT(TRIM(Raw!G1181),2)="-$","-"&amp;MID(TRIM(Raw!G1181),3,99),IF(LEFT(TRIM(Raw!G1181),1)="$",MID(TRIM(Raw!G1181),2,99),TRIM(Raw!G1181)))</f>
        <v>317.48</v>
      </c>
      <c r="M1181" s="1">
        <f t="shared" si="147"/>
        <v>317.48</v>
      </c>
      <c r="N1181" s="10">
        <f t="shared" si="148"/>
        <v>31748</v>
      </c>
      <c r="O1181" s="1" t="b">
        <f>IFERROR(IF(ISNUMBER(Raw!G1181),TRUE,OR(EXACT(L1181,TEXT(M1181,"0.00")),EXACT(L1181,TEXT(M1181,"#,##0.00")))),FALSE)</f>
        <v>1</v>
      </c>
      <c r="P1181" s="1" t="str">
        <f>LEN(IF(Raw!A1181="","",Raw!A1181))&amp;":"&amp;IF(Raw!A1181="","",Raw!A1181)&amp;"|"&amp;LEN(IF(Raw!B1181="","",Raw!B1181))&amp;":"&amp;IF(Raw!B1181="","",Raw!B1181)&amp;"|"&amp;LEN(IF(Raw!C1181="","",Raw!C1181))&amp;":"&amp;IF(Raw!C1181="","",Raw!C1181)&amp;"|"&amp;LEN(IF(Raw!D1181="","",Raw!D1181))&amp;":"&amp;IF(Raw!D1181="","",Raw!D1181)&amp;"|"&amp;LEN(IF(Raw!E1181="","",Raw!E1181))&amp;":"&amp;IF(Raw!E1181="","",Raw!E1181)&amp;"|"&amp;LEN(IF(Raw!F1181="","",Raw!F1181))&amp;":"&amp;IF(Raw!F1181="","",Raw!F1181)&amp;"|"&amp;LEN(IF(Raw!G1181="","",Raw!G1181))&amp;":"&amp;IF(Raw!G1181="","",Raw!G1181)</f>
        <v>6:L01175|6:T00588|10:2026-03-01|3:P-H|4:Home|4:sale|6:317.48</v>
      </c>
      <c r="Q1181" s="1">
        <f>1</f>
        <v>1</v>
      </c>
      <c r="R1181" s="1" t="b">
        <f>FALSE</f>
        <v>0</v>
      </c>
      <c r="S1181" s="1">
        <f>1</f>
        <v>1</v>
      </c>
      <c r="T1181" s="1" t="str">
        <f>IF(AND(Raw!A1181="",Raw!B1181="",Raw!C1181="",Raw!D1181="",Raw!E1181="",Raw!F1181="",Raw!G1181=""),"UNUSED",IF(A1181="","missing line ID",IF(B1181="","missing transaction ID",IF(G1181="",IF(C1181="","missing date","invalid date"),IF(I1181="","unknown product",IF(J1181="","conflicting category",IF(NOT(OR(EXACT(K1181,"sale"),EXACT(K1181,"refund"))),"unknown event",IF(OR(N1181="",NOT(O1181)),"invalid amount",IF(OR(AND(K1181="sale",N1181&lt;=0),AND(K1181="refund",N1181&gt;=0)),"invalid sign","")))))))))</f>
        <v/>
      </c>
      <c r="U1181" s="1" t="str">
        <f t="shared" si="149"/>
        <v>INCLUDED</v>
      </c>
      <c r="V1181" s="1" t="str">
        <f t="shared" si="150"/>
        <v>2026-03</v>
      </c>
      <c r="W1181" s="1">
        <f>IF(AND(U1181="INCLUDED",X1181&gt;0,EXACT(A1181,'AI output'!A1181)),1,0)</f>
        <v>1</v>
      </c>
      <c r="X1181" s="1">
        <f>1181</f>
        <v>1181</v>
      </c>
      <c r="Y1181" s="1">
        <f>IF(AND(U1181="INCLUDED",W1181=1),--(NOT(EXACT(A1181,'AI output'!A1181)))+--(NOT(EXACT(B1181,'AI output'!B1181)))+--(NOT(EXACT(TEXT(G1181,"yyyy-mm-dd"),'AI output'!C1181)))+--(NOT(EXACT(H1181,'AI output'!D1181)))+--(NOT(EXACT(J1181,'AI output'!E1181)))+--(NOT(EXACT(K1181,'AI output'!F1181)))+--(N1181&lt;&gt;'AI output'!L1181)+--(NOT('AI output'!M1181)),0)</f>
        <v>0</v>
      </c>
      <c r="Z1181" s="1">
        <f t="shared" si="151"/>
        <v>0</v>
      </c>
      <c r="AA1181" s="1">
        <f>--EXACT(A1181,"L01175")</f>
        <v>1</v>
      </c>
    </row>
    <row r="1182" spans="1:27" ht="18.95" customHeight="1">
      <c r="A1182" s="1" t="str">
        <f>IF(Raw!A1182="","",Raw!A1182)</f>
        <v>L01176</v>
      </c>
      <c r="B1182" s="1" t="str">
        <f>IF(Raw!B1182="","",Raw!B1182)</f>
        <v>T00588</v>
      </c>
      <c r="C1182" s="1" t="str">
        <f>IF(Raw!C1182="","",Raw!C1182)</f>
        <v>2026-03-01</v>
      </c>
      <c r="D1182" s="1">
        <f t="shared" si="144"/>
        <v>2026</v>
      </c>
      <c r="E1182" s="1">
        <f>IFERROR(IF(AND(LEN(C1182)=10,MID(C1182,5,1)="-",MID(C1182,8,1)="-"),VALUE(MID(C1182,6,2)),IF(AND(LEN(C1182)=11,MID(C1182,3,1)="-",MID(C1182,7,1)="-"),MATCH(UPPER(MID(C1182,4,3)),Guide!$D$7:$D$18,0),0)),0)</f>
        <v>3</v>
      </c>
      <c r="F1182" s="1">
        <f t="shared" si="145"/>
        <v>1</v>
      </c>
      <c r="G1182" s="9">
        <f t="shared" si="146"/>
        <v>46082</v>
      </c>
      <c r="H1182" s="1" t="str">
        <f>IF(Raw!D1182="","",Raw!D1182)</f>
        <v>P-O</v>
      </c>
      <c r="I1182" s="1" t="str">
        <f>IFERROR(IF(EXACT(H1182,INDEX(Guide!$A$7:$A$9,MATCH(SUBSTITUTE(SUBSTITUTE(SUBSTITUTE(H1182,"~","~~"),"*","~*"),"?","~?"),Guide!$A$7:$A$9,0))),INDEX(Guide!$B$7:$B$9,MATCH(SUBSTITUTE(SUBSTITUTE(SUBSTITUTE(H1182,"~","~~"),"*","~*"),"?","~?"),Guide!$A$7:$A$9,0)),""),"")</f>
        <v>Office</v>
      </c>
      <c r="J1182" s="1" t="str">
        <f>IF(TRIM(Raw!E1182)="",I1182,IF(UPPER(TRIM(Raw!E1182))=UPPER(I1182),I1182,""))</f>
        <v>Office</v>
      </c>
      <c r="K1182" s="1" t="str">
        <f>IF(Raw!F1182="","",Raw!F1182)</f>
        <v>sale</v>
      </c>
      <c r="L1182" s="1" t="str">
        <f>IF(LEFT(TRIM(Raw!G1182),2)="-$","-"&amp;MID(TRIM(Raw!G1182),3,99),IF(LEFT(TRIM(Raw!G1182),1)="$",MID(TRIM(Raw!G1182),2,99),TRIM(Raw!G1182)))</f>
        <v>79.74</v>
      </c>
      <c r="M1182" s="1">
        <f t="shared" si="147"/>
        <v>79.739999999999995</v>
      </c>
      <c r="N1182" s="10">
        <f t="shared" si="148"/>
        <v>7974</v>
      </c>
      <c r="O1182" s="1" t="b">
        <f>IFERROR(IF(ISNUMBER(Raw!G1182),TRUE,OR(EXACT(L1182,TEXT(M1182,"0.00")),EXACT(L1182,TEXT(M1182,"#,##0.00")))),FALSE)</f>
        <v>1</v>
      </c>
      <c r="P1182" s="1" t="str">
        <f>LEN(IF(Raw!A1182="","",Raw!A1182))&amp;":"&amp;IF(Raw!A1182="","",Raw!A1182)&amp;"|"&amp;LEN(IF(Raw!B1182="","",Raw!B1182))&amp;":"&amp;IF(Raw!B1182="","",Raw!B1182)&amp;"|"&amp;LEN(IF(Raw!C1182="","",Raw!C1182))&amp;":"&amp;IF(Raw!C1182="","",Raw!C1182)&amp;"|"&amp;LEN(IF(Raw!D1182="","",Raw!D1182))&amp;":"&amp;IF(Raw!D1182="","",Raw!D1182)&amp;"|"&amp;LEN(IF(Raw!E1182="","",Raw!E1182))&amp;":"&amp;IF(Raw!E1182="","",Raw!E1182)&amp;"|"&amp;LEN(IF(Raw!F1182="","",Raw!F1182))&amp;":"&amp;IF(Raw!F1182="","",Raw!F1182)&amp;"|"&amp;LEN(IF(Raw!G1182="","",Raw!G1182))&amp;":"&amp;IF(Raw!G1182="","",Raw!G1182)</f>
        <v>6:L01176|6:T00588|10:2026-03-01|3:P-O|6:Office|4:sale|5:79.74</v>
      </c>
      <c r="Q1182" s="1">
        <f>1</f>
        <v>1</v>
      </c>
      <c r="R1182" s="1" t="b">
        <f>FALSE</f>
        <v>0</v>
      </c>
      <c r="S1182" s="1">
        <f>1</f>
        <v>1</v>
      </c>
      <c r="T1182" s="1" t="str">
        <f>IF(AND(Raw!A1182="",Raw!B1182="",Raw!C1182="",Raw!D1182="",Raw!E1182="",Raw!F1182="",Raw!G1182=""),"UNUSED",IF(A1182="","missing line ID",IF(B1182="","missing transaction ID",IF(G1182="",IF(C1182="","missing date","invalid date"),IF(I1182="","unknown product",IF(J1182="","conflicting category",IF(NOT(OR(EXACT(K1182,"sale"),EXACT(K1182,"refund"))),"unknown event",IF(OR(N1182="",NOT(O1182)),"invalid amount",IF(OR(AND(K1182="sale",N1182&lt;=0),AND(K1182="refund",N1182&gt;=0)),"invalid sign","")))))))))</f>
        <v/>
      </c>
      <c r="U1182" s="1" t="str">
        <f t="shared" si="149"/>
        <v>INCLUDED</v>
      </c>
      <c r="V1182" s="1" t="str">
        <f t="shared" si="150"/>
        <v>2026-03</v>
      </c>
      <c r="W1182" s="1">
        <f>IF(AND(U1182="INCLUDED",X1182&gt;0,EXACT(A1182,'AI output'!A1182)),1,0)</f>
        <v>1</v>
      </c>
      <c r="X1182" s="1">
        <f>1182</f>
        <v>1182</v>
      </c>
      <c r="Y1182" s="1">
        <f>IF(AND(U1182="INCLUDED",W1182=1),--(NOT(EXACT(A1182,'AI output'!A1182)))+--(NOT(EXACT(B1182,'AI output'!B1182)))+--(NOT(EXACT(TEXT(G1182,"yyyy-mm-dd"),'AI output'!C1182)))+--(NOT(EXACT(H1182,'AI output'!D1182)))+--(NOT(EXACT(J1182,'AI output'!E1182)))+--(NOT(EXACT(K1182,'AI output'!F1182)))+--(N1182&lt;&gt;'AI output'!L1182)+--(NOT('AI output'!M1182)),0)</f>
        <v>0</v>
      </c>
      <c r="Z1182" s="1">
        <f t="shared" si="151"/>
        <v>0</v>
      </c>
      <c r="AA1182" s="1">
        <f>--EXACT(A1182,"L01176")</f>
        <v>1</v>
      </c>
    </row>
    <row r="1183" spans="1:27" ht="18.95" customHeight="1">
      <c r="A1183" s="1" t="str">
        <f>IF(Raw!A1183="","",Raw!A1183)</f>
        <v>L01177</v>
      </c>
      <c r="B1183" s="1" t="str">
        <f>IF(Raw!B1183="","",Raw!B1183)</f>
        <v>T00589</v>
      </c>
      <c r="C1183" s="1" t="str">
        <f>IF(Raw!C1183="","",Raw!C1183)</f>
        <v>2026-03-08</v>
      </c>
      <c r="D1183" s="1">
        <f t="shared" si="144"/>
        <v>2026</v>
      </c>
      <c r="E1183" s="1">
        <f>IFERROR(IF(AND(LEN(C1183)=10,MID(C1183,5,1)="-",MID(C1183,8,1)="-"),VALUE(MID(C1183,6,2)),IF(AND(LEN(C1183)=11,MID(C1183,3,1)="-",MID(C1183,7,1)="-"),MATCH(UPPER(MID(C1183,4,3)),Guide!$D$7:$D$18,0),0)),0)</f>
        <v>3</v>
      </c>
      <c r="F1183" s="1">
        <f t="shared" si="145"/>
        <v>8</v>
      </c>
      <c r="G1183" s="9">
        <f t="shared" si="146"/>
        <v>46089</v>
      </c>
      <c r="H1183" s="1" t="str">
        <f>IF(Raw!D1183="","",Raw!D1183)</f>
        <v>P-A</v>
      </c>
      <c r="I1183" s="1" t="str">
        <f>IFERROR(IF(EXACT(H1183,INDEX(Guide!$A$7:$A$9,MATCH(SUBSTITUTE(SUBSTITUTE(SUBSTITUTE(H1183,"~","~~"),"*","~*"),"?","~?"),Guide!$A$7:$A$9,0))),INDEX(Guide!$B$7:$B$9,MATCH(SUBSTITUTE(SUBSTITUTE(SUBSTITUTE(H1183,"~","~~"),"*","~*"),"?","~?"),Guide!$A$7:$A$9,0)),""),"")</f>
        <v>Accessories</v>
      </c>
      <c r="J1183" s="1" t="str">
        <f>IF(TRIM(Raw!E1183)="",I1183,IF(UPPER(TRIM(Raw!E1183))=UPPER(I1183),I1183,""))</f>
        <v>Accessories</v>
      </c>
      <c r="K1183" s="1" t="str">
        <f>IF(Raw!F1183="","",Raw!F1183)</f>
        <v>sale</v>
      </c>
      <c r="L1183" s="1" t="str">
        <f>IF(LEFT(TRIM(Raw!G1183),2)="-$","-"&amp;MID(TRIM(Raw!G1183),3,99),IF(LEFT(TRIM(Raw!G1183),1)="$",MID(TRIM(Raw!G1183),2,99),TRIM(Raw!G1183)))</f>
        <v>240.33</v>
      </c>
      <c r="M1183" s="1">
        <f t="shared" si="147"/>
        <v>240.33</v>
      </c>
      <c r="N1183" s="10">
        <f t="shared" si="148"/>
        <v>24033</v>
      </c>
      <c r="O1183" s="1" t="b">
        <f>IFERROR(IF(ISNUMBER(Raw!G1183),TRUE,OR(EXACT(L1183,TEXT(M1183,"0.00")),EXACT(L1183,TEXT(M1183,"#,##0.00")))),FALSE)</f>
        <v>1</v>
      </c>
      <c r="P1183" s="1" t="str">
        <f>LEN(IF(Raw!A1183="","",Raw!A1183))&amp;":"&amp;IF(Raw!A1183="","",Raw!A1183)&amp;"|"&amp;LEN(IF(Raw!B1183="","",Raw!B1183))&amp;":"&amp;IF(Raw!B1183="","",Raw!B1183)&amp;"|"&amp;LEN(IF(Raw!C1183="","",Raw!C1183))&amp;":"&amp;IF(Raw!C1183="","",Raw!C1183)&amp;"|"&amp;LEN(IF(Raw!D1183="","",Raw!D1183))&amp;":"&amp;IF(Raw!D1183="","",Raw!D1183)&amp;"|"&amp;LEN(IF(Raw!E1183="","",Raw!E1183))&amp;":"&amp;IF(Raw!E1183="","",Raw!E1183)&amp;"|"&amp;LEN(IF(Raw!F1183="","",Raw!F1183))&amp;":"&amp;IF(Raw!F1183="","",Raw!F1183)&amp;"|"&amp;LEN(IF(Raw!G1183="","",Raw!G1183))&amp;":"&amp;IF(Raw!G1183="","",Raw!G1183)</f>
        <v>6:L01177|6:T00589|10:2026-03-08|3:P-A|11:Accessories|4:sale|6:240.33</v>
      </c>
      <c r="Q1183" s="1">
        <f>1</f>
        <v>1</v>
      </c>
      <c r="R1183" s="1" t="b">
        <f>FALSE</f>
        <v>0</v>
      </c>
      <c r="S1183" s="1">
        <f>1</f>
        <v>1</v>
      </c>
      <c r="T1183" s="1" t="str">
        <f>IF(AND(Raw!A1183="",Raw!B1183="",Raw!C1183="",Raw!D1183="",Raw!E1183="",Raw!F1183="",Raw!G1183=""),"UNUSED",IF(A1183="","missing line ID",IF(B1183="","missing transaction ID",IF(G1183="",IF(C1183="","missing date","invalid date"),IF(I1183="","unknown product",IF(J1183="","conflicting category",IF(NOT(OR(EXACT(K1183,"sale"),EXACT(K1183,"refund"))),"unknown event",IF(OR(N1183="",NOT(O1183)),"invalid amount",IF(OR(AND(K1183="sale",N1183&lt;=0),AND(K1183="refund",N1183&gt;=0)),"invalid sign","")))))))))</f>
        <v/>
      </c>
      <c r="U1183" s="1" t="str">
        <f t="shared" si="149"/>
        <v>INCLUDED</v>
      </c>
      <c r="V1183" s="1" t="str">
        <f t="shared" si="150"/>
        <v>2026-03</v>
      </c>
      <c r="W1183" s="1">
        <f>IF(AND(U1183="INCLUDED",X1183&gt;0,EXACT(A1183,'AI output'!A1183)),1,0)</f>
        <v>1</v>
      </c>
      <c r="X1183" s="1">
        <f>1183</f>
        <v>1183</v>
      </c>
      <c r="Y1183" s="1">
        <f>IF(AND(U1183="INCLUDED",W1183=1),--(NOT(EXACT(A1183,'AI output'!A1183)))+--(NOT(EXACT(B1183,'AI output'!B1183)))+--(NOT(EXACT(TEXT(G1183,"yyyy-mm-dd"),'AI output'!C1183)))+--(NOT(EXACT(H1183,'AI output'!D1183)))+--(NOT(EXACT(J1183,'AI output'!E1183)))+--(NOT(EXACT(K1183,'AI output'!F1183)))+--(N1183&lt;&gt;'AI output'!L1183)+--(NOT('AI output'!M1183)),0)</f>
        <v>0</v>
      </c>
      <c r="Z1183" s="1">
        <f t="shared" si="151"/>
        <v>0</v>
      </c>
      <c r="AA1183" s="1">
        <f>--EXACT(A1183,"L01177")</f>
        <v>1</v>
      </c>
    </row>
    <row r="1184" spans="1:27" ht="18.95" customHeight="1">
      <c r="A1184" s="1" t="str">
        <f>IF(Raw!A1184="","",Raw!A1184)</f>
        <v>L01178</v>
      </c>
      <c r="B1184" s="1" t="str">
        <f>IF(Raw!B1184="","",Raw!B1184)</f>
        <v>T00589</v>
      </c>
      <c r="C1184" s="1" t="str">
        <f>IF(Raw!C1184="","",Raw!C1184)</f>
        <v>2026-03-08</v>
      </c>
      <c r="D1184" s="1">
        <f t="shared" si="144"/>
        <v>2026</v>
      </c>
      <c r="E1184" s="1">
        <f>IFERROR(IF(AND(LEN(C1184)=10,MID(C1184,5,1)="-",MID(C1184,8,1)="-"),VALUE(MID(C1184,6,2)),IF(AND(LEN(C1184)=11,MID(C1184,3,1)="-",MID(C1184,7,1)="-"),MATCH(UPPER(MID(C1184,4,3)),Guide!$D$7:$D$18,0),0)),0)</f>
        <v>3</v>
      </c>
      <c r="F1184" s="1">
        <f t="shared" si="145"/>
        <v>8</v>
      </c>
      <c r="G1184" s="9">
        <f t="shared" si="146"/>
        <v>46089</v>
      </c>
      <c r="H1184" s="1" t="str">
        <f>IF(Raw!D1184="","",Raw!D1184)</f>
        <v>P-H</v>
      </c>
      <c r="I1184" s="1" t="str">
        <f>IFERROR(IF(EXACT(H1184,INDEX(Guide!$A$7:$A$9,MATCH(SUBSTITUTE(SUBSTITUTE(SUBSTITUTE(H1184,"~","~~"),"*","~*"),"?","~?"),Guide!$A$7:$A$9,0))),INDEX(Guide!$B$7:$B$9,MATCH(SUBSTITUTE(SUBSTITUTE(SUBSTITUTE(H1184,"~","~~"),"*","~*"),"?","~?"),Guide!$A$7:$A$9,0)),""),"")</f>
        <v>Home</v>
      </c>
      <c r="J1184" s="1" t="str">
        <f>IF(TRIM(Raw!E1184)="",I1184,IF(UPPER(TRIM(Raw!E1184))=UPPER(I1184),I1184,""))</f>
        <v>Home</v>
      </c>
      <c r="K1184" s="1" t="str">
        <f>IF(Raw!F1184="","",Raw!F1184)</f>
        <v>sale</v>
      </c>
      <c r="L1184" s="1" t="str">
        <f>IF(LEFT(TRIM(Raw!G1184),2)="-$","-"&amp;MID(TRIM(Raw!G1184),3,99),IF(LEFT(TRIM(Raw!G1184),1)="$",MID(TRIM(Raw!G1184),2,99),TRIM(Raw!G1184)))</f>
        <v>402.40</v>
      </c>
      <c r="M1184" s="1">
        <f t="shared" si="147"/>
        <v>402.4</v>
      </c>
      <c r="N1184" s="10">
        <f t="shared" si="148"/>
        <v>40240</v>
      </c>
      <c r="O1184" s="1" t="b">
        <f>IFERROR(IF(ISNUMBER(Raw!G1184),TRUE,OR(EXACT(L1184,TEXT(M1184,"0.00")),EXACT(L1184,TEXT(M1184,"#,##0.00")))),FALSE)</f>
        <v>1</v>
      </c>
      <c r="P1184" s="1" t="str">
        <f>LEN(IF(Raw!A1184="","",Raw!A1184))&amp;":"&amp;IF(Raw!A1184="","",Raw!A1184)&amp;"|"&amp;LEN(IF(Raw!B1184="","",Raw!B1184))&amp;":"&amp;IF(Raw!B1184="","",Raw!B1184)&amp;"|"&amp;LEN(IF(Raw!C1184="","",Raw!C1184))&amp;":"&amp;IF(Raw!C1184="","",Raw!C1184)&amp;"|"&amp;LEN(IF(Raw!D1184="","",Raw!D1184))&amp;":"&amp;IF(Raw!D1184="","",Raw!D1184)&amp;"|"&amp;LEN(IF(Raw!E1184="","",Raw!E1184))&amp;":"&amp;IF(Raw!E1184="","",Raw!E1184)&amp;"|"&amp;LEN(IF(Raw!F1184="","",Raw!F1184))&amp;":"&amp;IF(Raw!F1184="","",Raw!F1184)&amp;"|"&amp;LEN(IF(Raw!G1184="","",Raw!G1184))&amp;":"&amp;IF(Raw!G1184="","",Raw!G1184)</f>
        <v>6:L01178|6:T00589|10:2026-03-08|3:P-H|4:Home|4:sale|6:402.40</v>
      </c>
      <c r="Q1184" s="1">
        <f>1</f>
        <v>1</v>
      </c>
      <c r="R1184" s="1" t="b">
        <f>FALSE</f>
        <v>0</v>
      </c>
      <c r="S1184" s="1">
        <f>1</f>
        <v>1</v>
      </c>
      <c r="T1184" s="1" t="str">
        <f>IF(AND(Raw!A1184="",Raw!B1184="",Raw!C1184="",Raw!D1184="",Raw!E1184="",Raw!F1184="",Raw!G1184=""),"UNUSED",IF(A1184="","missing line ID",IF(B1184="","missing transaction ID",IF(G1184="",IF(C1184="","missing date","invalid date"),IF(I1184="","unknown product",IF(J1184="","conflicting category",IF(NOT(OR(EXACT(K1184,"sale"),EXACT(K1184,"refund"))),"unknown event",IF(OR(N1184="",NOT(O1184)),"invalid amount",IF(OR(AND(K1184="sale",N1184&lt;=0),AND(K1184="refund",N1184&gt;=0)),"invalid sign","")))))))))</f>
        <v/>
      </c>
      <c r="U1184" s="1" t="str">
        <f t="shared" si="149"/>
        <v>INCLUDED</v>
      </c>
      <c r="V1184" s="1" t="str">
        <f t="shared" si="150"/>
        <v>2026-03</v>
      </c>
      <c r="W1184" s="1">
        <f>IF(AND(U1184="INCLUDED",X1184&gt;0,EXACT(A1184,'AI output'!A1184)),1,0)</f>
        <v>1</v>
      </c>
      <c r="X1184" s="1">
        <f>1184</f>
        <v>1184</v>
      </c>
      <c r="Y1184" s="1">
        <f>IF(AND(U1184="INCLUDED",W1184=1),--(NOT(EXACT(A1184,'AI output'!A1184)))+--(NOT(EXACT(B1184,'AI output'!B1184)))+--(NOT(EXACT(TEXT(G1184,"yyyy-mm-dd"),'AI output'!C1184)))+--(NOT(EXACT(H1184,'AI output'!D1184)))+--(NOT(EXACT(J1184,'AI output'!E1184)))+--(NOT(EXACT(K1184,'AI output'!F1184)))+--(N1184&lt;&gt;'AI output'!L1184)+--(NOT('AI output'!M1184)),0)</f>
        <v>0</v>
      </c>
      <c r="Z1184" s="1">
        <f t="shared" si="151"/>
        <v>0</v>
      </c>
      <c r="AA1184" s="1">
        <f>--EXACT(A1184,"L01178")</f>
        <v>1</v>
      </c>
    </row>
    <row r="1185" spans="1:27" ht="18.95" customHeight="1">
      <c r="A1185" s="1" t="str">
        <f>IF(Raw!A1185="","",Raw!A1185)</f>
        <v>L01179</v>
      </c>
      <c r="B1185" s="1" t="str">
        <f>IF(Raw!B1185="","",Raw!B1185)</f>
        <v>T00590</v>
      </c>
      <c r="C1185" s="1" t="str">
        <f>IF(Raw!C1185="","",Raw!C1185)</f>
        <v>2026-03-15</v>
      </c>
      <c r="D1185" s="1">
        <f t="shared" si="144"/>
        <v>2026</v>
      </c>
      <c r="E1185" s="1">
        <f>IFERROR(IF(AND(LEN(C1185)=10,MID(C1185,5,1)="-",MID(C1185,8,1)="-"),VALUE(MID(C1185,6,2)),IF(AND(LEN(C1185)=11,MID(C1185,3,1)="-",MID(C1185,7,1)="-"),MATCH(UPPER(MID(C1185,4,3)),Guide!$D$7:$D$18,0),0)),0)</f>
        <v>3</v>
      </c>
      <c r="F1185" s="1">
        <f t="shared" si="145"/>
        <v>15</v>
      </c>
      <c r="G1185" s="9">
        <f t="shared" si="146"/>
        <v>46096</v>
      </c>
      <c r="H1185" s="1" t="str">
        <f>IF(Raw!D1185="","",Raw!D1185)</f>
        <v>P-O</v>
      </c>
      <c r="I1185" s="1" t="str">
        <f>IFERROR(IF(EXACT(H1185,INDEX(Guide!$A$7:$A$9,MATCH(SUBSTITUTE(SUBSTITUTE(SUBSTITUTE(H1185,"~","~~"),"*","~*"),"?","~?"),Guide!$A$7:$A$9,0))),INDEX(Guide!$B$7:$B$9,MATCH(SUBSTITUTE(SUBSTITUTE(SUBSTITUTE(H1185,"~","~~"),"*","~*"),"?","~?"),Guide!$A$7:$A$9,0)),""),"")</f>
        <v>Office</v>
      </c>
      <c r="J1185" s="1" t="str">
        <f>IF(TRIM(Raw!E1185)="",I1185,IF(UPPER(TRIM(Raw!E1185))=UPPER(I1185),I1185,""))</f>
        <v>Office</v>
      </c>
      <c r="K1185" s="1" t="str">
        <f>IF(Raw!F1185="","",Raw!F1185)</f>
        <v>sale</v>
      </c>
      <c r="L1185" s="1" t="str">
        <f>IF(LEFT(TRIM(Raw!G1185),2)="-$","-"&amp;MID(TRIM(Raw!G1185),3,99),IF(LEFT(TRIM(Raw!G1185),1)="$",MID(TRIM(Raw!G1185),2,99),TRIM(Raw!G1185)))</f>
        <v>161.70</v>
      </c>
      <c r="M1185" s="1">
        <f t="shared" si="147"/>
        <v>161.69999999999999</v>
      </c>
      <c r="N1185" s="10">
        <f t="shared" si="148"/>
        <v>16170</v>
      </c>
      <c r="O1185" s="1" t="b">
        <f>IFERROR(IF(ISNUMBER(Raw!G1185),TRUE,OR(EXACT(L1185,TEXT(M1185,"0.00")),EXACT(L1185,TEXT(M1185,"#,##0.00")))),FALSE)</f>
        <v>1</v>
      </c>
      <c r="P1185" s="1" t="str">
        <f>LEN(IF(Raw!A1185="","",Raw!A1185))&amp;":"&amp;IF(Raw!A1185="","",Raw!A1185)&amp;"|"&amp;LEN(IF(Raw!B1185="","",Raw!B1185))&amp;":"&amp;IF(Raw!B1185="","",Raw!B1185)&amp;"|"&amp;LEN(IF(Raw!C1185="","",Raw!C1185))&amp;":"&amp;IF(Raw!C1185="","",Raw!C1185)&amp;"|"&amp;LEN(IF(Raw!D1185="","",Raw!D1185))&amp;":"&amp;IF(Raw!D1185="","",Raw!D1185)&amp;"|"&amp;LEN(IF(Raw!E1185="","",Raw!E1185))&amp;":"&amp;IF(Raw!E1185="","",Raw!E1185)&amp;"|"&amp;LEN(IF(Raw!F1185="","",Raw!F1185))&amp;":"&amp;IF(Raw!F1185="","",Raw!F1185)&amp;"|"&amp;LEN(IF(Raw!G1185="","",Raw!G1185))&amp;":"&amp;IF(Raw!G1185="","",Raw!G1185)</f>
        <v>6:L01179|6:T00590|10:2026-03-15|3:P-O|10:  office  |4:sale|6:161.70</v>
      </c>
      <c r="Q1185" s="1">
        <f>1</f>
        <v>1</v>
      </c>
      <c r="R1185" s="1" t="b">
        <f>FALSE</f>
        <v>0</v>
      </c>
      <c r="S1185" s="1">
        <f>1</f>
        <v>1</v>
      </c>
      <c r="T1185" s="1" t="str">
        <f>IF(AND(Raw!A1185="",Raw!B1185="",Raw!C1185="",Raw!D1185="",Raw!E1185="",Raw!F1185="",Raw!G1185=""),"UNUSED",IF(A1185="","missing line ID",IF(B1185="","missing transaction ID",IF(G1185="",IF(C1185="","missing date","invalid date"),IF(I1185="","unknown product",IF(J1185="","conflicting category",IF(NOT(OR(EXACT(K1185,"sale"),EXACT(K1185,"refund"))),"unknown event",IF(OR(N1185="",NOT(O1185)),"invalid amount",IF(OR(AND(K1185="sale",N1185&lt;=0),AND(K1185="refund",N1185&gt;=0)),"invalid sign","")))))))))</f>
        <v/>
      </c>
      <c r="U1185" s="1" t="str">
        <f t="shared" si="149"/>
        <v>INCLUDED</v>
      </c>
      <c r="V1185" s="1" t="str">
        <f t="shared" si="150"/>
        <v>2026-03</v>
      </c>
      <c r="W1185" s="1">
        <f>IF(AND(U1185="INCLUDED",X1185&gt;0,EXACT(A1185,'AI output'!A1185)),1,0)</f>
        <v>1</v>
      </c>
      <c r="X1185" s="1">
        <f>1185</f>
        <v>1185</v>
      </c>
      <c r="Y1185" s="1">
        <f>IF(AND(U1185="INCLUDED",W1185=1),--(NOT(EXACT(A1185,'AI output'!A1185)))+--(NOT(EXACT(B1185,'AI output'!B1185)))+--(NOT(EXACT(TEXT(G1185,"yyyy-mm-dd"),'AI output'!C1185)))+--(NOT(EXACT(H1185,'AI output'!D1185)))+--(NOT(EXACT(J1185,'AI output'!E1185)))+--(NOT(EXACT(K1185,'AI output'!F1185)))+--(N1185&lt;&gt;'AI output'!L1185)+--(NOT('AI output'!M1185)),0)</f>
        <v>0</v>
      </c>
      <c r="Z1185" s="1">
        <f t="shared" si="151"/>
        <v>0</v>
      </c>
      <c r="AA1185" s="1">
        <f>--EXACT(A1185,"L01179")</f>
        <v>1</v>
      </c>
    </row>
    <row r="1186" spans="1:27" ht="18.95" customHeight="1">
      <c r="A1186" s="1" t="str">
        <f>IF(Raw!A1186="","",Raw!A1186)</f>
        <v>L01180</v>
      </c>
      <c r="B1186" s="1" t="str">
        <f>IF(Raw!B1186="","",Raw!B1186)</f>
        <v>T00590</v>
      </c>
      <c r="C1186" s="1" t="str">
        <f>IF(Raw!C1186="","",Raw!C1186)</f>
        <v>2026-03-15</v>
      </c>
      <c r="D1186" s="1">
        <f t="shared" si="144"/>
        <v>2026</v>
      </c>
      <c r="E1186" s="1">
        <f>IFERROR(IF(AND(LEN(C1186)=10,MID(C1186,5,1)="-",MID(C1186,8,1)="-"),VALUE(MID(C1186,6,2)),IF(AND(LEN(C1186)=11,MID(C1186,3,1)="-",MID(C1186,7,1)="-"),MATCH(UPPER(MID(C1186,4,3)),Guide!$D$7:$D$18,0),0)),0)</f>
        <v>3</v>
      </c>
      <c r="F1186" s="1">
        <f t="shared" si="145"/>
        <v>15</v>
      </c>
      <c r="G1186" s="9">
        <f t="shared" si="146"/>
        <v>46096</v>
      </c>
      <c r="H1186" s="1" t="str">
        <f>IF(Raw!D1186="","",Raw!D1186)</f>
        <v>P-A</v>
      </c>
      <c r="I1186" s="1" t="str">
        <f>IFERROR(IF(EXACT(H1186,INDEX(Guide!$A$7:$A$9,MATCH(SUBSTITUTE(SUBSTITUTE(SUBSTITUTE(H1186,"~","~~"),"*","~*"),"?","~?"),Guide!$A$7:$A$9,0))),INDEX(Guide!$B$7:$B$9,MATCH(SUBSTITUTE(SUBSTITUTE(SUBSTITUTE(H1186,"~","~~"),"*","~*"),"?","~?"),Guide!$A$7:$A$9,0)),""),"")</f>
        <v>Accessories</v>
      </c>
      <c r="J1186" s="1" t="str">
        <f>IF(TRIM(Raw!E1186)="",I1186,IF(UPPER(TRIM(Raw!E1186))=UPPER(I1186),I1186,""))</f>
        <v>Accessories</v>
      </c>
      <c r="K1186" s="1" t="str">
        <f>IF(Raw!F1186="","",Raw!F1186)</f>
        <v>sale</v>
      </c>
      <c r="L1186" s="1" t="str">
        <f>IF(LEFT(TRIM(Raw!G1186),2)="-$","-"&amp;MID(TRIM(Raw!G1186),3,99),IF(LEFT(TRIM(Raw!G1186),1)="$",MID(TRIM(Raw!G1186),2,99),TRIM(Raw!G1186)))</f>
        <v>324.88</v>
      </c>
      <c r="M1186" s="1">
        <f t="shared" si="147"/>
        <v>324.88</v>
      </c>
      <c r="N1186" s="10">
        <f t="shared" si="148"/>
        <v>32488</v>
      </c>
      <c r="O1186" s="1" t="b">
        <f>IFERROR(IF(ISNUMBER(Raw!G1186),TRUE,OR(EXACT(L1186,TEXT(M1186,"0.00")),EXACT(L1186,TEXT(M1186,"#,##0.00")))),FALSE)</f>
        <v>1</v>
      </c>
      <c r="P1186" s="1" t="str">
        <f>LEN(IF(Raw!A1186="","",Raw!A1186))&amp;":"&amp;IF(Raw!A1186="","",Raw!A1186)&amp;"|"&amp;LEN(IF(Raw!B1186="","",Raw!B1186))&amp;":"&amp;IF(Raw!B1186="","",Raw!B1186)&amp;"|"&amp;LEN(IF(Raw!C1186="","",Raw!C1186))&amp;":"&amp;IF(Raw!C1186="","",Raw!C1186)&amp;"|"&amp;LEN(IF(Raw!D1186="","",Raw!D1186))&amp;":"&amp;IF(Raw!D1186="","",Raw!D1186)&amp;"|"&amp;LEN(IF(Raw!E1186="","",Raw!E1186))&amp;":"&amp;IF(Raw!E1186="","",Raw!E1186)&amp;"|"&amp;LEN(IF(Raw!F1186="","",Raw!F1186))&amp;":"&amp;IF(Raw!F1186="","",Raw!F1186)&amp;"|"&amp;LEN(IF(Raw!G1186="","",Raw!G1186))&amp;":"&amp;IF(Raw!G1186="","",Raw!G1186)</f>
        <v>6:L01180|6:T00590|10:2026-03-15|3:P-A|11:Accessories|4:sale|6:324.88</v>
      </c>
      <c r="Q1186" s="1">
        <f>1</f>
        <v>1</v>
      </c>
      <c r="R1186" s="1" t="b">
        <f>FALSE</f>
        <v>0</v>
      </c>
      <c r="S1186" s="1">
        <f>1</f>
        <v>1</v>
      </c>
      <c r="T1186" s="1" t="str">
        <f>IF(AND(Raw!A1186="",Raw!B1186="",Raw!C1186="",Raw!D1186="",Raw!E1186="",Raw!F1186="",Raw!G1186=""),"UNUSED",IF(A1186="","missing line ID",IF(B1186="","missing transaction ID",IF(G1186="",IF(C1186="","missing date","invalid date"),IF(I1186="","unknown product",IF(J1186="","conflicting category",IF(NOT(OR(EXACT(K1186,"sale"),EXACT(K1186,"refund"))),"unknown event",IF(OR(N1186="",NOT(O1186)),"invalid amount",IF(OR(AND(K1186="sale",N1186&lt;=0),AND(K1186="refund",N1186&gt;=0)),"invalid sign","")))))))))</f>
        <v/>
      </c>
      <c r="U1186" s="1" t="str">
        <f t="shared" si="149"/>
        <v>INCLUDED</v>
      </c>
      <c r="V1186" s="1" t="str">
        <f t="shared" si="150"/>
        <v>2026-03</v>
      </c>
      <c r="W1186" s="1">
        <f>IF(AND(U1186="INCLUDED",X1186&gt;0,EXACT(A1186,'AI output'!A1186)),1,0)</f>
        <v>1</v>
      </c>
      <c r="X1186" s="1">
        <f>1186</f>
        <v>1186</v>
      </c>
      <c r="Y1186" s="1">
        <f>IF(AND(U1186="INCLUDED",W1186=1),--(NOT(EXACT(A1186,'AI output'!A1186)))+--(NOT(EXACT(B1186,'AI output'!B1186)))+--(NOT(EXACT(TEXT(G1186,"yyyy-mm-dd"),'AI output'!C1186)))+--(NOT(EXACT(H1186,'AI output'!D1186)))+--(NOT(EXACT(J1186,'AI output'!E1186)))+--(NOT(EXACT(K1186,'AI output'!F1186)))+--(N1186&lt;&gt;'AI output'!L1186)+--(NOT('AI output'!M1186)),0)</f>
        <v>0</v>
      </c>
      <c r="Z1186" s="1">
        <f t="shared" si="151"/>
        <v>0</v>
      </c>
      <c r="AA1186" s="1">
        <f>--EXACT(A1186,"L01180")</f>
        <v>1</v>
      </c>
    </row>
    <row r="1187" spans="1:27" ht="18.95" customHeight="1">
      <c r="A1187" s="1" t="str">
        <f>IF(Raw!A1187="","",Raw!A1187)</f>
        <v>L01181</v>
      </c>
      <c r="B1187" s="1" t="str">
        <f>IF(Raw!B1187="","",Raw!B1187)</f>
        <v>T00591</v>
      </c>
      <c r="C1187" s="1" t="str">
        <f>IF(Raw!C1187="","",Raw!C1187)</f>
        <v>2026-03-22</v>
      </c>
      <c r="D1187" s="1">
        <f t="shared" si="144"/>
        <v>2026</v>
      </c>
      <c r="E1187" s="1">
        <f>IFERROR(IF(AND(LEN(C1187)=10,MID(C1187,5,1)="-",MID(C1187,8,1)="-"),VALUE(MID(C1187,6,2)),IF(AND(LEN(C1187)=11,MID(C1187,3,1)="-",MID(C1187,7,1)="-"),MATCH(UPPER(MID(C1187,4,3)),Guide!$D$7:$D$18,0),0)),0)</f>
        <v>3</v>
      </c>
      <c r="F1187" s="1">
        <f t="shared" si="145"/>
        <v>22</v>
      </c>
      <c r="G1187" s="9">
        <f t="shared" si="146"/>
        <v>46103</v>
      </c>
      <c r="H1187" s="1" t="str">
        <f>IF(Raw!D1187="","",Raw!D1187)</f>
        <v>P-H</v>
      </c>
      <c r="I1187" s="1" t="str">
        <f>IFERROR(IF(EXACT(H1187,INDEX(Guide!$A$7:$A$9,MATCH(SUBSTITUTE(SUBSTITUTE(SUBSTITUTE(H1187,"~","~~"),"*","~*"),"?","~?"),Guide!$A$7:$A$9,0))),INDEX(Guide!$B$7:$B$9,MATCH(SUBSTITUTE(SUBSTITUTE(SUBSTITUTE(H1187,"~","~~"),"*","~*"),"?","~?"),Guide!$A$7:$A$9,0)),""),"")</f>
        <v>Home</v>
      </c>
      <c r="J1187" s="1" t="str">
        <f>IF(TRIM(Raw!E1187)="",I1187,IF(UPPER(TRIM(Raw!E1187))=UPPER(I1187),I1187,""))</f>
        <v>Home</v>
      </c>
      <c r="K1187" s="1" t="str">
        <f>IF(Raw!F1187="","",Raw!F1187)</f>
        <v>sale</v>
      </c>
      <c r="L1187" s="1" t="str">
        <f>IF(LEFT(TRIM(Raw!G1187),2)="-$","-"&amp;MID(TRIM(Raw!G1187),3,99),IF(LEFT(TRIM(Raw!G1187),1)="$",MID(TRIM(Raw!G1187),2,99),TRIM(Raw!G1187)))</f>
        <v>81.59</v>
      </c>
      <c r="M1187" s="1">
        <f t="shared" si="147"/>
        <v>81.59</v>
      </c>
      <c r="N1187" s="10">
        <f t="shared" si="148"/>
        <v>8159</v>
      </c>
      <c r="O1187" s="1" t="b">
        <f>IFERROR(IF(ISNUMBER(Raw!G1187),TRUE,OR(EXACT(L1187,TEXT(M1187,"0.00")),EXACT(L1187,TEXT(M1187,"#,##0.00")))),FALSE)</f>
        <v>1</v>
      </c>
      <c r="P1187" s="1" t="str">
        <f>LEN(IF(Raw!A1187="","",Raw!A1187))&amp;":"&amp;IF(Raw!A1187="","",Raw!A1187)&amp;"|"&amp;LEN(IF(Raw!B1187="","",Raw!B1187))&amp;":"&amp;IF(Raw!B1187="","",Raw!B1187)&amp;"|"&amp;LEN(IF(Raw!C1187="","",Raw!C1187))&amp;":"&amp;IF(Raw!C1187="","",Raw!C1187)&amp;"|"&amp;LEN(IF(Raw!D1187="","",Raw!D1187))&amp;":"&amp;IF(Raw!D1187="","",Raw!D1187)&amp;"|"&amp;LEN(IF(Raw!E1187="","",Raw!E1187))&amp;":"&amp;IF(Raw!E1187="","",Raw!E1187)&amp;"|"&amp;LEN(IF(Raw!F1187="","",Raw!F1187))&amp;":"&amp;IF(Raw!F1187="","",Raw!F1187)&amp;"|"&amp;LEN(IF(Raw!G1187="","",Raw!G1187))&amp;":"&amp;IF(Raw!G1187="","",Raw!G1187)</f>
        <v>6:L01181|6:T00591|10:2026-03-22|3:P-H|4:Home|4:sale|5:81.59</v>
      </c>
      <c r="Q1187" s="1">
        <f>1</f>
        <v>1</v>
      </c>
      <c r="R1187" s="1" t="b">
        <f>FALSE</f>
        <v>0</v>
      </c>
      <c r="S1187" s="1">
        <f>1</f>
        <v>1</v>
      </c>
      <c r="T1187" s="1" t="str">
        <f>IF(AND(Raw!A1187="",Raw!B1187="",Raw!C1187="",Raw!D1187="",Raw!E1187="",Raw!F1187="",Raw!G1187=""),"UNUSED",IF(A1187="","missing line ID",IF(B1187="","missing transaction ID",IF(G1187="",IF(C1187="","missing date","invalid date"),IF(I1187="","unknown product",IF(J1187="","conflicting category",IF(NOT(OR(EXACT(K1187,"sale"),EXACT(K1187,"refund"))),"unknown event",IF(OR(N1187="",NOT(O1187)),"invalid amount",IF(OR(AND(K1187="sale",N1187&lt;=0),AND(K1187="refund",N1187&gt;=0)),"invalid sign","")))))))))</f>
        <v/>
      </c>
      <c r="U1187" s="1" t="str">
        <f t="shared" si="149"/>
        <v>INCLUDED</v>
      </c>
      <c r="V1187" s="1" t="str">
        <f t="shared" si="150"/>
        <v>2026-03</v>
      </c>
      <c r="W1187" s="1">
        <f>IF(AND(U1187="INCLUDED",X1187&gt;0,EXACT(A1187,'AI output'!A1187)),1,0)</f>
        <v>1</v>
      </c>
      <c r="X1187" s="1">
        <f>1187</f>
        <v>1187</v>
      </c>
      <c r="Y1187" s="1">
        <f>IF(AND(U1187="INCLUDED",W1187=1),--(NOT(EXACT(A1187,'AI output'!A1187)))+--(NOT(EXACT(B1187,'AI output'!B1187)))+--(NOT(EXACT(TEXT(G1187,"yyyy-mm-dd"),'AI output'!C1187)))+--(NOT(EXACT(H1187,'AI output'!D1187)))+--(NOT(EXACT(J1187,'AI output'!E1187)))+--(NOT(EXACT(K1187,'AI output'!F1187)))+--(N1187&lt;&gt;'AI output'!L1187)+--(NOT('AI output'!M1187)),0)</f>
        <v>0</v>
      </c>
      <c r="Z1187" s="1">
        <f t="shared" si="151"/>
        <v>0</v>
      </c>
      <c r="AA1187" s="1">
        <f>--EXACT(A1187,"L01181")</f>
        <v>1</v>
      </c>
    </row>
    <row r="1188" spans="1:27" ht="18.95" customHeight="1">
      <c r="A1188" s="1" t="str">
        <f>IF(Raw!A1188="","",Raw!A1188)</f>
        <v>L01182</v>
      </c>
      <c r="B1188" s="1" t="str">
        <f>IF(Raw!B1188="","",Raw!B1188)</f>
        <v>T00591</v>
      </c>
      <c r="C1188" s="1" t="str">
        <f>IF(Raw!C1188="","",Raw!C1188)</f>
        <v>2026-03-22</v>
      </c>
      <c r="D1188" s="1">
        <f t="shared" si="144"/>
        <v>2026</v>
      </c>
      <c r="E1188" s="1">
        <f>IFERROR(IF(AND(LEN(C1188)=10,MID(C1188,5,1)="-",MID(C1188,8,1)="-"),VALUE(MID(C1188,6,2)),IF(AND(LEN(C1188)=11,MID(C1188,3,1)="-",MID(C1188,7,1)="-"),MATCH(UPPER(MID(C1188,4,3)),Guide!$D$7:$D$18,0),0)),0)</f>
        <v>3</v>
      </c>
      <c r="F1188" s="1">
        <f t="shared" si="145"/>
        <v>22</v>
      </c>
      <c r="G1188" s="9">
        <f t="shared" si="146"/>
        <v>46103</v>
      </c>
      <c r="H1188" s="1" t="str">
        <f>IF(Raw!D1188="","",Raw!D1188)</f>
        <v>P-O</v>
      </c>
      <c r="I1188" s="1" t="str">
        <f>IFERROR(IF(EXACT(H1188,INDEX(Guide!$A$7:$A$9,MATCH(SUBSTITUTE(SUBSTITUTE(SUBSTITUTE(H1188,"~","~~"),"*","~*"),"?","~?"),Guide!$A$7:$A$9,0))),INDEX(Guide!$B$7:$B$9,MATCH(SUBSTITUTE(SUBSTITUTE(SUBSTITUTE(H1188,"~","~~"),"*","~*"),"?","~?"),Guide!$A$7:$A$9,0)),""),"")</f>
        <v>Office</v>
      </c>
      <c r="J1188" s="1" t="str">
        <f>IF(TRIM(Raw!E1188)="",I1188,IF(UPPER(TRIM(Raw!E1188))=UPPER(I1188),I1188,""))</f>
        <v>Office</v>
      </c>
      <c r="K1188" s="1" t="str">
        <f>IF(Raw!F1188="","",Raw!F1188)</f>
        <v>sale</v>
      </c>
      <c r="L1188" s="1" t="str">
        <f>IF(LEFT(TRIM(Raw!G1188),2)="-$","-"&amp;MID(TRIM(Raw!G1188),3,99),IF(LEFT(TRIM(Raw!G1188),1)="$",MID(TRIM(Raw!G1188),2,99),TRIM(Raw!G1188)))</f>
        <v>245.88</v>
      </c>
      <c r="M1188" s="1">
        <f t="shared" si="147"/>
        <v>245.88</v>
      </c>
      <c r="N1188" s="10">
        <f t="shared" si="148"/>
        <v>24588</v>
      </c>
      <c r="O1188" s="1" t="b">
        <f>IFERROR(IF(ISNUMBER(Raw!G1188),TRUE,OR(EXACT(L1188,TEXT(M1188,"0.00")),EXACT(L1188,TEXT(M1188,"#,##0.00")))),FALSE)</f>
        <v>1</v>
      </c>
      <c r="P1188" s="1" t="str">
        <f>LEN(IF(Raw!A1188="","",Raw!A1188))&amp;":"&amp;IF(Raw!A1188="","",Raw!A1188)&amp;"|"&amp;LEN(IF(Raw!B1188="","",Raw!B1188))&amp;":"&amp;IF(Raw!B1188="","",Raw!B1188)&amp;"|"&amp;LEN(IF(Raw!C1188="","",Raw!C1188))&amp;":"&amp;IF(Raw!C1188="","",Raw!C1188)&amp;"|"&amp;LEN(IF(Raw!D1188="","",Raw!D1188))&amp;":"&amp;IF(Raw!D1188="","",Raw!D1188)&amp;"|"&amp;LEN(IF(Raw!E1188="","",Raw!E1188))&amp;":"&amp;IF(Raw!E1188="","",Raw!E1188)&amp;"|"&amp;LEN(IF(Raw!F1188="","",Raw!F1188))&amp;":"&amp;IF(Raw!F1188="","",Raw!F1188)&amp;"|"&amp;LEN(IF(Raw!G1188="","",Raw!G1188))&amp;":"&amp;IF(Raw!G1188="","",Raw!G1188)</f>
        <v>6:L01182|6:T00591|10:2026-03-22|3:P-O|6:Office|4:sale|6:245.88</v>
      </c>
      <c r="Q1188" s="1">
        <f>1</f>
        <v>1</v>
      </c>
      <c r="R1188" s="1" t="b">
        <f>FALSE</f>
        <v>0</v>
      </c>
      <c r="S1188" s="1">
        <f>1</f>
        <v>1</v>
      </c>
      <c r="T1188" s="1" t="str">
        <f>IF(AND(Raw!A1188="",Raw!B1188="",Raw!C1188="",Raw!D1188="",Raw!E1188="",Raw!F1188="",Raw!G1188=""),"UNUSED",IF(A1188="","missing line ID",IF(B1188="","missing transaction ID",IF(G1188="",IF(C1188="","missing date","invalid date"),IF(I1188="","unknown product",IF(J1188="","conflicting category",IF(NOT(OR(EXACT(K1188,"sale"),EXACT(K1188,"refund"))),"unknown event",IF(OR(N1188="",NOT(O1188)),"invalid amount",IF(OR(AND(K1188="sale",N1188&lt;=0),AND(K1188="refund",N1188&gt;=0)),"invalid sign","")))))))))</f>
        <v/>
      </c>
      <c r="U1188" s="1" t="str">
        <f t="shared" si="149"/>
        <v>INCLUDED</v>
      </c>
      <c r="V1188" s="1" t="str">
        <f t="shared" si="150"/>
        <v>2026-03</v>
      </c>
      <c r="W1188" s="1">
        <f>IF(AND(U1188="INCLUDED",X1188&gt;0,EXACT(A1188,'AI output'!A1188)),1,0)</f>
        <v>1</v>
      </c>
      <c r="X1188" s="1">
        <f>1188</f>
        <v>1188</v>
      </c>
      <c r="Y1188" s="1">
        <f>IF(AND(U1188="INCLUDED",W1188=1),--(NOT(EXACT(A1188,'AI output'!A1188)))+--(NOT(EXACT(B1188,'AI output'!B1188)))+--(NOT(EXACT(TEXT(G1188,"yyyy-mm-dd"),'AI output'!C1188)))+--(NOT(EXACT(H1188,'AI output'!D1188)))+--(NOT(EXACT(J1188,'AI output'!E1188)))+--(NOT(EXACT(K1188,'AI output'!F1188)))+--(N1188&lt;&gt;'AI output'!L1188)+--(NOT('AI output'!M1188)),0)</f>
        <v>0</v>
      </c>
      <c r="Z1188" s="1">
        <f t="shared" si="151"/>
        <v>0</v>
      </c>
      <c r="AA1188" s="1">
        <f>--EXACT(A1188,"L01182")</f>
        <v>1</v>
      </c>
    </row>
    <row r="1189" spans="1:27" ht="18.95" customHeight="1">
      <c r="A1189" s="1" t="str">
        <f>IF(Raw!A1189="","",Raw!A1189)</f>
        <v>L01183</v>
      </c>
      <c r="B1189" s="1" t="str">
        <f>IF(Raw!B1189="","",Raw!B1189)</f>
        <v>T00592</v>
      </c>
      <c r="C1189" s="1" t="str">
        <f>IF(Raw!C1189="","",Raw!C1189)</f>
        <v>2026-03-29</v>
      </c>
      <c r="D1189" s="1">
        <f t="shared" si="144"/>
        <v>2026</v>
      </c>
      <c r="E1189" s="1">
        <f>IFERROR(IF(AND(LEN(C1189)=10,MID(C1189,5,1)="-",MID(C1189,8,1)="-"),VALUE(MID(C1189,6,2)),IF(AND(LEN(C1189)=11,MID(C1189,3,1)="-",MID(C1189,7,1)="-"),MATCH(UPPER(MID(C1189,4,3)),Guide!$D$7:$D$18,0),0)),0)</f>
        <v>3</v>
      </c>
      <c r="F1189" s="1">
        <f t="shared" si="145"/>
        <v>29</v>
      </c>
      <c r="G1189" s="9">
        <f t="shared" si="146"/>
        <v>46110</v>
      </c>
      <c r="H1189" s="1" t="str">
        <f>IF(Raw!D1189="","",Raw!D1189)</f>
        <v>P-A</v>
      </c>
      <c r="I1189" s="1" t="str">
        <f>IFERROR(IF(EXACT(H1189,INDEX(Guide!$A$7:$A$9,MATCH(SUBSTITUTE(SUBSTITUTE(SUBSTITUTE(H1189,"~","~~"),"*","~*"),"?","~?"),Guide!$A$7:$A$9,0))),INDEX(Guide!$B$7:$B$9,MATCH(SUBSTITUTE(SUBSTITUTE(SUBSTITUTE(H1189,"~","~~"),"*","~*"),"?","~?"),Guide!$A$7:$A$9,0)),""),"")</f>
        <v>Accessories</v>
      </c>
      <c r="J1189" s="1" t="str">
        <f>IF(TRIM(Raw!E1189)="",I1189,IF(UPPER(TRIM(Raw!E1189))=UPPER(I1189),I1189,""))</f>
        <v>Accessories</v>
      </c>
      <c r="K1189" s="1" t="str">
        <f>IF(Raw!F1189="","",Raw!F1189)</f>
        <v>sale</v>
      </c>
      <c r="L1189" s="1" t="str">
        <f>IF(LEFT(TRIM(Raw!G1189),2)="-$","-"&amp;MID(TRIM(Raw!G1189),3,99),IF(LEFT(TRIM(Raw!G1189),1)="$",MID(TRIM(Raw!G1189),2,99),TRIM(Raw!G1189)))</f>
        <v>411.65</v>
      </c>
      <c r="M1189" s="1">
        <f t="shared" si="147"/>
        <v>411.65</v>
      </c>
      <c r="N1189" s="10">
        <f t="shared" si="148"/>
        <v>41165</v>
      </c>
      <c r="O1189" s="1" t="b">
        <f>IFERROR(IF(ISNUMBER(Raw!G1189),TRUE,OR(EXACT(L1189,TEXT(M1189,"0.00")),EXACT(L1189,TEXT(M1189,"#,##0.00")))),FALSE)</f>
        <v>1</v>
      </c>
      <c r="P1189" s="1" t="str">
        <f>LEN(IF(Raw!A1189="","",Raw!A1189))&amp;":"&amp;IF(Raw!A1189="","",Raw!A1189)&amp;"|"&amp;LEN(IF(Raw!B1189="","",Raw!B1189))&amp;":"&amp;IF(Raw!B1189="","",Raw!B1189)&amp;"|"&amp;LEN(IF(Raw!C1189="","",Raw!C1189))&amp;":"&amp;IF(Raw!C1189="","",Raw!C1189)&amp;"|"&amp;LEN(IF(Raw!D1189="","",Raw!D1189))&amp;":"&amp;IF(Raw!D1189="","",Raw!D1189)&amp;"|"&amp;LEN(IF(Raw!E1189="","",Raw!E1189))&amp;":"&amp;IF(Raw!E1189="","",Raw!E1189)&amp;"|"&amp;LEN(IF(Raw!F1189="","",Raw!F1189))&amp;":"&amp;IF(Raw!F1189="","",Raw!F1189)&amp;"|"&amp;LEN(IF(Raw!G1189="","",Raw!G1189))&amp;":"&amp;IF(Raw!G1189="","",Raw!G1189)</f>
        <v>6:L01183|6:T00592|10:2026-03-29|3:P-A|11:Accessories|4:sale|6:411.65</v>
      </c>
      <c r="Q1189" s="1">
        <f>1</f>
        <v>1</v>
      </c>
      <c r="R1189" s="1" t="b">
        <f>FALSE</f>
        <v>0</v>
      </c>
      <c r="S1189" s="1">
        <f>1</f>
        <v>1</v>
      </c>
      <c r="T1189" s="1" t="str">
        <f>IF(AND(Raw!A1189="",Raw!B1189="",Raw!C1189="",Raw!D1189="",Raw!E1189="",Raw!F1189="",Raw!G1189=""),"UNUSED",IF(A1189="","missing line ID",IF(B1189="","missing transaction ID",IF(G1189="",IF(C1189="","missing date","invalid date"),IF(I1189="","unknown product",IF(J1189="","conflicting category",IF(NOT(OR(EXACT(K1189,"sale"),EXACT(K1189,"refund"))),"unknown event",IF(OR(N1189="",NOT(O1189)),"invalid amount",IF(OR(AND(K1189="sale",N1189&lt;=0),AND(K1189="refund",N1189&gt;=0)),"invalid sign","")))))))))</f>
        <v/>
      </c>
      <c r="U1189" s="1" t="str">
        <f t="shared" si="149"/>
        <v>INCLUDED</v>
      </c>
      <c r="V1189" s="1" t="str">
        <f t="shared" si="150"/>
        <v>2026-03</v>
      </c>
      <c r="W1189" s="1">
        <f>IF(AND(U1189="INCLUDED",X1189&gt;0,EXACT(A1189,'AI output'!A1189)),1,0)</f>
        <v>1</v>
      </c>
      <c r="X1189" s="1">
        <f>1189</f>
        <v>1189</v>
      </c>
      <c r="Y1189" s="1">
        <f>IF(AND(U1189="INCLUDED",W1189=1),--(NOT(EXACT(A1189,'AI output'!A1189)))+--(NOT(EXACT(B1189,'AI output'!B1189)))+--(NOT(EXACT(TEXT(G1189,"yyyy-mm-dd"),'AI output'!C1189)))+--(NOT(EXACT(H1189,'AI output'!D1189)))+--(NOT(EXACT(J1189,'AI output'!E1189)))+--(NOT(EXACT(K1189,'AI output'!F1189)))+--(N1189&lt;&gt;'AI output'!L1189)+--(NOT('AI output'!M1189)),0)</f>
        <v>0</v>
      </c>
      <c r="Z1189" s="1">
        <f t="shared" si="151"/>
        <v>0</v>
      </c>
      <c r="AA1189" s="1">
        <f>--EXACT(A1189,"L01183")</f>
        <v>1</v>
      </c>
    </row>
    <row r="1190" spans="1:27" ht="18.95" customHeight="1">
      <c r="A1190" s="1" t="str">
        <f>IF(Raw!A1190="","",Raw!A1190)</f>
        <v>L01184</v>
      </c>
      <c r="B1190" s="1" t="str">
        <f>IF(Raw!B1190="","",Raw!B1190)</f>
        <v>T00592</v>
      </c>
      <c r="C1190" s="1" t="str">
        <f>IF(Raw!C1190="","",Raw!C1190)</f>
        <v>2026-03-29</v>
      </c>
      <c r="D1190" s="1">
        <f t="shared" si="144"/>
        <v>2026</v>
      </c>
      <c r="E1190" s="1">
        <f>IFERROR(IF(AND(LEN(C1190)=10,MID(C1190,5,1)="-",MID(C1190,8,1)="-"),VALUE(MID(C1190,6,2)),IF(AND(LEN(C1190)=11,MID(C1190,3,1)="-",MID(C1190,7,1)="-"),MATCH(UPPER(MID(C1190,4,3)),Guide!$D$7:$D$18,0),0)),0)</f>
        <v>3</v>
      </c>
      <c r="F1190" s="1">
        <f t="shared" si="145"/>
        <v>29</v>
      </c>
      <c r="G1190" s="9">
        <f t="shared" si="146"/>
        <v>46110</v>
      </c>
      <c r="H1190" s="1" t="str">
        <f>IF(Raw!D1190="","",Raw!D1190)</f>
        <v>P-H</v>
      </c>
      <c r="I1190" s="1" t="str">
        <f>IFERROR(IF(EXACT(H1190,INDEX(Guide!$A$7:$A$9,MATCH(SUBSTITUTE(SUBSTITUTE(SUBSTITUTE(H1190,"~","~~"),"*","~*"),"?","~?"),Guide!$A$7:$A$9,0))),INDEX(Guide!$B$7:$B$9,MATCH(SUBSTITUTE(SUBSTITUTE(SUBSTITUTE(H1190,"~","~~"),"*","~*"),"?","~?"),Guide!$A$7:$A$9,0)),""),"")</f>
        <v>Home</v>
      </c>
      <c r="J1190" s="1" t="str">
        <f>IF(TRIM(Raw!E1190)="",I1190,IF(UPPER(TRIM(Raw!E1190))=UPPER(I1190),I1190,""))</f>
        <v>Home</v>
      </c>
      <c r="K1190" s="1" t="str">
        <f>IF(Raw!F1190="","",Raw!F1190)</f>
        <v>sale</v>
      </c>
      <c r="L1190" s="1" t="str">
        <f>IF(LEFT(TRIM(Raw!G1190),2)="-$","-"&amp;MID(TRIM(Raw!G1190),3,99),IF(LEFT(TRIM(Raw!G1190),1)="$",MID(TRIM(Raw!G1190),2,99),TRIM(Raw!G1190)))</f>
        <v>165.40</v>
      </c>
      <c r="M1190" s="1">
        <f t="shared" si="147"/>
        <v>165.4</v>
      </c>
      <c r="N1190" s="10">
        <f t="shared" si="148"/>
        <v>16540</v>
      </c>
      <c r="O1190" s="1" t="b">
        <f>IFERROR(IF(ISNUMBER(Raw!G1190),TRUE,OR(EXACT(L1190,TEXT(M1190,"0.00")),EXACT(L1190,TEXT(M1190,"#,##0.00")))),FALSE)</f>
        <v>1</v>
      </c>
      <c r="P1190" s="1" t="str">
        <f>LEN(IF(Raw!A1190="","",Raw!A1190))&amp;":"&amp;IF(Raw!A1190="","",Raw!A1190)&amp;"|"&amp;LEN(IF(Raw!B1190="","",Raw!B1190))&amp;":"&amp;IF(Raw!B1190="","",Raw!B1190)&amp;"|"&amp;LEN(IF(Raw!C1190="","",Raw!C1190))&amp;":"&amp;IF(Raw!C1190="","",Raw!C1190)&amp;"|"&amp;LEN(IF(Raw!D1190="","",Raw!D1190))&amp;":"&amp;IF(Raw!D1190="","",Raw!D1190)&amp;"|"&amp;LEN(IF(Raw!E1190="","",Raw!E1190))&amp;":"&amp;IF(Raw!E1190="","",Raw!E1190)&amp;"|"&amp;LEN(IF(Raw!F1190="","",Raw!F1190))&amp;":"&amp;IF(Raw!F1190="","",Raw!F1190)&amp;"|"&amp;LEN(IF(Raw!G1190="","",Raw!G1190))&amp;":"&amp;IF(Raw!G1190="","",Raw!G1190)</f>
        <v>6:L01184|6:T00592|10:2026-03-29|3:P-H|4:Home|4:sale|6:165.40</v>
      </c>
      <c r="Q1190" s="1">
        <f>1</f>
        <v>1</v>
      </c>
      <c r="R1190" s="1" t="b">
        <f>FALSE</f>
        <v>0</v>
      </c>
      <c r="S1190" s="1">
        <f>1</f>
        <v>1</v>
      </c>
      <c r="T1190" s="1" t="str">
        <f>IF(AND(Raw!A1190="",Raw!B1190="",Raw!C1190="",Raw!D1190="",Raw!E1190="",Raw!F1190="",Raw!G1190=""),"UNUSED",IF(A1190="","missing line ID",IF(B1190="","missing transaction ID",IF(G1190="",IF(C1190="","missing date","invalid date"),IF(I1190="","unknown product",IF(J1190="","conflicting category",IF(NOT(OR(EXACT(K1190,"sale"),EXACT(K1190,"refund"))),"unknown event",IF(OR(N1190="",NOT(O1190)),"invalid amount",IF(OR(AND(K1190="sale",N1190&lt;=0),AND(K1190="refund",N1190&gt;=0)),"invalid sign","")))))))))</f>
        <v/>
      </c>
      <c r="U1190" s="1" t="str">
        <f t="shared" si="149"/>
        <v>INCLUDED</v>
      </c>
      <c r="V1190" s="1" t="str">
        <f t="shared" si="150"/>
        <v>2026-03</v>
      </c>
      <c r="W1190" s="1">
        <f>IF(AND(U1190="INCLUDED",X1190&gt;0,EXACT(A1190,'AI output'!A1190)),1,0)</f>
        <v>1</v>
      </c>
      <c r="X1190" s="1">
        <f>1190</f>
        <v>1190</v>
      </c>
      <c r="Y1190" s="1">
        <f>IF(AND(U1190="INCLUDED",W1190=1),--(NOT(EXACT(A1190,'AI output'!A1190)))+--(NOT(EXACT(B1190,'AI output'!B1190)))+--(NOT(EXACT(TEXT(G1190,"yyyy-mm-dd"),'AI output'!C1190)))+--(NOT(EXACT(H1190,'AI output'!D1190)))+--(NOT(EXACT(J1190,'AI output'!E1190)))+--(NOT(EXACT(K1190,'AI output'!F1190)))+--(N1190&lt;&gt;'AI output'!L1190)+--(NOT('AI output'!M1190)),0)</f>
        <v>0</v>
      </c>
      <c r="Z1190" s="1">
        <f t="shared" si="151"/>
        <v>0</v>
      </c>
      <c r="AA1190" s="1">
        <f>--EXACT(A1190,"L01184")</f>
        <v>1</v>
      </c>
    </row>
    <row r="1191" spans="1:27" ht="18.95" customHeight="1">
      <c r="A1191" s="1" t="str">
        <f>IF(Raw!A1191="","",Raw!A1191)</f>
        <v>L01185</v>
      </c>
      <c r="B1191" s="1" t="str">
        <f>IF(Raw!B1191="","",Raw!B1191)</f>
        <v>T00593</v>
      </c>
      <c r="C1191" s="1" t="str">
        <f>IF(Raw!C1191="","",Raw!C1191)</f>
        <v>2026-01-05</v>
      </c>
      <c r="D1191" s="1">
        <f t="shared" si="144"/>
        <v>2026</v>
      </c>
      <c r="E1191" s="1">
        <f>IFERROR(IF(AND(LEN(C1191)=10,MID(C1191,5,1)="-",MID(C1191,8,1)="-"),VALUE(MID(C1191,6,2)),IF(AND(LEN(C1191)=11,MID(C1191,3,1)="-",MID(C1191,7,1)="-"),MATCH(UPPER(MID(C1191,4,3)),Guide!$D$7:$D$18,0),0)),0)</f>
        <v>1</v>
      </c>
      <c r="F1191" s="1">
        <f t="shared" si="145"/>
        <v>5</v>
      </c>
      <c r="G1191" s="9">
        <f t="shared" si="146"/>
        <v>46027</v>
      </c>
      <c r="H1191" s="1" t="str">
        <f>IF(Raw!D1191="","",Raw!D1191)</f>
        <v>P-O</v>
      </c>
      <c r="I1191" s="1" t="str">
        <f>IFERROR(IF(EXACT(H1191,INDEX(Guide!$A$7:$A$9,MATCH(SUBSTITUTE(SUBSTITUTE(SUBSTITUTE(H1191,"~","~~"),"*","~*"),"?","~?"),Guide!$A$7:$A$9,0))),INDEX(Guide!$B$7:$B$9,MATCH(SUBSTITUTE(SUBSTITUTE(SUBSTITUTE(H1191,"~","~~"),"*","~*"),"?","~?"),Guide!$A$7:$A$9,0)),""),"")</f>
        <v>Office</v>
      </c>
      <c r="J1191" s="1" t="str">
        <f>IF(TRIM(Raw!E1191)="",I1191,IF(UPPER(TRIM(Raw!E1191))=UPPER(I1191),I1191,""))</f>
        <v>Office</v>
      </c>
      <c r="K1191" s="1" t="str">
        <f>IF(Raw!F1191="","",Raw!F1191)</f>
        <v>sale</v>
      </c>
      <c r="L1191" s="1" t="str">
        <f>IF(LEFT(TRIM(Raw!G1191),2)="-$","-"&amp;MID(TRIM(Raw!G1191),3,99),IF(LEFT(TRIM(Raw!G1191),1)="$",MID(TRIM(Raw!G1191),2,99),TRIM(Raw!G1191)))</f>
        <v>332.28</v>
      </c>
      <c r="M1191" s="1">
        <f t="shared" si="147"/>
        <v>332.28</v>
      </c>
      <c r="N1191" s="10">
        <f t="shared" si="148"/>
        <v>33228</v>
      </c>
      <c r="O1191" s="1" t="b">
        <f>IFERROR(IF(ISNUMBER(Raw!G1191),TRUE,OR(EXACT(L1191,TEXT(M1191,"0.00")),EXACT(L1191,TEXT(M1191,"#,##0.00")))),FALSE)</f>
        <v>1</v>
      </c>
      <c r="P1191" s="1" t="str">
        <f>LEN(IF(Raw!A1191="","",Raw!A1191))&amp;":"&amp;IF(Raw!A1191="","",Raw!A1191)&amp;"|"&amp;LEN(IF(Raw!B1191="","",Raw!B1191))&amp;":"&amp;IF(Raw!B1191="","",Raw!B1191)&amp;"|"&amp;LEN(IF(Raw!C1191="","",Raw!C1191))&amp;":"&amp;IF(Raw!C1191="","",Raw!C1191)&amp;"|"&amp;LEN(IF(Raw!D1191="","",Raw!D1191))&amp;":"&amp;IF(Raw!D1191="","",Raw!D1191)&amp;"|"&amp;LEN(IF(Raw!E1191="","",Raw!E1191))&amp;":"&amp;IF(Raw!E1191="","",Raw!E1191)&amp;"|"&amp;LEN(IF(Raw!F1191="","",Raw!F1191))&amp;":"&amp;IF(Raw!F1191="","",Raw!F1191)&amp;"|"&amp;LEN(IF(Raw!G1191="","",Raw!G1191))&amp;":"&amp;IF(Raw!G1191="","",Raw!G1191)</f>
        <v>6:L01185|6:T00593|10:2026-01-05|3:P-O|6:Office|4:sale|6:332.28</v>
      </c>
      <c r="Q1191" s="1">
        <f>1</f>
        <v>1</v>
      </c>
      <c r="R1191" s="1" t="b">
        <f>FALSE</f>
        <v>0</v>
      </c>
      <c r="S1191" s="1">
        <f>1</f>
        <v>1</v>
      </c>
      <c r="T1191" s="1" t="str">
        <f>IF(AND(Raw!A1191="",Raw!B1191="",Raw!C1191="",Raw!D1191="",Raw!E1191="",Raw!F1191="",Raw!G1191=""),"UNUSED",IF(A1191="","missing line ID",IF(B1191="","missing transaction ID",IF(G1191="",IF(C1191="","missing date","invalid date"),IF(I1191="","unknown product",IF(J1191="","conflicting category",IF(NOT(OR(EXACT(K1191,"sale"),EXACT(K1191,"refund"))),"unknown event",IF(OR(N1191="",NOT(O1191)),"invalid amount",IF(OR(AND(K1191="sale",N1191&lt;=0),AND(K1191="refund",N1191&gt;=0)),"invalid sign","")))))))))</f>
        <v/>
      </c>
      <c r="U1191" s="1" t="str">
        <f t="shared" si="149"/>
        <v>INCLUDED</v>
      </c>
      <c r="V1191" s="1" t="str">
        <f t="shared" si="150"/>
        <v>2026-01</v>
      </c>
      <c r="W1191" s="1">
        <f>IF(AND(U1191="INCLUDED",X1191&gt;0,EXACT(A1191,'AI output'!A1191)),1,0)</f>
        <v>1</v>
      </c>
      <c r="X1191" s="1">
        <f>1191</f>
        <v>1191</v>
      </c>
      <c r="Y1191" s="1">
        <f>IF(AND(U1191="INCLUDED",W1191=1),--(NOT(EXACT(A1191,'AI output'!A1191)))+--(NOT(EXACT(B1191,'AI output'!B1191)))+--(NOT(EXACT(TEXT(G1191,"yyyy-mm-dd"),'AI output'!C1191)))+--(NOT(EXACT(H1191,'AI output'!D1191)))+--(NOT(EXACT(J1191,'AI output'!E1191)))+--(NOT(EXACT(K1191,'AI output'!F1191)))+--(N1191&lt;&gt;'AI output'!L1191)+--(NOT('AI output'!M1191)),0)</f>
        <v>0</v>
      </c>
      <c r="Z1191" s="1">
        <f t="shared" si="151"/>
        <v>0</v>
      </c>
      <c r="AA1191" s="1">
        <f>--EXACT(A1191,"L01185")</f>
        <v>1</v>
      </c>
    </row>
    <row r="1192" spans="1:27" ht="18.95" customHeight="1">
      <c r="A1192" s="1" t="str">
        <f>IF(Raw!A1192="","",Raw!A1192)</f>
        <v>L01186</v>
      </c>
      <c r="B1192" s="1" t="str">
        <f>IF(Raw!B1192="","",Raw!B1192)</f>
        <v>T00593</v>
      </c>
      <c r="C1192" s="1" t="str">
        <f>IF(Raw!C1192="","",Raw!C1192)</f>
        <v>2026-01-05</v>
      </c>
      <c r="D1192" s="1">
        <f t="shared" si="144"/>
        <v>2026</v>
      </c>
      <c r="E1192" s="1">
        <f>IFERROR(IF(AND(LEN(C1192)=10,MID(C1192,5,1)="-",MID(C1192,8,1)="-"),VALUE(MID(C1192,6,2)),IF(AND(LEN(C1192)=11,MID(C1192,3,1)="-",MID(C1192,7,1)="-"),MATCH(UPPER(MID(C1192,4,3)),Guide!$D$7:$D$18,0),0)),0)</f>
        <v>1</v>
      </c>
      <c r="F1192" s="1">
        <f t="shared" si="145"/>
        <v>5</v>
      </c>
      <c r="G1192" s="9">
        <f t="shared" si="146"/>
        <v>46027</v>
      </c>
      <c r="H1192" s="1" t="str">
        <f>IF(Raw!D1192="","",Raw!D1192)</f>
        <v>P-A</v>
      </c>
      <c r="I1192" s="1" t="str">
        <f>IFERROR(IF(EXACT(H1192,INDEX(Guide!$A$7:$A$9,MATCH(SUBSTITUTE(SUBSTITUTE(SUBSTITUTE(H1192,"~","~~"),"*","~*"),"?","~?"),Guide!$A$7:$A$9,0))),INDEX(Guide!$B$7:$B$9,MATCH(SUBSTITUTE(SUBSTITUTE(SUBSTITUTE(H1192,"~","~~"),"*","~*"),"?","~?"),Guide!$A$7:$A$9,0)),""),"")</f>
        <v>Accessories</v>
      </c>
      <c r="J1192" s="1" t="str">
        <f>IF(TRIM(Raw!E1192)="",I1192,IF(UPPER(TRIM(Raw!E1192))=UPPER(I1192),I1192,""))</f>
        <v>Accessories</v>
      </c>
      <c r="K1192" s="1" t="str">
        <f>IF(Raw!F1192="","",Raw!F1192)</f>
        <v>sale</v>
      </c>
      <c r="L1192" s="1" t="str">
        <f>IF(LEFT(TRIM(Raw!G1192),2)="-$","-"&amp;MID(TRIM(Raw!G1192),3,99),IF(LEFT(TRIM(Raw!G1192),1)="$",MID(TRIM(Raw!G1192),2,99),TRIM(Raw!G1192)))</f>
        <v>83.44</v>
      </c>
      <c r="M1192" s="1">
        <f t="shared" si="147"/>
        <v>83.44</v>
      </c>
      <c r="N1192" s="10">
        <f t="shared" si="148"/>
        <v>8344</v>
      </c>
      <c r="O1192" s="1" t="b">
        <f>IFERROR(IF(ISNUMBER(Raw!G1192),TRUE,OR(EXACT(L1192,TEXT(M1192,"0.00")),EXACT(L1192,TEXT(M1192,"#,##0.00")))),FALSE)</f>
        <v>1</v>
      </c>
      <c r="P1192" s="1" t="str">
        <f>LEN(IF(Raw!A1192="","",Raw!A1192))&amp;":"&amp;IF(Raw!A1192="","",Raw!A1192)&amp;"|"&amp;LEN(IF(Raw!B1192="","",Raw!B1192))&amp;":"&amp;IF(Raw!B1192="","",Raw!B1192)&amp;"|"&amp;LEN(IF(Raw!C1192="","",Raw!C1192))&amp;":"&amp;IF(Raw!C1192="","",Raw!C1192)&amp;"|"&amp;LEN(IF(Raw!D1192="","",Raw!D1192))&amp;":"&amp;IF(Raw!D1192="","",Raw!D1192)&amp;"|"&amp;LEN(IF(Raw!E1192="","",Raw!E1192))&amp;":"&amp;IF(Raw!E1192="","",Raw!E1192)&amp;"|"&amp;LEN(IF(Raw!F1192="","",Raw!F1192))&amp;":"&amp;IF(Raw!F1192="","",Raw!F1192)&amp;"|"&amp;LEN(IF(Raw!G1192="","",Raw!G1192))&amp;":"&amp;IF(Raw!G1192="","",Raw!G1192)</f>
        <v>6:L01186|6:T00593|10:2026-01-05|3:P-A|11:Accessories|4:sale|5:83.44</v>
      </c>
      <c r="Q1192" s="1">
        <f>1</f>
        <v>1</v>
      </c>
      <c r="R1192" s="1" t="b">
        <f>FALSE</f>
        <v>0</v>
      </c>
      <c r="S1192" s="1">
        <f>1</f>
        <v>1</v>
      </c>
      <c r="T1192" s="1" t="str">
        <f>IF(AND(Raw!A1192="",Raw!B1192="",Raw!C1192="",Raw!D1192="",Raw!E1192="",Raw!F1192="",Raw!G1192=""),"UNUSED",IF(A1192="","missing line ID",IF(B1192="","missing transaction ID",IF(G1192="",IF(C1192="","missing date","invalid date"),IF(I1192="","unknown product",IF(J1192="","conflicting category",IF(NOT(OR(EXACT(K1192,"sale"),EXACT(K1192,"refund"))),"unknown event",IF(OR(N1192="",NOT(O1192)),"invalid amount",IF(OR(AND(K1192="sale",N1192&lt;=0),AND(K1192="refund",N1192&gt;=0)),"invalid sign","")))))))))</f>
        <v/>
      </c>
      <c r="U1192" s="1" t="str">
        <f t="shared" si="149"/>
        <v>INCLUDED</v>
      </c>
      <c r="V1192" s="1" t="str">
        <f t="shared" si="150"/>
        <v>2026-01</v>
      </c>
      <c r="W1192" s="1">
        <f>IF(AND(U1192="INCLUDED",X1192&gt;0,EXACT(A1192,'AI output'!A1192)),1,0)</f>
        <v>1</v>
      </c>
      <c r="X1192" s="1">
        <f>1192</f>
        <v>1192</v>
      </c>
      <c r="Y1192" s="1">
        <f>IF(AND(U1192="INCLUDED",W1192=1),--(NOT(EXACT(A1192,'AI output'!A1192)))+--(NOT(EXACT(B1192,'AI output'!B1192)))+--(NOT(EXACT(TEXT(G1192,"yyyy-mm-dd"),'AI output'!C1192)))+--(NOT(EXACT(H1192,'AI output'!D1192)))+--(NOT(EXACT(J1192,'AI output'!E1192)))+--(NOT(EXACT(K1192,'AI output'!F1192)))+--(N1192&lt;&gt;'AI output'!L1192)+--(NOT('AI output'!M1192)),0)</f>
        <v>0</v>
      </c>
      <c r="Z1192" s="1">
        <f t="shared" si="151"/>
        <v>0</v>
      </c>
      <c r="AA1192" s="1">
        <f>--EXACT(A1192,"L01186")</f>
        <v>1</v>
      </c>
    </row>
    <row r="1193" spans="1:27" ht="18.95" customHeight="1">
      <c r="A1193" s="1" t="str">
        <f>IF(Raw!A1193="","",Raw!A1193)</f>
        <v>L01187</v>
      </c>
      <c r="B1193" s="1" t="str">
        <f>IF(Raw!B1193="","",Raw!B1193)</f>
        <v>T00594</v>
      </c>
      <c r="C1193" s="1" t="str">
        <f>IF(Raw!C1193="","",Raw!C1193)</f>
        <v>2026-01-12</v>
      </c>
      <c r="D1193" s="1">
        <f t="shared" si="144"/>
        <v>2026</v>
      </c>
      <c r="E1193" s="1">
        <f>IFERROR(IF(AND(LEN(C1193)=10,MID(C1193,5,1)="-",MID(C1193,8,1)="-"),VALUE(MID(C1193,6,2)),IF(AND(LEN(C1193)=11,MID(C1193,3,1)="-",MID(C1193,7,1)="-"),MATCH(UPPER(MID(C1193,4,3)),Guide!$D$7:$D$18,0),0)),0)</f>
        <v>1</v>
      </c>
      <c r="F1193" s="1">
        <f t="shared" si="145"/>
        <v>12</v>
      </c>
      <c r="G1193" s="9">
        <f t="shared" si="146"/>
        <v>46034</v>
      </c>
      <c r="H1193" s="1" t="str">
        <f>IF(Raw!D1193="","",Raw!D1193)</f>
        <v>P-H</v>
      </c>
      <c r="I1193" s="1" t="str">
        <f>IFERROR(IF(EXACT(H1193,INDEX(Guide!$A$7:$A$9,MATCH(SUBSTITUTE(SUBSTITUTE(SUBSTITUTE(H1193,"~","~~"),"*","~*"),"?","~?"),Guide!$A$7:$A$9,0))),INDEX(Guide!$B$7:$B$9,MATCH(SUBSTITUTE(SUBSTITUTE(SUBSTITUTE(H1193,"~","~~"),"*","~*"),"?","~?"),Guide!$A$7:$A$9,0)),""),"")</f>
        <v>Home</v>
      </c>
      <c r="J1193" s="1" t="str">
        <f>IF(TRIM(Raw!E1193)="",I1193,IF(UPPER(TRIM(Raw!E1193))=UPPER(I1193),I1193,""))</f>
        <v>Home</v>
      </c>
      <c r="K1193" s="1" t="str">
        <f>IF(Raw!F1193="","",Raw!F1193)</f>
        <v>sale</v>
      </c>
      <c r="L1193" s="1" t="str">
        <f>IF(LEFT(TRIM(Raw!G1193),2)="-$","-"&amp;MID(TRIM(Raw!G1193),3,99),IF(LEFT(TRIM(Raw!G1193),1)="$",MID(TRIM(Raw!G1193),2,99),TRIM(Raw!G1193)))</f>
        <v>251.43</v>
      </c>
      <c r="M1193" s="1">
        <f t="shared" si="147"/>
        <v>251.43</v>
      </c>
      <c r="N1193" s="10">
        <f t="shared" si="148"/>
        <v>25143</v>
      </c>
      <c r="O1193" s="1" t="b">
        <f>IFERROR(IF(ISNUMBER(Raw!G1193),TRUE,OR(EXACT(L1193,TEXT(M1193,"0.00")),EXACT(L1193,TEXT(M1193,"#,##0.00")))),FALSE)</f>
        <v>1</v>
      </c>
      <c r="P1193" s="1" t="str">
        <f>LEN(IF(Raw!A1193="","",Raw!A1193))&amp;":"&amp;IF(Raw!A1193="","",Raw!A1193)&amp;"|"&amp;LEN(IF(Raw!B1193="","",Raw!B1193))&amp;":"&amp;IF(Raw!B1193="","",Raw!B1193)&amp;"|"&amp;LEN(IF(Raw!C1193="","",Raw!C1193))&amp;":"&amp;IF(Raw!C1193="","",Raw!C1193)&amp;"|"&amp;LEN(IF(Raw!D1193="","",Raw!D1193))&amp;":"&amp;IF(Raw!D1193="","",Raw!D1193)&amp;"|"&amp;LEN(IF(Raw!E1193="","",Raw!E1193))&amp;":"&amp;IF(Raw!E1193="","",Raw!E1193)&amp;"|"&amp;LEN(IF(Raw!F1193="","",Raw!F1193))&amp;":"&amp;IF(Raw!F1193="","",Raw!F1193)&amp;"|"&amp;LEN(IF(Raw!G1193="","",Raw!G1193))&amp;":"&amp;IF(Raw!G1193="","",Raw!G1193)</f>
        <v>6:L01187|6:T00594|10:2026-01-12|3:P-H|4:Home|4:sale|6:251.43</v>
      </c>
      <c r="Q1193" s="1">
        <f>1</f>
        <v>1</v>
      </c>
      <c r="R1193" s="1" t="b">
        <f>FALSE</f>
        <v>0</v>
      </c>
      <c r="S1193" s="1">
        <f>1</f>
        <v>1</v>
      </c>
      <c r="T1193" s="1" t="str">
        <f>IF(AND(Raw!A1193="",Raw!B1193="",Raw!C1193="",Raw!D1193="",Raw!E1193="",Raw!F1193="",Raw!G1193=""),"UNUSED",IF(A1193="","missing line ID",IF(B1193="","missing transaction ID",IF(G1193="",IF(C1193="","missing date","invalid date"),IF(I1193="","unknown product",IF(J1193="","conflicting category",IF(NOT(OR(EXACT(K1193,"sale"),EXACT(K1193,"refund"))),"unknown event",IF(OR(N1193="",NOT(O1193)),"invalid amount",IF(OR(AND(K1193="sale",N1193&lt;=0),AND(K1193="refund",N1193&gt;=0)),"invalid sign","")))))))))</f>
        <v/>
      </c>
      <c r="U1193" s="1" t="str">
        <f t="shared" si="149"/>
        <v>INCLUDED</v>
      </c>
      <c r="V1193" s="1" t="str">
        <f t="shared" si="150"/>
        <v>2026-01</v>
      </c>
      <c r="W1193" s="1">
        <f>IF(AND(U1193="INCLUDED",X1193&gt;0,EXACT(A1193,'AI output'!A1193)),1,0)</f>
        <v>1</v>
      </c>
      <c r="X1193" s="1">
        <f>1193</f>
        <v>1193</v>
      </c>
      <c r="Y1193" s="1">
        <f>IF(AND(U1193="INCLUDED",W1193=1),--(NOT(EXACT(A1193,'AI output'!A1193)))+--(NOT(EXACT(B1193,'AI output'!B1193)))+--(NOT(EXACT(TEXT(G1193,"yyyy-mm-dd"),'AI output'!C1193)))+--(NOT(EXACT(H1193,'AI output'!D1193)))+--(NOT(EXACT(J1193,'AI output'!E1193)))+--(NOT(EXACT(K1193,'AI output'!F1193)))+--(N1193&lt;&gt;'AI output'!L1193)+--(NOT('AI output'!M1193)),0)</f>
        <v>0</v>
      </c>
      <c r="Z1193" s="1">
        <f t="shared" si="151"/>
        <v>0</v>
      </c>
      <c r="AA1193" s="1">
        <f>--EXACT(A1193,"L01187")</f>
        <v>1</v>
      </c>
    </row>
    <row r="1194" spans="1:27" ht="18.95" customHeight="1">
      <c r="A1194" s="1" t="str">
        <f>IF(Raw!A1194="","",Raw!A1194)</f>
        <v>L01188</v>
      </c>
      <c r="B1194" s="1" t="str">
        <f>IF(Raw!B1194="","",Raw!B1194)</f>
        <v>T00594</v>
      </c>
      <c r="C1194" s="1" t="str">
        <f>IF(Raw!C1194="","",Raw!C1194)</f>
        <v>2026-01-12</v>
      </c>
      <c r="D1194" s="1">
        <f t="shared" si="144"/>
        <v>2026</v>
      </c>
      <c r="E1194" s="1">
        <f>IFERROR(IF(AND(LEN(C1194)=10,MID(C1194,5,1)="-",MID(C1194,8,1)="-"),VALUE(MID(C1194,6,2)),IF(AND(LEN(C1194)=11,MID(C1194,3,1)="-",MID(C1194,7,1)="-"),MATCH(UPPER(MID(C1194,4,3)),Guide!$D$7:$D$18,0),0)),0)</f>
        <v>1</v>
      </c>
      <c r="F1194" s="1">
        <f t="shared" si="145"/>
        <v>12</v>
      </c>
      <c r="G1194" s="9">
        <f t="shared" si="146"/>
        <v>46034</v>
      </c>
      <c r="H1194" s="1" t="str">
        <f>IF(Raw!D1194="","",Raw!D1194)</f>
        <v>P-O</v>
      </c>
      <c r="I1194" s="1" t="str">
        <f>IFERROR(IF(EXACT(H1194,INDEX(Guide!$A$7:$A$9,MATCH(SUBSTITUTE(SUBSTITUTE(SUBSTITUTE(H1194,"~","~~"),"*","~*"),"?","~?"),Guide!$A$7:$A$9,0))),INDEX(Guide!$B$7:$B$9,MATCH(SUBSTITUTE(SUBSTITUTE(SUBSTITUTE(H1194,"~","~~"),"*","~*"),"?","~?"),Guide!$A$7:$A$9,0)),""),"")</f>
        <v>Office</v>
      </c>
      <c r="J1194" s="1" t="str">
        <f>IF(TRIM(Raw!E1194)="",I1194,IF(UPPER(TRIM(Raw!E1194))=UPPER(I1194),I1194,""))</f>
        <v>Office</v>
      </c>
      <c r="K1194" s="1" t="str">
        <f>IF(Raw!F1194="","",Raw!F1194)</f>
        <v>sale</v>
      </c>
      <c r="L1194" s="1" t="str">
        <f>IF(LEFT(TRIM(Raw!G1194),2)="-$","-"&amp;MID(TRIM(Raw!G1194),3,99),IF(LEFT(TRIM(Raw!G1194),1)="$",MID(TRIM(Raw!G1194),2,99),TRIM(Raw!G1194)))</f>
        <v>420.90</v>
      </c>
      <c r="M1194" s="1">
        <f t="shared" si="147"/>
        <v>420.9</v>
      </c>
      <c r="N1194" s="10">
        <f t="shared" si="148"/>
        <v>42090</v>
      </c>
      <c r="O1194" s="1" t="b">
        <f>IFERROR(IF(ISNUMBER(Raw!G1194),TRUE,OR(EXACT(L1194,TEXT(M1194,"0.00")),EXACT(L1194,TEXT(M1194,"#,##0.00")))),FALSE)</f>
        <v>1</v>
      </c>
      <c r="P1194" s="1" t="str">
        <f>LEN(IF(Raw!A1194="","",Raw!A1194))&amp;":"&amp;IF(Raw!A1194="","",Raw!A1194)&amp;"|"&amp;LEN(IF(Raw!B1194="","",Raw!B1194))&amp;":"&amp;IF(Raw!B1194="","",Raw!B1194)&amp;"|"&amp;LEN(IF(Raw!C1194="","",Raw!C1194))&amp;":"&amp;IF(Raw!C1194="","",Raw!C1194)&amp;"|"&amp;LEN(IF(Raw!D1194="","",Raw!D1194))&amp;":"&amp;IF(Raw!D1194="","",Raw!D1194)&amp;"|"&amp;LEN(IF(Raw!E1194="","",Raw!E1194))&amp;":"&amp;IF(Raw!E1194="","",Raw!E1194)&amp;"|"&amp;LEN(IF(Raw!F1194="","",Raw!F1194))&amp;":"&amp;IF(Raw!F1194="","",Raw!F1194)&amp;"|"&amp;LEN(IF(Raw!G1194="","",Raw!G1194))&amp;":"&amp;IF(Raw!G1194="","",Raw!G1194)</f>
        <v>6:L01188|6:T00594|10:2026-01-12|3:P-O|6:Office|4:sale|6:420.90</v>
      </c>
      <c r="Q1194" s="1">
        <f>1</f>
        <v>1</v>
      </c>
      <c r="R1194" s="1" t="b">
        <f>FALSE</f>
        <v>0</v>
      </c>
      <c r="S1194" s="1">
        <f>1</f>
        <v>1</v>
      </c>
      <c r="T1194" s="1" t="str">
        <f>IF(AND(Raw!A1194="",Raw!B1194="",Raw!C1194="",Raw!D1194="",Raw!E1194="",Raw!F1194="",Raw!G1194=""),"UNUSED",IF(A1194="","missing line ID",IF(B1194="","missing transaction ID",IF(G1194="",IF(C1194="","missing date","invalid date"),IF(I1194="","unknown product",IF(J1194="","conflicting category",IF(NOT(OR(EXACT(K1194,"sale"),EXACT(K1194,"refund"))),"unknown event",IF(OR(N1194="",NOT(O1194)),"invalid amount",IF(OR(AND(K1194="sale",N1194&lt;=0),AND(K1194="refund",N1194&gt;=0)),"invalid sign","")))))))))</f>
        <v/>
      </c>
      <c r="U1194" s="1" t="str">
        <f t="shared" si="149"/>
        <v>INCLUDED</v>
      </c>
      <c r="V1194" s="1" t="str">
        <f t="shared" si="150"/>
        <v>2026-01</v>
      </c>
      <c r="W1194" s="1">
        <f>IF(AND(U1194="INCLUDED",X1194&gt;0,EXACT(A1194,'AI output'!A1194)),1,0)</f>
        <v>1</v>
      </c>
      <c r="X1194" s="1">
        <f>1194</f>
        <v>1194</v>
      </c>
      <c r="Y1194" s="1">
        <f>IF(AND(U1194="INCLUDED",W1194=1),--(NOT(EXACT(A1194,'AI output'!A1194)))+--(NOT(EXACT(B1194,'AI output'!B1194)))+--(NOT(EXACT(TEXT(G1194,"yyyy-mm-dd"),'AI output'!C1194)))+--(NOT(EXACT(H1194,'AI output'!D1194)))+--(NOT(EXACT(J1194,'AI output'!E1194)))+--(NOT(EXACT(K1194,'AI output'!F1194)))+--(N1194&lt;&gt;'AI output'!L1194)+--(NOT('AI output'!M1194)),0)</f>
        <v>0</v>
      </c>
      <c r="Z1194" s="1">
        <f t="shared" si="151"/>
        <v>0</v>
      </c>
      <c r="AA1194" s="1">
        <f>--EXACT(A1194,"L01188")</f>
        <v>1</v>
      </c>
    </row>
    <row r="1195" spans="1:27" ht="18.95" customHeight="1">
      <c r="A1195" s="1" t="str">
        <f>IF(Raw!A1195="","",Raw!A1195)</f>
        <v>L01189</v>
      </c>
      <c r="B1195" s="1" t="str">
        <f>IF(Raw!B1195="","",Raw!B1195)</f>
        <v>T00595</v>
      </c>
      <c r="C1195" s="1" t="str">
        <f>IF(Raw!C1195="","",Raw!C1195)</f>
        <v>2026-01-19</v>
      </c>
      <c r="D1195" s="1">
        <f t="shared" si="144"/>
        <v>2026</v>
      </c>
      <c r="E1195" s="1">
        <f>IFERROR(IF(AND(LEN(C1195)=10,MID(C1195,5,1)="-",MID(C1195,8,1)="-"),VALUE(MID(C1195,6,2)),IF(AND(LEN(C1195)=11,MID(C1195,3,1)="-",MID(C1195,7,1)="-"),MATCH(UPPER(MID(C1195,4,3)),Guide!$D$7:$D$18,0),0)),0)</f>
        <v>1</v>
      </c>
      <c r="F1195" s="1">
        <f t="shared" si="145"/>
        <v>19</v>
      </c>
      <c r="G1195" s="9">
        <f t="shared" si="146"/>
        <v>46041</v>
      </c>
      <c r="H1195" s="1" t="str">
        <f>IF(Raw!D1195="","",Raw!D1195)</f>
        <v>P-A</v>
      </c>
      <c r="I1195" s="1" t="str">
        <f>IFERROR(IF(EXACT(H1195,INDEX(Guide!$A$7:$A$9,MATCH(SUBSTITUTE(SUBSTITUTE(SUBSTITUTE(H1195,"~","~~"),"*","~*"),"?","~?"),Guide!$A$7:$A$9,0))),INDEX(Guide!$B$7:$B$9,MATCH(SUBSTITUTE(SUBSTITUTE(SUBSTITUTE(H1195,"~","~~"),"*","~*"),"?","~?"),Guide!$A$7:$A$9,0)),""),"")</f>
        <v>Accessories</v>
      </c>
      <c r="J1195" s="1" t="str">
        <f>IF(TRIM(Raw!E1195)="",I1195,IF(UPPER(TRIM(Raw!E1195))=UPPER(I1195),I1195,""))</f>
        <v>Accessories</v>
      </c>
      <c r="K1195" s="1" t="str">
        <f>IF(Raw!F1195="","",Raw!F1195)</f>
        <v>sale</v>
      </c>
      <c r="L1195" s="1" t="str">
        <f>IF(LEFT(TRIM(Raw!G1195),2)="-$","-"&amp;MID(TRIM(Raw!G1195),3,99),IF(LEFT(TRIM(Raw!G1195),1)="$",MID(TRIM(Raw!G1195),2,99),TRIM(Raw!G1195)))</f>
        <v>169.10</v>
      </c>
      <c r="M1195" s="1">
        <f t="shared" si="147"/>
        <v>169.1</v>
      </c>
      <c r="N1195" s="10">
        <f t="shared" si="148"/>
        <v>16910</v>
      </c>
      <c r="O1195" s="1" t="b">
        <f>IFERROR(IF(ISNUMBER(Raw!G1195),TRUE,OR(EXACT(L1195,TEXT(M1195,"0.00")),EXACT(L1195,TEXT(M1195,"#,##0.00")))),FALSE)</f>
        <v>1</v>
      </c>
      <c r="P1195" s="1" t="str">
        <f>LEN(IF(Raw!A1195="","",Raw!A1195))&amp;":"&amp;IF(Raw!A1195="","",Raw!A1195)&amp;"|"&amp;LEN(IF(Raw!B1195="","",Raw!B1195))&amp;":"&amp;IF(Raw!B1195="","",Raw!B1195)&amp;"|"&amp;LEN(IF(Raw!C1195="","",Raw!C1195))&amp;":"&amp;IF(Raw!C1195="","",Raw!C1195)&amp;"|"&amp;LEN(IF(Raw!D1195="","",Raw!D1195))&amp;":"&amp;IF(Raw!D1195="","",Raw!D1195)&amp;"|"&amp;LEN(IF(Raw!E1195="","",Raw!E1195))&amp;":"&amp;IF(Raw!E1195="","",Raw!E1195)&amp;"|"&amp;LEN(IF(Raw!F1195="","",Raw!F1195))&amp;":"&amp;IF(Raw!F1195="","",Raw!F1195)&amp;"|"&amp;LEN(IF(Raw!G1195="","",Raw!G1195))&amp;":"&amp;IF(Raw!G1195="","",Raw!G1195)</f>
        <v>6:L01189|6:T00595|10:2026-01-19|3:P-A|11:Accessories|4:sale|6:169.10</v>
      </c>
      <c r="Q1195" s="1">
        <f>1</f>
        <v>1</v>
      </c>
      <c r="R1195" s="1" t="b">
        <f>FALSE</f>
        <v>0</v>
      </c>
      <c r="S1195" s="1">
        <f>1</f>
        <v>1</v>
      </c>
      <c r="T1195" s="1" t="str">
        <f>IF(AND(Raw!A1195="",Raw!B1195="",Raw!C1195="",Raw!D1195="",Raw!E1195="",Raw!F1195="",Raw!G1195=""),"UNUSED",IF(A1195="","missing line ID",IF(B1195="","missing transaction ID",IF(G1195="",IF(C1195="","missing date","invalid date"),IF(I1195="","unknown product",IF(J1195="","conflicting category",IF(NOT(OR(EXACT(K1195,"sale"),EXACT(K1195,"refund"))),"unknown event",IF(OR(N1195="",NOT(O1195)),"invalid amount",IF(OR(AND(K1195="sale",N1195&lt;=0),AND(K1195="refund",N1195&gt;=0)),"invalid sign","")))))))))</f>
        <v/>
      </c>
      <c r="U1195" s="1" t="str">
        <f t="shared" si="149"/>
        <v>INCLUDED</v>
      </c>
      <c r="V1195" s="1" t="str">
        <f t="shared" si="150"/>
        <v>2026-01</v>
      </c>
      <c r="W1195" s="1">
        <f>IF(AND(U1195="INCLUDED",X1195&gt;0,EXACT(A1195,'AI output'!A1195)),1,0)</f>
        <v>1</v>
      </c>
      <c r="X1195" s="1">
        <f>1195</f>
        <v>1195</v>
      </c>
      <c r="Y1195" s="1">
        <f>IF(AND(U1195="INCLUDED",W1195=1),--(NOT(EXACT(A1195,'AI output'!A1195)))+--(NOT(EXACT(B1195,'AI output'!B1195)))+--(NOT(EXACT(TEXT(G1195,"yyyy-mm-dd"),'AI output'!C1195)))+--(NOT(EXACT(H1195,'AI output'!D1195)))+--(NOT(EXACT(J1195,'AI output'!E1195)))+--(NOT(EXACT(K1195,'AI output'!F1195)))+--(N1195&lt;&gt;'AI output'!L1195)+--(NOT('AI output'!M1195)),0)</f>
        <v>0</v>
      </c>
      <c r="Z1195" s="1">
        <f t="shared" si="151"/>
        <v>0</v>
      </c>
      <c r="AA1195" s="1">
        <f>--EXACT(A1195,"L01189")</f>
        <v>1</v>
      </c>
    </row>
    <row r="1196" spans="1:27" ht="18.95" customHeight="1">
      <c r="A1196" s="1" t="str">
        <f>IF(Raw!A1196="","",Raw!A1196)</f>
        <v>L01190</v>
      </c>
      <c r="B1196" s="1" t="str">
        <f>IF(Raw!B1196="","",Raw!B1196)</f>
        <v>T00595</v>
      </c>
      <c r="C1196" s="1" t="str">
        <f>IF(Raw!C1196="","",Raw!C1196)</f>
        <v>2026-01-19</v>
      </c>
      <c r="D1196" s="1">
        <f t="shared" si="144"/>
        <v>2026</v>
      </c>
      <c r="E1196" s="1">
        <f>IFERROR(IF(AND(LEN(C1196)=10,MID(C1196,5,1)="-",MID(C1196,8,1)="-"),VALUE(MID(C1196,6,2)),IF(AND(LEN(C1196)=11,MID(C1196,3,1)="-",MID(C1196,7,1)="-"),MATCH(UPPER(MID(C1196,4,3)),Guide!$D$7:$D$18,0),0)),0)</f>
        <v>1</v>
      </c>
      <c r="F1196" s="1">
        <f t="shared" si="145"/>
        <v>19</v>
      </c>
      <c r="G1196" s="9">
        <f t="shared" si="146"/>
        <v>46041</v>
      </c>
      <c r="H1196" s="1" t="str">
        <f>IF(Raw!D1196="","",Raw!D1196)</f>
        <v>P-H</v>
      </c>
      <c r="I1196" s="1" t="str">
        <f>IFERROR(IF(EXACT(H1196,INDEX(Guide!$A$7:$A$9,MATCH(SUBSTITUTE(SUBSTITUTE(SUBSTITUTE(H1196,"~","~~"),"*","~*"),"?","~?"),Guide!$A$7:$A$9,0))),INDEX(Guide!$B$7:$B$9,MATCH(SUBSTITUTE(SUBSTITUTE(SUBSTITUTE(H1196,"~","~~"),"*","~*"),"?","~?"),Guide!$A$7:$A$9,0)),""),"")</f>
        <v>Home</v>
      </c>
      <c r="J1196" s="1" t="str">
        <f>IF(TRIM(Raw!E1196)="",I1196,IF(UPPER(TRIM(Raw!E1196))=UPPER(I1196),I1196,""))</f>
        <v>Home</v>
      </c>
      <c r="K1196" s="1" t="str">
        <f>IF(Raw!F1196="","",Raw!F1196)</f>
        <v>sale</v>
      </c>
      <c r="L1196" s="1" t="str">
        <f>IF(LEFT(TRIM(Raw!G1196),2)="-$","-"&amp;MID(TRIM(Raw!G1196),3,99),IF(LEFT(TRIM(Raw!G1196),1)="$",MID(TRIM(Raw!G1196),2,99),TRIM(Raw!G1196)))</f>
        <v>339.68</v>
      </c>
      <c r="M1196" s="1">
        <f t="shared" si="147"/>
        <v>339.68</v>
      </c>
      <c r="N1196" s="10">
        <f t="shared" si="148"/>
        <v>33968</v>
      </c>
      <c r="O1196" s="1" t="b">
        <f>IFERROR(IF(ISNUMBER(Raw!G1196),TRUE,OR(EXACT(L1196,TEXT(M1196,"0.00")),EXACT(L1196,TEXT(M1196,"#,##0.00")))),FALSE)</f>
        <v>1</v>
      </c>
      <c r="P1196" s="1" t="str">
        <f>LEN(IF(Raw!A1196="","",Raw!A1196))&amp;":"&amp;IF(Raw!A1196="","",Raw!A1196)&amp;"|"&amp;LEN(IF(Raw!B1196="","",Raw!B1196))&amp;":"&amp;IF(Raw!B1196="","",Raw!B1196)&amp;"|"&amp;LEN(IF(Raw!C1196="","",Raw!C1196))&amp;":"&amp;IF(Raw!C1196="","",Raw!C1196)&amp;"|"&amp;LEN(IF(Raw!D1196="","",Raw!D1196))&amp;":"&amp;IF(Raw!D1196="","",Raw!D1196)&amp;"|"&amp;LEN(IF(Raw!E1196="","",Raw!E1196))&amp;":"&amp;IF(Raw!E1196="","",Raw!E1196)&amp;"|"&amp;LEN(IF(Raw!F1196="","",Raw!F1196))&amp;":"&amp;IF(Raw!F1196="","",Raw!F1196)&amp;"|"&amp;LEN(IF(Raw!G1196="","",Raw!G1196))&amp;":"&amp;IF(Raw!G1196="","",Raw!G1196)</f>
        <v>6:L01190|6:T00595|10:2026-01-19|3:P-H|4:Home|4:sale|6:339.68</v>
      </c>
      <c r="Q1196" s="1">
        <f>1</f>
        <v>1</v>
      </c>
      <c r="R1196" s="1" t="b">
        <f>FALSE</f>
        <v>0</v>
      </c>
      <c r="S1196" s="1">
        <f>1</f>
        <v>1</v>
      </c>
      <c r="T1196" s="1" t="str">
        <f>IF(AND(Raw!A1196="",Raw!B1196="",Raw!C1196="",Raw!D1196="",Raw!E1196="",Raw!F1196="",Raw!G1196=""),"UNUSED",IF(A1196="","missing line ID",IF(B1196="","missing transaction ID",IF(G1196="",IF(C1196="","missing date","invalid date"),IF(I1196="","unknown product",IF(J1196="","conflicting category",IF(NOT(OR(EXACT(K1196,"sale"),EXACT(K1196,"refund"))),"unknown event",IF(OR(N1196="",NOT(O1196)),"invalid amount",IF(OR(AND(K1196="sale",N1196&lt;=0),AND(K1196="refund",N1196&gt;=0)),"invalid sign","")))))))))</f>
        <v/>
      </c>
      <c r="U1196" s="1" t="str">
        <f t="shared" si="149"/>
        <v>INCLUDED</v>
      </c>
      <c r="V1196" s="1" t="str">
        <f t="shared" si="150"/>
        <v>2026-01</v>
      </c>
      <c r="W1196" s="1">
        <f>IF(AND(U1196="INCLUDED",X1196&gt;0,EXACT(A1196,'AI output'!A1196)),1,0)</f>
        <v>1</v>
      </c>
      <c r="X1196" s="1">
        <f>1196</f>
        <v>1196</v>
      </c>
      <c r="Y1196" s="1">
        <f>IF(AND(U1196="INCLUDED",W1196=1),--(NOT(EXACT(A1196,'AI output'!A1196)))+--(NOT(EXACT(B1196,'AI output'!B1196)))+--(NOT(EXACT(TEXT(G1196,"yyyy-mm-dd"),'AI output'!C1196)))+--(NOT(EXACT(H1196,'AI output'!D1196)))+--(NOT(EXACT(J1196,'AI output'!E1196)))+--(NOT(EXACT(K1196,'AI output'!F1196)))+--(N1196&lt;&gt;'AI output'!L1196)+--(NOT('AI output'!M1196)),0)</f>
        <v>0</v>
      </c>
      <c r="Z1196" s="1">
        <f t="shared" si="151"/>
        <v>0</v>
      </c>
      <c r="AA1196" s="1">
        <f>--EXACT(A1196,"L01190")</f>
        <v>1</v>
      </c>
    </row>
    <row r="1197" spans="1:27" ht="18.95" customHeight="1">
      <c r="A1197" s="1" t="str">
        <f>IF(Raw!A1197="","",Raw!A1197)</f>
        <v>L01191</v>
      </c>
      <c r="B1197" s="1" t="str">
        <f>IF(Raw!B1197="","",Raw!B1197)</f>
        <v>T00596</v>
      </c>
      <c r="C1197" s="1" t="str">
        <f>IF(Raw!C1197="","",Raw!C1197)</f>
        <v>2026-01-26</v>
      </c>
      <c r="D1197" s="1">
        <f t="shared" si="144"/>
        <v>2026</v>
      </c>
      <c r="E1197" s="1">
        <f>IFERROR(IF(AND(LEN(C1197)=10,MID(C1197,5,1)="-",MID(C1197,8,1)="-"),VALUE(MID(C1197,6,2)),IF(AND(LEN(C1197)=11,MID(C1197,3,1)="-",MID(C1197,7,1)="-"),MATCH(UPPER(MID(C1197,4,3)),Guide!$D$7:$D$18,0),0)),0)</f>
        <v>1</v>
      </c>
      <c r="F1197" s="1">
        <f t="shared" si="145"/>
        <v>26</v>
      </c>
      <c r="G1197" s="9">
        <f t="shared" si="146"/>
        <v>46048</v>
      </c>
      <c r="H1197" s="1" t="str">
        <f>IF(Raw!D1197="","",Raw!D1197)</f>
        <v>P-O</v>
      </c>
      <c r="I1197" s="1" t="str">
        <f>IFERROR(IF(EXACT(H1197,INDEX(Guide!$A$7:$A$9,MATCH(SUBSTITUTE(SUBSTITUTE(SUBSTITUTE(H1197,"~","~~"),"*","~*"),"?","~?"),Guide!$A$7:$A$9,0))),INDEX(Guide!$B$7:$B$9,MATCH(SUBSTITUTE(SUBSTITUTE(SUBSTITUTE(H1197,"~","~~"),"*","~*"),"?","~?"),Guide!$A$7:$A$9,0)),""),"")</f>
        <v>Office</v>
      </c>
      <c r="J1197" s="1" t="str">
        <f>IF(TRIM(Raw!E1197)="",I1197,IF(UPPER(TRIM(Raw!E1197))=UPPER(I1197),I1197,""))</f>
        <v>Office</v>
      </c>
      <c r="K1197" s="1" t="str">
        <f>IF(Raw!F1197="","",Raw!F1197)</f>
        <v>sale</v>
      </c>
      <c r="L1197" s="1" t="str">
        <f>IF(LEFT(TRIM(Raw!G1197),2)="-$","-"&amp;MID(TRIM(Raw!G1197),3,99),IF(LEFT(TRIM(Raw!G1197),1)="$",MID(TRIM(Raw!G1197),2,99),TRIM(Raw!G1197)))</f>
        <v>85.29</v>
      </c>
      <c r="M1197" s="1">
        <f t="shared" si="147"/>
        <v>85.29</v>
      </c>
      <c r="N1197" s="10">
        <f t="shared" si="148"/>
        <v>8529</v>
      </c>
      <c r="O1197" s="1" t="b">
        <f>IFERROR(IF(ISNUMBER(Raw!G1197),TRUE,OR(EXACT(L1197,TEXT(M1197,"0.00")),EXACT(L1197,TEXT(M1197,"#,##0.00")))),FALSE)</f>
        <v>1</v>
      </c>
      <c r="P1197" s="1" t="str">
        <f>LEN(IF(Raw!A1197="","",Raw!A1197))&amp;":"&amp;IF(Raw!A1197="","",Raw!A1197)&amp;"|"&amp;LEN(IF(Raw!B1197="","",Raw!B1197))&amp;":"&amp;IF(Raw!B1197="","",Raw!B1197)&amp;"|"&amp;LEN(IF(Raw!C1197="","",Raw!C1197))&amp;":"&amp;IF(Raw!C1197="","",Raw!C1197)&amp;"|"&amp;LEN(IF(Raw!D1197="","",Raw!D1197))&amp;":"&amp;IF(Raw!D1197="","",Raw!D1197)&amp;"|"&amp;LEN(IF(Raw!E1197="","",Raw!E1197))&amp;":"&amp;IF(Raw!E1197="","",Raw!E1197)&amp;"|"&amp;LEN(IF(Raw!F1197="","",Raw!F1197))&amp;":"&amp;IF(Raw!F1197="","",Raw!F1197)&amp;"|"&amp;LEN(IF(Raw!G1197="","",Raw!G1197))&amp;":"&amp;IF(Raw!G1197="","",Raw!G1197)</f>
        <v>6:L01191|6:T00596|10:2026-01-26|3:P-O|6:Office|4:sale|5:85.29</v>
      </c>
      <c r="Q1197" s="1">
        <f>1</f>
        <v>1</v>
      </c>
      <c r="R1197" s="1" t="b">
        <f>FALSE</f>
        <v>0</v>
      </c>
      <c r="S1197" s="1">
        <f>1</f>
        <v>1</v>
      </c>
      <c r="T1197" s="1" t="str">
        <f>IF(AND(Raw!A1197="",Raw!B1197="",Raw!C1197="",Raw!D1197="",Raw!E1197="",Raw!F1197="",Raw!G1197=""),"UNUSED",IF(A1197="","missing line ID",IF(B1197="","missing transaction ID",IF(G1197="",IF(C1197="","missing date","invalid date"),IF(I1197="","unknown product",IF(J1197="","conflicting category",IF(NOT(OR(EXACT(K1197,"sale"),EXACT(K1197,"refund"))),"unknown event",IF(OR(N1197="",NOT(O1197)),"invalid amount",IF(OR(AND(K1197="sale",N1197&lt;=0),AND(K1197="refund",N1197&gt;=0)),"invalid sign","")))))))))</f>
        <v/>
      </c>
      <c r="U1197" s="1" t="str">
        <f t="shared" si="149"/>
        <v>INCLUDED</v>
      </c>
      <c r="V1197" s="1" t="str">
        <f t="shared" si="150"/>
        <v>2026-01</v>
      </c>
      <c r="W1197" s="1">
        <f>IF(AND(U1197="INCLUDED",X1197&gt;0,EXACT(A1197,'AI output'!A1197)),1,0)</f>
        <v>1</v>
      </c>
      <c r="X1197" s="1">
        <f>1197</f>
        <v>1197</v>
      </c>
      <c r="Y1197" s="1">
        <f>IF(AND(U1197="INCLUDED",W1197=1),--(NOT(EXACT(A1197,'AI output'!A1197)))+--(NOT(EXACT(B1197,'AI output'!B1197)))+--(NOT(EXACT(TEXT(G1197,"yyyy-mm-dd"),'AI output'!C1197)))+--(NOT(EXACT(H1197,'AI output'!D1197)))+--(NOT(EXACT(J1197,'AI output'!E1197)))+--(NOT(EXACT(K1197,'AI output'!F1197)))+--(N1197&lt;&gt;'AI output'!L1197)+--(NOT('AI output'!M1197)),0)</f>
        <v>0</v>
      </c>
      <c r="Z1197" s="1">
        <f t="shared" si="151"/>
        <v>0</v>
      </c>
      <c r="AA1197" s="1">
        <f>--EXACT(A1197,"L01191")</f>
        <v>1</v>
      </c>
    </row>
    <row r="1198" spans="1:27" ht="18.95" customHeight="1">
      <c r="A1198" s="1" t="str">
        <f>IF(Raw!A1198="","",Raw!A1198)</f>
        <v>L01192</v>
      </c>
      <c r="B1198" s="1" t="str">
        <f>IF(Raw!B1198="","",Raw!B1198)</f>
        <v>T00596</v>
      </c>
      <c r="C1198" s="1" t="str">
        <f>IF(Raw!C1198="","",Raw!C1198)</f>
        <v>2026-01-26</v>
      </c>
      <c r="D1198" s="1">
        <f t="shared" si="144"/>
        <v>2026</v>
      </c>
      <c r="E1198" s="1">
        <f>IFERROR(IF(AND(LEN(C1198)=10,MID(C1198,5,1)="-",MID(C1198,8,1)="-"),VALUE(MID(C1198,6,2)),IF(AND(LEN(C1198)=11,MID(C1198,3,1)="-",MID(C1198,7,1)="-"),MATCH(UPPER(MID(C1198,4,3)),Guide!$D$7:$D$18,0),0)),0)</f>
        <v>1</v>
      </c>
      <c r="F1198" s="1">
        <f t="shared" si="145"/>
        <v>26</v>
      </c>
      <c r="G1198" s="9">
        <f t="shared" si="146"/>
        <v>46048</v>
      </c>
      <c r="H1198" s="1" t="str">
        <f>IF(Raw!D1198="","",Raw!D1198)</f>
        <v>P-A</v>
      </c>
      <c r="I1198" s="1" t="str">
        <f>IFERROR(IF(EXACT(H1198,INDEX(Guide!$A$7:$A$9,MATCH(SUBSTITUTE(SUBSTITUTE(SUBSTITUTE(H1198,"~","~~"),"*","~*"),"?","~?"),Guide!$A$7:$A$9,0))),INDEX(Guide!$B$7:$B$9,MATCH(SUBSTITUTE(SUBSTITUTE(SUBSTITUTE(H1198,"~","~~"),"*","~*"),"?","~?"),Guide!$A$7:$A$9,0)),""),"")</f>
        <v>Accessories</v>
      </c>
      <c r="J1198" s="1" t="str">
        <f>IF(TRIM(Raw!E1198)="",I1198,IF(UPPER(TRIM(Raw!E1198))=UPPER(I1198),I1198,""))</f>
        <v>Accessories</v>
      </c>
      <c r="K1198" s="1" t="str">
        <f>IF(Raw!F1198="","",Raw!F1198)</f>
        <v>sale</v>
      </c>
      <c r="L1198" s="1" t="str">
        <f>IF(LEFT(TRIM(Raw!G1198),2)="-$","-"&amp;MID(TRIM(Raw!G1198),3,99),IF(LEFT(TRIM(Raw!G1198),1)="$",MID(TRIM(Raw!G1198),2,99),TRIM(Raw!G1198)))</f>
        <v>256.98</v>
      </c>
      <c r="M1198" s="1">
        <f t="shared" si="147"/>
        <v>256.98</v>
      </c>
      <c r="N1198" s="10">
        <f t="shared" si="148"/>
        <v>25698</v>
      </c>
      <c r="O1198" s="1" t="b">
        <f>IFERROR(IF(ISNUMBER(Raw!G1198),TRUE,OR(EXACT(L1198,TEXT(M1198,"0.00")),EXACT(L1198,TEXT(M1198,"#,##0.00")))),FALSE)</f>
        <v>1</v>
      </c>
      <c r="P1198" s="1" t="str">
        <f>LEN(IF(Raw!A1198="","",Raw!A1198))&amp;":"&amp;IF(Raw!A1198="","",Raw!A1198)&amp;"|"&amp;LEN(IF(Raw!B1198="","",Raw!B1198))&amp;":"&amp;IF(Raw!B1198="","",Raw!B1198)&amp;"|"&amp;LEN(IF(Raw!C1198="","",Raw!C1198))&amp;":"&amp;IF(Raw!C1198="","",Raw!C1198)&amp;"|"&amp;LEN(IF(Raw!D1198="","",Raw!D1198))&amp;":"&amp;IF(Raw!D1198="","",Raw!D1198)&amp;"|"&amp;LEN(IF(Raw!E1198="","",Raw!E1198))&amp;":"&amp;IF(Raw!E1198="","",Raw!E1198)&amp;"|"&amp;LEN(IF(Raw!F1198="","",Raw!F1198))&amp;":"&amp;IF(Raw!F1198="","",Raw!F1198)&amp;"|"&amp;LEN(IF(Raw!G1198="","",Raw!G1198))&amp;":"&amp;IF(Raw!G1198="","",Raw!G1198)</f>
        <v>6:L01192|6:T00596|10:2026-01-26|3:P-A|11:Accessories|4:sale|6:256.98</v>
      </c>
      <c r="Q1198" s="1">
        <f>1</f>
        <v>1</v>
      </c>
      <c r="R1198" s="1" t="b">
        <f>FALSE</f>
        <v>0</v>
      </c>
      <c r="S1198" s="1">
        <f>1</f>
        <v>1</v>
      </c>
      <c r="T1198" s="1" t="str">
        <f>IF(AND(Raw!A1198="",Raw!B1198="",Raw!C1198="",Raw!D1198="",Raw!E1198="",Raw!F1198="",Raw!G1198=""),"UNUSED",IF(A1198="","missing line ID",IF(B1198="","missing transaction ID",IF(G1198="",IF(C1198="","missing date","invalid date"),IF(I1198="","unknown product",IF(J1198="","conflicting category",IF(NOT(OR(EXACT(K1198,"sale"),EXACT(K1198,"refund"))),"unknown event",IF(OR(N1198="",NOT(O1198)),"invalid amount",IF(OR(AND(K1198="sale",N1198&lt;=0),AND(K1198="refund",N1198&gt;=0)),"invalid sign","")))))))))</f>
        <v/>
      </c>
      <c r="U1198" s="1" t="str">
        <f t="shared" si="149"/>
        <v>INCLUDED</v>
      </c>
      <c r="V1198" s="1" t="str">
        <f t="shared" si="150"/>
        <v>2026-01</v>
      </c>
      <c r="W1198" s="1">
        <f>IF(AND(U1198="INCLUDED",X1198&gt;0,EXACT(A1198,'AI output'!A1198)),1,0)</f>
        <v>1</v>
      </c>
      <c r="X1198" s="1">
        <f>1198</f>
        <v>1198</v>
      </c>
      <c r="Y1198" s="1">
        <f>IF(AND(U1198="INCLUDED",W1198=1),--(NOT(EXACT(A1198,'AI output'!A1198)))+--(NOT(EXACT(B1198,'AI output'!B1198)))+--(NOT(EXACT(TEXT(G1198,"yyyy-mm-dd"),'AI output'!C1198)))+--(NOT(EXACT(H1198,'AI output'!D1198)))+--(NOT(EXACT(J1198,'AI output'!E1198)))+--(NOT(EXACT(K1198,'AI output'!F1198)))+--(N1198&lt;&gt;'AI output'!L1198)+--(NOT('AI output'!M1198)),0)</f>
        <v>0</v>
      </c>
      <c r="Z1198" s="1">
        <f t="shared" si="151"/>
        <v>0</v>
      </c>
      <c r="AA1198" s="1">
        <f>--EXACT(A1198,"L01192")</f>
        <v>1</v>
      </c>
    </row>
    <row r="1199" spans="1:27" ht="18.95" customHeight="1">
      <c r="A1199" s="1" t="str">
        <f>IF(Raw!A1199="","",Raw!A1199)</f>
        <v>L01193</v>
      </c>
      <c r="B1199" s="1" t="str">
        <f>IF(Raw!B1199="","",Raw!B1199)</f>
        <v>T00597</v>
      </c>
      <c r="C1199" s="1" t="str">
        <f>IF(Raw!C1199="","",Raw!C1199)</f>
        <v>2026-02-02</v>
      </c>
      <c r="D1199" s="1">
        <f t="shared" si="144"/>
        <v>2026</v>
      </c>
      <c r="E1199" s="1">
        <f>IFERROR(IF(AND(LEN(C1199)=10,MID(C1199,5,1)="-",MID(C1199,8,1)="-"),VALUE(MID(C1199,6,2)),IF(AND(LEN(C1199)=11,MID(C1199,3,1)="-",MID(C1199,7,1)="-"),MATCH(UPPER(MID(C1199,4,3)),Guide!$D$7:$D$18,0),0)),0)</f>
        <v>2</v>
      </c>
      <c r="F1199" s="1">
        <f t="shared" si="145"/>
        <v>2</v>
      </c>
      <c r="G1199" s="9">
        <f t="shared" si="146"/>
        <v>46055</v>
      </c>
      <c r="H1199" s="1" t="str">
        <f>IF(Raw!D1199="","",Raw!D1199)</f>
        <v>P-H</v>
      </c>
      <c r="I1199" s="1" t="str">
        <f>IFERROR(IF(EXACT(H1199,INDEX(Guide!$A$7:$A$9,MATCH(SUBSTITUTE(SUBSTITUTE(SUBSTITUTE(H1199,"~","~~"),"*","~*"),"?","~?"),Guide!$A$7:$A$9,0))),INDEX(Guide!$B$7:$B$9,MATCH(SUBSTITUTE(SUBSTITUTE(SUBSTITUTE(H1199,"~","~~"),"*","~*"),"?","~?"),Guide!$A$7:$A$9,0)),""),"")</f>
        <v>Home</v>
      </c>
      <c r="J1199" s="1" t="str">
        <f>IF(TRIM(Raw!E1199)="",I1199,IF(UPPER(TRIM(Raw!E1199))=UPPER(I1199),I1199,""))</f>
        <v>Home</v>
      </c>
      <c r="K1199" s="1" t="str">
        <f>IF(Raw!F1199="","",Raw!F1199)</f>
        <v>sale</v>
      </c>
      <c r="L1199" s="1" t="str">
        <f>IF(LEFT(TRIM(Raw!G1199),2)="-$","-"&amp;MID(TRIM(Raw!G1199),3,99),IF(LEFT(TRIM(Raw!G1199),1)="$",MID(TRIM(Raw!G1199),2,99),TRIM(Raw!G1199)))</f>
        <v>430.15</v>
      </c>
      <c r="M1199" s="1">
        <f t="shared" si="147"/>
        <v>430.15</v>
      </c>
      <c r="N1199" s="10">
        <f t="shared" si="148"/>
        <v>43015</v>
      </c>
      <c r="O1199" s="1" t="b">
        <f>IFERROR(IF(ISNUMBER(Raw!G1199),TRUE,OR(EXACT(L1199,TEXT(M1199,"0.00")),EXACT(L1199,TEXT(M1199,"#,##0.00")))),FALSE)</f>
        <v>1</v>
      </c>
      <c r="P1199" s="1" t="str">
        <f>LEN(IF(Raw!A1199="","",Raw!A1199))&amp;":"&amp;IF(Raw!A1199="","",Raw!A1199)&amp;"|"&amp;LEN(IF(Raw!B1199="","",Raw!B1199))&amp;":"&amp;IF(Raw!B1199="","",Raw!B1199)&amp;"|"&amp;LEN(IF(Raw!C1199="","",Raw!C1199))&amp;":"&amp;IF(Raw!C1199="","",Raw!C1199)&amp;"|"&amp;LEN(IF(Raw!D1199="","",Raw!D1199))&amp;":"&amp;IF(Raw!D1199="","",Raw!D1199)&amp;"|"&amp;LEN(IF(Raw!E1199="","",Raw!E1199))&amp;":"&amp;IF(Raw!E1199="","",Raw!E1199)&amp;"|"&amp;LEN(IF(Raw!F1199="","",Raw!F1199))&amp;":"&amp;IF(Raw!F1199="","",Raw!F1199)&amp;"|"&amp;LEN(IF(Raw!G1199="","",Raw!G1199))&amp;":"&amp;IF(Raw!G1199="","",Raw!G1199)</f>
        <v>6:L01193|6:T00597|10:2026-02-02|3:P-H|4:Home|4:sale|6:430.15</v>
      </c>
      <c r="Q1199" s="1">
        <f>1</f>
        <v>1</v>
      </c>
      <c r="R1199" s="1" t="b">
        <f>FALSE</f>
        <v>0</v>
      </c>
      <c r="S1199" s="1">
        <f>1</f>
        <v>1</v>
      </c>
      <c r="T1199" s="1" t="str">
        <f>IF(AND(Raw!A1199="",Raw!B1199="",Raw!C1199="",Raw!D1199="",Raw!E1199="",Raw!F1199="",Raw!G1199=""),"UNUSED",IF(A1199="","missing line ID",IF(B1199="","missing transaction ID",IF(G1199="",IF(C1199="","missing date","invalid date"),IF(I1199="","unknown product",IF(J1199="","conflicting category",IF(NOT(OR(EXACT(K1199,"sale"),EXACT(K1199,"refund"))),"unknown event",IF(OR(N1199="",NOT(O1199)),"invalid amount",IF(OR(AND(K1199="sale",N1199&lt;=0),AND(K1199="refund",N1199&gt;=0)),"invalid sign","")))))))))</f>
        <v/>
      </c>
      <c r="U1199" s="1" t="str">
        <f t="shared" si="149"/>
        <v>INCLUDED</v>
      </c>
      <c r="V1199" s="1" t="str">
        <f t="shared" si="150"/>
        <v>2026-02</v>
      </c>
      <c r="W1199" s="1">
        <f>IF(AND(U1199="INCLUDED",X1199&gt;0,EXACT(A1199,'AI output'!A1199)),1,0)</f>
        <v>1</v>
      </c>
      <c r="X1199" s="1">
        <f>1199</f>
        <v>1199</v>
      </c>
      <c r="Y1199" s="1">
        <f>IF(AND(U1199="INCLUDED",W1199=1),--(NOT(EXACT(A1199,'AI output'!A1199)))+--(NOT(EXACT(B1199,'AI output'!B1199)))+--(NOT(EXACT(TEXT(G1199,"yyyy-mm-dd"),'AI output'!C1199)))+--(NOT(EXACT(H1199,'AI output'!D1199)))+--(NOT(EXACT(J1199,'AI output'!E1199)))+--(NOT(EXACT(K1199,'AI output'!F1199)))+--(N1199&lt;&gt;'AI output'!L1199)+--(NOT('AI output'!M1199)),0)</f>
        <v>0</v>
      </c>
      <c r="Z1199" s="1">
        <f t="shared" si="151"/>
        <v>0</v>
      </c>
      <c r="AA1199" s="1">
        <f>--EXACT(A1199,"L01193")</f>
        <v>1</v>
      </c>
    </row>
    <row r="1200" spans="1:27" ht="18.95" customHeight="1">
      <c r="A1200" s="1" t="str">
        <f>IF(Raw!A1200="","",Raw!A1200)</f>
        <v>L01194</v>
      </c>
      <c r="B1200" s="1" t="str">
        <f>IF(Raw!B1200="","",Raw!B1200)</f>
        <v>T00597</v>
      </c>
      <c r="C1200" s="1" t="str">
        <f>IF(Raw!C1200="","",Raw!C1200)</f>
        <v>2026-02-02</v>
      </c>
      <c r="D1200" s="1">
        <f t="shared" si="144"/>
        <v>2026</v>
      </c>
      <c r="E1200" s="1">
        <f>IFERROR(IF(AND(LEN(C1200)=10,MID(C1200,5,1)="-",MID(C1200,8,1)="-"),VALUE(MID(C1200,6,2)),IF(AND(LEN(C1200)=11,MID(C1200,3,1)="-",MID(C1200,7,1)="-"),MATCH(UPPER(MID(C1200,4,3)),Guide!$D$7:$D$18,0),0)),0)</f>
        <v>2</v>
      </c>
      <c r="F1200" s="1">
        <f t="shared" si="145"/>
        <v>2</v>
      </c>
      <c r="G1200" s="9">
        <f t="shared" si="146"/>
        <v>46055</v>
      </c>
      <c r="H1200" s="1" t="str">
        <f>IF(Raw!D1200="","",Raw!D1200)</f>
        <v>P-O</v>
      </c>
      <c r="I1200" s="1" t="str">
        <f>IFERROR(IF(EXACT(H1200,INDEX(Guide!$A$7:$A$9,MATCH(SUBSTITUTE(SUBSTITUTE(SUBSTITUTE(H1200,"~","~~"),"*","~*"),"?","~?"),Guide!$A$7:$A$9,0))),INDEX(Guide!$B$7:$B$9,MATCH(SUBSTITUTE(SUBSTITUTE(SUBSTITUTE(H1200,"~","~~"),"*","~*"),"?","~?"),Guide!$A$7:$A$9,0)),""),"")</f>
        <v>Office</v>
      </c>
      <c r="J1200" s="1" t="str">
        <f>IF(TRIM(Raw!E1200)="",I1200,IF(UPPER(TRIM(Raw!E1200))=UPPER(I1200),I1200,""))</f>
        <v>Office</v>
      </c>
      <c r="K1200" s="1" t="str">
        <f>IF(Raw!F1200="","",Raw!F1200)</f>
        <v>sale</v>
      </c>
      <c r="L1200" s="1" t="str">
        <f>IF(LEFT(TRIM(Raw!G1200),2)="-$","-"&amp;MID(TRIM(Raw!G1200),3,99),IF(LEFT(TRIM(Raw!G1200),1)="$",MID(TRIM(Raw!G1200),2,99),TRIM(Raw!G1200)))</f>
        <v>172.80</v>
      </c>
      <c r="M1200" s="1">
        <f t="shared" si="147"/>
        <v>172.8</v>
      </c>
      <c r="N1200" s="10">
        <f t="shared" si="148"/>
        <v>17280</v>
      </c>
      <c r="O1200" s="1" t="b">
        <f>IFERROR(IF(ISNUMBER(Raw!G1200),TRUE,OR(EXACT(L1200,TEXT(M1200,"0.00")),EXACT(L1200,TEXT(M1200,"#,##0.00")))),FALSE)</f>
        <v>1</v>
      </c>
      <c r="P1200" s="1" t="str">
        <f>LEN(IF(Raw!A1200="","",Raw!A1200))&amp;":"&amp;IF(Raw!A1200="","",Raw!A1200)&amp;"|"&amp;LEN(IF(Raw!B1200="","",Raw!B1200))&amp;":"&amp;IF(Raw!B1200="","",Raw!B1200)&amp;"|"&amp;LEN(IF(Raw!C1200="","",Raw!C1200))&amp;":"&amp;IF(Raw!C1200="","",Raw!C1200)&amp;"|"&amp;LEN(IF(Raw!D1200="","",Raw!D1200))&amp;":"&amp;IF(Raw!D1200="","",Raw!D1200)&amp;"|"&amp;LEN(IF(Raw!E1200="","",Raw!E1200))&amp;":"&amp;IF(Raw!E1200="","",Raw!E1200)&amp;"|"&amp;LEN(IF(Raw!F1200="","",Raw!F1200))&amp;":"&amp;IF(Raw!F1200="","",Raw!F1200)&amp;"|"&amp;LEN(IF(Raw!G1200="","",Raw!G1200))&amp;":"&amp;IF(Raw!G1200="","",Raw!G1200)</f>
        <v>6:L01194|6:T00597|10:2026-02-02|3:P-O|6:Office|4:sale|6:172.80</v>
      </c>
      <c r="Q1200" s="1">
        <f>1</f>
        <v>1</v>
      </c>
      <c r="R1200" s="1" t="b">
        <f>FALSE</f>
        <v>0</v>
      </c>
      <c r="S1200" s="1">
        <f>1</f>
        <v>1</v>
      </c>
      <c r="T1200" s="1" t="str">
        <f>IF(AND(Raw!A1200="",Raw!B1200="",Raw!C1200="",Raw!D1200="",Raw!E1200="",Raw!F1200="",Raw!G1200=""),"UNUSED",IF(A1200="","missing line ID",IF(B1200="","missing transaction ID",IF(G1200="",IF(C1200="","missing date","invalid date"),IF(I1200="","unknown product",IF(J1200="","conflicting category",IF(NOT(OR(EXACT(K1200,"sale"),EXACT(K1200,"refund"))),"unknown event",IF(OR(N1200="",NOT(O1200)),"invalid amount",IF(OR(AND(K1200="sale",N1200&lt;=0),AND(K1200="refund",N1200&gt;=0)),"invalid sign","")))))))))</f>
        <v/>
      </c>
      <c r="U1200" s="1" t="str">
        <f t="shared" si="149"/>
        <v>INCLUDED</v>
      </c>
      <c r="V1200" s="1" t="str">
        <f t="shared" si="150"/>
        <v>2026-02</v>
      </c>
      <c r="W1200" s="1">
        <f>IF(AND(U1200="INCLUDED",X1200&gt;0,EXACT(A1200,'AI output'!A1200)),1,0)</f>
        <v>1</v>
      </c>
      <c r="X1200" s="1">
        <f>1200</f>
        <v>1200</v>
      </c>
      <c r="Y1200" s="1">
        <f>IF(AND(U1200="INCLUDED",W1200=1),--(NOT(EXACT(A1200,'AI output'!A1200)))+--(NOT(EXACT(B1200,'AI output'!B1200)))+--(NOT(EXACT(TEXT(G1200,"yyyy-mm-dd"),'AI output'!C1200)))+--(NOT(EXACT(H1200,'AI output'!D1200)))+--(NOT(EXACT(J1200,'AI output'!E1200)))+--(NOT(EXACT(K1200,'AI output'!F1200)))+--(N1200&lt;&gt;'AI output'!L1200)+--(NOT('AI output'!M1200)),0)</f>
        <v>0</v>
      </c>
      <c r="Z1200" s="1">
        <f t="shared" si="151"/>
        <v>0</v>
      </c>
      <c r="AA1200" s="1">
        <f>--EXACT(A1200,"L01194")</f>
        <v>1</v>
      </c>
    </row>
    <row r="1201" spans="1:27" ht="18.95" customHeight="1">
      <c r="A1201" s="1" t="str">
        <f>IF(Raw!A1201="","",Raw!A1201)</f>
        <v>L01195</v>
      </c>
      <c r="B1201" s="1" t="str">
        <f>IF(Raw!B1201="","",Raw!B1201)</f>
        <v>T00598</v>
      </c>
      <c r="C1201" s="1" t="str">
        <f>IF(Raw!C1201="","",Raw!C1201)</f>
        <v>2026-02-09</v>
      </c>
      <c r="D1201" s="1">
        <f t="shared" si="144"/>
        <v>2026</v>
      </c>
      <c r="E1201" s="1">
        <f>IFERROR(IF(AND(LEN(C1201)=10,MID(C1201,5,1)="-",MID(C1201,8,1)="-"),VALUE(MID(C1201,6,2)),IF(AND(LEN(C1201)=11,MID(C1201,3,1)="-",MID(C1201,7,1)="-"),MATCH(UPPER(MID(C1201,4,3)),Guide!$D$7:$D$18,0),0)),0)</f>
        <v>2</v>
      </c>
      <c r="F1201" s="1">
        <f t="shared" si="145"/>
        <v>9</v>
      </c>
      <c r="G1201" s="9">
        <f t="shared" si="146"/>
        <v>46062</v>
      </c>
      <c r="H1201" s="1" t="str">
        <f>IF(Raw!D1201="","",Raw!D1201)</f>
        <v>P-A</v>
      </c>
      <c r="I1201" s="1" t="str">
        <f>IFERROR(IF(EXACT(H1201,INDEX(Guide!$A$7:$A$9,MATCH(SUBSTITUTE(SUBSTITUTE(SUBSTITUTE(H1201,"~","~~"),"*","~*"),"?","~?"),Guide!$A$7:$A$9,0))),INDEX(Guide!$B$7:$B$9,MATCH(SUBSTITUTE(SUBSTITUTE(SUBSTITUTE(H1201,"~","~~"),"*","~*"),"?","~?"),Guide!$A$7:$A$9,0)),""),"")</f>
        <v>Accessories</v>
      </c>
      <c r="J1201" s="1" t="str">
        <f>IF(TRIM(Raw!E1201)="",I1201,IF(UPPER(TRIM(Raw!E1201))=UPPER(I1201),I1201,""))</f>
        <v>Accessories</v>
      </c>
      <c r="K1201" s="1" t="str">
        <f>IF(Raw!F1201="","",Raw!F1201)</f>
        <v>sale</v>
      </c>
      <c r="L1201" s="1" t="str">
        <f>IF(LEFT(TRIM(Raw!G1201),2)="-$","-"&amp;MID(TRIM(Raw!G1201),3,99),IF(LEFT(TRIM(Raw!G1201),1)="$",MID(TRIM(Raw!G1201),2,99),TRIM(Raw!G1201)))</f>
        <v>347.08</v>
      </c>
      <c r="M1201" s="1">
        <f t="shared" si="147"/>
        <v>347.08</v>
      </c>
      <c r="N1201" s="10">
        <f t="shared" si="148"/>
        <v>34708</v>
      </c>
      <c r="O1201" s="1" t="b">
        <f>IFERROR(IF(ISNUMBER(Raw!G1201),TRUE,OR(EXACT(L1201,TEXT(M1201,"0.00")),EXACT(L1201,TEXT(M1201,"#,##0.00")))),FALSE)</f>
        <v>1</v>
      </c>
      <c r="P1201" s="1" t="str">
        <f>LEN(IF(Raw!A1201="","",Raw!A1201))&amp;":"&amp;IF(Raw!A1201="","",Raw!A1201)&amp;"|"&amp;LEN(IF(Raw!B1201="","",Raw!B1201))&amp;":"&amp;IF(Raw!B1201="","",Raw!B1201)&amp;"|"&amp;LEN(IF(Raw!C1201="","",Raw!C1201))&amp;":"&amp;IF(Raw!C1201="","",Raw!C1201)&amp;"|"&amp;LEN(IF(Raw!D1201="","",Raw!D1201))&amp;":"&amp;IF(Raw!D1201="","",Raw!D1201)&amp;"|"&amp;LEN(IF(Raw!E1201="","",Raw!E1201))&amp;":"&amp;IF(Raw!E1201="","",Raw!E1201)&amp;"|"&amp;LEN(IF(Raw!F1201="","",Raw!F1201))&amp;":"&amp;IF(Raw!F1201="","",Raw!F1201)&amp;"|"&amp;LEN(IF(Raw!G1201="","",Raw!G1201))&amp;":"&amp;IF(Raw!G1201="","",Raw!G1201)</f>
        <v>6:L01195|6:T00598|10:2026-02-09|3:P-A|11:Accessories|4:sale|6:347.08</v>
      </c>
      <c r="Q1201" s="1">
        <f>1</f>
        <v>1</v>
      </c>
      <c r="R1201" s="1" t="b">
        <f>FALSE</f>
        <v>0</v>
      </c>
      <c r="S1201" s="1">
        <f>1</f>
        <v>1</v>
      </c>
      <c r="T1201" s="1" t="str">
        <f>IF(AND(Raw!A1201="",Raw!B1201="",Raw!C1201="",Raw!D1201="",Raw!E1201="",Raw!F1201="",Raw!G1201=""),"UNUSED",IF(A1201="","missing line ID",IF(B1201="","missing transaction ID",IF(G1201="",IF(C1201="","missing date","invalid date"),IF(I1201="","unknown product",IF(J1201="","conflicting category",IF(NOT(OR(EXACT(K1201,"sale"),EXACT(K1201,"refund"))),"unknown event",IF(OR(N1201="",NOT(O1201)),"invalid amount",IF(OR(AND(K1201="sale",N1201&lt;=0),AND(K1201="refund",N1201&gt;=0)),"invalid sign","")))))))))</f>
        <v/>
      </c>
      <c r="U1201" s="1" t="str">
        <f t="shared" si="149"/>
        <v>INCLUDED</v>
      </c>
      <c r="V1201" s="1" t="str">
        <f t="shared" si="150"/>
        <v>2026-02</v>
      </c>
      <c r="W1201" s="1">
        <f>IF(AND(U1201="INCLUDED",X1201&gt;0,EXACT(A1201,'AI output'!A1201)),1,0)</f>
        <v>1</v>
      </c>
      <c r="X1201" s="1">
        <f>1201</f>
        <v>1201</v>
      </c>
      <c r="Y1201" s="1">
        <f>IF(AND(U1201="INCLUDED",W1201=1),--(NOT(EXACT(A1201,'AI output'!A1201)))+--(NOT(EXACT(B1201,'AI output'!B1201)))+--(NOT(EXACT(TEXT(G1201,"yyyy-mm-dd"),'AI output'!C1201)))+--(NOT(EXACT(H1201,'AI output'!D1201)))+--(NOT(EXACT(J1201,'AI output'!E1201)))+--(NOT(EXACT(K1201,'AI output'!F1201)))+--(N1201&lt;&gt;'AI output'!L1201)+--(NOT('AI output'!M1201)),0)</f>
        <v>0</v>
      </c>
      <c r="Z1201" s="1">
        <f t="shared" si="151"/>
        <v>0</v>
      </c>
      <c r="AA1201" s="1">
        <f>--EXACT(A1201,"L01195")</f>
        <v>1</v>
      </c>
    </row>
    <row r="1202" spans="1:27" ht="18.95" customHeight="1">
      <c r="A1202" s="1" t="str">
        <f>IF(Raw!A1202="","",Raw!A1202)</f>
        <v>L01196</v>
      </c>
      <c r="B1202" s="1" t="str">
        <f>IF(Raw!B1202="","",Raw!B1202)</f>
        <v>T00598</v>
      </c>
      <c r="C1202" s="1" t="str">
        <f>IF(Raw!C1202="","",Raw!C1202)</f>
        <v>2026-02-09</v>
      </c>
      <c r="D1202" s="1">
        <f t="shared" si="144"/>
        <v>2026</v>
      </c>
      <c r="E1202" s="1">
        <f>IFERROR(IF(AND(LEN(C1202)=10,MID(C1202,5,1)="-",MID(C1202,8,1)="-"),VALUE(MID(C1202,6,2)),IF(AND(LEN(C1202)=11,MID(C1202,3,1)="-",MID(C1202,7,1)="-"),MATCH(UPPER(MID(C1202,4,3)),Guide!$D$7:$D$18,0),0)),0)</f>
        <v>2</v>
      </c>
      <c r="F1202" s="1">
        <f t="shared" si="145"/>
        <v>9</v>
      </c>
      <c r="G1202" s="9">
        <f t="shared" si="146"/>
        <v>46062</v>
      </c>
      <c r="H1202" s="1" t="str">
        <f>IF(Raw!D1202="","",Raw!D1202)</f>
        <v>P-H</v>
      </c>
      <c r="I1202" s="1" t="str">
        <f>IFERROR(IF(EXACT(H1202,INDEX(Guide!$A$7:$A$9,MATCH(SUBSTITUTE(SUBSTITUTE(SUBSTITUTE(H1202,"~","~~"),"*","~*"),"?","~?"),Guide!$A$7:$A$9,0))),INDEX(Guide!$B$7:$B$9,MATCH(SUBSTITUTE(SUBSTITUTE(SUBSTITUTE(H1202,"~","~~"),"*","~*"),"?","~?"),Guide!$A$7:$A$9,0)),""),"")</f>
        <v>Home</v>
      </c>
      <c r="J1202" s="1" t="str">
        <f>IF(TRIM(Raw!E1202)="",I1202,IF(UPPER(TRIM(Raw!E1202))=UPPER(I1202),I1202,""))</f>
        <v>Home</v>
      </c>
      <c r="K1202" s="1" t="str">
        <f>IF(Raw!F1202="","",Raw!F1202)</f>
        <v>sale</v>
      </c>
      <c r="L1202" s="1" t="str">
        <f>IF(LEFT(TRIM(Raw!G1202),2)="-$","-"&amp;MID(TRIM(Raw!G1202),3,99),IF(LEFT(TRIM(Raw!G1202),1)="$",MID(TRIM(Raw!G1202),2,99),TRIM(Raw!G1202)))</f>
        <v>87.14</v>
      </c>
      <c r="M1202" s="1">
        <f t="shared" si="147"/>
        <v>87.14</v>
      </c>
      <c r="N1202" s="10">
        <f t="shared" si="148"/>
        <v>8714</v>
      </c>
      <c r="O1202" s="1" t="b">
        <f>IFERROR(IF(ISNUMBER(Raw!G1202),TRUE,OR(EXACT(L1202,TEXT(M1202,"0.00")),EXACT(L1202,TEXT(M1202,"#,##0.00")))),FALSE)</f>
        <v>1</v>
      </c>
      <c r="P1202" s="1" t="str">
        <f>LEN(IF(Raw!A1202="","",Raw!A1202))&amp;":"&amp;IF(Raw!A1202="","",Raw!A1202)&amp;"|"&amp;LEN(IF(Raw!B1202="","",Raw!B1202))&amp;":"&amp;IF(Raw!B1202="","",Raw!B1202)&amp;"|"&amp;LEN(IF(Raw!C1202="","",Raw!C1202))&amp;":"&amp;IF(Raw!C1202="","",Raw!C1202)&amp;"|"&amp;LEN(IF(Raw!D1202="","",Raw!D1202))&amp;":"&amp;IF(Raw!D1202="","",Raw!D1202)&amp;"|"&amp;LEN(IF(Raw!E1202="","",Raw!E1202))&amp;":"&amp;IF(Raw!E1202="","",Raw!E1202)&amp;"|"&amp;LEN(IF(Raw!F1202="","",Raw!F1202))&amp;":"&amp;IF(Raw!F1202="","",Raw!F1202)&amp;"|"&amp;LEN(IF(Raw!G1202="","",Raw!G1202))&amp;":"&amp;IF(Raw!G1202="","",Raw!G1202)</f>
        <v>6:L01196|6:T00598|10:2026-02-09|3:P-H|4:Home|4:sale|5:87.14</v>
      </c>
      <c r="Q1202" s="1">
        <f>1</f>
        <v>1</v>
      </c>
      <c r="R1202" s="1" t="b">
        <f>FALSE</f>
        <v>0</v>
      </c>
      <c r="S1202" s="1">
        <f>1</f>
        <v>1</v>
      </c>
      <c r="T1202" s="1" t="str">
        <f>IF(AND(Raw!A1202="",Raw!B1202="",Raw!C1202="",Raw!D1202="",Raw!E1202="",Raw!F1202="",Raw!G1202=""),"UNUSED",IF(A1202="","missing line ID",IF(B1202="","missing transaction ID",IF(G1202="",IF(C1202="","missing date","invalid date"),IF(I1202="","unknown product",IF(J1202="","conflicting category",IF(NOT(OR(EXACT(K1202,"sale"),EXACT(K1202,"refund"))),"unknown event",IF(OR(N1202="",NOT(O1202)),"invalid amount",IF(OR(AND(K1202="sale",N1202&lt;=0),AND(K1202="refund",N1202&gt;=0)),"invalid sign","")))))))))</f>
        <v/>
      </c>
      <c r="U1202" s="1" t="str">
        <f t="shared" si="149"/>
        <v>INCLUDED</v>
      </c>
      <c r="V1202" s="1" t="str">
        <f t="shared" si="150"/>
        <v>2026-02</v>
      </c>
      <c r="W1202" s="1">
        <f>IF(AND(U1202="INCLUDED",X1202&gt;0,EXACT(A1202,'AI output'!A1202)),1,0)</f>
        <v>1</v>
      </c>
      <c r="X1202" s="1">
        <f>1202</f>
        <v>1202</v>
      </c>
      <c r="Y1202" s="1">
        <f>IF(AND(U1202="INCLUDED",W1202=1),--(NOT(EXACT(A1202,'AI output'!A1202)))+--(NOT(EXACT(B1202,'AI output'!B1202)))+--(NOT(EXACT(TEXT(G1202,"yyyy-mm-dd"),'AI output'!C1202)))+--(NOT(EXACT(H1202,'AI output'!D1202)))+--(NOT(EXACT(J1202,'AI output'!E1202)))+--(NOT(EXACT(K1202,'AI output'!F1202)))+--(N1202&lt;&gt;'AI output'!L1202)+--(NOT('AI output'!M1202)),0)</f>
        <v>0</v>
      </c>
      <c r="Z1202" s="1">
        <f t="shared" si="151"/>
        <v>0</v>
      </c>
      <c r="AA1202" s="1">
        <f>--EXACT(A1202,"L01196")</f>
        <v>1</v>
      </c>
    </row>
    <row r="1203" spans="1:27" ht="18.95" customHeight="1">
      <c r="A1203" s="1" t="str">
        <f>IF(Raw!A1203="","",Raw!A1203)</f>
        <v>L01197</v>
      </c>
      <c r="B1203" s="1" t="str">
        <f>IF(Raw!B1203="","",Raw!B1203)</f>
        <v>T00599</v>
      </c>
      <c r="C1203" s="1" t="str">
        <f>IF(Raw!C1203="","",Raw!C1203)</f>
        <v>2026-02-16</v>
      </c>
      <c r="D1203" s="1">
        <f t="shared" si="144"/>
        <v>2026</v>
      </c>
      <c r="E1203" s="1">
        <f>IFERROR(IF(AND(LEN(C1203)=10,MID(C1203,5,1)="-",MID(C1203,8,1)="-"),VALUE(MID(C1203,6,2)),IF(AND(LEN(C1203)=11,MID(C1203,3,1)="-",MID(C1203,7,1)="-"),MATCH(UPPER(MID(C1203,4,3)),Guide!$D$7:$D$18,0),0)),0)</f>
        <v>2</v>
      </c>
      <c r="F1203" s="1">
        <f t="shared" si="145"/>
        <v>16</v>
      </c>
      <c r="G1203" s="9">
        <f t="shared" si="146"/>
        <v>46069</v>
      </c>
      <c r="H1203" s="1" t="str">
        <f>IF(Raw!D1203="","",Raw!D1203)</f>
        <v>P-O</v>
      </c>
      <c r="I1203" s="1" t="str">
        <f>IFERROR(IF(EXACT(H1203,INDEX(Guide!$A$7:$A$9,MATCH(SUBSTITUTE(SUBSTITUTE(SUBSTITUTE(H1203,"~","~~"),"*","~*"),"?","~?"),Guide!$A$7:$A$9,0))),INDEX(Guide!$B$7:$B$9,MATCH(SUBSTITUTE(SUBSTITUTE(SUBSTITUTE(H1203,"~","~~"),"*","~*"),"?","~?"),Guide!$A$7:$A$9,0)),""),"")</f>
        <v>Office</v>
      </c>
      <c r="J1203" s="1" t="str">
        <f>IF(TRIM(Raw!E1203)="",I1203,IF(UPPER(TRIM(Raw!E1203))=UPPER(I1203),I1203,""))</f>
        <v>Office</v>
      </c>
      <c r="K1203" s="1" t="str">
        <f>IF(Raw!F1203="","",Raw!F1203)</f>
        <v>refund</v>
      </c>
      <c r="L1203" s="1" t="str">
        <f>IF(LEFT(TRIM(Raw!G1203),2)="-$","-"&amp;MID(TRIM(Raw!G1203),3,99),IF(LEFT(TRIM(Raw!G1203),1)="$",MID(TRIM(Raw!G1203),2,99),TRIM(Raw!G1203)))</f>
        <v>-262.53</v>
      </c>
      <c r="M1203" s="1">
        <f t="shared" si="147"/>
        <v>-262.52999999999997</v>
      </c>
      <c r="N1203" s="10">
        <f t="shared" si="148"/>
        <v>-26253</v>
      </c>
      <c r="O1203" s="1" t="b">
        <f>IFERROR(IF(ISNUMBER(Raw!G1203),TRUE,OR(EXACT(L1203,TEXT(M1203,"0.00")),EXACT(L1203,TEXT(M1203,"#,##0.00")))),FALSE)</f>
        <v>1</v>
      </c>
      <c r="P1203" s="1" t="str">
        <f>LEN(IF(Raw!A1203="","",Raw!A1203))&amp;":"&amp;IF(Raw!A1203="","",Raw!A1203)&amp;"|"&amp;LEN(IF(Raw!B1203="","",Raw!B1203))&amp;":"&amp;IF(Raw!B1203="","",Raw!B1203)&amp;"|"&amp;LEN(IF(Raw!C1203="","",Raw!C1203))&amp;":"&amp;IF(Raw!C1203="","",Raw!C1203)&amp;"|"&amp;LEN(IF(Raw!D1203="","",Raw!D1203))&amp;":"&amp;IF(Raw!D1203="","",Raw!D1203)&amp;"|"&amp;LEN(IF(Raw!E1203="","",Raw!E1203))&amp;":"&amp;IF(Raw!E1203="","",Raw!E1203)&amp;"|"&amp;LEN(IF(Raw!F1203="","",Raw!F1203))&amp;":"&amp;IF(Raw!F1203="","",Raw!F1203)&amp;"|"&amp;LEN(IF(Raw!G1203="","",Raw!G1203))&amp;":"&amp;IF(Raw!G1203="","",Raw!G1203)</f>
        <v>6:L01197|6:T00599|10:2026-02-16|3:P-O|6:Office|6:refund|7:-262.53</v>
      </c>
      <c r="Q1203" s="1">
        <f>1</f>
        <v>1</v>
      </c>
      <c r="R1203" s="1" t="b">
        <f>FALSE</f>
        <v>0</v>
      </c>
      <c r="S1203" s="1">
        <f>1</f>
        <v>1</v>
      </c>
      <c r="T1203" s="1" t="str">
        <f>IF(AND(Raw!A1203="",Raw!B1203="",Raw!C1203="",Raw!D1203="",Raw!E1203="",Raw!F1203="",Raw!G1203=""),"UNUSED",IF(A1203="","missing line ID",IF(B1203="","missing transaction ID",IF(G1203="",IF(C1203="","missing date","invalid date"),IF(I1203="","unknown product",IF(J1203="","conflicting category",IF(NOT(OR(EXACT(K1203,"sale"),EXACT(K1203,"refund"))),"unknown event",IF(OR(N1203="",NOT(O1203)),"invalid amount",IF(OR(AND(K1203="sale",N1203&lt;=0),AND(K1203="refund",N1203&gt;=0)),"invalid sign","")))))))))</f>
        <v/>
      </c>
      <c r="U1203" s="1" t="str">
        <f t="shared" si="149"/>
        <v>INCLUDED</v>
      </c>
      <c r="V1203" s="1" t="str">
        <f t="shared" si="150"/>
        <v>2026-02</v>
      </c>
      <c r="W1203" s="1">
        <f>IF(AND(U1203="INCLUDED",X1203&gt;0,EXACT(A1203,'AI output'!A1203)),1,0)</f>
        <v>1</v>
      </c>
      <c r="X1203" s="1">
        <f>1203</f>
        <v>1203</v>
      </c>
      <c r="Y1203" s="1">
        <f>IF(AND(U1203="INCLUDED",W1203=1),--(NOT(EXACT(A1203,'AI output'!A1203)))+--(NOT(EXACT(B1203,'AI output'!B1203)))+--(NOT(EXACT(TEXT(G1203,"yyyy-mm-dd"),'AI output'!C1203)))+--(NOT(EXACT(H1203,'AI output'!D1203)))+--(NOT(EXACT(J1203,'AI output'!E1203)))+--(NOT(EXACT(K1203,'AI output'!F1203)))+--(N1203&lt;&gt;'AI output'!L1203)+--(NOT('AI output'!M1203)),0)</f>
        <v>0</v>
      </c>
      <c r="Z1203" s="1">
        <f t="shared" si="151"/>
        <v>0</v>
      </c>
      <c r="AA1203" s="1">
        <f>--EXACT(A1203,"L01197")</f>
        <v>1</v>
      </c>
    </row>
    <row r="1204" spans="1:27" ht="18.95" customHeight="1">
      <c r="A1204" s="1" t="str">
        <f>IF(Raw!A1204="","",Raw!A1204)</f>
        <v>L01198</v>
      </c>
      <c r="B1204" s="1" t="str">
        <f>IF(Raw!B1204="","",Raw!B1204)</f>
        <v>T00599</v>
      </c>
      <c r="C1204" s="1" t="str">
        <f>IF(Raw!C1204="","",Raw!C1204)</f>
        <v>2026-02-16</v>
      </c>
      <c r="D1204" s="1">
        <f t="shared" si="144"/>
        <v>2026</v>
      </c>
      <c r="E1204" s="1">
        <f>IFERROR(IF(AND(LEN(C1204)=10,MID(C1204,5,1)="-",MID(C1204,8,1)="-"),VALUE(MID(C1204,6,2)),IF(AND(LEN(C1204)=11,MID(C1204,3,1)="-",MID(C1204,7,1)="-"),MATCH(UPPER(MID(C1204,4,3)),Guide!$D$7:$D$18,0),0)),0)</f>
        <v>2</v>
      </c>
      <c r="F1204" s="1">
        <f t="shared" si="145"/>
        <v>16</v>
      </c>
      <c r="G1204" s="9">
        <f t="shared" si="146"/>
        <v>46069</v>
      </c>
      <c r="H1204" s="1" t="str">
        <f>IF(Raw!D1204="","",Raw!D1204)</f>
        <v>P-A</v>
      </c>
      <c r="I1204" s="1" t="str">
        <f>IFERROR(IF(EXACT(H1204,INDEX(Guide!$A$7:$A$9,MATCH(SUBSTITUTE(SUBSTITUTE(SUBSTITUTE(H1204,"~","~~"),"*","~*"),"?","~?"),Guide!$A$7:$A$9,0))),INDEX(Guide!$B$7:$B$9,MATCH(SUBSTITUTE(SUBSTITUTE(SUBSTITUTE(H1204,"~","~~"),"*","~*"),"?","~?"),Guide!$A$7:$A$9,0)),""),"")</f>
        <v>Accessories</v>
      </c>
      <c r="J1204" s="1" t="str">
        <f>IF(TRIM(Raw!E1204)="",I1204,IF(UPPER(TRIM(Raw!E1204))=UPPER(I1204),I1204,""))</f>
        <v>Accessories</v>
      </c>
      <c r="K1204" s="1" t="str">
        <f>IF(Raw!F1204="","",Raw!F1204)</f>
        <v>sale</v>
      </c>
      <c r="L1204" s="1" t="str">
        <f>IF(LEFT(TRIM(Raw!G1204),2)="-$","-"&amp;MID(TRIM(Raw!G1204),3,99),IF(LEFT(TRIM(Raw!G1204),1)="$",MID(TRIM(Raw!G1204),2,99),TRIM(Raw!G1204)))</f>
        <v>439.40</v>
      </c>
      <c r="M1204" s="1">
        <f t="shared" si="147"/>
        <v>439.4</v>
      </c>
      <c r="N1204" s="10">
        <f t="shared" si="148"/>
        <v>43940</v>
      </c>
      <c r="O1204" s="1" t="b">
        <f>IFERROR(IF(ISNUMBER(Raw!G1204),TRUE,OR(EXACT(L1204,TEXT(M1204,"0.00")),EXACT(L1204,TEXT(M1204,"#,##0.00")))),FALSE)</f>
        <v>1</v>
      </c>
      <c r="P1204" s="1" t="str">
        <f>LEN(IF(Raw!A1204="","",Raw!A1204))&amp;":"&amp;IF(Raw!A1204="","",Raw!A1204)&amp;"|"&amp;LEN(IF(Raw!B1204="","",Raw!B1204))&amp;":"&amp;IF(Raw!B1204="","",Raw!B1204)&amp;"|"&amp;LEN(IF(Raw!C1204="","",Raw!C1204))&amp;":"&amp;IF(Raw!C1204="","",Raw!C1204)&amp;"|"&amp;LEN(IF(Raw!D1204="","",Raw!D1204))&amp;":"&amp;IF(Raw!D1204="","",Raw!D1204)&amp;"|"&amp;LEN(IF(Raw!E1204="","",Raw!E1204))&amp;":"&amp;IF(Raw!E1204="","",Raw!E1204)&amp;"|"&amp;LEN(IF(Raw!F1204="","",Raw!F1204))&amp;":"&amp;IF(Raw!F1204="","",Raw!F1204)&amp;"|"&amp;LEN(IF(Raw!G1204="","",Raw!G1204))&amp;":"&amp;IF(Raw!G1204="","",Raw!G1204)</f>
        <v>6:L01198|6:T00599|10:2026-02-16|3:P-A|11:Accessories|4:sale|6:439.40</v>
      </c>
      <c r="Q1204" s="1">
        <f>1</f>
        <v>1</v>
      </c>
      <c r="R1204" s="1" t="b">
        <f>FALSE</f>
        <v>0</v>
      </c>
      <c r="S1204" s="1">
        <f>1</f>
        <v>1</v>
      </c>
      <c r="T1204" s="1" t="str">
        <f>IF(AND(Raw!A1204="",Raw!B1204="",Raw!C1204="",Raw!D1204="",Raw!E1204="",Raw!F1204="",Raw!G1204=""),"UNUSED",IF(A1204="","missing line ID",IF(B1204="","missing transaction ID",IF(G1204="",IF(C1204="","missing date","invalid date"),IF(I1204="","unknown product",IF(J1204="","conflicting category",IF(NOT(OR(EXACT(K1204,"sale"),EXACT(K1204,"refund"))),"unknown event",IF(OR(N1204="",NOT(O1204)),"invalid amount",IF(OR(AND(K1204="sale",N1204&lt;=0),AND(K1204="refund",N1204&gt;=0)),"invalid sign","")))))))))</f>
        <v/>
      </c>
      <c r="U1204" s="1" t="str">
        <f t="shared" si="149"/>
        <v>INCLUDED</v>
      </c>
      <c r="V1204" s="1" t="str">
        <f t="shared" si="150"/>
        <v>2026-02</v>
      </c>
      <c r="W1204" s="1">
        <f>IF(AND(U1204="INCLUDED",X1204&gt;0,EXACT(A1204,'AI output'!A1204)),1,0)</f>
        <v>1</v>
      </c>
      <c r="X1204" s="1">
        <f>1204</f>
        <v>1204</v>
      </c>
      <c r="Y1204" s="1">
        <f>IF(AND(U1204="INCLUDED",W1204=1),--(NOT(EXACT(A1204,'AI output'!A1204)))+--(NOT(EXACT(B1204,'AI output'!B1204)))+--(NOT(EXACT(TEXT(G1204,"yyyy-mm-dd"),'AI output'!C1204)))+--(NOT(EXACT(H1204,'AI output'!D1204)))+--(NOT(EXACT(J1204,'AI output'!E1204)))+--(NOT(EXACT(K1204,'AI output'!F1204)))+--(N1204&lt;&gt;'AI output'!L1204)+--(NOT('AI output'!M1204)),0)</f>
        <v>0</v>
      </c>
      <c r="Z1204" s="1">
        <f t="shared" si="151"/>
        <v>0</v>
      </c>
      <c r="AA1204" s="1">
        <f>--EXACT(A1204,"L01198")</f>
        <v>1</v>
      </c>
    </row>
    <row r="1205" spans="1:27" ht="18.95" customHeight="1">
      <c r="A1205" s="1" t="str">
        <f>IF(Raw!A1205="","",Raw!A1205)</f>
        <v>L01199</v>
      </c>
      <c r="B1205" s="1" t="str">
        <f>IF(Raw!B1205="","",Raw!B1205)</f>
        <v>T00600</v>
      </c>
      <c r="C1205" s="1" t="str">
        <f>IF(Raw!C1205="","",Raw!C1205)</f>
        <v>2026-02-23</v>
      </c>
      <c r="D1205" s="1">
        <f t="shared" si="144"/>
        <v>2026</v>
      </c>
      <c r="E1205" s="1">
        <f>IFERROR(IF(AND(LEN(C1205)=10,MID(C1205,5,1)="-",MID(C1205,8,1)="-"),VALUE(MID(C1205,6,2)),IF(AND(LEN(C1205)=11,MID(C1205,3,1)="-",MID(C1205,7,1)="-"),MATCH(UPPER(MID(C1205,4,3)),Guide!$D$7:$D$18,0),0)),0)</f>
        <v>2</v>
      </c>
      <c r="F1205" s="1">
        <f t="shared" si="145"/>
        <v>23</v>
      </c>
      <c r="G1205" s="9">
        <f t="shared" si="146"/>
        <v>46076</v>
      </c>
      <c r="H1205" s="1" t="str">
        <f>IF(Raw!D1205="","",Raw!D1205)</f>
        <v>P-H</v>
      </c>
      <c r="I1205" s="1" t="str">
        <f>IFERROR(IF(EXACT(H1205,INDEX(Guide!$A$7:$A$9,MATCH(SUBSTITUTE(SUBSTITUTE(SUBSTITUTE(H1205,"~","~~"),"*","~*"),"?","~?"),Guide!$A$7:$A$9,0))),INDEX(Guide!$B$7:$B$9,MATCH(SUBSTITUTE(SUBSTITUTE(SUBSTITUTE(H1205,"~","~~"),"*","~*"),"?","~?"),Guide!$A$7:$A$9,0)),""),"")</f>
        <v>Home</v>
      </c>
      <c r="J1205" s="1" t="str">
        <f>IF(TRIM(Raw!E1205)="",I1205,IF(UPPER(TRIM(Raw!E1205))=UPPER(I1205),I1205,""))</f>
        <v>Home</v>
      </c>
      <c r="K1205" s="1" t="str">
        <f>IF(Raw!F1205="","",Raw!F1205)</f>
        <v>sale</v>
      </c>
      <c r="L1205" s="1" t="str">
        <f>IF(LEFT(TRIM(Raw!G1205),2)="-$","-"&amp;MID(TRIM(Raw!G1205),3,99),IF(LEFT(TRIM(Raw!G1205),1)="$",MID(TRIM(Raw!G1205),2,99),TRIM(Raw!G1205)))</f>
        <v>176.50</v>
      </c>
      <c r="M1205" s="1">
        <f t="shared" si="147"/>
        <v>176.5</v>
      </c>
      <c r="N1205" s="10">
        <f t="shared" si="148"/>
        <v>17650</v>
      </c>
      <c r="O1205" s="1" t="b">
        <f>IFERROR(IF(ISNUMBER(Raw!G1205),TRUE,OR(EXACT(L1205,TEXT(M1205,"0.00")),EXACT(L1205,TEXT(M1205,"#,##0.00")))),FALSE)</f>
        <v>1</v>
      </c>
      <c r="P1205" s="1" t="str">
        <f>LEN(IF(Raw!A1205="","",Raw!A1205))&amp;":"&amp;IF(Raw!A1205="","",Raw!A1205)&amp;"|"&amp;LEN(IF(Raw!B1205="","",Raw!B1205))&amp;":"&amp;IF(Raw!B1205="","",Raw!B1205)&amp;"|"&amp;LEN(IF(Raw!C1205="","",Raw!C1205))&amp;":"&amp;IF(Raw!C1205="","",Raw!C1205)&amp;"|"&amp;LEN(IF(Raw!D1205="","",Raw!D1205))&amp;":"&amp;IF(Raw!D1205="","",Raw!D1205)&amp;"|"&amp;LEN(IF(Raw!E1205="","",Raw!E1205))&amp;":"&amp;IF(Raw!E1205="","",Raw!E1205)&amp;"|"&amp;LEN(IF(Raw!F1205="","",Raw!F1205))&amp;":"&amp;IF(Raw!F1205="","",Raw!F1205)&amp;"|"&amp;LEN(IF(Raw!G1205="","",Raw!G1205))&amp;":"&amp;IF(Raw!G1205="","",Raw!G1205)</f>
        <v>6:L01199|6:T00600|10:2026-02-23|3:P-H|4:Home|4:sale|6:176.50</v>
      </c>
      <c r="Q1205" s="1">
        <f>1</f>
        <v>1</v>
      </c>
      <c r="R1205" s="1" t="b">
        <f>FALSE</f>
        <v>0</v>
      </c>
      <c r="S1205" s="1">
        <f>1</f>
        <v>1</v>
      </c>
      <c r="T1205" s="1" t="str">
        <f>IF(AND(Raw!A1205="",Raw!B1205="",Raw!C1205="",Raw!D1205="",Raw!E1205="",Raw!F1205="",Raw!G1205=""),"UNUSED",IF(A1205="","missing line ID",IF(B1205="","missing transaction ID",IF(G1205="",IF(C1205="","missing date","invalid date"),IF(I1205="","unknown product",IF(J1205="","conflicting category",IF(NOT(OR(EXACT(K1205,"sale"),EXACT(K1205,"refund"))),"unknown event",IF(OR(N1205="",NOT(O1205)),"invalid amount",IF(OR(AND(K1205="sale",N1205&lt;=0),AND(K1205="refund",N1205&gt;=0)),"invalid sign","")))))))))</f>
        <v/>
      </c>
      <c r="U1205" s="1" t="str">
        <f t="shared" si="149"/>
        <v>INCLUDED</v>
      </c>
      <c r="V1205" s="1" t="str">
        <f t="shared" si="150"/>
        <v>2026-02</v>
      </c>
      <c r="W1205" s="1">
        <f>IF(AND(U1205="INCLUDED",X1205&gt;0,EXACT(A1205,'AI output'!A1205)),1,0)</f>
        <v>1</v>
      </c>
      <c r="X1205" s="1">
        <f>1205</f>
        <v>1205</v>
      </c>
      <c r="Y1205" s="1">
        <f>IF(AND(U1205="INCLUDED",W1205=1),--(NOT(EXACT(A1205,'AI output'!A1205)))+--(NOT(EXACT(B1205,'AI output'!B1205)))+--(NOT(EXACT(TEXT(G1205,"yyyy-mm-dd"),'AI output'!C1205)))+--(NOT(EXACT(H1205,'AI output'!D1205)))+--(NOT(EXACT(J1205,'AI output'!E1205)))+--(NOT(EXACT(K1205,'AI output'!F1205)))+--(N1205&lt;&gt;'AI output'!L1205)+--(NOT('AI output'!M1205)),0)</f>
        <v>0</v>
      </c>
      <c r="Z1205" s="1">
        <f t="shared" si="151"/>
        <v>0</v>
      </c>
      <c r="AA1205" s="1">
        <f>--EXACT(A1205,"L01199")</f>
        <v>1</v>
      </c>
    </row>
    <row r="1206" spans="1:27" ht="18.95" customHeight="1">
      <c r="A1206" s="1" t="str">
        <f>IF(Raw!A1206="","",Raw!A1206)</f>
        <v>L01200</v>
      </c>
      <c r="B1206" s="1" t="str">
        <f>IF(Raw!B1206="","",Raw!B1206)</f>
        <v>T00600</v>
      </c>
      <c r="C1206" s="1" t="str">
        <f>IF(Raw!C1206="","",Raw!C1206)</f>
        <v>2026-02-23</v>
      </c>
      <c r="D1206" s="1">
        <f t="shared" si="144"/>
        <v>2026</v>
      </c>
      <c r="E1206" s="1">
        <f>IFERROR(IF(AND(LEN(C1206)=10,MID(C1206,5,1)="-",MID(C1206,8,1)="-"),VALUE(MID(C1206,6,2)),IF(AND(LEN(C1206)=11,MID(C1206,3,1)="-",MID(C1206,7,1)="-"),MATCH(UPPER(MID(C1206,4,3)),Guide!$D$7:$D$18,0),0)),0)</f>
        <v>2</v>
      </c>
      <c r="F1206" s="1">
        <f t="shared" si="145"/>
        <v>23</v>
      </c>
      <c r="G1206" s="9">
        <f t="shared" si="146"/>
        <v>46076</v>
      </c>
      <c r="H1206" s="1" t="str">
        <f>IF(Raw!D1206="","",Raw!D1206)</f>
        <v>P-O</v>
      </c>
      <c r="I1206" s="1" t="str">
        <f>IFERROR(IF(EXACT(H1206,INDEX(Guide!$A$7:$A$9,MATCH(SUBSTITUTE(SUBSTITUTE(SUBSTITUTE(H1206,"~","~~"),"*","~*"),"?","~?"),Guide!$A$7:$A$9,0))),INDEX(Guide!$B$7:$B$9,MATCH(SUBSTITUTE(SUBSTITUTE(SUBSTITUTE(H1206,"~","~~"),"*","~*"),"?","~?"),Guide!$A$7:$A$9,0)),""),"")</f>
        <v>Office</v>
      </c>
      <c r="J1206" s="1" t="str">
        <f>IF(TRIM(Raw!E1206)="",I1206,IF(UPPER(TRIM(Raw!E1206))=UPPER(I1206),I1206,""))</f>
        <v>Office</v>
      </c>
      <c r="K1206" s="1" t="str">
        <f>IF(Raw!F1206="","",Raw!F1206)</f>
        <v>sale</v>
      </c>
      <c r="L1206" s="1" t="str">
        <f>IF(LEFT(TRIM(Raw!G1206),2)="-$","-"&amp;MID(TRIM(Raw!G1206),3,99),IF(LEFT(TRIM(Raw!G1206),1)="$",MID(TRIM(Raw!G1206),2,99),TRIM(Raw!G1206)))</f>
        <v>354.48</v>
      </c>
      <c r="M1206" s="1">
        <f t="shared" si="147"/>
        <v>354.48</v>
      </c>
      <c r="N1206" s="10">
        <f t="shared" si="148"/>
        <v>35448</v>
      </c>
      <c r="O1206" s="1" t="b">
        <f>IFERROR(IF(ISNUMBER(Raw!G1206),TRUE,OR(EXACT(L1206,TEXT(M1206,"0.00")),EXACT(L1206,TEXT(M1206,"#,##0.00")))),FALSE)</f>
        <v>1</v>
      </c>
      <c r="P1206" s="1" t="str">
        <f>LEN(IF(Raw!A1206="","",Raw!A1206))&amp;":"&amp;IF(Raw!A1206="","",Raw!A1206)&amp;"|"&amp;LEN(IF(Raw!B1206="","",Raw!B1206))&amp;":"&amp;IF(Raw!B1206="","",Raw!B1206)&amp;"|"&amp;LEN(IF(Raw!C1206="","",Raw!C1206))&amp;":"&amp;IF(Raw!C1206="","",Raw!C1206)&amp;"|"&amp;LEN(IF(Raw!D1206="","",Raw!D1206))&amp;":"&amp;IF(Raw!D1206="","",Raw!D1206)&amp;"|"&amp;LEN(IF(Raw!E1206="","",Raw!E1206))&amp;":"&amp;IF(Raw!E1206="","",Raw!E1206)&amp;"|"&amp;LEN(IF(Raw!F1206="","",Raw!F1206))&amp;":"&amp;IF(Raw!F1206="","",Raw!F1206)&amp;"|"&amp;LEN(IF(Raw!G1206="","",Raw!G1206))&amp;":"&amp;IF(Raw!G1206="","",Raw!G1206)</f>
        <v>6:L01200|6:T00600|10:2026-02-23|3:P-O|6:Office|4:sale|6:354.48</v>
      </c>
      <c r="Q1206" s="1">
        <f>1</f>
        <v>1</v>
      </c>
      <c r="R1206" s="1" t="b">
        <f>FALSE</f>
        <v>0</v>
      </c>
      <c r="S1206" s="1">
        <f>1</f>
        <v>1</v>
      </c>
      <c r="T1206" s="1" t="str">
        <f>IF(AND(Raw!A1206="",Raw!B1206="",Raw!C1206="",Raw!D1206="",Raw!E1206="",Raw!F1206="",Raw!G1206=""),"UNUSED",IF(A1206="","missing line ID",IF(B1206="","missing transaction ID",IF(G1206="",IF(C1206="","missing date","invalid date"),IF(I1206="","unknown product",IF(J1206="","conflicting category",IF(NOT(OR(EXACT(K1206,"sale"),EXACT(K1206,"refund"))),"unknown event",IF(OR(N1206="",NOT(O1206)),"invalid amount",IF(OR(AND(K1206="sale",N1206&lt;=0),AND(K1206="refund",N1206&gt;=0)),"invalid sign","")))))))))</f>
        <v/>
      </c>
      <c r="U1206" s="1" t="str">
        <f t="shared" si="149"/>
        <v>INCLUDED</v>
      </c>
      <c r="V1206" s="1" t="str">
        <f t="shared" si="150"/>
        <v>2026-02</v>
      </c>
      <c r="W1206" s="1">
        <f>IF(AND(U1206="INCLUDED",X1206&gt;0,EXACT(A1206,'AI output'!A1206)),1,0)</f>
        <v>1</v>
      </c>
      <c r="X1206" s="1">
        <f>1206</f>
        <v>1206</v>
      </c>
      <c r="Y1206" s="1">
        <f>IF(AND(U1206="INCLUDED",W1206=1),--(NOT(EXACT(A1206,'AI output'!A1206)))+--(NOT(EXACT(B1206,'AI output'!B1206)))+--(NOT(EXACT(TEXT(G1206,"yyyy-mm-dd"),'AI output'!C1206)))+--(NOT(EXACT(H1206,'AI output'!D1206)))+--(NOT(EXACT(J1206,'AI output'!E1206)))+--(NOT(EXACT(K1206,'AI output'!F1206)))+--(N1206&lt;&gt;'AI output'!L1206)+--(NOT('AI output'!M1206)),0)</f>
        <v>0</v>
      </c>
      <c r="Z1206" s="1">
        <f t="shared" si="151"/>
        <v>0</v>
      </c>
      <c r="AA1206" s="1">
        <f>--EXACT(A1206,"L01200")</f>
        <v>1</v>
      </c>
    </row>
    <row r="1207" spans="1:27" ht="18.95" customHeight="1">
      <c r="A1207" s="1" t="str">
        <f>IF(Raw!A1207="","",Raw!A1207)</f>
        <v>L01201</v>
      </c>
      <c r="B1207" s="1" t="str">
        <f>IF(Raw!B1207="","",Raw!B1207)</f>
        <v>T00601</v>
      </c>
      <c r="C1207" s="1" t="str">
        <f>IF(Raw!C1207="","",Raw!C1207)</f>
        <v>2026-03-02</v>
      </c>
      <c r="D1207" s="1">
        <f t="shared" si="144"/>
        <v>2026</v>
      </c>
      <c r="E1207" s="1">
        <f>IFERROR(IF(AND(LEN(C1207)=10,MID(C1207,5,1)="-",MID(C1207,8,1)="-"),VALUE(MID(C1207,6,2)),IF(AND(LEN(C1207)=11,MID(C1207,3,1)="-",MID(C1207,7,1)="-"),MATCH(UPPER(MID(C1207,4,3)),Guide!$D$7:$D$18,0),0)),0)</f>
        <v>3</v>
      </c>
      <c r="F1207" s="1">
        <f t="shared" si="145"/>
        <v>2</v>
      </c>
      <c r="G1207" s="9">
        <f t="shared" si="146"/>
        <v>46083</v>
      </c>
      <c r="H1207" s="1" t="str">
        <f>IF(Raw!D1207="","",Raw!D1207)</f>
        <v>P-A</v>
      </c>
      <c r="I1207" s="1" t="str">
        <f>IFERROR(IF(EXACT(H1207,INDEX(Guide!$A$7:$A$9,MATCH(SUBSTITUTE(SUBSTITUTE(SUBSTITUTE(H1207,"~","~~"),"*","~*"),"?","~?"),Guide!$A$7:$A$9,0))),INDEX(Guide!$B$7:$B$9,MATCH(SUBSTITUTE(SUBSTITUTE(SUBSTITUTE(H1207,"~","~~"),"*","~*"),"?","~?"),Guide!$A$7:$A$9,0)),""),"")</f>
        <v>Accessories</v>
      </c>
      <c r="J1207" s="1" t="str">
        <f>IF(TRIM(Raw!E1207)="",I1207,IF(UPPER(TRIM(Raw!E1207))=UPPER(I1207),I1207,""))</f>
        <v>Accessories</v>
      </c>
      <c r="K1207" s="1" t="str">
        <f>IF(Raw!F1207="","",Raw!F1207)</f>
        <v>sale</v>
      </c>
      <c r="L1207" s="1" t="str">
        <f>IF(LEFT(TRIM(Raw!G1207),2)="-$","-"&amp;MID(TRIM(Raw!G1207),3,99),IF(LEFT(TRIM(Raw!G1207),1)="$",MID(TRIM(Raw!G1207),2,99),TRIM(Raw!G1207)))</f>
        <v>88.99</v>
      </c>
      <c r="M1207" s="1">
        <f t="shared" si="147"/>
        <v>88.99</v>
      </c>
      <c r="N1207" s="10">
        <f t="shared" si="148"/>
        <v>8899</v>
      </c>
      <c r="O1207" s="1" t="b">
        <f>IFERROR(IF(ISNUMBER(Raw!G1207),TRUE,OR(EXACT(L1207,TEXT(M1207,"0.00")),EXACT(L1207,TEXT(M1207,"#,##0.00")))),FALSE)</f>
        <v>1</v>
      </c>
      <c r="P1207" s="1" t="str">
        <f>LEN(IF(Raw!A1207="","",Raw!A1207))&amp;":"&amp;IF(Raw!A1207="","",Raw!A1207)&amp;"|"&amp;LEN(IF(Raw!B1207="","",Raw!B1207))&amp;":"&amp;IF(Raw!B1207="","",Raw!B1207)&amp;"|"&amp;LEN(IF(Raw!C1207="","",Raw!C1207))&amp;":"&amp;IF(Raw!C1207="","",Raw!C1207)&amp;"|"&amp;LEN(IF(Raw!D1207="","",Raw!D1207))&amp;":"&amp;IF(Raw!D1207="","",Raw!D1207)&amp;"|"&amp;LEN(IF(Raw!E1207="","",Raw!E1207))&amp;":"&amp;IF(Raw!E1207="","",Raw!E1207)&amp;"|"&amp;LEN(IF(Raw!F1207="","",Raw!F1207))&amp;":"&amp;IF(Raw!F1207="","",Raw!F1207)&amp;"|"&amp;LEN(IF(Raw!G1207="","",Raw!G1207))&amp;":"&amp;IF(Raw!G1207="","",Raw!G1207)</f>
        <v>6:L01201|6:T00601|10:2026-03-02|3:P-A|11:Accessories|4:sale|5:88.99</v>
      </c>
      <c r="Q1207" s="1">
        <f>1</f>
        <v>1</v>
      </c>
      <c r="R1207" s="1" t="b">
        <f>FALSE</f>
        <v>0</v>
      </c>
      <c r="S1207" s="1">
        <f>1</f>
        <v>1</v>
      </c>
      <c r="T1207" s="1" t="str">
        <f>IF(AND(Raw!A1207="",Raw!B1207="",Raw!C1207="",Raw!D1207="",Raw!E1207="",Raw!F1207="",Raw!G1207=""),"UNUSED",IF(A1207="","missing line ID",IF(B1207="","missing transaction ID",IF(G1207="",IF(C1207="","missing date","invalid date"),IF(I1207="","unknown product",IF(J1207="","conflicting category",IF(NOT(OR(EXACT(K1207,"sale"),EXACT(K1207,"refund"))),"unknown event",IF(OR(N1207="",NOT(O1207)),"invalid amount",IF(OR(AND(K1207="sale",N1207&lt;=0),AND(K1207="refund",N1207&gt;=0)),"invalid sign","")))))))))</f>
        <v/>
      </c>
      <c r="U1207" s="1" t="str">
        <f t="shared" si="149"/>
        <v>INCLUDED</v>
      </c>
      <c r="V1207" s="1" t="str">
        <f t="shared" si="150"/>
        <v>2026-03</v>
      </c>
      <c r="W1207" s="1">
        <f>IF(AND(U1207="INCLUDED",X1207&gt;0,EXACT(A1207,'AI output'!A1207)),1,0)</f>
        <v>1</v>
      </c>
      <c r="X1207" s="1">
        <f>1207</f>
        <v>1207</v>
      </c>
      <c r="Y1207" s="1">
        <f>IF(AND(U1207="INCLUDED",W1207=1),--(NOT(EXACT(A1207,'AI output'!A1207)))+--(NOT(EXACT(B1207,'AI output'!B1207)))+--(NOT(EXACT(TEXT(G1207,"yyyy-mm-dd"),'AI output'!C1207)))+--(NOT(EXACT(H1207,'AI output'!D1207)))+--(NOT(EXACT(J1207,'AI output'!E1207)))+--(NOT(EXACT(K1207,'AI output'!F1207)))+--(N1207&lt;&gt;'AI output'!L1207)+--(NOT('AI output'!M1207)),0)</f>
        <v>0</v>
      </c>
      <c r="Z1207" s="1">
        <f t="shared" si="151"/>
        <v>0</v>
      </c>
      <c r="AA1207" s="1">
        <f>--EXACT(A1207,"L01201")</f>
        <v>1</v>
      </c>
    </row>
    <row r="1208" spans="1:27" ht="18.95" customHeight="1">
      <c r="A1208" s="1" t="str">
        <f>IF(Raw!A1208="","",Raw!A1208)</f>
        <v>L01202</v>
      </c>
      <c r="B1208" s="1" t="str">
        <f>IF(Raw!B1208="","",Raw!B1208)</f>
        <v>T00601</v>
      </c>
      <c r="C1208" s="1" t="str">
        <f>IF(Raw!C1208="","",Raw!C1208)</f>
        <v>2026-03-02</v>
      </c>
      <c r="D1208" s="1">
        <f t="shared" si="144"/>
        <v>2026</v>
      </c>
      <c r="E1208" s="1">
        <f>IFERROR(IF(AND(LEN(C1208)=10,MID(C1208,5,1)="-",MID(C1208,8,1)="-"),VALUE(MID(C1208,6,2)),IF(AND(LEN(C1208)=11,MID(C1208,3,1)="-",MID(C1208,7,1)="-"),MATCH(UPPER(MID(C1208,4,3)),Guide!$D$7:$D$18,0),0)),0)</f>
        <v>3</v>
      </c>
      <c r="F1208" s="1">
        <f t="shared" si="145"/>
        <v>2</v>
      </c>
      <c r="G1208" s="9">
        <f t="shared" si="146"/>
        <v>46083</v>
      </c>
      <c r="H1208" s="1" t="str">
        <f>IF(Raw!D1208="","",Raw!D1208)</f>
        <v>P-H</v>
      </c>
      <c r="I1208" s="1" t="str">
        <f>IFERROR(IF(EXACT(H1208,INDEX(Guide!$A$7:$A$9,MATCH(SUBSTITUTE(SUBSTITUTE(SUBSTITUTE(H1208,"~","~~"),"*","~*"),"?","~?"),Guide!$A$7:$A$9,0))),INDEX(Guide!$B$7:$B$9,MATCH(SUBSTITUTE(SUBSTITUTE(SUBSTITUTE(H1208,"~","~~"),"*","~*"),"?","~?"),Guide!$A$7:$A$9,0)),""),"")</f>
        <v>Home</v>
      </c>
      <c r="J1208" s="1" t="str">
        <f>IF(TRIM(Raw!E1208)="",I1208,IF(UPPER(TRIM(Raw!E1208))=UPPER(I1208),I1208,""))</f>
        <v>Home</v>
      </c>
      <c r="K1208" s="1" t="str">
        <f>IF(Raw!F1208="","",Raw!F1208)</f>
        <v>sale</v>
      </c>
      <c r="L1208" s="1" t="str">
        <f>IF(LEFT(TRIM(Raw!G1208),2)="-$","-"&amp;MID(TRIM(Raw!G1208),3,99),IF(LEFT(TRIM(Raw!G1208),1)="$",MID(TRIM(Raw!G1208),2,99),TRIM(Raw!G1208)))</f>
        <v>268.08</v>
      </c>
      <c r="M1208" s="1">
        <f t="shared" si="147"/>
        <v>268.08</v>
      </c>
      <c r="N1208" s="10">
        <f t="shared" si="148"/>
        <v>26808</v>
      </c>
      <c r="O1208" s="1" t="b">
        <f>IFERROR(IF(ISNUMBER(Raw!G1208),TRUE,OR(EXACT(L1208,TEXT(M1208,"0.00")),EXACT(L1208,TEXT(M1208,"#,##0.00")))),FALSE)</f>
        <v>1</v>
      </c>
      <c r="P1208" s="1" t="str">
        <f>LEN(IF(Raw!A1208="","",Raw!A1208))&amp;":"&amp;IF(Raw!A1208="","",Raw!A1208)&amp;"|"&amp;LEN(IF(Raw!B1208="","",Raw!B1208))&amp;":"&amp;IF(Raw!B1208="","",Raw!B1208)&amp;"|"&amp;LEN(IF(Raw!C1208="","",Raw!C1208))&amp;":"&amp;IF(Raw!C1208="","",Raw!C1208)&amp;"|"&amp;LEN(IF(Raw!D1208="","",Raw!D1208))&amp;":"&amp;IF(Raw!D1208="","",Raw!D1208)&amp;"|"&amp;LEN(IF(Raw!E1208="","",Raw!E1208))&amp;":"&amp;IF(Raw!E1208="","",Raw!E1208)&amp;"|"&amp;LEN(IF(Raw!F1208="","",Raw!F1208))&amp;":"&amp;IF(Raw!F1208="","",Raw!F1208)&amp;"|"&amp;LEN(IF(Raw!G1208="","",Raw!G1208))&amp;":"&amp;IF(Raw!G1208="","",Raw!G1208)</f>
        <v>6:L01202|6:T00601|10:2026-03-02|3:P-H|4:Home|4:sale|6:268.08</v>
      </c>
      <c r="Q1208" s="1">
        <f>1</f>
        <v>1</v>
      </c>
      <c r="R1208" s="1" t="b">
        <f>FALSE</f>
        <v>0</v>
      </c>
      <c r="S1208" s="1">
        <f>1</f>
        <v>1</v>
      </c>
      <c r="T1208" s="1" t="str">
        <f>IF(AND(Raw!A1208="",Raw!B1208="",Raw!C1208="",Raw!D1208="",Raw!E1208="",Raw!F1208="",Raw!G1208=""),"UNUSED",IF(A1208="","missing line ID",IF(B1208="","missing transaction ID",IF(G1208="",IF(C1208="","missing date","invalid date"),IF(I1208="","unknown product",IF(J1208="","conflicting category",IF(NOT(OR(EXACT(K1208,"sale"),EXACT(K1208,"refund"))),"unknown event",IF(OR(N1208="",NOT(O1208)),"invalid amount",IF(OR(AND(K1208="sale",N1208&lt;=0),AND(K1208="refund",N1208&gt;=0)),"invalid sign","")))))))))</f>
        <v/>
      </c>
      <c r="U1208" s="1" t="str">
        <f t="shared" si="149"/>
        <v>INCLUDED</v>
      </c>
      <c r="V1208" s="1" t="str">
        <f t="shared" si="150"/>
        <v>2026-03</v>
      </c>
      <c r="W1208" s="1">
        <f>IF(AND(U1208="INCLUDED",X1208&gt;0,EXACT(A1208,'AI output'!A1208)),1,0)</f>
        <v>1</v>
      </c>
      <c r="X1208" s="1">
        <f>1208</f>
        <v>1208</v>
      </c>
      <c r="Y1208" s="1">
        <f>IF(AND(U1208="INCLUDED",W1208=1),--(NOT(EXACT(A1208,'AI output'!A1208)))+--(NOT(EXACT(B1208,'AI output'!B1208)))+--(NOT(EXACT(TEXT(G1208,"yyyy-mm-dd"),'AI output'!C1208)))+--(NOT(EXACT(H1208,'AI output'!D1208)))+--(NOT(EXACT(J1208,'AI output'!E1208)))+--(NOT(EXACT(K1208,'AI output'!F1208)))+--(N1208&lt;&gt;'AI output'!L1208)+--(NOT('AI output'!M1208)),0)</f>
        <v>0</v>
      </c>
      <c r="Z1208" s="1">
        <f t="shared" si="151"/>
        <v>0</v>
      </c>
      <c r="AA1208" s="1">
        <f>--EXACT(A1208,"L01202")</f>
        <v>1</v>
      </c>
    </row>
    <row r="1209" spans="1:27" ht="18.95" customHeight="1">
      <c r="A1209" s="1" t="str">
        <f>IF(Raw!A1209="","",Raw!A1209)</f>
        <v>L01203</v>
      </c>
      <c r="B1209" s="1" t="str">
        <f>IF(Raw!B1209="","",Raw!B1209)</f>
        <v>T00602</v>
      </c>
      <c r="C1209" s="1" t="str">
        <f>IF(Raw!C1209="","",Raw!C1209)</f>
        <v>2026-03-09</v>
      </c>
      <c r="D1209" s="1">
        <f t="shared" si="144"/>
        <v>2026</v>
      </c>
      <c r="E1209" s="1">
        <f>IFERROR(IF(AND(LEN(C1209)=10,MID(C1209,5,1)="-",MID(C1209,8,1)="-"),VALUE(MID(C1209,6,2)),IF(AND(LEN(C1209)=11,MID(C1209,3,1)="-",MID(C1209,7,1)="-"),MATCH(UPPER(MID(C1209,4,3)),Guide!$D$7:$D$18,0),0)),0)</f>
        <v>3</v>
      </c>
      <c r="F1209" s="1">
        <f t="shared" si="145"/>
        <v>9</v>
      </c>
      <c r="G1209" s="9">
        <f t="shared" si="146"/>
        <v>46090</v>
      </c>
      <c r="H1209" s="1" t="str">
        <f>IF(Raw!D1209="","",Raw!D1209)</f>
        <v>P-O</v>
      </c>
      <c r="I1209" s="1" t="str">
        <f>IFERROR(IF(EXACT(H1209,INDEX(Guide!$A$7:$A$9,MATCH(SUBSTITUTE(SUBSTITUTE(SUBSTITUTE(H1209,"~","~~"),"*","~*"),"?","~?"),Guide!$A$7:$A$9,0))),INDEX(Guide!$B$7:$B$9,MATCH(SUBSTITUTE(SUBSTITUTE(SUBSTITUTE(H1209,"~","~~"),"*","~*"),"?","~?"),Guide!$A$7:$A$9,0)),""),"")</f>
        <v>Office</v>
      </c>
      <c r="J1209" s="1" t="str">
        <f>IF(TRIM(Raw!E1209)="",I1209,IF(UPPER(TRIM(Raw!E1209))=UPPER(I1209),I1209,""))</f>
        <v>Office</v>
      </c>
      <c r="K1209" s="1" t="str">
        <f>IF(Raw!F1209="","",Raw!F1209)</f>
        <v>sale</v>
      </c>
      <c r="L1209" s="1" t="str">
        <f>IF(LEFT(TRIM(Raw!G1209),2)="-$","-"&amp;MID(TRIM(Raw!G1209),3,99),IF(LEFT(TRIM(Raw!G1209),1)="$",MID(TRIM(Raw!G1209),2,99),TRIM(Raw!G1209)))</f>
        <v>448.65</v>
      </c>
      <c r="M1209" s="1">
        <f t="shared" si="147"/>
        <v>448.65</v>
      </c>
      <c r="N1209" s="10">
        <f t="shared" si="148"/>
        <v>44865</v>
      </c>
      <c r="O1209" s="1" t="b">
        <f>IFERROR(IF(ISNUMBER(Raw!G1209),TRUE,OR(EXACT(L1209,TEXT(M1209,"0.00")),EXACT(L1209,TEXT(M1209,"#,##0.00")))),FALSE)</f>
        <v>1</v>
      </c>
      <c r="P1209" s="1" t="str">
        <f>LEN(IF(Raw!A1209="","",Raw!A1209))&amp;":"&amp;IF(Raw!A1209="","",Raw!A1209)&amp;"|"&amp;LEN(IF(Raw!B1209="","",Raw!B1209))&amp;":"&amp;IF(Raw!B1209="","",Raw!B1209)&amp;"|"&amp;LEN(IF(Raw!C1209="","",Raw!C1209))&amp;":"&amp;IF(Raw!C1209="","",Raw!C1209)&amp;"|"&amp;LEN(IF(Raw!D1209="","",Raw!D1209))&amp;":"&amp;IF(Raw!D1209="","",Raw!D1209)&amp;"|"&amp;LEN(IF(Raw!E1209="","",Raw!E1209))&amp;":"&amp;IF(Raw!E1209="","",Raw!E1209)&amp;"|"&amp;LEN(IF(Raw!F1209="","",Raw!F1209))&amp;":"&amp;IF(Raw!F1209="","",Raw!F1209)&amp;"|"&amp;LEN(IF(Raw!G1209="","",Raw!G1209))&amp;":"&amp;IF(Raw!G1209="","",Raw!G1209)</f>
        <v>6:L01203|6:T00602|10:2026-03-09|3:P-O|6:Office|4:sale|6:448.65</v>
      </c>
      <c r="Q1209" s="1">
        <f>1</f>
        <v>1</v>
      </c>
      <c r="R1209" s="1" t="b">
        <f>FALSE</f>
        <v>0</v>
      </c>
      <c r="S1209" s="1">
        <f>1</f>
        <v>1</v>
      </c>
      <c r="T1209" s="1" t="str">
        <f>IF(AND(Raw!A1209="",Raw!B1209="",Raw!C1209="",Raw!D1209="",Raw!E1209="",Raw!F1209="",Raw!G1209=""),"UNUSED",IF(A1209="","missing line ID",IF(B1209="","missing transaction ID",IF(G1209="",IF(C1209="","missing date","invalid date"),IF(I1209="","unknown product",IF(J1209="","conflicting category",IF(NOT(OR(EXACT(K1209,"sale"),EXACT(K1209,"refund"))),"unknown event",IF(OR(N1209="",NOT(O1209)),"invalid amount",IF(OR(AND(K1209="sale",N1209&lt;=0),AND(K1209="refund",N1209&gt;=0)),"invalid sign","")))))))))</f>
        <v/>
      </c>
      <c r="U1209" s="1" t="str">
        <f t="shared" si="149"/>
        <v>INCLUDED</v>
      </c>
      <c r="V1209" s="1" t="str">
        <f t="shared" si="150"/>
        <v>2026-03</v>
      </c>
      <c r="W1209" s="1">
        <f>IF(AND(U1209="INCLUDED",X1209&gt;0,EXACT(A1209,'AI output'!A1209)),1,0)</f>
        <v>1</v>
      </c>
      <c r="X1209" s="1">
        <f>1209</f>
        <v>1209</v>
      </c>
      <c r="Y1209" s="1">
        <f>IF(AND(U1209="INCLUDED",W1209=1),--(NOT(EXACT(A1209,'AI output'!A1209)))+--(NOT(EXACT(B1209,'AI output'!B1209)))+--(NOT(EXACT(TEXT(G1209,"yyyy-mm-dd"),'AI output'!C1209)))+--(NOT(EXACT(H1209,'AI output'!D1209)))+--(NOT(EXACT(J1209,'AI output'!E1209)))+--(NOT(EXACT(K1209,'AI output'!F1209)))+--(N1209&lt;&gt;'AI output'!L1209)+--(NOT('AI output'!M1209)),0)</f>
        <v>0</v>
      </c>
      <c r="Z1209" s="1">
        <f t="shared" si="151"/>
        <v>0</v>
      </c>
      <c r="AA1209" s="1">
        <f>--EXACT(A1209,"L01203")</f>
        <v>1</v>
      </c>
    </row>
    <row r="1210" spans="1:27" ht="18.95" customHeight="1">
      <c r="A1210" s="1" t="str">
        <f>IF(Raw!A1210="","",Raw!A1210)</f>
        <v>L01204</v>
      </c>
      <c r="B1210" s="1" t="str">
        <f>IF(Raw!B1210="","",Raw!B1210)</f>
        <v>T00602</v>
      </c>
      <c r="C1210" s="1" t="str">
        <f>IF(Raw!C1210="","",Raw!C1210)</f>
        <v>2026-03-09</v>
      </c>
      <c r="D1210" s="1">
        <f t="shared" si="144"/>
        <v>2026</v>
      </c>
      <c r="E1210" s="1">
        <f>IFERROR(IF(AND(LEN(C1210)=10,MID(C1210,5,1)="-",MID(C1210,8,1)="-"),VALUE(MID(C1210,6,2)),IF(AND(LEN(C1210)=11,MID(C1210,3,1)="-",MID(C1210,7,1)="-"),MATCH(UPPER(MID(C1210,4,3)),Guide!$D$7:$D$18,0),0)),0)</f>
        <v>3</v>
      </c>
      <c r="F1210" s="1">
        <f t="shared" si="145"/>
        <v>9</v>
      </c>
      <c r="G1210" s="9">
        <f t="shared" si="146"/>
        <v>46090</v>
      </c>
      <c r="H1210" s="1" t="str">
        <f>IF(Raw!D1210="","",Raw!D1210)</f>
        <v>P-A</v>
      </c>
      <c r="I1210" s="1" t="str">
        <f>IFERROR(IF(EXACT(H1210,INDEX(Guide!$A$7:$A$9,MATCH(SUBSTITUTE(SUBSTITUTE(SUBSTITUTE(H1210,"~","~~"),"*","~*"),"?","~?"),Guide!$A$7:$A$9,0))),INDEX(Guide!$B$7:$B$9,MATCH(SUBSTITUTE(SUBSTITUTE(SUBSTITUTE(H1210,"~","~~"),"*","~*"),"?","~?"),Guide!$A$7:$A$9,0)),""),"")</f>
        <v>Accessories</v>
      </c>
      <c r="J1210" s="1" t="str">
        <f>IF(TRIM(Raw!E1210)="",I1210,IF(UPPER(TRIM(Raw!E1210))=UPPER(I1210),I1210,""))</f>
        <v>Accessories</v>
      </c>
      <c r="K1210" s="1" t="str">
        <f>IF(Raw!F1210="","",Raw!F1210)</f>
        <v>sale</v>
      </c>
      <c r="L1210" s="1" t="str">
        <f>IF(LEFT(TRIM(Raw!G1210),2)="-$","-"&amp;MID(TRIM(Raw!G1210),3,99),IF(LEFT(TRIM(Raw!G1210),1)="$",MID(TRIM(Raw!G1210),2,99),TRIM(Raw!G1210)))</f>
        <v>180.20</v>
      </c>
      <c r="M1210" s="1">
        <f t="shared" si="147"/>
        <v>180.2</v>
      </c>
      <c r="N1210" s="10">
        <f t="shared" si="148"/>
        <v>18020</v>
      </c>
      <c r="O1210" s="1" t="b">
        <f>IFERROR(IF(ISNUMBER(Raw!G1210),TRUE,OR(EXACT(L1210,TEXT(M1210,"0.00")),EXACT(L1210,TEXT(M1210,"#,##0.00")))),FALSE)</f>
        <v>1</v>
      </c>
      <c r="P1210" s="1" t="str">
        <f>LEN(IF(Raw!A1210="","",Raw!A1210))&amp;":"&amp;IF(Raw!A1210="","",Raw!A1210)&amp;"|"&amp;LEN(IF(Raw!B1210="","",Raw!B1210))&amp;":"&amp;IF(Raw!B1210="","",Raw!B1210)&amp;"|"&amp;LEN(IF(Raw!C1210="","",Raw!C1210))&amp;":"&amp;IF(Raw!C1210="","",Raw!C1210)&amp;"|"&amp;LEN(IF(Raw!D1210="","",Raw!D1210))&amp;":"&amp;IF(Raw!D1210="","",Raw!D1210)&amp;"|"&amp;LEN(IF(Raw!E1210="","",Raw!E1210))&amp;":"&amp;IF(Raw!E1210="","",Raw!E1210)&amp;"|"&amp;LEN(IF(Raw!F1210="","",Raw!F1210))&amp;":"&amp;IF(Raw!F1210="","",Raw!F1210)&amp;"|"&amp;LEN(IF(Raw!G1210="","",Raw!G1210))&amp;":"&amp;IF(Raw!G1210="","",Raw!G1210)</f>
        <v>6:L01204|6:T00602|10:2026-03-09|3:P-A|11:Accessories|4:sale|6:180.20</v>
      </c>
      <c r="Q1210" s="1">
        <f>1</f>
        <v>1</v>
      </c>
      <c r="R1210" s="1" t="b">
        <f>FALSE</f>
        <v>0</v>
      </c>
      <c r="S1210" s="1">
        <f>1</f>
        <v>1</v>
      </c>
      <c r="T1210" s="1" t="str">
        <f>IF(AND(Raw!A1210="",Raw!B1210="",Raw!C1210="",Raw!D1210="",Raw!E1210="",Raw!F1210="",Raw!G1210=""),"UNUSED",IF(A1210="","missing line ID",IF(B1210="","missing transaction ID",IF(G1210="",IF(C1210="","missing date","invalid date"),IF(I1210="","unknown product",IF(J1210="","conflicting category",IF(NOT(OR(EXACT(K1210,"sale"),EXACT(K1210,"refund"))),"unknown event",IF(OR(N1210="",NOT(O1210)),"invalid amount",IF(OR(AND(K1210="sale",N1210&lt;=0),AND(K1210="refund",N1210&gt;=0)),"invalid sign","")))))))))</f>
        <v/>
      </c>
      <c r="U1210" s="1" t="str">
        <f t="shared" si="149"/>
        <v>INCLUDED</v>
      </c>
      <c r="V1210" s="1" t="str">
        <f t="shared" si="150"/>
        <v>2026-03</v>
      </c>
      <c r="W1210" s="1">
        <f>IF(AND(U1210="INCLUDED",X1210&gt;0,EXACT(A1210,'AI output'!A1210)),1,0)</f>
        <v>1</v>
      </c>
      <c r="X1210" s="1">
        <f>1210</f>
        <v>1210</v>
      </c>
      <c r="Y1210" s="1">
        <f>IF(AND(U1210="INCLUDED",W1210=1),--(NOT(EXACT(A1210,'AI output'!A1210)))+--(NOT(EXACT(B1210,'AI output'!B1210)))+--(NOT(EXACT(TEXT(G1210,"yyyy-mm-dd"),'AI output'!C1210)))+--(NOT(EXACT(H1210,'AI output'!D1210)))+--(NOT(EXACT(J1210,'AI output'!E1210)))+--(NOT(EXACT(K1210,'AI output'!F1210)))+--(N1210&lt;&gt;'AI output'!L1210)+--(NOT('AI output'!M1210)),0)</f>
        <v>0</v>
      </c>
      <c r="Z1210" s="1">
        <f t="shared" si="151"/>
        <v>0</v>
      </c>
      <c r="AA1210" s="1">
        <f>--EXACT(A1210,"L01204")</f>
        <v>1</v>
      </c>
    </row>
    <row r="1211" spans="1:27" ht="18.95" customHeight="1">
      <c r="A1211" s="1" t="str">
        <f>IF(Raw!A1211="","",Raw!A1211)</f>
        <v>L01205</v>
      </c>
      <c r="B1211" s="1" t="str">
        <f>IF(Raw!B1211="","",Raw!B1211)</f>
        <v>T00603</v>
      </c>
      <c r="C1211" s="1" t="str">
        <f>IF(Raw!C1211="","",Raw!C1211)</f>
        <v>2026-03-16</v>
      </c>
      <c r="D1211" s="1">
        <f t="shared" si="144"/>
        <v>2026</v>
      </c>
      <c r="E1211" s="1">
        <f>IFERROR(IF(AND(LEN(C1211)=10,MID(C1211,5,1)="-",MID(C1211,8,1)="-"),VALUE(MID(C1211,6,2)),IF(AND(LEN(C1211)=11,MID(C1211,3,1)="-",MID(C1211,7,1)="-"),MATCH(UPPER(MID(C1211,4,3)),Guide!$D$7:$D$18,0),0)),0)</f>
        <v>3</v>
      </c>
      <c r="F1211" s="1">
        <f t="shared" si="145"/>
        <v>16</v>
      </c>
      <c r="G1211" s="9">
        <f t="shared" si="146"/>
        <v>46097</v>
      </c>
      <c r="H1211" s="1" t="str">
        <f>IF(Raw!D1211="","",Raw!D1211)</f>
        <v>P-H</v>
      </c>
      <c r="I1211" s="1" t="str">
        <f>IFERROR(IF(EXACT(H1211,INDEX(Guide!$A$7:$A$9,MATCH(SUBSTITUTE(SUBSTITUTE(SUBSTITUTE(H1211,"~","~~"),"*","~*"),"?","~?"),Guide!$A$7:$A$9,0))),INDEX(Guide!$B$7:$B$9,MATCH(SUBSTITUTE(SUBSTITUTE(SUBSTITUTE(H1211,"~","~~"),"*","~*"),"?","~?"),Guide!$A$7:$A$9,0)),""),"")</f>
        <v>Home</v>
      </c>
      <c r="J1211" s="1" t="str">
        <f>IF(TRIM(Raw!E1211)="",I1211,IF(UPPER(TRIM(Raw!E1211))=UPPER(I1211),I1211,""))</f>
        <v>Home</v>
      </c>
      <c r="K1211" s="1" t="str">
        <f>IF(Raw!F1211="","",Raw!F1211)</f>
        <v>sale</v>
      </c>
      <c r="L1211" s="1" t="str">
        <f>IF(LEFT(TRIM(Raw!G1211),2)="-$","-"&amp;MID(TRIM(Raw!G1211),3,99),IF(LEFT(TRIM(Raw!G1211),1)="$",MID(TRIM(Raw!G1211),2,99),TRIM(Raw!G1211)))</f>
        <v>361.88</v>
      </c>
      <c r="M1211" s="1">
        <f t="shared" si="147"/>
        <v>361.88</v>
      </c>
      <c r="N1211" s="10">
        <f t="shared" si="148"/>
        <v>36188</v>
      </c>
      <c r="O1211" s="1" t="b">
        <f>IFERROR(IF(ISNUMBER(Raw!G1211),TRUE,OR(EXACT(L1211,TEXT(M1211,"0.00")),EXACT(L1211,TEXT(M1211,"#,##0.00")))),FALSE)</f>
        <v>1</v>
      </c>
      <c r="P1211" s="1" t="str">
        <f>LEN(IF(Raw!A1211="","",Raw!A1211))&amp;":"&amp;IF(Raw!A1211="","",Raw!A1211)&amp;"|"&amp;LEN(IF(Raw!B1211="","",Raw!B1211))&amp;":"&amp;IF(Raw!B1211="","",Raw!B1211)&amp;"|"&amp;LEN(IF(Raw!C1211="","",Raw!C1211))&amp;":"&amp;IF(Raw!C1211="","",Raw!C1211)&amp;"|"&amp;LEN(IF(Raw!D1211="","",Raw!D1211))&amp;":"&amp;IF(Raw!D1211="","",Raw!D1211)&amp;"|"&amp;LEN(IF(Raw!E1211="","",Raw!E1211))&amp;":"&amp;IF(Raw!E1211="","",Raw!E1211)&amp;"|"&amp;LEN(IF(Raw!F1211="","",Raw!F1211))&amp;":"&amp;IF(Raw!F1211="","",Raw!F1211)&amp;"|"&amp;LEN(IF(Raw!G1211="","",Raw!G1211))&amp;":"&amp;IF(Raw!G1211="","",Raw!G1211)</f>
        <v>6:L01205|6:T00603|10:2026-03-16|3:P-H|4:Home|4:sale|6:361.88</v>
      </c>
      <c r="Q1211" s="1">
        <f>1</f>
        <v>1</v>
      </c>
      <c r="R1211" s="1" t="b">
        <f>FALSE</f>
        <v>0</v>
      </c>
      <c r="S1211" s="1">
        <f>1</f>
        <v>1</v>
      </c>
      <c r="T1211" s="1" t="str">
        <f>IF(AND(Raw!A1211="",Raw!B1211="",Raw!C1211="",Raw!D1211="",Raw!E1211="",Raw!F1211="",Raw!G1211=""),"UNUSED",IF(A1211="","missing line ID",IF(B1211="","missing transaction ID",IF(G1211="",IF(C1211="","missing date","invalid date"),IF(I1211="","unknown product",IF(J1211="","conflicting category",IF(NOT(OR(EXACT(K1211,"sale"),EXACT(K1211,"refund"))),"unknown event",IF(OR(N1211="",NOT(O1211)),"invalid amount",IF(OR(AND(K1211="sale",N1211&lt;=0),AND(K1211="refund",N1211&gt;=0)),"invalid sign","")))))))))</f>
        <v/>
      </c>
      <c r="U1211" s="1" t="str">
        <f t="shared" si="149"/>
        <v>INCLUDED</v>
      </c>
      <c r="V1211" s="1" t="str">
        <f t="shared" si="150"/>
        <v>2026-03</v>
      </c>
      <c r="W1211" s="1">
        <f>IF(AND(U1211="INCLUDED",X1211&gt;0,EXACT(A1211,'AI output'!A1211)),1,0)</f>
        <v>1</v>
      </c>
      <c r="X1211" s="1">
        <f>1211</f>
        <v>1211</v>
      </c>
      <c r="Y1211" s="1">
        <f>IF(AND(U1211="INCLUDED",W1211=1),--(NOT(EXACT(A1211,'AI output'!A1211)))+--(NOT(EXACT(B1211,'AI output'!B1211)))+--(NOT(EXACT(TEXT(G1211,"yyyy-mm-dd"),'AI output'!C1211)))+--(NOT(EXACT(H1211,'AI output'!D1211)))+--(NOT(EXACT(J1211,'AI output'!E1211)))+--(NOT(EXACT(K1211,'AI output'!F1211)))+--(N1211&lt;&gt;'AI output'!L1211)+--(NOT('AI output'!M1211)),0)</f>
        <v>0</v>
      </c>
      <c r="Z1211" s="1">
        <f t="shared" si="151"/>
        <v>0</v>
      </c>
      <c r="AA1211" s="1">
        <f>--EXACT(A1211,"L01205")</f>
        <v>1</v>
      </c>
    </row>
    <row r="1212" spans="1:27" ht="18.95" customHeight="1">
      <c r="A1212" s="1" t="str">
        <f>IF(Raw!A1212="","",Raw!A1212)</f>
        <v>L01206</v>
      </c>
      <c r="B1212" s="1" t="str">
        <f>IF(Raw!B1212="","",Raw!B1212)</f>
        <v>T00603</v>
      </c>
      <c r="C1212" s="1" t="str">
        <f>IF(Raw!C1212="","",Raw!C1212)</f>
        <v>2026-03-16</v>
      </c>
      <c r="D1212" s="1">
        <f t="shared" si="144"/>
        <v>2026</v>
      </c>
      <c r="E1212" s="1">
        <f>IFERROR(IF(AND(LEN(C1212)=10,MID(C1212,5,1)="-",MID(C1212,8,1)="-"),VALUE(MID(C1212,6,2)),IF(AND(LEN(C1212)=11,MID(C1212,3,1)="-",MID(C1212,7,1)="-"),MATCH(UPPER(MID(C1212,4,3)),Guide!$D$7:$D$18,0),0)),0)</f>
        <v>3</v>
      </c>
      <c r="F1212" s="1">
        <f t="shared" si="145"/>
        <v>16</v>
      </c>
      <c r="G1212" s="9">
        <f t="shared" si="146"/>
        <v>46097</v>
      </c>
      <c r="H1212" s="1" t="str">
        <f>IF(Raw!D1212="","",Raw!D1212)</f>
        <v>P-O</v>
      </c>
      <c r="I1212" s="1" t="str">
        <f>IFERROR(IF(EXACT(H1212,INDEX(Guide!$A$7:$A$9,MATCH(SUBSTITUTE(SUBSTITUTE(SUBSTITUTE(H1212,"~","~~"),"*","~*"),"?","~?"),Guide!$A$7:$A$9,0))),INDEX(Guide!$B$7:$B$9,MATCH(SUBSTITUTE(SUBSTITUTE(SUBSTITUTE(H1212,"~","~~"),"*","~*"),"?","~?"),Guide!$A$7:$A$9,0)),""),"")</f>
        <v>Office</v>
      </c>
      <c r="J1212" s="1" t="str">
        <f>IF(TRIM(Raw!E1212)="",I1212,IF(UPPER(TRIM(Raw!E1212))=UPPER(I1212),I1212,""))</f>
        <v>Office</v>
      </c>
      <c r="K1212" s="1" t="str">
        <f>IF(Raw!F1212="","",Raw!F1212)</f>
        <v>sale</v>
      </c>
      <c r="L1212" s="1" t="str">
        <f>IF(LEFT(TRIM(Raw!G1212),2)="-$","-"&amp;MID(TRIM(Raw!G1212),3,99),IF(LEFT(TRIM(Raw!G1212),1)="$",MID(TRIM(Raw!G1212),2,99),TRIM(Raw!G1212)))</f>
        <v>90.84</v>
      </c>
      <c r="M1212" s="1">
        <f t="shared" si="147"/>
        <v>90.84</v>
      </c>
      <c r="N1212" s="10">
        <f t="shared" si="148"/>
        <v>9084</v>
      </c>
      <c r="O1212" s="1" t="b">
        <f>IFERROR(IF(ISNUMBER(Raw!G1212),TRUE,OR(EXACT(L1212,TEXT(M1212,"0.00")),EXACT(L1212,TEXT(M1212,"#,##0.00")))),FALSE)</f>
        <v>1</v>
      </c>
      <c r="P1212" s="1" t="str">
        <f>LEN(IF(Raw!A1212="","",Raw!A1212))&amp;":"&amp;IF(Raw!A1212="","",Raw!A1212)&amp;"|"&amp;LEN(IF(Raw!B1212="","",Raw!B1212))&amp;":"&amp;IF(Raw!B1212="","",Raw!B1212)&amp;"|"&amp;LEN(IF(Raw!C1212="","",Raw!C1212))&amp;":"&amp;IF(Raw!C1212="","",Raw!C1212)&amp;"|"&amp;LEN(IF(Raw!D1212="","",Raw!D1212))&amp;":"&amp;IF(Raw!D1212="","",Raw!D1212)&amp;"|"&amp;LEN(IF(Raw!E1212="","",Raw!E1212))&amp;":"&amp;IF(Raw!E1212="","",Raw!E1212)&amp;"|"&amp;LEN(IF(Raw!F1212="","",Raw!F1212))&amp;":"&amp;IF(Raw!F1212="","",Raw!F1212)&amp;"|"&amp;LEN(IF(Raw!G1212="","",Raw!G1212))&amp;":"&amp;IF(Raw!G1212="","",Raw!G1212)</f>
        <v>6:L01206|6:T00603|10:2026-03-16|3:P-O|6:Office|4:sale|5:90.84</v>
      </c>
      <c r="Q1212" s="1">
        <f>1</f>
        <v>1</v>
      </c>
      <c r="R1212" s="1" t="b">
        <f>FALSE</f>
        <v>0</v>
      </c>
      <c r="S1212" s="1">
        <f>1</f>
        <v>1</v>
      </c>
      <c r="T1212" s="1" t="str">
        <f>IF(AND(Raw!A1212="",Raw!B1212="",Raw!C1212="",Raw!D1212="",Raw!E1212="",Raw!F1212="",Raw!G1212=""),"UNUSED",IF(A1212="","missing line ID",IF(B1212="","missing transaction ID",IF(G1212="",IF(C1212="","missing date","invalid date"),IF(I1212="","unknown product",IF(J1212="","conflicting category",IF(NOT(OR(EXACT(K1212,"sale"),EXACT(K1212,"refund"))),"unknown event",IF(OR(N1212="",NOT(O1212)),"invalid amount",IF(OR(AND(K1212="sale",N1212&lt;=0),AND(K1212="refund",N1212&gt;=0)),"invalid sign","")))))))))</f>
        <v/>
      </c>
      <c r="U1212" s="1" t="str">
        <f t="shared" si="149"/>
        <v>INCLUDED</v>
      </c>
      <c r="V1212" s="1" t="str">
        <f t="shared" si="150"/>
        <v>2026-03</v>
      </c>
      <c r="W1212" s="1">
        <f>IF(AND(U1212="INCLUDED",X1212&gt;0,EXACT(A1212,'AI output'!A1212)),1,0)</f>
        <v>1</v>
      </c>
      <c r="X1212" s="1">
        <f>1212</f>
        <v>1212</v>
      </c>
      <c r="Y1212" s="1">
        <f>IF(AND(U1212="INCLUDED",W1212=1),--(NOT(EXACT(A1212,'AI output'!A1212)))+--(NOT(EXACT(B1212,'AI output'!B1212)))+--(NOT(EXACT(TEXT(G1212,"yyyy-mm-dd"),'AI output'!C1212)))+--(NOT(EXACT(H1212,'AI output'!D1212)))+--(NOT(EXACT(J1212,'AI output'!E1212)))+--(NOT(EXACT(K1212,'AI output'!F1212)))+--(N1212&lt;&gt;'AI output'!L1212)+--(NOT('AI output'!M1212)),0)</f>
        <v>0</v>
      </c>
      <c r="Z1212" s="1">
        <f t="shared" si="151"/>
        <v>0</v>
      </c>
      <c r="AA1212" s="1">
        <f>--EXACT(A1212,"L01206")</f>
        <v>1</v>
      </c>
    </row>
    <row r="1213" spans="1:27" ht="18.95" customHeight="1">
      <c r="A1213" s="1" t="str">
        <f>IF(Raw!A1213="","",Raw!A1213)</f>
        <v>L01207</v>
      </c>
      <c r="B1213" s="1" t="str">
        <f>IF(Raw!B1213="","",Raw!B1213)</f>
        <v>T00604</v>
      </c>
      <c r="C1213" s="1" t="str">
        <f>IF(Raw!C1213="","",Raw!C1213)</f>
        <v>2026-03-23</v>
      </c>
      <c r="D1213" s="1">
        <f t="shared" si="144"/>
        <v>2026</v>
      </c>
      <c r="E1213" s="1">
        <f>IFERROR(IF(AND(LEN(C1213)=10,MID(C1213,5,1)="-",MID(C1213,8,1)="-"),VALUE(MID(C1213,6,2)),IF(AND(LEN(C1213)=11,MID(C1213,3,1)="-",MID(C1213,7,1)="-"),MATCH(UPPER(MID(C1213,4,3)),Guide!$D$7:$D$18,0),0)),0)</f>
        <v>3</v>
      </c>
      <c r="F1213" s="1">
        <f t="shared" si="145"/>
        <v>23</v>
      </c>
      <c r="G1213" s="9">
        <f t="shared" si="146"/>
        <v>46104</v>
      </c>
      <c r="H1213" s="1" t="str">
        <f>IF(Raw!D1213="","",Raw!D1213)</f>
        <v>P-A</v>
      </c>
      <c r="I1213" s="1" t="str">
        <f>IFERROR(IF(EXACT(H1213,INDEX(Guide!$A$7:$A$9,MATCH(SUBSTITUTE(SUBSTITUTE(SUBSTITUTE(H1213,"~","~~"),"*","~*"),"?","~?"),Guide!$A$7:$A$9,0))),INDEX(Guide!$B$7:$B$9,MATCH(SUBSTITUTE(SUBSTITUTE(SUBSTITUTE(H1213,"~","~~"),"*","~*"),"?","~?"),Guide!$A$7:$A$9,0)),""),"")</f>
        <v>Accessories</v>
      </c>
      <c r="J1213" s="1" t="str">
        <f>IF(TRIM(Raw!E1213)="",I1213,IF(UPPER(TRIM(Raw!E1213))=UPPER(I1213),I1213,""))</f>
        <v>Accessories</v>
      </c>
      <c r="K1213" s="1" t="str">
        <f>IF(Raw!F1213="","",Raw!F1213)</f>
        <v>sale</v>
      </c>
      <c r="L1213" s="1" t="str">
        <f>IF(LEFT(TRIM(Raw!G1213),2)="-$","-"&amp;MID(TRIM(Raw!G1213),3,99),IF(LEFT(TRIM(Raw!G1213),1)="$",MID(TRIM(Raw!G1213),2,99),TRIM(Raw!G1213)))</f>
        <v>273.63</v>
      </c>
      <c r="M1213" s="1">
        <f t="shared" si="147"/>
        <v>273.63</v>
      </c>
      <c r="N1213" s="10">
        <f t="shared" si="148"/>
        <v>27363</v>
      </c>
      <c r="O1213" s="1" t="b">
        <f>IFERROR(IF(ISNUMBER(Raw!G1213),TRUE,OR(EXACT(L1213,TEXT(M1213,"0.00")),EXACT(L1213,TEXT(M1213,"#,##0.00")))),FALSE)</f>
        <v>1</v>
      </c>
      <c r="P1213" s="1" t="str">
        <f>LEN(IF(Raw!A1213="","",Raw!A1213))&amp;":"&amp;IF(Raw!A1213="","",Raw!A1213)&amp;"|"&amp;LEN(IF(Raw!B1213="","",Raw!B1213))&amp;":"&amp;IF(Raw!B1213="","",Raw!B1213)&amp;"|"&amp;LEN(IF(Raw!C1213="","",Raw!C1213))&amp;":"&amp;IF(Raw!C1213="","",Raw!C1213)&amp;"|"&amp;LEN(IF(Raw!D1213="","",Raw!D1213))&amp;":"&amp;IF(Raw!D1213="","",Raw!D1213)&amp;"|"&amp;LEN(IF(Raw!E1213="","",Raw!E1213))&amp;":"&amp;IF(Raw!E1213="","",Raw!E1213)&amp;"|"&amp;LEN(IF(Raw!F1213="","",Raw!F1213))&amp;":"&amp;IF(Raw!F1213="","",Raw!F1213)&amp;"|"&amp;LEN(IF(Raw!G1213="","",Raw!G1213))&amp;":"&amp;IF(Raw!G1213="","",Raw!G1213)</f>
        <v>6:L01207|6:T00604|10:2026-03-23|3:P-A|11:Accessories|4:sale|6:273.63</v>
      </c>
      <c r="Q1213" s="1">
        <f>1</f>
        <v>1</v>
      </c>
      <c r="R1213" s="1" t="b">
        <f>FALSE</f>
        <v>0</v>
      </c>
      <c r="S1213" s="1">
        <f>1</f>
        <v>1</v>
      </c>
      <c r="T1213" s="1" t="str">
        <f>IF(AND(Raw!A1213="",Raw!B1213="",Raw!C1213="",Raw!D1213="",Raw!E1213="",Raw!F1213="",Raw!G1213=""),"UNUSED",IF(A1213="","missing line ID",IF(B1213="","missing transaction ID",IF(G1213="",IF(C1213="","missing date","invalid date"),IF(I1213="","unknown product",IF(J1213="","conflicting category",IF(NOT(OR(EXACT(K1213,"sale"),EXACT(K1213,"refund"))),"unknown event",IF(OR(N1213="",NOT(O1213)),"invalid amount",IF(OR(AND(K1213="sale",N1213&lt;=0),AND(K1213="refund",N1213&gt;=0)),"invalid sign","")))))))))</f>
        <v/>
      </c>
      <c r="U1213" s="1" t="str">
        <f t="shared" si="149"/>
        <v>INCLUDED</v>
      </c>
      <c r="V1213" s="1" t="str">
        <f t="shared" si="150"/>
        <v>2026-03</v>
      </c>
      <c r="W1213" s="1">
        <f>IF(AND(U1213="INCLUDED",X1213&gt;0,EXACT(A1213,'AI output'!A1213)),1,0)</f>
        <v>1</v>
      </c>
      <c r="X1213" s="1">
        <f>1213</f>
        <v>1213</v>
      </c>
      <c r="Y1213" s="1">
        <f>IF(AND(U1213="INCLUDED",W1213=1),--(NOT(EXACT(A1213,'AI output'!A1213)))+--(NOT(EXACT(B1213,'AI output'!B1213)))+--(NOT(EXACT(TEXT(G1213,"yyyy-mm-dd"),'AI output'!C1213)))+--(NOT(EXACT(H1213,'AI output'!D1213)))+--(NOT(EXACT(J1213,'AI output'!E1213)))+--(NOT(EXACT(K1213,'AI output'!F1213)))+--(N1213&lt;&gt;'AI output'!L1213)+--(NOT('AI output'!M1213)),0)</f>
        <v>0</v>
      </c>
      <c r="Z1213" s="1">
        <f t="shared" si="151"/>
        <v>0</v>
      </c>
      <c r="AA1213" s="1">
        <f>--EXACT(A1213,"L01207")</f>
        <v>1</v>
      </c>
    </row>
    <row r="1214" spans="1:27" ht="18.95" customHeight="1">
      <c r="A1214" s="1" t="str">
        <f>IF(Raw!A1214="","",Raw!A1214)</f>
        <v>L01208</v>
      </c>
      <c r="B1214" s="1" t="str">
        <f>IF(Raw!B1214="","",Raw!B1214)</f>
        <v>T00604</v>
      </c>
      <c r="C1214" s="1" t="str">
        <f>IF(Raw!C1214="","",Raw!C1214)</f>
        <v>2026-03-23</v>
      </c>
      <c r="D1214" s="1">
        <f t="shared" si="144"/>
        <v>2026</v>
      </c>
      <c r="E1214" s="1">
        <f>IFERROR(IF(AND(LEN(C1214)=10,MID(C1214,5,1)="-",MID(C1214,8,1)="-"),VALUE(MID(C1214,6,2)),IF(AND(LEN(C1214)=11,MID(C1214,3,1)="-",MID(C1214,7,1)="-"),MATCH(UPPER(MID(C1214,4,3)),Guide!$D$7:$D$18,0),0)),0)</f>
        <v>3</v>
      </c>
      <c r="F1214" s="1">
        <f t="shared" si="145"/>
        <v>23</v>
      </c>
      <c r="G1214" s="9">
        <f t="shared" si="146"/>
        <v>46104</v>
      </c>
      <c r="H1214" s="1" t="str">
        <f>IF(Raw!D1214="","",Raw!D1214)</f>
        <v>P-H</v>
      </c>
      <c r="I1214" s="1" t="str">
        <f>IFERROR(IF(EXACT(H1214,INDEX(Guide!$A$7:$A$9,MATCH(SUBSTITUTE(SUBSTITUTE(SUBSTITUTE(H1214,"~","~~"),"*","~*"),"?","~?"),Guide!$A$7:$A$9,0))),INDEX(Guide!$B$7:$B$9,MATCH(SUBSTITUTE(SUBSTITUTE(SUBSTITUTE(H1214,"~","~~"),"*","~*"),"?","~?"),Guide!$A$7:$A$9,0)),""),"")</f>
        <v>Home</v>
      </c>
      <c r="J1214" s="1" t="str">
        <f>IF(TRIM(Raw!E1214)="",I1214,IF(UPPER(TRIM(Raw!E1214))=UPPER(I1214),I1214,""))</f>
        <v>Home</v>
      </c>
      <c r="K1214" s="1" t="str">
        <f>IF(Raw!F1214="","",Raw!F1214)</f>
        <v>sale</v>
      </c>
      <c r="L1214" s="1" t="str">
        <f>IF(LEFT(TRIM(Raw!G1214),2)="-$","-"&amp;MID(TRIM(Raw!G1214),3,99),IF(LEFT(TRIM(Raw!G1214),1)="$",MID(TRIM(Raw!G1214),2,99),TRIM(Raw!G1214)))</f>
        <v>457.90</v>
      </c>
      <c r="M1214" s="1">
        <f t="shared" si="147"/>
        <v>457.9</v>
      </c>
      <c r="N1214" s="10">
        <f t="shared" si="148"/>
        <v>45790</v>
      </c>
      <c r="O1214" s="1" t="b">
        <f>IFERROR(IF(ISNUMBER(Raw!G1214),TRUE,OR(EXACT(L1214,TEXT(M1214,"0.00")),EXACT(L1214,TEXT(M1214,"#,##0.00")))),FALSE)</f>
        <v>1</v>
      </c>
      <c r="P1214" s="1" t="str">
        <f>LEN(IF(Raw!A1214="","",Raw!A1214))&amp;":"&amp;IF(Raw!A1214="","",Raw!A1214)&amp;"|"&amp;LEN(IF(Raw!B1214="","",Raw!B1214))&amp;":"&amp;IF(Raw!B1214="","",Raw!B1214)&amp;"|"&amp;LEN(IF(Raw!C1214="","",Raw!C1214))&amp;":"&amp;IF(Raw!C1214="","",Raw!C1214)&amp;"|"&amp;LEN(IF(Raw!D1214="","",Raw!D1214))&amp;":"&amp;IF(Raw!D1214="","",Raw!D1214)&amp;"|"&amp;LEN(IF(Raw!E1214="","",Raw!E1214))&amp;":"&amp;IF(Raw!E1214="","",Raw!E1214)&amp;"|"&amp;LEN(IF(Raw!F1214="","",Raw!F1214))&amp;":"&amp;IF(Raw!F1214="","",Raw!F1214)&amp;"|"&amp;LEN(IF(Raw!G1214="","",Raw!G1214))&amp;":"&amp;IF(Raw!G1214="","",Raw!G1214)</f>
        <v>6:L01208|6:T00604|10:2026-03-23|3:P-H|4:Home|4:sale|6:457.90</v>
      </c>
      <c r="Q1214" s="1">
        <f>1</f>
        <v>1</v>
      </c>
      <c r="R1214" s="1" t="b">
        <f>FALSE</f>
        <v>0</v>
      </c>
      <c r="S1214" s="1">
        <f>1</f>
        <v>1</v>
      </c>
      <c r="T1214" s="1" t="str">
        <f>IF(AND(Raw!A1214="",Raw!B1214="",Raw!C1214="",Raw!D1214="",Raw!E1214="",Raw!F1214="",Raw!G1214=""),"UNUSED",IF(A1214="","missing line ID",IF(B1214="","missing transaction ID",IF(G1214="",IF(C1214="","missing date","invalid date"),IF(I1214="","unknown product",IF(J1214="","conflicting category",IF(NOT(OR(EXACT(K1214,"sale"),EXACT(K1214,"refund"))),"unknown event",IF(OR(N1214="",NOT(O1214)),"invalid amount",IF(OR(AND(K1214="sale",N1214&lt;=0),AND(K1214="refund",N1214&gt;=0)),"invalid sign","")))))))))</f>
        <v/>
      </c>
      <c r="U1214" s="1" t="str">
        <f t="shared" si="149"/>
        <v>INCLUDED</v>
      </c>
      <c r="V1214" s="1" t="str">
        <f t="shared" si="150"/>
        <v>2026-03</v>
      </c>
      <c r="W1214" s="1">
        <f>IF(AND(U1214="INCLUDED",X1214&gt;0,EXACT(A1214,'AI output'!A1214)),1,0)</f>
        <v>1</v>
      </c>
      <c r="X1214" s="1">
        <f>1214</f>
        <v>1214</v>
      </c>
      <c r="Y1214" s="1">
        <f>IF(AND(U1214="INCLUDED",W1214=1),--(NOT(EXACT(A1214,'AI output'!A1214)))+--(NOT(EXACT(B1214,'AI output'!B1214)))+--(NOT(EXACT(TEXT(G1214,"yyyy-mm-dd"),'AI output'!C1214)))+--(NOT(EXACT(H1214,'AI output'!D1214)))+--(NOT(EXACT(J1214,'AI output'!E1214)))+--(NOT(EXACT(K1214,'AI output'!F1214)))+--(N1214&lt;&gt;'AI output'!L1214)+--(NOT('AI output'!M1214)),0)</f>
        <v>0</v>
      </c>
      <c r="Z1214" s="1">
        <f t="shared" si="151"/>
        <v>0</v>
      </c>
      <c r="AA1214" s="1">
        <f>--EXACT(A1214,"L01208")</f>
        <v>1</v>
      </c>
    </row>
    <row r="1215" spans="1:27" ht="18.95" customHeight="1">
      <c r="A1215" s="1" t="str">
        <f>IF(Raw!A1215="","",Raw!A1215)</f>
        <v>L01209</v>
      </c>
      <c r="B1215" s="1" t="str">
        <f>IF(Raw!B1215="","",Raw!B1215)</f>
        <v>T00605</v>
      </c>
      <c r="C1215" s="1" t="str">
        <f>IF(Raw!C1215="","",Raw!C1215)</f>
        <v>2026-03-30</v>
      </c>
      <c r="D1215" s="1">
        <f t="shared" si="144"/>
        <v>2026</v>
      </c>
      <c r="E1215" s="1">
        <f>IFERROR(IF(AND(LEN(C1215)=10,MID(C1215,5,1)="-",MID(C1215,8,1)="-"),VALUE(MID(C1215,6,2)),IF(AND(LEN(C1215)=11,MID(C1215,3,1)="-",MID(C1215,7,1)="-"),MATCH(UPPER(MID(C1215,4,3)),Guide!$D$7:$D$18,0),0)),0)</f>
        <v>3</v>
      </c>
      <c r="F1215" s="1">
        <f t="shared" si="145"/>
        <v>30</v>
      </c>
      <c r="G1215" s="9">
        <f t="shared" si="146"/>
        <v>46111</v>
      </c>
      <c r="H1215" s="1" t="str">
        <f>IF(Raw!D1215="","",Raw!D1215)</f>
        <v>P-O</v>
      </c>
      <c r="I1215" s="1" t="str">
        <f>IFERROR(IF(EXACT(H1215,INDEX(Guide!$A$7:$A$9,MATCH(SUBSTITUTE(SUBSTITUTE(SUBSTITUTE(H1215,"~","~~"),"*","~*"),"?","~?"),Guide!$A$7:$A$9,0))),INDEX(Guide!$B$7:$B$9,MATCH(SUBSTITUTE(SUBSTITUTE(SUBSTITUTE(H1215,"~","~~"),"*","~*"),"?","~?"),Guide!$A$7:$A$9,0)),""),"")</f>
        <v>Office</v>
      </c>
      <c r="J1215" s="1" t="str">
        <f>IF(TRIM(Raw!E1215)="",I1215,IF(UPPER(TRIM(Raw!E1215))=UPPER(I1215),I1215,""))</f>
        <v>Office</v>
      </c>
      <c r="K1215" s="1" t="str">
        <f>IF(Raw!F1215="","",Raw!F1215)</f>
        <v>sale</v>
      </c>
      <c r="L1215" s="1" t="str">
        <f>IF(LEFT(TRIM(Raw!G1215),2)="-$","-"&amp;MID(TRIM(Raw!G1215),3,99),IF(LEFT(TRIM(Raw!G1215),1)="$",MID(TRIM(Raw!G1215),2,99),TRIM(Raw!G1215)))</f>
        <v>183.90</v>
      </c>
      <c r="M1215" s="1">
        <f t="shared" si="147"/>
        <v>183.9</v>
      </c>
      <c r="N1215" s="10">
        <f t="shared" si="148"/>
        <v>18390</v>
      </c>
      <c r="O1215" s="1" t="b">
        <f>IFERROR(IF(ISNUMBER(Raw!G1215),TRUE,OR(EXACT(L1215,TEXT(M1215,"0.00")),EXACT(L1215,TEXT(M1215,"#,##0.00")))),FALSE)</f>
        <v>1</v>
      </c>
      <c r="P1215" s="1" t="str">
        <f>LEN(IF(Raw!A1215="","",Raw!A1215))&amp;":"&amp;IF(Raw!A1215="","",Raw!A1215)&amp;"|"&amp;LEN(IF(Raw!B1215="","",Raw!B1215))&amp;":"&amp;IF(Raw!B1215="","",Raw!B1215)&amp;"|"&amp;LEN(IF(Raw!C1215="","",Raw!C1215))&amp;":"&amp;IF(Raw!C1215="","",Raw!C1215)&amp;"|"&amp;LEN(IF(Raw!D1215="","",Raw!D1215))&amp;":"&amp;IF(Raw!D1215="","",Raw!D1215)&amp;"|"&amp;LEN(IF(Raw!E1215="","",Raw!E1215))&amp;":"&amp;IF(Raw!E1215="","",Raw!E1215)&amp;"|"&amp;LEN(IF(Raw!F1215="","",Raw!F1215))&amp;":"&amp;IF(Raw!F1215="","",Raw!F1215)&amp;"|"&amp;LEN(IF(Raw!G1215="","",Raw!G1215))&amp;":"&amp;IF(Raw!G1215="","",Raw!G1215)</f>
        <v>6:L01209|6:T00605|10:2026-03-30|3:P-O|6:Office|4:sale|6:183.90</v>
      </c>
      <c r="Q1215" s="1">
        <f>1</f>
        <v>1</v>
      </c>
      <c r="R1215" s="1" t="b">
        <f>FALSE</f>
        <v>0</v>
      </c>
      <c r="S1215" s="1">
        <f>1</f>
        <v>1</v>
      </c>
      <c r="T1215" s="1" t="str">
        <f>IF(AND(Raw!A1215="",Raw!B1215="",Raw!C1215="",Raw!D1215="",Raw!E1215="",Raw!F1215="",Raw!G1215=""),"UNUSED",IF(A1215="","missing line ID",IF(B1215="","missing transaction ID",IF(G1215="",IF(C1215="","missing date","invalid date"),IF(I1215="","unknown product",IF(J1215="","conflicting category",IF(NOT(OR(EXACT(K1215,"sale"),EXACT(K1215,"refund"))),"unknown event",IF(OR(N1215="",NOT(O1215)),"invalid amount",IF(OR(AND(K1215="sale",N1215&lt;=0),AND(K1215="refund",N1215&gt;=0)),"invalid sign","")))))))))</f>
        <v/>
      </c>
      <c r="U1215" s="1" t="str">
        <f t="shared" si="149"/>
        <v>INCLUDED</v>
      </c>
      <c r="V1215" s="1" t="str">
        <f t="shared" si="150"/>
        <v>2026-03</v>
      </c>
      <c r="W1215" s="1">
        <f>IF(AND(U1215="INCLUDED",X1215&gt;0,EXACT(A1215,'AI output'!A1215)),1,0)</f>
        <v>1</v>
      </c>
      <c r="X1215" s="1">
        <f>1215</f>
        <v>1215</v>
      </c>
      <c r="Y1215" s="1">
        <f>IF(AND(U1215="INCLUDED",W1215=1),--(NOT(EXACT(A1215,'AI output'!A1215)))+--(NOT(EXACT(B1215,'AI output'!B1215)))+--(NOT(EXACT(TEXT(G1215,"yyyy-mm-dd"),'AI output'!C1215)))+--(NOT(EXACT(H1215,'AI output'!D1215)))+--(NOT(EXACT(J1215,'AI output'!E1215)))+--(NOT(EXACT(K1215,'AI output'!F1215)))+--(N1215&lt;&gt;'AI output'!L1215)+--(NOT('AI output'!M1215)),0)</f>
        <v>0</v>
      </c>
      <c r="Z1215" s="1">
        <f t="shared" si="151"/>
        <v>0</v>
      </c>
      <c r="AA1215" s="1">
        <f>--EXACT(A1215,"L01209")</f>
        <v>1</v>
      </c>
    </row>
    <row r="1216" spans="1:27" ht="18.95" customHeight="1">
      <c r="A1216" s="1" t="str">
        <f>IF(Raw!A1216="","",Raw!A1216)</f>
        <v>L01210</v>
      </c>
      <c r="B1216" s="1" t="str">
        <f>IF(Raw!B1216="","",Raw!B1216)</f>
        <v>T00605</v>
      </c>
      <c r="C1216" s="1" t="str">
        <f>IF(Raw!C1216="","",Raw!C1216)</f>
        <v>2026-03-30</v>
      </c>
      <c r="D1216" s="1">
        <f t="shared" si="144"/>
        <v>2026</v>
      </c>
      <c r="E1216" s="1">
        <f>IFERROR(IF(AND(LEN(C1216)=10,MID(C1216,5,1)="-",MID(C1216,8,1)="-"),VALUE(MID(C1216,6,2)),IF(AND(LEN(C1216)=11,MID(C1216,3,1)="-",MID(C1216,7,1)="-"),MATCH(UPPER(MID(C1216,4,3)),Guide!$D$7:$D$18,0),0)),0)</f>
        <v>3</v>
      </c>
      <c r="F1216" s="1">
        <f t="shared" si="145"/>
        <v>30</v>
      </c>
      <c r="G1216" s="9">
        <f t="shared" si="146"/>
        <v>46111</v>
      </c>
      <c r="H1216" s="1" t="str">
        <f>IF(Raw!D1216="","",Raw!D1216)</f>
        <v>P-A</v>
      </c>
      <c r="I1216" s="1" t="str">
        <f>IFERROR(IF(EXACT(H1216,INDEX(Guide!$A$7:$A$9,MATCH(SUBSTITUTE(SUBSTITUTE(SUBSTITUTE(H1216,"~","~~"),"*","~*"),"?","~?"),Guide!$A$7:$A$9,0))),INDEX(Guide!$B$7:$B$9,MATCH(SUBSTITUTE(SUBSTITUTE(SUBSTITUTE(H1216,"~","~~"),"*","~*"),"?","~?"),Guide!$A$7:$A$9,0)),""),"")</f>
        <v>Accessories</v>
      </c>
      <c r="J1216" s="1" t="str">
        <f>IF(TRIM(Raw!E1216)="",I1216,IF(UPPER(TRIM(Raw!E1216))=UPPER(I1216),I1216,""))</f>
        <v>Accessories</v>
      </c>
      <c r="K1216" s="1" t="str">
        <f>IF(Raw!F1216="","",Raw!F1216)</f>
        <v>sale</v>
      </c>
      <c r="L1216" s="1" t="str">
        <f>IF(LEFT(TRIM(Raw!G1216),2)="-$","-"&amp;MID(TRIM(Raw!G1216),3,99),IF(LEFT(TRIM(Raw!G1216),1)="$",MID(TRIM(Raw!G1216),2,99),TRIM(Raw!G1216)))</f>
        <v>369.28</v>
      </c>
      <c r="M1216" s="1">
        <f t="shared" si="147"/>
        <v>369.28</v>
      </c>
      <c r="N1216" s="10">
        <f t="shared" si="148"/>
        <v>36928</v>
      </c>
      <c r="O1216" s="1" t="b">
        <f>IFERROR(IF(ISNUMBER(Raw!G1216),TRUE,OR(EXACT(L1216,TEXT(M1216,"0.00")),EXACT(L1216,TEXT(M1216,"#,##0.00")))),FALSE)</f>
        <v>1</v>
      </c>
      <c r="P1216" s="1" t="str">
        <f>LEN(IF(Raw!A1216="","",Raw!A1216))&amp;":"&amp;IF(Raw!A1216="","",Raw!A1216)&amp;"|"&amp;LEN(IF(Raw!B1216="","",Raw!B1216))&amp;":"&amp;IF(Raw!B1216="","",Raw!B1216)&amp;"|"&amp;LEN(IF(Raw!C1216="","",Raw!C1216))&amp;":"&amp;IF(Raw!C1216="","",Raw!C1216)&amp;"|"&amp;LEN(IF(Raw!D1216="","",Raw!D1216))&amp;":"&amp;IF(Raw!D1216="","",Raw!D1216)&amp;"|"&amp;LEN(IF(Raw!E1216="","",Raw!E1216))&amp;":"&amp;IF(Raw!E1216="","",Raw!E1216)&amp;"|"&amp;LEN(IF(Raw!F1216="","",Raw!F1216))&amp;":"&amp;IF(Raw!F1216="","",Raw!F1216)&amp;"|"&amp;LEN(IF(Raw!G1216="","",Raw!G1216))&amp;":"&amp;IF(Raw!G1216="","",Raw!G1216)</f>
        <v>6:L01210|6:T00605|10:2026-03-30|3:P-A|11:Accessories|4:sale|6:369.28</v>
      </c>
      <c r="Q1216" s="1">
        <f>1</f>
        <v>1</v>
      </c>
      <c r="R1216" s="1" t="b">
        <f>FALSE</f>
        <v>0</v>
      </c>
      <c r="S1216" s="1">
        <f>1</f>
        <v>1</v>
      </c>
      <c r="T1216" s="1" t="str">
        <f>IF(AND(Raw!A1216="",Raw!B1216="",Raw!C1216="",Raw!D1216="",Raw!E1216="",Raw!F1216="",Raw!G1216=""),"UNUSED",IF(A1216="","missing line ID",IF(B1216="","missing transaction ID",IF(G1216="",IF(C1216="","missing date","invalid date"),IF(I1216="","unknown product",IF(J1216="","conflicting category",IF(NOT(OR(EXACT(K1216,"sale"),EXACT(K1216,"refund"))),"unknown event",IF(OR(N1216="",NOT(O1216)),"invalid amount",IF(OR(AND(K1216="sale",N1216&lt;=0),AND(K1216="refund",N1216&gt;=0)),"invalid sign","")))))))))</f>
        <v/>
      </c>
      <c r="U1216" s="1" t="str">
        <f t="shared" si="149"/>
        <v>INCLUDED</v>
      </c>
      <c r="V1216" s="1" t="str">
        <f t="shared" si="150"/>
        <v>2026-03</v>
      </c>
      <c r="W1216" s="1">
        <f>IF(AND(U1216="INCLUDED",X1216&gt;0,EXACT(A1216,'AI output'!A1216)),1,0)</f>
        <v>1</v>
      </c>
      <c r="X1216" s="1">
        <f>1216</f>
        <v>1216</v>
      </c>
      <c r="Y1216" s="1">
        <f>IF(AND(U1216="INCLUDED",W1216=1),--(NOT(EXACT(A1216,'AI output'!A1216)))+--(NOT(EXACT(B1216,'AI output'!B1216)))+--(NOT(EXACT(TEXT(G1216,"yyyy-mm-dd"),'AI output'!C1216)))+--(NOT(EXACT(H1216,'AI output'!D1216)))+--(NOT(EXACT(J1216,'AI output'!E1216)))+--(NOT(EXACT(K1216,'AI output'!F1216)))+--(N1216&lt;&gt;'AI output'!L1216)+--(NOT('AI output'!M1216)),0)</f>
        <v>0</v>
      </c>
      <c r="Z1216" s="1">
        <f t="shared" si="151"/>
        <v>0</v>
      </c>
      <c r="AA1216" s="1">
        <f>--EXACT(A1216,"L01210")</f>
        <v>1</v>
      </c>
    </row>
    <row r="1217" spans="1:27" ht="18.95" customHeight="1">
      <c r="A1217" s="1" t="str">
        <f>IF(Raw!A1217="","",Raw!A1217)</f>
        <v>L01211</v>
      </c>
      <c r="B1217" s="1" t="str">
        <f>IF(Raw!B1217="","",Raw!B1217)</f>
        <v>T00606</v>
      </c>
      <c r="C1217" s="1" t="str">
        <f>IF(Raw!C1217="","",Raw!C1217)</f>
        <v>2026-01-06</v>
      </c>
      <c r="D1217" s="1">
        <f t="shared" si="144"/>
        <v>2026</v>
      </c>
      <c r="E1217" s="1">
        <f>IFERROR(IF(AND(LEN(C1217)=10,MID(C1217,5,1)="-",MID(C1217,8,1)="-"),VALUE(MID(C1217,6,2)),IF(AND(LEN(C1217)=11,MID(C1217,3,1)="-",MID(C1217,7,1)="-"),MATCH(UPPER(MID(C1217,4,3)),Guide!$D$7:$D$18,0),0)),0)</f>
        <v>1</v>
      </c>
      <c r="F1217" s="1">
        <f t="shared" si="145"/>
        <v>6</v>
      </c>
      <c r="G1217" s="9">
        <f t="shared" si="146"/>
        <v>46028</v>
      </c>
      <c r="H1217" s="1" t="str">
        <f>IF(Raw!D1217="","",Raw!D1217)</f>
        <v>P-H</v>
      </c>
      <c r="I1217" s="1" t="str">
        <f>IFERROR(IF(EXACT(H1217,INDEX(Guide!$A$7:$A$9,MATCH(SUBSTITUTE(SUBSTITUTE(SUBSTITUTE(H1217,"~","~~"),"*","~*"),"?","~?"),Guide!$A$7:$A$9,0))),INDEX(Guide!$B$7:$B$9,MATCH(SUBSTITUTE(SUBSTITUTE(SUBSTITUTE(H1217,"~","~~"),"*","~*"),"?","~?"),Guide!$A$7:$A$9,0)),""),"")</f>
        <v>Home</v>
      </c>
      <c r="J1217" s="1" t="str">
        <f>IF(TRIM(Raw!E1217)="",I1217,IF(UPPER(TRIM(Raw!E1217))=UPPER(I1217),I1217,""))</f>
        <v>Home</v>
      </c>
      <c r="K1217" s="1" t="str">
        <f>IF(Raw!F1217="","",Raw!F1217)</f>
        <v>sale</v>
      </c>
      <c r="L1217" s="1" t="str">
        <f>IF(LEFT(TRIM(Raw!G1217),2)="-$","-"&amp;MID(TRIM(Raw!G1217),3,99),IF(LEFT(TRIM(Raw!G1217),1)="$",MID(TRIM(Raw!G1217),2,99),TRIM(Raw!G1217)))</f>
        <v>92.69</v>
      </c>
      <c r="M1217" s="1">
        <f t="shared" si="147"/>
        <v>92.69</v>
      </c>
      <c r="N1217" s="10">
        <f t="shared" si="148"/>
        <v>9269</v>
      </c>
      <c r="O1217" s="1" t="b">
        <f>IFERROR(IF(ISNUMBER(Raw!G1217),TRUE,OR(EXACT(L1217,TEXT(M1217,"0.00")),EXACT(L1217,TEXT(M1217,"#,##0.00")))),FALSE)</f>
        <v>1</v>
      </c>
      <c r="P1217" s="1" t="str">
        <f>LEN(IF(Raw!A1217="","",Raw!A1217))&amp;":"&amp;IF(Raw!A1217="","",Raw!A1217)&amp;"|"&amp;LEN(IF(Raw!B1217="","",Raw!B1217))&amp;":"&amp;IF(Raw!B1217="","",Raw!B1217)&amp;"|"&amp;LEN(IF(Raw!C1217="","",Raw!C1217))&amp;":"&amp;IF(Raw!C1217="","",Raw!C1217)&amp;"|"&amp;LEN(IF(Raw!D1217="","",Raw!D1217))&amp;":"&amp;IF(Raw!D1217="","",Raw!D1217)&amp;"|"&amp;LEN(IF(Raw!E1217="","",Raw!E1217))&amp;":"&amp;IF(Raw!E1217="","",Raw!E1217)&amp;"|"&amp;LEN(IF(Raw!F1217="","",Raw!F1217))&amp;":"&amp;IF(Raw!F1217="","",Raw!F1217)&amp;"|"&amp;LEN(IF(Raw!G1217="","",Raw!G1217))&amp;":"&amp;IF(Raw!G1217="","",Raw!G1217)</f>
        <v>6:L01211|6:T00606|10:2026-01-06|3:P-H|4:Home|4:sale|5:92.69</v>
      </c>
      <c r="Q1217" s="1">
        <f>1</f>
        <v>1</v>
      </c>
      <c r="R1217" s="1" t="b">
        <f>FALSE</f>
        <v>0</v>
      </c>
      <c r="S1217" s="1">
        <f>1</f>
        <v>1</v>
      </c>
      <c r="T1217" s="1" t="str">
        <f>IF(AND(Raw!A1217="",Raw!B1217="",Raw!C1217="",Raw!D1217="",Raw!E1217="",Raw!F1217="",Raw!G1217=""),"UNUSED",IF(A1217="","missing line ID",IF(B1217="","missing transaction ID",IF(G1217="",IF(C1217="","missing date","invalid date"),IF(I1217="","unknown product",IF(J1217="","conflicting category",IF(NOT(OR(EXACT(K1217,"sale"),EXACT(K1217,"refund"))),"unknown event",IF(OR(N1217="",NOT(O1217)),"invalid amount",IF(OR(AND(K1217="sale",N1217&lt;=0),AND(K1217="refund",N1217&gt;=0)),"invalid sign","")))))))))</f>
        <v/>
      </c>
      <c r="U1217" s="1" t="str">
        <f t="shared" si="149"/>
        <v>INCLUDED</v>
      </c>
      <c r="V1217" s="1" t="str">
        <f t="shared" si="150"/>
        <v>2026-01</v>
      </c>
      <c r="W1217" s="1">
        <f>IF(AND(U1217="INCLUDED",X1217&gt;0,EXACT(A1217,'AI output'!A1217)),1,0)</f>
        <v>1</v>
      </c>
      <c r="X1217" s="1">
        <f>1217</f>
        <v>1217</v>
      </c>
      <c r="Y1217" s="1">
        <f>IF(AND(U1217="INCLUDED",W1217=1),--(NOT(EXACT(A1217,'AI output'!A1217)))+--(NOT(EXACT(B1217,'AI output'!B1217)))+--(NOT(EXACT(TEXT(G1217,"yyyy-mm-dd"),'AI output'!C1217)))+--(NOT(EXACT(H1217,'AI output'!D1217)))+--(NOT(EXACT(J1217,'AI output'!E1217)))+--(NOT(EXACT(K1217,'AI output'!F1217)))+--(N1217&lt;&gt;'AI output'!L1217)+--(NOT('AI output'!M1217)),0)</f>
        <v>0</v>
      </c>
      <c r="Z1217" s="1">
        <f t="shared" si="151"/>
        <v>0</v>
      </c>
      <c r="AA1217" s="1">
        <f>--EXACT(A1217,"L01211")</f>
        <v>1</v>
      </c>
    </row>
    <row r="1218" spans="1:27" ht="18.95" customHeight="1">
      <c r="A1218" s="1" t="str">
        <f>IF(Raw!A1218="","",Raw!A1218)</f>
        <v>L01212</v>
      </c>
      <c r="B1218" s="1" t="str">
        <f>IF(Raw!B1218="","",Raw!B1218)</f>
        <v>T00606</v>
      </c>
      <c r="C1218" s="1" t="str">
        <f>IF(Raw!C1218="","",Raw!C1218)</f>
        <v>2026-01-06</v>
      </c>
      <c r="D1218" s="1">
        <f t="shared" si="144"/>
        <v>2026</v>
      </c>
      <c r="E1218" s="1">
        <f>IFERROR(IF(AND(LEN(C1218)=10,MID(C1218,5,1)="-",MID(C1218,8,1)="-"),VALUE(MID(C1218,6,2)),IF(AND(LEN(C1218)=11,MID(C1218,3,1)="-",MID(C1218,7,1)="-"),MATCH(UPPER(MID(C1218,4,3)),Guide!$D$7:$D$18,0),0)),0)</f>
        <v>1</v>
      </c>
      <c r="F1218" s="1">
        <f t="shared" si="145"/>
        <v>6</v>
      </c>
      <c r="G1218" s="9">
        <f t="shared" si="146"/>
        <v>46028</v>
      </c>
      <c r="H1218" s="1" t="str">
        <f>IF(Raw!D1218="","",Raw!D1218)</f>
        <v>P-O</v>
      </c>
      <c r="I1218" s="1" t="str">
        <f>IFERROR(IF(EXACT(H1218,INDEX(Guide!$A$7:$A$9,MATCH(SUBSTITUTE(SUBSTITUTE(SUBSTITUTE(H1218,"~","~~"),"*","~*"),"?","~?"),Guide!$A$7:$A$9,0))),INDEX(Guide!$B$7:$B$9,MATCH(SUBSTITUTE(SUBSTITUTE(SUBSTITUTE(H1218,"~","~~"),"*","~*"),"?","~?"),Guide!$A$7:$A$9,0)),""),"")</f>
        <v>Office</v>
      </c>
      <c r="J1218" s="1" t="str">
        <f>IF(TRIM(Raw!E1218)="",I1218,IF(UPPER(TRIM(Raw!E1218))=UPPER(I1218),I1218,""))</f>
        <v>Office</v>
      </c>
      <c r="K1218" s="1" t="str">
        <f>IF(Raw!F1218="","",Raw!F1218)</f>
        <v>sale</v>
      </c>
      <c r="L1218" s="1" t="str">
        <f>IF(LEFT(TRIM(Raw!G1218),2)="-$","-"&amp;MID(TRIM(Raw!G1218),3,99),IF(LEFT(TRIM(Raw!G1218),1)="$",MID(TRIM(Raw!G1218),2,99),TRIM(Raw!G1218)))</f>
        <v>279.18</v>
      </c>
      <c r="M1218" s="1">
        <f t="shared" si="147"/>
        <v>279.18</v>
      </c>
      <c r="N1218" s="10">
        <f t="shared" si="148"/>
        <v>27918</v>
      </c>
      <c r="O1218" s="1" t="b">
        <f>IFERROR(IF(ISNUMBER(Raw!G1218),TRUE,OR(EXACT(L1218,TEXT(M1218,"0.00")),EXACT(L1218,TEXT(M1218,"#,##0.00")))),FALSE)</f>
        <v>1</v>
      </c>
      <c r="P1218" s="1" t="str">
        <f>LEN(IF(Raw!A1218="","",Raw!A1218))&amp;":"&amp;IF(Raw!A1218="","",Raw!A1218)&amp;"|"&amp;LEN(IF(Raw!B1218="","",Raw!B1218))&amp;":"&amp;IF(Raw!B1218="","",Raw!B1218)&amp;"|"&amp;LEN(IF(Raw!C1218="","",Raw!C1218))&amp;":"&amp;IF(Raw!C1218="","",Raw!C1218)&amp;"|"&amp;LEN(IF(Raw!D1218="","",Raw!D1218))&amp;":"&amp;IF(Raw!D1218="","",Raw!D1218)&amp;"|"&amp;LEN(IF(Raw!E1218="","",Raw!E1218))&amp;":"&amp;IF(Raw!E1218="","",Raw!E1218)&amp;"|"&amp;LEN(IF(Raw!F1218="","",Raw!F1218))&amp;":"&amp;IF(Raw!F1218="","",Raw!F1218)&amp;"|"&amp;LEN(IF(Raw!G1218="","",Raw!G1218))&amp;":"&amp;IF(Raw!G1218="","",Raw!G1218)</f>
        <v>6:L01212|6:T00606|10:2026-01-06|3:P-O|6:Office|4:sale|6:279.18</v>
      </c>
      <c r="Q1218" s="1">
        <f>1</f>
        <v>1</v>
      </c>
      <c r="R1218" s="1" t="b">
        <f>FALSE</f>
        <v>0</v>
      </c>
      <c r="S1218" s="1">
        <f>1</f>
        <v>1</v>
      </c>
      <c r="T1218" s="1" t="str">
        <f>IF(AND(Raw!A1218="",Raw!B1218="",Raw!C1218="",Raw!D1218="",Raw!E1218="",Raw!F1218="",Raw!G1218=""),"UNUSED",IF(A1218="","missing line ID",IF(B1218="","missing transaction ID",IF(G1218="",IF(C1218="","missing date","invalid date"),IF(I1218="","unknown product",IF(J1218="","conflicting category",IF(NOT(OR(EXACT(K1218,"sale"),EXACT(K1218,"refund"))),"unknown event",IF(OR(N1218="",NOT(O1218)),"invalid amount",IF(OR(AND(K1218="sale",N1218&lt;=0),AND(K1218="refund",N1218&gt;=0)),"invalid sign","")))))))))</f>
        <v/>
      </c>
      <c r="U1218" s="1" t="str">
        <f t="shared" si="149"/>
        <v>INCLUDED</v>
      </c>
      <c r="V1218" s="1" t="str">
        <f t="shared" si="150"/>
        <v>2026-01</v>
      </c>
      <c r="W1218" s="1">
        <f>IF(AND(U1218="INCLUDED",X1218&gt;0,EXACT(A1218,'AI output'!A1218)),1,0)</f>
        <v>1</v>
      </c>
      <c r="X1218" s="1">
        <f>1218</f>
        <v>1218</v>
      </c>
      <c r="Y1218" s="1">
        <f>IF(AND(U1218="INCLUDED",W1218=1),--(NOT(EXACT(A1218,'AI output'!A1218)))+--(NOT(EXACT(B1218,'AI output'!B1218)))+--(NOT(EXACT(TEXT(G1218,"yyyy-mm-dd"),'AI output'!C1218)))+--(NOT(EXACT(H1218,'AI output'!D1218)))+--(NOT(EXACT(J1218,'AI output'!E1218)))+--(NOT(EXACT(K1218,'AI output'!F1218)))+--(N1218&lt;&gt;'AI output'!L1218)+--(NOT('AI output'!M1218)),0)</f>
        <v>0</v>
      </c>
      <c r="Z1218" s="1">
        <f t="shared" si="151"/>
        <v>0</v>
      </c>
      <c r="AA1218" s="1">
        <f>--EXACT(A1218,"L01212")</f>
        <v>1</v>
      </c>
    </row>
    <row r="1219" spans="1:27" ht="18.95" customHeight="1">
      <c r="A1219" s="1" t="str">
        <f>IF(Raw!A1219="","",Raw!A1219)</f>
        <v>L01213</v>
      </c>
      <c r="B1219" s="1" t="str">
        <f>IF(Raw!B1219="","",Raw!B1219)</f>
        <v>T00607</v>
      </c>
      <c r="C1219" s="1" t="str">
        <f>IF(Raw!C1219="","",Raw!C1219)</f>
        <v>2026-01-13</v>
      </c>
      <c r="D1219" s="1">
        <f t="shared" si="144"/>
        <v>2026</v>
      </c>
      <c r="E1219" s="1">
        <f>IFERROR(IF(AND(LEN(C1219)=10,MID(C1219,5,1)="-",MID(C1219,8,1)="-"),VALUE(MID(C1219,6,2)),IF(AND(LEN(C1219)=11,MID(C1219,3,1)="-",MID(C1219,7,1)="-"),MATCH(UPPER(MID(C1219,4,3)),Guide!$D$7:$D$18,0),0)),0)</f>
        <v>1</v>
      </c>
      <c r="F1219" s="1">
        <f t="shared" si="145"/>
        <v>13</v>
      </c>
      <c r="G1219" s="9">
        <f t="shared" si="146"/>
        <v>46035</v>
      </c>
      <c r="H1219" s="1" t="str">
        <f>IF(Raw!D1219="","",Raw!D1219)</f>
        <v>P-A</v>
      </c>
      <c r="I1219" s="1" t="str">
        <f>IFERROR(IF(EXACT(H1219,INDEX(Guide!$A$7:$A$9,MATCH(SUBSTITUTE(SUBSTITUTE(SUBSTITUTE(H1219,"~","~~"),"*","~*"),"?","~?"),Guide!$A$7:$A$9,0))),INDEX(Guide!$B$7:$B$9,MATCH(SUBSTITUTE(SUBSTITUTE(SUBSTITUTE(H1219,"~","~~"),"*","~*"),"?","~?"),Guide!$A$7:$A$9,0)),""),"")</f>
        <v>Accessories</v>
      </c>
      <c r="J1219" s="1" t="str">
        <f>IF(TRIM(Raw!E1219)="",I1219,IF(UPPER(TRIM(Raw!E1219))=UPPER(I1219),I1219,""))</f>
        <v>Accessories</v>
      </c>
      <c r="K1219" s="1" t="str">
        <f>IF(Raw!F1219="","",Raw!F1219)</f>
        <v>sale</v>
      </c>
      <c r="L1219" s="1" t="str">
        <f>IF(LEFT(TRIM(Raw!G1219),2)="-$","-"&amp;MID(TRIM(Raw!G1219),3,99),IF(LEFT(TRIM(Raw!G1219),1)="$",MID(TRIM(Raw!G1219),2,99),TRIM(Raw!G1219)))</f>
        <v>467.15</v>
      </c>
      <c r="M1219" s="1">
        <f t="shared" si="147"/>
        <v>467.15</v>
      </c>
      <c r="N1219" s="10">
        <f t="shared" si="148"/>
        <v>46715</v>
      </c>
      <c r="O1219" s="1" t="b">
        <f>IFERROR(IF(ISNUMBER(Raw!G1219),TRUE,OR(EXACT(L1219,TEXT(M1219,"0.00")),EXACT(L1219,TEXT(M1219,"#,##0.00")))),FALSE)</f>
        <v>1</v>
      </c>
      <c r="P1219" s="1" t="str">
        <f>LEN(IF(Raw!A1219="","",Raw!A1219))&amp;":"&amp;IF(Raw!A1219="","",Raw!A1219)&amp;"|"&amp;LEN(IF(Raw!B1219="","",Raw!B1219))&amp;":"&amp;IF(Raw!B1219="","",Raw!B1219)&amp;"|"&amp;LEN(IF(Raw!C1219="","",Raw!C1219))&amp;":"&amp;IF(Raw!C1219="","",Raw!C1219)&amp;"|"&amp;LEN(IF(Raw!D1219="","",Raw!D1219))&amp;":"&amp;IF(Raw!D1219="","",Raw!D1219)&amp;"|"&amp;LEN(IF(Raw!E1219="","",Raw!E1219))&amp;":"&amp;IF(Raw!E1219="","",Raw!E1219)&amp;"|"&amp;LEN(IF(Raw!F1219="","",Raw!F1219))&amp;":"&amp;IF(Raw!F1219="","",Raw!F1219)&amp;"|"&amp;LEN(IF(Raw!G1219="","",Raw!G1219))&amp;":"&amp;IF(Raw!G1219="","",Raw!G1219)</f>
        <v>6:L01213|6:T00607|10:2026-01-13|3:P-A|11:Accessories|4:sale|6:467.15</v>
      </c>
      <c r="Q1219" s="1">
        <f>1</f>
        <v>1</v>
      </c>
      <c r="R1219" s="1" t="b">
        <f>FALSE</f>
        <v>0</v>
      </c>
      <c r="S1219" s="1">
        <f>1</f>
        <v>1</v>
      </c>
      <c r="T1219" s="1" t="str">
        <f>IF(AND(Raw!A1219="",Raw!B1219="",Raw!C1219="",Raw!D1219="",Raw!E1219="",Raw!F1219="",Raw!G1219=""),"UNUSED",IF(A1219="","missing line ID",IF(B1219="","missing transaction ID",IF(G1219="",IF(C1219="","missing date","invalid date"),IF(I1219="","unknown product",IF(J1219="","conflicting category",IF(NOT(OR(EXACT(K1219,"sale"),EXACT(K1219,"refund"))),"unknown event",IF(OR(N1219="",NOT(O1219)),"invalid amount",IF(OR(AND(K1219="sale",N1219&lt;=0),AND(K1219="refund",N1219&gt;=0)),"invalid sign","")))))))))</f>
        <v/>
      </c>
      <c r="U1219" s="1" t="str">
        <f t="shared" si="149"/>
        <v>INCLUDED</v>
      </c>
      <c r="V1219" s="1" t="str">
        <f t="shared" si="150"/>
        <v>2026-01</v>
      </c>
      <c r="W1219" s="1">
        <f>IF(AND(U1219="INCLUDED",X1219&gt;0,EXACT(A1219,'AI output'!A1219)),1,0)</f>
        <v>1</v>
      </c>
      <c r="X1219" s="1">
        <f>1219</f>
        <v>1219</v>
      </c>
      <c r="Y1219" s="1">
        <f>IF(AND(U1219="INCLUDED",W1219=1),--(NOT(EXACT(A1219,'AI output'!A1219)))+--(NOT(EXACT(B1219,'AI output'!B1219)))+--(NOT(EXACT(TEXT(G1219,"yyyy-mm-dd"),'AI output'!C1219)))+--(NOT(EXACT(H1219,'AI output'!D1219)))+--(NOT(EXACT(J1219,'AI output'!E1219)))+--(NOT(EXACT(K1219,'AI output'!F1219)))+--(N1219&lt;&gt;'AI output'!L1219)+--(NOT('AI output'!M1219)),0)</f>
        <v>0</v>
      </c>
      <c r="Z1219" s="1">
        <f t="shared" si="151"/>
        <v>0</v>
      </c>
      <c r="AA1219" s="1">
        <f>--EXACT(A1219,"L01213")</f>
        <v>1</v>
      </c>
    </row>
    <row r="1220" spans="1:27" ht="18.95" customHeight="1">
      <c r="A1220" s="1" t="str">
        <f>IF(Raw!A1220="","",Raw!A1220)</f>
        <v>L01214</v>
      </c>
      <c r="B1220" s="1" t="str">
        <f>IF(Raw!B1220="","",Raw!B1220)</f>
        <v>T00607</v>
      </c>
      <c r="C1220" s="1" t="str">
        <f>IF(Raw!C1220="","",Raw!C1220)</f>
        <v>2026-01-13</v>
      </c>
      <c r="D1220" s="1">
        <f t="shared" si="144"/>
        <v>2026</v>
      </c>
      <c r="E1220" s="1">
        <f>IFERROR(IF(AND(LEN(C1220)=10,MID(C1220,5,1)="-",MID(C1220,8,1)="-"),VALUE(MID(C1220,6,2)),IF(AND(LEN(C1220)=11,MID(C1220,3,1)="-",MID(C1220,7,1)="-"),MATCH(UPPER(MID(C1220,4,3)),Guide!$D$7:$D$18,0),0)),0)</f>
        <v>1</v>
      </c>
      <c r="F1220" s="1">
        <f t="shared" si="145"/>
        <v>13</v>
      </c>
      <c r="G1220" s="9">
        <f t="shared" si="146"/>
        <v>46035</v>
      </c>
      <c r="H1220" s="1" t="str">
        <f>IF(Raw!D1220="","",Raw!D1220)</f>
        <v>P-H</v>
      </c>
      <c r="I1220" s="1" t="str">
        <f>IFERROR(IF(EXACT(H1220,INDEX(Guide!$A$7:$A$9,MATCH(SUBSTITUTE(SUBSTITUTE(SUBSTITUTE(H1220,"~","~~"),"*","~*"),"?","~?"),Guide!$A$7:$A$9,0))),INDEX(Guide!$B$7:$B$9,MATCH(SUBSTITUTE(SUBSTITUTE(SUBSTITUTE(H1220,"~","~~"),"*","~*"),"?","~?"),Guide!$A$7:$A$9,0)),""),"")</f>
        <v>Home</v>
      </c>
      <c r="J1220" s="1" t="str">
        <f>IF(TRIM(Raw!E1220)="",I1220,IF(UPPER(TRIM(Raw!E1220))=UPPER(I1220),I1220,""))</f>
        <v>Home</v>
      </c>
      <c r="K1220" s="1" t="str">
        <f>IF(Raw!F1220="","",Raw!F1220)</f>
        <v>sale</v>
      </c>
      <c r="L1220" s="1" t="str">
        <f>IF(LEFT(TRIM(Raw!G1220),2)="-$","-"&amp;MID(TRIM(Raw!G1220),3,99),IF(LEFT(TRIM(Raw!G1220),1)="$",MID(TRIM(Raw!G1220),2,99),TRIM(Raw!G1220)))</f>
        <v>187.60</v>
      </c>
      <c r="M1220" s="1">
        <f t="shared" si="147"/>
        <v>187.6</v>
      </c>
      <c r="N1220" s="10">
        <f t="shared" si="148"/>
        <v>18760</v>
      </c>
      <c r="O1220" s="1" t="b">
        <f>IFERROR(IF(ISNUMBER(Raw!G1220),TRUE,OR(EXACT(L1220,TEXT(M1220,"0.00")),EXACT(L1220,TEXT(M1220,"#,##0.00")))),FALSE)</f>
        <v>1</v>
      </c>
      <c r="P1220" s="1" t="str">
        <f>LEN(IF(Raw!A1220="","",Raw!A1220))&amp;":"&amp;IF(Raw!A1220="","",Raw!A1220)&amp;"|"&amp;LEN(IF(Raw!B1220="","",Raw!B1220))&amp;":"&amp;IF(Raw!B1220="","",Raw!B1220)&amp;"|"&amp;LEN(IF(Raw!C1220="","",Raw!C1220))&amp;":"&amp;IF(Raw!C1220="","",Raw!C1220)&amp;"|"&amp;LEN(IF(Raw!D1220="","",Raw!D1220))&amp;":"&amp;IF(Raw!D1220="","",Raw!D1220)&amp;"|"&amp;LEN(IF(Raw!E1220="","",Raw!E1220))&amp;":"&amp;IF(Raw!E1220="","",Raw!E1220)&amp;"|"&amp;LEN(IF(Raw!F1220="","",Raw!F1220))&amp;":"&amp;IF(Raw!F1220="","",Raw!F1220)&amp;"|"&amp;LEN(IF(Raw!G1220="","",Raw!G1220))&amp;":"&amp;IF(Raw!G1220="","",Raw!G1220)</f>
        <v>6:L01214|6:T00607|10:2026-01-13|3:P-H|4:Home|4:sale|6:187.60</v>
      </c>
      <c r="Q1220" s="1">
        <f>1</f>
        <v>1</v>
      </c>
      <c r="R1220" s="1" t="b">
        <f>FALSE</f>
        <v>0</v>
      </c>
      <c r="S1220" s="1">
        <f>1</f>
        <v>1</v>
      </c>
      <c r="T1220" s="1" t="str">
        <f>IF(AND(Raw!A1220="",Raw!B1220="",Raw!C1220="",Raw!D1220="",Raw!E1220="",Raw!F1220="",Raw!G1220=""),"UNUSED",IF(A1220="","missing line ID",IF(B1220="","missing transaction ID",IF(G1220="",IF(C1220="","missing date","invalid date"),IF(I1220="","unknown product",IF(J1220="","conflicting category",IF(NOT(OR(EXACT(K1220,"sale"),EXACT(K1220,"refund"))),"unknown event",IF(OR(N1220="",NOT(O1220)),"invalid amount",IF(OR(AND(K1220="sale",N1220&lt;=0),AND(K1220="refund",N1220&gt;=0)),"invalid sign","")))))))))</f>
        <v/>
      </c>
      <c r="U1220" s="1" t="str">
        <f t="shared" si="149"/>
        <v>INCLUDED</v>
      </c>
      <c r="V1220" s="1" t="str">
        <f t="shared" si="150"/>
        <v>2026-01</v>
      </c>
      <c r="W1220" s="1">
        <f>IF(AND(U1220="INCLUDED",X1220&gt;0,EXACT(A1220,'AI output'!A1220)),1,0)</f>
        <v>1</v>
      </c>
      <c r="X1220" s="1">
        <f>1220</f>
        <v>1220</v>
      </c>
      <c r="Y1220" s="1">
        <f>IF(AND(U1220="INCLUDED",W1220=1),--(NOT(EXACT(A1220,'AI output'!A1220)))+--(NOT(EXACT(B1220,'AI output'!B1220)))+--(NOT(EXACT(TEXT(G1220,"yyyy-mm-dd"),'AI output'!C1220)))+--(NOT(EXACT(H1220,'AI output'!D1220)))+--(NOT(EXACT(J1220,'AI output'!E1220)))+--(NOT(EXACT(K1220,'AI output'!F1220)))+--(N1220&lt;&gt;'AI output'!L1220)+--(NOT('AI output'!M1220)),0)</f>
        <v>0</v>
      </c>
      <c r="Z1220" s="1">
        <f t="shared" si="151"/>
        <v>0</v>
      </c>
      <c r="AA1220" s="1">
        <f>--EXACT(A1220,"L01214")</f>
        <v>1</v>
      </c>
    </row>
    <row r="1221" spans="1:27" ht="18.95" customHeight="1">
      <c r="A1221" s="1" t="str">
        <f>IF(Raw!A1221="","",Raw!A1221)</f>
        <v>L01215</v>
      </c>
      <c r="B1221" s="1" t="str">
        <f>IF(Raw!B1221="","",Raw!B1221)</f>
        <v>T00608</v>
      </c>
      <c r="C1221" s="1" t="str">
        <f>IF(Raw!C1221="","",Raw!C1221)</f>
        <v>2026-01-20</v>
      </c>
      <c r="D1221" s="1">
        <f t="shared" si="144"/>
        <v>2026</v>
      </c>
      <c r="E1221" s="1">
        <f>IFERROR(IF(AND(LEN(C1221)=10,MID(C1221,5,1)="-",MID(C1221,8,1)="-"),VALUE(MID(C1221,6,2)),IF(AND(LEN(C1221)=11,MID(C1221,3,1)="-",MID(C1221,7,1)="-"),MATCH(UPPER(MID(C1221,4,3)),Guide!$D$7:$D$18,0),0)),0)</f>
        <v>1</v>
      </c>
      <c r="F1221" s="1">
        <f t="shared" si="145"/>
        <v>20</v>
      </c>
      <c r="G1221" s="9">
        <f t="shared" si="146"/>
        <v>46042</v>
      </c>
      <c r="H1221" s="1" t="str">
        <f>IF(Raw!D1221="","",Raw!D1221)</f>
        <v>P-O</v>
      </c>
      <c r="I1221" s="1" t="str">
        <f>IFERROR(IF(EXACT(H1221,INDEX(Guide!$A$7:$A$9,MATCH(SUBSTITUTE(SUBSTITUTE(SUBSTITUTE(H1221,"~","~~"),"*","~*"),"?","~?"),Guide!$A$7:$A$9,0))),INDEX(Guide!$B$7:$B$9,MATCH(SUBSTITUTE(SUBSTITUTE(SUBSTITUTE(H1221,"~","~~"),"*","~*"),"?","~?"),Guide!$A$7:$A$9,0)),""),"")</f>
        <v>Office</v>
      </c>
      <c r="J1221" s="1" t="str">
        <f>IF(TRIM(Raw!E1221)="",I1221,IF(UPPER(TRIM(Raw!E1221))=UPPER(I1221),I1221,""))</f>
        <v>Office</v>
      </c>
      <c r="K1221" s="1" t="str">
        <f>IF(Raw!F1221="","",Raw!F1221)</f>
        <v>sale</v>
      </c>
      <c r="L1221" s="1" t="str">
        <f>IF(LEFT(TRIM(Raw!G1221),2)="-$","-"&amp;MID(TRIM(Raw!G1221),3,99),IF(LEFT(TRIM(Raw!G1221),1)="$",MID(TRIM(Raw!G1221),2,99),TRIM(Raw!G1221)))</f>
        <v>376.68</v>
      </c>
      <c r="M1221" s="1">
        <f t="shared" si="147"/>
        <v>376.68</v>
      </c>
      <c r="N1221" s="10">
        <f t="shared" si="148"/>
        <v>37668</v>
      </c>
      <c r="O1221" s="1" t="b">
        <f>IFERROR(IF(ISNUMBER(Raw!G1221),TRUE,OR(EXACT(L1221,TEXT(M1221,"0.00")),EXACT(L1221,TEXT(M1221,"#,##0.00")))),FALSE)</f>
        <v>1</v>
      </c>
      <c r="P1221" s="1" t="str">
        <f>LEN(IF(Raw!A1221="","",Raw!A1221))&amp;":"&amp;IF(Raw!A1221="","",Raw!A1221)&amp;"|"&amp;LEN(IF(Raw!B1221="","",Raw!B1221))&amp;":"&amp;IF(Raw!B1221="","",Raw!B1221)&amp;"|"&amp;LEN(IF(Raw!C1221="","",Raw!C1221))&amp;":"&amp;IF(Raw!C1221="","",Raw!C1221)&amp;"|"&amp;LEN(IF(Raw!D1221="","",Raw!D1221))&amp;":"&amp;IF(Raw!D1221="","",Raw!D1221)&amp;"|"&amp;LEN(IF(Raw!E1221="","",Raw!E1221))&amp;":"&amp;IF(Raw!E1221="","",Raw!E1221)&amp;"|"&amp;LEN(IF(Raw!F1221="","",Raw!F1221))&amp;":"&amp;IF(Raw!F1221="","",Raw!F1221)&amp;"|"&amp;LEN(IF(Raw!G1221="","",Raw!G1221))&amp;":"&amp;IF(Raw!G1221="","",Raw!G1221)</f>
        <v>6:L01215|6:T00608|10:2026-01-20|3:P-O|6:Office|4:sale|6:376.68</v>
      </c>
      <c r="Q1221" s="1">
        <f>1</f>
        <v>1</v>
      </c>
      <c r="R1221" s="1" t="b">
        <f>FALSE</f>
        <v>0</v>
      </c>
      <c r="S1221" s="1">
        <f>1</f>
        <v>1</v>
      </c>
      <c r="T1221" s="1" t="str">
        <f>IF(AND(Raw!A1221="",Raw!B1221="",Raw!C1221="",Raw!D1221="",Raw!E1221="",Raw!F1221="",Raw!G1221=""),"UNUSED",IF(A1221="","missing line ID",IF(B1221="","missing transaction ID",IF(G1221="",IF(C1221="","missing date","invalid date"),IF(I1221="","unknown product",IF(J1221="","conflicting category",IF(NOT(OR(EXACT(K1221,"sale"),EXACT(K1221,"refund"))),"unknown event",IF(OR(N1221="",NOT(O1221)),"invalid amount",IF(OR(AND(K1221="sale",N1221&lt;=0),AND(K1221="refund",N1221&gt;=0)),"invalid sign","")))))))))</f>
        <v/>
      </c>
      <c r="U1221" s="1" t="str">
        <f t="shared" si="149"/>
        <v>INCLUDED</v>
      </c>
      <c r="V1221" s="1" t="str">
        <f t="shared" si="150"/>
        <v>2026-01</v>
      </c>
      <c r="W1221" s="1">
        <f>IF(AND(U1221="INCLUDED",X1221&gt;0,EXACT(A1221,'AI output'!A1221)),1,0)</f>
        <v>1</v>
      </c>
      <c r="X1221" s="1">
        <f>1221</f>
        <v>1221</v>
      </c>
      <c r="Y1221" s="1">
        <f>IF(AND(U1221="INCLUDED",W1221=1),--(NOT(EXACT(A1221,'AI output'!A1221)))+--(NOT(EXACT(B1221,'AI output'!B1221)))+--(NOT(EXACT(TEXT(G1221,"yyyy-mm-dd"),'AI output'!C1221)))+--(NOT(EXACT(H1221,'AI output'!D1221)))+--(NOT(EXACT(J1221,'AI output'!E1221)))+--(NOT(EXACT(K1221,'AI output'!F1221)))+--(N1221&lt;&gt;'AI output'!L1221)+--(NOT('AI output'!M1221)),0)</f>
        <v>0</v>
      </c>
      <c r="Z1221" s="1">
        <f t="shared" si="151"/>
        <v>0</v>
      </c>
      <c r="AA1221" s="1">
        <f>--EXACT(A1221,"L01215")</f>
        <v>1</v>
      </c>
    </row>
    <row r="1222" spans="1:27" ht="18.95" customHeight="1">
      <c r="A1222" s="1" t="str">
        <f>IF(Raw!A1222="","",Raw!A1222)</f>
        <v>L01216</v>
      </c>
      <c r="B1222" s="1" t="str">
        <f>IF(Raw!B1222="","",Raw!B1222)</f>
        <v>T00608</v>
      </c>
      <c r="C1222" s="1" t="str">
        <f>IF(Raw!C1222="","",Raw!C1222)</f>
        <v>2026-01-20</v>
      </c>
      <c r="D1222" s="1">
        <f t="shared" si="144"/>
        <v>2026</v>
      </c>
      <c r="E1222" s="1">
        <f>IFERROR(IF(AND(LEN(C1222)=10,MID(C1222,5,1)="-",MID(C1222,8,1)="-"),VALUE(MID(C1222,6,2)),IF(AND(LEN(C1222)=11,MID(C1222,3,1)="-",MID(C1222,7,1)="-"),MATCH(UPPER(MID(C1222,4,3)),Guide!$D$7:$D$18,0),0)),0)</f>
        <v>1</v>
      </c>
      <c r="F1222" s="1">
        <f t="shared" si="145"/>
        <v>20</v>
      </c>
      <c r="G1222" s="9">
        <f t="shared" si="146"/>
        <v>46042</v>
      </c>
      <c r="H1222" s="1" t="str">
        <f>IF(Raw!D1222="","",Raw!D1222)</f>
        <v>P-A</v>
      </c>
      <c r="I1222" s="1" t="str">
        <f>IFERROR(IF(EXACT(H1222,INDEX(Guide!$A$7:$A$9,MATCH(SUBSTITUTE(SUBSTITUTE(SUBSTITUTE(H1222,"~","~~"),"*","~*"),"?","~?"),Guide!$A$7:$A$9,0))),INDEX(Guide!$B$7:$B$9,MATCH(SUBSTITUTE(SUBSTITUTE(SUBSTITUTE(H1222,"~","~~"),"*","~*"),"?","~?"),Guide!$A$7:$A$9,0)),""),"")</f>
        <v>Accessories</v>
      </c>
      <c r="J1222" s="1" t="str">
        <f>IF(TRIM(Raw!E1222)="",I1222,IF(UPPER(TRIM(Raw!E1222))=UPPER(I1222),I1222,""))</f>
        <v>Accessories</v>
      </c>
      <c r="K1222" s="1" t="str">
        <f>IF(Raw!F1222="","",Raw!F1222)</f>
        <v>sale</v>
      </c>
      <c r="L1222" s="1" t="str">
        <f>IF(LEFT(TRIM(Raw!G1222),2)="-$","-"&amp;MID(TRIM(Raw!G1222),3,99),IF(LEFT(TRIM(Raw!G1222),1)="$",MID(TRIM(Raw!G1222),2,99),TRIM(Raw!G1222)))</f>
        <v>94.54</v>
      </c>
      <c r="M1222" s="1">
        <f t="shared" si="147"/>
        <v>94.54</v>
      </c>
      <c r="N1222" s="10">
        <f t="shared" si="148"/>
        <v>9454</v>
      </c>
      <c r="O1222" s="1" t="b">
        <f>IFERROR(IF(ISNUMBER(Raw!G1222),TRUE,OR(EXACT(L1222,TEXT(M1222,"0.00")),EXACT(L1222,TEXT(M1222,"#,##0.00")))),FALSE)</f>
        <v>1</v>
      </c>
      <c r="P1222" s="1" t="str">
        <f>LEN(IF(Raw!A1222="","",Raw!A1222))&amp;":"&amp;IF(Raw!A1222="","",Raw!A1222)&amp;"|"&amp;LEN(IF(Raw!B1222="","",Raw!B1222))&amp;":"&amp;IF(Raw!B1222="","",Raw!B1222)&amp;"|"&amp;LEN(IF(Raw!C1222="","",Raw!C1222))&amp;":"&amp;IF(Raw!C1222="","",Raw!C1222)&amp;"|"&amp;LEN(IF(Raw!D1222="","",Raw!D1222))&amp;":"&amp;IF(Raw!D1222="","",Raw!D1222)&amp;"|"&amp;LEN(IF(Raw!E1222="","",Raw!E1222))&amp;":"&amp;IF(Raw!E1222="","",Raw!E1222)&amp;"|"&amp;LEN(IF(Raw!F1222="","",Raw!F1222))&amp;":"&amp;IF(Raw!F1222="","",Raw!F1222)&amp;"|"&amp;LEN(IF(Raw!G1222="","",Raw!G1222))&amp;":"&amp;IF(Raw!G1222="","",Raw!G1222)</f>
        <v>6:L01216|6:T00608|10:2026-01-20|3:P-A|11:Accessories|4:sale|5:94.54</v>
      </c>
      <c r="Q1222" s="1">
        <f>1</f>
        <v>1</v>
      </c>
      <c r="R1222" s="1" t="b">
        <f>FALSE</f>
        <v>0</v>
      </c>
      <c r="S1222" s="1">
        <f>1</f>
        <v>1</v>
      </c>
      <c r="T1222" s="1" t="str">
        <f>IF(AND(Raw!A1222="",Raw!B1222="",Raw!C1222="",Raw!D1222="",Raw!E1222="",Raw!F1222="",Raw!G1222=""),"UNUSED",IF(A1222="","missing line ID",IF(B1222="","missing transaction ID",IF(G1222="",IF(C1222="","missing date","invalid date"),IF(I1222="","unknown product",IF(J1222="","conflicting category",IF(NOT(OR(EXACT(K1222,"sale"),EXACT(K1222,"refund"))),"unknown event",IF(OR(N1222="",NOT(O1222)),"invalid amount",IF(OR(AND(K1222="sale",N1222&lt;=0),AND(K1222="refund",N1222&gt;=0)),"invalid sign","")))))))))</f>
        <v/>
      </c>
      <c r="U1222" s="1" t="str">
        <f t="shared" si="149"/>
        <v>INCLUDED</v>
      </c>
      <c r="V1222" s="1" t="str">
        <f t="shared" si="150"/>
        <v>2026-01</v>
      </c>
      <c r="W1222" s="1">
        <f>IF(AND(U1222="INCLUDED",X1222&gt;0,EXACT(A1222,'AI output'!A1222)),1,0)</f>
        <v>1</v>
      </c>
      <c r="X1222" s="1">
        <f>1222</f>
        <v>1222</v>
      </c>
      <c r="Y1222" s="1">
        <f>IF(AND(U1222="INCLUDED",W1222=1),--(NOT(EXACT(A1222,'AI output'!A1222)))+--(NOT(EXACT(B1222,'AI output'!B1222)))+--(NOT(EXACT(TEXT(G1222,"yyyy-mm-dd"),'AI output'!C1222)))+--(NOT(EXACT(H1222,'AI output'!D1222)))+--(NOT(EXACT(J1222,'AI output'!E1222)))+--(NOT(EXACT(K1222,'AI output'!F1222)))+--(N1222&lt;&gt;'AI output'!L1222)+--(NOT('AI output'!M1222)),0)</f>
        <v>0</v>
      </c>
      <c r="Z1222" s="1">
        <f t="shared" si="151"/>
        <v>0</v>
      </c>
      <c r="AA1222" s="1">
        <f>--EXACT(A1222,"L01216")</f>
        <v>1</v>
      </c>
    </row>
    <row r="1223" spans="1:27" ht="18.95" customHeight="1">
      <c r="A1223" s="1" t="str">
        <f>IF(Raw!A1223="","",Raw!A1223)</f>
        <v>L01217</v>
      </c>
      <c r="B1223" s="1" t="str">
        <f>IF(Raw!B1223="","",Raw!B1223)</f>
        <v>T00609</v>
      </c>
      <c r="C1223" s="1" t="str">
        <f>IF(Raw!C1223="","",Raw!C1223)</f>
        <v>2026-01-27</v>
      </c>
      <c r="D1223" s="1">
        <f t="shared" ref="D1223:D1286" si="152">IFERROR(IF(AND(LEN(C1223)=10,MID(C1223,5,1)="-",MID(C1223,8,1)="-"),VALUE(LEFT(C1223,4)),IF(AND(LEN(C1223)=11,MID(C1223,3,1)="-",MID(C1223,7,1)="-"),VALUE(RIGHT(C1223,4)),0)),0)</f>
        <v>2026</v>
      </c>
      <c r="E1223" s="1">
        <f>IFERROR(IF(AND(LEN(C1223)=10,MID(C1223,5,1)="-",MID(C1223,8,1)="-"),VALUE(MID(C1223,6,2)),IF(AND(LEN(C1223)=11,MID(C1223,3,1)="-",MID(C1223,7,1)="-"),MATCH(UPPER(MID(C1223,4,3)),Guide!$D$7:$D$18,0),0)),0)</f>
        <v>1</v>
      </c>
      <c r="F1223" s="1">
        <f t="shared" ref="F1223:F1286" si="153">IFERROR(IF(AND(LEN(C1223)=10,MID(C1223,5,1)="-",MID(C1223,8,1)="-"),VALUE(RIGHT(C1223,2)),IF(AND(LEN(C1223)=11,MID(C1223,3,1)="-",MID(C1223,7,1)="-"),VALUE(LEFT(C1223,2)),0)),0)</f>
        <v>27</v>
      </c>
      <c r="G1223" s="9">
        <f t="shared" ref="G1223:G1286" si="154">IFERROR(IF(AND(D1223&gt;=1900,D1223&lt;=9999,YEAR(DATE(D1223,E1223,F1223))=D1223,MONTH(DATE(D1223,E1223,F1223))=E1223,DAY(DATE(D1223,E1223,F1223))=F1223),DATE(D1223,E1223,F1223),""),"")</f>
        <v>46049</v>
      </c>
      <c r="H1223" s="1" t="str">
        <f>IF(Raw!D1223="","",Raw!D1223)</f>
        <v>P-H</v>
      </c>
      <c r="I1223" s="1" t="str">
        <f>IFERROR(IF(EXACT(H1223,INDEX(Guide!$A$7:$A$9,MATCH(SUBSTITUTE(SUBSTITUTE(SUBSTITUTE(H1223,"~","~~"),"*","~*"),"?","~?"),Guide!$A$7:$A$9,0))),INDEX(Guide!$B$7:$B$9,MATCH(SUBSTITUTE(SUBSTITUTE(SUBSTITUTE(H1223,"~","~~"),"*","~*"),"?","~?"),Guide!$A$7:$A$9,0)),""),"")</f>
        <v>Home</v>
      </c>
      <c r="J1223" s="1" t="str">
        <f>IF(TRIM(Raw!E1223)="",I1223,IF(UPPER(TRIM(Raw!E1223))=UPPER(I1223),I1223,""))</f>
        <v>Home</v>
      </c>
      <c r="K1223" s="1" t="str">
        <f>IF(Raw!F1223="","",Raw!F1223)</f>
        <v>sale</v>
      </c>
      <c r="L1223" s="1" t="str">
        <f>IF(LEFT(TRIM(Raw!G1223),2)="-$","-"&amp;MID(TRIM(Raw!G1223),3,99),IF(LEFT(TRIM(Raw!G1223),1)="$",MID(TRIM(Raw!G1223),2,99),TRIM(Raw!G1223)))</f>
        <v>284.73</v>
      </c>
      <c r="M1223" s="1">
        <f t="shared" ref="M1223:M1286" si="155">IFERROR(VALUE(L1223),"")</f>
        <v>284.73</v>
      </c>
      <c r="N1223" s="10">
        <f t="shared" ref="N1223:N1286" si="156">IF(AND(ISNUMBER(M1223),ABS(M1223*100-ROUND(M1223*100,0))&lt;0.0000001),ROUND(M1223*100,0),"")</f>
        <v>28473</v>
      </c>
      <c r="O1223" s="1" t="b">
        <f>IFERROR(IF(ISNUMBER(Raw!G1223),TRUE,OR(EXACT(L1223,TEXT(M1223,"0.00")),EXACT(L1223,TEXT(M1223,"#,##0.00")))),FALSE)</f>
        <v>1</v>
      </c>
      <c r="P1223" s="1" t="str">
        <f>LEN(IF(Raw!A1223="","",Raw!A1223))&amp;":"&amp;IF(Raw!A1223="","",Raw!A1223)&amp;"|"&amp;LEN(IF(Raw!B1223="","",Raw!B1223))&amp;":"&amp;IF(Raw!B1223="","",Raw!B1223)&amp;"|"&amp;LEN(IF(Raw!C1223="","",Raw!C1223))&amp;":"&amp;IF(Raw!C1223="","",Raw!C1223)&amp;"|"&amp;LEN(IF(Raw!D1223="","",Raw!D1223))&amp;":"&amp;IF(Raw!D1223="","",Raw!D1223)&amp;"|"&amp;LEN(IF(Raw!E1223="","",Raw!E1223))&amp;":"&amp;IF(Raw!E1223="","",Raw!E1223)&amp;"|"&amp;LEN(IF(Raw!F1223="","",Raw!F1223))&amp;":"&amp;IF(Raw!F1223="","",Raw!F1223)&amp;"|"&amp;LEN(IF(Raw!G1223="","",Raw!G1223))&amp;":"&amp;IF(Raw!G1223="","",Raw!G1223)</f>
        <v>6:L01217|6:T00609|10:2026-01-27|3:P-H|4:Home|4:sale|6:284.73</v>
      </c>
      <c r="Q1223" s="1">
        <f>1</f>
        <v>1</v>
      </c>
      <c r="R1223" s="1" t="b">
        <f>FALSE</f>
        <v>0</v>
      </c>
      <c r="S1223" s="1">
        <f>1</f>
        <v>1</v>
      </c>
      <c r="T1223" s="1" t="str">
        <f>IF(AND(Raw!A1223="",Raw!B1223="",Raw!C1223="",Raw!D1223="",Raw!E1223="",Raw!F1223="",Raw!G1223=""),"UNUSED",IF(A1223="","missing line ID",IF(B1223="","missing transaction ID",IF(G1223="",IF(C1223="","missing date","invalid date"),IF(I1223="","unknown product",IF(J1223="","conflicting category",IF(NOT(OR(EXACT(K1223,"sale"),EXACT(K1223,"refund"))),"unknown event",IF(OR(N1223="",NOT(O1223)),"invalid amount",IF(OR(AND(K1223="sale",N1223&lt;=0),AND(K1223="refund",N1223&gt;=0)),"invalid sign","")))))))))</f>
        <v/>
      </c>
      <c r="U1223" s="1" t="str">
        <f t="shared" ref="U1223:U1286" si="157">IF(T1223="UNUSED","UNUSED",IF(R1223,"QUARANTINE",IF(S1223&gt;1,"DUPLICATE",IF(T1223&lt;&gt;"","QUARANTINE","INCLUDED"))))</f>
        <v>INCLUDED</v>
      </c>
      <c r="V1223" s="1" t="str">
        <f t="shared" ref="V1223:V1286" si="158">IF(G1223="","",TEXT(G1223,"yyyy-mm"))</f>
        <v>2026-01</v>
      </c>
      <c r="W1223" s="1">
        <f>IF(AND(U1223="INCLUDED",X1223&gt;0,EXACT(A1223,'AI output'!A1223)),1,0)</f>
        <v>1</v>
      </c>
      <c r="X1223" s="1">
        <f>1223</f>
        <v>1223</v>
      </c>
      <c r="Y1223" s="1">
        <f>IF(AND(U1223="INCLUDED",W1223=1),--(NOT(EXACT(A1223,'AI output'!A1223)))+--(NOT(EXACT(B1223,'AI output'!B1223)))+--(NOT(EXACT(TEXT(G1223,"yyyy-mm-dd"),'AI output'!C1223)))+--(NOT(EXACT(H1223,'AI output'!D1223)))+--(NOT(EXACT(J1223,'AI output'!E1223)))+--(NOT(EXACT(K1223,'AI output'!F1223)))+--(N1223&lt;&gt;'AI output'!L1223)+--(NOT('AI output'!M1223)),0)</f>
        <v>0</v>
      </c>
      <c r="Z1223" s="1">
        <f t="shared" ref="Z1223:Z1286" si="159">IF(U1223="INCLUDED",IF(OR(W1223&lt;&gt;1,Y1223&lt;&gt;0),1,0),0)</f>
        <v>0</v>
      </c>
      <c r="AA1223" s="1">
        <f>--EXACT(A1223,"L01217")</f>
        <v>1</v>
      </c>
    </row>
    <row r="1224" spans="1:27" ht="18.95" customHeight="1">
      <c r="A1224" s="1" t="str">
        <f>IF(Raw!A1224="","",Raw!A1224)</f>
        <v>L01218</v>
      </c>
      <c r="B1224" s="1" t="str">
        <f>IF(Raw!B1224="","",Raw!B1224)</f>
        <v>T00609</v>
      </c>
      <c r="C1224" s="1" t="str">
        <f>IF(Raw!C1224="","",Raw!C1224)</f>
        <v>2026-01-27</v>
      </c>
      <c r="D1224" s="1">
        <f t="shared" si="152"/>
        <v>2026</v>
      </c>
      <c r="E1224" s="1">
        <f>IFERROR(IF(AND(LEN(C1224)=10,MID(C1224,5,1)="-",MID(C1224,8,1)="-"),VALUE(MID(C1224,6,2)),IF(AND(LEN(C1224)=11,MID(C1224,3,1)="-",MID(C1224,7,1)="-"),MATCH(UPPER(MID(C1224,4,3)),Guide!$D$7:$D$18,0),0)),0)</f>
        <v>1</v>
      </c>
      <c r="F1224" s="1">
        <f t="shared" si="153"/>
        <v>27</v>
      </c>
      <c r="G1224" s="9">
        <f t="shared" si="154"/>
        <v>46049</v>
      </c>
      <c r="H1224" s="1" t="str">
        <f>IF(Raw!D1224="","",Raw!D1224)</f>
        <v>P-O</v>
      </c>
      <c r="I1224" s="1" t="str">
        <f>IFERROR(IF(EXACT(H1224,INDEX(Guide!$A$7:$A$9,MATCH(SUBSTITUTE(SUBSTITUTE(SUBSTITUTE(H1224,"~","~~"),"*","~*"),"?","~?"),Guide!$A$7:$A$9,0))),INDEX(Guide!$B$7:$B$9,MATCH(SUBSTITUTE(SUBSTITUTE(SUBSTITUTE(H1224,"~","~~"),"*","~*"),"?","~?"),Guide!$A$7:$A$9,0)),""),"")</f>
        <v>Office</v>
      </c>
      <c r="J1224" s="1" t="str">
        <f>IF(TRIM(Raw!E1224)="",I1224,IF(UPPER(TRIM(Raw!E1224))=UPPER(I1224),I1224,""))</f>
        <v>Office</v>
      </c>
      <c r="K1224" s="1" t="str">
        <f>IF(Raw!F1224="","",Raw!F1224)</f>
        <v>sale</v>
      </c>
      <c r="L1224" s="1" t="str">
        <f>IF(LEFT(TRIM(Raw!G1224),2)="-$","-"&amp;MID(TRIM(Raw!G1224),3,99),IF(LEFT(TRIM(Raw!G1224),1)="$",MID(TRIM(Raw!G1224),2,99),TRIM(Raw!G1224)))</f>
        <v>476.40</v>
      </c>
      <c r="M1224" s="1">
        <f t="shared" si="155"/>
        <v>476.4</v>
      </c>
      <c r="N1224" s="10">
        <f t="shared" si="156"/>
        <v>47640</v>
      </c>
      <c r="O1224" s="1" t="b">
        <f>IFERROR(IF(ISNUMBER(Raw!G1224),TRUE,OR(EXACT(L1224,TEXT(M1224,"0.00")),EXACT(L1224,TEXT(M1224,"#,##0.00")))),FALSE)</f>
        <v>1</v>
      </c>
      <c r="P1224" s="1" t="str">
        <f>LEN(IF(Raw!A1224="","",Raw!A1224))&amp;":"&amp;IF(Raw!A1224="","",Raw!A1224)&amp;"|"&amp;LEN(IF(Raw!B1224="","",Raw!B1224))&amp;":"&amp;IF(Raw!B1224="","",Raw!B1224)&amp;"|"&amp;LEN(IF(Raw!C1224="","",Raw!C1224))&amp;":"&amp;IF(Raw!C1224="","",Raw!C1224)&amp;"|"&amp;LEN(IF(Raw!D1224="","",Raw!D1224))&amp;":"&amp;IF(Raw!D1224="","",Raw!D1224)&amp;"|"&amp;LEN(IF(Raw!E1224="","",Raw!E1224))&amp;":"&amp;IF(Raw!E1224="","",Raw!E1224)&amp;"|"&amp;LEN(IF(Raw!F1224="","",Raw!F1224))&amp;":"&amp;IF(Raw!F1224="","",Raw!F1224)&amp;"|"&amp;LEN(IF(Raw!G1224="","",Raw!G1224))&amp;":"&amp;IF(Raw!G1224="","",Raw!G1224)</f>
        <v>6:L01218|6:T00609|10:2026-01-27|3:P-O|6:Office|4:sale|6:476.40</v>
      </c>
      <c r="Q1224" s="1">
        <f>1</f>
        <v>1</v>
      </c>
      <c r="R1224" s="1" t="b">
        <f>FALSE</f>
        <v>0</v>
      </c>
      <c r="S1224" s="1">
        <f>1</f>
        <v>1</v>
      </c>
      <c r="T1224" s="1" t="str">
        <f>IF(AND(Raw!A1224="",Raw!B1224="",Raw!C1224="",Raw!D1224="",Raw!E1224="",Raw!F1224="",Raw!G1224=""),"UNUSED",IF(A1224="","missing line ID",IF(B1224="","missing transaction ID",IF(G1224="",IF(C1224="","missing date","invalid date"),IF(I1224="","unknown product",IF(J1224="","conflicting category",IF(NOT(OR(EXACT(K1224,"sale"),EXACT(K1224,"refund"))),"unknown event",IF(OR(N1224="",NOT(O1224)),"invalid amount",IF(OR(AND(K1224="sale",N1224&lt;=0),AND(K1224="refund",N1224&gt;=0)),"invalid sign","")))))))))</f>
        <v/>
      </c>
      <c r="U1224" s="1" t="str">
        <f t="shared" si="157"/>
        <v>INCLUDED</v>
      </c>
      <c r="V1224" s="1" t="str">
        <f t="shared" si="158"/>
        <v>2026-01</v>
      </c>
      <c r="W1224" s="1">
        <f>IF(AND(U1224="INCLUDED",X1224&gt;0,EXACT(A1224,'AI output'!A1224)),1,0)</f>
        <v>1</v>
      </c>
      <c r="X1224" s="1">
        <f>1224</f>
        <v>1224</v>
      </c>
      <c r="Y1224" s="1">
        <f>IF(AND(U1224="INCLUDED",W1224=1),--(NOT(EXACT(A1224,'AI output'!A1224)))+--(NOT(EXACT(B1224,'AI output'!B1224)))+--(NOT(EXACT(TEXT(G1224,"yyyy-mm-dd"),'AI output'!C1224)))+--(NOT(EXACT(H1224,'AI output'!D1224)))+--(NOT(EXACT(J1224,'AI output'!E1224)))+--(NOT(EXACT(K1224,'AI output'!F1224)))+--(N1224&lt;&gt;'AI output'!L1224)+--(NOT('AI output'!M1224)),0)</f>
        <v>0</v>
      </c>
      <c r="Z1224" s="1">
        <f t="shared" si="159"/>
        <v>0</v>
      </c>
      <c r="AA1224" s="1">
        <f>--EXACT(A1224,"L01218")</f>
        <v>1</v>
      </c>
    </row>
    <row r="1225" spans="1:27" ht="18.95" customHeight="1">
      <c r="A1225" s="1" t="str">
        <f>IF(Raw!A1225="","",Raw!A1225)</f>
        <v>L01219</v>
      </c>
      <c r="B1225" s="1" t="str">
        <f>IF(Raw!B1225="","",Raw!B1225)</f>
        <v>T00610</v>
      </c>
      <c r="C1225" s="1" t="str">
        <f>IF(Raw!C1225="","",Raw!C1225)</f>
        <v>2026-02-03</v>
      </c>
      <c r="D1225" s="1">
        <f t="shared" si="152"/>
        <v>2026</v>
      </c>
      <c r="E1225" s="1">
        <f>IFERROR(IF(AND(LEN(C1225)=10,MID(C1225,5,1)="-",MID(C1225,8,1)="-"),VALUE(MID(C1225,6,2)),IF(AND(LEN(C1225)=11,MID(C1225,3,1)="-",MID(C1225,7,1)="-"),MATCH(UPPER(MID(C1225,4,3)),Guide!$D$7:$D$18,0),0)),0)</f>
        <v>2</v>
      </c>
      <c r="F1225" s="1">
        <f t="shared" si="153"/>
        <v>3</v>
      </c>
      <c r="G1225" s="9">
        <f t="shared" si="154"/>
        <v>46056</v>
      </c>
      <c r="H1225" s="1" t="str">
        <f>IF(Raw!D1225="","",Raw!D1225)</f>
        <v>P-A</v>
      </c>
      <c r="I1225" s="1" t="str">
        <f>IFERROR(IF(EXACT(H1225,INDEX(Guide!$A$7:$A$9,MATCH(SUBSTITUTE(SUBSTITUTE(SUBSTITUTE(H1225,"~","~~"),"*","~*"),"?","~?"),Guide!$A$7:$A$9,0))),INDEX(Guide!$B$7:$B$9,MATCH(SUBSTITUTE(SUBSTITUTE(SUBSTITUTE(H1225,"~","~~"),"*","~*"),"?","~?"),Guide!$A$7:$A$9,0)),""),"")</f>
        <v>Accessories</v>
      </c>
      <c r="J1225" s="1" t="str">
        <f>IF(TRIM(Raw!E1225)="",I1225,IF(UPPER(TRIM(Raw!E1225))=UPPER(I1225),I1225,""))</f>
        <v>Accessories</v>
      </c>
      <c r="K1225" s="1" t="str">
        <f>IF(Raw!F1225="","",Raw!F1225)</f>
        <v>sale</v>
      </c>
      <c r="L1225" s="1" t="str">
        <f>IF(LEFT(TRIM(Raw!G1225),2)="-$","-"&amp;MID(TRIM(Raw!G1225),3,99),IF(LEFT(TRIM(Raw!G1225),1)="$",MID(TRIM(Raw!G1225),2,99),TRIM(Raw!G1225)))</f>
        <v>191.30</v>
      </c>
      <c r="M1225" s="1">
        <f t="shared" si="155"/>
        <v>191.3</v>
      </c>
      <c r="N1225" s="10">
        <f t="shared" si="156"/>
        <v>19130</v>
      </c>
      <c r="O1225" s="1" t="b">
        <f>IFERROR(IF(ISNUMBER(Raw!G1225),TRUE,OR(EXACT(L1225,TEXT(M1225,"0.00")),EXACT(L1225,TEXT(M1225,"#,##0.00")))),FALSE)</f>
        <v>1</v>
      </c>
      <c r="P1225" s="1" t="str">
        <f>LEN(IF(Raw!A1225="","",Raw!A1225))&amp;":"&amp;IF(Raw!A1225="","",Raw!A1225)&amp;"|"&amp;LEN(IF(Raw!B1225="","",Raw!B1225))&amp;":"&amp;IF(Raw!B1225="","",Raw!B1225)&amp;"|"&amp;LEN(IF(Raw!C1225="","",Raw!C1225))&amp;":"&amp;IF(Raw!C1225="","",Raw!C1225)&amp;"|"&amp;LEN(IF(Raw!D1225="","",Raw!D1225))&amp;":"&amp;IF(Raw!D1225="","",Raw!D1225)&amp;"|"&amp;LEN(IF(Raw!E1225="","",Raw!E1225))&amp;":"&amp;IF(Raw!E1225="","",Raw!E1225)&amp;"|"&amp;LEN(IF(Raw!F1225="","",Raw!F1225))&amp;":"&amp;IF(Raw!F1225="","",Raw!F1225)&amp;"|"&amp;LEN(IF(Raw!G1225="","",Raw!G1225))&amp;":"&amp;IF(Raw!G1225="","",Raw!G1225)</f>
        <v>6:L01219|6:T00610|10:2026-02-03|3:P-A|11:Accessories|4:sale|6:191.30</v>
      </c>
      <c r="Q1225" s="1">
        <f>1</f>
        <v>1</v>
      </c>
      <c r="R1225" s="1" t="b">
        <f>FALSE</f>
        <v>0</v>
      </c>
      <c r="S1225" s="1">
        <f>1</f>
        <v>1</v>
      </c>
      <c r="T1225" s="1" t="str">
        <f>IF(AND(Raw!A1225="",Raw!B1225="",Raw!C1225="",Raw!D1225="",Raw!E1225="",Raw!F1225="",Raw!G1225=""),"UNUSED",IF(A1225="","missing line ID",IF(B1225="","missing transaction ID",IF(G1225="",IF(C1225="","missing date","invalid date"),IF(I1225="","unknown product",IF(J1225="","conflicting category",IF(NOT(OR(EXACT(K1225,"sale"),EXACT(K1225,"refund"))),"unknown event",IF(OR(N1225="",NOT(O1225)),"invalid amount",IF(OR(AND(K1225="sale",N1225&lt;=0),AND(K1225="refund",N1225&gt;=0)),"invalid sign","")))))))))</f>
        <v/>
      </c>
      <c r="U1225" s="1" t="str">
        <f t="shared" si="157"/>
        <v>INCLUDED</v>
      </c>
      <c r="V1225" s="1" t="str">
        <f t="shared" si="158"/>
        <v>2026-02</v>
      </c>
      <c r="W1225" s="1">
        <f>IF(AND(U1225="INCLUDED",X1225&gt;0,EXACT(A1225,'AI output'!A1225)),1,0)</f>
        <v>1</v>
      </c>
      <c r="X1225" s="1">
        <f>1225</f>
        <v>1225</v>
      </c>
      <c r="Y1225" s="1">
        <f>IF(AND(U1225="INCLUDED",W1225=1),--(NOT(EXACT(A1225,'AI output'!A1225)))+--(NOT(EXACT(B1225,'AI output'!B1225)))+--(NOT(EXACT(TEXT(G1225,"yyyy-mm-dd"),'AI output'!C1225)))+--(NOT(EXACT(H1225,'AI output'!D1225)))+--(NOT(EXACT(J1225,'AI output'!E1225)))+--(NOT(EXACT(K1225,'AI output'!F1225)))+--(N1225&lt;&gt;'AI output'!L1225)+--(NOT('AI output'!M1225)),0)</f>
        <v>0</v>
      </c>
      <c r="Z1225" s="1">
        <f t="shared" si="159"/>
        <v>0</v>
      </c>
      <c r="AA1225" s="1">
        <f>--EXACT(A1225,"L01219")</f>
        <v>1</v>
      </c>
    </row>
    <row r="1226" spans="1:27" ht="18.95" customHeight="1">
      <c r="A1226" s="1" t="str">
        <f>IF(Raw!A1226="","",Raw!A1226)</f>
        <v>L01220</v>
      </c>
      <c r="B1226" s="1" t="str">
        <f>IF(Raw!B1226="","",Raw!B1226)</f>
        <v>T00610</v>
      </c>
      <c r="C1226" s="1" t="str">
        <f>IF(Raw!C1226="","",Raw!C1226)</f>
        <v>2026-02-03</v>
      </c>
      <c r="D1226" s="1">
        <f t="shared" si="152"/>
        <v>2026</v>
      </c>
      <c r="E1226" s="1">
        <f>IFERROR(IF(AND(LEN(C1226)=10,MID(C1226,5,1)="-",MID(C1226,8,1)="-"),VALUE(MID(C1226,6,2)),IF(AND(LEN(C1226)=11,MID(C1226,3,1)="-",MID(C1226,7,1)="-"),MATCH(UPPER(MID(C1226,4,3)),Guide!$D$7:$D$18,0),0)),0)</f>
        <v>2</v>
      </c>
      <c r="F1226" s="1">
        <f t="shared" si="153"/>
        <v>3</v>
      </c>
      <c r="G1226" s="9">
        <f t="shared" si="154"/>
        <v>46056</v>
      </c>
      <c r="H1226" s="1" t="str">
        <f>IF(Raw!D1226="","",Raw!D1226)</f>
        <v>P-H</v>
      </c>
      <c r="I1226" s="1" t="str">
        <f>IFERROR(IF(EXACT(H1226,INDEX(Guide!$A$7:$A$9,MATCH(SUBSTITUTE(SUBSTITUTE(SUBSTITUTE(H1226,"~","~~"),"*","~*"),"?","~?"),Guide!$A$7:$A$9,0))),INDEX(Guide!$B$7:$B$9,MATCH(SUBSTITUTE(SUBSTITUTE(SUBSTITUTE(H1226,"~","~~"),"*","~*"),"?","~?"),Guide!$A$7:$A$9,0)),""),"")</f>
        <v>Home</v>
      </c>
      <c r="J1226" s="1" t="str">
        <f>IF(TRIM(Raw!E1226)="",I1226,IF(UPPER(TRIM(Raw!E1226))=UPPER(I1226),I1226,""))</f>
        <v>Home</v>
      </c>
      <c r="K1226" s="1" t="str">
        <f>IF(Raw!F1226="","",Raw!F1226)</f>
        <v>refund</v>
      </c>
      <c r="L1226" s="1" t="str">
        <f>IF(LEFT(TRIM(Raw!G1226),2)="-$","-"&amp;MID(TRIM(Raw!G1226),3,99),IF(LEFT(TRIM(Raw!G1226),1)="$",MID(TRIM(Raw!G1226),2,99),TRIM(Raw!G1226)))</f>
        <v>-384.08</v>
      </c>
      <c r="M1226" s="1">
        <f t="shared" si="155"/>
        <v>-384.08</v>
      </c>
      <c r="N1226" s="10">
        <f t="shared" si="156"/>
        <v>-38408</v>
      </c>
      <c r="O1226" s="1" t="b">
        <f>IFERROR(IF(ISNUMBER(Raw!G1226),TRUE,OR(EXACT(L1226,TEXT(M1226,"0.00")),EXACT(L1226,TEXT(M1226,"#,##0.00")))),FALSE)</f>
        <v>1</v>
      </c>
      <c r="P1226" s="1" t="str">
        <f>LEN(IF(Raw!A1226="","",Raw!A1226))&amp;":"&amp;IF(Raw!A1226="","",Raw!A1226)&amp;"|"&amp;LEN(IF(Raw!B1226="","",Raw!B1226))&amp;":"&amp;IF(Raw!B1226="","",Raw!B1226)&amp;"|"&amp;LEN(IF(Raw!C1226="","",Raw!C1226))&amp;":"&amp;IF(Raw!C1226="","",Raw!C1226)&amp;"|"&amp;LEN(IF(Raw!D1226="","",Raw!D1226))&amp;":"&amp;IF(Raw!D1226="","",Raw!D1226)&amp;"|"&amp;LEN(IF(Raw!E1226="","",Raw!E1226))&amp;":"&amp;IF(Raw!E1226="","",Raw!E1226)&amp;"|"&amp;LEN(IF(Raw!F1226="","",Raw!F1226))&amp;":"&amp;IF(Raw!F1226="","",Raw!F1226)&amp;"|"&amp;LEN(IF(Raw!G1226="","",Raw!G1226))&amp;":"&amp;IF(Raw!G1226="","",Raw!G1226)</f>
        <v>6:L01220|6:T00610|10:2026-02-03|3:P-H|4:Home|6:refund|7:-384.08</v>
      </c>
      <c r="Q1226" s="1">
        <f>1</f>
        <v>1</v>
      </c>
      <c r="R1226" s="1" t="b">
        <f>FALSE</f>
        <v>0</v>
      </c>
      <c r="S1226" s="1">
        <f>1</f>
        <v>1</v>
      </c>
      <c r="T1226" s="1" t="str">
        <f>IF(AND(Raw!A1226="",Raw!B1226="",Raw!C1226="",Raw!D1226="",Raw!E1226="",Raw!F1226="",Raw!G1226=""),"UNUSED",IF(A1226="","missing line ID",IF(B1226="","missing transaction ID",IF(G1226="",IF(C1226="","missing date","invalid date"),IF(I1226="","unknown product",IF(J1226="","conflicting category",IF(NOT(OR(EXACT(K1226,"sale"),EXACT(K1226,"refund"))),"unknown event",IF(OR(N1226="",NOT(O1226)),"invalid amount",IF(OR(AND(K1226="sale",N1226&lt;=0),AND(K1226="refund",N1226&gt;=0)),"invalid sign","")))))))))</f>
        <v/>
      </c>
      <c r="U1226" s="1" t="str">
        <f t="shared" si="157"/>
        <v>INCLUDED</v>
      </c>
      <c r="V1226" s="1" t="str">
        <f t="shared" si="158"/>
        <v>2026-02</v>
      </c>
      <c r="W1226" s="1">
        <f>IF(AND(U1226="INCLUDED",X1226&gt;0,EXACT(A1226,'AI output'!A1226)),1,0)</f>
        <v>1</v>
      </c>
      <c r="X1226" s="1">
        <f>1226</f>
        <v>1226</v>
      </c>
      <c r="Y1226" s="1">
        <f>IF(AND(U1226="INCLUDED",W1226=1),--(NOT(EXACT(A1226,'AI output'!A1226)))+--(NOT(EXACT(B1226,'AI output'!B1226)))+--(NOT(EXACT(TEXT(G1226,"yyyy-mm-dd"),'AI output'!C1226)))+--(NOT(EXACT(H1226,'AI output'!D1226)))+--(NOT(EXACT(J1226,'AI output'!E1226)))+--(NOT(EXACT(K1226,'AI output'!F1226)))+--(N1226&lt;&gt;'AI output'!L1226)+--(NOT('AI output'!M1226)),0)</f>
        <v>0</v>
      </c>
      <c r="Z1226" s="1">
        <f t="shared" si="159"/>
        <v>0</v>
      </c>
      <c r="AA1226" s="1">
        <f>--EXACT(A1226,"L01220")</f>
        <v>1</v>
      </c>
    </row>
    <row r="1227" spans="1:27" ht="18.95" customHeight="1">
      <c r="A1227" s="1" t="str">
        <f>IF(Raw!A1227="","",Raw!A1227)</f>
        <v>L01221</v>
      </c>
      <c r="B1227" s="1" t="str">
        <f>IF(Raw!B1227="","",Raw!B1227)</f>
        <v>T00611</v>
      </c>
      <c r="C1227" s="1" t="str">
        <f>IF(Raw!C1227="","",Raw!C1227)</f>
        <v>2026-02-10</v>
      </c>
      <c r="D1227" s="1">
        <f t="shared" si="152"/>
        <v>2026</v>
      </c>
      <c r="E1227" s="1">
        <f>IFERROR(IF(AND(LEN(C1227)=10,MID(C1227,5,1)="-",MID(C1227,8,1)="-"),VALUE(MID(C1227,6,2)),IF(AND(LEN(C1227)=11,MID(C1227,3,1)="-",MID(C1227,7,1)="-"),MATCH(UPPER(MID(C1227,4,3)),Guide!$D$7:$D$18,0),0)),0)</f>
        <v>2</v>
      </c>
      <c r="F1227" s="1">
        <f t="shared" si="153"/>
        <v>10</v>
      </c>
      <c r="G1227" s="9">
        <f t="shared" si="154"/>
        <v>46063</v>
      </c>
      <c r="H1227" s="1" t="str">
        <f>IF(Raw!D1227="","",Raw!D1227)</f>
        <v>P-O</v>
      </c>
      <c r="I1227" s="1" t="str">
        <f>IFERROR(IF(EXACT(H1227,INDEX(Guide!$A$7:$A$9,MATCH(SUBSTITUTE(SUBSTITUTE(SUBSTITUTE(H1227,"~","~~"),"*","~*"),"?","~?"),Guide!$A$7:$A$9,0))),INDEX(Guide!$B$7:$B$9,MATCH(SUBSTITUTE(SUBSTITUTE(SUBSTITUTE(H1227,"~","~~"),"*","~*"),"?","~?"),Guide!$A$7:$A$9,0)),""),"")</f>
        <v>Office</v>
      </c>
      <c r="J1227" s="1" t="str">
        <f>IF(TRIM(Raw!E1227)="",I1227,IF(UPPER(TRIM(Raw!E1227))=UPPER(I1227),I1227,""))</f>
        <v>Office</v>
      </c>
      <c r="K1227" s="1" t="str">
        <f>IF(Raw!F1227="","",Raw!F1227)</f>
        <v>sale</v>
      </c>
      <c r="L1227" s="1" t="str">
        <f>IF(LEFT(TRIM(Raw!G1227),2)="-$","-"&amp;MID(TRIM(Raw!G1227),3,99),IF(LEFT(TRIM(Raw!G1227),1)="$",MID(TRIM(Raw!G1227),2,99),TRIM(Raw!G1227)))</f>
        <v>96.39</v>
      </c>
      <c r="M1227" s="1">
        <f t="shared" si="155"/>
        <v>96.39</v>
      </c>
      <c r="N1227" s="10">
        <f t="shared" si="156"/>
        <v>9639</v>
      </c>
      <c r="O1227" s="1" t="b">
        <f>IFERROR(IF(ISNUMBER(Raw!G1227),TRUE,OR(EXACT(L1227,TEXT(M1227,"0.00")),EXACT(L1227,TEXT(M1227,"#,##0.00")))),FALSE)</f>
        <v>1</v>
      </c>
      <c r="P1227" s="1" t="str">
        <f>LEN(IF(Raw!A1227="","",Raw!A1227))&amp;":"&amp;IF(Raw!A1227="","",Raw!A1227)&amp;"|"&amp;LEN(IF(Raw!B1227="","",Raw!B1227))&amp;":"&amp;IF(Raw!B1227="","",Raw!B1227)&amp;"|"&amp;LEN(IF(Raw!C1227="","",Raw!C1227))&amp;":"&amp;IF(Raw!C1227="","",Raw!C1227)&amp;"|"&amp;LEN(IF(Raw!D1227="","",Raw!D1227))&amp;":"&amp;IF(Raw!D1227="","",Raw!D1227)&amp;"|"&amp;LEN(IF(Raw!E1227="","",Raw!E1227))&amp;":"&amp;IF(Raw!E1227="","",Raw!E1227)&amp;"|"&amp;LEN(IF(Raw!F1227="","",Raw!F1227))&amp;":"&amp;IF(Raw!F1227="","",Raw!F1227)&amp;"|"&amp;LEN(IF(Raw!G1227="","",Raw!G1227))&amp;":"&amp;IF(Raw!G1227="","",Raw!G1227)</f>
        <v>6:L01221|6:T00611|10:2026-02-10|3:P-O|6:Office|4:sale|5:96.39</v>
      </c>
      <c r="Q1227" s="1">
        <f>1</f>
        <v>1</v>
      </c>
      <c r="R1227" s="1" t="b">
        <f>FALSE</f>
        <v>0</v>
      </c>
      <c r="S1227" s="1">
        <f>1</f>
        <v>1</v>
      </c>
      <c r="T1227" s="1" t="str">
        <f>IF(AND(Raw!A1227="",Raw!B1227="",Raw!C1227="",Raw!D1227="",Raw!E1227="",Raw!F1227="",Raw!G1227=""),"UNUSED",IF(A1227="","missing line ID",IF(B1227="","missing transaction ID",IF(G1227="",IF(C1227="","missing date","invalid date"),IF(I1227="","unknown product",IF(J1227="","conflicting category",IF(NOT(OR(EXACT(K1227,"sale"),EXACT(K1227,"refund"))),"unknown event",IF(OR(N1227="",NOT(O1227)),"invalid amount",IF(OR(AND(K1227="sale",N1227&lt;=0),AND(K1227="refund",N1227&gt;=0)),"invalid sign","")))))))))</f>
        <v/>
      </c>
      <c r="U1227" s="1" t="str">
        <f t="shared" si="157"/>
        <v>INCLUDED</v>
      </c>
      <c r="V1227" s="1" t="str">
        <f t="shared" si="158"/>
        <v>2026-02</v>
      </c>
      <c r="W1227" s="1">
        <f>IF(AND(U1227="INCLUDED",X1227&gt;0,EXACT(A1227,'AI output'!A1227)),1,0)</f>
        <v>1</v>
      </c>
      <c r="X1227" s="1">
        <f>1227</f>
        <v>1227</v>
      </c>
      <c r="Y1227" s="1">
        <f>IF(AND(U1227="INCLUDED",W1227=1),--(NOT(EXACT(A1227,'AI output'!A1227)))+--(NOT(EXACT(B1227,'AI output'!B1227)))+--(NOT(EXACT(TEXT(G1227,"yyyy-mm-dd"),'AI output'!C1227)))+--(NOT(EXACT(H1227,'AI output'!D1227)))+--(NOT(EXACT(J1227,'AI output'!E1227)))+--(NOT(EXACT(K1227,'AI output'!F1227)))+--(N1227&lt;&gt;'AI output'!L1227)+--(NOT('AI output'!M1227)),0)</f>
        <v>0</v>
      </c>
      <c r="Z1227" s="1">
        <f t="shared" si="159"/>
        <v>0</v>
      </c>
      <c r="AA1227" s="1">
        <f>--EXACT(A1227,"L01221")</f>
        <v>1</v>
      </c>
    </row>
    <row r="1228" spans="1:27" ht="18.95" customHeight="1">
      <c r="A1228" s="1" t="str">
        <f>IF(Raw!A1228="","",Raw!A1228)</f>
        <v>L01222</v>
      </c>
      <c r="B1228" s="1" t="str">
        <f>IF(Raw!B1228="","",Raw!B1228)</f>
        <v>T00611</v>
      </c>
      <c r="C1228" s="1" t="str">
        <f>IF(Raw!C1228="","",Raw!C1228)</f>
        <v>2026-02-10</v>
      </c>
      <c r="D1228" s="1">
        <f t="shared" si="152"/>
        <v>2026</v>
      </c>
      <c r="E1228" s="1">
        <f>IFERROR(IF(AND(LEN(C1228)=10,MID(C1228,5,1)="-",MID(C1228,8,1)="-"),VALUE(MID(C1228,6,2)),IF(AND(LEN(C1228)=11,MID(C1228,3,1)="-",MID(C1228,7,1)="-"),MATCH(UPPER(MID(C1228,4,3)),Guide!$D$7:$D$18,0),0)),0)</f>
        <v>2</v>
      </c>
      <c r="F1228" s="1">
        <f t="shared" si="153"/>
        <v>10</v>
      </c>
      <c r="G1228" s="9">
        <f t="shared" si="154"/>
        <v>46063</v>
      </c>
      <c r="H1228" s="1" t="str">
        <f>IF(Raw!D1228="","",Raw!D1228)</f>
        <v>P-A</v>
      </c>
      <c r="I1228" s="1" t="str">
        <f>IFERROR(IF(EXACT(H1228,INDEX(Guide!$A$7:$A$9,MATCH(SUBSTITUTE(SUBSTITUTE(SUBSTITUTE(H1228,"~","~~"),"*","~*"),"?","~?"),Guide!$A$7:$A$9,0))),INDEX(Guide!$B$7:$B$9,MATCH(SUBSTITUTE(SUBSTITUTE(SUBSTITUTE(H1228,"~","~~"),"*","~*"),"?","~?"),Guide!$A$7:$A$9,0)),""),"")</f>
        <v>Accessories</v>
      </c>
      <c r="J1228" s="1" t="str">
        <f>IF(TRIM(Raw!E1228)="",I1228,IF(UPPER(TRIM(Raw!E1228))=UPPER(I1228),I1228,""))</f>
        <v>Accessories</v>
      </c>
      <c r="K1228" s="1" t="str">
        <f>IF(Raw!F1228="","",Raw!F1228)</f>
        <v>sale</v>
      </c>
      <c r="L1228" s="1" t="str">
        <f>IF(LEFT(TRIM(Raw!G1228),2)="-$","-"&amp;MID(TRIM(Raw!G1228),3,99),IF(LEFT(TRIM(Raw!G1228),1)="$",MID(TRIM(Raw!G1228),2,99),TRIM(Raw!G1228)))</f>
        <v>290.28</v>
      </c>
      <c r="M1228" s="1">
        <f t="shared" si="155"/>
        <v>290.27999999999997</v>
      </c>
      <c r="N1228" s="10">
        <f t="shared" si="156"/>
        <v>29028</v>
      </c>
      <c r="O1228" s="1" t="b">
        <f>IFERROR(IF(ISNUMBER(Raw!G1228),TRUE,OR(EXACT(L1228,TEXT(M1228,"0.00")),EXACT(L1228,TEXT(M1228,"#,##0.00")))),FALSE)</f>
        <v>1</v>
      </c>
      <c r="P1228" s="1" t="str">
        <f>LEN(IF(Raw!A1228="","",Raw!A1228))&amp;":"&amp;IF(Raw!A1228="","",Raw!A1228)&amp;"|"&amp;LEN(IF(Raw!B1228="","",Raw!B1228))&amp;":"&amp;IF(Raw!B1228="","",Raw!B1228)&amp;"|"&amp;LEN(IF(Raw!C1228="","",Raw!C1228))&amp;":"&amp;IF(Raw!C1228="","",Raw!C1228)&amp;"|"&amp;LEN(IF(Raw!D1228="","",Raw!D1228))&amp;":"&amp;IF(Raw!D1228="","",Raw!D1228)&amp;"|"&amp;LEN(IF(Raw!E1228="","",Raw!E1228))&amp;":"&amp;IF(Raw!E1228="","",Raw!E1228)&amp;"|"&amp;LEN(IF(Raw!F1228="","",Raw!F1228))&amp;":"&amp;IF(Raw!F1228="","",Raw!F1228)&amp;"|"&amp;LEN(IF(Raw!G1228="","",Raw!G1228))&amp;":"&amp;IF(Raw!G1228="","",Raw!G1228)</f>
        <v>6:L01222|6:T00611|10:2026-02-10|3:P-A|11:Accessories|4:sale|6:290.28</v>
      </c>
      <c r="Q1228" s="1">
        <f>1</f>
        <v>1</v>
      </c>
      <c r="R1228" s="1" t="b">
        <f>FALSE</f>
        <v>0</v>
      </c>
      <c r="S1228" s="1">
        <f>1</f>
        <v>1</v>
      </c>
      <c r="T1228" s="1" t="str">
        <f>IF(AND(Raw!A1228="",Raw!B1228="",Raw!C1228="",Raw!D1228="",Raw!E1228="",Raw!F1228="",Raw!G1228=""),"UNUSED",IF(A1228="","missing line ID",IF(B1228="","missing transaction ID",IF(G1228="",IF(C1228="","missing date","invalid date"),IF(I1228="","unknown product",IF(J1228="","conflicting category",IF(NOT(OR(EXACT(K1228,"sale"),EXACT(K1228,"refund"))),"unknown event",IF(OR(N1228="",NOT(O1228)),"invalid amount",IF(OR(AND(K1228="sale",N1228&lt;=0),AND(K1228="refund",N1228&gt;=0)),"invalid sign","")))))))))</f>
        <v/>
      </c>
      <c r="U1228" s="1" t="str">
        <f t="shared" si="157"/>
        <v>INCLUDED</v>
      </c>
      <c r="V1228" s="1" t="str">
        <f t="shared" si="158"/>
        <v>2026-02</v>
      </c>
      <c r="W1228" s="1">
        <f>IF(AND(U1228="INCLUDED",X1228&gt;0,EXACT(A1228,'AI output'!A1228)),1,0)</f>
        <v>1</v>
      </c>
      <c r="X1228" s="1">
        <f>1228</f>
        <v>1228</v>
      </c>
      <c r="Y1228" s="1">
        <f>IF(AND(U1228="INCLUDED",W1228=1),--(NOT(EXACT(A1228,'AI output'!A1228)))+--(NOT(EXACT(B1228,'AI output'!B1228)))+--(NOT(EXACT(TEXT(G1228,"yyyy-mm-dd"),'AI output'!C1228)))+--(NOT(EXACT(H1228,'AI output'!D1228)))+--(NOT(EXACT(J1228,'AI output'!E1228)))+--(NOT(EXACT(K1228,'AI output'!F1228)))+--(N1228&lt;&gt;'AI output'!L1228)+--(NOT('AI output'!M1228)),0)</f>
        <v>0</v>
      </c>
      <c r="Z1228" s="1">
        <f t="shared" si="159"/>
        <v>0</v>
      </c>
      <c r="AA1228" s="1">
        <f>--EXACT(A1228,"L01222")</f>
        <v>1</v>
      </c>
    </row>
    <row r="1229" spans="1:27" ht="18.95" customHeight="1">
      <c r="A1229" s="1" t="str">
        <f>IF(Raw!A1229="","",Raw!A1229)</f>
        <v>L01223</v>
      </c>
      <c r="B1229" s="1" t="str">
        <f>IF(Raw!B1229="","",Raw!B1229)</f>
        <v>T00612</v>
      </c>
      <c r="C1229" s="1" t="str">
        <f>IF(Raw!C1229="","",Raw!C1229)</f>
        <v>2026-02-17</v>
      </c>
      <c r="D1229" s="1">
        <f t="shared" si="152"/>
        <v>2026</v>
      </c>
      <c r="E1229" s="1">
        <f>IFERROR(IF(AND(LEN(C1229)=10,MID(C1229,5,1)="-",MID(C1229,8,1)="-"),VALUE(MID(C1229,6,2)),IF(AND(LEN(C1229)=11,MID(C1229,3,1)="-",MID(C1229,7,1)="-"),MATCH(UPPER(MID(C1229,4,3)),Guide!$D$7:$D$18,0),0)),0)</f>
        <v>2</v>
      </c>
      <c r="F1229" s="1">
        <f t="shared" si="153"/>
        <v>17</v>
      </c>
      <c r="G1229" s="9">
        <f t="shared" si="154"/>
        <v>46070</v>
      </c>
      <c r="H1229" s="1" t="str">
        <f>IF(Raw!D1229="","",Raw!D1229)</f>
        <v>P-H</v>
      </c>
      <c r="I1229" s="1" t="str">
        <f>IFERROR(IF(EXACT(H1229,INDEX(Guide!$A$7:$A$9,MATCH(SUBSTITUTE(SUBSTITUTE(SUBSTITUTE(H1229,"~","~~"),"*","~*"),"?","~?"),Guide!$A$7:$A$9,0))),INDEX(Guide!$B$7:$B$9,MATCH(SUBSTITUTE(SUBSTITUTE(SUBSTITUTE(H1229,"~","~~"),"*","~*"),"?","~?"),Guide!$A$7:$A$9,0)),""),"")</f>
        <v>Home</v>
      </c>
      <c r="J1229" s="1" t="str">
        <f>IF(TRIM(Raw!E1229)="",I1229,IF(UPPER(TRIM(Raw!E1229))=UPPER(I1229),I1229,""))</f>
        <v>Home</v>
      </c>
      <c r="K1229" s="1" t="str">
        <f>IF(Raw!F1229="","",Raw!F1229)</f>
        <v>sale</v>
      </c>
      <c r="L1229" s="1" t="str">
        <f>IF(LEFT(TRIM(Raw!G1229),2)="-$","-"&amp;MID(TRIM(Raw!G1229),3,99),IF(LEFT(TRIM(Raw!G1229),1)="$",MID(TRIM(Raw!G1229),2,99),TRIM(Raw!G1229)))</f>
        <v>485.65</v>
      </c>
      <c r="M1229" s="1">
        <f t="shared" si="155"/>
        <v>485.65</v>
      </c>
      <c r="N1229" s="10">
        <f t="shared" si="156"/>
        <v>48565</v>
      </c>
      <c r="O1229" s="1" t="b">
        <f>IFERROR(IF(ISNUMBER(Raw!G1229),TRUE,OR(EXACT(L1229,TEXT(M1229,"0.00")),EXACT(L1229,TEXT(M1229,"#,##0.00")))),FALSE)</f>
        <v>1</v>
      </c>
      <c r="P1229" s="1" t="str">
        <f>LEN(IF(Raw!A1229="","",Raw!A1229))&amp;":"&amp;IF(Raw!A1229="","",Raw!A1229)&amp;"|"&amp;LEN(IF(Raw!B1229="","",Raw!B1229))&amp;":"&amp;IF(Raw!B1229="","",Raw!B1229)&amp;"|"&amp;LEN(IF(Raw!C1229="","",Raw!C1229))&amp;":"&amp;IF(Raw!C1229="","",Raw!C1229)&amp;"|"&amp;LEN(IF(Raw!D1229="","",Raw!D1229))&amp;":"&amp;IF(Raw!D1229="","",Raw!D1229)&amp;"|"&amp;LEN(IF(Raw!E1229="","",Raw!E1229))&amp;":"&amp;IF(Raw!E1229="","",Raw!E1229)&amp;"|"&amp;LEN(IF(Raw!F1229="","",Raw!F1229))&amp;":"&amp;IF(Raw!F1229="","",Raw!F1229)&amp;"|"&amp;LEN(IF(Raw!G1229="","",Raw!G1229))&amp;":"&amp;IF(Raw!G1229="","",Raw!G1229)</f>
        <v>6:L01223|6:T00612|10:2026-02-17|3:P-H|4:Home|4:sale|6:485.65</v>
      </c>
      <c r="Q1229" s="1">
        <f>1</f>
        <v>1</v>
      </c>
      <c r="R1229" s="1" t="b">
        <f>FALSE</f>
        <v>0</v>
      </c>
      <c r="S1229" s="1">
        <f>1</f>
        <v>1</v>
      </c>
      <c r="T1229" s="1" t="str">
        <f>IF(AND(Raw!A1229="",Raw!B1229="",Raw!C1229="",Raw!D1229="",Raw!E1229="",Raw!F1229="",Raw!G1229=""),"UNUSED",IF(A1229="","missing line ID",IF(B1229="","missing transaction ID",IF(G1229="",IF(C1229="","missing date","invalid date"),IF(I1229="","unknown product",IF(J1229="","conflicting category",IF(NOT(OR(EXACT(K1229,"sale"),EXACT(K1229,"refund"))),"unknown event",IF(OR(N1229="",NOT(O1229)),"invalid amount",IF(OR(AND(K1229="sale",N1229&lt;=0),AND(K1229="refund",N1229&gt;=0)),"invalid sign","")))))))))</f>
        <v/>
      </c>
      <c r="U1229" s="1" t="str">
        <f t="shared" si="157"/>
        <v>INCLUDED</v>
      </c>
      <c r="V1229" s="1" t="str">
        <f t="shared" si="158"/>
        <v>2026-02</v>
      </c>
      <c r="W1229" s="1">
        <f>IF(AND(U1229="INCLUDED",X1229&gt;0,EXACT(A1229,'AI output'!A1229)),1,0)</f>
        <v>1</v>
      </c>
      <c r="X1229" s="1">
        <f>1229</f>
        <v>1229</v>
      </c>
      <c r="Y1229" s="1">
        <f>IF(AND(U1229="INCLUDED",W1229=1),--(NOT(EXACT(A1229,'AI output'!A1229)))+--(NOT(EXACT(B1229,'AI output'!B1229)))+--(NOT(EXACT(TEXT(G1229,"yyyy-mm-dd"),'AI output'!C1229)))+--(NOT(EXACT(H1229,'AI output'!D1229)))+--(NOT(EXACT(J1229,'AI output'!E1229)))+--(NOT(EXACT(K1229,'AI output'!F1229)))+--(N1229&lt;&gt;'AI output'!L1229)+--(NOT('AI output'!M1229)),0)</f>
        <v>0</v>
      </c>
      <c r="Z1229" s="1">
        <f t="shared" si="159"/>
        <v>0</v>
      </c>
      <c r="AA1229" s="1">
        <f>--EXACT(A1229,"L01223")</f>
        <v>1</v>
      </c>
    </row>
    <row r="1230" spans="1:27" ht="18.95" customHeight="1">
      <c r="A1230" s="1" t="str">
        <f>IF(Raw!A1230="","",Raw!A1230)</f>
        <v>L01224</v>
      </c>
      <c r="B1230" s="1" t="str">
        <f>IF(Raw!B1230="","",Raw!B1230)</f>
        <v>T00612</v>
      </c>
      <c r="C1230" s="1" t="str">
        <f>IF(Raw!C1230="","",Raw!C1230)</f>
        <v>2026-02-17</v>
      </c>
      <c r="D1230" s="1">
        <f t="shared" si="152"/>
        <v>2026</v>
      </c>
      <c r="E1230" s="1">
        <f>IFERROR(IF(AND(LEN(C1230)=10,MID(C1230,5,1)="-",MID(C1230,8,1)="-"),VALUE(MID(C1230,6,2)),IF(AND(LEN(C1230)=11,MID(C1230,3,1)="-",MID(C1230,7,1)="-"),MATCH(UPPER(MID(C1230,4,3)),Guide!$D$7:$D$18,0),0)),0)</f>
        <v>2</v>
      </c>
      <c r="F1230" s="1">
        <f t="shared" si="153"/>
        <v>17</v>
      </c>
      <c r="G1230" s="9">
        <f t="shared" si="154"/>
        <v>46070</v>
      </c>
      <c r="H1230" s="1" t="str">
        <f>IF(Raw!D1230="","",Raw!D1230)</f>
        <v>P-O</v>
      </c>
      <c r="I1230" s="1" t="str">
        <f>IFERROR(IF(EXACT(H1230,INDEX(Guide!$A$7:$A$9,MATCH(SUBSTITUTE(SUBSTITUTE(SUBSTITUTE(H1230,"~","~~"),"*","~*"),"?","~?"),Guide!$A$7:$A$9,0))),INDEX(Guide!$B$7:$B$9,MATCH(SUBSTITUTE(SUBSTITUTE(SUBSTITUTE(H1230,"~","~~"),"*","~*"),"?","~?"),Guide!$A$7:$A$9,0)),""),"")</f>
        <v>Office</v>
      </c>
      <c r="J1230" s="1" t="str">
        <f>IF(TRIM(Raw!E1230)="",I1230,IF(UPPER(TRIM(Raw!E1230))=UPPER(I1230),I1230,""))</f>
        <v>Office</v>
      </c>
      <c r="K1230" s="1" t="str">
        <f>IF(Raw!F1230="","",Raw!F1230)</f>
        <v>sale</v>
      </c>
      <c r="L1230" s="1" t="str">
        <f>IF(LEFT(TRIM(Raw!G1230),2)="-$","-"&amp;MID(TRIM(Raw!G1230),3,99),IF(LEFT(TRIM(Raw!G1230),1)="$",MID(TRIM(Raw!G1230),2,99),TRIM(Raw!G1230)))</f>
        <v>195.00</v>
      </c>
      <c r="M1230" s="1">
        <f t="shared" si="155"/>
        <v>195</v>
      </c>
      <c r="N1230" s="10">
        <f t="shared" si="156"/>
        <v>19500</v>
      </c>
      <c r="O1230" s="1" t="b">
        <f>IFERROR(IF(ISNUMBER(Raw!G1230),TRUE,OR(EXACT(L1230,TEXT(M1230,"0.00")),EXACT(L1230,TEXT(M1230,"#,##0.00")))),FALSE)</f>
        <v>1</v>
      </c>
      <c r="P1230" s="1" t="str">
        <f>LEN(IF(Raw!A1230="","",Raw!A1230))&amp;":"&amp;IF(Raw!A1230="","",Raw!A1230)&amp;"|"&amp;LEN(IF(Raw!B1230="","",Raw!B1230))&amp;":"&amp;IF(Raw!B1230="","",Raw!B1230)&amp;"|"&amp;LEN(IF(Raw!C1230="","",Raw!C1230))&amp;":"&amp;IF(Raw!C1230="","",Raw!C1230)&amp;"|"&amp;LEN(IF(Raw!D1230="","",Raw!D1230))&amp;":"&amp;IF(Raw!D1230="","",Raw!D1230)&amp;"|"&amp;LEN(IF(Raw!E1230="","",Raw!E1230))&amp;":"&amp;IF(Raw!E1230="","",Raw!E1230)&amp;"|"&amp;LEN(IF(Raw!F1230="","",Raw!F1230))&amp;":"&amp;IF(Raw!F1230="","",Raw!F1230)&amp;"|"&amp;LEN(IF(Raw!G1230="","",Raw!G1230))&amp;":"&amp;IF(Raw!G1230="","",Raw!G1230)</f>
        <v>6:L01224|6:T00612|10:2026-02-17|3:P-O|6:Office|4:sale|6:195.00</v>
      </c>
      <c r="Q1230" s="1">
        <f>1</f>
        <v>1</v>
      </c>
      <c r="R1230" s="1" t="b">
        <f>FALSE</f>
        <v>0</v>
      </c>
      <c r="S1230" s="1">
        <f>1</f>
        <v>1</v>
      </c>
      <c r="T1230" s="1" t="str">
        <f>IF(AND(Raw!A1230="",Raw!B1230="",Raw!C1230="",Raw!D1230="",Raw!E1230="",Raw!F1230="",Raw!G1230=""),"UNUSED",IF(A1230="","missing line ID",IF(B1230="","missing transaction ID",IF(G1230="",IF(C1230="","missing date","invalid date"),IF(I1230="","unknown product",IF(J1230="","conflicting category",IF(NOT(OR(EXACT(K1230,"sale"),EXACT(K1230,"refund"))),"unknown event",IF(OR(N1230="",NOT(O1230)),"invalid amount",IF(OR(AND(K1230="sale",N1230&lt;=0),AND(K1230="refund",N1230&gt;=0)),"invalid sign","")))))))))</f>
        <v/>
      </c>
      <c r="U1230" s="1" t="str">
        <f t="shared" si="157"/>
        <v>INCLUDED</v>
      </c>
      <c r="V1230" s="1" t="str">
        <f t="shared" si="158"/>
        <v>2026-02</v>
      </c>
      <c r="W1230" s="1">
        <f>IF(AND(U1230="INCLUDED",X1230&gt;0,EXACT(A1230,'AI output'!A1230)),1,0)</f>
        <v>1</v>
      </c>
      <c r="X1230" s="1">
        <f>1230</f>
        <v>1230</v>
      </c>
      <c r="Y1230" s="1">
        <f>IF(AND(U1230="INCLUDED",W1230=1),--(NOT(EXACT(A1230,'AI output'!A1230)))+--(NOT(EXACT(B1230,'AI output'!B1230)))+--(NOT(EXACT(TEXT(G1230,"yyyy-mm-dd"),'AI output'!C1230)))+--(NOT(EXACT(H1230,'AI output'!D1230)))+--(NOT(EXACT(J1230,'AI output'!E1230)))+--(NOT(EXACT(K1230,'AI output'!F1230)))+--(N1230&lt;&gt;'AI output'!L1230)+--(NOT('AI output'!M1230)),0)</f>
        <v>0</v>
      </c>
      <c r="Z1230" s="1">
        <f t="shared" si="159"/>
        <v>0</v>
      </c>
      <c r="AA1230" s="1">
        <f>--EXACT(A1230,"L01224")</f>
        <v>1</v>
      </c>
    </row>
    <row r="1231" spans="1:27" ht="18.95" customHeight="1">
      <c r="A1231" s="1" t="str">
        <f>IF(Raw!A1231="","",Raw!A1231)</f>
        <v>L01225</v>
      </c>
      <c r="B1231" s="1" t="str">
        <f>IF(Raw!B1231="","",Raw!B1231)</f>
        <v>T00613</v>
      </c>
      <c r="C1231" s="1" t="str">
        <f>IF(Raw!C1231="","",Raw!C1231)</f>
        <v>2026-02-24</v>
      </c>
      <c r="D1231" s="1">
        <f t="shared" si="152"/>
        <v>2026</v>
      </c>
      <c r="E1231" s="1">
        <f>IFERROR(IF(AND(LEN(C1231)=10,MID(C1231,5,1)="-",MID(C1231,8,1)="-"),VALUE(MID(C1231,6,2)),IF(AND(LEN(C1231)=11,MID(C1231,3,1)="-",MID(C1231,7,1)="-"),MATCH(UPPER(MID(C1231,4,3)),Guide!$D$7:$D$18,0),0)),0)</f>
        <v>2</v>
      </c>
      <c r="F1231" s="1">
        <f t="shared" si="153"/>
        <v>24</v>
      </c>
      <c r="G1231" s="9">
        <f t="shared" si="154"/>
        <v>46077</v>
      </c>
      <c r="H1231" s="1" t="str">
        <f>IF(Raw!D1231="","",Raw!D1231)</f>
        <v>P-A</v>
      </c>
      <c r="I1231" s="1" t="str">
        <f>IFERROR(IF(EXACT(H1231,INDEX(Guide!$A$7:$A$9,MATCH(SUBSTITUTE(SUBSTITUTE(SUBSTITUTE(H1231,"~","~~"),"*","~*"),"?","~?"),Guide!$A$7:$A$9,0))),INDEX(Guide!$B$7:$B$9,MATCH(SUBSTITUTE(SUBSTITUTE(SUBSTITUTE(H1231,"~","~~"),"*","~*"),"?","~?"),Guide!$A$7:$A$9,0)),""),"")</f>
        <v>Accessories</v>
      </c>
      <c r="J1231" s="1" t="str">
        <f>IF(TRIM(Raw!E1231)="",I1231,IF(UPPER(TRIM(Raw!E1231))=UPPER(I1231),I1231,""))</f>
        <v>Accessories</v>
      </c>
      <c r="K1231" s="1" t="str">
        <f>IF(Raw!F1231="","",Raw!F1231)</f>
        <v>sale</v>
      </c>
      <c r="L1231" s="1" t="str">
        <f>IF(LEFT(TRIM(Raw!G1231),2)="-$","-"&amp;MID(TRIM(Raw!G1231),3,99),IF(LEFT(TRIM(Raw!G1231),1)="$",MID(TRIM(Raw!G1231),2,99),TRIM(Raw!G1231)))</f>
        <v>391.48</v>
      </c>
      <c r="M1231" s="1">
        <f t="shared" si="155"/>
        <v>391.48</v>
      </c>
      <c r="N1231" s="10">
        <f t="shared" si="156"/>
        <v>39148</v>
      </c>
      <c r="O1231" s="1" t="b">
        <f>IFERROR(IF(ISNUMBER(Raw!G1231),TRUE,OR(EXACT(L1231,TEXT(M1231,"0.00")),EXACT(L1231,TEXT(M1231,"#,##0.00")))),FALSE)</f>
        <v>1</v>
      </c>
      <c r="P1231" s="1" t="str">
        <f>LEN(IF(Raw!A1231="","",Raw!A1231))&amp;":"&amp;IF(Raw!A1231="","",Raw!A1231)&amp;"|"&amp;LEN(IF(Raw!B1231="","",Raw!B1231))&amp;":"&amp;IF(Raw!B1231="","",Raw!B1231)&amp;"|"&amp;LEN(IF(Raw!C1231="","",Raw!C1231))&amp;":"&amp;IF(Raw!C1231="","",Raw!C1231)&amp;"|"&amp;LEN(IF(Raw!D1231="","",Raw!D1231))&amp;":"&amp;IF(Raw!D1231="","",Raw!D1231)&amp;"|"&amp;LEN(IF(Raw!E1231="","",Raw!E1231))&amp;":"&amp;IF(Raw!E1231="","",Raw!E1231)&amp;"|"&amp;LEN(IF(Raw!F1231="","",Raw!F1231))&amp;":"&amp;IF(Raw!F1231="","",Raw!F1231)&amp;"|"&amp;LEN(IF(Raw!G1231="","",Raw!G1231))&amp;":"&amp;IF(Raw!G1231="","",Raw!G1231)</f>
        <v>6:L01225|6:T00613|10:2026-02-24|3:P-A|11:Accessories|4:sale|6:391.48</v>
      </c>
      <c r="Q1231" s="1">
        <f>1</f>
        <v>1</v>
      </c>
      <c r="R1231" s="1" t="b">
        <f>FALSE</f>
        <v>0</v>
      </c>
      <c r="S1231" s="1">
        <f>1</f>
        <v>1</v>
      </c>
      <c r="T1231" s="1" t="str">
        <f>IF(AND(Raw!A1231="",Raw!B1231="",Raw!C1231="",Raw!D1231="",Raw!E1231="",Raw!F1231="",Raw!G1231=""),"UNUSED",IF(A1231="","missing line ID",IF(B1231="","missing transaction ID",IF(G1231="",IF(C1231="","missing date","invalid date"),IF(I1231="","unknown product",IF(J1231="","conflicting category",IF(NOT(OR(EXACT(K1231,"sale"),EXACT(K1231,"refund"))),"unknown event",IF(OR(N1231="",NOT(O1231)),"invalid amount",IF(OR(AND(K1231="sale",N1231&lt;=0),AND(K1231="refund",N1231&gt;=0)),"invalid sign","")))))))))</f>
        <v/>
      </c>
      <c r="U1231" s="1" t="str">
        <f t="shared" si="157"/>
        <v>INCLUDED</v>
      </c>
      <c r="V1231" s="1" t="str">
        <f t="shared" si="158"/>
        <v>2026-02</v>
      </c>
      <c r="W1231" s="1">
        <f>IF(AND(U1231="INCLUDED",X1231&gt;0,EXACT(A1231,'AI output'!A1231)),1,0)</f>
        <v>1</v>
      </c>
      <c r="X1231" s="1">
        <f>1231</f>
        <v>1231</v>
      </c>
      <c r="Y1231" s="1">
        <f>IF(AND(U1231="INCLUDED",W1231=1),--(NOT(EXACT(A1231,'AI output'!A1231)))+--(NOT(EXACT(B1231,'AI output'!B1231)))+--(NOT(EXACT(TEXT(G1231,"yyyy-mm-dd"),'AI output'!C1231)))+--(NOT(EXACT(H1231,'AI output'!D1231)))+--(NOT(EXACT(J1231,'AI output'!E1231)))+--(NOT(EXACT(K1231,'AI output'!F1231)))+--(N1231&lt;&gt;'AI output'!L1231)+--(NOT('AI output'!M1231)),0)</f>
        <v>0</v>
      </c>
      <c r="Z1231" s="1">
        <f t="shared" si="159"/>
        <v>0</v>
      </c>
      <c r="AA1231" s="1">
        <f>--EXACT(A1231,"L01225")</f>
        <v>1</v>
      </c>
    </row>
    <row r="1232" spans="1:27" ht="18.95" customHeight="1">
      <c r="A1232" s="1" t="str">
        <f>IF(Raw!A1232="","",Raw!A1232)</f>
        <v>L01226</v>
      </c>
      <c r="B1232" s="1" t="str">
        <f>IF(Raw!B1232="","",Raw!B1232)</f>
        <v>T00613</v>
      </c>
      <c r="C1232" s="1" t="str">
        <f>IF(Raw!C1232="","",Raw!C1232)</f>
        <v>2026-02-24</v>
      </c>
      <c r="D1232" s="1">
        <f t="shared" si="152"/>
        <v>2026</v>
      </c>
      <c r="E1232" s="1">
        <f>IFERROR(IF(AND(LEN(C1232)=10,MID(C1232,5,1)="-",MID(C1232,8,1)="-"),VALUE(MID(C1232,6,2)),IF(AND(LEN(C1232)=11,MID(C1232,3,1)="-",MID(C1232,7,1)="-"),MATCH(UPPER(MID(C1232,4,3)),Guide!$D$7:$D$18,0),0)),0)</f>
        <v>2</v>
      </c>
      <c r="F1232" s="1">
        <f t="shared" si="153"/>
        <v>24</v>
      </c>
      <c r="G1232" s="9">
        <f t="shared" si="154"/>
        <v>46077</v>
      </c>
      <c r="H1232" s="1" t="str">
        <f>IF(Raw!D1232="","",Raw!D1232)</f>
        <v>P-H</v>
      </c>
      <c r="I1232" s="1" t="str">
        <f>IFERROR(IF(EXACT(H1232,INDEX(Guide!$A$7:$A$9,MATCH(SUBSTITUTE(SUBSTITUTE(SUBSTITUTE(H1232,"~","~~"),"*","~*"),"?","~?"),Guide!$A$7:$A$9,0))),INDEX(Guide!$B$7:$B$9,MATCH(SUBSTITUTE(SUBSTITUTE(SUBSTITUTE(H1232,"~","~~"),"*","~*"),"?","~?"),Guide!$A$7:$A$9,0)),""),"")</f>
        <v>Home</v>
      </c>
      <c r="J1232" s="1" t="str">
        <f>IF(TRIM(Raw!E1232)="",I1232,IF(UPPER(TRIM(Raw!E1232))=UPPER(I1232),I1232,""))</f>
        <v>Home</v>
      </c>
      <c r="K1232" s="1" t="str">
        <f>IF(Raw!F1232="","",Raw!F1232)</f>
        <v>sale</v>
      </c>
      <c r="L1232" s="1" t="str">
        <f>IF(LEFT(TRIM(Raw!G1232),2)="-$","-"&amp;MID(TRIM(Raw!G1232),3,99),IF(LEFT(TRIM(Raw!G1232),1)="$",MID(TRIM(Raw!G1232),2,99),TRIM(Raw!G1232)))</f>
        <v>98.24</v>
      </c>
      <c r="M1232" s="1">
        <f t="shared" si="155"/>
        <v>98.24</v>
      </c>
      <c r="N1232" s="10">
        <f t="shared" si="156"/>
        <v>9824</v>
      </c>
      <c r="O1232" s="1" t="b">
        <f>IFERROR(IF(ISNUMBER(Raw!G1232),TRUE,OR(EXACT(L1232,TEXT(M1232,"0.00")),EXACT(L1232,TEXT(M1232,"#,##0.00")))),FALSE)</f>
        <v>1</v>
      </c>
      <c r="P1232" s="1" t="str">
        <f>LEN(IF(Raw!A1232="","",Raw!A1232))&amp;":"&amp;IF(Raw!A1232="","",Raw!A1232)&amp;"|"&amp;LEN(IF(Raw!B1232="","",Raw!B1232))&amp;":"&amp;IF(Raw!B1232="","",Raw!B1232)&amp;"|"&amp;LEN(IF(Raw!C1232="","",Raw!C1232))&amp;":"&amp;IF(Raw!C1232="","",Raw!C1232)&amp;"|"&amp;LEN(IF(Raw!D1232="","",Raw!D1232))&amp;":"&amp;IF(Raw!D1232="","",Raw!D1232)&amp;"|"&amp;LEN(IF(Raw!E1232="","",Raw!E1232))&amp;":"&amp;IF(Raw!E1232="","",Raw!E1232)&amp;"|"&amp;LEN(IF(Raw!F1232="","",Raw!F1232))&amp;":"&amp;IF(Raw!F1232="","",Raw!F1232)&amp;"|"&amp;LEN(IF(Raw!G1232="","",Raw!G1232))&amp;":"&amp;IF(Raw!G1232="","",Raw!G1232)</f>
        <v>6:L01226|6:T00613|10:2026-02-24|3:P-H|4:Home|4:sale|5:98.24</v>
      </c>
      <c r="Q1232" s="1">
        <f>1</f>
        <v>1</v>
      </c>
      <c r="R1232" s="1" t="b">
        <f>FALSE</f>
        <v>0</v>
      </c>
      <c r="S1232" s="1">
        <f>1</f>
        <v>1</v>
      </c>
      <c r="T1232" s="1" t="str">
        <f>IF(AND(Raw!A1232="",Raw!B1232="",Raw!C1232="",Raw!D1232="",Raw!E1232="",Raw!F1232="",Raw!G1232=""),"UNUSED",IF(A1232="","missing line ID",IF(B1232="","missing transaction ID",IF(G1232="",IF(C1232="","missing date","invalid date"),IF(I1232="","unknown product",IF(J1232="","conflicting category",IF(NOT(OR(EXACT(K1232,"sale"),EXACT(K1232,"refund"))),"unknown event",IF(OR(N1232="",NOT(O1232)),"invalid amount",IF(OR(AND(K1232="sale",N1232&lt;=0),AND(K1232="refund",N1232&gt;=0)),"invalid sign","")))))))))</f>
        <v/>
      </c>
      <c r="U1232" s="1" t="str">
        <f t="shared" si="157"/>
        <v>INCLUDED</v>
      </c>
      <c r="V1232" s="1" t="str">
        <f t="shared" si="158"/>
        <v>2026-02</v>
      </c>
      <c r="W1232" s="1">
        <f>IF(AND(U1232="INCLUDED",X1232&gt;0,EXACT(A1232,'AI output'!A1232)),1,0)</f>
        <v>1</v>
      </c>
      <c r="X1232" s="1">
        <f>1232</f>
        <v>1232</v>
      </c>
      <c r="Y1232" s="1">
        <f>IF(AND(U1232="INCLUDED",W1232=1),--(NOT(EXACT(A1232,'AI output'!A1232)))+--(NOT(EXACT(B1232,'AI output'!B1232)))+--(NOT(EXACT(TEXT(G1232,"yyyy-mm-dd"),'AI output'!C1232)))+--(NOT(EXACT(H1232,'AI output'!D1232)))+--(NOT(EXACT(J1232,'AI output'!E1232)))+--(NOT(EXACT(K1232,'AI output'!F1232)))+--(N1232&lt;&gt;'AI output'!L1232)+--(NOT('AI output'!M1232)),0)</f>
        <v>0</v>
      </c>
      <c r="Z1232" s="1">
        <f t="shared" si="159"/>
        <v>0</v>
      </c>
      <c r="AA1232" s="1">
        <f>--EXACT(A1232,"L01226")</f>
        <v>1</v>
      </c>
    </row>
    <row r="1233" spans="1:27" ht="18.95" customHeight="1">
      <c r="A1233" s="1" t="str">
        <f>IF(Raw!A1233="","",Raw!A1233)</f>
        <v>L01227</v>
      </c>
      <c r="B1233" s="1" t="str">
        <f>IF(Raw!B1233="","",Raw!B1233)</f>
        <v>T00614</v>
      </c>
      <c r="C1233" s="1" t="str">
        <f>IF(Raw!C1233="","",Raw!C1233)</f>
        <v>2026-03-03</v>
      </c>
      <c r="D1233" s="1">
        <f t="shared" si="152"/>
        <v>2026</v>
      </c>
      <c r="E1233" s="1">
        <f>IFERROR(IF(AND(LEN(C1233)=10,MID(C1233,5,1)="-",MID(C1233,8,1)="-"),VALUE(MID(C1233,6,2)),IF(AND(LEN(C1233)=11,MID(C1233,3,1)="-",MID(C1233,7,1)="-"),MATCH(UPPER(MID(C1233,4,3)),Guide!$D$7:$D$18,0),0)),0)</f>
        <v>3</v>
      </c>
      <c r="F1233" s="1">
        <f t="shared" si="153"/>
        <v>3</v>
      </c>
      <c r="G1233" s="9">
        <f t="shared" si="154"/>
        <v>46084</v>
      </c>
      <c r="H1233" s="1" t="str">
        <f>IF(Raw!D1233="","",Raw!D1233)</f>
        <v>P-O</v>
      </c>
      <c r="I1233" s="1" t="str">
        <f>IFERROR(IF(EXACT(H1233,INDEX(Guide!$A$7:$A$9,MATCH(SUBSTITUTE(SUBSTITUTE(SUBSTITUTE(H1233,"~","~~"),"*","~*"),"?","~?"),Guide!$A$7:$A$9,0))),INDEX(Guide!$B$7:$B$9,MATCH(SUBSTITUTE(SUBSTITUTE(SUBSTITUTE(H1233,"~","~~"),"*","~*"),"?","~?"),Guide!$A$7:$A$9,0)),""),"")</f>
        <v>Office</v>
      </c>
      <c r="J1233" s="1" t="str">
        <f>IF(TRIM(Raw!E1233)="",I1233,IF(UPPER(TRIM(Raw!E1233))=UPPER(I1233),I1233,""))</f>
        <v>Office</v>
      </c>
      <c r="K1233" s="1" t="str">
        <f>IF(Raw!F1233="","",Raw!F1233)</f>
        <v>sale</v>
      </c>
      <c r="L1233" s="1" t="str">
        <f>IF(LEFT(TRIM(Raw!G1233),2)="-$","-"&amp;MID(TRIM(Raw!G1233),3,99),IF(LEFT(TRIM(Raw!G1233),1)="$",MID(TRIM(Raw!G1233),2,99),TRIM(Raw!G1233)))</f>
        <v>295.83</v>
      </c>
      <c r="M1233" s="1">
        <f t="shared" si="155"/>
        <v>295.83</v>
      </c>
      <c r="N1233" s="10">
        <f t="shared" si="156"/>
        <v>29583</v>
      </c>
      <c r="O1233" s="1" t="b">
        <f>IFERROR(IF(ISNUMBER(Raw!G1233),TRUE,OR(EXACT(L1233,TEXT(M1233,"0.00")),EXACT(L1233,TEXT(M1233,"#,##0.00")))),FALSE)</f>
        <v>1</v>
      </c>
      <c r="P1233" s="1" t="str">
        <f>LEN(IF(Raw!A1233="","",Raw!A1233))&amp;":"&amp;IF(Raw!A1233="","",Raw!A1233)&amp;"|"&amp;LEN(IF(Raw!B1233="","",Raw!B1233))&amp;":"&amp;IF(Raw!B1233="","",Raw!B1233)&amp;"|"&amp;LEN(IF(Raw!C1233="","",Raw!C1233))&amp;":"&amp;IF(Raw!C1233="","",Raw!C1233)&amp;"|"&amp;LEN(IF(Raw!D1233="","",Raw!D1233))&amp;":"&amp;IF(Raw!D1233="","",Raw!D1233)&amp;"|"&amp;LEN(IF(Raw!E1233="","",Raw!E1233))&amp;":"&amp;IF(Raw!E1233="","",Raw!E1233)&amp;"|"&amp;LEN(IF(Raw!F1233="","",Raw!F1233))&amp;":"&amp;IF(Raw!F1233="","",Raw!F1233)&amp;"|"&amp;LEN(IF(Raw!G1233="","",Raw!G1233))&amp;":"&amp;IF(Raw!G1233="","",Raw!G1233)</f>
        <v>6:L01227|6:T00614|10:2026-03-03|3:P-O|6:Office|4:sale|6:295.83</v>
      </c>
      <c r="Q1233" s="1">
        <f>1</f>
        <v>1</v>
      </c>
      <c r="R1233" s="1" t="b">
        <f>FALSE</f>
        <v>0</v>
      </c>
      <c r="S1233" s="1">
        <f>1</f>
        <v>1</v>
      </c>
      <c r="T1233" s="1" t="str">
        <f>IF(AND(Raw!A1233="",Raw!B1233="",Raw!C1233="",Raw!D1233="",Raw!E1233="",Raw!F1233="",Raw!G1233=""),"UNUSED",IF(A1233="","missing line ID",IF(B1233="","missing transaction ID",IF(G1233="",IF(C1233="","missing date","invalid date"),IF(I1233="","unknown product",IF(J1233="","conflicting category",IF(NOT(OR(EXACT(K1233,"sale"),EXACT(K1233,"refund"))),"unknown event",IF(OR(N1233="",NOT(O1233)),"invalid amount",IF(OR(AND(K1233="sale",N1233&lt;=0),AND(K1233="refund",N1233&gt;=0)),"invalid sign","")))))))))</f>
        <v/>
      </c>
      <c r="U1233" s="1" t="str">
        <f t="shared" si="157"/>
        <v>INCLUDED</v>
      </c>
      <c r="V1233" s="1" t="str">
        <f t="shared" si="158"/>
        <v>2026-03</v>
      </c>
      <c r="W1233" s="1">
        <f>IF(AND(U1233="INCLUDED",X1233&gt;0,EXACT(A1233,'AI output'!A1233)),1,0)</f>
        <v>1</v>
      </c>
      <c r="X1233" s="1">
        <f>1233</f>
        <v>1233</v>
      </c>
      <c r="Y1233" s="1">
        <f>IF(AND(U1233="INCLUDED",W1233=1),--(NOT(EXACT(A1233,'AI output'!A1233)))+--(NOT(EXACT(B1233,'AI output'!B1233)))+--(NOT(EXACT(TEXT(G1233,"yyyy-mm-dd"),'AI output'!C1233)))+--(NOT(EXACT(H1233,'AI output'!D1233)))+--(NOT(EXACT(J1233,'AI output'!E1233)))+--(NOT(EXACT(K1233,'AI output'!F1233)))+--(N1233&lt;&gt;'AI output'!L1233)+--(NOT('AI output'!M1233)),0)</f>
        <v>0</v>
      </c>
      <c r="Z1233" s="1">
        <f t="shared" si="159"/>
        <v>0</v>
      </c>
      <c r="AA1233" s="1">
        <f>--EXACT(A1233,"L01227")</f>
        <v>1</v>
      </c>
    </row>
    <row r="1234" spans="1:27" ht="18.95" customHeight="1">
      <c r="A1234" s="1" t="str">
        <f>IF(Raw!A1234="","",Raw!A1234)</f>
        <v>L01228</v>
      </c>
      <c r="B1234" s="1" t="str">
        <f>IF(Raw!B1234="","",Raw!B1234)</f>
        <v>T00614</v>
      </c>
      <c r="C1234" s="1" t="str">
        <f>IF(Raw!C1234="","",Raw!C1234)</f>
        <v>2026-03-03</v>
      </c>
      <c r="D1234" s="1">
        <f t="shared" si="152"/>
        <v>2026</v>
      </c>
      <c r="E1234" s="1">
        <f>IFERROR(IF(AND(LEN(C1234)=10,MID(C1234,5,1)="-",MID(C1234,8,1)="-"),VALUE(MID(C1234,6,2)),IF(AND(LEN(C1234)=11,MID(C1234,3,1)="-",MID(C1234,7,1)="-"),MATCH(UPPER(MID(C1234,4,3)),Guide!$D$7:$D$18,0),0)),0)</f>
        <v>3</v>
      </c>
      <c r="F1234" s="1">
        <f t="shared" si="153"/>
        <v>3</v>
      </c>
      <c r="G1234" s="9">
        <f t="shared" si="154"/>
        <v>46084</v>
      </c>
      <c r="H1234" s="1" t="str">
        <f>IF(Raw!D1234="","",Raw!D1234)</f>
        <v>P-A</v>
      </c>
      <c r="I1234" s="1" t="str">
        <f>IFERROR(IF(EXACT(H1234,INDEX(Guide!$A$7:$A$9,MATCH(SUBSTITUTE(SUBSTITUTE(SUBSTITUTE(H1234,"~","~~"),"*","~*"),"?","~?"),Guide!$A$7:$A$9,0))),INDEX(Guide!$B$7:$B$9,MATCH(SUBSTITUTE(SUBSTITUTE(SUBSTITUTE(H1234,"~","~~"),"*","~*"),"?","~?"),Guide!$A$7:$A$9,0)),""),"")</f>
        <v>Accessories</v>
      </c>
      <c r="J1234" s="1" t="str">
        <f>IF(TRIM(Raw!E1234)="",I1234,IF(UPPER(TRIM(Raw!E1234))=UPPER(I1234),I1234,""))</f>
        <v>Accessories</v>
      </c>
      <c r="K1234" s="1" t="str">
        <f>IF(Raw!F1234="","",Raw!F1234)</f>
        <v>sale</v>
      </c>
      <c r="L1234" s="1" t="str">
        <f>IF(LEFT(TRIM(Raw!G1234),2)="-$","-"&amp;MID(TRIM(Raw!G1234),3,99),IF(LEFT(TRIM(Raw!G1234),1)="$",MID(TRIM(Raw!G1234),2,99),TRIM(Raw!G1234)))</f>
        <v>494.90</v>
      </c>
      <c r="M1234" s="1">
        <f t="shared" si="155"/>
        <v>494.9</v>
      </c>
      <c r="N1234" s="10">
        <f t="shared" si="156"/>
        <v>49490</v>
      </c>
      <c r="O1234" s="1" t="b">
        <f>IFERROR(IF(ISNUMBER(Raw!G1234),TRUE,OR(EXACT(L1234,TEXT(M1234,"0.00")),EXACT(L1234,TEXT(M1234,"#,##0.00")))),FALSE)</f>
        <v>1</v>
      </c>
      <c r="P1234" s="1" t="str">
        <f>LEN(IF(Raw!A1234="","",Raw!A1234))&amp;":"&amp;IF(Raw!A1234="","",Raw!A1234)&amp;"|"&amp;LEN(IF(Raw!B1234="","",Raw!B1234))&amp;":"&amp;IF(Raw!B1234="","",Raw!B1234)&amp;"|"&amp;LEN(IF(Raw!C1234="","",Raw!C1234))&amp;":"&amp;IF(Raw!C1234="","",Raw!C1234)&amp;"|"&amp;LEN(IF(Raw!D1234="","",Raw!D1234))&amp;":"&amp;IF(Raw!D1234="","",Raw!D1234)&amp;"|"&amp;LEN(IF(Raw!E1234="","",Raw!E1234))&amp;":"&amp;IF(Raw!E1234="","",Raw!E1234)&amp;"|"&amp;LEN(IF(Raw!F1234="","",Raw!F1234))&amp;":"&amp;IF(Raw!F1234="","",Raw!F1234)&amp;"|"&amp;LEN(IF(Raw!G1234="","",Raw!G1234))&amp;":"&amp;IF(Raw!G1234="","",Raw!G1234)</f>
        <v>6:L01228|6:T00614|10:2026-03-03|3:P-A|11:Accessories|4:sale|6:494.90</v>
      </c>
      <c r="Q1234" s="1">
        <f>1</f>
        <v>1</v>
      </c>
      <c r="R1234" s="1" t="b">
        <f>FALSE</f>
        <v>0</v>
      </c>
      <c r="S1234" s="1">
        <f>1</f>
        <v>1</v>
      </c>
      <c r="T1234" s="1" t="str">
        <f>IF(AND(Raw!A1234="",Raw!B1234="",Raw!C1234="",Raw!D1234="",Raw!E1234="",Raw!F1234="",Raw!G1234=""),"UNUSED",IF(A1234="","missing line ID",IF(B1234="","missing transaction ID",IF(G1234="",IF(C1234="","missing date","invalid date"),IF(I1234="","unknown product",IF(J1234="","conflicting category",IF(NOT(OR(EXACT(K1234,"sale"),EXACT(K1234,"refund"))),"unknown event",IF(OR(N1234="",NOT(O1234)),"invalid amount",IF(OR(AND(K1234="sale",N1234&lt;=0),AND(K1234="refund",N1234&gt;=0)),"invalid sign","")))))))))</f>
        <v/>
      </c>
      <c r="U1234" s="1" t="str">
        <f t="shared" si="157"/>
        <v>INCLUDED</v>
      </c>
      <c r="V1234" s="1" t="str">
        <f t="shared" si="158"/>
        <v>2026-03</v>
      </c>
      <c r="W1234" s="1">
        <f>IF(AND(U1234="INCLUDED",X1234&gt;0,EXACT(A1234,'AI output'!A1234)),1,0)</f>
        <v>1</v>
      </c>
      <c r="X1234" s="1">
        <f>1234</f>
        <v>1234</v>
      </c>
      <c r="Y1234" s="1">
        <f>IF(AND(U1234="INCLUDED",W1234=1),--(NOT(EXACT(A1234,'AI output'!A1234)))+--(NOT(EXACT(B1234,'AI output'!B1234)))+--(NOT(EXACT(TEXT(G1234,"yyyy-mm-dd"),'AI output'!C1234)))+--(NOT(EXACT(H1234,'AI output'!D1234)))+--(NOT(EXACT(J1234,'AI output'!E1234)))+--(NOT(EXACT(K1234,'AI output'!F1234)))+--(N1234&lt;&gt;'AI output'!L1234)+--(NOT('AI output'!M1234)),0)</f>
        <v>0</v>
      </c>
      <c r="Z1234" s="1">
        <f t="shared" si="159"/>
        <v>0</v>
      </c>
      <c r="AA1234" s="1">
        <f>--EXACT(A1234,"L01228")</f>
        <v>1</v>
      </c>
    </row>
    <row r="1235" spans="1:27" ht="18.95" customHeight="1">
      <c r="A1235" s="1" t="str">
        <f>IF(Raw!A1235="","",Raw!A1235)</f>
        <v>L01229</v>
      </c>
      <c r="B1235" s="1" t="str">
        <f>IF(Raw!B1235="","",Raw!B1235)</f>
        <v>T00615</v>
      </c>
      <c r="C1235" s="1" t="str">
        <f>IF(Raw!C1235="","",Raw!C1235)</f>
        <v>2026-03-10</v>
      </c>
      <c r="D1235" s="1">
        <f t="shared" si="152"/>
        <v>2026</v>
      </c>
      <c r="E1235" s="1">
        <f>IFERROR(IF(AND(LEN(C1235)=10,MID(C1235,5,1)="-",MID(C1235,8,1)="-"),VALUE(MID(C1235,6,2)),IF(AND(LEN(C1235)=11,MID(C1235,3,1)="-",MID(C1235,7,1)="-"),MATCH(UPPER(MID(C1235,4,3)),Guide!$D$7:$D$18,0),0)),0)</f>
        <v>3</v>
      </c>
      <c r="F1235" s="1">
        <f t="shared" si="153"/>
        <v>10</v>
      </c>
      <c r="G1235" s="9">
        <f t="shared" si="154"/>
        <v>46091</v>
      </c>
      <c r="H1235" s="1" t="str">
        <f>IF(Raw!D1235="","",Raw!D1235)</f>
        <v>P-H</v>
      </c>
      <c r="I1235" s="1" t="str">
        <f>IFERROR(IF(EXACT(H1235,INDEX(Guide!$A$7:$A$9,MATCH(SUBSTITUTE(SUBSTITUTE(SUBSTITUTE(H1235,"~","~~"),"*","~*"),"?","~?"),Guide!$A$7:$A$9,0))),INDEX(Guide!$B$7:$B$9,MATCH(SUBSTITUTE(SUBSTITUTE(SUBSTITUTE(H1235,"~","~~"),"*","~*"),"?","~?"),Guide!$A$7:$A$9,0)),""),"")</f>
        <v>Home</v>
      </c>
      <c r="J1235" s="1" t="str">
        <f>IF(TRIM(Raw!E1235)="",I1235,IF(UPPER(TRIM(Raw!E1235))=UPPER(I1235),I1235,""))</f>
        <v>Home</v>
      </c>
      <c r="K1235" s="1" t="str">
        <f>IF(Raw!F1235="","",Raw!F1235)</f>
        <v>sale</v>
      </c>
      <c r="L1235" s="1" t="str">
        <f>IF(LEFT(TRIM(Raw!G1235),2)="-$","-"&amp;MID(TRIM(Raw!G1235),3,99),IF(LEFT(TRIM(Raw!G1235),1)="$",MID(TRIM(Raw!G1235),2,99),TRIM(Raw!G1235)))</f>
        <v>198.70</v>
      </c>
      <c r="M1235" s="1">
        <f t="shared" si="155"/>
        <v>198.7</v>
      </c>
      <c r="N1235" s="10">
        <f t="shared" si="156"/>
        <v>19870</v>
      </c>
      <c r="O1235" s="1" t="b">
        <f>IFERROR(IF(ISNUMBER(Raw!G1235),TRUE,OR(EXACT(L1235,TEXT(M1235,"0.00")),EXACT(L1235,TEXT(M1235,"#,##0.00")))),FALSE)</f>
        <v>1</v>
      </c>
      <c r="P1235" s="1" t="str">
        <f>LEN(IF(Raw!A1235="","",Raw!A1235))&amp;":"&amp;IF(Raw!A1235="","",Raw!A1235)&amp;"|"&amp;LEN(IF(Raw!B1235="","",Raw!B1235))&amp;":"&amp;IF(Raw!B1235="","",Raw!B1235)&amp;"|"&amp;LEN(IF(Raw!C1235="","",Raw!C1235))&amp;":"&amp;IF(Raw!C1235="","",Raw!C1235)&amp;"|"&amp;LEN(IF(Raw!D1235="","",Raw!D1235))&amp;":"&amp;IF(Raw!D1235="","",Raw!D1235)&amp;"|"&amp;LEN(IF(Raw!E1235="","",Raw!E1235))&amp;":"&amp;IF(Raw!E1235="","",Raw!E1235)&amp;"|"&amp;LEN(IF(Raw!F1235="","",Raw!F1235))&amp;":"&amp;IF(Raw!F1235="","",Raw!F1235)&amp;"|"&amp;LEN(IF(Raw!G1235="","",Raw!G1235))&amp;":"&amp;IF(Raw!G1235="","",Raw!G1235)</f>
        <v>6:L01229|6:T00615|10:2026-03-10|3:P-H|4:Home|4:sale|6:198.70</v>
      </c>
      <c r="Q1235" s="1">
        <f>1</f>
        <v>1</v>
      </c>
      <c r="R1235" s="1" t="b">
        <f>FALSE</f>
        <v>0</v>
      </c>
      <c r="S1235" s="1">
        <f>1</f>
        <v>1</v>
      </c>
      <c r="T1235" s="1" t="str">
        <f>IF(AND(Raw!A1235="",Raw!B1235="",Raw!C1235="",Raw!D1235="",Raw!E1235="",Raw!F1235="",Raw!G1235=""),"UNUSED",IF(A1235="","missing line ID",IF(B1235="","missing transaction ID",IF(G1235="",IF(C1235="","missing date","invalid date"),IF(I1235="","unknown product",IF(J1235="","conflicting category",IF(NOT(OR(EXACT(K1235,"sale"),EXACT(K1235,"refund"))),"unknown event",IF(OR(N1235="",NOT(O1235)),"invalid amount",IF(OR(AND(K1235="sale",N1235&lt;=0),AND(K1235="refund",N1235&gt;=0)),"invalid sign","")))))))))</f>
        <v/>
      </c>
      <c r="U1235" s="1" t="str">
        <f t="shared" si="157"/>
        <v>INCLUDED</v>
      </c>
      <c r="V1235" s="1" t="str">
        <f t="shared" si="158"/>
        <v>2026-03</v>
      </c>
      <c r="W1235" s="1">
        <f>IF(AND(U1235="INCLUDED",X1235&gt;0,EXACT(A1235,'AI output'!A1235)),1,0)</f>
        <v>1</v>
      </c>
      <c r="X1235" s="1">
        <f>1235</f>
        <v>1235</v>
      </c>
      <c r="Y1235" s="1">
        <f>IF(AND(U1235="INCLUDED",W1235=1),--(NOT(EXACT(A1235,'AI output'!A1235)))+--(NOT(EXACT(B1235,'AI output'!B1235)))+--(NOT(EXACT(TEXT(G1235,"yyyy-mm-dd"),'AI output'!C1235)))+--(NOT(EXACT(H1235,'AI output'!D1235)))+--(NOT(EXACT(J1235,'AI output'!E1235)))+--(NOT(EXACT(K1235,'AI output'!F1235)))+--(N1235&lt;&gt;'AI output'!L1235)+--(NOT('AI output'!M1235)),0)</f>
        <v>0</v>
      </c>
      <c r="Z1235" s="1">
        <f t="shared" si="159"/>
        <v>0</v>
      </c>
      <c r="AA1235" s="1">
        <f>--EXACT(A1235,"L01229")</f>
        <v>1</v>
      </c>
    </row>
    <row r="1236" spans="1:27" ht="18.95" customHeight="1">
      <c r="A1236" s="1" t="str">
        <f>IF(Raw!A1236="","",Raw!A1236)</f>
        <v>L01230</v>
      </c>
      <c r="B1236" s="1" t="str">
        <f>IF(Raw!B1236="","",Raw!B1236)</f>
        <v>T00615</v>
      </c>
      <c r="C1236" s="1" t="str">
        <f>IF(Raw!C1236="","",Raw!C1236)</f>
        <v>2026-03-10</v>
      </c>
      <c r="D1236" s="1">
        <f t="shared" si="152"/>
        <v>2026</v>
      </c>
      <c r="E1236" s="1">
        <f>IFERROR(IF(AND(LEN(C1236)=10,MID(C1236,5,1)="-",MID(C1236,8,1)="-"),VALUE(MID(C1236,6,2)),IF(AND(LEN(C1236)=11,MID(C1236,3,1)="-",MID(C1236,7,1)="-"),MATCH(UPPER(MID(C1236,4,3)),Guide!$D$7:$D$18,0),0)),0)</f>
        <v>3</v>
      </c>
      <c r="F1236" s="1">
        <f t="shared" si="153"/>
        <v>10</v>
      </c>
      <c r="G1236" s="9">
        <f t="shared" si="154"/>
        <v>46091</v>
      </c>
      <c r="H1236" s="1" t="str">
        <f>IF(Raw!D1236="","",Raw!D1236)</f>
        <v>P-O</v>
      </c>
      <c r="I1236" s="1" t="str">
        <f>IFERROR(IF(EXACT(H1236,INDEX(Guide!$A$7:$A$9,MATCH(SUBSTITUTE(SUBSTITUTE(SUBSTITUTE(H1236,"~","~~"),"*","~*"),"?","~?"),Guide!$A$7:$A$9,0))),INDEX(Guide!$B$7:$B$9,MATCH(SUBSTITUTE(SUBSTITUTE(SUBSTITUTE(H1236,"~","~~"),"*","~*"),"?","~?"),Guide!$A$7:$A$9,0)),""),"")</f>
        <v>Office</v>
      </c>
      <c r="J1236" s="1" t="str">
        <f>IF(TRIM(Raw!E1236)="",I1236,IF(UPPER(TRIM(Raw!E1236))=UPPER(I1236),I1236,""))</f>
        <v>Office</v>
      </c>
      <c r="K1236" s="1" t="str">
        <f>IF(Raw!F1236="","",Raw!F1236)</f>
        <v>sale</v>
      </c>
      <c r="L1236" s="1" t="str">
        <f>IF(LEFT(TRIM(Raw!G1236),2)="-$","-"&amp;MID(TRIM(Raw!G1236),3,99),IF(LEFT(TRIM(Raw!G1236),1)="$",MID(TRIM(Raw!G1236),2,99),TRIM(Raw!G1236)))</f>
        <v>398.88</v>
      </c>
      <c r="M1236" s="1">
        <f t="shared" si="155"/>
        <v>398.88</v>
      </c>
      <c r="N1236" s="10">
        <f t="shared" si="156"/>
        <v>39888</v>
      </c>
      <c r="O1236" s="1" t="b">
        <f>IFERROR(IF(ISNUMBER(Raw!G1236),TRUE,OR(EXACT(L1236,TEXT(M1236,"0.00")),EXACT(L1236,TEXT(M1236,"#,##0.00")))),FALSE)</f>
        <v>1</v>
      </c>
      <c r="P1236" s="1" t="str">
        <f>LEN(IF(Raw!A1236="","",Raw!A1236))&amp;":"&amp;IF(Raw!A1236="","",Raw!A1236)&amp;"|"&amp;LEN(IF(Raw!B1236="","",Raw!B1236))&amp;":"&amp;IF(Raw!B1236="","",Raw!B1236)&amp;"|"&amp;LEN(IF(Raw!C1236="","",Raw!C1236))&amp;":"&amp;IF(Raw!C1236="","",Raw!C1236)&amp;"|"&amp;LEN(IF(Raw!D1236="","",Raw!D1236))&amp;":"&amp;IF(Raw!D1236="","",Raw!D1236)&amp;"|"&amp;LEN(IF(Raw!E1236="","",Raw!E1236))&amp;":"&amp;IF(Raw!E1236="","",Raw!E1236)&amp;"|"&amp;LEN(IF(Raw!F1236="","",Raw!F1236))&amp;":"&amp;IF(Raw!F1236="","",Raw!F1236)&amp;"|"&amp;LEN(IF(Raw!G1236="","",Raw!G1236))&amp;":"&amp;IF(Raw!G1236="","",Raw!G1236)</f>
        <v>6:L01230|6:T00615|10:2026-03-10|3:P-O|6:Office|4:sale|6:398.88</v>
      </c>
      <c r="Q1236" s="1">
        <f>2</f>
        <v>2</v>
      </c>
      <c r="R1236" s="1" t="b">
        <f>OR(NOT(EXACT(P1236,P2001)))</f>
        <v>0</v>
      </c>
      <c r="S1236" s="1">
        <f>1</f>
        <v>1</v>
      </c>
      <c r="T1236" s="1" t="str">
        <f>IF(AND(Raw!A1236="",Raw!B1236="",Raw!C1236="",Raw!D1236="",Raw!E1236="",Raw!F1236="",Raw!G1236=""),"UNUSED",IF(A1236="","missing line ID",IF(B1236="","missing transaction ID",IF(G1236="",IF(C1236="","missing date","invalid date"),IF(I1236="","unknown product",IF(J1236="","conflicting category",IF(NOT(OR(EXACT(K1236,"sale"),EXACT(K1236,"refund"))),"unknown event",IF(OR(N1236="",NOT(O1236)),"invalid amount",IF(OR(AND(K1236="sale",N1236&lt;=0),AND(K1236="refund",N1236&gt;=0)),"invalid sign","")))))))))</f>
        <v/>
      </c>
      <c r="U1236" s="1" t="str">
        <f t="shared" si="157"/>
        <v>INCLUDED</v>
      </c>
      <c r="V1236" s="1" t="str">
        <f t="shared" si="158"/>
        <v>2026-03</v>
      </c>
      <c r="W1236" s="1">
        <f>IF(AND(U1236="INCLUDED",X1236&gt;0,EXACT(A1236,'AI output'!A1236)),1,0)</f>
        <v>1</v>
      </c>
      <c r="X1236" s="1">
        <f>1236</f>
        <v>1236</v>
      </c>
      <c r="Y1236" s="1">
        <f>IF(AND(U1236="INCLUDED",W1236=1),--(NOT(EXACT(A1236,'AI output'!A1236)))+--(NOT(EXACT(B1236,'AI output'!B1236)))+--(NOT(EXACT(TEXT(G1236,"yyyy-mm-dd"),'AI output'!C1236)))+--(NOT(EXACT(H1236,'AI output'!D1236)))+--(NOT(EXACT(J1236,'AI output'!E1236)))+--(NOT(EXACT(K1236,'AI output'!F1236)))+--(N1236&lt;&gt;'AI output'!L1236)+--(NOT('AI output'!M1236)),0)</f>
        <v>0</v>
      </c>
      <c r="Z1236" s="1">
        <f t="shared" si="159"/>
        <v>0</v>
      </c>
      <c r="AA1236" s="1">
        <f>--EXACT(A1236,"L01230")</f>
        <v>1</v>
      </c>
    </row>
    <row r="1237" spans="1:27" ht="18.95" customHeight="1">
      <c r="A1237" s="1" t="str">
        <f>IF(Raw!A1237="","",Raw!A1237)</f>
        <v>L01231</v>
      </c>
      <c r="B1237" s="1" t="str">
        <f>IF(Raw!B1237="","",Raw!B1237)</f>
        <v>T00616</v>
      </c>
      <c r="C1237" s="1" t="str">
        <f>IF(Raw!C1237="","",Raw!C1237)</f>
        <v>2026-03-17</v>
      </c>
      <c r="D1237" s="1">
        <f t="shared" si="152"/>
        <v>2026</v>
      </c>
      <c r="E1237" s="1">
        <f>IFERROR(IF(AND(LEN(C1237)=10,MID(C1237,5,1)="-",MID(C1237,8,1)="-"),VALUE(MID(C1237,6,2)),IF(AND(LEN(C1237)=11,MID(C1237,3,1)="-",MID(C1237,7,1)="-"),MATCH(UPPER(MID(C1237,4,3)),Guide!$D$7:$D$18,0),0)),0)</f>
        <v>3</v>
      </c>
      <c r="F1237" s="1">
        <f t="shared" si="153"/>
        <v>17</v>
      </c>
      <c r="G1237" s="9">
        <f t="shared" si="154"/>
        <v>46098</v>
      </c>
      <c r="H1237" s="1" t="str">
        <f>IF(Raw!D1237="","",Raw!D1237)</f>
        <v>P-A</v>
      </c>
      <c r="I1237" s="1" t="str">
        <f>IFERROR(IF(EXACT(H1237,INDEX(Guide!$A$7:$A$9,MATCH(SUBSTITUTE(SUBSTITUTE(SUBSTITUTE(H1237,"~","~~"),"*","~*"),"?","~?"),Guide!$A$7:$A$9,0))),INDEX(Guide!$B$7:$B$9,MATCH(SUBSTITUTE(SUBSTITUTE(SUBSTITUTE(H1237,"~","~~"),"*","~*"),"?","~?"),Guide!$A$7:$A$9,0)),""),"")</f>
        <v>Accessories</v>
      </c>
      <c r="J1237" s="1" t="str">
        <f>IF(TRIM(Raw!E1237)="",I1237,IF(UPPER(TRIM(Raw!E1237))=UPPER(I1237),I1237,""))</f>
        <v>Accessories</v>
      </c>
      <c r="K1237" s="1" t="str">
        <f>IF(Raw!F1237="","",Raw!F1237)</f>
        <v>sale</v>
      </c>
      <c r="L1237" s="1" t="str">
        <f>IF(LEFT(TRIM(Raw!G1237),2)="-$","-"&amp;MID(TRIM(Raw!G1237),3,99),IF(LEFT(TRIM(Raw!G1237),1)="$",MID(TRIM(Raw!G1237),2,99),TRIM(Raw!G1237)))</f>
        <v>100.09</v>
      </c>
      <c r="M1237" s="1">
        <f t="shared" si="155"/>
        <v>100.09</v>
      </c>
      <c r="N1237" s="10">
        <f t="shared" si="156"/>
        <v>10009</v>
      </c>
      <c r="O1237" s="1" t="b">
        <f>IFERROR(IF(ISNUMBER(Raw!G1237),TRUE,OR(EXACT(L1237,TEXT(M1237,"0.00")),EXACT(L1237,TEXT(M1237,"#,##0.00")))),FALSE)</f>
        <v>1</v>
      </c>
      <c r="P1237" s="1" t="str">
        <f>LEN(IF(Raw!A1237="","",Raw!A1237))&amp;":"&amp;IF(Raw!A1237="","",Raw!A1237)&amp;"|"&amp;LEN(IF(Raw!B1237="","",Raw!B1237))&amp;":"&amp;IF(Raw!B1237="","",Raw!B1237)&amp;"|"&amp;LEN(IF(Raw!C1237="","",Raw!C1237))&amp;":"&amp;IF(Raw!C1237="","",Raw!C1237)&amp;"|"&amp;LEN(IF(Raw!D1237="","",Raw!D1237))&amp;":"&amp;IF(Raw!D1237="","",Raw!D1237)&amp;"|"&amp;LEN(IF(Raw!E1237="","",Raw!E1237))&amp;":"&amp;IF(Raw!E1237="","",Raw!E1237)&amp;"|"&amp;LEN(IF(Raw!F1237="","",Raw!F1237))&amp;":"&amp;IF(Raw!F1237="","",Raw!F1237)&amp;"|"&amp;LEN(IF(Raw!G1237="","",Raw!G1237))&amp;":"&amp;IF(Raw!G1237="","",Raw!G1237)</f>
        <v>6:L01231|6:T00616|10:2026-03-17|3:P-A|11:Accessories|4:sale|6:100.09</v>
      </c>
      <c r="Q1237" s="1">
        <f>1</f>
        <v>1</v>
      </c>
      <c r="R1237" s="1" t="b">
        <f>FALSE</f>
        <v>0</v>
      </c>
      <c r="S1237" s="1">
        <f>1</f>
        <v>1</v>
      </c>
      <c r="T1237" s="1" t="str">
        <f>IF(AND(Raw!A1237="",Raw!B1237="",Raw!C1237="",Raw!D1237="",Raw!E1237="",Raw!F1237="",Raw!G1237=""),"UNUSED",IF(A1237="","missing line ID",IF(B1237="","missing transaction ID",IF(G1237="",IF(C1237="","missing date","invalid date"),IF(I1237="","unknown product",IF(J1237="","conflicting category",IF(NOT(OR(EXACT(K1237,"sale"),EXACT(K1237,"refund"))),"unknown event",IF(OR(N1237="",NOT(O1237)),"invalid amount",IF(OR(AND(K1237="sale",N1237&lt;=0),AND(K1237="refund",N1237&gt;=0)),"invalid sign","")))))))))</f>
        <v/>
      </c>
      <c r="U1237" s="1" t="str">
        <f t="shared" si="157"/>
        <v>INCLUDED</v>
      </c>
      <c r="V1237" s="1" t="str">
        <f t="shared" si="158"/>
        <v>2026-03</v>
      </c>
      <c r="W1237" s="1">
        <f>IF(AND(U1237="INCLUDED",X1237&gt;0,EXACT(A1237,'AI output'!A1237)),1,0)</f>
        <v>1</v>
      </c>
      <c r="X1237" s="1">
        <f>1237</f>
        <v>1237</v>
      </c>
      <c r="Y1237" s="1">
        <f>IF(AND(U1237="INCLUDED",W1237=1),--(NOT(EXACT(A1237,'AI output'!A1237)))+--(NOT(EXACT(B1237,'AI output'!B1237)))+--(NOT(EXACT(TEXT(G1237,"yyyy-mm-dd"),'AI output'!C1237)))+--(NOT(EXACT(H1237,'AI output'!D1237)))+--(NOT(EXACT(J1237,'AI output'!E1237)))+--(NOT(EXACT(K1237,'AI output'!F1237)))+--(N1237&lt;&gt;'AI output'!L1237)+--(NOT('AI output'!M1237)),0)</f>
        <v>0</v>
      </c>
      <c r="Z1237" s="1">
        <f t="shared" si="159"/>
        <v>0</v>
      </c>
      <c r="AA1237" s="1">
        <f>--EXACT(A1237,"L01231")</f>
        <v>1</v>
      </c>
    </row>
    <row r="1238" spans="1:27" ht="18.95" customHeight="1">
      <c r="A1238" s="1" t="str">
        <f>IF(Raw!A1238="","",Raw!A1238)</f>
        <v>L01232</v>
      </c>
      <c r="B1238" s="1" t="str">
        <f>IF(Raw!B1238="","",Raw!B1238)</f>
        <v>T00616</v>
      </c>
      <c r="C1238" s="1" t="str">
        <f>IF(Raw!C1238="","",Raw!C1238)</f>
        <v>2026-03-17</v>
      </c>
      <c r="D1238" s="1">
        <f t="shared" si="152"/>
        <v>2026</v>
      </c>
      <c r="E1238" s="1">
        <f>IFERROR(IF(AND(LEN(C1238)=10,MID(C1238,5,1)="-",MID(C1238,8,1)="-"),VALUE(MID(C1238,6,2)),IF(AND(LEN(C1238)=11,MID(C1238,3,1)="-",MID(C1238,7,1)="-"),MATCH(UPPER(MID(C1238,4,3)),Guide!$D$7:$D$18,0),0)),0)</f>
        <v>3</v>
      </c>
      <c r="F1238" s="1">
        <f t="shared" si="153"/>
        <v>17</v>
      </c>
      <c r="G1238" s="9">
        <f t="shared" si="154"/>
        <v>46098</v>
      </c>
      <c r="H1238" s="1" t="str">
        <f>IF(Raw!D1238="","",Raw!D1238)</f>
        <v>P-H</v>
      </c>
      <c r="I1238" s="1" t="str">
        <f>IFERROR(IF(EXACT(H1238,INDEX(Guide!$A$7:$A$9,MATCH(SUBSTITUTE(SUBSTITUTE(SUBSTITUTE(H1238,"~","~~"),"*","~*"),"?","~?"),Guide!$A$7:$A$9,0))),INDEX(Guide!$B$7:$B$9,MATCH(SUBSTITUTE(SUBSTITUTE(SUBSTITUTE(H1238,"~","~~"),"*","~*"),"?","~?"),Guide!$A$7:$A$9,0)),""),"")</f>
        <v>Home</v>
      </c>
      <c r="J1238" s="1" t="str">
        <f>IF(TRIM(Raw!E1238)="",I1238,IF(UPPER(TRIM(Raw!E1238))=UPPER(I1238),I1238,""))</f>
        <v>Home</v>
      </c>
      <c r="K1238" s="1" t="str">
        <f>IF(Raw!F1238="","",Raw!F1238)</f>
        <v>sale</v>
      </c>
      <c r="L1238" s="1" t="str">
        <f>IF(LEFT(TRIM(Raw!G1238),2)="-$","-"&amp;MID(TRIM(Raw!G1238),3,99),IF(LEFT(TRIM(Raw!G1238),1)="$",MID(TRIM(Raw!G1238),2,99),TRIM(Raw!G1238)))</f>
        <v>301.38</v>
      </c>
      <c r="M1238" s="1">
        <f t="shared" si="155"/>
        <v>301.38</v>
      </c>
      <c r="N1238" s="10">
        <f t="shared" si="156"/>
        <v>30138</v>
      </c>
      <c r="O1238" s="1" t="b">
        <f>IFERROR(IF(ISNUMBER(Raw!G1238),TRUE,OR(EXACT(L1238,TEXT(M1238,"0.00")),EXACT(L1238,TEXT(M1238,"#,##0.00")))),FALSE)</f>
        <v>1</v>
      </c>
      <c r="P1238" s="1" t="str">
        <f>LEN(IF(Raw!A1238="","",Raw!A1238))&amp;":"&amp;IF(Raw!A1238="","",Raw!A1238)&amp;"|"&amp;LEN(IF(Raw!B1238="","",Raw!B1238))&amp;":"&amp;IF(Raw!B1238="","",Raw!B1238)&amp;"|"&amp;LEN(IF(Raw!C1238="","",Raw!C1238))&amp;":"&amp;IF(Raw!C1238="","",Raw!C1238)&amp;"|"&amp;LEN(IF(Raw!D1238="","",Raw!D1238))&amp;":"&amp;IF(Raw!D1238="","",Raw!D1238)&amp;"|"&amp;LEN(IF(Raw!E1238="","",Raw!E1238))&amp;":"&amp;IF(Raw!E1238="","",Raw!E1238)&amp;"|"&amp;LEN(IF(Raw!F1238="","",Raw!F1238))&amp;":"&amp;IF(Raw!F1238="","",Raw!F1238)&amp;"|"&amp;LEN(IF(Raw!G1238="","",Raw!G1238))&amp;":"&amp;IF(Raw!G1238="","",Raw!G1238)</f>
        <v>6:L01232|6:T00616|10:2026-03-17|3:P-H|4:Home|4:sale|6:301.38</v>
      </c>
      <c r="Q1238" s="1">
        <f>1</f>
        <v>1</v>
      </c>
      <c r="R1238" s="1" t="b">
        <f>FALSE</f>
        <v>0</v>
      </c>
      <c r="S1238" s="1">
        <f>1</f>
        <v>1</v>
      </c>
      <c r="T1238" s="1" t="str">
        <f>IF(AND(Raw!A1238="",Raw!B1238="",Raw!C1238="",Raw!D1238="",Raw!E1238="",Raw!F1238="",Raw!G1238=""),"UNUSED",IF(A1238="","missing line ID",IF(B1238="","missing transaction ID",IF(G1238="",IF(C1238="","missing date","invalid date"),IF(I1238="","unknown product",IF(J1238="","conflicting category",IF(NOT(OR(EXACT(K1238,"sale"),EXACT(K1238,"refund"))),"unknown event",IF(OR(N1238="",NOT(O1238)),"invalid amount",IF(OR(AND(K1238="sale",N1238&lt;=0),AND(K1238="refund",N1238&gt;=0)),"invalid sign","")))))))))</f>
        <v/>
      </c>
      <c r="U1238" s="1" t="str">
        <f t="shared" si="157"/>
        <v>INCLUDED</v>
      </c>
      <c r="V1238" s="1" t="str">
        <f t="shared" si="158"/>
        <v>2026-03</v>
      </c>
      <c r="W1238" s="1">
        <f>IF(AND(U1238="INCLUDED",X1238&gt;0,EXACT(A1238,'AI output'!A1238)),1,0)</f>
        <v>1</v>
      </c>
      <c r="X1238" s="1">
        <f>1238</f>
        <v>1238</v>
      </c>
      <c r="Y1238" s="1">
        <f>IF(AND(U1238="INCLUDED",W1238=1),--(NOT(EXACT(A1238,'AI output'!A1238)))+--(NOT(EXACT(B1238,'AI output'!B1238)))+--(NOT(EXACT(TEXT(G1238,"yyyy-mm-dd"),'AI output'!C1238)))+--(NOT(EXACT(H1238,'AI output'!D1238)))+--(NOT(EXACT(J1238,'AI output'!E1238)))+--(NOT(EXACT(K1238,'AI output'!F1238)))+--(N1238&lt;&gt;'AI output'!L1238)+--(NOT('AI output'!M1238)),0)</f>
        <v>0</v>
      </c>
      <c r="Z1238" s="1">
        <f t="shared" si="159"/>
        <v>0</v>
      </c>
      <c r="AA1238" s="1">
        <f>--EXACT(A1238,"L01232")</f>
        <v>1</v>
      </c>
    </row>
    <row r="1239" spans="1:27" ht="18.95" customHeight="1">
      <c r="A1239" s="1" t="str">
        <f>IF(Raw!A1239="","",Raw!A1239)</f>
        <v>L01233</v>
      </c>
      <c r="B1239" s="1" t="str">
        <f>IF(Raw!B1239="","",Raw!B1239)</f>
        <v>T00617</v>
      </c>
      <c r="C1239" s="1" t="str">
        <f>IF(Raw!C1239="","",Raw!C1239)</f>
        <v>2026-03-24</v>
      </c>
      <c r="D1239" s="1">
        <f t="shared" si="152"/>
        <v>2026</v>
      </c>
      <c r="E1239" s="1">
        <f>IFERROR(IF(AND(LEN(C1239)=10,MID(C1239,5,1)="-",MID(C1239,8,1)="-"),VALUE(MID(C1239,6,2)),IF(AND(LEN(C1239)=11,MID(C1239,3,1)="-",MID(C1239,7,1)="-"),MATCH(UPPER(MID(C1239,4,3)),Guide!$D$7:$D$18,0),0)),0)</f>
        <v>3</v>
      </c>
      <c r="F1239" s="1">
        <f t="shared" si="153"/>
        <v>24</v>
      </c>
      <c r="G1239" s="9">
        <f t="shared" si="154"/>
        <v>46105</v>
      </c>
      <c r="H1239" s="1" t="str">
        <f>IF(Raw!D1239="","",Raw!D1239)</f>
        <v>P-O</v>
      </c>
      <c r="I1239" s="1" t="str">
        <f>IFERROR(IF(EXACT(H1239,INDEX(Guide!$A$7:$A$9,MATCH(SUBSTITUTE(SUBSTITUTE(SUBSTITUTE(H1239,"~","~~"),"*","~*"),"?","~?"),Guide!$A$7:$A$9,0))),INDEX(Guide!$B$7:$B$9,MATCH(SUBSTITUTE(SUBSTITUTE(SUBSTITUTE(H1239,"~","~~"),"*","~*"),"?","~?"),Guide!$A$7:$A$9,0)),""),"")</f>
        <v>Office</v>
      </c>
      <c r="J1239" s="1" t="str">
        <f>IF(TRIM(Raw!E1239)="",I1239,IF(UPPER(TRIM(Raw!E1239))=UPPER(I1239),I1239,""))</f>
        <v>Office</v>
      </c>
      <c r="K1239" s="1" t="str">
        <f>IF(Raw!F1239="","",Raw!F1239)</f>
        <v>sale</v>
      </c>
      <c r="L1239" s="1" t="str">
        <f>IF(LEFT(TRIM(Raw!G1239),2)="-$","-"&amp;MID(TRIM(Raw!G1239),3,99),IF(LEFT(TRIM(Raw!G1239),1)="$",MID(TRIM(Raw!G1239),2,99),TRIM(Raw!G1239)))</f>
        <v>504.15</v>
      </c>
      <c r="M1239" s="1">
        <f t="shared" si="155"/>
        <v>504.15</v>
      </c>
      <c r="N1239" s="10">
        <f t="shared" si="156"/>
        <v>50415</v>
      </c>
      <c r="O1239" s="1" t="b">
        <f>IFERROR(IF(ISNUMBER(Raw!G1239),TRUE,OR(EXACT(L1239,TEXT(M1239,"0.00")),EXACT(L1239,TEXT(M1239,"#,##0.00")))),FALSE)</f>
        <v>1</v>
      </c>
      <c r="P1239" s="1" t="str">
        <f>LEN(IF(Raw!A1239="","",Raw!A1239))&amp;":"&amp;IF(Raw!A1239="","",Raw!A1239)&amp;"|"&amp;LEN(IF(Raw!B1239="","",Raw!B1239))&amp;":"&amp;IF(Raw!B1239="","",Raw!B1239)&amp;"|"&amp;LEN(IF(Raw!C1239="","",Raw!C1239))&amp;":"&amp;IF(Raw!C1239="","",Raw!C1239)&amp;"|"&amp;LEN(IF(Raw!D1239="","",Raw!D1239))&amp;":"&amp;IF(Raw!D1239="","",Raw!D1239)&amp;"|"&amp;LEN(IF(Raw!E1239="","",Raw!E1239))&amp;":"&amp;IF(Raw!E1239="","",Raw!E1239)&amp;"|"&amp;LEN(IF(Raw!F1239="","",Raw!F1239))&amp;":"&amp;IF(Raw!F1239="","",Raw!F1239)&amp;"|"&amp;LEN(IF(Raw!G1239="","",Raw!G1239))&amp;":"&amp;IF(Raw!G1239="","",Raw!G1239)</f>
        <v>6:L01233|6:T00617|10:2026-03-24|3:P-O|6:Office|4:sale|6:504.15</v>
      </c>
      <c r="Q1239" s="1">
        <f>1</f>
        <v>1</v>
      </c>
      <c r="R1239" s="1" t="b">
        <f>FALSE</f>
        <v>0</v>
      </c>
      <c r="S1239" s="1">
        <f>1</f>
        <v>1</v>
      </c>
      <c r="T1239" s="1" t="str">
        <f>IF(AND(Raw!A1239="",Raw!B1239="",Raw!C1239="",Raw!D1239="",Raw!E1239="",Raw!F1239="",Raw!G1239=""),"UNUSED",IF(A1239="","missing line ID",IF(B1239="","missing transaction ID",IF(G1239="",IF(C1239="","missing date","invalid date"),IF(I1239="","unknown product",IF(J1239="","conflicting category",IF(NOT(OR(EXACT(K1239,"sale"),EXACT(K1239,"refund"))),"unknown event",IF(OR(N1239="",NOT(O1239)),"invalid amount",IF(OR(AND(K1239="sale",N1239&lt;=0),AND(K1239="refund",N1239&gt;=0)),"invalid sign","")))))))))</f>
        <v/>
      </c>
      <c r="U1239" s="1" t="str">
        <f t="shared" si="157"/>
        <v>INCLUDED</v>
      </c>
      <c r="V1239" s="1" t="str">
        <f t="shared" si="158"/>
        <v>2026-03</v>
      </c>
      <c r="W1239" s="1">
        <f>IF(AND(U1239="INCLUDED",X1239&gt;0,EXACT(A1239,'AI output'!A1239)),1,0)</f>
        <v>1</v>
      </c>
      <c r="X1239" s="1">
        <f>1239</f>
        <v>1239</v>
      </c>
      <c r="Y1239" s="1">
        <f>IF(AND(U1239="INCLUDED",W1239=1),--(NOT(EXACT(A1239,'AI output'!A1239)))+--(NOT(EXACT(B1239,'AI output'!B1239)))+--(NOT(EXACT(TEXT(G1239,"yyyy-mm-dd"),'AI output'!C1239)))+--(NOT(EXACT(H1239,'AI output'!D1239)))+--(NOT(EXACT(J1239,'AI output'!E1239)))+--(NOT(EXACT(K1239,'AI output'!F1239)))+--(N1239&lt;&gt;'AI output'!L1239)+--(NOT('AI output'!M1239)),0)</f>
        <v>0</v>
      </c>
      <c r="Z1239" s="1">
        <f t="shared" si="159"/>
        <v>0</v>
      </c>
      <c r="AA1239" s="1">
        <f>--EXACT(A1239,"L01233")</f>
        <v>1</v>
      </c>
    </row>
    <row r="1240" spans="1:27" ht="18.95" customHeight="1">
      <c r="A1240" s="1" t="str">
        <f>IF(Raw!A1240="","",Raw!A1240)</f>
        <v>L01234</v>
      </c>
      <c r="B1240" s="1" t="str">
        <f>IF(Raw!B1240="","",Raw!B1240)</f>
        <v>T00617</v>
      </c>
      <c r="C1240" s="1" t="str">
        <f>IF(Raw!C1240="","",Raw!C1240)</f>
        <v>2026-03-24</v>
      </c>
      <c r="D1240" s="1">
        <f t="shared" si="152"/>
        <v>2026</v>
      </c>
      <c r="E1240" s="1">
        <f>IFERROR(IF(AND(LEN(C1240)=10,MID(C1240,5,1)="-",MID(C1240,8,1)="-"),VALUE(MID(C1240,6,2)),IF(AND(LEN(C1240)=11,MID(C1240,3,1)="-",MID(C1240,7,1)="-"),MATCH(UPPER(MID(C1240,4,3)),Guide!$D$7:$D$18,0),0)),0)</f>
        <v>3</v>
      </c>
      <c r="F1240" s="1">
        <f t="shared" si="153"/>
        <v>24</v>
      </c>
      <c r="G1240" s="9">
        <f t="shared" si="154"/>
        <v>46105</v>
      </c>
      <c r="H1240" s="1" t="str">
        <f>IF(Raw!D1240="","",Raw!D1240)</f>
        <v>P-A</v>
      </c>
      <c r="I1240" s="1" t="str">
        <f>IFERROR(IF(EXACT(H1240,INDEX(Guide!$A$7:$A$9,MATCH(SUBSTITUTE(SUBSTITUTE(SUBSTITUTE(H1240,"~","~~"),"*","~*"),"?","~?"),Guide!$A$7:$A$9,0))),INDEX(Guide!$B$7:$B$9,MATCH(SUBSTITUTE(SUBSTITUTE(SUBSTITUTE(H1240,"~","~~"),"*","~*"),"?","~?"),Guide!$A$7:$A$9,0)),""),"")</f>
        <v>Accessories</v>
      </c>
      <c r="J1240" s="1" t="str">
        <f>IF(TRIM(Raw!E1240)="",I1240,IF(UPPER(TRIM(Raw!E1240))=UPPER(I1240),I1240,""))</f>
        <v>Accessories</v>
      </c>
      <c r="K1240" s="1" t="str">
        <f>IF(Raw!F1240="","",Raw!F1240)</f>
        <v>sale</v>
      </c>
      <c r="L1240" s="1" t="str">
        <f>IF(LEFT(TRIM(Raw!G1240),2)="-$","-"&amp;MID(TRIM(Raw!G1240),3,99),IF(LEFT(TRIM(Raw!G1240),1)="$",MID(TRIM(Raw!G1240),2,99),TRIM(Raw!G1240)))</f>
        <v>202.40</v>
      </c>
      <c r="M1240" s="1">
        <f t="shared" si="155"/>
        <v>202.4</v>
      </c>
      <c r="N1240" s="10">
        <f t="shared" si="156"/>
        <v>20240</v>
      </c>
      <c r="O1240" s="1" t="b">
        <f>IFERROR(IF(ISNUMBER(Raw!G1240),TRUE,OR(EXACT(L1240,TEXT(M1240,"0.00")),EXACT(L1240,TEXT(M1240,"#,##0.00")))),FALSE)</f>
        <v>1</v>
      </c>
      <c r="P1240" s="1" t="str">
        <f>LEN(IF(Raw!A1240="","",Raw!A1240))&amp;":"&amp;IF(Raw!A1240="","",Raw!A1240)&amp;"|"&amp;LEN(IF(Raw!B1240="","",Raw!B1240))&amp;":"&amp;IF(Raw!B1240="","",Raw!B1240)&amp;"|"&amp;LEN(IF(Raw!C1240="","",Raw!C1240))&amp;":"&amp;IF(Raw!C1240="","",Raw!C1240)&amp;"|"&amp;LEN(IF(Raw!D1240="","",Raw!D1240))&amp;":"&amp;IF(Raw!D1240="","",Raw!D1240)&amp;"|"&amp;LEN(IF(Raw!E1240="","",Raw!E1240))&amp;":"&amp;IF(Raw!E1240="","",Raw!E1240)&amp;"|"&amp;LEN(IF(Raw!F1240="","",Raw!F1240))&amp;":"&amp;IF(Raw!F1240="","",Raw!F1240)&amp;"|"&amp;LEN(IF(Raw!G1240="","",Raw!G1240))&amp;":"&amp;IF(Raw!G1240="","",Raw!G1240)</f>
        <v>6:L01234|6:T00617|10:2026-03-24|3:P-A|11:Accessories|4:sale|6:202.40</v>
      </c>
      <c r="Q1240" s="1">
        <f>1</f>
        <v>1</v>
      </c>
      <c r="R1240" s="1" t="b">
        <f>FALSE</f>
        <v>0</v>
      </c>
      <c r="S1240" s="1">
        <f>1</f>
        <v>1</v>
      </c>
      <c r="T1240" s="1" t="str">
        <f>IF(AND(Raw!A1240="",Raw!B1240="",Raw!C1240="",Raw!D1240="",Raw!E1240="",Raw!F1240="",Raw!G1240=""),"UNUSED",IF(A1240="","missing line ID",IF(B1240="","missing transaction ID",IF(G1240="",IF(C1240="","missing date","invalid date"),IF(I1240="","unknown product",IF(J1240="","conflicting category",IF(NOT(OR(EXACT(K1240,"sale"),EXACT(K1240,"refund"))),"unknown event",IF(OR(N1240="",NOT(O1240)),"invalid amount",IF(OR(AND(K1240="sale",N1240&lt;=0),AND(K1240="refund",N1240&gt;=0)),"invalid sign","")))))))))</f>
        <v/>
      </c>
      <c r="U1240" s="1" t="str">
        <f t="shared" si="157"/>
        <v>INCLUDED</v>
      </c>
      <c r="V1240" s="1" t="str">
        <f t="shared" si="158"/>
        <v>2026-03</v>
      </c>
      <c r="W1240" s="1">
        <f>IF(AND(U1240="INCLUDED",X1240&gt;0,EXACT(A1240,'AI output'!A1240)),1,0)</f>
        <v>1</v>
      </c>
      <c r="X1240" s="1">
        <f>1240</f>
        <v>1240</v>
      </c>
      <c r="Y1240" s="1">
        <f>IF(AND(U1240="INCLUDED",W1240=1),--(NOT(EXACT(A1240,'AI output'!A1240)))+--(NOT(EXACT(B1240,'AI output'!B1240)))+--(NOT(EXACT(TEXT(G1240,"yyyy-mm-dd"),'AI output'!C1240)))+--(NOT(EXACT(H1240,'AI output'!D1240)))+--(NOT(EXACT(J1240,'AI output'!E1240)))+--(NOT(EXACT(K1240,'AI output'!F1240)))+--(N1240&lt;&gt;'AI output'!L1240)+--(NOT('AI output'!M1240)),0)</f>
        <v>0</v>
      </c>
      <c r="Z1240" s="1">
        <f t="shared" si="159"/>
        <v>0</v>
      </c>
      <c r="AA1240" s="1">
        <f>--EXACT(A1240,"L01234")</f>
        <v>1</v>
      </c>
    </row>
    <row r="1241" spans="1:27" ht="18.95" customHeight="1">
      <c r="A1241" s="1" t="str">
        <f>IF(Raw!A1241="","",Raw!A1241)</f>
        <v>L01235</v>
      </c>
      <c r="B1241" s="1" t="str">
        <f>IF(Raw!B1241="","",Raw!B1241)</f>
        <v>T00618</v>
      </c>
      <c r="C1241" s="1" t="str">
        <f>IF(Raw!C1241="","",Raw!C1241)</f>
        <v>2026-03-31</v>
      </c>
      <c r="D1241" s="1">
        <f t="shared" si="152"/>
        <v>2026</v>
      </c>
      <c r="E1241" s="1">
        <f>IFERROR(IF(AND(LEN(C1241)=10,MID(C1241,5,1)="-",MID(C1241,8,1)="-"),VALUE(MID(C1241,6,2)),IF(AND(LEN(C1241)=11,MID(C1241,3,1)="-",MID(C1241,7,1)="-"),MATCH(UPPER(MID(C1241,4,3)),Guide!$D$7:$D$18,0),0)),0)</f>
        <v>3</v>
      </c>
      <c r="F1241" s="1">
        <f t="shared" si="153"/>
        <v>31</v>
      </c>
      <c r="G1241" s="9">
        <f t="shared" si="154"/>
        <v>46112</v>
      </c>
      <c r="H1241" s="1" t="str">
        <f>IF(Raw!D1241="","",Raw!D1241)</f>
        <v>P-H</v>
      </c>
      <c r="I1241" s="1" t="str">
        <f>IFERROR(IF(EXACT(H1241,INDEX(Guide!$A$7:$A$9,MATCH(SUBSTITUTE(SUBSTITUTE(SUBSTITUTE(H1241,"~","~~"),"*","~*"),"?","~?"),Guide!$A$7:$A$9,0))),INDEX(Guide!$B$7:$B$9,MATCH(SUBSTITUTE(SUBSTITUTE(SUBSTITUTE(H1241,"~","~~"),"*","~*"),"?","~?"),Guide!$A$7:$A$9,0)),""),"")</f>
        <v>Home</v>
      </c>
      <c r="J1241" s="1" t="str">
        <f>IF(TRIM(Raw!E1241)="",I1241,IF(UPPER(TRIM(Raw!E1241))=UPPER(I1241),I1241,""))</f>
        <v>Home</v>
      </c>
      <c r="K1241" s="1" t="str">
        <f>IF(Raw!F1241="","",Raw!F1241)</f>
        <v>sale</v>
      </c>
      <c r="L1241" s="1" t="str">
        <f>IF(LEFT(TRIM(Raw!G1241),2)="-$","-"&amp;MID(TRIM(Raw!G1241),3,99),IF(LEFT(TRIM(Raw!G1241),1)="$",MID(TRIM(Raw!G1241),2,99),TRIM(Raw!G1241)))</f>
        <v>406.28</v>
      </c>
      <c r="M1241" s="1">
        <f t="shared" si="155"/>
        <v>406.28</v>
      </c>
      <c r="N1241" s="10">
        <f t="shared" si="156"/>
        <v>40628</v>
      </c>
      <c r="O1241" s="1" t="b">
        <f>IFERROR(IF(ISNUMBER(Raw!G1241),TRUE,OR(EXACT(L1241,TEXT(M1241,"0.00")),EXACT(L1241,TEXT(M1241,"#,##0.00")))),FALSE)</f>
        <v>1</v>
      </c>
      <c r="P1241" s="1" t="str">
        <f>LEN(IF(Raw!A1241="","",Raw!A1241))&amp;":"&amp;IF(Raw!A1241="","",Raw!A1241)&amp;"|"&amp;LEN(IF(Raw!B1241="","",Raw!B1241))&amp;":"&amp;IF(Raw!B1241="","",Raw!B1241)&amp;"|"&amp;LEN(IF(Raw!C1241="","",Raw!C1241))&amp;":"&amp;IF(Raw!C1241="","",Raw!C1241)&amp;"|"&amp;LEN(IF(Raw!D1241="","",Raw!D1241))&amp;":"&amp;IF(Raw!D1241="","",Raw!D1241)&amp;"|"&amp;LEN(IF(Raw!E1241="","",Raw!E1241))&amp;":"&amp;IF(Raw!E1241="","",Raw!E1241)&amp;"|"&amp;LEN(IF(Raw!F1241="","",Raw!F1241))&amp;":"&amp;IF(Raw!F1241="","",Raw!F1241)&amp;"|"&amp;LEN(IF(Raw!G1241="","",Raw!G1241))&amp;":"&amp;IF(Raw!G1241="","",Raw!G1241)</f>
        <v>6:L01235|6:T00618|10:2026-03-31|3:P-H|4:Home|4:sale|6:406.28</v>
      </c>
      <c r="Q1241" s="1">
        <f>1</f>
        <v>1</v>
      </c>
      <c r="R1241" s="1" t="b">
        <f>FALSE</f>
        <v>0</v>
      </c>
      <c r="S1241" s="1">
        <f>1</f>
        <v>1</v>
      </c>
      <c r="T1241" s="1" t="str">
        <f>IF(AND(Raw!A1241="",Raw!B1241="",Raw!C1241="",Raw!D1241="",Raw!E1241="",Raw!F1241="",Raw!G1241=""),"UNUSED",IF(A1241="","missing line ID",IF(B1241="","missing transaction ID",IF(G1241="",IF(C1241="","missing date","invalid date"),IF(I1241="","unknown product",IF(J1241="","conflicting category",IF(NOT(OR(EXACT(K1241,"sale"),EXACT(K1241,"refund"))),"unknown event",IF(OR(N1241="",NOT(O1241)),"invalid amount",IF(OR(AND(K1241="sale",N1241&lt;=0),AND(K1241="refund",N1241&gt;=0)),"invalid sign","")))))))))</f>
        <v/>
      </c>
      <c r="U1241" s="1" t="str">
        <f t="shared" si="157"/>
        <v>INCLUDED</v>
      </c>
      <c r="V1241" s="1" t="str">
        <f t="shared" si="158"/>
        <v>2026-03</v>
      </c>
      <c r="W1241" s="1">
        <f>IF(AND(U1241="INCLUDED",X1241&gt;0,EXACT(A1241,'AI output'!A1241)),1,0)</f>
        <v>1</v>
      </c>
      <c r="X1241" s="1">
        <f>1241</f>
        <v>1241</v>
      </c>
      <c r="Y1241" s="1">
        <f>IF(AND(U1241="INCLUDED",W1241=1),--(NOT(EXACT(A1241,'AI output'!A1241)))+--(NOT(EXACT(B1241,'AI output'!B1241)))+--(NOT(EXACT(TEXT(G1241,"yyyy-mm-dd"),'AI output'!C1241)))+--(NOT(EXACT(H1241,'AI output'!D1241)))+--(NOT(EXACT(J1241,'AI output'!E1241)))+--(NOT(EXACT(K1241,'AI output'!F1241)))+--(N1241&lt;&gt;'AI output'!L1241)+--(NOT('AI output'!M1241)),0)</f>
        <v>0</v>
      </c>
      <c r="Z1241" s="1">
        <f t="shared" si="159"/>
        <v>0</v>
      </c>
      <c r="AA1241" s="1">
        <f>--EXACT(A1241,"L01235")</f>
        <v>1</v>
      </c>
    </row>
    <row r="1242" spans="1:27" ht="18.95" customHeight="1">
      <c r="A1242" s="1" t="str">
        <f>IF(Raw!A1242="","",Raw!A1242)</f>
        <v>L01236</v>
      </c>
      <c r="B1242" s="1" t="str">
        <f>IF(Raw!B1242="","",Raw!B1242)</f>
        <v>T00618</v>
      </c>
      <c r="C1242" s="1" t="str">
        <f>IF(Raw!C1242="","",Raw!C1242)</f>
        <v>2026-03-31</v>
      </c>
      <c r="D1242" s="1">
        <f t="shared" si="152"/>
        <v>2026</v>
      </c>
      <c r="E1242" s="1">
        <f>IFERROR(IF(AND(LEN(C1242)=10,MID(C1242,5,1)="-",MID(C1242,8,1)="-"),VALUE(MID(C1242,6,2)),IF(AND(LEN(C1242)=11,MID(C1242,3,1)="-",MID(C1242,7,1)="-"),MATCH(UPPER(MID(C1242,4,3)),Guide!$D$7:$D$18,0),0)),0)</f>
        <v>3</v>
      </c>
      <c r="F1242" s="1">
        <f t="shared" si="153"/>
        <v>31</v>
      </c>
      <c r="G1242" s="9">
        <f t="shared" si="154"/>
        <v>46112</v>
      </c>
      <c r="H1242" s="1" t="str">
        <f>IF(Raw!D1242="","",Raw!D1242)</f>
        <v>P-O</v>
      </c>
      <c r="I1242" s="1" t="str">
        <f>IFERROR(IF(EXACT(H1242,INDEX(Guide!$A$7:$A$9,MATCH(SUBSTITUTE(SUBSTITUTE(SUBSTITUTE(H1242,"~","~~"),"*","~*"),"?","~?"),Guide!$A$7:$A$9,0))),INDEX(Guide!$B$7:$B$9,MATCH(SUBSTITUTE(SUBSTITUTE(SUBSTITUTE(H1242,"~","~~"),"*","~*"),"?","~?"),Guide!$A$7:$A$9,0)),""),"")</f>
        <v>Office</v>
      </c>
      <c r="J1242" s="1" t="str">
        <f>IF(TRIM(Raw!E1242)="",I1242,IF(UPPER(TRIM(Raw!E1242))=UPPER(I1242),I1242,""))</f>
        <v>Office</v>
      </c>
      <c r="K1242" s="1" t="str">
        <f>IF(Raw!F1242="","",Raw!F1242)</f>
        <v>sale</v>
      </c>
      <c r="L1242" s="1" t="str">
        <f>IF(LEFT(TRIM(Raw!G1242),2)="-$","-"&amp;MID(TRIM(Raw!G1242),3,99),IF(LEFT(TRIM(Raw!G1242),1)="$",MID(TRIM(Raw!G1242),2,99),TRIM(Raw!G1242)))</f>
        <v>101.94</v>
      </c>
      <c r="M1242" s="1">
        <f t="shared" si="155"/>
        <v>101.94</v>
      </c>
      <c r="N1242" s="10">
        <f t="shared" si="156"/>
        <v>10194</v>
      </c>
      <c r="O1242" s="1" t="b">
        <f>IFERROR(IF(ISNUMBER(Raw!G1242),TRUE,OR(EXACT(L1242,TEXT(M1242,"0.00")),EXACT(L1242,TEXT(M1242,"#,##0.00")))),FALSE)</f>
        <v>1</v>
      </c>
      <c r="P1242" s="1" t="str">
        <f>LEN(IF(Raw!A1242="","",Raw!A1242))&amp;":"&amp;IF(Raw!A1242="","",Raw!A1242)&amp;"|"&amp;LEN(IF(Raw!B1242="","",Raw!B1242))&amp;":"&amp;IF(Raw!B1242="","",Raw!B1242)&amp;"|"&amp;LEN(IF(Raw!C1242="","",Raw!C1242))&amp;":"&amp;IF(Raw!C1242="","",Raw!C1242)&amp;"|"&amp;LEN(IF(Raw!D1242="","",Raw!D1242))&amp;":"&amp;IF(Raw!D1242="","",Raw!D1242)&amp;"|"&amp;LEN(IF(Raw!E1242="","",Raw!E1242))&amp;":"&amp;IF(Raw!E1242="","",Raw!E1242)&amp;"|"&amp;LEN(IF(Raw!F1242="","",Raw!F1242))&amp;":"&amp;IF(Raw!F1242="","",Raw!F1242)&amp;"|"&amp;LEN(IF(Raw!G1242="","",Raw!G1242))&amp;":"&amp;IF(Raw!G1242="","",Raw!G1242)</f>
        <v>6:L01236|6:T00618|10:2026-03-31|3:P-O|6:Office|4:sale|6:101.94</v>
      </c>
      <c r="Q1242" s="1">
        <f>1</f>
        <v>1</v>
      </c>
      <c r="R1242" s="1" t="b">
        <f>FALSE</f>
        <v>0</v>
      </c>
      <c r="S1242" s="1">
        <f>1</f>
        <v>1</v>
      </c>
      <c r="T1242" s="1" t="str">
        <f>IF(AND(Raw!A1242="",Raw!B1242="",Raw!C1242="",Raw!D1242="",Raw!E1242="",Raw!F1242="",Raw!G1242=""),"UNUSED",IF(A1242="","missing line ID",IF(B1242="","missing transaction ID",IF(G1242="",IF(C1242="","missing date","invalid date"),IF(I1242="","unknown product",IF(J1242="","conflicting category",IF(NOT(OR(EXACT(K1242,"sale"),EXACT(K1242,"refund"))),"unknown event",IF(OR(N1242="",NOT(O1242)),"invalid amount",IF(OR(AND(K1242="sale",N1242&lt;=0),AND(K1242="refund",N1242&gt;=0)),"invalid sign","")))))))))</f>
        <v/>
      </c>
      <c r="U1242" s="1" t="str">
        <f t="shared" si="157"/>
        <v>INCLUDED</v>
      </c>
      <c r="V1242" s="1" t="str">
        <f t="shared" si="158"/>
        <v>2026-03</v>
      </c>
      <c r="W1242" s="1">
        <f>IF(AND(U1242="INCLUDED",X1242&gt;0,EXACT(A1242,'AI output'!A1242)),1,0)</f>
        <v>1</v>
      </c>
      <c r="X1242" s="1">
        <f>1242</f>
        <v>1242</v>
      </c>
      <c r="Y1242" s="1">
        <f>IF(AND(U1242="INCLUDED",W1242=1),--(NOT(EXACT(A1242,'AI output'!A1242)))+--(NOT(EXACT(B1242,'AI output'!B1242)))+--(NOT(EXACT(TEXT(G1242,"yyyy-mm-dd"),'AI output'!C1242)))+--(NOT(EXACT(H1242,'AI output'!D1242)))+--(NOT(EXACT(J1242,'AI output'!E1242)))+--(NOT(EXACT(K1242,'AI output'!F1242)))+--(N1242&lt;&gt;'AI output'!L1242)+--(NOT('AI output'!M1242)),0)</f>
        <v>0</v>
      </c>
      <c r="Z1242" s="1">
        <f t="shared" si="159"/>
        <v>0</v>
      </c>
      <c r="AA1242" s="1">
        <f>--EXACT(A1242,"L01236")</f>
        <v>1</v>
      </c>
    </row>
    <row r="1243" spans="1:27" ht="18.95" customHeight="1">
      <c r="A1243" s="1" t="str">
        <f>IF(Raw!A1243="","",Raw!A1243)</f>
        <v>L01237</v>
      </c>
      <c r="B1243" s="1" t="str">
        <f>IF(Raw!B1243="","",Raw!B1243)</f>
        <v>T00619</v>
      </c>
      <c r="C1243" s="1" t="str">
        <f>IF(Raw!C1243="","",Raw!C1243)</f>
        <v>2026-01-07</v>
      </c>
      <c r="D1243" s="1">
        <f t="shared" si="152"/>
        <v>2026</v>
      </c>
      <c r="E1243" s="1">
        <f>IFERROR(IF(AND(LEN(C1243)=10,MID(C1243,5,1)="-",MID(C1243,8,1)="-"),VALUE(MID(C1243,6,2)),IF(AND(LEN(C1243)=11,MID(C1243,3,1)="-",MID(C1243,7,1)="-"),MATCH(UPPER(MID(C1243,4,3)),Guide!$D$7:$D$18,0),0)),0)</f>
        <v>1</v>
      </c>
      <c r="F1243" s="1">
        <f t="shared" si="153"/>
        <v>7</v>
      </c>
      <c r="G1243" s="9">
        <f t="shared" si="154"/>
        <v>46029</v>
      </c>
      <c r="H1243" s="1" t="str">
        <f>IF(Raw!D1243="","",Raw!D1243)</f>
        <v>P-A</v>
      </c>
      <c r="I1243" s="1" t="str">
        <f>IFERROR(IF(EXACT(H1243,INDEX(Guide!$A$7:$A$9,MATCH(SUBSTITUTE(SUBSTITUTE(SUBSTITUTE(H1243,"~","~~"),"*","~*"),"?","~?"),Guide!$A$7:$A$9,0))),INDEX(Guide!$B$7:$B$9,MATCH(SUBSTITUTE(SUBSTITUTE(SUBSTITUTE(H1243,"~","~~"),"*","~*"),"?","~?"),Guide!$A$7:$A$9,0)),""),"")</f>
        <v>Accessories</v>
      </c>
      <c r="J1243" s="1" t="str">
        <f>IF(TRIM(Raw!E1243)="",I1243,IF(UPPER(TRIM(Raw!E1243))=UPPER(I1243),I1243,""))</f>
        <v>Accessories</v>
      </c>
      <c r="K1243" s="1" t="str">
        <f>IF(Raw!F1243="","",Raw!F1243)</f>
        <v>sale</v>
      </c>
      <c r="L1243" s="1" t="str">
        <f>IF(LEFT(TRIM(Raw!G1243),2)="-$","-"&amp;MID(TRIM(Raw!G1243),3,99),IF(LEFT(TRIM(Raw!G1243),1)="$",MID(TRIM(Raw!G1243),2,99),TRIM(Raw!G1243)))</f>
        <v>306.93</v>
      </c>
      <c r="M1243" s="1">
        <f t="shared" si="155"/>
        <v>306.93</v>
      </c>
      <c r="N1243" s="10">
        <f t="shared" si="156"/>
        <v>30693</v>
      </c>
      <c r="O1243" s="1" t="b">
        <f>IFERROR(IF(ISNUMBER(Raw!G1243),TRUE,OR(EXACT(L1243,TEXT(M1243,"0.00")),EXACT(L1243,TEXT(M1243,"#,##0.00")))),FALSE)</f>
        <v>1</v>
      </c>
      <c r="P1243" s="1" t="str">
        <f>LEN(IF(Raw!A1243="","",Raw!A1243))&amp;":"&amp;IF(Raw!A1243="","",Raw!A1243)&amp;"|"&amp;LEN(IF(Raw!B1243="","",Raw!B1243))&amp;":"&amp;IF(Raw!B1243="","",Raw!B1243)&amp;"|"&amp;LEN(IF(Raw!C1243="","",Raw!C1243))&amp;":"&amp;IF(Raw!C1243="","",Raw!C1243)&amp;"|"&amp;LEN(IF(Raw!D1243="","",Raw!D1243))&amp;":"&amp;IF(Raw!D1243="","",Raw!D1243)&amp;"|"&amp;LEN(IF(Raw!E1243="","",Raw!E1243))&amp;":"&amp;IF(Raw!E1243="","",Raw!E1243)&amp;"|"&amp;LEN(IF(Raw!F1243="","",Raw!F1243))&amp;":"&amp;IF(Raw!F1243="","",Raw!F1243)&amp;"|"&amp;LEN(IF(Raw!G1243="","",Raw!G1243))&amp;":"&amp;IF(Raw!G1243="","",Raw!G1243)</f>
        <v>6:L01237|6:T00619|10:2026-01-07|3:P-A|11:Accessories|4:sale|6:306.93</v>
      </c>
      <c r="Q1243" s="1">
        <f>1</f>
        <v>1</v>
      </c>
      <c r="R1243" s="1" t="b">
        <f>FALSE</f>
        <v>0</v>
      </c>
      <c r="S1243" s="1">
        <f>1</f>
        <v>1</v>
      </c>
      <c r="T1243" s="1" t="str">
        <f>IF(AND(Raw!A1243="",Raw!B1243="",Raw!C1243="",Raw!D1243="",Raw!E1243="",Raw!F1243="",Raw!G1243=""),"UNUSED",IF(A1243="","missing line ID",IF(B1243="","missing transaction ID",IF(G1243="",IF(C1243="","missing date","invalid date"),IF(I1243="","unknown product",IF(J1243="","conflicting category",IF(NOT(OR(EXACT(K1243,"sale"),EXACT(K1243,"refund"))),"unknown event",IF(OR(N1243="",NOT(O1243)),"invalid amount",IF(OR(AND(K1243="sale",N1243&lt;=0),AND(K1243="refund",N1243&gt;=0)),"invalid sign","")))))))))</f>
        <v/>
      </c>
      <c r="U1243" s="1" t="str">
        <f t="shared" si="157"/>
        <v>INCLUDED</v>
      </c>
      <c r="V1243" s="1" t="str">
        <f t="shared" si="158"/>
        <v>2026-01</v>
      </c>
      <c r="W1243" s="1">
        <f>IF(AND(U1243="INCLUDED",X1243&gt;0,EXACT(A1243,'AI output'!A1243)),1,0)</f>
        <v>1</v>
      </c>
      <c r="X1243" s="1">
        <f>1243</f>
        <v>1243</v>
      </c>
      <c r="Y1243" s="1">
        <f>IF(AND(U1243="INCLUDED",W1243=1),--(NOT(EXACT(A1243,'AI output'!A1243)))+--(NOT(EXACT(B1243,'AI output'!B1243)))+--(NOT(EXACT(TEXT(G1243,"yyyy-mm-dd"),'AI output'!C1243)))+--(NOT(EXACT(H1243,'AI output'!D1243)))+--(NOT(EXACT(J1243,'AI output'!E1243)))+--(NOT(EXACT(K1243,'AI output'!F1243)))+--(N1243&lt;&gt;'AI output'!L1243)+--(NOT('AI output'!M1243)),0)</f>
        <v>0</v>
      </c>
      <c r="Z1243" s="1">
        <f t="shared" si="159"/>
        <v>0</v>
      </c>
      <c r="AA1243" s="1">
        <f>--EXACT(A1243,"L01237")</f>
        <v>1</v>
      </c>
    </row>
    <row r="1244" spans="1:27" ht="18.95" customHeight="1">
      <c r="A1244" s="1" t="str">
        <f>IF(Raw!A1244="","",Raw!A1244)</f>
        <v>L01238</v>
      </c>
      <c r="B1244" s="1" t="str">
        <f>IF(Raw!B1244="","",Raw!B1244)</f>
        <v>T00619</v>
      </c>
      <c r="C1244" s="1" t="str">
        <f>IF(Raw!C1244="","",Raw!C1244)</f>
        <v>2026-01-07</v>
      </c>
      <c r="D1244" s="1">
        <f t="shared" si="152"/>
        <v>2026</v>
      </c>
      <c r="E1244" s="1">
        <f>IFERROR(IF(AND(LEN(C1244)=10,MID(C1244,5,1)="-",MID(C1244,8,1)="-"),VALUE(MID(C1244,6,2)),IF(AND(LEN(C1244)=11,MID(C1244,3,1)="-",MID(C1244,7,1)="-"),MATCH(UPPER(MID(C1244,4,3)),Guide!$D$7:$D$18,0),0)),0)</f>
        <v>1</v>
      </c>
      <c r="F1244" s="1">
        <f t="shared" si="153"/>
        <v>7</v>
      </c>
      <c r="G1244" s="9">
        <f t="shared" si="154"/>
        <v>46029</v>
      </c>
      <c r="H1244" s="1" t="str">
        <f>IF(Raw!D1244="","",Raw!D1244)</f>
        <v>P-H</v>
      </c>
      <c r="I1244" s="1" t="str">
        <f>IFERROR(IF(EXACT(H1244,INDEX(Guide!$A$7:$A$9,MATCH(SUBSTITUTE(SUBSTITUTE(SUBSTITUTE(H1244,"~","~~"),"*","~*"),"?","~?"),Guide!$A$7:$A$9,0))),INDEX(Guide!$B$7:$B$9,MATCH(SUBSTITUTE(SUBSTITUTE(SUBSTITUTE(H1244,"~","~~"),"*","~*"),"?","~?"),Guide!$A$7:$A$9,0)),""),"")</f>
        <v>Home</v>
      </c>
      <c r="J1244" s="1" t="str">
        <f>IF(TRIM(Raw!E1244)="",I1244,IF(UPPER(TRIM(Raw!E1244))=UPPER(I1244),I1244,""))</f>
        <v>Home</v>
      </c>
      <c r="K1244" s="1" t="str">
        <f>IF(Raw!F1244="","",Raw!F1244)</f>
        <v>sale</v>
      </c>
      <c r="L1244" s="1" t="str">
        <f>IF(LEFT(TRIM(Raw!G1244),2)="-$","-"&amp;MID(TRIM(Raw!G1244),3,99),IF(LEFT(TRIM(Raw!G1244),1)="$",MID(TRIM(Raw!G1244),2,99),TRIM(Raw!G1244)))</f>
        <v>513.40</v>
      </c>
      <c r="M1244" s="1">
        <f t="shared" si="155"/>
        <v>513.4</v>
      </c>
      <c r="N1244" s="10">
        <f t="shared" si="156"/>
        <v>51340</v>
      </c>
      <c r="O1244" s="1" t="b">
        <f>IFERROR(IF(ISNUMBER(Raw!G1244),TRUE,OR(EXACT(L1244,TEXT(M1244,"0.00")),EXACT(L1244,TEXT(M1244,"#,##0.00")))),FALSE)</f>
        <v>1</v>
      </c>
      <c r="P1244" s="1" t="str">
        <f>LEN(IF(Raw!A1244="","",Raw!A1244))&amp;":"&amp;IF(Raw!A1244="","",Raw!A1244)&amp;"|"&amp;LEN(IF(Raw!B1244="","",Raw!B1244))&amp;":"&amp;IF(Raw!B1244="","",Raw!B1244)&amp;"|"&amp;LEN(IF(Raw!C1244="","",Raw!C1244))&amp;":"&amp;IF(Raw!C1244="","",Raw!C1244)&amp;"|"&amp;LEN(IF(Raw!D1244="","",Raw!D1244))&amp;":"&amp;IF(Raw!D1244="","",Raw!D1244)&amp;"|"&amp;LEN(IF(Raw!E1244="","",Raw!E1244))&amp;":"&amp;IF(Raw!E1244="","",Raw!E1244)&amp;"|"&amp;LEN(IF(Raw!F1244="","",Raw!F1244))&amp;":"&amp;IF(Raw!F1244="","",Raw!F1244)&amp;"|"&amp;LEN(IF(Raw!G1244="","",Raw!G1244))&amp;":"&amp;IF(Raw!G1244="","",Raw!G1244)</f>
        <v>6:L01238|6:T00619|10:2026-01-07|3:P-H|4:Home|4:sale|6:513.40</v>
      </c>
      <c r="Q1244" s="1">
        <f>1</f>
        <v>1</v>
      </c>
      <c r="R1244" s="1" t="b">
        <f>FALSE</f>
        <v>0</v>
      </c>
      <c r="S1244" s="1">
        <f>1</f>
        <v>1</v>
      </c>
      <c r="T1244" s="1" t="str">
        <f>IF(AND(Raw!A1244="",Raw!B1244="",Raw!C1244="",Raw!D1244="",Raw!E1244="",Raw!F1244="",Raw!G1244=""),"UNUSED",IF(A1244="","missing line ID",IF(B1244="","missing transaction ID",IF(G1244="",IF(C1244="","missing date","invalid date"),IF(I1244="","unknown product",IF(J1244="","conflicting category",IF(NOT(OR(EXACT(K1244,"sale"),EXACT(K1244,"refund"))),"unknown event",IF(OR(N1244="",NOT(O1244)),"invalid amount",IF(OR(AND(K1244="sale",N1244&lt;=0),AND(K1244="refund",N1244&gt;=0)),"invalid sign","")))))))))</f>
        <v/>
      </c>
      <c r="U1244" s="1" t="str">
        <f t="shared" si="157"/>
        <v>INCLUDED</v>
      </c>
      <c r="V1244" s="1" t="str">
        <f t="shared" si="158"/>
        <v>2026-01</v>
      </c>
      <c r="W1244" s="1">
        <f>IF(AND(U1244="INCLUDED",X1244&gt;0,EXACT(A1244,'AI output'!A1244)),1,0)</f>
        <v>1</v>
      </c>
      <c r="X1244" s="1">
        <f>1244</f>
        <v>1244</v>
      </c>
      <c r="Y1244" s="1">
        <f>IF(AND(U1244="INCLUDED",W1244=1),--(NOT(EXACT(A1244,'AI output'!A1244)))+--(NOT(EXACT(B1244,'AI output'!B1244)))+--(NOT(EXACT(TEXT(G1244,"yyyy-mm-dd"),'AI output'!C1244)))+--(NOT(EXACT(H1244,'AI output'!D1244)))+--(NOT(EXACT(J1244,'AI output'!E1244)))+--(NOT(EXACT(K1244,'AI output'!F1244)))+--(N1244&lt;&gt;'AI output'!L1244)+--(NOT('AI output'!M1244)),0)</f>
        <v>0</v>
      </c>
      <c r="Z1244" s="1">
        <f t="shared" si="159"/>
        <v>0</v>
      </c>
      <c r="AA1244" s="1">
        <f>--EXACT(A1244,"L01238")</f>
        <v>1</v>
      </c>
    </row>
    <row r="1245" spans="1:27" ht="18.95" customHeight="1">
      <c r="A1245" s="1" t="str">
        <f>IF(Raw!A1245="","",Raw!A1245)</f>
        <v>L01239</v>
      </c>
      <c r="B1245" s="1" t="str">
        <f>IF(Raw!B1245="","",Raw!B1245)</f>
        <v>T00620</v>
      </c>
      <c r="C1245" s="1" t="str">
        <f>IF(Raw!C1245="","",Raw!C1245)</f>
        <v>2026-01-14</v>
      </c>
      <c r="D1245" s="1">
        <f t="shared" si="152"/>
        <v>2026</v>
      </c>
      <c r="E1245" s="1">
        <f>IFERROR(IF(AND(LEN(C1245)=10,MID(C1245,5,1)="-",MID(C1245,8,1)="-"),VALUE(MID(C1245,6,2)),IF(AND(LEN(C1245)=11,MID(C1245,3,1)="-",MID(C1245,7,1)="-"),MATCH(UPPER(MID(C1245,4,3)),Guide!$D$7:$D$18,0),0)),0)</f>
        <v>1</v>
      </c>
      <c r="F1245" s="1">
        <f t="shared" si="153"/>
        <v>14</v>
      </c>
      <c r="G1245" s="9">
        <f t="shared" si="154"/>
        <v>46036</v>
      </c>
      <c r="H1245" s="1" t="str">
        <f>IF(Raw!D1245="","",Raw!D1245)</f>
        <v>P-O</v>
      </c>
      <c r="I1245" s="1" t="str">
        <f>IFERROR(IF(EXACT(H1245,INDEX(Guide!$A$7:$A$9,MATCH(SUBSTITUTE(SUBSTITUTE(SUBSTITUTE(H1245,"~","~~"),"*","~*"),"?","~?"),Guide!$A$7:$A$9,0))),INDEX(Guide!$B$7:$B$9,MATCH(SUBSTITUTE(SUBSTITUTE(SUBSTITUTE(H1245,"~","~~"),"*","~*"),"?","~?"),Guide!$A$7:$A$9,0)),""),"")</f>
        <v>Office</v>
      </c>
      <c r="J1245" s="1" t="str">
        <f>IF(TRIM(Raw!E1245)="",I1245,IF(UPPER(TRIM(Raw!E1245))=UPPER(I1245),I1245,""))</f>
        <v>Office</v>
      </c>
      <c r="K1245" s="1" t="str">
        <f>IF(Raw!F1245="","",Raw!F1245)</f>
        <v>sale</v>
      </c>
      <c r="L1245" s="1" t="str">
        <f>IF(LEFT(TRIM(Raw!G1245),2)="-$","-"&amp;MID(TRIM(Raw!G1245),3,99),IF(LEFT(TRIM(Raw!G1245),1)="$",MID(TRIM(Raw!G1245),2,99),TRIM(Raw!G1245)))</f>
        <v>206.10</v>
      </c>
      <c r="M1245" s="1">
        <f t="shared" si="155"/>
        <v>206.1</v>
      </c>
      <c r="N1245" s="10">
        <f t="shared" si="156"/>
        <v>20610</v>
      </c>
      <c r="O1245" s="1" t="b">
        <f>IFERROR(IF(ISNUMBER(Raw!G1245),TRUE,OR(EXACT(L1245,TEXT(M1245,"0.00")),EXACT(L1245,TEXT(M1245,"#,##0.00")))),FALSE)</f>
        <v>1</v>
      </c>
      <c r="P1245" s="1" t="str">
        <f>LEN(IF(Raw!A1245="","",Raw!A1245))&amp;":"&amp;IF(Raw!A1245="","",Raw!A1245)&amp;"|"&amp;LEN(IF(Raw!B1245="","",Raw!B1245))&amp;":"&amp;IF(Raw!B1245="","",Raw!B1245)&amp;"|"&amp;LEN(IF(Raw!C1245="","",Raw!C1245))&amp;":"&amp;IF(Raw!C1245="","",Raw!C1245)&amp;"|"&amp;LEN(IF(Raw!D1245="","",Raw!D1245))&amp;":"&amp;IF(Raw!D1245="","",Raw!D1245)&amp;"|"&amp;LEN(IF(Raw!E1245="","",Raw!E1245))&amp;":"&amp;IF(Raw!E1245="","",Raw!E1245)&amp;"|"&amp;LEN(IF(Raw!F1245="","",Raw!F1245))&amp;":"&amp;IF(Raw!F1245="","",Raw!F1245)&amp;"|"&amp;LEN(IF(Raw!G1245="","",Raw!G1245))&amp;":"&amp;IF(Raw!G1245="","",Raw!G1245)</f>
        <v>6:L01239|6:T00620|10:2026-01-14|3:P-O|6:Office|4:sale|6:206.10</v>
      </c>
      <c r="Q1245" s="1">
        <f>1</f>
        <v>1</v>
      </c>
      <c r="R1245" s="1" t="b">
        <f>FALSE</f>
        <v>0</v>
      </c>
      <c r="S1245" s="1">
        <f>1</f>
        <v>1</v>
      </c>
      <c r="T1245" s="1" t="str">
        <f>IF(AND(Raw!A1245="",Raw!B1245="",Raw!C1245="",Raw!D1245="",Raw!E1245="",Raw!F1245="",Raw!G1245=""),"UNUSED",IF(A1245="","missing line ID",IF(B1245="","missing transaction ID",IF(G1245="",IF(C1245="","missing date","invalid date"),IF(I1245="","unknown product",IF(J1245="","conflicting category",IF(NOT(OR(EXACT(K1245,"sale"),EXACT(K1245,"refund"))),"unknown event",IF(OR(N1245="",NOT(O1245)),"invalid amount",IF(OR(AND(K1245="sale",N1245&lt;=0),AND(K1245="refund",N1245&gt;=0)),"invalid sign","")))))))))</f>
        <v/>
      </c>
      <c r="U1245" s="1" t="str">
        <f t="shared" si="157"/>
        <v>INCLUDED</v>
      </c>
      <c r="V1245" s="1" t="str">
        <f t="shared" si="158"/>
        <v>2026-01</v>
      </c>
      <c r="W1245" s="1">
        <f>IF(AND(U1245="INCLUDED",X1245&gt;0,EXACT(A1245,'AI output'!A1245)),1,0)</f>
        <v>1</v>
      </c>
      <c r="X1245" s="1">
        <f>1245</f>
        <v>1245</v>
      </c>
      <c r="Y1245" s="1">
        <f>IF(AND(U1245="INCLUDED",W1245=1),--(NOT(EXACT(A1245,'AI output'!A1245)))+--(NOT(EXACT(B1245,'AI output'!B1245)))+--(NOT(EXACT(TEXT(G1245,"yyyy-mm-dd"),'AI output'!C1245)))+--(NOT(EXACT(H1245,'AI output'!D1245)))+--(NOT(EXACT(J1245,'AI output'!E1245)))+--(NOT(EXACT(K1245,'AI output'!F1245)))+--(N1245&lt;&gt;'AI output'!L1245)+--(NOT('AI output'!M1245)),0)</f>
        <v>0</v>
      </c>
      <c r="Z1245" s="1">
        <f t="shared" si="159"/>
        <v>0</v>
      </c>
      <c r="AA1245" s="1">
        <f>--EXACT(A1245,"L01239")</f>
        <v>1</v>
      </c>
    </row>
    <row r="1246" spans="1:27" ht="18.95" customHeight="1">
      <c r="A1246" s="1" t="str">
        <f>IF(Raw!A1246="","",Raw!A1246)</f>
        <v>L01240</v>
      </c>
      <c r="B1246" s="1" t="str">
        <f>IF(Raw!B1246="","",Raw!B1246)</f>
        <v>T00620</v>
      </c>
      <c r="C1246" s="1" t="str">
        <f>IF(Raw!C1246="","",Raw!C1246)</f>
        <v>2026-01-14</v>
      </c>
      <c r="D1246" s="1">
        <f t="shared" si="152"/>
        <v>2026</v>
      </c>
      <c r="E1246" s="1">
        <f>IFERROR(IF(AND(LEN(C1246)=10,MID(C1246,5,1)="-",MID(C1246,8,1)="-"),VALUE(MID(C1246,6,2)),IF(AND(LEN(C1246)=11,MID(C1246,3,1)="-",MID(C1246,7,1)="-"),MATCH(UPPER(MID(C1246,4,3)),Guide!$D$7:$D$18,0),0)),0)</f>
        <v>1</v>
      </c>
      <c r="F1246" s="1">
        <f t="shared" si="153"/>
        <v>14</v>
      </c>
      <c r="G1246" s="9">
        <f t="shared" si="154"/>
        <v>46036</v>
      </c>
      <c r="H1246" s="1" t="str">
        <f>IF(Raw!D1246="","",Raw!D1246)</f>
        <v>P-A</v>
      </c>
      <c r="I1246" s="1" t="str">
        <f>IFERROR(IF(EXACT(H1246,INDEX(Guide!$A$7:$A$9,MATCH(SUBSTITUTE(SUBSTITUTE(SUBSTITUTE(H1246,"~","~~"),"*","~*"),"?","~?"),Guide!$A$7:$A$9,0))),INDEX(Guide!$B$7:$B$9,MATCH(SUBSTITUTE(SUBSTITUTE(SUBSTITUTE(H1246,"~","~~"),"*","~*"),"?","~?"),Guide!$A$7:$A$9,0)),""),"")</f>
        <v>Accessories</v>
      </c>
      <c r="J1246" s="1" t="str">
        <f>IF(TRIM(Raw!E1246)="",I1246,IF(UPPER(TRIM(Raw!E1246))=UPPER(I1246),I1246,""))</f>
        <v>Accessories</v>
      </c>
      <c r="K1246" s="1" t="str">
        <f>IF(Raw!F1246="","",Raw!F1246)</f>
        <v>sale</v>
      </c>
      <c r="L1246" s="1" t="str">
        <f>IF(LEFT(TRIM(Raw!G1246),2)="-$","-"&amp;MID(TRIM(Raw!G1246),3,99),IF(LEFT(TRIM(Raw!G1246),1)="$",MID(TRIM(Raw!G1246),2,99),TRIM(Raw!G1246)))</f>
        <v>413.68</v>
      </c>
      <c r="M1246" s="1">
        <f t="shared" si="155"/>
        <v>413.68</v>
      </c>
      <c r="N1246" s="10">
        <f t="shared" si="156"/>
        <v>41368</v>
      </c>
      <c r="O1246" s="1" t="b">
        <f>IFERROR(IF(ISNUMBER(Raw!G1246),TRUE,OR(EXACT(L1246,TEXT(M1246,"0.00")),EXACT(L1246,TEXT(M1246,"#,##0.00")))),FALSE)</f>
        <v>1</v>
      </c>
      <c r="P1246" s="1" t="str">
        <f>LEN(IF(Raw!A1246="","",Raw!A1246))&amp;":"&amp;IF(Raw!A1246="","",Raw!A1246)&amp;"|"&amp;LEN(IF(Raw!B1246="","",Raw!B1246))&amp;":"&amp;IF(Raw!B1246="","",Raw!B1246)&amp;"|"&amp;LEN(IF(Raw!C1246="","",Raw!C1246))&amp;":"&amp;IF(Raw!C1246="","",Raw!C1246)&amp;"|"&amp;LEN(IF(Raw!D1246="","",Raw!D1246))&amp;":"&amp;IF(Raw!D1246="","",Raw!D1246)&amp;"|"&amp;LEN(IF(Raw!E1246="","",Raw!E1246))&amp;":"&amp;IF(Raw!E1246="","",Raw!E1246)&amp;"|"&amp;LEN(IF(Raw!F1246="","",Raw!F1246))&amp;":"&amp;IF(Raw!F1246="","",Raw!F1246)&amp;"|"&amp;LEN(IF(Raw!G1246="","",Raw!G1246))&amp;":"&amp;IF(Raw!G1246="","",Raw!G1246)</f>
        <v>6:L01240|6:T00620|10:2026-01-14|3:P-A|11:Accessories|4:sale|6:413.68</v>
      </c>
      <c r="Q1246" s="1">
        <f>1</f>
        <v>1</v>
      </c>
      <c r="R1246" s="1" t="b">
        <f>FALSE</f>
        <v>0</v>
      </c>
      <c r="S1246" s="1">
        <f>1</f>
        <v>1</v>
      </c>
      <c r="T1246" s="1" t="str">
        <f>IF(AND(Raw!A1246="",Raw!B1246="",Raw!C1246="",Raw!D1246="",Raw!E1246="",Raw!F1246="",Raw!G1246=""),"UNUSED",IF(A1246="","missing line ID",IF(B1246="","missing transaction ID",IF(G1246="",IF(C1246="","missing date","invalid date"),IF(I1246="","unknown product",IF(J1246="","conflicting category",IF(NOT(OR(EXACT(K1246,"sale"),EXACT(K1246,"refund"))),"unknown event",IF(OR(N1246="",NOT(O1246)),"invalid amount",IF(OR(AND(K1246="sale",N1246&lt;=0),AND(K1246="refund",N1246&gt;=0)),"invalid sign","")))))))))</f>
        <v/>
      </c>
      <c r="U1246" s="1" t="str">
        <f t="shared" si="157"/>
        <v>INCLUDED</v>
      </c>
      <c r="V1246" s="1" t="str">
        <f t="shared" si="158"/>
        <v>2026-01</v>
      </c>
      <c r="W1246" s="1">
        <f>IF(AND(U1246="INCLUDED",X1246&gt;0,EXACT(A1246,'AI output'!A1246)),1,0)</f>
        <v>1</v>
      </c>
      <c r="X1246" s="1">
        <f>1246</f>
        <v>1246</v>
      </c>
      <c r="Y1246" s="1">
        <f>IF(AND(U1246="INCLUDED",W1246=1),--(NOT(EXACT(A1246,'AI output'!A1246)))+--(NOT(EXACT(B1246,'AI output'!B1246)))+--(NOT(EXACT(TEXT(G1246,"yyyy-mm-dd"),'AI output'!C1246)))+--(NOT(EXACT(H1246,'AI output'!D1246)))+--(NOT(EXACT(J1246,'AI output'!E1246)))+--(NOT(EXACT(K1246,'AI output'!F1246)))+--(N1246&lt;&gt;'AI output'!L1246)+--(NOT('AI output'!M1246)),0)</f>
        <v>0</v>
      </c>
      <c r="Z1246" s="1">
        <f t="shared" si="159"/>
        <v>0</v>
      </c>
      <c r="AA1246" s="1">
        <f>--EXACT(A1246,"L01240")</f>
        <v>1</v>
      </c>
    </row>
    <row r="1247" spans="1:27" ht="18.95" customHeight="1">
      <c r="A1247" s="1" t="str">
        <f>IF(Raw!A1247="","",Raw!A1247)</f>
        <v>L01241</v>
      </c>
      <c r="B1247" s="1" t="str">
        <f>IF(Raw!B1247="","",Raw!B1247)</f>
        <v>T00621</v>
      </c>
      <c r="C1247" s="1" t="str">
        <f>IF(Raw!C1247="","",Raw!C1247)</f>
        <v>2026-01-21</v>
      </c>
      <c r="D1247" s="1">
        <f t="shared" si="152"/>
        <v>2026</v>
      </c>
      <c r="E1247" s="1">
        <f>IFERROR(IF(AND(LEN(C1247)=10,MID(C1247,5,1)="-",MID(C1247,8,1)="-"),VALUE(MID(C1247,6,2)),IF(AND(LEN(C1247)=11,MID(C1247,3,1)="-",MID(C1247,7,1)="-"),MATCH(UPPER(MID(C1247,4,3)),Guide!$D$7:$D$18,0),0)),0)</f>
        <v>1</v>
      </c>
      <c r="F1247" s="1">
        <f t="shared" si="153"/>
        <v>21</v>
      </c>
      <c r="G1247" s="9">
        <f t="shared" si="154"/>
        <v>46043</v>
      </c>
      <c r="H1247" s="1" t="str">
        <f>IF(Raw!D1247="","",Raw!D1247)</f>
        <v>P-H</v>
      </c>
      <c r="I1247" s="1" t="str">
        <f>IFERROR(IF(EXACT(H1247,INDEX(Guide!$A$7:$A$9,MATCH(SUBSTITUTE(SUBSTITUTE(SUBSTITUTE(H1247,"~","~~"),"*","~*"),"?","~?"),Guide!$A$7:$A$9,0))),INDEX(Guide!$B$7:$B$9,MATCH(SUBSTITUTE(SUBSTITUTE(SUBSTITUTE(H1247,"~","~~"),"*","~*"),"?","~?"),Guide!$A$7:$A$9,0)),""),"")</f>
        <v>Home</v>
      </c>
      <c r="J1247" s="1" t="str">
        <f>IF(TRIM(Raw!E1247)="",I1247,IF(UPPER(TRIM(Raw!E1247))=UPPER(I1247),I1247,""))</f>
        <v>Home</v>
      </c>
      <c r="K1247" s="1" t="str">
        <f>IF(Raw!F1247="","",Raw!F1247)</f>
        <v>sale</v>
      </c>
      <c r="L1247" s="1" t="str">
        <f>IF(LEFT(TRIM(Raw!G1247),2)="-$","-"&amp;MID(TRIM(Raw!G1247),3,99),IF(LEFT(TRIM(Raw!G1247),1)="$",MID(TRIM(Raw!G1247),2,99),TRIM(Raw!G1247)))</f>
        <v>103.79</v>
      </c>
      <c r="M1247" s="1">
        <f t="shared" si="155"/>
        <v>103.79</v>
      </c>
      <c r="N1247" s="10">
        <f t="shared" si="156"/>
        <v>10379</v>
      </c>
      <c r="O1247" s="1" t="b">
        <f>IFERROR(IF(ISNUMBER(Raw!G1247),TRUE,OR(EXACT(L1247,TEXT(M1247,"0.00")),EXACT(L1247,TEXT(M1247,"#,##0.00")))),FALSE)</f>
        <v>1</v>
      </c>
      <c r="P1247" s="1" t="str">
        <f>LEN(IF(Raw!A1247="","",Raw!A1247))&amp;":"&amp;IF(Raw!A1247="","",Raw!A1247)&amp;"|"&amp;LEN(IF(Raw!B1247="","",Raw!B1247))&amp;":"&amp;IF(Raw!B1247="","",Raw!B1247)&amp;"|"&amp;LEN(IF(Raw!C1247="","",Raw!C1247))&amp;":"&amp;IF(Raw!C1247="","",Raw!C1247)&amp;"|"&amp;LEN(IF(Raw!D1247="","",Raw!D1247))&amp;":"&amp;IF(Raw!D1247="","",Raw!D1247)&amp;"|"&amp;LEN(IF(Raw!E1247="","",Raw!E1247))&amp;":"&amp;IF(Raw!E1247="","",Raw!E1247)&amp;"|"&amp;LEN(IF(Raw!F1247="","",Raw!F1247))&amp;":"&amp;IF(Raw!F1247="","",Raw!F1247)&amp;"|"&amp;LEN(IF(Raw!G1247="","",Raw!G1247))&amp;":"&amp;IF(Raw!G1247="","",Raw!G1247)</f>
        <v>6:L01241|6:T00621|10:2026-01-21|3:P-H|4:Home|4:sale|6:103.79</v>
      </c>
      <c r="Q1247" s="1">
        <f>1</f>
        <v>1</v>
      </c>
      <c r="R1247" s="1" t="b">
        <f>FALSE</f>
        <v>0</v>
      </c>
      <c r="S1247" s="1">
        <f>1</f>
        <v>1</v>
      </c>
      <c r="T1247" s="1" t="str">
        <f>IF(AND(Raw!A1247="",Raw!B1247="",Raw!C1247="",Raw!D1247="",Raw!E1247="",Raw!F1247="",Raw!G1247=""),"UNUSED",IF(A1247="","missing line ID",IF(B1247="","missing transaction ID",IF(G1247="",IF(C1247="","missing date","invalid date"),IF(I1247="","unknown product",IF(J1247="","conflicting category",IF(NOT(OR(EXACT(K1247,"sale"),EXACT(K1247,"refund"))),"unknown event",IF(OR(N1247="",NOT(O1247)),"invalid amount",IF(OR(AND(K1247="sale",N1247&lt;=0),AND(K1247="refund",N1247&gt;=0)),"invalid sign","")))))))))</f>
        <v/>
      </c>
      <c r="U1247" s="1" t="str">
        <f t="shared" si="157"/>
        <v>INCLUDED</v>
      </c>
      <c r="V1247" s="1" t="str">
        <f t="shared" si="158"/>
        <v>2026-01</v>
      </c>
      <c r="W1247" s="1">
        <f>IF(AND(U1247="INCLUDED",X1247&gt;0,EXACT(A1247,'AI output'!A1247)),1,0)</f>
        <v>1</v>
      </c>
      <c r="X1247" s="1">
        <f>1247</f>
        <v>1247</v>
      </c>
      <c r="Y1247" s="1">
        <f>IF(AND(U1247="INCLUDED",W1247=1),--(NOT(EXACT(A1247,'AI output'!A1247)))+--(NOT(EXACT(B1247,'AI output'!B1247)))+--(NOT(EXACT(TEXT(G1247,"yyyy-mm-dd"),'AI output'!C1247)))+--(NOT(EXACT(H1247,'AI output'!D1247)))+--(NOT(EXACT(J1247,'AI output'!E1247)))+--(NOT(EXACT(K1247,'AI output'!F1247)))+--(N1247&lt;&gt;'AI output'!L1247)+--(NOT('AI output'!M1247)),0)</f>
        <v>0</v>
      </c>
      <c r="Z1247" s="1">
        <f t="shared" si="159"/>
        <v>0</v>
      </c>
      <c r="AA1247" s="1">
        <f>--EXACT(A1247,"L01241")</f>
        <v>1</v>
      </c>
    </row>
    <row r="1248" spans="1:27" ht="18.95" customHeight="1">
      <c r="A1248" s="1" t="str">
        <f>IF(Raw!A1248="","",Raw!A1248)</f>
        <v>L01242</v>
      </c>
      <c r="B1248" s="1" t="str">
        <f>IF(Raw!B1248="","",Raw!B1248)</f>
        <v>T00621</v>
      </c>
      <c r="C1248" s="1" t="str">
        <f>IF(Raw!C1248="","",Raw!C1248)</f>
        <v>2026-01-21</v>
      </c>
      <c r="D1248" s="1">
        <f t="shared" si="152"/>
        <v>2026</v>
      </c>
      <c r="E1248" s="1">
        <f>IFERROR(IF(AND(LEN(C1248)=10,MID(C1248,5,1)="-",MID(C1248,8,1)="-"),VALUE(MID(C1248,6,2)),IF(AND(LEN(C1248)=11,MID(C1248,3,1)="-",MID(C1248,7,1)="-"),MATCH(UPPER(MID(C1248,4,3)),Guide!$D$7:$D$18,0),0)),0)</f>
        <v>1</v>
      </c>
      <c r="F1248" s="1">
        <f t="shared" si="153"/>
        <v>21</v>
      </c>
      <c r="G1248" s="9">
        <f t="shared" si="154"/>
        <v>46043</v>
      </c>
      <c r="H1248" s="1" t="str">
        <f>IF(Raw!D1248="","",Raw!D1248)</f>
        <v>P-O</v>
      </c>
      <c r="I1248" s="1" t="str">
        <f>IFERROR(IF(EXACT(H1248,INDEX(Guide!$A$7:$A$9,MATCH(SUBSTITUTE(SUBSTITUTE(SUBSTITUTE(H1248,"~","~~"),"*","~*"),"?","~?"),Guide!$A$7:$A$9,0))),INDEX(Guide!$B$7:$B$9,MATCH(SUBSTITUTE(SUBSTITUTE(SUBSTITUTE(H1248,"~","~~"),"*","~*"),"?","~?"),Guide!$A$7:$A$9,0)),""),"")</f>
        <v>Office</v>
      </c>
      <c r="J1248" s="1" t="str">
        <f>IF(TRIM(Raw!E1248)="",I1248,IF(UPPER(TRIM(Raw!E1248))=UPPER(I1248),I1248,""))</f>
        <v>Office</v>
      </c>
      <c r="K1248" s="1" t="str">
        <f>IF(Raw!F1248="","",Raw!F1248)</f>
        <v>sale</v>
      </c>
      <c r="L1248" s="1" t="str">
        <f>IF(LEFT(TRIM(Raw!G1248),2)="-$","-"&amp;MID(TRIM(Raw!G1248),3,99),IF(LEFT(TRIM(Raw!G1248),1)="$",MID(TRIM(Raw!G1248),2,99),TRIM(Raw!G1248)))</f>
        <v>312.48</v>
      </c>
      <c r="M1248" s="1">
        <f t="shared" si="155"/>
        <v>312.48</v>
      </c>
      <c r="N1248" s="10">
        <f t="shared" si="156"/>
        <v>31248</v>
      </c>
      <c r="O1248" s="1" t="b">
        <f>IFERROR(IF(ISNUMBER(Raw!G1248),TRUE,OR(EXACT(L1248,TEXT(M1248,"0.00")),EXACT(L1248,TEXT(M1248,"#,##0.00")))),FALSE)</f>
        <v>1</v>
      </c>
      <c r="P1248" s="1" t="str">
        <f>LEN(IF(Raw!A1248="","",Raw!A1248))&amp;":"&amp;IF(Raw!A1248="","",Raw!A1248)&amp;"|"&amp;LEN(IF(Raw!B1248="","",Raw!B1248))&amp;":"&amp;IF(Raw!B1248="","",Raw!B1248)&amp;"|"&amp;LEN(IF(Raw!C1248="","",Raw!C1248))&amp;":"&amp;IF(Raw!C1248="","",Raw!C1248)&amp;"|"&amp;LEN(IF(Raw!D1248="","",Raw!D1248))&amp;":"&amp;IF(Raw!D1248="","",Raw!D1248)&amp;"|"&amp;LEN(IF(Raw!E1248="","",Raw!E1248))&amp;":"&amp;IF(Raw!E1248="","",Raw!E1248)&amp;"|"&amp;LEN(IF(Raw!F1248="","",Raw!F1248))&amp;":"&amp;IF(Raw!F1248="","",Raw!F1248)&amp;"|"&amp;LEN(IF(Raw!G1248="","",Raw!G1248))&amp;":"&amp;IF(Raw!G1248="","",Raw!G1248)</f>
        <v>6:L01242|6:T00621|10:2026-01-21|3:P-O|10:  office  |4:sale|6:312.48</v>
      </c>
      <c r="Q1248" s="1">
        <f>1</f>
        <v>1</v>
      </c>
      <c r="R1248" s="1" t="b">
        <f>FALSE</f>
        <v>0</v>
      </c>
      <c r="S1248" s="1">
        <f>1</f>
        <v>1</v>
      </c>
      <c r="T1248" s="1" t="str">
        <f>IF(AND(Raw!A1248="",Raw!B1248="",Raw!C1248="",Raw!D1248="",Raw!E1248="",Raw!F1248="",Raw!G1248=""),"UNUSED",IF(A1248="","missing line ID",IF(B1248="","missing transaction ID",IF(G1248="",IF(C1248="","missing date","invalid date"),IF(I1248="","unknown product",IF(J1248="","conflicting category",IF(NOT(OR(EXACT(K1248,"sale"),EXACT(K1248,"refund"))),"unknown event",IF(OR(N1248="",NOT(O1248)),"invalid amount",IF(OR(AND(K1248="sale",N1248&lt;=0),AND(K1248="refund",N1248&gt;=0)),"invalid sign","")))))))))</f>
        <v/>
      </c>
      <c r="U1248" s="1" t="str">
        <f t="shared" si="157"/>
        <v>INCLUDED</v>
      </c>
      <c r="V1248" s="1" t="str">
        <f t="shared" si="158"/>
        <v>2026-01</v>
      </c>
      <c r="W1248" s="1">
        <f>IF(AND(U1248="INCLUDED",X1248&gt;0,EXACT(A1248,'AI output'!A1248)),1,0)</f>
        <v>1</v>
      </c>
      <c r="X1248" s="1">
        <f>1248</f>
        <v>1248</v>
      </c>
      <c r="Y1248" s="1">
        <f>IF(AND(U1248="INCLUDED",W1248=1),--(NOT(EXACT(A1248,'AI output'!A1248)))+--(NOT(EXACT(B1248,'AI output'!B1248)))+--(NOT(EXACT(TEXT(G1248,"yyyy-mm-dd"),'AI output'!C1248)))+--(NOT(EXACT(H1248,'AI output'!D1248)))+--(NOT(EXACT(J1248,'AI output'!E1248)))+--(NOT(EXACT(K1248,'AI output'!F1248)))+--(N1248&lt;&gt;'AI output'!L1248)+--(NOT('AI output'!M1248)),0)</f>
        <v>0</v>
      </c>
      <c r="Z1248" s="1">
        <f t="shared" si="159"/>
        <v>0</v>
      </c>
      <c r="AA1248" s="1">
        <f>--EXACT(A1248,"L01242")</f>
        <v>1</v>
      </c>
    </row>
    <row r="1249" spans="1:27" ht="18.95" customHeight="1">
      <c r="A1249" s="1" t="str">
        <f>IF(Raw!A1249="","",Raw!A1249)</f>
        <v>L01243</v>
      </c>
      <c r="B1249" s="1" t="str">
        <f>IF(Raw!B1249="","",Raw!B1249)</f>
        <v>T00622</v>
      </c>
      <c r="C1249" s="1" t="str">
        <f>IF(Raw!C1249="","",Raw!C1249)</f>
        <v>2026-01-28</v>
      </c>
      <c r="D1249" s="1">
        <f t="shared" si="152"/>
        <v>2026</v>
      </c>
      <c r="E1249" s="1">
        <f>IFERROR(IF(AND(LEN(C1249)=10,MID(C1249,5,1)="-",MID(C1249,8,1)="-"),VALUE(MID(C1249,6,2)),IF(AND(LEN(C1249)=11,MID(C1249,3,1)="-",MID(C1249,7,1)="-"),MATCH(UPPER(MID(C1249,4,3)),Guide!$D$7:$D$18,0),0)),0)</f>
        <v>1</v>
      </c>
      <c r="F1249" s="1">
        <f t="shared" si="153"/>
        <v>28</v>
      </c>
      <c r="G1249" s="9">
        <f t="shared" si="154"/>
        <v>46050</v>
      </c>
      <c r="H1249" s="1" t="str">
        <f>IF(Raw!D1249="","",Raw!D1249)</f>
        <v>P-A</v>
      </c>
      <c r="I1249" s="1" t="str">
        <f>IFERROR(IF(EXACT(H1249,INDEX(Guide!$A$7:$A$9,MATCH(SUBSTITUTE(SUBSTITUTE(SUBSTITUTE(H1249,"~","~~"),"*","~*"),"?","~?"),Guide!$A$7:$A$9,0))),INDEX(Guide!$B$7:$B$9,MATCH(SUBSTITUTE(SUBSTITUTE(SUBSTITUTE(H1249,"~","~~"),"*","~*"),"?","~?"),Guide!$A$7:$A$9,0)),""),"")</f>
        <v>Accessories</v>
      </c>
      <c r="J1249" s="1" t="str">
        <f>IF(TRIM(Raw!E1249)="",I1249,IF(UPPER(TRIM(Raw!E1249))=UPPER(I1249),I1249,""))</f>
        <v>Accessories</v>
      </c>
      <c r="K1249" s="1" t="str">
        <f>IF(Raw!F1249="","",Raw!F1249)</f>
        <v>refund</v>
      </c>
      <c r="L1249" s="1" t="str">
        <f>IF(LEFT(TRIM(Raw!G1249),2)="-$","-"&amp;MID(TRIM(Raw!G1249),3,99),IF(LEFT(TRIM(Raw!G1249),1)="$",MID(TRIM(Raw!G1249),2,99),TRIM(Raw!G1249)))</f>
        <v>-522.65</v>
      </c>
      <c r="M1249" s="1">
        <f t="shared" si="155"/>
        <v>-522.65</v>
      </c>
      <c r="N1249" s="10">
        <f t="shared" si="156"/>
        <v>-52265</v>
      </c>
      <c r="O1249" s="1" t="b">
        <f>IFERROR(IF(ISNUMBER(Raw!G1249),TRUE,OR(EXACT(L1249,TEXT(M1249,"0.00")),EXACT(L1249,TEXT(M1249,"#,##0.00")))),FALSE)</f>
        <v>1</v>
      </c>
      <c r="P1249" s="1" t="str">
        <f>LEN(IF(Raw!A1249="","",Raw!A1249))&amp;":"&amp;IF(Raw!A1249="","",Raw!A1249)&amp;"|"&amp;LEN(IF(Raw!B1249="","",Raw!B1249))&amp;":"&amp;IF(Raw!B1249="","",Raw!B1249)&amp;"|"&amp;LEN(IF(Raw!C1249="","",Raw!C1249))&amp;":"&amp;IF(Raw!C1249="","",Raw!C1249)&amp;"|"&amp;LEN(IF(Raw!D1249="","",Raw!D1249))&amp;":"&amp;IF(Raw!D1249="","",Raw!D1249)&amp;"|"&amp;LEN(IF(Raw!E1249="","",Raw!E1249))&amp;":"&amp;IF(Raw!E1249="","",Raw!E1249)&amp;"|"&amp;LEN(IF(Raw!F1249="","",Raw!F1249))&amp;":"&amp;IF(Raw!F1249="","",Raw!F1249)&amp;"|"&amp;LEN(IF(Raw!G1249="","",Raw!G1249))&amp;":"&amp;IF(Raw!G1249="","",Raw!G1249)</f>
        <v>6:L01243|6:T00622|10:2026-01-28|3:P-A|11:Accessories|6:refund|7:-522.65</v>
      </c>
      <c r="Q1249" s="1">
        <f>1</f>
        <v>1</v>
      </c>
      <c r="R1249" s="1" t="b">
        <f>FALSE</f>
        <v>0</v>
      </c>
      <c r="S1249" s="1">
        <f>1</f>
        <v>1</v>
      </c>
      <c r="T1249" s="1" t="str">
        <f>IF(AND(Raw!A1249="",Raw!B1249="",Raw!C1249="",Raw!D1249="",Raw!E1249="",Raw!F1249="",Raw!G1249=""),"UNUSED",IF(A1249="","missing line ID",IF(B1249="","missing transaction ID",IF(G1249="",IF(C1249="","missing date","invalid date"),IF(I1249="","unknown product",IF(J1249="","conflicting category",IF(NOT(OR(EXACT(K1249,"sale"),EXACT(K1249,"refund"))),"unknown event",IF(OR(N1249="",NOT(O1249)),"invalid amount",IF(OR(AND(K1249="sale",N1249&lt;=0),AND(K1249="refund",N1249&gt;=0)),"invalid sign","")))))))))</f>
        <v/>
      </c>
      <c r="U1249" s="1" t="str">
        <f t="shared" si="157"/>
        <v>INCLUDED</v>
      </c>
      <c r="V1249" s="1" t="str">
        <f t="shared" si="158"/>
        <v>2026-01</v>
      </c>
      <c r="W1249" s="1">
        <f>IF(AND(U1249="INCLUDED",X1249&gt;0,EXACT(A1249,'AI output'!A1249)),1,0)</f>
        <v>1</v>
      </c>
      <c r="X1249" s="1">
        <f>1249</f>
        <v>1249</v>
      </c>
      <c r="Y1249" s="1">
        <f>IF(AND(U1249="INCLUDED",W1249=1),--(NOT(EXACT(A1249,'AI output'!A1249)))+--(NOT(EXACT(B1249,'AI output'!B1249)))+--(NOT(EXACT(TEXT(G1249,"yyyy-mm-dd"),'AI output'!C1249)))+--(NOT(EXACT(H1249,'AI output'!D1249)))+--(NOT(EXACT(J1249,'AI output'!E1249)))+--(NOT(EXACT(K1249,'AI output'!F1249)))+--(N1249&lt;&gt;'AI output'!L1249)+--(NOT('AI output'!M1249)),0)</f>
        <v>0</v>
      </c>
      <c r="Z1249" s="1">
        <f t="shared" si="159"/>
        <v>0</v>
      </c>
      <c r="AA1249" s="1">
        <f>--EXACT(A1249,"L01243")</f>
        <v>1</v>
      </c>
    </row>
    <row r="1250" spans="1:27" ht="18.95" customHeight="1">
      <c r="A1250" s="1" t="str">
        <f>IF(Raw!A1250="","",Raw!A1250)</f>
        <v>L01244</v>
      </c>
      <c r="B1250" s="1" t="str">
        <f>IF(Raw!B1250="","",Raw!B1250)</f>
        <v>T00622</v>
      </c>
      <c r="C1250" s="1" t="str">
        <f>IF(Raw!C1250="","",Raw!C1250)</f>
        <v>2026-01-28</v>
      </c>
      <c r="D1250" s="1">
        <f t="shared" si="152"/>
        <v>2026</v>
      </c>
      <c r="E1250" s="1">
        <f>IFERROR(IF(AND(LEN(C1250)=10,MID(C1250,5,1)="-",MID(C1250,8,1)="-"),VALUE(MID(C1250,6,2)),IF(AND(LEN(C1250)=11,MID(C1250,3,1)="-",MID(C1250,7,1)="-"),MATCH(UPPER(MID(C1250,4,3)),Guide!$D$7:$D$18,0),0)),0)</f>
        <v>1</v>
      </c>
      <c r="F1250" s="1">
        <f t="shared" si="153"/>
        <v>28</v>
      </c>
      <c r="G1250" s="9">
        <f t="shared" si="154"/>
        <v>46050</v>
      </c>
      <c r="H1250" s="1" t="str">
        <f>IF(Raw!D1250="","",Raw!D1250)</f>
        <v>P-H</v>
      </c>
      <c r="I1250" s="1" t="str">
        <f>IFERROR(IF(EXACT(H1250,INDEX(Guide!$A$7:$A$9,MATCH(SUBSTITUTE(SUBSTITUTE(SUBSTITUTE(H1250,"~","~~"),"*","~*"),"?","~?"),Guide!$A$7:$A$9,0))),INDEX(Guide!$B$7:$B$9,MATCH(SUBSTITUTE(SUBSTITUTE(SUBSTITUTE(H1250,"~","~~"),"*","~*"),"?","~?"),Guide!$A$7:$A$9,0)),""),"")</f>
        <v>Home</v>
      </c>
      <c r="J1250" s="1" t="str">
        <f>IF(TRIM(Raw!E1250)="",I1250,IF(UPPER(TRIM(Raw!E1250))=UPPER(I1250),I1250,""))</f>
        <v>Home</v>
      </c>
      <c r="K1250" s="1" t="str">
        <f>IF(Raw!F1250="","",Raw!F1250)</f>
        <v>sale</v>
      </c>
      <c r="L1250" s="1" t="str">
        <f>IF(LEFT(TRIM(Raw!G1250),2)="-$","-"&amp;MID(TRIM(Raw!G1250),3,99),IF(LEFT(TRIM(Raw!G1250),1)="$",MID(TRIM(Raw!G1250),2,99),TRIM(Raw!G1250)))</f>
        <v>209.80</v>
      </c>
      <c r="M1250" s="1">
        <f t="shared" si="155"/>
        <v>209.8</v>
      </c>
      <c r="N1250" s="10">
        <f t="shared" si="156"/>
        <v>20980</v>
      </c>
      <c r="O1250" s="1" t="b">
        <f>IFERROR(IF(ISNUMBER(Raw!G1250),TRUE,OR(EXACT(L1250,TEXT(M1250,"0.00")),EXACT(L1250,TEXT(M1250,"#,##0.00")))),FALSE)</f>
        <v>1</v>
      </c>
      <c r="P1250" s="1" t="str">
        <f>LEN(IF(Raw!A1250="","",Raw!A1250))&amp;":"&amp;IF(Raw!A1250="","",Raw!A1250)&amp;"|"&amp;LEN(IF(Raw!B1250="","",Raw!B1250))&amp;":"&amp;IF(Raw!B1250="","",Raw!B1250)&amp;"|"&amp;LEN(IF(Raw!C1250="","",Raw!C1250))&amp;":"&amp;IF(Raw!C1250="","",Raw!C1250)&amp;"|"&amp;LEN(IF(Raw!D1250="","",Raw!D1250))&amp;":"&amp;IF(Raw!D1250="","",Raw!D1250)&amp;"|"&amp;LEN(IF(Raw!E1250="","",Raw!E1250))&amp;":"&amp;IF(Raw!E1250="","",Raw!E1250)&amp;"|"&amp;LEN(IF(Raw!F1250="","",Raw!F1250))&amp;":"&amp;IF(Raw!F1250="","",Raw!F1250)&amp;"|"&amp;LEN(IF(Raw!G1250="","",Raw!G1250))&amp;":"&amp;IF(Raw!G1250="","",Raw!G1250)</f>
        <v>6:L01244|6:T00622|10:2026-01-28|3:P-H|4:Home|4:sale|6:209.80</v>
      </c>
      <c r="Q1250" s="1">
        <f>1</f>
        <v>1</v>
      </c>
      <c r="R1250" s="1" t="b">
        <f>FALSE</f>
        <v>0</v>
      </c>
      <c r="S1250" s="1">
        <f>1</f>
        <v>1</v>
      </c>
      <c r="T1250" s="1" t="str">
        <f>IF(AND(Raw!A1250="",Raw!B1250="",Raw!C1250="",Raw!D1250="",Raw!E1250="",Raw!F1250="",Raw!G1250=""),"UNUSED",IF(A1250="","missing line ID",IF(B1250="","missing transaction ID",IF(G1250="",IF(C1250="","missing date","invalid date"),IF(I1250="","unknown product",IF(J1250="","conflicting category",IF(NOT(OR(EXACT(K1250,"sale"),EXACT(K1250,"refund"))),"unknown event",IF(OR(N1250="",NOT(O1250)),"invalid amount",IF(OR(AND(K1250="sale",N1250&lt;=0),AND(K1250="refund",N1250&gt;=0)),"invalid sign","")))))))))</f>
        <v/>
      </c>
      <c r="U1250" s="1" t="str">
        <f t="shared" si="157"/>
        <v>INCLUDED</v>
      </c>
      <c r="V1250" s="1" t="str">
        <f t="shared" si="158"/>
        <v>2026-01</v>
      </c>
      <c r="W1250" s="1">
        <f>IF(AND(U1250="INCLUDED",X1250&gt;0,EXACT(A1250,'AI output'!A1250)),1,0)</f>
        <v>1</v>
      </c>
      <c r="X1250" s="1">
        <f>1250</f>
        <v>1250</v>
      </c>
      <c r="Y1250" s="1">
        <f>IF(AND(U1250="INCLUDED",W1250=1),--(NOT(EXACT(A1250,'AI output'!A1250)))+--(NOT(EXACT(B1250,'AI output'!B1250)))+--(NOT(EXACT(TEXT(G1250,"yyyy-mm-dd"),'AI output'!C1250)))+--(NOT(EXACT(H1250,'AI output'!D1250)))+--(NOT(EXACT(J1250,'AI output'!E1250)))+--(NOT(EXACT(K1250,'AI output'!F1250)))+--(N1250&lt;&gt;'AI output'!L1250)+--(NOT('AI output'!M1250)),0)</f>
        <v>0</v>
      </c>
      <c r="Z1250" s="1">
        <f t="shared" si="159"/>
        <v>0</v>
      </c>
      <c r="AA1250" s="1">
        <f>--EXACT(A1250,"L01244")</f>
        <v>1</v>
      </c>
    </row>
    <row r="1251" spans="1:27" ht="18.95" customHeight="1">
      <c r="A1251" s="1" t="str">
        <f>IF(Raw!A1251="","",Raw!A1251)</f>
        <v>L01245</v>
      </c>
      <c r="B1251" s="1" t="str">
        <f>IF(Raw!B1251="","",Raw!B1251)</f>
        <v>T00623</v>
      </c>
      <c r="C1251" s="1" t="str">
        <f>IF(Raw!C1251="","",Raw!C1251)</f>
        <v>2026-02-04</v>
      </c>
      <c r="D1251" s="1">
        <f t="shared" si="152"/>
        <v>2026</v>
      </c>
      <c r="E1251" s="1">
        <f>IFERROR(IF(AND(LEN(C1251)=10,MID(C1251,5,1)="-",MID(C1251,8,1)="-"),VALUE(MID(C1251,6,2)),IF(AND(LEN(C1251)=11,MID(C1251,3,1)="-",MID(C1251,7,1)="-"),MATCH(UPPER(MID(C1251,4,3)),Guide!$D$7:$D$18,0),0)),0)</f>
        <v>2</v>
      </c>
      <c r="F1251" s="1">
        <f t="shared" si="153"/>
        <v>4</v>
      </c>
      <c r="G1251" s="9">
        <f t="shared" si="154"/>
        <v>46057</v>
      </c>
      <c r="H1251" s="1" t="str">
        <f>IF(Raw!D1251="","",Raw!D1251)</f>
        <v>P-O</v>
      </c>
      <c r="I1251" s="1" t="str">
        <f>IFERROR(IF(EXACT(H1251,INDEX(Guide!$A$7:$A$9,MATCH(SUBSTITUTE(SUBSTITUTE(SUBSTITUTE(H1251,"~","~~"),"*","~*"),"?","~?"),Guide!$A$7:$A$9,0))),INDEX(Guide!$B$7:$B$9,MATCH(SUBSTITUTE(SUBSTITUTE(SUBSTITUTE(H1251,"~","~~"),"*","~*"),"?","~?"),Guide!$A$7:$A$9,0)),""),"")</f>
        <v>Office</v>
      </c>
      <c r="J1251" s="1" t="str">
        <f>IF(TRIM(Raw!E1251)="",I1251,IF(UPPER(TRIM(Raw!E1251))=UPPER(I1251),I1251,""))</f>
        <v>Office</v>
      </c>
      <c r="K1251" s="1" t="str">
        <f>IF(Raw!F1251="","",Raw!F1251)</f>
        <v>sale</v>
      </c>
      <c r="L1251" s="1" t="str">
        <f>IF(LEFT(TRIM(Raw!G1251),2)="-$","-"&amp;MID(TRIM(Raw!G1251),3,99),IF(LEFT(TRIM(Raw!G1251),1)="$",MID(TRIM(Raw!G1251),2,99),TRIM(Raw!G1251)))</f>
        <v>421.08</v>
      </c>
      <c r="M1251" s="1">
        <f t="shared" si="155"/>
        <v>421.08</v>
      </c>
      <c r="N1251" s="10">
        <f t="shared" si="156"/>
        <v>42108</v>
      </c>
      <c r="O1251" s="1" t="b">
        <f>IFERROR(IF(ISNUMBER(Raw!G1251),TRUE,OR(EXACT(L1251,TEXT(M1251,"0.00")),EXACT(L1251,TEXT(M1251,"#,##0.00")))),FALSE)</f>
        <v>1</v>
      </c>
      <c r="P1251" s="1" t="str">
        <f>LEN(IF(Raw!A1251="","",Raw!A1251))&amp;":"&amp;IF(Raw!A1251="","",Raw!A1251)&amp;"|"&amp;LEN(IF(Raw!B1251="","",Raw!B1251))&amp;":"&amp;IF(Raw!B1251="","",Raw!B1251)&amp;"|"&amp;LEN(IF(Raw!C1251="","",Raw!C1251))&amp;":"&amp;IF(Raw!C1251="","",Raw!C1251)&amp;"|"&amp;LEN(IF(Raw!D1251="","",Raw!D1251))&amp;":"&amp;IF(Raw!D1251="","",Raw!D1251)&amp;"|"&amp;LEN(IF(Raw!E1251="","",Raw!E1251))&amp;":"&amp;IF(Raw!E1251="","",Raw!E1251)&amp;"|"&amp;LEN(IF(Raw!F1251="","",Raw!F1251))&amp;":"&amp;IF(Raw!F1251="","",Raw!F1251)&amp;"|"&amp;LEN(IF(Raw!G1251="","",Raw!G1251))&amp;":"&amp;IF(Raw!G1251="","",Raw!G1251)</f>
        <v>6:L01245|6:T00623|10:2026-02-04|3:P-O|6:Office|4:sale|6:421.08</v>
      </c>
      <c r="Q1251" s="1">
        <f>1</f>
        <v>1</v>
      </c>
      <c r="R1251" s="1" t="b">
        <f>FALSE</f>
        <v>0</v>
      </c>
      <c r="S1251" s="1">
        <f>1</f>
        <v>1</v>
      </c>
      <c r="T1251" s="1" t="str">
        <f>IF(AND(Raw!A1251="",Raw!B1251="",Raw!C1251="",Raw!D1251="",Raw!E1251="",Raw!F1251="",Raw!G1251=""),"UNUSED",IF(A1251="","missing line ID",IF(B1251="","missing transaction ID",IF(G1251="",IF(C1251="","missing date","invalid date"),IF(I1251="","unknown product",IF(J1251="","conflicting category",IF(NOT(OR(EXACT(K1251,"sale"),EXACT(K1251,"refund"))),"unknown event",IF(OR(N1251="",NOT(O1251)),"invalid amount",IF(OR(AND(K1251="sale",N1251&lt;=0),AND(K1251="refund",N1251&gt;=0)),"invalid sign","")))))))))</f>
        <v/>
      </c>
      <c r="U1251" s="1" t="str">
        <f t="shared" si="157"/>
        <v>INCLUDED</v>
      </c>
      <c r="V1251" s="1" t="str">
        <f t="shared" si="158"/>
        <v>2026-02</v>
      </c>
      <c r="W1251" s="1">
        <f>IF(AND(U1251="INCLUDED",X1251&gt;0,EXACT(A1251,'AI output'!A1251)),1,0)</f>
        <v>1</v>
      </c>
      <c r="X1251" s="1">
        <f>1251</f>
        <v>1251</v>
      </c>
      <c r="Y1251" s="1">
        <f>IF(AND(U1251="INCLUDED",W1251=1),--(NOT(EXACT(A1251,'AI output'!A1251)))+--(NOT(EXACT(B1251,'AI output'!B1251)))+--(NOT(EXACT(TEXT(G1251,"yyyy-mm-dd"),'AI output'!C1251)))+--(NOT(EXACT(H1251,'AI output'!D1251)))+--(NOT(EXACT(J1251,'AI output'!E1251)))+--(NOT(EXACT(K1251,'AI output'!F1251)))+--(N1251&lt;&gt;'AI output'!L1251)+--(NOT('AI output'!M1251)),0)</f>
        <v>0</v>
      </c>
      <c r="Z1251" s="1">
        <f t="shared" si="159"/>
        <v>0</v>
      </c>
      <c r="AA1251" s="1">
        <f>--EXACT(A1251,"L01245")</f>
        <v>1</v>
      </c>
    </row>
    <row r="1252" spans="1:27" ht="18.95" customHeight="1">
      <c r="A1252" s="1" t="str">
        <f>IF(Raw!A1252="","",Raw!A1252)</f>
        <v>L01246</v>
      </c>
      <c r="B1252" s="1" t="str">
        <f>IF(Raw!B1252="","",Raw!B1252)</f>
        <v>T00623</v>
      </c>
      <c r="C1252" s="1" t="str">
        <f>IF(Raw!C1252="","",Raw!C1252)</f>
        <v>2026-02-04</v>
      </c>
      <c r="D1252" s="1">
        <f t="shared" si="152"/>
        <v>2026</v>
      </c>
      <c r="E1252" s="1">
        <f>IFERROR(IF(AND(LEN(C1252)=10,MID(C1252,5,1)="-",MID(C1252,8,1)="-"),VALUE(MID(C1252,6,2)),IF(AND(LEN(C1252)=11,MID(C1252,3,1)="-",MID(C1252,7,1)="-"),MATCH(UPPER(MID(C1252,4,3)),Guide!$D$7:$D$18,0),0)),0)</f>
        <v>2</v>
      </c>
      <c r="F1252" s="1">
        <f t="shared" si="153"/>
        <v>4</v>
      </c>
      <c r="G1252" s="9">
        <f t="shared" si="154"/>
        <v>46057</v>
      </c>
      <c r="H1252" s="1" t="str">
        <f>IF(Raw!D1252="","",Raw!D1252)</f>
        <v>P-A</v>
      </c>
      <c r="I1252" s="1" t="str">
        <f>IFERROR(IF(EXACT(H1252,INDEX(Guide!$A$7:$A$9,MATCH(SUBSTITUTE(SUBSTITUTE(SUBSTITUTE(H1252,"~","~~"),"*","~*"),"?","~?"),Guide!$A$7:$A$9,0))),INDEX(Guide!$B$7:$B$9,MATCH(SUBSTITUTE(SUBSTITUTE(SUBSTITUTE(H1252,"~","~~"),"*","~*"),"?","~?"),Guide!$A$7:$A$9,0)),""),"")</f>
        <v>Accessories</v>
      </c>
      <c r="J1252" s="1" t="str">
        <f>IF(TRIM(Raw!E1252)="",I1252,IF(UPPER(TRIM(Raw!E1252))=UPPER(I1252),I1252,""))</f>
        <v>Accessories</v>
      </c>
      <c r="K1252" s="1" t="str">
        <f>IF(Raw!F1252="","",Raw!F1252)</f>
        <v>sale</v>
      </c>
      <c r="L1252" s="1" t="str">
        <f>IF(LEFT(TRIM(Raw!G1252),2)="-$","-"&amp;MID(TRIM(Raw!G1252),3,99),IF(LEFT(TRIM(Raw!G1252),1)="$",MID(TRIM(Raw!G1252),2,99),TRIM(Raw!G1252)))</f>
        <v>105.64</v>
      </c>
      <c r="M1252" s="1">
        <f t="shared" si="155"/>
        <v>105.64</v>
      </c>
      <c r="N1252" s="10">
        <f t="shared" si="156"/>
        <v>10564</v>
      </c>
      <c r="O1252" s="1" t="b">
        <f>IFERROR(IF(ISNUMBER(Raw!G1252),TRUE,OR(EXACT(L1252,TEXT(M1252,"0.00")),EXACT(L1252,TEXT(M1252,"#,##0.00")))),FALSE)</f>
        <v>1</v>
      </c>
      <c r="P1252" s="1" t="str">
        <f>LEN(IF(Raw!A1252="","",Raw!A1252))&amp;":"&amp;IF(Raw!A1252="","",Raw!A1252)&amp;"|"&amp;LEN(IF(Raw!B1252="","",Raw!B1252))&amp;":"&amp;IF(Raw!B1252="","",Raw!B1252)&amp;"|"&amp;LEN(IF(Raw!C1252="","",Raw!C1252))&amp;":"&amp;IF(Raw!C1252="","",Raw!C1252)&amp;"|"&amp;LEN(IF(Raw!D1252="","",Raw!D1252))&amp;":"&amp;IF(Raw!D1252="","",Raw!D1252)&amp;"|"&amp;LEN(IF(Raw!E1252="","",Raw!E1252))&amp;":"&amp;IF(Raw!E1252="","",Raw!E1252)&amp;"|"&amp;LEN(IF(Raw!F1252="","",Raw!F1252))&amp;":"&amp;IF(Raw!F1252="","",Raw!F1252)&amp;"|"&amp;LEN(IF(Raw!G1252="","",Raw!G1252))&amp;":"&amp;IF(Raw!G1252="","",Raw!G1252)</f>
        <v>6:L01246|6:T00623|10:2026-02-04|3:P-A|11:Accessories|4:sale|6:105.64</v>
      </c>
      <c r="Q1252" s="1">
        <f>1</f>
        <v>1</v>
      </c>
      <c r="R1252" s="1" t="b">
        <f>FALSE</f>
        <v>0</v>
      </c>
      <c r="S1252" s="1">
        <f>1</f>
        <v>1</v>
      </c>
      <c r="T1252" s="1" t="str">
        <f>IF(AND(Raw!A1252="",Raw!B1252="",Raw!C1252="",Raw!D1252="",Raw!E1252="",Raw!F1252="",Raw!G1252=""),"UNUSED",IF(A1252="","missing line ID",IF(B1252="","missing transaction ID",IF(G1252="",IF(C1252="","missing date","invalid date"),IF(I1252="","unknown product",IF(J1252="","conflicting category",IF(NOT(OR(EXACT(K1252,"sale"),EXACT(K1252,"refund"))),"unknown event",IF(OR(N1252="",NOT(O1252)),"invalid amount",IF(OR(AND(K1252="sale",N1252&lt;=0),AND(K1252="refund",N1252&gt;=0)),"invalid sign","")))))))))</f>
        <v/>
      </c>
      <c r="U1252" s="1" t="str">
        <f t="shared" si="157"/>
        <v>INCLUDED</v>
      </c>
      <c r="V1252" s="1" t="str">
        <f t="shared" si="158"/>
        <v>2026-02</v>
      </c>
      <c r="W1252" s="1">
        <f>IF(AND(U1252="INCLUDED",X1252&gt;0,EXACT(A1252,'AI output'!A1252)),1,0)</f>
        <v>1</v>
      </c>
      <c r="X1252" s="1">
        <f>1252</f>
        <v>1252</v>
      </c>
      <c r="Y1252" s="1">
        <f>IF(AND(U1252="INCLUDED",W1252=1),--(NOT(EXACT(A1252,'AI output'!A1252)))+--(NOT(EXACT(B1252,'AI output'!B1252)))+--(NOT(EXACT(TEXT(G1252,"yyyy-mm-dd"),'AI output'!C1252)))+--(NOT(EXACT(H1252,'AI output'!D1252)))+--(NOT(EXACT(J1252,'AI output'!E1252)))+--(NOT(EXACT(K1252,'AI output'!F1252)))+--(N1252&lt;&gt;'AI output'!L1252)+--(NOT('AI output'!M1252)),0)</f>
        <v>0</v>
      </c>
      <c r="Z1252" s="1">
        <f t="shared" si="159"/>
        <v>0</v>
      </c>
      <c r="AA1252" s="1">
        <f>--EXACT(A1252,"L01246")</f>
        <v>1</v>
      </c>
    </row>
    <row r="1253" spans="1:27" ht="18.95" customHeight="1">
      <c r="A1253" s="1" t="str">
        <f>IF(Raw!A1253="","",Raw!A1253)</f>
        <v>L01247</v>
      </c>
      <c r="B1253" s="1" t="str">
        <f>IF(Raw!B1253="","",Raw!B1253)</f>
        <v>T00624</v>
      </c>
      <c r="C1253" s="1" t="str">
        <f>IF(Raw!C1253="","",Raw!C1253)</f>
        <v>2026-02-11</v>
      </c>
      <c r="D1253" s="1">
        <f t="shared" si="152"/>
        <v>2026</v>
      </c>
      <c r="E1253" s="1">
        <f>IFERROR(IF(AND(LEN(C1253)=10,MID(C1253,5,1)="-",MID(C1253,8,1)="-"),VALUE(MID(C1253,6,2)),IF(AND(LEN(C1253)=11,MID(C1253,3,1)="-",MID(C1253,7,1)="-"),MATCH(UPPER(MID(C1253,4,3)),Guide!$D$7:$D$18,0),0)),0)</f>
        <v>2</v>
      </c>
      <c r="F1253" s="1">
        <f t="shared" si="153"/>
        <v>11</v>
      </c>
      <c r="G1253" s="9">
        <f t="shared" si="154"/>
        <v>46064</v>
      </c>
      <c r="H1253" s="1" t="str">
        <f>IF(Raw!D1253="","",Raw!D1253)</f>
        <v>P-H</v>
      </c>
      <c r="I1253" s="1" t="str">
        <f>IFERROR(IF(EXACT(H1253,INDEX(Guide!$A$7:$A$9,MATCH(SUBSTITUTE(SUBSTITUTE(SUBSTITUTE(H1253,"~","~~"),"*","~*"),"?","~?"),Guide!$A$7:$A$9,0))),INDEX(Guide!$B$7:$B$9,MATCH(SUBSTITUTE(SUBSTITUTE(SUBSTITUTE(H1253,"~","~~"),"*","~*"),"?","~?"),Guide!$A$7:$A$9,0)),""),"")</f>
        <v>Home</v>
      </c>
      <c r="J1253" s="1" t="str">
        <f>IF(TRIM(Raw!E1253)="",I1253,IF(UPPER(TRIM(Raw!E1253))=UPPER(I1253),I1253,""))</f>
        <v>Home</v>
      </c>
      <c r="K1253" s="1" t="str">
        <f>IF(Raw!F1253="","",Raw!F1253)</f>
        <v>sale</v>
      </c>
      <c r="L1253" s="1" t="str">
        <f>IF(LEFT(TRIM(Raw!G1253),2)="-$","-"&amp;MID(TRIM(Raw!G1253),3,99),IF(LEFT(TRIM(Raw!G1253),1)="$",MID(TRIM(Raw!G1253),2,99),TRIM(Raw!G1253)))</f>
        <v>318.03</v>
      </c>
      <c r="M1253" s="1">
        <f t="shared" si="155"/>
        <v>318.02999999999997</v>
      </c>
      <c r="N1253" s="10">
        <f t="shared" si="156"/>
        <v>31803</v>
      </c>
      <c r="O1253" s="1" t="b">
        <f>IFERROR(IF(ISNUMBER(Raw!G1253),TRUE,OR(EXACT(L1253,TEXT(M1253,"0.00")),EXACT(L1253,TEXT(M1253,"#,##0.00")))),FALSE)</f>
        <v>1</v>
      </c>
      <c r="P1253" s="1" t="str">
        <f>LEN(IF(Raw!A1253="","",Raw!A1253))&amp;":"&amp;IF(Raw!A1253="","",Raw!A1253)&amp;"|"&amp;LEN(IF(Raw!B1253="","",Raw!B1253))&amp;":"&amp;IF(Raw!B1253="","",Raw!B1253)&amp;"|"&amp;LEN(IF(Raw!C1253="","",Raw!C1253))&amp;":"&amp;IF(Raw!C1253="","",Raw!C1253)&amp;"|"&amp;LEN(IF(Raw!D1253="","",Raw!D1253))&amp;":"&amp;IF(Raw!D1253="","",Raw!D1253)&amp;"|"&amp;LEN(IF(Raw!E1253="","",Raw!E1253))&amp;":"&amp;IF(Raw!E1253="","",Raw!E1253)&amp;"|"&amp;LEN(IF(Raw!F1253="","",Raw!F1253))&amp;":"&amp;IF(Raw!F1253="","",Raw!F1253)&amp;"|"&amp;LEN(IF(Raw!G1253="","",Raw!G1253))&amp;":"&amp;IF(Raw!G1253="","",Raw!G1253)</f>
        <v>6:L01247|6:T00624|10:2026-02-11|3:P-H|4:Home|4:sale|6:318.03</v>
      </c>
      <c r="Q1253" s="1">
        <f>1</f>
        <v>1</v>
      </c>
      <c r="R1253" s="1" t="b">
        <f>FALSE</f>
        <v>0</v>
      </c>
      <c r="S1253" s="1">
        <f>1</f>
        <v>1</v>
      </c>
      <c r="T1253" s="1" t="str">
        <f>IF(AND(Raw!A1253="",Raw!B1253="",Raw!C1253="",Raw!D1253="",Raw!E1253="",Raw!F1253="",Raw!G1253=""),"UNUSED",IF(A1253="","missing line ID",IF(B1253="","missing transaction ID",IF(G1253="",IF(C1253="","missing date","invalid date"),IF(I1253="","unknown product",IF(J1253="","conflicting category",IF(NOT(OR(EXACT(K1253,"sale"),EXACT(K1253,"refund"))),"unknown event",IF(OR(N1253="",NOT(O1253)),"invalid amount",IF(OR(AND(K1253="sale",N1253&lt;=0),AND(K1253="refund",N1253&gt;=0)),"invalid sign","")))))))))</f>
        <v/>
      </c>
      <c r="U1253" s="1" t="str">
        <f t="shared" si="157"/>
        <v>INCLUDED</v>
      </c>
      <c r="V1253" s="1" t="str">
        <f t="shared" si="158"/>
        <v>2026-02</v>
      </c>
      <c r="W1253" s="1">
        <f>IF(AND(U1253="INCLUDED",X1253&gt;0,EXACT(A1253,'AI output'!A1253)),1,0)</f>
        <v>1</v>
      </c>
      <c r="X1253" s="1">
        <f>1253</f>
        <v>1253</v>
      </c>
      <c r="Y1253" s="1">
        <f>IF(AND(U1253="INCLUDED",W1253=1),--(NOT(EXACT(A1253,'AI output'!A1253)))+--(NOT(EXACT(B1253,'AI output'!B1253)))+--(NOT(EXACT(TEXT(G1253,"yyyy-mm-dd"),'AI output'!C1253)))+--(NOT(EXACT(H1253,'AI output'!D1253)))+--(NOT(EXACT(J1253,'AI output'!E1253)))+--(NOT(EXACT(K1253,'AI output'!F1253)))+--(N1253&lt;&gt;'AI output'!L1253)+--(NOT('AI output'!M1253)),0)</f>
        <v>0</v>
      </c>
      <c r="Z1253" s="1">
        <f t="shared" si="159"/>
        <v>0</v>
      </c>
      <c r="AA1253" s="1">
        <f>--EXACT(A1253,"L01247")</f>
        <v>1</v>
      </c>
    </row>
    <row r="1254" spans="1:27" ht="18.95" customHeight="1">
      <c r="A1254" s="1" t="str">
        <f>IF(Raw!A1254="","",Raw!A1254)</f>
        <v>L01248</v>
      </c>
      <c r="B1254" s="1" t="str">
        <f>IF(Raw!B1254="","",Raw!B1254)</f>
        <v>T00624</v>
      </c>
      <c r="C1254" s="1" t="str">
        <f>IF(Raw!C1254="","",Raw!C1254)</f>
        <v>2026-02-11</v>
      </c>
      <c r="D1254" s="1">
        <f t="shared" si="152"/>
        <v>2026</v>
      </c>
      <c r="E1254" s="1">
        <f>IFERROR(IF(AND(LEN(C1254)=10,MID(C1254,5,1)="-",MID(C1254,8,1)="-"),VALUE(MID(C1254,6,2)),IF(AND(LEN(C1254)=11,MID(C1254,3,1)="-",MID(C1254,7,1)="-"),MATCH(UPPER(MID(C1254,4,3)),Guide!$D$7:$D$18,0),0)),0)</f>
        <v>2</v>
      </c>
      <c r="F1254" s="1">
        <f t="shared" si="153"/>
        <v>11</v>
      </c>
      <c r="G1254" s="9">
        <f t="shared" si="154"/>
        <v>46064</v>
      </c>
      <c r="H1254" s="1" t="str">
        <f>IF(Raw!D1254="","",Raw!D1254)</f>
        <v>P-O</v>
      </c>
      <c r="I1254" s="1" t="str">
        <f>IFERROR(IF(EXACT(H1254,INDEX(Guide!$A$7:$A$9,MATCH(SUBSTITUTE(SUBSTITUTE(SUBSTITUTE(H1254,"~","~~"),"*","~*"),"?","~?"),Guide!$A$7:$A$9,0))),INDEX(Guide!$B$7:$B$9,MATCH(SUBSTITUTE(SUBSTITUTE(SUBSTITUTE(H1254,"~","~~"),"*","~*"),"?","~?"),Guide!$A$7:$A$9,0)),""),"")</f>
        <v>Office</v>
      </c>
      <c r="J1254" s="1" t="str">
        <f>IF(TRIM(Raw!E1254)="",I1254,IF(UPPER(TRIM(Raw!E1254))=UPPER(I1254),I1254,""))</f>
        <v>Office</v>
      </c>
      <c r="K1254" s="1" t="str">
        <f>IF(Raw!F1254="","",Raw!F1254)</f>
        <v>sale</v>
      </c>
      <c r="L1254" s="1" t="str">
        <f>IF(LEFT(TRIM(Raw!G1254),2)="-$","-"&amp;MID(TRIM(Raw!G1254),3,99),IF(LEFT(TRIM(Raw!G1254),1)="$",MID(TRIM(Raw!G1254),2,99),TRIM(Raw!G1254)))</f>
        <v>531.90</v>
      </c>
      <c r="M1254" s="1">
        <f t="shared" si="155"/>
        <v>531.9</v>
      </c>
      <c r="N1254" s="10">
        <f t="shared" si="156"/>
        <v>53190</v>
      </c>
      <c r="O1254" s="1" t="b">
        <f>IFERROR(IF(ISNUMBER(Raw!G1254),TRUE,OR(EXACT(L1254,TEXT(M1254,"0.00")),EXACT(L1254,TEXT(M1254,"#,##0.00")))),FALSE)</f>
        <v>1</v>
      </c>
      <c r="P1254" s="1" t="str">
        <f>LEN(IF(Raw!A1254="","",Raw!A1254))&amp;":"&amp;IF(Raw!A1254="","",Raw!A1254)&amp;"|"&amp;LEN(IF(Raw!B1254="","",Raw!B1254))&amp;":"&amp;IF(Raw!B1254="","",Raw!B1254)&amp;"|"&amp;LEN(IF(Raw!C1254="","",Raw!C1254))&amp;":"&amp;IF(Raw!C1254="","",Raw!C1254)&amp;"|"&amp;LEN(IF(Raw!D1254="","",Raw!D1254))&amp;":"&amp;IF(Raw!D1254="","",Raw!D1254)&amp;"|"&amp;LEN(IF(Raw!E1254="","",Raw!E1254))&amp;":"&amp;IF(Raw!E1254="","",Raw!E1254)&amp;"|"&amp;LEN(IF(Raw!F1254="","",Raw!F1254))&amp;":"&amp;IF(Raw!F1254="","",Raw!F1254)&amp;"|"&amp;LEN(IF(Raw!G1254="","",Raw!G1254))&amp;":"&amp;IF(Raw!G1254="","",Raw!G1254)</f>
        <v>6:L01248|6:T00624|10:2026-02-11|3:P-O|6:Office|4:sale|6:531.90</v>
      </c>
      <c r="Q1254" s="1">
        <f>1</f>
        <v>1</v>
      </c>
      <c r="R1254" s="1" t="b">
        <f>FALSE</f>
        <v>0</v>
      </c>
      <c r="S1254" s="1">
        <f>1</f>
        <v>1</v>
      </c>
      <c r="T1254" s="1" t="str">
        <f>IF(AND(Raw!A1254="",Raw!B1254="",Raw!C1254="",Raw!D1254="",Raw!E1254="",Raw!F1254="",Raw!G1254=""),"UNUSED",IF(A1254="","missing line ID",IF(B1254="","missing transaction ID",IF(G1254="",IF(C1254="","missing date","invalid date"),IF(I1254="","unknown product",IF(J1254="","conflicting category",IF(NOT(OR(EXACT(K1254,"sale"),EXACT(K1254,"refund"))),"unknown event",IF(OR(N1254="",NOT(O1254)),"invalid amount",IF(OR(AND(K1254="sale",N1254&lt;=0),AND(K1254="refund",N1254&gt;=0)),"invalid sign","")))))))))</f>
        <v/>
      </c>
      <c r="U1254" s="1" t="str">
        <f t="shared" si="157"/>
        <v>INCLUDED</v>
      </c>
      <c r="V1254" s="1" t="str">
        <f t="shared" si="158"/>
        <v>2026-02</v>
      </c>
      <c r="W1254" s="1">
        <f>IF(AND(U1254="INCLUDED",X1254&gt;0,EXACT(A1254,'AI output'!A1254)),1,0)</f>
        <v>1</v>
      </c>
      <c r="X1254" s="1">
        <f>1254</f>
        <v>1254</v>
      </c>
      <c r="Y1254" s="1">
        <f>IF(AND(U1254="INCLUDED",W1254=1),--(NOT(EXACT(A1254,'AI output'!A1254)))+--(NOT(EXACT(B1254,'AI output'!B1254)))+--(NOT(EXACT(TEXT(G1254,"yyyy-mm-dd"),'AI output'!C1254)))+--(NOT(EXACT(H1254,'AI output'!D1254)))+--(NOT(EXACT(J1254,'AI output'!E1254)))+--(NOT(EXACT(K1254,'AI output'!F1254)))+--(N1254&lt;&gt;'AI output'!L1254)+--(NOT('AI output'!M1254)),0)</f>
        <v>0</v>
      </c>
      <c r="Z1254" s="1">
        <f t="shared" si="159"/>
        <v>0</v>
      </c>
      <c r="AA1254" s="1">
        <f>--EXACT(A1254,"L01248")</f>
        <v>1</v>
      </c>
    </row>
    <row r="1255" spans="1:27" ht="18.95" customHeight="1">
      <c r="A1255" s="1" t="str">
        <f>IF(Raw!A1255="","",Raw!A1255)</f>
        <v>L01249</v>
      </c>
      <c r="B1255" s="1" t="str">
        <f>IF(Raw!B1255="","",Raw!B1255)</f>
        <v>T00625</v>
      </c>
      <c r="C1255" s="1" t="str">
        <f>IF(Raw!C1255="","",Raw!C1255)</f>
        <v>2026-02-18</v>
      </c>
      <c r="D1255" s="1">
        <f t="shared" si="152"/>
        <v>2026</v>
      </c>
      <c r="E1255" s="1">
        <f>IFERROR(IF(AND(LEN(C1255)=10,MID(C1255,5,1)="-",MID(C1255,8,1)="-"),VALUE(MID(C1255,6,2)),IF(AND(LEN(C1255)=11,MID(C1255,3,1)="-",MID(C1255,7,1)="-"),MATCH(UPPER(MID(C1255,4,3)),Guide!$D$7:$D$18,0),0)),0)</f>
        <v>2</v>
      </c>
      <c r="F1255" s="1">
        <f t="shared" si="153"/>
        <v>18</v>
      </c>
      <c r="G1255" s="9">
        <f t="shared" si="154"/>
        <v>46071</v>
      </c>
      <c r="H1255" s="1" t="str">
        <f>IF(Raw!D1255="","",Raw!D1255)</f>
        <v>P-A</v>
      </c>
      <c r="I1255" s="1" t="str">
        <f>IFERROR(IF(EXACT(H1255,INDEX(Guide!$A$7:$A$9,MATCH(SUBSTITUTE(SUBSTITUTE(SUBSTITUTE(H1255,"~","~~"),"*","~*"),"?","~?"),Guide!$A$7:$A$9,0))),INDEX(Guide!$B$7:$B$9,MATCH(SUBSTITUTE(SUBSTITUTE(SUBSTITUTE(H1255,"~","~~"),"*","~*"),"?","~?"),Guide!$A$7:$A$9,0)),""),"")</f>
        <v>Accessories</v>
      </c>
      <c r="J1255" s="1" t="str">
        <f>IF(TRIM(Raw!E1255)="",I1255,IF(UPPER(TRIM(Raw!E1255))=UPPER(I1255),I1255,""))</f>
        <v>Accessories</v>
      </c>
      <c r="K1255" s="1" t="str">
        <f>IF(Raw!F1255="","",Raw!F1255)</f>
        <v>sale</v>
      </c>
      <c r="L1255" s="1" t="str">
        <f>IF(LEFT(TRIM(Raw!G1255),2)="-$","-"&amp;MID(TRIM(Raw!G1255),3,99),IF(LEFT(TRIM(Raw!G1255),1)="$",MID(TRIM(Raw!G1255),2,99),TRIM(Raw!G1255)))</f>
        <v>213.50</v>
      </c>
      <c r="M1255" s="1">
        <f t="shared" si="155"/>
        <v>213.5</v>
      </c>
      <c r="N1255" s="10">
        <f t="shared" si="156"/>
        <v>21350</v>
      </c>
      <c r="O1255" s="1" t="b">
        <f>IFERROR(IF(ISNUMBER(Raw!G1255),TRUE,OR(EXACT(L1255,TEXT(M1255,"0.00")),EXACT(L1255,TEXT(M1255,"#,##0.00")))),FALSE)</f>
        <v>1</v>
      </c>
      <c r="P1255" s="1" t="str">
        <f>LEN(IF(Raw!A1255="","",Raw!A1255))&amp;":"&amp;IF(Raw!A1255="","",Raw!A1255)&amp;"|"&amp;LEN(IF(Raw!B1255="","",Raw!B1255))&amp;":"&amp;IF(Raw!B1255="","",Raw!B1255)&amp;"|"&amp;LEN(IF(Raw!C1255="","",Raw!C1255))&amp;":"&amp;IF(Raw!C1255="","",Raw!C1255)&amp;"|"&amp;LEN(IF(Raw!D1255="","",Raw!D1255))&amp;":"&amp;IF(Raw!D1255="","",Raw!D1255)&amp;"|"&amp;LEN(IF(Raw!E1255="","",Raw!E1255))&amp;":"&amp;IF(Raw!E1255="","",Raw!E1255)&amp;"|"&amp;LEN(IF(Raw!F1255="","",Raw!F1255))&amp;":"&amp;IF(Raw!F1255="","",Raw!F1255)&amp;"|"&amp;LEN(IF(Raw!G1255="","",Raw!G1255))&amp;":"&amp;IF(Raw!G1255="","",Raw!G1255)</f>
        <v>6:L01249|6:T00625|10:2026-02-18|3:P-A|11:Accessories|4:sale|6:213.50</v>
      </c>
      <c r="Q1255" s="1">
        <f>1</f>
        <v>1</v>
      </c>
      <c r="R1255" s="1" t="b">
        <f>FALSE</f>
        <v>0</v>
      </c>
      <c r="S1255" s="1">
        <f>1</f>
        <v>1</v>
      </c>
      <c r="T1255" s="1" t="str">
        <f>IF(AND(Raw!A1255="",Raw!B1255="",Raw!C1255="",Raw!D1255="",Raw!E1255="",Raw!F1255="",Raw!G1255=""),"UNUSED",IF(A1255="","missing line ID",IF(B1255="","missing transaction ID",IF(G1255="",IF(C1255="","missing date","invalid date"),IF(I1255="","unknown product",IF(J1255="","conflicting category",IF(NOT(OR(EXACT(K1255,"sale"),EXACT(K1255,"refund"))),"unknown event",IF(OR(N1255="",NOT(O1255)),"invalid amount",IF(OR(AND(K1255="sale",N1255&lt;=0),AND(K1255="refund",N1255&gt;=0)),"invalid sign","")))))))))</f>
        <v/>
      </c>
      <c r="U1255" s="1" t="str">
        <f t="shared" si="157"/>
        <v>INCLUDED</v>
      </c>
      <c r="V1255" s="1" t="str">
        <f t="shared" si="158"/>
        <v>2026-02</v>
      </c>
      <c r="W1255" s="1">
        <f>IF(AND(U1255="INCLUDED",X1255&gt;0,EXACT(A1255,'AI output'!A1255)),1,0)</f>
        <v>1</v>
      </c>
      <c r="X1255" s="1">
        <f>1255</f>
        <v>1255</v>
      </c>
      <c r="Y1255" s="1">
        <f>IF(AND(U1255="INCLUDED",W1255=1),--(NOT(EXACT(A1255,'AI output'!A1255)))+--(NOT(EXACT(B1255,'AI output'!B1255)))+--(NOT(EXACT(TEXT(G1255,"yyyy-mm-dd"),'AI output'!C1255)))+--(NOT(EXACT(H1255,'AI output'!D1255)))+--(NOT(EXACT(J1255,'AI output'!E1255)))+--(NOT(EXACT(K1255,'AI output'!F1255)))+--(N1255&lt;&gt;'AI output'!L1255)+--(NOT('AI output'!M1255)),0)</f>
        <v>0</v>
      </c>
      <c r="Z1255" s="1">
        <f t="shared" si="159"/>
        <v>0</v>
      </c>
      <c r="AA1255" s="1">
        <f>--EXACT(A1255,"L01249")</f>
        <v>1</v>
      </c>
    </row>
    <row r="1256" spans="1:27" ht="18.95" customHeight="1">
      <c r="A1256" s="1" t="str">
        <f>IF(Raw!A1256="","",Raw!A1256)</f>
        <v>L01250</v>
      </c>
      <c r="B1256" s="1" t="str">
        <f>IF(Raw!B1256="","",Raw!B1256)</f>
        <v>T00625</v>
      </c>
      <c r="C1256" s="1" t="str">
        <f>IF(Raw!C1256="","",Raw!C1256)</f>
        <v>2026-02-18</v>
      </c>
      <c r="D1256" s="1">
        <f t="shared" si="152"/>
        <v>2026</v>
      </c>
      <c r="E1256" s="1">
        <f>IFERROR(IF(AND(LEN(C1256)=10,MID(C1256,5,1)="-",MID(C1256,8,1)="-"),VALUE(MID(C1256,6,2)),IF(AND(LEN(C1256)=11,MID(C1256,3,1)="-",MID(C1256,7,1)="-"),MATCH(UPPER(MID(C1256,4,3)),Guide!$D$7:$D$18,0),0)),0)</f>
        <v>2</v>
      </c>
      <c r="F1256" s="1">
        <f t="shared" si="153"/>
        <v>18</v>
      </c>
      <c r="G1256" s="9">
        <f t="shared" si="154"/>
        <v>46071</v>
      </c>
      <c r="H1256" s="1" t="str">
        <f>IF(Raw!D1256="","",Raw!D1256)</f>
        <v>P-H</v>
      </c>
      <c r="I1256" s="1" t="str">
        <f>IFERROR(IF(EXACT(H1256,INDEX(Guide!$A$7:$A$9,MATCH(SUBSTITUTE(SUBSTITUTE(SUBSTITUTE(H1256,"~","~~"),"*","~*"),"?","~?"),Guide!$A$7:$A$9,0))),INDEX(Guide!$B$7:$B$9,MATCH(SUBSTITUTE(SUBSTITUTE(SUBSTITUTE(H1256,"~","~~"),"*","~*"),"?","~?"),Guide!$A$7:$A$9,0)),""),"")</f>
        <v>Home</v>
      </c>
      <c r="J1256" s="1" t="str">
        <f>IF(TRIM(Raw!E1256)="",I1256,IF(UPPER(TRIM(Raw!E1256))=UPPER(I1256),I1256,""))</f>
        <v>Home</v>
      </c>
      <c r="K1256" s="1" t="str">
        <f>IF(Raw!F1256="","",Raw!F1256)</f>
        <v>sale</v>
      </c>
      <c r="L1256" s="1" t="str">
        <f>IF(LEFT(TRIM(Raw!G1256),2)="-$","-"&amp;MID(TRIM(Raw!G1256),3,99),IF(LEFT(TRIM(Raw!G1256),1)="$",MID(TRIM(Raw!G1256),2,99),TRIM(Raw!G1256)))</f>
        <v>428.48</v>
      </c>
      <c r="M1256" s="1">
        <f t="shared" si="155"/>
        <v>428.48</v>
      </c>
      <c r="N1256" s="10">
        <f t="shared" si="156"/>
        <v>42848</v>
      </c>
      <c r="O1256" s="1" t="b">
        <f>IFERROR(IF(ISNUMBER(Raw!G1256),TRUE,OR(EXACT(L1256,TEXT(M1256,"0.00")),EXACT(L1256,TEXT(M1256,"#,##0.00")))),FALSE)</f>
        <v>1</v>
      </c>
      <c r="P1256" s="1" t="str">
        <f>LEN(IF(Raw!A1256="","",Raw!A1256))&amp;":"&amp;IF(Raw!A1256="","",Raw!A1256)&amp;"|"&amp;LEN(IF(Raw!B1256="","",Raw!B1256))&amp;":"&amp;IF(Raw!B1256="","",Raw!B1256)&amp;"|"&amp;LEN(IF(Raw!C1256="","",Raw!C1256))&amp;":"&amp;IF(Raw!C1256="","",Raw!C1256)&amp;"|"&amp;LEN(IF(Raw!D1256="","",Raw!D1256))&amp;":"&amp;IF(Raw!D1256="","",Raw!D1256)&amp;"|"&amp;LEN(IF(Raw!E1256="","",Raw!E1256))&amp;":"&amp;IF(Raw!E1256="","",Raw!E1256)&amp;"|"&amp;LEN(IF(Raw!F1256="","",Raw!F1256))&amp;":"&amp;IF(Raw!F1256="","",Raw!F1256)&amp;"|"&amp;LEN(IF(Raw!G1256="","",Raw!G1256))&amp;":"&amp;IF(Raw!G1256="","",Raw!G1256)</f>
        <v>6:L01250|6:T00625|10:2026-02-18|3:P-H|4:Home|4:sale|6:428.48</v>
      </c>
      <c r="Q1256" s="1">
        <f>1</f>
        <v>1</v>
      </c>
      <c r="R1256" s="1" t="b">
        <f>FALSE</f>
        <v>0</v>
      </c>
      <c r="S1256" s="1">
        <f>1</f>
        <v>1</v>
      </c>
      <c r="T1256" s="1" t="str">
        <f>IF(AND(Raw!A1256="",Raw!B1256="",Raw!C1256="",Raw!D1256="",Raw!E1256="",Raw!F1256="",Raw!G1256=""),"UNUSED",IF(A1256="","missing line ID",IF(B1256="","missing transaction ID",IF(G1256="",IF(C1256="","missing date","invalid date"),IF(I1256="","unknown product",IF(J1256="","conflicting category",IF(NOT(OR(EXACT(K1256,"sale"),EXACT(K1256,"refund"))),"unknown event",IF(OR(N1256="",NOT(O1256)),"invalid amount",IF(OR(AND(K1256="sale",N1256&lt;=0),AND(K1256="refund",N1256&gt;=0)),"invalid sign","")))))))))</f>
        <v/>
      </c>
      <c r="U1256" s="1" t="str">
        <f t="shared" si="157"/>
        <v>INCLUDED</v>
      </c>
      <c r="V1256" s="1" t="str">
        <f t="shared" si="158"/>
        <v>2026-02</v>
      </c>
      <c r="W1256" s="1">
        <f>IF(AND(U1256="INCLUDED",X1256&gt;0,EXACT(A1256,'AI output'!A1256)),1,0)</f>
        <v>1</v>
      </c>
      <c r="X1256" s="1">
        <f>1256</f>
        <v>1256</v>
      </c>
      <c r="Y1256" s="1">
        <f>IF(AND(U1256="INCLUDED",W1256=1),--(NOT(EXACT(A1256,'AI output'!A1256)))+--(NOT(EXACT(B1256,'AI output'!B1256)))+--(NOT(EXACT(TEXT(G1256,"yyyy-mm-dd"),'AI output'!C1256)))+--(NOT(EXACT(H1256,'AI output'!D1256)))+--(NOT(EXACT(J1256,'AI output'!E1256)))+--(NOT(EXACT(K1256,'AI output'!F1256)))+--(N1256&lt;&gt;'AI output'!L1256)+--(NOT('AI output'!M1256)),0)</f>
        <v>0</v>
      </c>
      <c r="Z1256" s="1">
        <f t="shared" si="159"/>
        <v>0</v>
      </c>
      <c r="AA1256" s="1">
        <f>--EXACT(A1256,"L01250")</f>
        <v>1</v>
      </c>
    </row>
    <row r="1257" spans="1:27" ht="18.95" customHeight="1">
      <c r="A1257" s="1" t="str">
        <f>IF(Raw!A1257="","",Raw!A1257)</f>
        <v>L01251</v>
      </c>
      <c r="B1257" s="1" t="str">
        <f>IF(Raw!B1257="","",Raw!B1257)</f>
        <v>T00626</v>
      </c>
      <c r="C1257" s="1" t="str">
        <f>IF(Raw!C1257="","",Raw!C1257)</f>
        <v>2026-02-25</v>
      </c>
      <c r="D1257" s="1">
        <f t="shared" si="152"/>
        <v>2026</v>
      </c>
      <c r="E1257" s="1">
        <f>IFERROR(IF(AND(LEN(C1257)=10,MID(C1257,5,1)="-",MID(C1257,8,1)="-"),VALUE(MID(C1257,6,2)),IF(AND(LEN(C1257)=11,MID(C1257,3,1)="-",MID(C1257,7,1)="-"),MATCH(UPPER(MID(C1257,4,3)),Guide!$D$7:$D$18,0),0)),0)</f>
        <v>2</v>
      </c>
      <c r="F1257" s="1">
        <f t="shared" si="153"/>
        <v>25</v>
      </c>
      <c r="G1257" s="9">
        <f t="shared" si="154"/>
        <v>46078</v>
      </c>
      <c r="H1257" s="1" t="str">
        <f>IF(Raw!D1257="","",Raw!D1257)</f>
        <v>P-O</v>
      </c>
      <c r="I1257" s="1" t="str">
        <f>IFERROR(IF(EXACT(H1257,INDEX(Guide!$A$7:$A$9,MATCH(SUBSTITUTE(SUBSTITUTE(SUBSTITUTE(H1257,"~","~~"),"*","~*"),"?","~?"),Guide!$A$7:$A$9,0))),INDEX(Guide!$B$7:$B$9,MATCH(SUBSTITUTE(SUBSTITUTE(SUBSTITUTE(H1257,"~","~~"),"*","~*"),"?","~?"),Guide!$A$7:$A$9,0)),""),"")</f>
        <v>Office</v>
      </c>
      <c r="J1257" s="1" t="str">
        <f>IF(TRIM(Raw!E1257)="",I1257,IF(UPPER(TRIM(Raw!E1257))=UPPER(I1257),I1257,""))</f>
        <v>Office</v>
      </c>
      <c r="K1257" s="1" t="str">
        <f>IF(Raw!F1257="","",Raw!F1257)</f>
        <v>sale</v>
      </c>
      <c r="L1257" s="1" t="str">
        <f>IF(LEFT(TRIM(Raw!G1257),2)="-$","-"&amp;MID(TRIM(Raw!G1257),3,99),IF(LEFT(TRIM(Raw!G1257),1)="$",MID(TRIM(Raw!G1257),2,99),TRIM(Raw!G1257)))</f>
        <v>107.49</v>
      </c>
      <c r="M1257" s="1">
        <f t="shared" si="155"/>
        <v>107.49</v>
      </c>
      <c r="N1257" s="10">
        <f t="shared" si="156"/>
        <v>10749</v>
      </c>
      <c r="O1257" s="1" t="b">
        <f>IFERROR(IF(ISNUMBER(Raw!G1257),TRUE,OR(EXACT(L1257,TEXT(M1257,"0.00")),EXACT(L1257,TEXT(M1257,"#,##0.00")))),FALSE)</f>
        <v>1</v>
      </c>
      <c r="P1257" s="1" t="str">
        <f>LEN(IF(Raw!A1257="","",Raw!A1257))&amp;":"&amp;IF(Raw!A1257="","",Raw!A1257)&amp;"|"&amp;LEN(IF(Raw!B1257="","",Raw!B1257))&amp;":"&amp;IF(Raw!B1257="","",Raw!B1257)&amp;"|"&amp;LEN(IF(Raw!C1257="","",Raw!C1257))&amp;":"&amp;IF(Raw!C1257="","",Raw!C1257)&amp;"|"&amp;LEN(IF(Raw!D1257="","",Raw!D1257))&amp;":"&amp;IF(Raw!D1257="","",Raw!D1257)&amp;"|"&amp;LEN(IF(Raw!E1257="","",Raw!E1257))&amp;":"&amp;IF(Raw!E1257="","",Raw!E1257)&amp;"|"&amp;LEN(IF(Raw!F1257="","",Raw!F1257))&amp;":"&amp;IF(Raw!F1257="","",Raw!F1257)&amp;"|"&amp;LEN(IF(Raw!G1257="","",Raw!G1257))&amp;":"&amp;IF(Raw!G1257="","",Raw!G1257)</f>
        <v>6:L01251|6:T00626|10:2026-02-25|3:P-O|6:Office|4:sale|6:107.49</v>
      </c>
      <c r="Q1257" s="1">
        <f>1</f>
        <v>1</v>
      </c>
      <c r="R1257" s="1" t="b">
        <f>FALSE</f>
        <v>0</v>
      </c>
      <c r="S1257" s="1">
        <f>1</f>
        <v>1</v>
      </c>
      <c r="T1257" s="1" t="str">
        <f>IF(AND(Raw!A1257="",Raw!B1257="",Raw!C1257="",Raw!D1257="",Raw!E1257="",Raw!F1257="",Raw!G1257=""),"UNUSED",IF(A1257="","missing line ID",IF(B1257="","missing transaction ID",IF(G1257="",IF(C1257="","missing date","invalid date"),IF(I1257="","unknown product",IF(J1257="","conflicting category",IF(NOT(OR(EXACT(K1257,"sale"),EXACT(K1257,"refund"))),"unknown event",IF(OR(N1257="",NOT(O1257)),"invalid amount",IF(OR(AND(K1257="sale",N1257&lt;=0),AND(K1257="refund",N1257&gt;=0)),"invalid sign","")))))))))</f>
        <v/>
      </c>
      <c r="U1257" s="1" t="str">
        <f t="shared" si="157"/>
        <v>INCLUDED</v>
      </c>
      <c r="V1257" s="1" t="str">
        <f t="shared" si="158"/>
        <v>2026-02</v>
      </c>
      <c r="W1257" s="1">
        <f>IF(AND(U1257="INCLUDED",X1257&gt;0,EXACT(A1257,'AI output'!A1257)),1,0)</f>
        <v>1</v>
      </c>
      <c r="X1257" s="1">
        <f>1257</f>
        <v>1257</v>
      </c>
      <c r="Y1257" s="1">
        <f>IF(AND(U1257="INCLUDED",W1257=1),--(NOT(EXACT(A1257,'AI output'!A1257)))+--(NOT(EXACT(B1257,'AI output'!B1257)))+--(NOT(EXACT(TEXT(G1257,"yyyy-mm-dd"),'AI output'!C1257)))+--(NOT(EXACT(H1257,'AI output'!D1257)))+--(NOT(EXACT(J1257,'AI output'!E1257)))+--(NOT(EXACT(K1257,'AI output'!F1257)))+--(N1257&lt;&gt;'AI output'!L1257)+--(NOT('AI output'!M1257)),0)</f>
        <v>0</v>
      </c>
      <c r="Z1257" s="1">
        <f t="shared" si="159"/>
        <v>0</v>
      </c>
      <c r="AA1257" s="1">
        <f>--EXACT(A1257,"L01251")</f>
        <v>1</v>
      </c>
    </row>
    <row r="1258" spans="1:27" ht="18.95" customHeight="1">
      <c r="A1258" s="1" t="str">
        <f>IF(Raw!A1258="","",Raw!A1258)</f>
        <v>L01252</v>
      </c>
      <c r="B1258" s="1" t="str">
        <f>IF(Raw!B1258="","",Raw!B1258)</f>
        <v>T00626</v>
      </c>
      <c r="C1258" s="1" t="str">
        <f>IF(Raw!C1258="","",Raw!C1258)</f>
        <v>2026-02-25</v>
      </c>
      <c r="D1258" s="1">
        <f t="shared" si="152"/>
        <v>2026</v>
      </c>
      <c r="E1258" s="1">
        <f>IFERROR(IF(AND(LEN(C1258)=10,MID(C1258,5,1)="-",MID(C1258,8,1)="-"),VALUE(MID(C1258,6,2)),IF(AND(LEN(C1258)=11,MID(C1258,3,1)="-",MID(C1258,7,1)="-"),MATCH(UPPER(MID(C1258,4,3)),Guide!$D$7:$D$18,0),0)),0)</f>
        <v>2</v>
      </c>
      <c r="F1258" s="1">
        <f t="shared" si="153"/>
        <v>25</v>
      </c>
      <c r="G1258" s="9">
        <f t="shared" si="154"/>
        <v>46078</v>
      </c>
      <c r="H1258" s="1" t="str">
        <f>IF(Raw!D1258="","",Raw!D1258)</f>
        <v>P-A</v>
      </c>
      <c r="I1258" s="1" t="str">
        <f>IFERROR(IF(EXACT(H1258,INDEX(Guide!$A$7:$A$9,MATCH(SUBSTITUTE(SUBSTITUTE(SUBSTITUTE(H1258,"~","~~"),"*","~*"),"?","~?"),Guide!$A$7:$A$9,0))),INDEX(Guide!$B$7:$B$9,MATCH(SUBSTITUTE(SUBSTITUTE(SUBSTITUTE(H1258,"~","~~"),"*","~*"),"?","~?"),Guide!$A$7:$A$9,0)),""),"")</f>
        <v>Accessories</v>
      </c>
      <c r="J1258" s="1" t="str">
        <f>IF(TRIM(Raw!E1258)="",I1258,IF(UPPER(TRIM(Raw!E1258))=UPPER(I1258),I1258,""))</f>
        <v>Accessories</v>
      </c>
      <c r="K1258" s="1" t="str">
        <f>IF(Raw!F1258="","",Raw!F1258)</f>
        <v>sale</v>
      </c>
      <c r="L1258" s="1" t="str">
        <f>IF(LEFT(TRIM(Raw!G1258),2)="-$","-"&amp;MID(TRIM(Raw!G1258),3,99),IF(LEFT(TRIM(Raw!G1258),1)="$",MID(TRIM(Raw!G1258),2,99),TRIM(Raw!G1258)))</f>
        <v>323.58</v>
      </c>
      <c r="M1258" s="1">
        <f t="shared" si="155"/>
        <v>323.58</v>
      </c>
      <c r="N1258" s="10">
        <f t="shared" si="156"/>
        <v>32358</v>
      </c>
      <c r="O1258" s="1" t="b">
        <f>IFERROR(IF(ISNUMBER(Raw!G1258),TRUE,OR(EXACT(L1258,TEXT(M1258,"0.00")),EXACT(L1258,TEXT(M1258,"#,##0.00")))),FALSE)</f>
        <v>1</v>
      </c>
      <c r="P1258" s="1" t="str">
        <f>LEN(IF(Raw!A1258="","",Raw!A1258))&amp;":"&amp;IF(Raw!A1258="","",Raw!A1258)&amp;"|"&amp;LEN(IF(Raw!B1258="","",Raw!B1258))&amp;":"&amp;IF(Raw!B1258="","",Raw!B1258)&amp;"|"&amp;LEN(IF(Raw!C1258="","",Raw!C1258))&amp;":"&amp;IF(Raw!C1258="","",Raw!C1258)&amp;"|"&amp;LEN(IF(Raw!D1258="","",Raw!D1258))&amp;":"&amp;IF(Raw!D1258="","",Raw!D1258)&amp;"|"&amp;LEN(IF(Raw!E1258="","",Raw!E1258))&amp;":"&amp;IF(Raw!E1258="","",Raw!E1258)&amp;"|"&amp;LEN(IF(Raw!F1258="","",Raw!F1258))&amp;":"&amp;IF(Raw!F1258="","",Raw!F1258)&amp;"|"&amp;LEN(IF(Raw!G1258="","",Raw!G1258))&amp;":"&amp;IF(Raw!G1258="","",Raw!G1258)</f>
        <v>6:L01252|6:T00626|10:2026-02-25|3:P-A|11:Accessories|4:sale|6:323.58</v>
      </c>
      <c r="Q1258" s="1">
        <f>1</f>
        <v>1</v>
      </c>
      <c r="R1258" s="1" t="b">
        <f>FALSE</f>
        <v>0</v>
      </c>
      <c r="S1258" s="1">
        <f>1</f>
        <v>1</v>
      </c>
      <c r="T1258" s="1" t="str">
        <f>IF(AND(Raw!A1258="",Raw!B1258="",Raw!C1258="",Raw!D1258="",Raw!E1258="",Raw!F1258="",Raw!G1258=""),"UNUSED",IF(A1258="","missing line ID",IF(B1258="","missing transaction ID",IF(G1258="",IF(C1258="","missing date","invalid date"),IF(I1258="","unknown product",IF(J1258="","conflicting category",IF(NOT(OR(EXACT(K1258,"sale"),EXACT(K1258,"refund"))),"unknown event",IF(OR(N1258="",NOT(O1258)),"invalid amount",IF(OR(AND(K1258="sale",N1258&lt;=0),AND(K1258="refund",N1258&gt;=0)),"invalid sign","")))))))))</f>
        <v/>
      </c>
      <c r="U1258" s="1" t="str">
        <f t="shared" si="157"/>
        <v>INCLUDED</v>
      </c>
      <c r="V1258" s="1" t="str">
        <f t="shared" si="158"/>
        <v>2026-02</v>
      </c>
      <c r="W1258" s="1">
        <f>IF(AND(U1258="INCLUDED",X1258&gt;0,EXACT(A1258,'AI output'!A1258)),1,0)</f>
        <v>1</v>
      </c>
      <c r="X1258" s="1">
        <f>1258</f>
        <v>1258</v>
      </c>
      <c r="Y1258" s="1">
        <f>IF(AND(U1258="INCLUDED",W1258=1),--(NOT(EXACT(A1258,'AI output'!A1258)))+--(NOT(EXACT(B1258,'AI output'!B1258)))+--(NOT(EXACT(TEXT(G1258,"yyyy-mm-dd"),'AI output'!C1258)))+--(NOT(EXACT(H1258,'AI output'!D1258)))+--(NOT(EXACT(J1258,'AI output'!E1258)))+--(NOT(EXACT(K1258,'AI output'!F1258)))+--(N1258&lt;&gt;'AI output'!L1258)+--(NOT('AI output'!M1258)),0)</f>
        <v>0</v>
      </c>
      <c r="Z1258" s="1">
        <f t="shared" si="159"/>
        <v>0</v>
      </c>
      <c r="AA1258" s="1">
        <f>--EXACT(A1258,"L01252")</f>
        <v>1</v>
      </c>
    </row>
    <row r="1259" spans="1:27" ht="18.95" customHeight="1">
      <c r="A1259" s="1" t="str">
        <f>IF(Raw!A1259="","",Raw!A1259)</f>
        <v>L01253</v>
      </c>
      <c r="B1259" s="1" t="str">
        <f>IF(Raw!B1259="","",Raw!B1259)</f>
        <v>T00627</v>
      </c>
      <c r="C1259" s="1" t="str">
        <f>IF(Raw!C1259="","",Raw!C1259)</f>
        <v>2026-03-04</v>
      </c>
      <c r="D1259" s="1">
        <f t="shared" si="152"/>
        <v>2026</v>
      </c>
      <c r="E1259" s="1">
        <f>IFERROR(IF(AND(LEN(C1259)=10,MID(C1259,5,1)="-",MID(C1259,8,1)="-"),VALUE(MID(C1259,6,2)),IF(AND(LEN(C1259)=11,MID(C1259,3,1)="-",MID(C1259,7,1)="-"),MATCH(UPPER(MID(C1259,4,3)),Guide!$D$7:$D$18,0),0)),0)</f>
        <v>3</v>
      </c>
      <c r="F1259" s="1">
        <f t="shared" si="153"/>
        <v>4</v>
      </c>
      <c r="G1259" s="9">
        <f t="shared" si="154"/>
        <v>46085</v>
      </c>
      <c r="H1259" s="1" t="str">
        <f>IF(Raw!D1259="","",Raw!D1259)</f>
        <v>P-H</v>
      </c>
      <c r="I1259" s="1" t="str">
        <f>IFERROR(IF(EXACT(H1259,INDEX(Guide!$A$7:$A$9,MATCH(SUBSTITUTE(SUBSTITUTE(SUBSTITUTE(H1259,"~","~~"),"*","~*"),"?","~?"),Guide!$A$7:$A$9,0))),INDEX(Guide!$B$7:$B$9,MATCH(SUBSTITUTE(SUBSTITUTE(SUBSTITUTE(H1259,"~","~~"),"*","~*"),"?","~?"),Guide!$A$7:$A$9,0)),""),"")</f>
        <v>Home</v>
      </c>
      <c r="J1259" s="1" t="str">
        <f>IF(TRIM(Raw!E1259)="",I1259,IF(UPPER(TRIM(Raw!E1259))=UPPER(I1259),I1259,""))</f>
        <v>Home</v>
      </c>
      <c r="K1259" s="1" t="str">
        <f>IF(Raw!F1259="","",Raw!F1259)</f>
        <v>sale</v>
      </c>
      <c r="L1259" s="1" t="str">
        <f>IF(LEFT(TRIM(Raw!G1259),2)="-$","-"&amp;MID(TRIM(Raw!G1259),3,99),IF(LEFT(TRIM(Raw!G1259),1)="$",MID(TRIM(Raw!G1259),2,99),TRIM(Raw!G1259)))</f>
        <v>541.15</v>
      </c>
      <c r="M1259" s="1">
        <f t="shared" si="155"/>
        <v>541.15</v>
      </c>
      <c r="N1259" s="10">
        <f t="shared" si="156"/>
        <v>54115</v>
      </c>
      <c r="O1259" s="1" t="b">
        <f>IFERROR(IF(ISNUMBER(Raw!G1259),TRUE,OR(EXACT(L1259,TEXT(M1259,"0.00")),EXACT(L1259,TEXT(M1259,"#,##0.00")))),FALSE)</f>
        <v>1</v>
      </c>
      <c r="P1259" s="1" t="str">
        <f>LEN(IF(Raw!A1259="","",Raw!A1259))&amp;":"&amp;IF(Raw!A1259="","",Raw!A1259)&amp;"|"&amp;LEN(IF(Raw!B1259="","",Raw!B1259))&amp;":"&amp;IF(Raw!B1259="","",Raw!B1259)&amp;"|"&amp;LEN(IF(Raw!C1259="","",Raw!C1259))&amp;":"&amp;IF(Raw!C1259="","",Raw!C1259)&amp;"|"&amp;LEN(IF(Raw!D1259="","",Raw!D1259))&amp;":"&amp;IF(Raw!D1259="","",Raw!D1259)&amp;"|"&amp;LEN(IF(Raw!E1259="","",Raw!E1259))&amp;":"&amp;IF(Raw!E1259="","",Raw!E1259)&amp;"|"&amp;LEN(IF(Raw!F1259="","",Raw!F1259))&amp;":"&amp;IF(Raw!F1259="","",Raw!F1259)&amp;"|"&amp;LEN(IF(Raw!G1259="","",Raw!G1259))&amp;":"&amp;IF(Raw!G1259="","",Raw!G1259)</f>
        <v>6:L01253|6:T00627|10:2026-03-04|3:P-H|4:Home|4:sale|6:541.15</v>
      </c>
      <c r="Q1259" s="1">
        <f>1</f>
        <v>1</v>
      </c>
      <c r="R1259" s="1" t="b">
        <f>FALSE</f>
        <v>0</v>
      </c>
      <c r="S1259" s="1">
        <f>1</f>
        <v>1</v>
      </c>
      <c r="T1259" s="1" t="str">
        <f>IF(AND(Raw!A1259="",Raw!B1259="",Raw!C1259="",Raw!D1259="",Raw!E1259="",Raw!F1259="",Raw!G1259=""),"UNUSED",IF(A1259="","missing line ID",IF(B1259="","missing transaction ID",IF(G1259="",IF(C1259="","missing date","invalid date"),IF(I1259="","unknown product",IF(J1259="","conflicting category",IF(NOT(OR(EXACT(K1259,"sale"),EXACT(K1259,"refund"))),"unknown event",IF(OR(N1259="",NOT(O1259)),"invalid amount",IF(OR(AND(K1259="sale",N1259&lt;=0),AND(K1259="refund",N1259&gt;=0)),"invalid sign","")))))))))</f>
        <v/>
      </c>
      <c r="U1259" s="1" t="str">
        <f t="shared" si="157"/>
        <v>INCLUDED</v>
      </c>
      <c r="V1259" s="1" t="str">
        <f t="shared" si="158"/>
        <v>2026-03</v>
      </c>
      <c r="W1259" s="1">
        <f>IF(AND(U1259="INCLUDED",X1259&gt;0,EXACT(A1259,'AI output'!A1259)),1,0)</f>
        <v>1</v>
      </c>
      <c r="X1259" s="1">
        <f>1259</f>
        <v>1259</v>
      </c>
      <c r="Y1259" s="1">
        <f>IF(AND(U1259="INCLUDED",W1259=1),--(NOT(EXACT(A1259,'AI output'!A1259)))+--(NOT(EXACT(B1259,'AI output'!B1259)))+--(NOT(EXACT(TEXT(G1259,"yyyy-mm-dd"),'AI output'!C1259)))+--(NOT(EXACT(H1259,'AI output'!D1259)))+--(NOT(EXACT(J1259,'AI output'!E1259)))+--(NOT(EXACT(K1259,'AI output'!F1259)))+--(N1259&lt;&gt;'AI output'!L1259)+--(NOT('AI output'!M1259)),0)</f>
        <v>0</v>
      </c>
      <c r="Z1259" s="1">
        <f t="shared" si="159"/>
        <v>0</v>
      </c>
      <c r="AA1259" s="1">
        <f>--EXACT(A1259,"L01253")</f>
        <v>1</v>
      </c>
    </row>
    <row r="1260" spans="1:27" ht="18.95" customHeight="1">
      <c r="A1260" s="1" t="str">
        <f>IF(Raw!A1260="","",Raw!A1260)</f>
        <v>L01254</v>
      </c>
      <c r="B1260" s="1" t="str">
        <f>IF(Raw!B1260="","",Raw!B1260)</f>
        <v>T00627</v>
      </c>
      <c r="C1260" s="1" t="str">
        <f>IF(Raw!C1260="","",Raw!C1260)</f>
        <v>2026-03-04</v>
      </c>
      <c r="D1260" s="1">
        <f t="shared" si="152"/>
        <v>2026</v>
      </c>
      <c r="E1260" s="1">
        <f>IFERROR(IF(AND(LEN(C1260)=10,MID(C1260,5,1)="-",MID(C1260,8,1)="-"),VALUE(MID(C1260,6,2)),IF(AND(LEN(C1260)=11,MID(C1260,3,1)="-",MID(C1260,7,1)="-"),MATCH(UPPER(MID(C1260,4,3)),Guide!$D$7:$D$18,0),0)),0)</f>
        <v>3</v>
      </c>
      <c r="F1260" s="1">
        <f t="shared" si="153"/>
        <v>4</v>
      </c>
      <c r="G1260" s="9">
        <f t="shared" si="154"/>
        <v>46085</v>
      </c>
      <c r="H1260" s="1" t="str">
        <f>IF(Raw!D1260="","",Raw!D1260)</f>
        <v>P-O</v>
      </c>
      <c r="I1260" s="1" t="str">
        <f>IFERROR(IF(EXACT(H1260,INDEX(Guide!$A$7:$A$9,MATCH(SUBSTITUTE(SUBSTITUTE(SUBSTITUTE(H1260,"~","~~"),"*","~*"),"?","~?"),Guide!$A$7:$A$9,0))),INDEX(Guide!$B$7:$B$9,MATCH(SUBSTITUTE(SUBSTITUTE(SUBSTITUTE(H1260,"~","~~"),"*","~*"),"?","~?"),Guide!$A$7:$A$9,0)),""),"")</f>
        <v>Office</v>
      </c>
      <c r="J1260" s="1" t="str">
        <f>IF(TRIM(Raw!E1260)="",I1260,IF(UPPER(TRIM(Raw!E1260))=UPPER(I1260),I1260,""))</f>
        <v>Office</v>
      </c>
      <c r="K1260" s="1" t="str">
        <f>IF(Raw!F1260="","",Raw!F1260)</f>
        <v>sale</v>
      </c>
      <c r="L1260" s="1" t="str">
        <f>IF(LEFT(TRIM(Raw!G1260),2)="-$","-"&amp;MID(TRIM(Raw!G1260),3,99),IF(LEFT(TRIM(Raw!G1260),1)="$",MID(TRIM(Raw!G1260),2,99),TRIM(Raw!G1260)))</f>
        <v>217.20</v>
      </c>
      <c r="M1260" s="1">
        <f t="shared" si="155"/>
        <v>217.2</v>
      </c>
      <c r="N1260" s="10">
        <f t="shared" si="156"/>
        <v>21720</v>
      </c>
      <c r="O1260" s="1" t="b">
        <f>IFERROR(IF(ISNUMBER(Raw!G1260),TRUE,OR(EXACT(L1260,TEXT(M1260,"0.00")),EXACT(L1260,TEXT(M1260,"#,##0.00")))),FALSE)</f>
        <v>1</v>
      </c>
      <c r="P1260" s="1" t="str">
        <f>LEN(IF(Raw!A1260="","",Raw!A1260))&amp;":"&amp;IF(Raw!A1260="","",Raw!A1260)&amp;"|"&amp;LEN(IF(Raw!B1260="","",Raw!B1260))&amp;":"&amp;IF(Raw!B1260="","",Raw!B1260)&amp;"|"&amp;LEN(IF(Raw!C1260="","",Raw!C1260))&amp;":"&amp;IF(Raw!C1260="","",Raw!C1260)&amp;"|"&amp;LEN(IF(Raw!D1260="","",Raw!D1260))&amp;":"&amp;IF(Raw!D1260="","",Raw!D1260)&amp;"|"&amp;LEN(IF(Raw!E1260="","",Raw!E1260))&amp;":"&amp;IF(Raw!E1260="","",Raw!E1260)&amp;"|"&amp;LEN(IF(Raw!F1260="","",Raw!F1260))&amp;":"&amp;IF(Raw!F1260="","",Raw!F1260)&amp;"|"&amp;LEN(IF(Raw!G1260="","",Raw!G1260))&amp;":"&amp;IF(Raw!G1260="","",Raw!G1260)</f>
        <v>6:L01254|6:T00627|10:2026-03-04|3:P-O|6:Office|4:sale|6:217.20</v>
      </c>
      <c r="Q1260" s="1">
        <f>1</f>
        <v>1</v>
      </c>
      <c r="R1260" s="1" t="b">
        <f>FALSE</f>
        <v>0</v>
      </c>
      <c r="S1260" s="1">
        <f>1</f>
        <v>1</v>
      </c>
      <c r="T1260" s="1" t="str">
        <f>IF(AND(Raw!A1260="",Raw!B1260="",Raw!C1260="",Raw!D1260="",Raw!E1260="",Raw!F1260="",Raw!G1260=""),"UNUSED",IF(A1260="","missing line ID",IF(B1260="","missing transaction ID",IF(G1260="",IF(C1260="","missing date","invalid date"),IF(I1260="","unknown product",IF(J1260="","conflicting category",IF(NOT(OR(EXACT(K1260,"sale"),EXACT(K1260,"refund"))),"unknown event",IF(OR(N1260="",NOT(O1260)),"invalid amount",IF(OR(AND(K1260="sale",N1260&lt;=0),AND(K1260="refund",N1260&gt;=0)),"invalid sign","")))))))))</f>
        <v/>
      </c>
      <c r="U1260" s="1" t="str">
        <f t="shared" si="157"/>
        <v>INCLUDED</v>
      </c>
      <c r="V1260" s="1" t="str">
        <f t="shared" si="158"/>
        <v>2026-03</v>
      </c>
      <c r="W1260" s="1">
        <f>IF(AND(U1260="INCLUDED",X1260&gt;0,EXACT(A1260,'AI output'!A1260)),1,0)</f>
        <v>1</v>
      </c>
      <c r="X1260" s="1">
        <f>1260</f>
        <v>1260</v>
      </c>
      <c r="Y1260" s="1">
        <f>IF(AND(U1260="INCLUDED",W1260=1),--(NOT(EXACT(A1260,'AI output'!A1260)))+--(NOT(EXACT(B1260,'AI output'!B1260)))+--(NOT(EXACT(TEXT(G1260,"yyyy-mm-dd"),'AI output'!C1260)))+--(NOT(EXACT(H1260,'AI output'!D1260)))+--(NOT(EXACT(J1260,'AI output'!E1260)))+--(NOT(EXACT(K1260,'AI output'!F1260)))+--(N1260&lt;&gt;'AI output'!L1260)+--(NOT('AI output'!M1260)),0)</f>
        <v>0</v>
      </c>
      <c r="Z1260" s="1">
        <f t="shared" si="159"/>
        <v>0</v>
      </c>
      <c r="AA1260" s="1">
        <f>--EXACT(A1260,"L01254")</f>
        <v>1</v>
      </c>
    </row>
    <row r="1261" spans="1:27" ht="18.95" customHeight="1">
      <c r="A1261" s="1" t="str">
        <f>IF(Raw!A1261="","",Raw!A1261)</f>
        <v>L01255</v>
      </c>
      <c r="B1261" s="1" t="str">
        <f>IF(Raw!B1261="","",Raw!B1261)</f>
        <v>T00628</v>
      </c>
      <c r="C1261" s="1" t="str">
        <f>IF(Raw!C1261="","",Raw!C1261)</f>
        <v>2026-03-11</v>
      </c>
      <c r="D1261" s="1">
        <f t="shared" si="152"/>
        <v>2026</v>
      </c>
      <c r="E1261" s="1">
        <f>IFERROR(IF(AND(LEN(C1261)=10,MID(C1261,5,1)="-",MID(C1261,8,1)="-"),VALUE(MID(C1261,6,2)),IF(AND(LEN(C1261)=11,MID(C1261,3,1)="-",MID(C1261,7,1)="-"),MATCH(UPPER(MID(C1261,4,3)),Guide!$D$7:$D$18,0),0)),0)</f>
        <v>3</v>
      </c>
      <c r="F1261" s="1">
        <f t="shared" si="153"/>
        <v>11</v>
      </c>
      <c r="G1261" s="9">
        <f t="shared" si="154"/>
        <v>46092</v>
      </c>
      <c r="H1261" s="1" t="str">
        <f>IF(Raw!D1261="","",Raw!D1261)</f>
        <v>P-A</v>
      </c>
      <c r="I1261" s="1" t="str">
        <f>IFERROR(IF(EXACT(H1261,INDEX(Guide!$A$7:$A$9,MATCH(SUBSTITUTE(SUBSTITUTE(SUBSTITUTE(H1261,"~","~~"),"*","~*"),"?","~?"),Guide!$A$7:$A$9,0))),INDEX(Guide!$B$7:$B$9,MATCH(SUBSTITUTE(SUBSTITUTE(SUBSTITUTE(H1261,"~","~~"),"*","~*"),"?","~?"),Guide!$A$7:$A$9,0)),""),"")</f>
        <v>Accessories</v>
      </c>
      <c r="J1261" s="1" t="str">
        <f>IF(TRIM(Raw!E1261)="",I1261,IF(UPPER(TRIM(Raw!E1261))=UPPER(I1261),I1261,""))</f>
        <v>Accessories</v>
      </c>
      <c r="K1261" s="1" t="str">
        <f>IF(Raw!F1261="","",Raw!F1261)</f>
        <v>sale</v>
      </c>
      <c r="L1261" s="1" t="str">
        <f>IF(LEFT(TRIM(Raw!G1261),2)="-$","-"&amp;MID(TRIM(Raw!G1261),3,99),IF(LEFT(TRIM(Raw!G1261),1)="$",MID(TRIM(Raw!G1261),2,99),TRIM(Raw!G1261)))</f>
        <v>435.88</v>
      </c>
      <c r="M1261" s="1">
        <f t="shared" si="155"/>
        <v>435.88</v>
      </c>
      <c r="N1261" s="10">
        <f t="shared" si="156"/>
        <v>43588</v>
      </c>
      <c r="O1261" s="1" t="b">
        <f>IFERROR(IF(ISNUMBER(Raw!G1261),TRUE,OR(EXACT(L1261,TEXT(M1261,"0.00")),EXACT(L1261,TEXT(M1261,"#,##0.00")))),FALSE)</f>
        <v>1</v>
      </c>
      <c r="P1261" s="1" t="str">
        <f>LEN(IF(Raw!A1261="","",Raw!A1261))&amp;":"&amp;IF(Raw!A1261="","",Raw!A1261)&amp;"|"&amp;LEN(IF(Raw!B1261="","",Raw!B1261))&amp;":"&amp;IF(Raw!B1261="","",Raw!B1261)&amp;"|"&amp;LEN(IF(Raw!C1261="","",Raw!C1261))&amp;":"&amp;IF(Raw!C1261="","",Raw!C1261)&amp;"|"&amp;LEN(IF(Raw!D1261="","",Raw!D1261))&amp;":"&amp;IF(Raw!D1261="","",Raw!D1261)&amp;"|"&amp;LEN(IF(Raw!E1261="","",Raw!E1261))&amp;":"&amp;IF(Raw!E1261="","",Raw!E1261)&amp;"|"&amp;LEN(IF(Raw!F1261="","",Raw!F1261))&amp;":"&amp;IF(Raw!F1261="","",Raw!F1261)&amp;"|"&amp;LEN(IF(Raw!G1261="","",Raw!G1261))&amp;":"&amp;IF(Raw!G1261="","",Raw!G1261)</f>
        <v>6:L01255|6:T00628|10:2026-03-11|3:P-A|11:Accessories|4:sale|6:435.88</v>
      </c>
      <c r="Q1261" s="1">
        <f>1</f>
        <v>1</v>
      </c>
      <c r="R1261" s="1" t="b">
        <f>FALSE</f>
        <v>0</v>
      </c>
      <c r="S1261" s="1">
        <f>1</f>
        <v>1</v>
      </c>
      <c r="T1261" s="1" t="str">
        <f>IF(AND(Raw!A1261="",Raw!B1261="",Raw!C1261="",Raw!D1261="",Raw!E1261="",Raw!F1261="",Raw!G1261=""),"UNUSED",IF(A1261="","missing line ID",IF(B1261="","missing transaction ID",IF(G1261="",IF(C1261="","missing date","invalid date"),IF(I1261="","unknown product",IF(J1261="","conflicting category",IF(NOT(OR(EXACT(K1261,"sale"),EXACT(K1261,"refund"))),"unknown event",IF(OR(N1261="",NOT(O1261)),"invalid amount",IF(OR(AND(K1261="sale",N1261&lt;=0),AND(K1261="refund",N1261&gt;=0)),"invalid sign","")))))))))</f>
        <v/>
      </c>
      <c r="U1261" s="1" t="str">
        <f t="shared" si="157"/>
        <v>INCLUDED</v>
      </c>
      <c r="V1261" s="1" t="str">
        <f t="shared" si="158"/>
        <v>2026-03</v>
      </c>
      <c r="W1261" s="1">
        <f>IF(AND(U1261="INCLUDED",X1261&gt;0,EXACT(A1261,'AI output'!A1261)),1,0)</f>
        <v>1</v>
      </c>
      <c r="X1261" s="1">
        <f>1261</f>
        <v>1261</v>
      </c>
      <c r="Y1261" s="1">
        <f>IF(AND(U1261="INCLUDED",W1261=1),--(NOT(EXACT(A1261,'AI output'!A1261)))+--(NOT(EXACT(B1261,'AI output'!B1261)))+--(NOT(EXACT(TEXT(G1261,"yyyy-mm-dd"),'AI output'!C1261)))+--(NOT(EXACT(H1261,'AI output'!D1261)))+--(NOT(EXACT(J1261,'AI output'!E1261)))+--(NOT(EXACT(K1261,'AI output'!F1261)))+--(N1261&lt;&gt;'AI output'!L1261)+--(NOT('AI output'!M1261)),0)</f>
        <v>0</v>
      </c>
      <c r="Z1261" s="1">
        <f t="shared" si="159"/>
        <v>0</v>
      </c>
      <c r="AA1261" s="1">
        <f>--EXACT(A1261,"L01255")</f>
        <v>1</v>
      </c>
    </row>
    <row r="1262" spans="1:27" ht="18.95" customHeight="1">
      <c r="A1262" s="1" t="str">
        <f>IF(Raw!A1262="","",Raw!A1262)</f>
        <v>L01256</v>
      </c>
      <c r="B1262" s="1" t="str">
        <f>IF(Raw!B1262="","",Raw!B1262)</f>
        <v>T00628</v>
      </c>
      <c r="C1262" s="1" t="str">
        <f>IF(Raw!C1262="","",Raw!C1262)</f>
        <v>2026-03-11</v>
      </c>
      <c r="D1262" s="1">
        <f t="shared" si="152"/>
        <v>2026</v>
      </c>
      <c r="E1262" s="1">
        <f>IFERROR(IF(AND(LEN(C1262)=10,MID(C1262,5,1)="-",MID(C1262,8,1)="-"),VALUE(MID(C1262,6,2)),IF(AND(LEN(C1262)=11,MID(C1262,3,1)="-",MID(C1262,7,1)="-"),MATCH(UPPER(MID(C1262,4,3)),Guide!$D$7:$D$18,0),0)),0)</f>
        <v>3</v>
      </c>
      <c r="F1262" s="1">
        <f t="shared" si="153"/>
        <v>11</v>
      </c>
      <c r="G1262" s="9">
        <f t="shared" si="154"/>
        <v>46092</v>
      </c>
      <c r="H1262" s="1" t="str">
        <f>IF(Raw!D1262="","",Raw!D1262)</f>
        <v>P-H</v>
      </c>
      <c r="I1262" s="1" t="str">
        <f>IFERROR(IF(EXACT(H1262,INDEX(Guide!$A$7:$A$9,MATCH(SUBSTITUTE(SUBSTITUTE(SUBSTITUTE(H1262,"~","~~"),"*","~*"),"?","~?"),Guide!$A$7:$A$9,0))),INDEX(Guide!$B$7:$B$9,MATCH(SUBSTITUTE(SUBSTITUTE(SUBSTITUTE(H1262,"~","~~"),"*","~*"),"?","~?"),Guide!$A$7:$A$9,0)),""),"")</f>
        <v>Home</v>
      </c>
      <c r="J1262" s="1" t="str">
        <f>IF(TRIM(Raw!E1262)="",I1262,IF(UPPER(TRIM(Raw!E1262))=UPPER(I1262),I1262,""))</f>
        <v>Home</v>
      </c>
      <c r="K1262" s="1" t="str">
        <f>IF(Raw!F1262="","",Raw!F1262)</f>
        <v>sale</v>
      </c>
      <c r="L1262" s="1" t="str">
        <f>IF(LEFT(TRIM(Raw!G1262),2)="-$","-"&amp;MID(TRIM(Raw!G1262),3,99),IF(LEFT(TRIM(Raw!G1262),1)="$",MID(TRIM(Raw!G1262),2,99),TRIM(Raw!G1262)))</f>
        <v>109.34</v>
      </c>
      <c r="M1262" s="1">
        <f t="shared" si="155"/>
        <v>109.34</v>
      </c>
      <c r="N1262" s="10">
        <f t="shared" si="156"/>
        <v>10934</v>
      </c>
      <c r="O1262" s="1" t="b">
        <f>IFERROR(IF(ISNUMBER(Raw!G1262),TRUE,OR(EXACT(L1262,TEXT(M1262,"0.00")),EXACT(L1262,TEXT(M1262,"#,##0.00")))),FALSE)</f>
        <v>1</v>
      </c>
      <c r="P1262" s="1" t="str">
        <f>LEN(IF(Raw!A1262="","",Raw!A1262))&amp;":"&amp;IF(Raw!A1262="","",Raw!A1262)&amp;"|"&amp;LEN(IF(Raw!B1262="","",Raw!B1262))&amp;":"&amp;IF(Raw!B1262="","",Raw!B1262)&amp;"|"&amp;LEN(IF(Raw!C1262="","",Raw!C1262))&amp;":"&amp;IF(Raw!C1262="","",Raw!C1262)&amp;"|"&amp;LEN(IF(Raw!D1262="","",Raw!D1262))&amp;":"&amp;IF(Raw!D1262="","",Raw!D1262)&amp;"|"&amp;LEN(IF(Raw!E1262="","",Raw!E1262))&amp;":"&amp;IF(Raw!E1262="","",Raw!E1262)&amp;"|"&amp;LEN(IF(Raw!F1262="","",Raw!F1262))&amp;":"&amp;IF(Raw!F1262="","",Raw!F1262)&amp;"|"&amp;LEN(IF(Raw!G1262="","",Raw!G1262))&amp;":"&amp;IF(Raw!G1262="","",Raw!G1262)</f>
        <v>6:L01256|6:T00628|10:2026-03-11|3:P-H|4:Home|4:sale|6:109.34</v>
      </c>
      <c r="Q1262" s="1">
        <f>1</f>
        <v>1</v>
      </c>
      <c r="R1262" s="1" t="b">
        <f>FALSE</f>
        <v>0</v>
      </c>
      <c r="S1262" s="1">
        <f>1</f>
        <v>1</v>
      </c>
      <c r="T1262" s="1" t="str">
        <f>IF(AND(Raw!A1262="",Raw!B1262="",Raw!C1262="",Raw!D1262="",Raw!E1262="",Raw!F1262="",Raw!G1262=""),"UNUSED",IF(A1262="","missing line ID",IF(B1262="","missing transaction ID",IF(G1262="",IF(C1262="","missing date","invalid date"),IF(I1262="","unknown product",IF(J1262="","conflicting category",IF(NOT(OR(EXACT(K1262,"sale"),EXACT(K1262,"refund"))),"unknown event",IF(OR(N1262="",NOT(O1262)),"invalid amount",IF(OR(AND(K1262="sale",N1262&lt;=0),AND(K1262="refund",N1262&gt;=0)),"invalid sign","")))))))))</f>
        <v/>
      </c>
      <c r="U1262" s="1" t="str">
        <f t="shared" si="157"/>
        <v>INCLUDED</v>
      </c>
      <c r="V1262" s="1" t="str">
        <f t="shared" si="158"/>
        <v>2026-03</v>
      </c>
      <c r="W1262" s="1">
        <f>IF(AND(U1262="INCLUDED",X1262&gt;0,EXACT(A1262,'AI output'!A1262)),1,0)</f>
        <v>1</v>
      </c>
      <c r="X1262" s="1">
        <f>1262</f>
        <v>1262</v>
      </c>
      <c r="Y1262" s="1">
        <f>IF(AND(U1262="INCLUDED",W1262=1),--(NOT(EXACT(A1262,'AI output'!A1262)))+--(NOT(EXACT(B1262,'AI output'!B1262)))+--(NOT(EXACT(TEXT(G1262,"yyyy-mm-dd"),'AI output'!C1262)))+--(NOT(EXACT(H1262,'AI output'!D1262)))+--(NOT(EXACT(J1262,'AI output'!E1262)))+--(NOT(EXACT(K1262,'AI output'!F1262)))+--(N1262&lt;&gt;'AI output'!L1262)+--(NOT('AI output'!M1262)),0)</f>
        <v>0</v>
      </c>
      <c r="Z1262" s="1">
        <f t="shared" si="159"/>
        <v>0</v>
      </c>
      <c r="AA1262" s="1">
        <f>--EXACT(A1262,"L01256")</f>
        <v>1</v>
      </c>
    </row>
    <row r="1263" spans="1:27" ht="18.95" customHeight="1">
      <c r="A1263" s="1" t="str">
        <f>IF(Raw!A1263="","",Raw!A1263)</f>
        <v>L01257</v>
      </c>
      <c r="B1263" s="1" t="str">
        <f>IF(Raw!B1263="","",Raw!B1263)</f>
        <v>T00629</v>
      </c>
      <c r="C1263" s="1" t="str">
        <f>IF(Raw!C1263="","",Raw!C1263)</f>
        <v>2026-03-18</v>
      </c>
      <c r="D1263" s="1">
        <f t="shared" si="152"/>
        <v>2026</v>
      </c>
      <c r="E1263" s="1">
        <f>IFERROR(IF(AND(LEN(C1263)=10,MID(C1263,5,1)="-",MID(C1263,8,1)="-"),VALUE(MID(C1263,6,2)),IF(AND(LEN(C1263)=11,MID(C1263,3,1)="-",MID(C1263,7,1)="-"),MATCH(UPPER(MID(C1263,4,3)),Guide!$D$7:$D$18,0),0)),0)</f>
        <v>3</v>
      </c>
      <c r="F1263" s="1">
        <f t="shared" si="153"/>
        <v>18</v>
      </c>
      <c r="G1263" s="9">
        <f t="shared" si="154"/>
        <v>46099</v>
      </c>
      <c r="H1263" s="1" t="str">
        <f>IF(Raw!D1263="","",Raw!D1263)</f>
        <v>P-O</v>
      </c>
      <c r="I1263" s="1" t="str">
        <f>IFERROR(IF(EXACT(H1263,INDEX(Guide!$A$7:$A$9,MATCH(SUBSTITUTE(SUBSTITUTE(SUBSTITUTE(H1263,"~","~~"),"*","~*"),"?","~?"),Guide!$A$7:$A$9,0))),INDEX(Guide!$B$7:$B$9,MATCH(SUBSTITUTE(SUBSTITUTE(SUBSTITUTE(H1263,"~","~~"),"*","~*"),"?","~?"),Guide!$A$7:$A$9,0)),""),"")</f>
        <v>Office</v>
      </c>
      <c r="J1263" s="1" t="str">
        <f>IF(TRIM(Raw!E1263)="",I1263,IF(UPPER(TRIM(Raw!E1263))=UPPER(I1263),I1263,""))</f>
        <v>Office</v>
      </c>
      <c r="K1263" s="1" t="str">
        <f>IF(Raw!F1263="","",Raw!F1263)</f>
        <v>sale</v>
      </c>
      <c r="L1263" s="1" t="str">
        <f>IF(LEFT(TRIM(Raw!G1263),2)="-$","-"&amp;MID(TRIM(Raw!G1263),3,99),IF(LEFT(TRIM(Raw!G1263),1)="$",MID(TRIM(Raw!G1263),2,99),TRIM(Raw!G1263)))</f>
        <v>329.13</v>
      </c>
      <c r="M1263" s="1">
        <f t="shared" si="155"/>
        <v>329.13</v>
      </c>
      <c r="N1263" s="10">
        <f t="shared" si="156"/>
        <v>32913</v>
      </c>
      <c r="O1263" s="1" t="b">
        <f>IFERROR(IF(ISNUMBER(Raw!G1263),TRUE,OR(EXACT(L1263,TEXT(M1263,"0.00")),EXACT(L1263,TEXT(M1263,"#,##0.00")))),FALSE)</f>
        <v>1</v>
      </c>
      <c r="P1263" s="1" t="str">
        <f>LEN(IF(Raw!A1263="","",Raw!A1263))&amp;":"&amp;IF(Raw!A1263="","",Raw!A1263)&amp;"|"&amp;LEN(IF(Raw!B1263="","",Raw!B1263))&amp;":"&amp;IF(Raw!B1263="","",Raw!B1263)&amp;"|"&amp;LEN(IF(Raw!C1263="","",Raw!C1263))&amp;":"&amp;IF(Raw!C1263="","",Raw!C1263)&amp;"|"&amp;LEN(IF(Raw!D1263="","",Raw!D1263))&amp;":"&amp;IF(Raw!D1263="","",Raw!D1263)&amp;"|"&amp;LEN(IF(Raw!E1263="","",Raw!E1263))&amp;":"&amp;IF(Raw!E1263="","",Raw!E1263)&amp;"|"&amp;LEN(IF(Raw!F1263="","",Raw!F1263))&amp;":"&amp;IF(Raw!F1263="","",Raw!F1263)&amp;"|"&amp;LEN(IF(Raw!G1263="","",Raw!G1263))&amp;":"&amp;IF(Raw!G1263="","",Raw!G1263)</f>
        <v>6:L01257|6:T00629|10:2026-03-18|3:P-O|6:Office|4:sale|6:329.13</v>
      </c>
      <c r="Q1263" s="1">
        <f>1</f>
        <v>1</v>
      </c>
      <c r="R1263" s="1" t="b">
        <f>FALSE</f>
        <v>0</v>
      </c>
      <c r="S1263" s="1">
        <f>1</f>
        <v>1</v>
      </c>
      <c r="T1263" s="1" t="str">
        <f>IF(AND(Raw!A1263="",Raw!B1263="",Raw!C1263="",Raw!D1263="",Raw!E1263="",Raw!F1263="",Raw!G1263=""),"UNUSED",IF(A1263="","missing line ID",IF(B1263="","missing transaction ID",IF(G1263="",IF(C1263="","missing date","invalid date"),IF(I1263="","unknown product",IF(J1263="","conflicting category",IF(NOT(OR(EXACT(K1263,"sale"),EXACT(K1263,"refund"))),"unknown event",IF(OR(N1263="",NOT(O1263)),"invalid amount",IF(OR(AND(K1263="sale",N1263&lt;=0),AND(K1263="refund",N1263&gt;=0)),"invalid sign","")))))))))</f>
        <v/>
      </c>
      <c r="U1263" s="1" t="str">
        <f t="shared" si="157"/>
        <v>INCLUDED</v>
      </c>
      <c r="V1263" s="1" t="str">
        <f t="shared" si="158"/>
        <v>2026-03</v>
      </c>
      <c r="W1263" s="1">
        <f>IF(AND(U1263="INCLUDED",X1263&gt;0,EXACT(A1263,'AI output'!A1263)),1,0)</f>
        <v>1</v>
      </c>
      <c r="X1263" s="1">
        <f>1263</f>
        <v>1263</v>
      </c>
      <c r="Y1263" s="1">
        <f>IF(AND(U1263="INCLUDED",W1263=1),--(NOT(EXACT(A1263,'AI output'!A1263)))+--(NOT(EXACT(B1263,'AI output'!B1263)))+--(NOT(EXACT(TEXT(G1263,"yyyy-mm-dd"),'AI output'!C1263)))+--(NOT(EXACT(H1263,'AI output'!D1263)))+--(NOT(EXACT(J1263,'AI output'!E1263)))+--(NOT(EXACT(K1263,'AI output'!F1263)))+--(N1263&lt;&gt;'AI output'!L1263)+--(NOT('AI output'!M1263)),0)</f>
        <v>0</v>
      </c>
      <c r="Z1263" s="1">
        <f t="shared" si="159"/>
        <v>0</v>
      </c>
      <c r="AA1263" s="1">
        <f>--EXACT(A1263,"L01257")</f>
        <v>1</v>
      </c>
    </row>
    <row r="1264" spans="1:27" ht="18.95" customHeight="1">
      <c r="A1264" s="1" t="str">
        <f>IF(Raw!A1264="","",Raw!A1264)</f>
        <v>L01258</v>
      </c>
      <c r="B1264" s="1" t="str">
        <f>IF(Raw!B1264="","",Raw!B1264)</f>
        <v>T00629</v>
      </c>
      <c r="C1264" s="1" t="str">
        <f>IF(Raw!C1264="","",Raw!C1264)</f>
        <v>2026-03-18</v>
      </c>
      <c r="D1264" s="1">
        <f t="shared" si="152"/>
        <v>2026</v>
      </c>
      <c r="E1264" s="1">
        <f>IFERROR(IF(AND(LEN(C1264)=10,MID(C1264,5,1)="-",MID(C1264,8,1)="-"),VALUE(MID(C1264,6,2)),IF(AND(LEN(C1264)=11,MID(C1264,3,1)="-",MID(C1264,7,1)="-"),MATCH(UPPER(MID(C1264,4,3)),Guide!$D$7:$D$18,0),0)),0)</f>
        <v>3</v>
      </c>
      <c r="F1264" s="1">
        <f t="shared" si="153"/>
        <v>18</v>
      </c>
      <c r="G1264" s="9">
        <f t="shared" si="154"/>
        <v>46099</v>
      </c>
      <c r="H1264" s="1" t="str">
        <f>IF(Raw!D1264="","",Raw!D1264)</f>
        <v>P-A</v>
      </c>
      <c r="I1264" s="1" t="str">
        <f>IFERROR(IF(EXACT(H1264,INDEX(Guide!$A$7:$A$9,MATCH(SUBSTITUTE(SUBSTITUTE(SUBSTITUTE(H1264,"~","~~"),"*","~*"),"?","~?"),Guide!$A$7:$A$9,0))),INDEX(Guide!$B$7:$B$9,MATCH(SUBSTITUTE(SUBSTITUTE(SUBSTITUTE(H1264,"~","~~"),"*","~*"),"?","~?"),Guide!$A$7:$A$9,0)),""),"")</f>
        <v>Accessories</v>
      </c>
      <c r="J1264" s="1" t="str">
        <f>IF(TRIM(Raw!E1264)="",I1264,IF(UPPER(TRIM(Raw!E1264))=UPPER(I1264),I1264,""))</f>
        <v>Accessories</v>
      </c>
      <c r="K1264" s="1" t="str">
        <f>IF(Raw!F1264="","",Raw!F1264)</f>
        <v>sale</v>
      </c>
      <c r="L1264" s="1" t="str">
        <f>IF(LEFT(TRIM(Raw!G1264),2)="-$","-"&amp;MID(TRIM(Raw!G1264),3,99),IF(LEFT(TRIM(Raw!G1264),1)="$",MID(TRIM(Raw!G1264),2,99),TRIM(Raw!G1264)))</f>
        <v>550.40</v>
      </c>
      <c r="M1264" s="1">
        <f t="shared" si="155"/>
        <v>550.4</v>
      </c>
      <c r="N1264" s="10">
        <f t="shared" si="156"/>
        <v>55040</v>
      </c>
      <c r="O1264" s="1" t="b">
        <f>IFERROR(IF(ISNUMBER(Raw!G1264),TRUE,OR(EXACT(L1264,TEXT(M1264,"0.00")),EXACT(L1264,TEXT(M1264,"#,##0.00")))),FALSE)</f>
        <v>1</v>
      </c>
      <c r="P1264" s="1" t="str">
        <f>LEN(IF(Raw!A1264="","",Raw!A1264))&amp;":"&amp;IF(Raw!A1264="","",Raw!A1264)&amp;"|"&amp;LEN(IF(Raw!B1264="","",Raw!B1264))&amp;":"&amp;IF(Raw!B1264="","",Raw!B1264)&amp;"|"&amp;LEN(IF(Raw!C1264="","",Raw!C1264))&amp;":"&amp;IF(Raw!C1264="","",Raw!C1264)&amp;"|"&amp;LEN(IF(Raw!D1264="","",Raw!D1264))&amp;":"&amp;IF(Raw!D1264="","",Raw!D1264)&amp;"|"&amp;LEN(IF(Raw!E1264="","",Raw!E1264))&amp;":"&amp;IF(Raw!E1264="","",Raw!E1264)&amp;"|"&amp;LEN(IF(Raw!F1264="","",Raw!F1264))&amp;":"&amp;IF(Raw!F1264="","",Raw!F1264)&amp;"|"&amp;LEN(IF(Raw!G1264="","",Raw!G1264))&amp;":"&amp;IF(Raw!G1264="","",Raw!G1264)</f>
        <v>6:L01258|6:T00629|10:2026-03-18|3:P-A|11:Accessories|4:sale|6:550.40</v>
      </c>
      <c r="Q1264" s="1">
        <f>1</f>
        <v>1</v>
      </c>
      <c r="R1264" s="1" t="b">
        <f>FALSE</f>
        <v>0</v>
      </c>
      <c r="S1264" s="1">
        <f>1</f>
        <v>1</v>
      </c>
      <c r="T1264" s="1" t="str">
        <f>IF(AND(Raw!A1264="",Raw!B1264="",Raw!C1264="",Raw!D1264="",Raw!E1264="",Raw!F1264="",Raw!G1264=""),"UNUSED",IF(A1264="","missing line ID",IF(B1264="","missing transaction ID",IF(G1264="",IF(C1264="","missing date","invalid date"),IF(I1264="","unknown product",IF(J1264="","conflicting category",IF(NOT(OR(EXACT(K1264,"sale"),EXACT(K1264,"refund"))),"unknown event",IF(OR(N1264="",NOT(O1264)),"invalid amount",IF(OR(AND(K1264="sale",N1264&lt;=0),AND(K1264="refund",N1264&gt;=0)),"invalid sign","")))))))))</f>
        <v/>
      </c>
      <c r="U1264" s="1" t="str">
        <f t="shared" si="157"/>
        <v>INCLUDED</v>
      </c>
      <c r="V1264" s="1" t="str">
        <f t="shared" si="158"/>
        <v>2026-03</v>
      </c>
      <c r="W1264" s="1">
        <f>IF(AND(U1264="INCLUDED",X1264&gt;0,EXACT(A1264,'AI output'!A1264)),1,0)</f>
        <v>1</v>
      </c>
      <c r="X1264" s="1">
        <f>1264</f>
        <v>1264</v>
      </c>
      <c r="Y1264" s="1">
        <f>IF(AND(U1264="INCLUDED",W1264=1),--(NOT(EXACT(A1264,'AI output'!A1264)))+--(NOT(EXACT(B1264,'AI output'!B1264)))+--(NOT(EXACT(TEXT(G1264,"yyyy-mm-dd"),'AI output'!C1264)))+--(NOT(EXACT(H1264,'AI output'!D1264)))+--(NOT(EXACT(J1264,'AI output'!E1264)))+--(NOT(EXACT(K1264,'AI output'!F1264)))+--(N1264&lt;&gt;'AI output'!L1264)+--(NOT('AI output'!M1264)),0)</f>
        <v>0</v>
      </c>
      <c r="Z1264" s="1">
        <f t="shared" si="159"/>
        <v>0</v>
      </c>
      <c r="AA1264" s="1">
        <f>--EXACT(A1264,"L01258")</f>
        <v>1</v>
      </c>
    </row>
    <row r="1265" spans="1:27" ht="18.95" customHeight="1">
      <c r="A1265" s="1" t="str">
        <f>IF(Raw!A1265="","",Raw!A1265)</f>
        <v>L01259</v>
      </c>
      <c r="B1265" s="1" t="str">
        <f>IF(Raw!B1265="","",Raw!B1265)</f>
        <v>T00630</v>
      </c>
      <c r="C1265" s="1" t="str">
        <f>IF(Raw!C1265="","",Raw!C1265)</f>
        <v>2026-03-25</v>
      </c>
      <c r="D1265" s="1">
        <f t="shared" si="152"/>
        <v>2026</v>
      </c>
      <c r="E1265" s="1">
        <f>IFERROR(IF(AND(LEN(C1265)=10,MID(C1265,5,1)="-",MID(C1265,8,1)="-"),VALUE(MID(C1265,6,2)),IF(AND(LEN(C1265)=11,MID(C1265,3,1)="-",MID(C1265,7,1)="-"),MATCH(UPPER(MID(C1265,4,3)),Guide!$D$7:$D$18,0),0)),0)</f>
        <v>3</v>
      </c>
      <c r="F1265" s="1">
        <f t="shared" si="153"/>
        <v>25</v>
      </c>
      <c r="G1265" s="9">
        <f t="shared" si="154"/>
        <v>46106</v>
      </c>
      <c r="H1265" s="1" t="str">
        <f>IF(Raw!D1265="","",Raw!D1265)</f>
        <v>P-H</v>
      </c>
      <c r="I1265" s="1" t="str">
        <f>IFERROR(IF(EXACT(H1265,INDEX(Guide!$A$7:$A$9,MATCH(SUBSTITUTE(SUBSTITUTE(SUBSTITUTE(H1265,"~","~~"),"*","~*"),"?","~?"),Guide!$A$7:$A$9,0))),INDEX(Guide!$B$7:$B$9,MATCH(SUBSTITUTE(SUBSTITUTE(SUBSTITUTE(H1265,"~","~~"),"*","~*"),"?","~?"),Guide!$A$7:$A$9,0)),""),"")</f>
        <v>Home</v>
      </c>
      <c r="J1265" s="1" t="str">
        <f>IF(TRIM(Raw!E1265)="",I1265,IF(UPPER(TRIM(Raw!E1265))=UPPER(I1265),I1265,""))</f>
        <v>Home</v>
      </c>
      <c r="K1265" s="1" t="str">
        <f>IF(Raw!F1265="","",Raw!F1265)</f>
        <v>sale</v>
      </c>
      <c r="L1265" s="1" t="str">
        <f>IF(LEFT(TRIM(Raw!G1265),2)="-$","-"&amp;MID(TRIM(Raw!G1265),3,99),IF(LEFT(TRIM(Raw!G1265),1)="$",MID(TRIM(Raw!G1265),2,99),TRIM(Raw!G1265)))</f>
        <v>220.90</v>
      </c>
      <c r="M1265" s="1">
        <f t="shared" si="155"/>
        <v>220.9</v>
      </c>
      <c r="N1265" s="10">
        <f t="shared" si="156"/>
        <v>22090</v>
      </c>
      <c r="O1265" s="1" t="b">
        <f>IFERROR(IF(ISNUMBER(Raw!G1265),TRUE,OR(EXACT(L1265,TEXT(M1265,"0.00")),EXACT(L1265,TEXT(M1265,"#,##0.00")))),FALSE)</f>
        <v>1</v>
      </c>
      <c r="P1265" s="1" t="str">
        <f>LEN(IF(Raw!A1265="","",Raw!A1265))&amp;":"&amp;IF(Raw!A1265="","",Raw!A1265)&amp;"|"&amp;LEN(IF(Raw!B1265="","",Raw!B1265))&amp;":"&amp;IF(Raw!B1265="","",Raw!B1265)&amp;"|"&amp;LEN(IF(Raw!C1265="","",Raw!C1265))&amp;":"&amp;IF(Raw!C1265="","",Raw!C1265)&amp;"|"&amp;LEN(IF(Raw!D1265="","",Raw!D1265))&amp;":"&amp;IF(Raw!D1265="","",Raw!D1265)&amp;"|"&amp;LEN(IF(Raw!E1265="","",Raw!E1265))&amp;":"&amp;IF(Raw!E1265="","",Raw!E1265)&amp;"|"&amp;LEN(IF(Raw!F1265="","",Raw!F1265))&amp;":"&amp;IF(Raw!F1265="","",Raw!F1265)&amp;"|"&amp;LEN(IF(Raw!G1265="","",Raw!G1265))&amp;":"&amp;IF(Raw!G1265="","",Raw!G1265)</f>
        <v>6:L01259|6:T00630|10:2026-03-25|3:P-H|4:Home|4:sale|7:$220.90</v>
      </c>
      <c r="Q1265" s="1">
        <f>1</f>
        <v>1</v>
      </c>
      <c r="R1265" s="1" t="b">
        <f>FALSE</f>
        <v>0</v>
      </c>
      <c r="S1265" s="1">
        <f>1</f>
        <v>1</v>
      </c>
      <c r="T1265" s="1" t="str">
        <f>IF(AND(Raw!A1265="",Raw!B1265="",Raw!C1265="",Raw!D1265="",Raw!E1265="",Raw!F1265="",Raw!G1265=""),"UNUSED",IF(A1265="","missing line ID",IF(B1265="","missing transaction ID",IF(G1265="",IF(C1265="","missing date","invalid date"),IF(I1265="","unknown product",IF(J1265="","conflicting category",IF(NOT(OR(EXACT(K1265,"sale"),EXACT(K1265,"refund"))),"unknown event",IF(OR(N1265="",NOT(O1265)),"invalid amount",IF(OR(AND(K1265="sale",N1265&lt;=0),AND(K1265="refund",N1265&gt;=0)),"invalid sign","")))))))))</f>
        <v/>
      </c>
      <c r="U1265" s="1" t="str">
        <f t="shared" si="157"/>
        <v>INCLUDED</v>
      </c>
      <c r="V1265" s="1" t="str">
        <f t="shared" si="158"/>
        <v>2026-03</v>
      </c>
      <c r="W1265" s="1">
        <f>IF(AND(U1265="INCLUDED",X1265&gt;0,EXACT(A1265,'AI output'!A1265)),1,0)</f>
        <v>1</v>
      </c>
      <c r="X1265" s="1">
        <f>1265</f>
        <v>1265</v>
      </c>
      <c r="Y1265" s="1">
        <f>IF(AND(U1265="INCLUDED",W1265=1),--(NOT(EXACT(A1265,'AI output'!A1265)))+--(NOT(EXACT(B1265,'AI output'!B1265)))+--(NOT(EXACT(TEXT(G1265,"yyyy-mm-dd"),'AI output'!C1265)))+--(NOT(EXACT(H1265,'AI output'!D1265)))+--(NOT(EXACT(J1265,'AI output'!E1265)))+--(NOT(EXACT(K1265,'AI output'!F1265)))+--(N1265&lt;&gt;'AI output'!L1265)+--(NOT('AI output'!M1265)),0)</f>
        <v>0</v>
      </c>
      <c r="Z1265" s="1">
        <f t="shared" si="159"/>
        <v>0</v>
      </c>
      <c r="AA1265" s="1">
        <f>--EXACT(A1265,"L01259")</f>
        <v>1</v>
      </c>
    </row>
    <row r="1266" spans="1:27" ht="18.95" customHeight="1">
      <c r="A1266" s="1" t="str">
        <f>IF(Raw!A1266="","",Raw!A1266)</f>
        <v>L01260</v>
      </c>
      <c r="B1266" s="1" t="str">
        <f>IF(Raw!B1266="","",Raw!B1266)</f>
        <v>T00630</v>
      </c>
      <c r="C1266" s="1" t="str">
        <f>IF(Raw!C1266="","",Raw!C1266)</f>
        <v>2026-03-25</v>
      </c>
      <c r="D1266" s="1">
        <f t="shared" si="152"/>
        <v>2026</v>
      </c>
      <c r="E1266" s="1">
        <f>IFERROR(IF(AND(LEN(C1266)=10,MID(C1266,5,1)="-",MID(C1266,8,1)="-"),VALUE(MID(C1266,6,2)),IF(AND(LEN(C1266)=11,MID(C1266,3,1)="-",MID(C1266,7,1)="-"),MATCH(UPPER(MID(C1266,4,3)),Guide!$D$7:$D$18,0),0)),0)</f>
        <v>3</v>
      </c>
      <c r="F1266" s="1">
        <f t="shared" si="153"/>
        <v>25</v>
      </c>
      <c r="G1266" s="9">
        <f t="shared" si="154"/>
        <v>46106</v>
      </c>
      <c r="H1266" s="1" t="str">
        <f>IF(Raw!D1266="","",Raw!D1266)</f>
        <v>P-O</v>
      </c>
      <c r="I1266" s="1" t="str">
        <f>IFERROR(IF(EXACT(H1266,INDEX(Guide!$A$7:$A$9,MATCH(SUBSTITUTE(SUBSTITUTE(SUBSTITUTE(H1266,"~","~~"),"*","~*"),"?","~?"),Guide!$A$7:$A$9,0))),INDEX(Guide!$B$7:$B$9,MATCH(SUBSTITUTE(SUBSTITUTE(SUBSTITUTE(H1266,"~","~~"),"*","~*"),"?","~?"),Guide!$A$7:$A$9,0)),""),"")</f>
        <v>Office</v>
      </c>
      <c r="J1266" s="1" t="str">
        <f>IF(TRIM(Raw!E1266)="",I1266,IF(UPPER(TRIM(Raw!E1266))=UPPER(I1266),I1266,""))</f>
        <v>Office</v>
      </c>
      <c r="K1266" s="1" t="str">
        <f>IF(Raw!F1266="","",Raw!F1266)</f>
        <v>sale</v>
      </c>
      <c r="L1266" s="1" t="str">
        <f>IF(LEFT(TRIM(Raw!G1266),2)="-$","-"&amp;MID(TRIM(Raw!G1266),3,99),IF(LEFT(TRIM(Raw!G1266),1)="$",MID(TRIM(Raw!G1266),2,99),TRIM(Raw!G1266)))</f>
        <v>443.28</v>
      </c>
      <c r="M1266" s="1">
        <f t="shared" si="155"/>
        <v>443.28</v>
      </c>
      <c r="N1266" s="10">
        <f t="shared" si="156"/>
        <v>44328</v>
      </c>
      <c r="O1266" s="1" t="b">
        <f>IFERROR(IF(ISNUMBER(Raw!G1266),TRUE,OR(EXACT(L1266,TEXT(M1266,"0.00")),EXACT(L1266,TEXT(M1266,"#,##0.00")))),FALSE)</f>
        <v>1</v>
      </c>
      <c r="P1266" s="1" t="str">
        <f>LEN(IF(Raw!A1266="","",Raw!A1266))&amp;":"&amp;IF(Raw!A1266="","",Raw!A1266)&amp;"|"&amp;LEN(IF(Raw!B1266="","",Raw!B1266))&amp;":"&amp;IF(Raw!B1266="","",Raw!B1266)&amp;"|"&amp;LEN(IF(Raw!C1266="","",Raw!C1266))&amp;":"&amp;IF(Raw!C1266="","",Raw!C1266)&amp;"|"&amp;LEN(IF(Raw!D1266="","",Raw!D1266))&amp;":"&amp;IF(Raw!D1266="","",Raw!D1266)&amp;"|"&amp;LEN(IF(Raw!E1266="","",Raw!E1266))&amp;":"&amp;IF(Raw!E1266="","",Raw!E1266)&amp;"|"&amp;LEN(IF(Raw!F1266="","",Raw!F1266))&amp;":"&amp;IF(Raw!F1266="","",Raw!F1266)&amp;"|"&amp;LEN(IF(Raw!G1266="","",Raw!G1266))&amp;":"&amp;IF(Raw!G1266="","",Raw!G1266)</f>
        <v>6:L01260|6:T00630|10:2026-03-25|3:P-O|6:Office|4:sale|6:443.28</v>
      </c>
      <c r="Q1266" s="1">
        <f>1</f>
        <v>1</v>
      </c>
      <c r="R1266" s="1" t="b">
        <f>FALSE</f>
        <v>0</v>
      </c>
      <c r="S1266" s="1">
        <f>1</f>
        <v>1</v>
      </c>
      <c r="T1266" s="1" t="str">
        <f>IF(AND(Raw!A1266="",Raw!B1266="",Raw!C1266="",Raw!D1266="",Raw!E1266="",Raw!F1266="",Raw!G1266=""),"UNUSED",IF(A1266="","missing line ID",IF(B1266="","missing transaction ID",IF(G1266="",IF(C1266="","missing date","invalid date"),IF(I1266="","unknown product",IF(J1266="","conflicting category",IF(NOT(OR(EXACT(K1266,"sale"),EXACT(K1266,"refund"))),"unknown event",IF(OR(N1266="",NOT(O1266)),"invalid amount",IF(OR(AND(K1266="sale",N1266&lt;=0),AND(K1266="refund",N1266&gt;=0)),"invalid sign","")))))))))</f>
        <v/>
      </c>
      <c r="U1266" s="1" t="str">
        <f t="shared" si="157"/>
        <v>INCLUDED</v>
      </c>
      <c r="V1266" s="1" t="str">
        <f t="shared" si="158"/>
        <v>2026-03</v>
      </c>
      <c r="W1266" s="1">
        <f>IF(AND(U1266="INCLUDED",X1266&gt;0,EXACT(A1266,'AI output'!A1266)),1,0)</f>
        <v>1</v>
      </c>
      <c r="X1266" s="1">
        <f>1266</f>
        <v>1266</v>
      </c>
      <c r="Y1266" s="1">
        <f>IF(AND(U1266="INCLUDED",W1266=1),--(NOT(EXACT(A1266,'AI output'!A1266)))+--(NOT(EXACT(B1266,'AI output'!B1266)))+--(NOT(EXACT(TEXT(G1266,"yyyy-mm-dd"),'AI output'!C1266)))+--(NOT(EXACT(H1266,'AI output'!D1266)))+--(NOT(EXACT(J1266,'AI output'!E1266)))+--(NOT(EXACT(K1266,'AI output'!F1266)))+--(N1266&lt;&gt;'AI output'!L1266)+--(NOT('AI output'!M1266)),0)</f>
        <v>0</v>
      </c>
      <c r="Z1266" s="1">
        <f t="shared" si="159"/>
        <v>0</v>
      </c>
      <c r="AA1266" s="1">
        <f>--EXACT(A1266,"L01260")</f>
        <v>1</v>
      </c>
    </row>
    <row r="1267" spans="1:27" ht="18.95" customHeight="1">
      <c r="A1267" s="1" t="str">
        <f>IF(Raw!A1267="","",Raw!A1267)</f>
        <v>L01261</v>
      </c>
      <c r="B1267" s="1" t="str">
        <f>IF(Raw!B1267="","",Raw!B1267)</f>
        <v>T00631</v>
      </c>
      <c r="C1267" s="1" t="str">
        <f>IF(Raw!C1267="","",Raw!C1267)</f>
        <v>2026-01-01</v>
      </c>
      <c r="D1267" s="1">
        <f t="shared" si="152"/>
        <v>2026</v>
      </c>
      <c r="E1267" s="1">
        <f>IFERROR(IF(AND(LEN(C1267)=10,MID(C1267,5,1)="-",MID(C1267,8,1)="-"),VALUE(MID(C1267,6,2)),IF(AND(LEN(C1267)=11,MID(C1267,3,1)="-",MID(C1267,7,1)="-"),MATCH(UPPER(MID(C1267,4,3)),Guide!$D$7:$D$18,0),0)),0)</f>
        <v>1</v>
      </c>
      <c r="F1267" s="1">
        <f t="shared" si="153"/>
        <v>1</v>
      </c>
      <c r="G1267" s="9">
        <f t="shared" si="154"/>
        <v>46023</v>
      </c>
      <c r="H1267" s="1" t="str">
        <f>IF(Raw!D1267="","",Raw!D1267)</f>
        <v>P-A</v>
      </c>
      <c r="I1267" s="1" t="str">
        <f>IFERROR(IF(EXACT(H1267,INDEX(Guide!$A$7:$A$9,MATCH(SUBSTITUTE(SUBSTITUTE(SUBSTITUTE(H1267,"~","~~"),"*","~*"),"?","~?"),Guide!$A$7:$A$9,0))),INDEX(Guide!$B$7:$B$9,MATCH(SUBSTITUTE(SUBSTITUTE(SUBSTITUTE(H1267,"~","~~"),"*","~*"),"?","~?"),Guide!$A$7:$A$9,0)),""),"")</f>
        <v>Accessories</v>
      </c>
      <c r="J1267" s="1" t="str">
        <f>IF(TRIM(Raw!E1267)="",I1267,IF(UPPER(TRIM(Raw!E1267))=UPPER(I1267),I1267,""))</f>
        <v>Accessories</v>
      </c>
      <c r="K1267" s="1" t="str">
        <f>IF(Raw!F1267="","",Raw!F1267)</f>
        <v>sale</v>
      </c>
      <c r="L1267" s="1" t="str">
        <f>IF(LEFT(TRIM(Raw!G1267),2)="-$","-"&amp;MID(TRIM(Raw!G1267),3,99),IF(LEFT(TRIM(Raw!G1267),1)="$",MID(TRIM(Raw!G1267),2,99),TRIM(Raw!G1267)))</f>
        <v>111.19</v>
      </c>
      <c r="M1267" s="1">
        <f t="shared" si="155"/>
        <v>111.19</v>
      </c>
      <c r="N1267" s="10">
        <f t="shared" si="156"/>
        <v>11119</v>
      </c>
      <c r="O1267" s="1" t="b">
        <f>IFERROR(IF(ISNUMBER(Raw!G1267),TRUE,OR(EXACT(L1267,TEXT(M1267,"0.00")),EXACT(L1267,TEXT(M1267,"#,##0.00")))),FALSE)</f>
        <v>1</v>
      </c>
      <c r="P1267" s="1" t="str">
        <f>LEN(IF(Raw!A1267="","",Raw!A1267))&amp;":"&amp;IF(Raw!A1267="","",Raw!A1267)&amp;"|"&amp;LEN(IF(Raw!B1267="","",Raw!B1267))&amp;":"&amp;IF(Raw!B1267="","",Raw!B1267)&amp;"|"&amp;LEN(IF(Raw!C1267="","",Raw!C1267))&amp;":"&amp;IF(Raw!C1267="","",Raw!C1267)&amp;"|"&amp;LEN(IF(Raw!D1267="","",Raw!D1267))&amp;":"&amp;IF(Raw!D1267="","",Raw!D1267)&amp;"|"&amp;LEN(IF(Raw!E1267="","",Raw!E1267))&amp;":"&amp;IF(Raw!E1267="","",Raw!E1267)&amp;"|"&amp;LEN(IF(Raw!F1267="","",Raw!F1267))&amp;":"&amp;IF(Raw!F1267="","",Raw!F1267)&amp;"|"&amp;LEN(IF(Raw!G1267="","",Raw!G1267))&amp;":"&amp;IF(Raw!G1267="","",Raw!G1267)</f>
        <v>6:L01261|6:T00631|10:2026-01-01|3:P-A|11:Accessories|4:sale|6:111.19</v>
      </c>
      <c r="Q1267" s="1">
        <f>1</f>
        <v>1</v>
      </c>
      <c r="R1267" s="1" t="b">
        <f>FALSE</f>
        <v>0</v>
      </c>
      <c r="S1267" s="1">
        <f>1</f>
        <v>1</v>
      </c>
      <c r="T1267" s="1" t="str">
        <f>IF(AND(Raw!A1267="",Raw!B1267="",Raw!C1267="",Raw!D1267="",Raw!E1267="",Raw!F1267="",Raw!G1267=""),"UNUSED",IF(A1267="","missing line ID",IF(B1267="","missing transaction ID",IF(G1267="",IF(C1267="","missing date","invalid date"),IF(I1267="","unknown product",IF(J1267="","conflicting category",IF(NOT(OR(EXACT(K1267,"sale"),EXACT(K1267,"refund"))),"unknown event",IF(OR(N1267="",NOT(O1267)),"invalid amount",IF(OR(AND(K1267="sale",N1267&lt;=0),AND(K1267="refund",N1267&gt;=0)),"invalid sign","")))))))))</f>
        <v/>
      </c>
      <c r="U1267" s="1" t="str">
        <f t="shared" si="157"/>
        <v>INCLUDED</v>
      </c>
      <c r="V1267" s="1" t="str">
        <f t="shared" si="158"/>
        <v>2026-01</v>
      </c>
      <c r="W1267" s="1">
        <f>IF(AND(U1267="INCLUDED",X1267&gt;0,EXACT(A1267,'AI output'!A1267)),1,0)</f>
        <v>1</v>
      </c>
      <c r="X1267" s="1">
        <f>1267</f>
        <v>1267</v>
      </c>
      <c r="Y1267" s="1">
        <f>IF(AND(U1267="INCLUDED",W1267=1),--(NOT(EXACT(A1267,'AI output'!A1267)))+--(NOT(EXACT(B1267,'AI output'!B1267)))+--(NOT(EXACT(TEXT(G1267,"yyyy-mm-dd"),'AI output'!C1267)))+--(NOT(EXACT(H1267,'AI output'!D1267)))+--(NOT(EXACT(J1267,'AI output'!E1267)))+--(NOT(EXACT(K1267,'AI output'!F1267)))+--(N1267&lt;&gt;'AI output'!L1267)+--(NOT('AI output'!M1267)),0)</f>
        <v>0</v>
      </c>
      <c r="Z1267" s="1">
        <f t="shared" si="159"/>
        <v>0</v>
      </c>
      <c r="AA1267" s="1">
        <f>--EXACT(A1267,"L01261")</f>
        <v>1</v>
      </c>
    </row>
    <row r="1268" spans="1:27" ht="18.95" customHeight="1">
      <c r="A1268" s="1" t="str">
        <f>IF(Raw!A1268="","",Raw!A1268)</f>
        <v>L01262</v>
      </c>
      <c r="B1268" s="1" t="str">
        <f>IF(Raw!B1268="","",Raw!B1268)</f>
        <v>T00631</v>
      </c>
      <c r="C1268" s="1" t="str">
        <f>IF(Raw!C1268="","",Raw!C1268)</f>
        <v>2026-01-01</v>
      </c>
      <c r="D1268" s="1">
        <f t="shared" si="152"/>
        <v>2026</v>
      </c>
      <c r="E1268" s="1">
        <f>IFERROR(IF(AND(LEN(C1268)=10,MID(C1268,5,1)="-",MID(C1268,8,1)="-"),VALUE(MID(C1268,6,2)),IF(AND(LEN(C1268)=11,MID(C1268,3,1)="-",MID(C1268,7,1)="-"),MATCH(UPPER(MID(C1268,4,3)),Guide!$D$7:$D$18,0),0)),0)</f>
        <v>1</v>
      </c>
      <c r="F1268" s="1">
        <f t="shared" si="153"/>
        <v>1</v>
      </c>
      <c r="G1268" s="9">
        <f t="shared" si="154"/>
        <v>46023</v>
      </c>
      <c r="H1268" s="1" t="str">
        <f>IF(Raw!D1268="","",Raw!D1268)</f>
        <v>P-H</v>
      </c>
      <c r="I1268" s="1" t="str">
        <f>IFERROR(IF(EXACT(H1268,INDEX(Guide!$A$7:$A$9,MATCH(SUBSTITUTE(SUBSTITUTE(SUBSTITUTE(H1268,"~","~~"),"*","~*"),"?","~?"),Guide!$A$7:$A$9,0))),INDEX(Guide!$B$7:$B$9,MATCH(SUBSTITUTE(SUBSTITUTE(SUBSTITUTE(H1268,"~","~~"),"*","~*"),"?","~?"),Guide!$A$7:$A$9,0)),""),"")</f>
        <v>Home</v>
      </c>
      <c r="J1268" s="1" t="str">
        <f>IF(TRIM(Raw!E1268)="",I1268,IF(UPPER(TRIM(Raw!E1268))=UPPER(I1268),I1268,""))</f>
        <v>Home</v>
      </c>
      <c r="K1268" s="1" t="str">
        <f>IF(Raw!F1268="","",Raw!F1268)</f>
        <v>sale</v>
      </c>
      <c r="L1268" s="1" t="str">
        <f>IF(LEFT(TRIM(Raw!G1268),2)="-$","-"&amp;MID(TRIM(Raw!G1268),3,99),IF(LEFT(TRIM(Raw!G1268),1)="$",MID(TRIM(Raw!G1268),2,99),TRIM(Raw!G1268)))</f>
        <v>334.68</v>
      </c>
      <c r="M1268" s="1">
        <f t="shared" si="155"/>
        <v>334.68</v>
      </c>
      <c r="N1268" s="10">
        <f t="shared" si="156"/>
        <v>33468</v>
      </c>
      <c r="O1268" s="1" t="b">
        <f>IFERROR(IF(ISNUMBER(Raw!G1268),TRUE,OR(EXACT(L1268,TEXT(M1268,"0.00")),EXACT(L1268,TEXT(M1268,"#,##0.00")))),FALSE)</f>
        <v>1</v>
      </c>
      <c r="P1268" s="1" t="str">
        <f>LEN(IF(Raw!A1268="","",Raw!A1268))&amp;":"&amp;IF(Raw!A1268="","",Raw!A1268)&amp;"|"&amp;LEN(IF(Raw!B1268="","",Raw!B1268))&amp;":"&amp;IF(Raw!B1268="","",Raw!B1268)&amp;"|"&amp;LEN(IF(Raw!C1268="","",Raw!C1268))&amp;":"&amp;IF(Raw!C1268="","",Raw!C1268)&amp;"|"&amp;LEN(IF(Raw!D1268="","",Raw!D1268))&amp;":"&amp;IF(Raw!D1268="","",Raw!D1268)&amp;"|"&amp;LEN(IF(Raw!E1268="","",Raw!E1268))&amp;":"&amp;IF(Raw!E1268="","",Raw!E1268)&amp;"|"&amp;LEN(IF(Raw!F1268="","",Raw!F1268))&amp;":"&amp;IF(Raw!F1268="","",Raw!F1268)&amp;"|"&amp;LEN(IF(Raw!G1268="","",Raw!G1268))&amp;":"&amp;IF(Raw!G1268="","",Raw!G1268)</f>
        <v>6:L01262|6:T00631|10:2026-01-01|3:P-H|4:Home|4:sale|6:334.68</v>
      </c>
      <c r="Q1268" s="1">
        <f>1</f>
        <v>1</v>
      </c>
      <c r="R1268" s="1" t="b">
        <f>FALSE</f>
        <v>0</v>
      </c>
      <c r="S1268" s="1">
        <f>1</f>
        <v>1</v>
      </c>
      <c r="T1268" s="1" t="str">
        <f>IF(AND(Raw!A1268="",Raw!B1268="",Raw!C1268="",Raw!D1268="",Raw!E1268="",Raw!F1268="",Raw!G1268=""),"UNUSED",IF(A1268="","missing line ID",IF(B1268="","missing transaction ID",IF(G1268="",IF(C1268="","missing date","invalid date"),IF(I1268="","unknown product",IF(J1268="","conflicting category",IF(NOT(OR(EXACT(K1268,"sale"),EXACT(K1268,"refund"))),"unknown event",IF(OR(N1268="",NOT(O1268)),"invalid amount",IF(OR(AND(K1268="sale",N1268&lt;=0),AND(K1268="refund",N1268&gt;=0)),"invalid sign","")))))))))</f>
        <v/>
      </c>
      <c r="U1268" s="1" t="str">
        <f t="shared" si="157"/>
        <v>INCLUDED</v>
      </c>
      <c r="V1268" s="1" t="str">
        <f t="shared" si="158"/>
        <v>2026-01</v>
      </c>
      <c r="W1268" s="1">
        <f>IF(AND(U1268="INCLUDED",X1268&gt;0,EXACT(A1268,'AI output'!A1268)),1,0)</f>
        <v>1</v>
      </c>
      <c r="X1268" s="1">
        <f>1268</f>
        <v>1268</v>
      </c>
      <c r="Y1268" s="1">
        <f>IF(AND(U1268="INCLUDED",W1268=1),--(NOT(EXACT(A1268,'AI output'!A1268)))+--(NOT(EXACT(B1268,'AI output'!B1268)))+--(NOT(EXACT(TEXT(G1268,"yyyy-mm-dd"),'AI output'!C1268)))+--(NOT(EXACT(H1268,'AI output'!D1268)))+--(NOT(EXACT(J1268,'AI output'!E1268)))+--(NOT(EXACT(K1268,'AI output'!F1268)))+--(N1268&lt;&gt;'AI output'!L1268)+--(NOT('AI output'!M1268)),0)</f>
        <v>0</v>
      </c>
      <c r="Z1268" s="1">
        <f t="shared" si="159"/>
        <v>0</v>
      </c>
      <c r="AA1268" s="1">
        <f>--EXACT(A1268,"L01262")</f>
        <v>1</v>
      </c>
    </row>
    <row r="1269" spans="1:27" ht="18.95" customHeight="1">
      <c r="A1269" s="1" t="str">
        <f>IF(Raw!A1269="","",Raw!A1269)</f>
        <v>L01263</v>
      </c>
      <c r="B1269" s="1" t="str">
        <f>IF(Raw!B1269="","",Raw!B1269)</f>
        <v>T00632</v>
      </c>
      <c r="C1269" s="1" t="str">
        <f>IF(Raw!C1269="","",Raw!C1269)</f>
        <v>2026-01-08</v>
      </c>
      <c r="D1269" s="1">
        <f t="shared" si="152"/>
        <v>2026</v>
      </c>
      <c r="E1269" s="1">
        <f>IFERROR(IF(AND(LEN(C1269)=10,MID(C1269,5,1)="-",MID(C1269,8,1)="-"),VALUE(MID(C1269,6,2)),IF(AND(LEN(C1269)=11,MID(C1269,3,1)="-",MID(C1269,7,1)="-"),MATCH(UPPER(MID(C1269,4,3)),Guide!$D$7:$D$18,0),0)),0)</f>
        <v>1</v>
      </c>
      <c r="F1269" s="1">
        <f t="shared" si="153"/>
        <v>8</v>
      </c>
      <c r="G1269" s="9">
        <f t="shared" si="154"/>
        <v>46030</v>
      </c>
      <c r="H1269" s="1" t="str">
        <f>IF(Raw!D1269="","",Raw!D1269)</f>
        <v>P-O</v>
      </c>
      <c r="I1269" s="1" t="str">
        <f>IFERROR(IF(EXACT(H1269,INDEX(Guide!$A$7:$A$9,MATCH(SUBSTITUTE(SUBSTITUTE(SUBSTITUTE(H1269,"~","~~"),"*","~*"),"?","~?"),Guide!$A$7:$A$9,0))),INDEX(Guide!$B$7:$B$9,MATCH(SUBSTITUTE(SUBSTITUTE(SUBSTITUTE(H1269,"~","~~"),"*","~*"),"?","~?"),Guide!$A$7:$A$9,0)),""),"")</f>
        <v>Office</v>
      </c>
      <c r="J1269" s="1" t="str">
        <f>IF(TRIM(Raw!E1269)="",I1269,IF(UPPER(TRIM(Raw!E1269))=UPPER(I1269),I1269,""))</f>
        <v>Office</v>
      </c>
      <c r="K1269" s="1" t="str">
        <f>IF(Raw!F1269="","",Raw!F1269)</f>
        <v>sale</v>
      </c>
      <c r="L1269" s="1" t="str">
        <f>IF(LEFT(TRIM(Raw!G1269),2)="-$","-"&amp;MID(TRIM(Raw!G1269),3,99),IF(LEFT(TRIM(Raw!G1269),1)="$",MID(TRIM(Raw!G1269),2,99),TRIM(Raw!G1269)))</f>
        <v>559.65</v>
      </c>
      <c r="M1269" s="1">
        <f t="shared" si="155"/>
        <v>559.65</v>
      </c>
      <c r="N1269" s="10">
        <f t="shared" si="156"/>
        <v>55965</v>
      </c>
      <c r="O1269" s="1" t="b">
        <f>IFERROR(IF(ISNUMBER(Raw!G1269),TRUE,OR(EXACT(L1269,TEXT(M1269,"0.00")),EXACT(L1269,TEXT(M1269,"#,##0.00")))),FALSE)</f>
        <v>1</v>
      </c>
      <c r="P1269" s="1" t="str">
        <f>LEN(IF(Raw!A1269="","",Raw!A1269))&amp;":"&amp;IF(Raw!A1269="","",Raw!A1269)&amp;"|"&amp;LEN(IF(Raw!B1269="","",Raw!B1269))&amp;":"&amp;IF(Raw!B1269="","",Raw!B1269)&amp;"|"&amp;LEN(IF(Raw!C1269="","",Raw!C1269))&amp;":"&amp;IF(Raw!C1269="","",Raw!C1269)&amp;"|"&amp;LEN(IF(Raw!D1269="","",Raw!D1269))&amp;":"&amp;IF(Raw!D1269="","",Raw!D1269)&amp;"|"&amp;LEN(IF(Raw!E1269="","",Raw!E1269))&amp;":"&amp;IF(Raw!E1269="","",Raw!E1269)&amp;"|"&amp;LEN(IF(Raw!F1269="","",Raw!F1269))&amp;":"&amp;IF(Raw!F1269="","",Raw!F1269)&amp;"|"&amp;LEN(IF(Raw!G1269="","",Raw!G1269))&amp;":"&amp;IF(Raw!G1269="","",Raw!G1269)</f>
        <v>6:L01263|6:T00632|10:2026-01-08|3:P-O|6:Office|4:sale|6:559.65</v>
      </c>
      <c r="Q1269" s="1">
        <f>1</f>
        <v>1</v>
      </c>
      <c r="R1269" s="1" t="b">
        <f>FALSE</f>
        <v>0</v>
      </c>
      <c r="S1269" s="1">
        <f>1</f>
        <v>1</v>
      </c>
      <c r="T1269" s="1" t="str">
        <f>IF(AND(Raw!A1269="",Raw!B1269="",Raw!C1269="",Raw!D1269="",Raw!E1269="",Raw!F1269="",Raw!G1269=""),"UNUSED",IF(A1269="","missing line ID",IF(B1269="","missing transaction ID",IF(G1269="",IF(C1269="","missing date","invalid date"),IF(I1269="","unknown product",IF(J1269="","conflicting category",IF(NOT(OR(EXACT(K1269,"sale"),EXACT(K1269,"refund"))),"unknown event",IF(OR(N1269="",NOT(O1269)),"invalid amount",IF(OR(AND(K1269="sale",N1269&lt;=0),AND(K1269="refund",N1269&gt;=0)),"invalid sign","")))))))))</f>
        <v/>
      </c>
      <c r="U1269" s="1" t="str">
        <f t="shared" si="157"/>
        <v>INCLUDED</v>
      </c>
      <c r="V1269" s="1" t="str">
        <f t="shared" si="158"/>
        <v>2026-01</v>
      </c>
      <c r="W1269" s="1">
        <f>IF(AND(U1269="INCLUDED",X1269&gt;0,EXACT(A1269,'AI output'!A1269)),1,0)</f>
        <v>1</v>
      </c>
      <c r="X1269" s="1">
        <f>1269</f>
        <v>1269</v>
      </c>
      <c r="Y1269" s="1">
        <f>IF(AND(U1269="INCLUDED",W1269=1),--(NOT(EXACT(A1269,'AI output'!A1269)))+--(NOT(EXACT(B1269,'AI output'!B1269)))+--(NOT(EXACT(TEXT(G1269,"yyyy-mm-dd"),'AI output'!C1269)))+--(NOT(EXACT(H1269,'AI output'!D1269)))+--(NOT(EXACT(J1269,'AI output'!E1269)))+--(NOT(EXACT(K1269,'AI output'!F1269)))+--(N1269&lt;&gt;'AI output'!L1269)+--(NOT('AI output'!M1269)),0)</f>
        <v>0</v>
      </c>
      <c r="Z1269" s="1">
        <f t="shared" si="159"/>
        <v>0</v>
      </c>
      <c r="AA1269" s="1">
        <f>--EXACT(A1269,"L01263")</f>
        <v>1</v>
      </c>
    </row>
    <row r="1270" spans="1:27" ht="18.95" customHeight="1">
      <c r="A1270" s="1" t="str">
        <f>IF(Raw!A1270="","",Raw!A1270)</f>
        <v>L01264</v>
      </c>
      <c r="B1270" s="1" t="str">
        <f>IF(Raw!B1270="","",Raw!B1270)</f>
        <v>T00632</v>
      </c>
      <c r="C1270" s="1" t="str">
        <f>IF(Raw!C1270="","",Raw!C1270)</f>
        <v>2026-01-08</v>
      </c>
      <c r="D1270" s="1">
        <f t="shared" si="152"/>
        <v>2026</v>
      </c>
      <c r="E1270" s="1">
        <f>IFERROR(IF(AND(LEN(C1270)=10,MID(C1270,5,1)="-",MID(C1270,8,1)="-"),VALUE(MID(C1270,6,2)),IF(AND(LEN(C1270)=11,MID(C1270,3,1)="-",MID(C1270,7,1)="-"),MATCH(UPPER(MID(C1270,4,3)),Guide!$D$7:$D$18,0),0)),0)</f>
        <v>1</v>
      </c>
      <c r="F1270" s="1">
        <f t="shared" si="153"/>
        <v>8</v>
      </c>
      <c r="G1270" s="9">
        <f t="shared" si="154"/>
        <v>46030</v>
      </c>
      <c r="H1270" s="1" t="str">
        <f>IF(Raw!D1270="","",Raw!D1270)</f>
        <v>P-A</v>
      </c>
      <c r="I1270" s="1" t="str">
        <f>IFERROR(IF(EXACT(H1270,INDEX(Guide!$A$7:$A$9,MATCH(SUBSTITUTE(SUBSTITUTE(SUBSTITUTE(H1270,"~","~~"),"*","~*"),"?","~?"),Guide!$A$7:$A$9,0))),INDEX(Guide!$B$7:$B$9,MATCH(SUBSTITUTE(SUBSTITUTE(SUBSTITUTE(H1270,"~","~~"),"*","~*"),"?","~?"),Guide!$A$7:$A$9,0)),""),"")</f>
        <v>Accessories</v>
      </c>
      <c r="J1270" s="1" t="str">
        <f>IF(TRIM(Raw!E1270)="",I1270,IF(UPPER(TRIM(Raw!E1270))=UPPER(I1270),I1270,""))</f>
        <v>Accessories</v>
      </c>
      <c r="K1270" s="1" t="str">
        <f>IF(Raw!F1270="","",Raw!F1270)</f>
        <v>sale</v>
      </c>
      <c r="L1270" s="1" t="str">
        <f>IF(LEFT(TRIM(Raw!G1270),2)="-$","-"&amp;MID(TRIM(Raw!G1270),3,99),IF(LEFT(TRIM(Raw!G1270),1)="$",MID(TRIM(Raw!G1270),2,99),TRIM(Raw!G1270)))</f>
        <v>224.60</v>
      </c>
      <c r="M1270" s="1">
        <f t="shared" si="155"/>
        <v>224.6</v>
      </c>
      <c r="N1270" s="10">
        <f t="shared" si="156"/>
        <v>22460</v>
      </c>
      <c r="O1270" s="1" t="b">
        <f>IFERROR(IF(ISNUMBER(Raw!G1270),TRUE,OR(EXACT(L1270,TEXT(M1270,"0.00")),EXACT(L1270,TEXT(M1270,"#,##0.00")))),FALSE)</f>
        <v>1</v>
      </c>
      <c r="P1270" s="1" t="str">
        <f>LEN(IF(Raw!A1270="","",Raw!A1270))&amp;":"&amp;IF(Raw!A1270="","",Raw!A1270)&amp;"|"&amp;LEN(IF(Raw!B1270="","",Raw!B1270))&amp;":"&amp;IF(Raw!B1270="","",Raw!B1270)&amp;"|"&amp;LEN(IF(Raw!C1270="","",Raw!C1270))&amp;":"&amp;IF(Raw!C1270="","",Raw!C1270)&amp;"|"&amp;LEN(IF(Raw!D1270="","",Raw!D1270))&amp;":"&amp;IF(Raw!D1270="","",Raw!D1270)&amp;"|"&amp;LEN(IF(Raw!E1270="","",Raw!E1270))&amp;":"&amp;IF(Raw!E1270="","",Raw!E1270)&amp;"|"&amp;LEN(IF(Raw!F1270="","",Raw!F1270))&amp;":"&amp;IF(Raw!F1270="","",Raw!F1270)&amp;"|"&amp;LEN(IF(Raw!G1270="","",Raw!G1270))&amp;":"&amp;IF(Raw!G1270="","",Raw!G1270)</f>
        <v>6:L01264|6:T00632|10:2026-01-08|3:P-A|11:Accessories|4:sale|6:224.60</v>
      </c>
      <c r="Q1270" s="1">
        <f>1</f>
        <v>1</v>
      </c>
      <c r="R1270" s="1" t="b">
        <f>FALSE</f>
        <v>0</v>
      </c>
      <c r="S1270" s="1">
        <f>1</f>
        <v>1</v>
      </c>
      <c r="T1270" s="1" t="str">
        <f>IF(AND(Raw!A1270="",Raw!B1270="",Raw!C1270="",Raw!D1270="",Raw!E1270="",Raw!F1270="",Raw!G1270=""),"UNUSED",IF(A1270="","missing line ID",IF(B1270="","missing transaction ID",IF(G1270="",IF(C1270="","missing date","invalid date"),IF(I1270="","unknown product",IF(J1270="","conflicting category",IF(NOT(OR(EXACT(K1270,"sale"),EXACT(K1270,"refund"))),"unknown event",IF(OR(N1270="",NOT(O1270)),"invalid amount",IF(OR(AND(K1270="sale",N1270&lt;=0),AND(K1270="refund",N1270&gt;=0)),"invalid sign","")))))))))</f>
        <v/>
      </c>
      <c r="U1270" s="1" t="str">
        <f t="shared" si="157"/>
        <v>INCLUDED</v>
      </c>
      <c r="V1270" s="1" t="str">
        <f t="shared" si="158"/>
        <v>2026-01</v>
      </c>
      <c r="W1270" s="1">
        <f>IF(AND(U1270="INCLUDED",X1270&gt;0,EXACT(A1270,'AI output'!A1270)),1,0)</f>
        <v>1</v>
      </c>
      <c r="X1270" s="1">
        <f>1270</f>
        <v>1270</v>
      </c>
      <c r="Y1270" s="1">
        <f>IF(AND(U1270="INCLUDED",W1270=1),--(NOT(EXACT(A1270,'AI output'!A1270)))+--(NOT(EXACT(B1270,'AI output'!B1270)))+--(NOT(EXACT(TEXT(G1270,"yyyy-mm-dd"),'AI output'!C1270)))+--(NOT(EXACT(H1270,'AI output'!D1270)))+--(NOT(EXACT(J1270,'AI output'!E1270)))+--(NOT(EXACT(K1270,'AI output'!F1270)))+--(N1270&lt;&gt;'AI output'!L1270)+--(NOT('AI output'!M1270)),0)</f>
        <v>0</v>
      </c>
      <c r="Z1270" s="1">
        <f t="shared" si="159"/>
        <v>0</v>
      </c>
      <c r="AA1270" s="1">
        <f>--EXACT(A1270,"L01264")</f>
        <v>1</v>
      </c>
    </row>
    <row r="1271" spans="1:27" ht="18.95" customHeight="1">
      <c r="A1271" s="1" t="str">
        <f>IF(Raw!A1271="","",Raw!A1271)</f>
        <v>L01265</v>
      </c>
      <c r="B1271" s="1" t="str">
        <f>IF(Raw!B1271="","",Raw!B1271)</f>
        <v>T00633</v>
      </c>
      <c r="C1271" s="1" t="str">
        <f>IF(Raw!C1271="","",Raw!C1271)</f>
        <v>2026-01-15</v>
      </c>
      <c r="D1271" s="1">
        <f t="shared" si="152"/>
        <v>2026</v>
      </c>
      <c r="E1271" s="1">
        <f>IFERROR(IF(AND(LEN(C1271)=10,MID(C1271,5,1)="-",MID(C1271,8,1)="-"),VALUE(MID(C1271,6,2)),IF(AND(LEN(C1271)=11,MID(C1271,3,1)="-",MID(C1271,7,1)="-"),MATCH(UPPER(MID(C1271,4,3)),Guide!$D$7:$D$18,0),0)),0)</f>
        <v>1</v>
      </c>
      <c r="F1271" s="1">
        <f t="shared" si="153"/>
        <v>15</v>
      </c>
      <c r="G1271" s="9">
        <f t="shared" si="154"/>
        <v>46037</v>
      </c>
      <c r="H1271" s="1" t="str">
        <f>IF(Raw!D1271="","",Raw!D1271)</f>
        <v>P-H</v>
      </c>
      <c r="I1271" s="1" t="str">
        <f>IFERROR(IF(EXACT(H1271,INDEX(Guide!$A$7:$A$9,MATCH(SUBSTITUTE(SUBSTITUTE(SUBSTITUTE(H1271,"~","~~"),"*","~*"),"?","~?"),Guide!$A$7:$A$9,0))),INDEX(Guide!$B$7:$B$9,MATCH(SUBSTITUTE(SUBSTITUTE(SUBSTITUTE(H1271,"~","~~"),"*","~*"),"?","~?"),Guide!$A$7:$A$9,0)),""),"")</f>
        <v>Home</v>
      </c>
      <c r="J1271" s="1" t="str">
        <f>IF(TRIM(Raw!E1271)="",I1271,IF(UPPER(TRIM(Raw!E1271))=UPPER(I1271),I1271,""))</f>
        <v>Home</v>
      </c>
      <c r="K1271" s="1" t="str">
        <f>IF(Raw!F1271="","",Raw!F1271)</f>
        <v>sale</v>
      </c>
      <c r="L1271" s="1" t="str">
        <f>IF(LEFT(TRIM(Raw!G1271),2)="-$","-"&amp;MID(TRIM(Raw!G1271),3,99),IF(LEFT(TRIM(Raw!G1271),1)="$",MID(TRIM(Raw!G1271),2,99),TRIM(Raw!G1271)))</f>
        <v>450.68</v>
      </c>
      <c r="M1271" s="1">
        <f t="shared" si="155"/>
        <v>450.68</v>
      </c>
      <c r="N1271" s="10">
        <f t="shared" si="156"/>
        <v>45068</v>
      </c>
      <c r="O1271" s="1" t="b">
        <f>IFERROR(IF(ISNUMBER(Raw!G1271),TRUE,OR(EXACT(L1271,TEXT(M1271,"0.00")),EXACT(L1271,TEXT(M1271,"#,##0.00")))),FALSE)</f>
        <v>1</v>
      </c>
      <c r="P1271" s="1" t="str">
        <f>LEN(IF(Raw!A1271="","",Raw!A1271))&amp;":"&amp;IF(Raw!A1271="","",Raw!A1271)&amp;"|"&amp;LEN(IF(Raw!B1271="","",Raw!B1271))&amp;":"&amp;IF(Raw!B1271="","",Raw!B1271)&amp;"|"&amp;LEN(IF(Raw!C1271="","",Raw!C1271))&amp;":"&amp;IF(Raw!C1271="","",Raw!C1271)&amp;"|"&amp;LEN(IF(Raw!D1271="","",Raw!D1271))&amp;":"&amp;IF(Raw!D1271="","",Raw!D1271)&amp;"|"&amp;LEN(IF(Raw!E1271="","",Raw!E1271))&amp;":"&amp;IF(Raw!E1271="","",Raw!E1271)&amp;"|"&amp;LEN(IF(Raw!F1271="","",Raw!F1271))&amp;":"&amp;IF(Raw!F1271="","",Raw!F1271)&amp;"|"&amp;LEN(IF(Raw!G1271="","",Raw!G1271))&amp;":"&amp;IF(Raw!G1271="","",Raw!G1271)</f>
        <v>6:L01265|6:T00633|10:2026-01-15|3:P-H|4:Home|4:sale|6:450.68</v>
      </c>
      <c r="Q1271" s="1">
        <f>1</f>
        <v>1</v>
      </c>
      <c r="R1271" s="1" t="b">
        <f>FALSE</f>
        <v>0</v>
      </c>
      <c r="S1271" s="1">
        <f>1</f>
        <v>1</v>
      </c>
      <c r="T1271" s="1" t="str">
        <f>IF(AND(Raw!A1271="",Raw!B1271="",Raw!C1271="",Raw!D1271="",Raw!E1271="",Raw!F1271="",Raw!G1271=""),"UNUSED",IF(A1271="","missing line ID",IF(B1271="","missing transaction ID",IF(G1271="",IF(C1271="","missing date","invalid date"),IF(I1271="","unknown product",IF(J1271="","conflicting category",IF(NOT(OR(EXACT(K1271,"sale"),EXACT(K1271,"refund"))),"unknown event",IF(OR(N1271="",NOT(O1271)),"invalid amount",IF(OR(AND(K1271="sale",N1271&lt;=0),AND(K1271="refund",N1271&gt;=0)),"invalid sign","")))))))))</f>
        <v/>
      </c>
      <c r="U1271" s="1" t="str">
        <f t="shared" si="157"/>
        <v>INCLUDED</v>
      </c>
      <c r="V1271" s="1" t="str">
        <f t="shared" si="158"/>
        <v>2026-01</v>
      </c>
      <c r="W1271" s="1">
        <f>IF(AND(U1271="INCLUDED",X1271&gt;0,EXACT(A1271,'AI output'!A1271)),1,0)</f>
        <v>1</v>
      </c>
      <c r="X1271" s="1">
        <f>1271</f>
        <v>1271</v>
      </c>
      <c r="Y1271" s="1">
        <f>IF(AND(U1271="INCLUDED",W1271=1),--(NOT(EXACT(A1271,'AI output'!A1271)))+--(NOT(EXACT(B1271,'AI output'!B1271)))+--(NOT(EXACT(TEXT(G1271,"yyyy-mm-dd"),'AI output'!C1271)))+--(NOT(EXACT(H1271,'AI output'!D1271)))+--(NOT(EXACT(J1271,'AI output'!E1271)))+--(NOT(EXACT(K1271,'AI output'!F1271)))+--(N1271&lt;&gt;'AI output'!L1271)+--(NOT('AI output'!M1271)),0)</f>
        <v>0</v>
      </c>
      <c r="Z1271" s="1">
        <f t="shared" si="159"/>
        <v>0</v>
      </c>
      <c r="AA1271" s="1">
        <f>--EXACT(A1271,"L01265")</f>
        <v>1</v>
      </c>
    </row>
    <row r="1272" spans="1:27" ht="18.95" customHeight="1">
      <c r="A1272" s="1" t="str">
        <f>IF(Raw!A1272="","",Raw!A1272)</f>
        <v>L01266</v>
      </c>
      <c r="B1272" s="1" t="str">
        <f>IF(Raw!B1272="","",Raw!B1272)</f>
        <v>T00633</v>
      </c>
      <c r="C1272" s="1" t="str">
        <f>IF(Raw!C1272="","",Raw!C1272)</f>
        <v>2026-01-15</v>
      </c>
      <c r="D1272" s="1">
        <f t="shared" si="152"/>
        <v>2026</v>
      </c>
      <c r="E1272" s="1">
        <f>IFERROR(IF(AND(LEN(C1272)=10,MID(C1272,5,1)="-",MID(C1272,8,1)="-"),VALUE(MID(C1272,6,2)),IF(AND(LEN(C1272)=11,MID(C1272,3,1)="-",MID(C1272,7,1)="-"),MATCH(UPPER(MID(C1272,4,3)),Guide!$D$7:$D$18,0),0)),0)</f>
        <v>1</v>
      </c>
      <c r="F1272" s="1">
        <f t="shared" si="153"/>
        <v>15</v>
      </c>
      <c r="G1272" s="9">
        <f t="shared" si="154"/>
        <v>46037</v>
      </c>
      <c r="H1272" s="1" t="str">
        <f>IF(Raw!D1272="","",Raw!D1272)</f>
        <v>P-O</v>
      </c>
      <c r="I1272" s="1" t="str">
        <f>IFERROR(IF(EXACT(H1272,INDEX(Guide!$A$7:$A$9,MATCH(SUBSTITUTE(SUBSTITUTE(SUBSTITUTE(H1272,"~","~~"),"*","~*"),"?","~?"),Guide!$A$7:$A$9,0))),INDEX(Guide!$B$7:$B$9,MATCH(SUBSTITUTE(SUBSTITUTE(SUBSTITUTE(H1272,"~","~~"),"*","~*"),"?","~?"),Guide!$A$7:$A$9,0)),""),"")</f>
        <v>Office</v>
      </c>
      <c r="J1272" s="1" t="str">
        <f>IF(TRIM(Raw!E1272)="",I1272,IF(UPPER(TRIM(Raw!E1272))=UPPER(I1272),I1272,""))</f>
        <v>Office</v>
      </c>
      <c r="K1272" s="1" t="str">
        <f>IF(Raw!F1272="","",Raw!F1272)</f>
        <v>refund</v>
      </c>
      <c r="L1272" s="1" t="str">
        <f>IF(LEFT(TRIM(Raw!G1272),2)="-$","-"&amp;MID(TRIM(Raw!G1272),3,99),IF(LEFT(TRIM(Raw!G1272),1)="$",MID(TRIM(Raw!G1272),2,99),TRIM(Raw!G1272)))</f>
        <v>-113.04</v>
      </c>
      <c r="M1272" s="1">
        <f t="shared" si="155"/>
        <v>-113.04</v>
      </c>
      <c r="N1272" s="10">
        <f t="shared" si="156"/>
        <v>-11304</v>
      </c>
      <c r="O1272" s="1" t="b">
        <f>IFERROR(IF(ISNUMBER(Raw!G1272),TRUE,OR(EXACT(L1272,TEXT(M1272,"0.00")),EXACT(L1272,TEXT(M1272,"#,##0.00")))),FALSE)</f>
        <v>1</v>
      </c>
      <c r="P1272" s="1" t="str">
        <f>LEN(IF(Raw!A1272="","",Raw!A1272))&amp;":"&amp;IF(Raw!A1272="","",Raw!A1272)&amp;"|"&amp;LEN(IF(Raw!B1272="","",Raw!B1272))&amp;":"&amp;IF(Raw!B1272="","",Raw!B1272)&amp;"|"&amp;LEN(IF(Raw!C1272="","",Raw!C1272))&amp;":"&amp;IF(Raw!C1272="","",Raw!C1272)&amp;"|"&amp;LEN(IF(Raw!D1272="","",Raw!D1272))&amp;":"&amp;IF(Raw!D1272="","",Raw!D1272)&amp;"|"&amp;LEN(IF(Raw!E1272="","",Raw!E1272))&amp;":"&amp;IF(Raw!E1272="","",Raw!E1272)&amp;"|"&amp;LEN(IF(Raw!F1272="","",Raw!F1272))&amp;":"&amp;IF(Raw!F1272="","",Raw!F1272)&amp;"|"&amp;LEN(IF(Raw!G1272="","",Raw!G1272))&amp;":"&amp;IF(Raw!G1272="","",Raw!G1272)</f>
        <v>6:L01266|6:T00633|10:2026-01-15|3:P-O|6:Office|6:refund|7:-113.04</v>
      </c>
      <c r="Q1272" s="1">
        <f>1</f>
        <v>1</v>
      </c>
      <c r="R1272" s="1" t="b">
        <f>FALSE</f>
        <v>0</v>
      </c>
      <c r="S1272" s="1">
        <f>1</f>
        <v>1</v>
      </c>
      <c r="T1272" s="1" t="str">
        <f>IF(AND(Raw!A1272="",Raw!B1272="",Raw!C1272="",Raw!D1272="",Raw!E1272="",Raw!F1272="",Raw!G1272=""),"UNUSED",IF(A1272="","missing line ID",IF(B1272="","missing transaction ID",IF(G1272="",IF(C1272="","missing date","invalid date"),IF(I1272="","unknown product",IF(J1272="","conflicting category",IF(NOT(OR(EXACT(K1272,"sale"),EXACT(K1272,"refund"))),"unknown event",IF(OR(N1272="",NOT(O1272)),"invalid amount",IF(OR(AND(K1272="sale",N1272&lt;=0),AND(K1272="refund",N1272&gt;=0)),"invalid sign","")))))))))</f>
        <v/>
      </c>
      <c r="U1272" s="1" t="str">
        <f t="shared" si="157"/>
        <v>INCLUDED</v>
      </c>
      <c r="V1272" s="1" t="str">
        <f t="shared" si="158"/>
        <v>2026-01</v>
      </c>
      <c r="W1272" s="1">
        <f>IF(AND(U1272="INCLUDED",X1272&gt;0,EXACT(A1272,'AI output'!A1272)),1,0)</f>
        <v>1</v>
      </c>
      <c r="X1272" s="1">
        <f>1272</f>
        <v>1272</v>
      </c>
      <c r="Y1272" s="1">
        <f>IF(AND(U1272="INCLUDED",W1272=1),--(NOT(EXACT(A1272,'AI output'!A1272)))+--(NOT(EXACT(B1272,'AI output'!B1272)))+--(NOT(EXACT(TEXT(G1272,"yyyy-mm-dd"),'AI output'!C1272)))+--(NOT(EXACT(H1272,'AI output'!D1272)))+--(NOT(EXACT(J1272,'AI output'!E1272)))+--(NOT(EXACT(K1272,'AI output'!F1272)))+--(N1272&lt;&gt;'AI output'!L1272)+--(NOT('AI output'!M1272)),0)</f>
        <v>0</v>
      </c>
      <c r="Z1272" s="1">
        <f t="shared" si="159"/>
        <v>0</v>
      </c>
      <c r="AA1272" s="1">
        <f>--EXACT(A1272,"L01266")</f>
        <v>1</v>
      </c>
    </row>
    <row r="1273" spans="1:27" ht="18.95" customHeight="1">
      <c r="A1273" s="1" t="str">
        <f>IF(Raw!A1273="","",Raw!A1273)</f>
        <v>L01267</v>
      </c>
      <c r="B1273" s="1" t="str">
        <f>IF(Raw!B1273="","",Raw!B1273)</f>
        <v>T00634</v>
      </c>
      <c r="C1273" s="1" t="str">
        <f>IF(Raw!C1273="","",Raw!C1273)</f>
        <v>22-Jan-2026</v>
      </c>
      <c r="D1273" s="1">
        <f t="shared" si="152"/>
        <v>2026</v>
      </c>
      <c r="E1273" s="1">
        <f>IFERROR(IF(AND(LEN(C1273)=10,MID(C1273,5,1)="-",MID(C1273,8,1)="-"),VALUE(MID(C1273,6,2)),IF(AND(LEN(C1273)=11,MID(C1273,3,1)="-",MID(C1273,7,1)="-"),MATCH(UPPER(MID(C1273,4,3)),Guide!$D$7:$D$18,0),0)),0)</f>
        <v>1</v>
      </c>
      <c r="F1273" s="1">
        <f t="shared" si="153"/>
        <v>22</v>
      </c>
      <c r="G1273" s="9">
        <f t="shared" si="154"/>
        <v>46044</v>
      </c>
      <c r="H1273" s="1" t="str">
        <f>IF(Raw!D1273="","",Raw!D1273)</f>
        <v>P-A</v>
      </c>
      <c r="I1273" s="1" t="str">
        <f>IFERROR(IF(EXACT(H1273,INDEX(Guide!$A$7:$A$9,MATCH(SUBSTITUTE(SUBSTITUTE(SUBSTITUTE(H1273,"~","~~"),"*","~*"),"?","~?"),Guide!$A$7:$A$9,0))),INDEX(Guide!$B$7:$B$9,MATCH(SUBSTITUTE(SUBSTITUTE(SUBSTITUTE(H1273,"~","~~"),"*","~*"),"?","~?"),Guide!$A$7:$A$9,0)),""),"")</f>
        <v>Accessories</v>
      </c>
      <c r="J1273" s="1" t="str">
        <f>IF(TRIM(Raw!E1273)="",I1273,IF(UPPER(TRIM(Raw!E1273))=UPPER(I1273),I1273,""))</f>
        <v>Accessories</v>
      </c>
      <c r="K1273" s="1" t="str">
        <f>IF(Raw!F1273="","",Raw!F1273)</f>
        <v>sale</v>
      </c>
      <c r="L1273" s="1" t="str">
        <f>IF(LEFT(TRIM(Raw!G1273),2)="-$","-"&amp;MID(TRIM(Raw!G1273),3,99),IF(LEFT(TRIM(Raw!G1273),1)="$",MID(TRIM(Raw!G1273),2,99),TRIM(Raw!G1273)))</f>
        <v>340.23</v>
      </c>
      <c r="M1273" s="1">
        <f t="shared" si="155"/>
        <v>340.23</v>
      </c>
      <c r="N1273" s="10">
        <f t="shared" si="156"/>
        <v>34023</v>
      </c>
      <c r="O1273" s="1" t="b">
        <f>IFERROR(IF(ISNUMBER(Raw!G1273),TRUE,OR(EXACT(L1273,TEXT(M1273,"0.00")),EXACT(L1273,TEXT(M1273,"#,##0.00")))),FALSE)</f>
        <v>1</v>
      </c>
      <c r="P1273" s="1" t="str">
        <f>LEN(IF(Raw!A1273="","",Raw!A1273))&amp;":"&amp;IF(Raw!A1273="","",Raw!A1273)&amp;"|"&amp;LEN(IF(Raw!B1273="","",Raw!B1273))&amp;":"&amp;IF(Raw!B1273="","",Raw!B1273)&amp;"|"&amp;LEN(IF(Raw!C1273="","",Raw!C1273))&amp;":"&amp;IF(Raw!C1273="","",Raw!C1273)&amp;"|"&amp;LEN(IF(Raw!D1273="","",Raw!D1273))&amp;":"&amp;IF(Raw!D1273="","",Raw!D1273)&amp;"|"&amp;LEN(IF(Raw!E1273="","",Raw!E1273))&amp;":"&amp;IF(Raw!E1273="","",Raw!E1273)&amp;"|"&amp;LEN(IF(Raw!F1273="","",Raw!F1273))&amp;":"&amp;IF(Raw!F1273="","",Raw!F1273)&amp;"|"&amp;LEN(IF(Raw!G1273="","",Raw!G1273))&amp;":"&amp;IF(Raw!G1273="","",Raw!G1273)</f>
        <v>6:L01267|6:T00634|11:22-Jan-2026|3:P-A|11:Accessories|4:sale|6:340.23</v>
      </c>
      <c r="Q1273" s="1">
        <f>1</f>
        <v>1</v>
      </c>
      <c r="R1273" s="1" t="b">
        <f>FALSE</f>
        <v>0</v>
      </c>
      <c r="S1273" s="1">
        <f>1</f>
        <v>1</v>
      </c>
      <c r="T1273" s="1" t="str">
        <f>IF(AND(Raw!A1273="",Raw!B1273="",Raw!C1273="",Raw!D1273="",Raw!E1273="",Raw!F1273="",Raw!G1273=""),"UNUSED",IF(A1273="","missing line ID",IF(B1273="","missing transaction ID",IF(G1273="",IF(C1273="","missing date","invalid date"),IF(I1273="","unknown product",IF(J1273="","conflicting category",IF(NOT(OR(EXACT(K1273,"sale"),EXACT(K1273,"refund"))),"unknown event",IF(OR(N1273="",NOT(O1273)),"invalid amount",IF(OR(AND(K1273="sale",N1273&lt;=0),AND(K1273="refund",N1273&gt;=0)),"invalid sign","")))))))))</f>
        <v/>
      </c>
      <c r="U1273" s="1" t="str">
        <f t="shared" si="157"/>
        <v>INCLUDED</v>
      </c>
      <c r="V1273" s="1" t="str">
        <f t="shared" si="158"/>
        <v>2026-01</v>
      </c>
      <c r="W1273" s="1">
        <f>IF(AND(U1273="INCLUDED",X1273&gt;0,EXACT(A1273,'AI output'!A1273)),1,0)</f>
        <v>1</v>
      </c>
      <c r="X1273" s="1">
        <f>1273</f>
        <v>1273</v>
      </c>
      <c r="Y1273" s="1">
        <f>IF(AND(U1273="INCLUDED",W1273=1),--(NOT(EXACT(A1273,'AI output'!A1273)))+--(NOT(EXACT(B1273,'AI output'!B1273)))+--(NOT(EXACT(TEXT(G1273,"yyyy-mm-dd"),'AI output'!C1273)))+--(NOT(EXACT(H1273,'AI output'!D1273)))+--(NOT(EXACT(J1273,'AI output'!E1273)))+--(NOT(EXACT(K1273,'AI output'!F1273)))+--(N1273&lt;&gt;'AI output'!L1273)+--(NOT('AI output'!M1273)),0)</f>
        <v>0</v>
      </c>
      <c r="Z1273" s="1">
        <f t="shared" si="159"/>
        <v>0</v>
      </c>
      <c r="AA1273" s="1">
        <f>--EXACT(A1273,"L01267")</f>
        <v>1</v>
      </c>
    </row>
    <row r="1274" spans="1:27" ht="18.95" customHeight="1">
      <c r="A1274" s="1" t="str">
        <f>IF(Raw!A1274="","",Raw!A1274)</f>
        <v>L01268</v>
      </c>
      <c r="B1274" s="1" t="str">
        <f>IF(Raw!B1274="","",Raw!B1274)</f>
        <v>T00634</v>
      </c>
      <c r="C1274" s="1" t="str">
        <f>IF(Raw!C1274="","",Raw!C1274)</f>
        <v>2026-01-22</v>
      </c>
      <c r="D1274" s="1">
        <f t="shared" si="152"/>
        <v>2026</v>
      </c>
      <c r="E1274" s="1">
        <f>IFERROR(IF(AND(LEN(C1274)=10,MID(C1274,5,1)="-",MID(C1274,8,1)="-"),VALUE(MID(C1274,6,2)),IF(AND(LEN(C1274)=11,MID(C1274,3,1)="-",MID(C1274,7,1)="-"),MATCH(UPPER(MID(C1274,4,3)),Guide!$D$7:$D$18,0),0)),0)</f>
        <v>1</v>
      </c>
      <c r="F1274" s="1">
        <f t="shared" si="153"/>
        <v>22</v>
      </c>
      <c r="G1274" s="9">
        <f t="shared" si="154"/>
        <v>46044</v>
      </c>
      <c r="H1274" s="1" t="str">
        <f>IF(Raw!D1274="","",Raw!D1274)</f>
        <v>P-H</v>
      </c>
      <c r="I1274" s="1" t="str">
        <f>IFERROR(IF(EXACT(H1274,INDEX(Guide!$A$7:$A$9,MATCH(SUBSTITUTE(SUBSTITUTE(SUBSTITUTE(H1274,"~","~~"),"*","~*"),"?","~?"),Guide!$A$7:$A$9,0))),INDEX(Guide!$B$7:$B$9,MATCH(SUBSTITUTE(SUBSTITUTE(SUBSTITUTE(H1274,"~","~~"),"*","~*"),"?","~?"),Guide!$A$7:$A$9,0)),""),"")</f>
        <v>Home</v>
      </c>
      <c r="J1274" s="1" t="str">
        <f>IF(TRIM(Raw!E1274)="",I1274,IF(UPPER(TRIM(Raw!E1274))=UPPER(I1274),I1274,""))</f>
        <v>Home</v>
      </c>
      <c r="K1274" s="1" t="str">
        <f>IF(Raw!F1274="","",Raw!F1274)</f>
        <v>sale</v>
      </c>
      <c r="L1274" s="1" t="str">
        <f>IF(LEFT(TRIM(Raw!G1274),2)="-$","-"&amp;MID(TRIM(Raw!G1274),3,99),IF(LEFT(TRIM(Raw!G1274),1)="$",MID(TRIM(Raw!G1274),2,99),TRIM(Raw!G1274)))</f>
        <v>568.90</v>
      </c>
      <c r="M1274" s="1">
        <f t="shared" si="155"/>
        <v>568.9</v>
      </c>
      <c r="N1274" s="10">
        <f t="shared" si="156"/>
        <v>56890</v>
      </c>
      <c r="O1274" s="1" t="b">
        <f>IFERROR(IF(ISNUMBER(Raw!G1274),TRUE,OR(EXACT(L1274,TEXT(M1274,"0.00")),EXACT(L1274,TEXT(M1274,"#,##0.00")))),FALSE)</f>
        <v>1</v>
      </c>
      <c r="P1274" s="1" t="str">
        <f>LEN(IF(Raw!A1274="","",Raw!A1274))&amp;":"&amp;IF(Raw!A1274="","",Raw!A1274)&amp;"|"&amp;LEN(IF(Raw!B1274="","",Raw!B1274))&amp;":"&amp;IF(Raw!B1274="","",Raw!B1274)&amp;"|"&amp;LEN(IF(Raw!C1274="","",Raw!C1274))&amp;":"&amp;IF(Raw!C1274="","",Raw!C1274)&amp;"|"&amp;LEN(IF(Raw!D1274="","",Raw!D1274))&amp;":"&amp;IF(Raw!D1274="","",Raw!D1274)&amp;"|"&amp;LEN(IF(Raw!E1274="","",Raw!E1274))&amp;":"&amp;IF(Raw!E1274="","",Raw!E1274)&amp;"|"&amp;LEN(IF(Raw!F1274="","",Raw!F1274))&amp;":"&amp;IF(Raw!F1274="","",Raw!F1274)&amp;"|"&amp;LEN(IF(Raw!G1274="","",Raw!G1274))&amp;":"&amp;IF(Raw!G1274="","",Raw!G1274)</f>
        <v>6:L01268|6:T00634|10:2026-01-22|3:P-H|4:Home|4:sale|6:568.90</v>
      </c>
      <c r="Q1274" s="1">
        <f>1</f>
        <v>1</v>
      </c>
      <c r="R1274" s="1" t="b">
        <f>FALSE</f>
        <v>0</v>
      </c>
      <c r="S1274" s="1">
        <f>1</f>
        <v>1</v>
      </c>
      <c r="T1274" s="1" t="str">
        <f>IF(AND(Raw!A1274="",Raw!B1274="",Raw!C1274="",Raw!D1274="",Raw!E1274="",Raw!F1274="",Raw!G1274=""),"UNUSED",IF(A1274="","missing line ID",IF(B1274="","missing transaction ID",IF(G1274="",IF(C1274="","missing date","invalid date"),IF(I1274="","unknown product",IF(J1274="","conflicting category",IF(NOT(OR(EXACT(K1274,"sale"),EXACT(K1274,"refund"))),"unknown event",IF(OR(N1274="",NOT(O1274)),"invalid amount",IF(OR(AND(K1274="sale",N1274&lt;=0),AND(K1274="refund",N1274&gt;=0)),"invalid sign","")))))))))</f>
        <v/>
      </c>
      <c r="U1274" s="1" t="str">
        <f t="shared" si="157"/>
        <v>INCLUDED</v>
      </c>
      <c r="V1274" s="1" t="str">
        <f t="shared" si="158"/>
        <v>2026-01</v>
      </c>
      <c r="W1274" s="1">
        <f>IF(AND(U1274="INCLUDED",X1274&gt;0,EXACT(A1274,'AI output'!A1274)),1,0)</f>
        <v>1</v>
      </c>
      <c r="X1274" s="1">
        <f>1274</f>
        <v>1274</v>
      </c>
      <c r="Y1274" s="1">
        <f>IF(AND(U1274="INCLUDED",W1274=1),--(NOT(EXACT(A1274,'AI output'!A1274)))+--(NOT(EXACT(B1274,'AI output'!B1274)))+--(NOT(EXACT(TEXT(G1274,"yyyy-mm-dd"),'AI output'!C1274)))+--(NOT(EXACT(H1274,'AI output'!D1274)))+--(NOT(EXACT(J1274,'AI output'!E1274)))+--(NOT(EXACT(K1274,'AI output'!F1274)))+--(N1274&lt;&gt;'AI output'!L1274)+--(NOT('AI output'!M1274)),0)</f>
        <v>0</v>
      </c>
      <c r="Z1274" s="1">
        <f t="shared" si="159"/>
        <v>0</v>
      </c>
      <c r="AA1274" s="1">
        <f>--EXACT(A1274,"L01268")</f>
        <v>1</v>
      </c>
    </row>
    <row r="1275" spans="1:27" ht="18.95" customHeight="1">
      <c r="A1275" s="1" t="str">
        <f>IF(Raw!A1275="","",Raw!A1275)</f>
        <v>L01269</v>
      </c>
      <c r="B1275" s="1" t="str">
        <f>IF(Raw!B1275="","",Raw!B1275)</f>
        <v>T00635</v>
      </c>
      <c r="C1275" s="1" t="str">
        <f>IF(Raw!C1275="","",Raw!C1275)</f>
        <v>2026-01-29</v>
      </c>
      <c r="D1275" s="1">
        <f t="shared" si="152"/>
        <v>2026</v>
      </c>
      <c r="E1275" s="1">
        <f>IFERROR(IF(AND(LEN(C1275)=10,MID(C1275,5,1)="-",MID(C1275,8,1)="-"),VALUE(MID(C1275,6,2)),IF(AND(LEN(C1275)=11,MID(C1275,3,1)="-",MID(C1275,7,1)="-"),MATCH(UPPER(MID(C1275,4,3)),Guide!$D$7:$D$18,0),0)),0)</f>
        <v>1</v>
      </c>
      <c r="F1275" s="1">
        <f t="shared" si="153"/>
        <v>29</v>
      </c>
      <c r="G1275" s="9">
        <f t="shared" si="154"/>
        <v>46051</v>
      </c>
      <c r="H1275" s="1" t="str">
        <f>IF(Raw!D1275="","",Raw!D1275)</f>
        <v>P-O</v>
      </c>
      <c r="I1275" s="1" t="str">
        <f>IFERROR(IF(EXACT(H1275,INDEX(Guide!$A$7:$A$9,MATCH(SUBSTITUTE(SUBSTITUTE(SUBSTITUTE(H1275,"~","~~"),"*","~*"),"?","~?"),Guide!$A$7:$A$9,0))),INDEX(Guide!$B$7:$B$9,MATCH(SUBSTITUTE(SUBSTITUTE(SUBSTITUTE(H1275,"~","~~"),"*","~*"),"?","~?"),Guide!$A$7:$A$9,0)),""),"")</f>
        <v>Office</v>
      </c>
      <c r="J1275" s="1" t="str">
        <f>IF(TRIM(Raw!E1275)="",I1275,IF(UPPER(TRIM(Raw!E1275))=UPPER(I1275),I1275,""))</f>
        <v>Office</v>
      </c>
      <c r="K1275" s="1" t="str">
        <f>IF(Raw!F1275="","",Raw!F1275)</f>
        <v>sale</v>
      </c>
      <c r="L1275" s="1" t="str">
        <f>IF(LEFT(TRIM(Raw!G1275),2)="-$","-"&amp;MID(TRIM(Raw!G1275),3,99),IF(LEFT(TRIM(Raw!G1275),1)="$",MID(TRIM(Raw!G1275),2,99),TRIM(Raw!G1275)))</f>
        <v>228.30</v>
      </c>
      <c r="M1275" s="1">
        <f t="shared" si="155"/>
        <v>228.3</v>
      </c>
      <c r="N1275" s="10">
        <f t="shared" si="156"/>
        <v>22830</v>
      </c>
      <c r="O1275" s="1" t="b">
        <f>IFERROR(IF(ISNUMBER(Raw!G1275),TRUE,OR(EXACT(L1275,TEXT(M1275,"0.00")),EXACT(L1275,TEXT(M1275,"#,##0.00")))),FALSE)</f>
        <v>1</v>
      </c>
      <c r="P1275" s="1" t="str">
        <f>LEN(IF(Raw!A1275="","",Raw!A1275))&amp;":"&amp;IF(Raw!A1275="","",Raw!A1275)&amp;"|"&amp;LEN(IF(Raw!B1275="","",Raw!B1275))&amp;":"&amp;IF(Raw!B1275="","",Raw!B1275)&amp;"|"&amp;LEN(IF(Raw!C1275="","",Raw!C1275))&amp;":"&amp;IF(Raw!C1275="","",Raw!C1275)&amp;"|"&amp;LEN(IF(Raw!D1275="","",Raw!D1275))&amp;":"&amp;IF(Raw!D1275="","",Raw!D1275)&amp;"|"&amp;LEN(IF(Raw!E1275="","",Raw!E1275))&amp;":"&amp;IF(Raw!E1275="","",Raw!E1275)&amp;"|"&amp;LEN(IF(Raw!F1275="","",Raw!F1275))&amp;":"&amp;IF(Raw!F1275="","",Raw!F1275)&amp;"|"&amp;LEN(IF(Raw!G1275="","",Raw!G1275))&amp;":"&amp;IF(Raw!G1275="","",Raw!G1275)</f>
        <v>6:L01269|6:T00635|10:2026-01-29|3:P-O|6:Office|4:sale|6:228.30</v>
      </c>
      <c r="Q1275" s="1">
        <f>1</f>
        <v>1</v>
      </c>
      <c r="R1275" s="1" t="b">
        <f>FALSE</f>
        <v>0</v>
      </c>
      <c r="S1275" s="1">
        <f>1</f>
        <v>1</v>
      </c>
      <c r="T1275" s="1" t="str">
        <f>IF(AND(Raw!A1275="",Raw!B1275="",Raw!C1275="",Raw!D1275="",Raw!E1275="",Raw!F1275="",Raw!G1275=""),"UNUSED",IF(A1275="","missing line ID",IF(B1275="","missing transaction ID",IF(G1275="",IF(C1275="","missing date","invalid date"),IF(I1275="","unknown product",IF(J1275="","conflicting category",IF(NOT(OR(EXACT(K1275,"sale"),EXACT(K1275,"refund"))),"unknown event",IF(OR(N1275="",NOT(O1275)),"invalid amount",IF(OR(AND(K1275="sale",N1275&lt;=0),AND(K1275="refund",N1275&gt;=0)),"invalid sign","")))))))))</f>
        <v/>
      </c>
      <c r="U1275" s="1" t="str">
        <f t="shared" si="157"/>
        <v>INCLUDED</v>
      </c>
      <c r="V1275" s="1" t="str">
        <f t="shared" si="158"/>
        <v>2026-01</v>
      </c>
      <c r="W1275" s="1">
        <f>IF(AND(U1275="INCLUDED",X1275&gt;0,EXACT(A1275,'AI output'!A1275)),1,0)</f>
        <v>1</v>
      </c>
      <c r="X1275" s="1">
        <f>1275</f>
        <v>1275</v>
      </c>
      <c r="Y1275" s="1">
        <f>IF(AND(U1275="INCLUDED",W1275=1),--(NOT(EXACT(A1275,'AI output'!A1275)))+--(NOT(EXACT(B1275,'AI output'!B1275)))+--(NOT(EXACT(TEXT(G1275,"yyyy-mm-dd"),'AI output'!C1275)))+--(NOT(EXACT(H1275,'AI output'!D1275)))+--(NOT(EXACT(J1275,'AI output'!E1275)))+--(NOT(EXACT(K1275,'AI output'!F1275)))+--(N1275&lt;&gt;'AI output'!L1275)+--(NOT('AI output'!M1275)),0)</f>
        <v>0</v>
      </c>
      <c r="Z1275" s="1">
        <f t="shared" si="159"/>
        <v>0</v>
      </c>
      <c r="AA1275" s="1">
        <f>--EXACT(A1275,"L01269")</f>
        <v>1</v>
      </c>
    </row>
    <row r="1276" spans="1:27" ht="18.95" customHeight="1">
      <c r="A1276" s="1" t="str">
        <f>IF(Raw!A1276="","",Raw!A1276)</f>
        <v>L01270</v>
      </c>
      <c r="B1276" s="1" t="str">
        <f>IF(Raw!B1276="","",Raw!B1276)</f>
        <v>T00635</v>
      </c>
      <c r="C1276" s="1" t="str">
        <f>IF(Raw!C1276="","",Raw!C1276)</f>
        <v>2026-01-29</v>
      </c>
      <c r="D1276" s="1">
        <f t="shared" si="152"/>
        <v>2026</v>
      </c>
      <c r="E1276" s="1">
        <f>IFERROR(IF(AND(LEN(C1276)=10,MID(C1276,5,1)="-",MID(C1276,8,1)="-"),VALUE(MID(C1276,6,2)),IF(AND(LEN(C1276)=11,MID(C1276,3,1)="-",MID(C1276,7,1)="-"),MATCH(UPPER(MID(C1276,4,3)),Guide!$D$7:$D$18,0),0)),0)</f>
        <v>1</v>
      </c>
      <c r="F1276" s="1">
        <f t="shared" si="153"/>
        <v>29</v>
      </c>
      <c r="G1276" s="9">
        <f t="shared" si="154"/>
        <v>46051</v>
      </c>
      <c r="H1276" s="1" t="str">
        <f>IF(Raw!D1276="","",Raw!D1276)</f>
        <v>P-A</v>
      </c>
      <c r="I1276" s="1" t="str">
        <f>IFERROR(IF(EXACT(H1276,INDEX(Guide!$A$7:$A$9,MATCH(SUBSTITUTE(SUBSTITUTE(SUBSTITUTE(H1276,"~","~~"),"*","~*"),"?","~?"),Guide!$A$7:$A$9,0))),INDEX(Guide!$B$7:$B$9,MATCH(SUBSTITUTE(SUBSTITUTE(SUBSTITUTE(H1276,"~","~~"),"*","~*"),"?","~?"),Guide!$A$7:$A$9,0)),""),"")</f>
        <v>Accessories</v>
      </c>
      <c r="J1276" s="1" t="str">
        <f>IF(TRIM(Raw!E1276)="",I1276,IF(UPPER(TRIM(Raw!E1276))=UPPER(I1276),I1276,""))</f>
        <v>Accessories</v>
      </c>
      <c r="K1276" s="1" t="str">
        <f>IF(Raw!F1276="","",Raw!F1276)</f>
        <v>sale</v>
      </c>
      <c r="L1276" s="1" t="str">
        <f>IF(LEFT(TRIM(Raw!G1276),2)="-$","-"&amp;MID(TRIM(Raw!G1276),3,99),IF(LEFT(TRIM(Raw!G1276),1)="$",MID(TRIM(Raw!G1276),2,99),TRIM(Raw!G1276)))</f>
        <v>458.08</v>
      </c>
      <c r="M1276" s="1">
        <f t="shared" si="155"/>
        <v>458.08</v>
      </c>
      <c r="N1276" s="10">
        <f t="shared" si="156"/>
        <v>45808</v>
      </c>
      <c r="O1276" s="1" t="b">
        <f>IFERROR(IF(ISNUMBER(Raw!G1276),TRUE,OR(EXACT(L1276,TEXT(M1276,"0.00")),EXACT(L1276,TEXT(M1276,"#,##0.00")))),FALSE)</f>
        <v>1</v>
      </c>
      <c r="P1276" s="1" t="str">
        <f>LEN(IF(Raw!A1276="","",Raw!A1276))&amp;":"&amp;IF(Raw!A1276="","",Raw!A1276)&amp;"|"&amp;LEN(IF(Raw!B1276="","",Raw!B1276))&amp;":"&amp;IF(Raw!B1276="","",Raw!B1276)&amp;"|"&amp;LEN(IF(Raw!C1276="","",Raw!C1276))&amp;":"&amp;IF(Raw!C1276="","",Raw!C1276)&amp;"|"&amp;LEN(IF(Raw!D1276="","",Raw!D1276))&amp;":"&amp;IF(Raw!D1276="","",Raw!D1276)&amp;"|"&amp;LEN(IF(Raw!E1276="","",Raw!E1276))&amp;":"&amp;IF(Raw!E1276="","",Raw!E1276)&amp;"|"&amp;LEN(IF(Raw!F1276="","",Raw!F1276))&amp;":"&amp;IF(Raw!F1276="","",Raw!F1276)&amp;"|"&amp;LEN(IF(Raw!G1276="","",Raw!G1276))&amp;":"&amp;IF(Raw!G1276="","",Raw!G1276)</f>
        <v>6:L01270|6:T00635|10:2026-01-29|3:P-A|11:Accessories|4:sale|6:458.08</v>
      </c>
      <c r="Q1276" s="1">
        <f>1</f>
        <v>1</v>
      </c>
      <c r="R1276" s="1" t="b">
        <f>FALSE</f>
        <v>0</v>
      </c>
      <c r="S1276" s="1">
        <f>1</f>
        <v>1</v>
      </c>
      <c r="T1276" s="1" t="str">
        <f>IF(AND(Raw!A1276="",Raw!B1276="",Raw!C1276="",Raw!D1276="",Raw!E1276="",Raw!F1276="",Raw!G1276=""),"UNUSED",IF(A1276="","missing line ID",IF(B1276="","missing transaction ID",IF(G1276="",IF(C1276="","missing date","invalid date"),IF(I1276="","unknown product",IF(J1276="","conflicting category",IF(NOT(OR(EXACT(K1276,"sale"),EXACT(K1276,"refund"))),"unknown event",IF(OR(N1276="",NOT(O1276)),"invalid amount",IF(OR(AND(K1276="sale",N1276&lt;=0),AND(K1276="refund",N1276&gt;=0)),"invalid sign","")))))))))</f>
        <v/>
      </c>
      <c r="U1276" s="1" t="str">
        <f t="shared" si="157"/>
        <v>INCLUDED</v>
      </c>
      <c r="V1276" s="1" t="str">
        <f t="shared" si="158"/>
        <v>2026-01</v>
      </c>
      <c r="W1276" s="1">
        <f>IF(AND(U1276="INCLUDED",X1276&gt;0,EXACT(A1276,'AI output'!A1276)),1,0)</f>
        <v>1</v>
      </c>
      <c r="X1276" s="1">
        <f>1276</f>
        <v>1276</v>
      </c>
      <c r="Y1276" s="1">
        <f>IF(AND(U1276="INCLUDED",W1276=1),--(NOT(EXACT(A1276,'AI output'!A1276)))+--(NOT(EXACT(B1276,'AI output'!B1276)))+--(NOT(EXACT(TEXT(G1276,"yyyy-mm-dd"),'AI output'!C1276)))+--(NOT(EXACT(H1276,'AI output'!D1276)))+--(NOT(EXACT(J1276,'AI output'!E1276)))+--(NOT(EXACT(K1276,'AI output'!F1276)))+--(N1276&lt;&gt;'AI output'!L1276)+--(NOT('AI output'!M1276)),0)</f>
        <v>0</v>
      </c>
      <c r="Z1276" s="1">
        <f t="shared" si="159"/>
        <v>0</v>
      </c>
      <c r="AA1276" s="1">
        <f>--EXACT(A1276,"L01270")</f>
        <v>1</v>
      </c>
    </row>
    <row r="1277" spans="1:27" ht="18.95" customHeight="1">
      <c r="A1277" s="1" t="str">
        <f>IF(Raw!A1277="","",Raw!A1277)</f>
        <v>L01271</v>
      </c>
      <c r="B1277" s="1" t="str">
        <f>IF(Raw!B1277="","",Raw!B1277)</f>
        <v>T00636</v>
      </c>
      <c r="C1277" s="1" t="str">
        <f>IF(Raw!C1277="","",Raw!C1277)</f>
        <v>2026-02-05</v>
      </c>
      <c r="D1277" s="1">
        <f t="shared" si="152"/>
        <v>2026</v>
      </c>
      <c r="E1277" s="1">
        <f>IFERROR(IF(AND(LEN(C1277)=10,MID(C1277,5,1)="-",MID(C1277,8,1)="-"),VALUE(MID(C1277,6,2)),IF(AND(LEN(C1277)=11,MID(C1277,3,1)="-",MID(C1277,7,1)="-"),MATCH(UPPER(MID(C1277,4,3)),Guide!$D$7:$D$18,0),0)),0)</f>
        <v>2</v>
      </c>
      <c r="F1277" s="1">
        <f t="shared" si="153"/>
        <v>5</v>
      </c>
      <c r="G1277" s="9">
        <f t="shared" si="154"/>
        <v>46058</v>
      </c>
      <c r="H1277" s="1" t="str">
        <f>IF(Raw!D1277="","",Raw!D1277)</f>
        <v>P-H</v>
      </c>
      <c r="I1277" s="1" t="str">
        <f>IFERROR(IF(EXACT(H1277,INDEX(Guide!$A$7:$A$9,MATCH(SUBSTITUTE(SUBSTITUTE(SUBSTITUTE(H1277,"~","~~"),"*","~*"),"?","~?"),Guide!$A$7:$A$9,0))),INDEX(Guide!$B$7:$B$9,MATCH(SUBSTITUTE(SUBSTITUTE(SUBSTITUTE(H1277,"~","~~"),"*","~*"),"?","~?"),Guide!$A$7:$A$9,0)),""),"")</f>
        <v>Home</v>
      </c>
      <c r="J1277" s="1" t="str">
        <f>IF(TRIM(Raw!E1277)="",I1277,IF(UPPER(TRIM(Raw!E1277))=UPPER(I1277),I1277,""))</f>
        <v>Home</v>
      </c>
      <c r="K1277" s="1" t="str">
        <f>IF(Raw!F1277="","",Raw!F1277)</f>
        <v>sale</v>
      </c>
      <c r="L1277" s="1" t="str">
        <f>IF(LEFT(TRIM(Raw!G1277),2)="-$","-"&amp;MID(TRIM(Raw!G1277),3,99),IF(LEFT(TRIM(Raw!G1277),1)="$",MID(TRIM(Raw!G1277),2,99),TRIM(Raw!G1277)))</f>
        <v>114.89</v>
      </c>
      <c r="M1277" s="1">
        <f t="shared" si="155"/>
        <v>114.89</v>
      </c>
      <c r="N1277" s="10">
        <f t="shared" si="156"/>
        <v>11489</v>
      </c>
      <c r="O1277" s="1" t="b">
        <f>IFERROR(IF(ISNUMBER(Raw!G1277),TRUE,OR(EXACT(L1277,TEXT(M1277,"0.00")),EXACT(L1277,TEXT(M1277,"#,##0.00")))),FALSE)</f>
        <v>1</v>
      </c>
      <c r="P1277" s="1" t="str">
        <f>LEN(IF(Raw!A1277="","",Raw!A1277))&amp;":"&amp;IF(Raw!A1277="","",Raw!A1277)&amp;"|"&amp;LEN(IF(Raw!B1277="","",Raw!B1277))&amp;":"&amp;IF(Raw!B1277="","",Raw!B1277)&amp;"|"&amp;LEN(IF(Raw!C1277="","",Raw!C1277))&amp;":"&amp;IF(Raw!C1277="","",Raw!C1277)&amp;"|"&amp;LEN(IF(Raw!D1277="","",Raw!D1277))&amp;":"&amp;IF(Raw!D1277="","",Raw!D1277)&amp;"|"&amp;LEN(IF(Raw!E1277="","",Raw!E1277))&amp;":"&amp;IF(Raw!E1277="","",Raw!E1277)&amp;"|"&amp;LEN(IF(Raw!F1277="","",Raw!F1277))&amp;":"&amp;IF(Raw!F1277="","",Raw!F1277)&amp;"|"&amp;LEN(IF(Raw!G1277="","",Raw!G1277))&amp;":"&amp;IF(Raw!G1277="","",Raw!G1277)</f>
        <v>6:L01271|6:T00636|10:2026-02-05|3:P-H|4:Home|4:sale|6:114.89</v>
      </c>
      <c r="Q1277" s="1">
        <f>1</f>
        <v>1</v>
      </c>
      <c r="R1277" s="1" t="b">
        <f>FALSE</f>
        <v>0</v>
      </c>
      <c r="S1277" s="1">
        <f>1</f>
        <v>1</v>
      </c>
      <c r="T1277" s="1" t="str">
        <f>IF(AND(Raw!A1277="",Raw!B1277="",Raw!C1277="",Raw!D1277="",Raw!E1277="",Raw!F1277="",Raw!G1277=""),"UNUSED",IF(A1277="","missing line ID",IF(B1277="","missing transaction ID",IF(G1277="",IF(C1277="","missing date","invalid date"),IF(I1277="","unknown product",IF(J1277="","conflicting category",IF(NOT(OR(EXACT(K1277,"sale"),EXACT(K1277,"refund"))),"unknown event",IF(OR(N1277="",NOT(O1277)),"invalid amount",IF(OR(AND(K1277="sale",N1277&lt;=0),AND(K1277="refund",N1277&gt;=0)),"invalid sign","")))))))))</f>
        <v/>
      </c>
      <c r="U1277" s="1" t="str">
        <f t="shared" si="157"/>
        <v>INCLUDED</v>
      </c>
      <c r="V1277" s="1" t="str">
        <f t="shared" si="158"/>
        <v>2026-02</v>
      </c>
      <c r="W1277" s="1">
        <f>IF(AND(U1277="INCLUDED",X1277&gt;0,EXACT(A1277,'AI output'!A1277)),1,0)</f>
        <v>1</v>
      </c>
      <c r="X1277" s="1">
        <f>1277</f>
        <v>1277</v>
      </c>
      <c r="Y1277" s="1">
        <f>IF(AND(U1277="INCLUDED",W1277=1),--(NOT(EXACT(A1277,'AI output'!A1277)))+--(NOT(EXACT(B1277,'AI output'!B1277)))+--(NOT(EXACT(TEXT(G1277,"yyyy-mm-dd"),'AI output'!C1277)))+--(NOT(EXACT(H1277,'AI output'!D1277)))+--(NOT(EXACT(J1277,'AI output'!E1277)))+--(NOT(EXACT(K1277,'AI output'!F1277)))+--(N1277&lt;&gt;'AI output'!L1277)+--(NOT('AI output'!M1277)),0)</f>
        <v>0</v>
      </c>
      <c r="Z1277" s="1">
        <f t="shared" si="159"/>
        <v>0</v>
      </c>
      <c r="AA1277" s="1">
        <f>--EXACT(A1277,"L01271")</f>
        <v>1</v>
      </c>
    </row>
    <row r="1278" spans="1:27" ht="18.95" customHeight="1">
      <c r="A1278" s="1" t="str">
        <f>IF(Raw!A1278="","",Raw!A1278)</f>
        <v>L01272</v>
      </c>
      <c r="B1278" s="1" t="str">
        <f>IF(Raw!B1278="","",Raw!B1278)</f>
        <v>T00636</v>
      </c>
      <c r="C1278" s="1" t="str">
        <f>IF(Raw!C1278="","",Raw!C1278)</f>
        <v>2026-02-05</v>
      </c>
      <c r="D1278" s="1">
        <f t="shared" si="152"/>
        <v>2026</v>
      </c>
      <c r="E1278" s="1">
        <f>IFERROR(IF(AND(LEN(C1278)=10,MID(C1278,5,1)="-",MID(C1278,8,1)="-"),VALUE(MID(C1278,6,2)),IF(AND(LEN(C1278)=11,MID(C1278,3,1)="-",MID(C1278,7,1)="-"),MATCH(UPPER(MID(C1278,4,3)),Guide!$D$7:$D$18,0),0)),0)</f>
        <v>2</v>
      </c>
      <c r="F1278" s="1">
        <f t="shared" si="153"/>
        <v>5</v>
      </c>
      <c r="G1278" s="9">
        <f t="shared" si="154"/>
        <v>46058</v>
      </c>
      <c r="H1278" s="1" t="str">
        <f>IF(Raw!D1278="","",Raw!D1278)</f>
        <v>P-O</v>
      </c>
      <c r="I1278" s="1" t="str">
        <f>IFERROR(IF(EXACT(H1278,INDEX(Guide!$A$7:$A$9,MATCH(SUBSTITUTE(SUBSTITUTE(SUBSTITUTE(H1278,"~","~~"),"*","~*"),"?","~?"),Guide!$A$7:$A$9,0))),INDEX(Guide!$B$7:$B$9,MATCH(SUBSTITUTE(SUBSTITUTE(SUBSTITUTE(H1278,"~","~~"),"*","~*"),"?","~?"),Guide!$A$7:$A$9,0)),""),"")</f>
        <v>Office</v>
      </c>
      <c r="J1278" s="1" t="str">
        <f>IF(TRIM(Raw!E1278)="",I1278,IF(UPPER(TRIM(Raw!E1278))=UPPER(I1278),I1278,""))</f>
        <v>Office</v>
      </c>
      <c r="K1278" s="1" t="str">
        <f>IF(Raw!F1278="","",Raw!F1278)</f>
        <v>sale</v>
      </c>
      <c r="L1278" s="1" t="str">
        <f>IF(LEFT(TRIM(Raw!G1278),2)="-$","-"&amp;MID(TRIM(Raw!G1278),3,99),IF(LEFT(TRIM(Raw!G1278),1)="$",MID(TRIM(Raw!G1278),2,99),TRIM(Raw!G1278)))</f>
        <v>345.78</v>
      </c>
      <c r="M1278" s="1">
        <f t="shared" si="155"/>
        <v>345.78</v>
      </c>
      <c r="N1278" s="10">
        <f t="shared" si="156"/>
        <v>34578</v>
      </c>
      <c r="O1278" s="1" t="b">
        <f>IFERROR(IF(ISNUMBER(Raw!G1278),TRUE,OR(EXACT(L1278,TEXT(M1278,"0.00")),EXACT(L1278,TEXT(M1278,"#,##0.00")))),FALSE)</f>
        <v>1</v>
      </c>
      <c r="P1278" s="1" t="str">
        <f>LEN(IF(Raw!A1278="","",Raw!A1278))&amp;":"&amp;IF(Raw!A1278="","",Raw!A1278)&amp;"|"&amp;LEN(IF(Raw!B1278="","",Raw!B1278))&amp;":"&amp;IF(Raw!B1278="","",Raw!B1278)&amp;"|"&amp;LEN(IF(Raw!C1278="","",Raw!C1278))&amp;":"&amp;IF(Raw!C1278="","",Raw!C1278)&amp;"|"&amp;LEN(IF(Raw!D1278="","",Raw!D1278))&amp;":"&amp;IF(Raw!D1278="","",Raw!D1278)&amp;"|"&amp;LEN(IF(Raw!E1278="","",Raw!E1278))&amp;":"&amp;IF(Raw!E1278="","",Raw!E1278)&amp;"|"&amp;LEN(IF(Raw!F1278="","",Raw!F1278))&amp;":"&amp;IF(Raw!F1278="","",Raw!F1278)&amp;"|"&amp;LEN(IF(Raw!G1278="","",Raw!G1278))&amp;":"&amp;IF(Raw!G1278="","",Raw!G1278)</f>
        <v>6:L01272|6:T00636|10:2026-02-05|3:P-O|6:Office|4:sale|6:345.78</v>
      </c>
      <c r="Q1278" s="1">
        <f>1</f>
        <v>1</v>
      </c>
      <c r="R1278" s="1" t="b">
        <f>FALSE</f>
        <v>0</v>
      </c>
      <c r="S1278" s="1">
        <f>1</f>
        <v>1</v>
      </c>
      <c r="T1278" s="1" t="str">
        <f>IF(AND(Raw!A1278="",Raw!B1278="",Raw!C1278="",Raw!D1278="",Raw!E1278="",Raw!F1278="",Raw!G1278=""),"UNUSED",IF(A1278="","missing line ID",IF(B1278="","missing transaction ID",IF(G1278="",IF(C1278="","missing date","invalid date"),IF(I1278="","unknown product",IF(J1278="","conflicting category",IF(NOT(OR(EXACT(K1278,"sale"),EXACT(K1278,"refund"))),"unknown event",IF(OR(N1278="",NOT(O1278)),"invalid amount",IF(OR(AND(K1278="sale",N1278&lt;=0),AND(K1278="refund",N1278&gt;=0)),"invalid sign","")))))))))</f>
        <v/>
      </c>
      <c r="U1278" s="1" t="str">
        <f t="shared" si="157"/>
        <v>INCLUDED</v>
      </c>
      <c r="V1278" s="1" t="str">
        <f t="shared" si="158"/>
        <v>2026-02</v>
      </c>
      <c r="W1278" s="1">
        <f>IF(AND(U1278="INCLUDED",X1278&gt;0,EXACT(A1278,'AI output'!A1278)),1,0)</f>
        <v>1</v>
      </c>
      <c r="X1278" s="1">
        <f>1278</f>
        <v>1278</v>
      </c>
      <c r="Y1278" s="1">
        <f>IF(AND(U1278="INCLUDED",W1278=1),--(NOT(EXACT(A1278,'AI output'!A1278)))+--(NOT(EXACT(B1278,'AI output'!B1278)))+--(NOT(EXACT(TEXT(G1278,"yyyy-mm-dd"),'AI output'!C1278)))+--(NOT(EXACT(H1278,'AI output'!D1278)))+--(NOT(EXACT(J1278,'AI output'!E1278)))+--(NOT(EXACT(K1278,'AI output'!F1278)))+--(N1278&lt;&gt;'AI output'!L1278)+--(NOT('AI output'!M1278)),0)</f>
        <v>0</v>
      </c>
      <c r="Z1278" s="1">
        <f t="shared" si="159"/>
        <v>0</v>
      </c>
      <c r="AA1278" s="1">
        <f>--EXACT(A1278,"L01272")</f>
        <v>1</v>
      </c>
    </row>
    <row r="1279" spans="1:27" ht="18.95" customHeight="1">
      <c r="A1279" s="1" t="str">
        <f>IF(Raw!A1279="","",Raw!A1279)</f>
        <v>L01273</v>
      </c>
      <c r="B1279" s="1" t="str">
        <f>IF(Raw!B1279="","",Raw!B1279)</f>
        <v>T00637</v>
      </c>
      <c r="C1279" s="1" t="str">
        <f>IF(Raw!C1279="","",Raw!C1279)</f>
        <v>2026-02-12</v>
      </c>
      <c r="D1279" s="1">
        <f t="shared" si="152"/>
        <v>2026</v>
      </c>
      <c r="E1279" s="1">
        <f>IFERROR(IF(AND(LEN(C1279)=10,MID(C1279,5,1)="-",MID(C1279,8,1)="-"),VALUE(MID(C1279,6,2)),IF(AND(LEN(C1279)=11,MID(C1279,3,1)="-",MID(C1279,7,1)="-"),MATCH(UPPER(MID(C1279,4,3)),Guide!$D$7:$D$18,0),0)),0)</f>
        <v>2</v>
      </c>
      <c r="F1279" s="1">
        <f t="shared" si="153"/>
        <v>12</v>
      </c>
      <c r="G1279" s="9">
        <f t="shared" si="154"/>
        <v>46065</v>
      </c>
      <c r="H1279" s="1" t="str">
        <f>IF(Raw!D1279="","",Raw!D1279)</f>
        <v>P-A</v>
      </c>
      <c r="I1279" s="1" t="str">
        <f>IFERROR(IF(EXACT(H1279,INDEX(Guide!$A$7:$A$9,MATCH(SUBSTITUTE(SUBSTITUTE(SUBSTITUTE(H1279,"~","~~"),"*","~*"),"?","~?"),Guide!$A$7:$A$9,0))),INDEX(Guide!$B$7:$B$9,MATCH(SUBSTITUTE(SUBSTITUTE(SUBSTITUTE(H1279,"~","~~"),"*","~*"),"?","~?"),Guide!$A$7:$A$9,0)),""),"")</f>
        <v>Accessories</v>
      </c>
      <c r="J1279" s="1" t="str">
        <f>IF(TRIM(Raw!E1279)="",I1279,IF(UPPER(TRIM(Raw!E1279))=UPPER(I1279),I1279,""))</f>
        <v>Accessories</v>
      </c>
      <c r="K1279" s="1" t="str">
        <f>IF(Raw!F1279="","",Raw!F1279)</f>
        <v>sale</v>
      </c>
      <c r="L1279" s="1" t="str">
        <f>IF(LEFT(TRIM(Raw!G1279),2)="-$","-"&amp;MID(TRIM(Raw!G1279),3,99),IF(LEFT(TRIM(Raw!G1279),1)="$",MID(TRIM(Raw!G1279),2,99),TRIM(Raw!G1279)))</f>
        <v>578.15</v>
      </c>
      <c r="M1279" s="1">
        <f t="shared" si="155"/>
        <v>578.15</v>
      </c>
      <c r="N1279" s="10">
        <f t="shared" si="156"/>
        <v>57815</v>
      </c>
      <c r="O1279" s="1" t="b">
        <f>IFERROR(IF(ISNUMBER(Raw!G1279),TRUE,OR(EXACT(L1279,TEXT(M1279,"0.00")),EXACT(L1279,TEXT(M1279,"#,##0.00")))),FALSE)</f>
        <v>1</v>
      </c>
      <c r="P1279" s="1" t="str">
        <f>LEN(IF(Raw!A1279="","",Raw!A1279))&amp;":"&amp;IF(Raw!A1279="","",Raw!A1279)&amp;"|"&amp;LEN(IF(Raw!B1279="","",Raw!B1279))&amp;":"&amp;IF(Raw!B1279="","",Raw!B1279)&amp;"|"&amp;LEN(IF(Raw!C1279="","",Raw!C1279))&amp;":"&amp;IF(Raw!C1279="","",Raw!C1279)&amp;"|"&amp;LEN(IF(Raw!D1279="","",Raw!D1279))&amp;":"&amp;IF(Raw!D1279="","",Raw!D1279)&amp;"|"&amp;LEN(IF(Raw!E1279="","",Raw!E1279))&amp;":"&amp;IF(Raw!E1279="","",Raw!E1279)&amp;"|"&amp;LEN(IF(Raw!F1279="","",Raw!F1279))&amp;":"&amp;IF(Raw!F1279="","",Raw!F1279)&amp;"|"&amp;LEN(IF(Raw!G1279="","",Raw!G1279))&amp;":"&amp;IF(Raw!G1279="","",Raw!G1279)</f>
        <v>6:L01273|6:T00637|10:2026-02-12|3:P-A|11:Accessories|4:sale|6:578.15</v>
      </c>
      <c r="Q1279" s="1">
        <f>1</f>
        <v>1</v>
      </c>
      <c r="R1279" s="1" t="b">
        <f>FALSE</f>
        <v>0</v>
      </c>
      <c r="S1279" s="1">
        <f>1</f>
        <v>1</v>
      </c>
      <c r="T1279" s="1" t="str">
        <f>IF(AND(Raw!A1279="",Raw!B1279="",Raw!C1279="",Raw!D1279="",Raw!E1279="",Raw!F1279="",Raw!G1279=""),"UNUSED",IF(A1279="","missing line ID",IF(B1279="","missing transaction ID",IF(G1279="",IF(C1279="","missing date","invalid date"),IF(I1279="","unknown product",IF(J1279="","conflicting category",IF(NOT(OR(EXACT(K1279,"sale"),EXACT(K1279,"refund"))),"unknown event",IF(OR(N1279="",NOT(O1279)),"invalid amount",IF(OR(AND(K1279="sale",N1279&lt;=0),AND(K1279="refund",N1279&gt;=0)),"invalid sign","")))))))))</f>
        <v/>
      </c>
      <c r="U1279" s="1" t="str">
        <f t="shared" si="157"/>
        <v>INCLUDED</v>
      </c>
      <c r="V1279" s="1" t="str">
        <f t="shared" si="158"/>
        <v>2026-02</v>
      </c>
      <c r="W1279" s="1">
        <f>IF(AND(U1279="INCLUDED",X1279&gt;0,EXACT(A1279,'AI output'!A1279)),1,0)</f>
        <v>1</v>
      </c>
      <c r="X1279" s="1">
        <f>1279</f>
        <v>1279</v>
      </c>
      <c r="Y1279" s="1">
        <f>IF(AND(U1279="INCLUDED",W1279=1),--(NOT(EXACT(A1279,'AI output'!A1279)))+--(NOT(EXACT(B1279,'AI output'!B1279)))+--(NOT(EXACT(TEXT(G1279,"yyyy-mm-dd"),'AI output'!C1279)))+--(NOT(EXACT(H1279,'AI output'!D1279)))+--(NOT(EXACT(J1279,'AI output'!E1279)))+--(NOT(EXACT(K1279,'AI output'!F1279)))+--(N1279&lt;&gt;'AI output'!L1279)+--(NOT('AI output'!M1279)),0)</f>
        <v>0</v>
      </c>
      <c r="Z1279" s="1">
        <f t="shared" si="159"/>
        <v>0</v>
      </c>
      <c r="AA1279" s="1">
        <f>--EXACT(A1279,"L01273")</f>
        <v>1</v>
      </c>
    </row>
    <row r="1280" spans="1:27" ht="18.95" customHeight="1">
      <c r="A1280" s="1" t="str">
        <f>IF(Raw!A1280="","",Raw!A1280)</f>
        <v>L01274</v>
      </c>
      <c r="B1280" s="1" t="str">
        <f>IF(Raw!B1280="","",Raw!B1280)</f>
        <v>T00637</v>
      </c>
      <c r="C1280" s="1" t="str">
        <f>IF(Raw!C1280="","",Raw!C1280)</f>
        <v>2026-02-12</v>
      </c>
      <c r="D1280" s="1">
        <f t="shared" si="152"/>
        <v>2026</v>
      </c>
      <c r="E1280" s="1">
        <f>IFERROR(IF(AND(LEN(C1280)=10,MID(C1280,5,1)="-",MID(C1280,8,1)="-"),VALUE(MID(C1280,6,2)),IF(AND(LEN(C1280)=11,MID(C1280,3,1)="-",MID(C1280,7,1)="-"),MATCH(UPPER(MID(C1280,4,3)),Guide!$D$7:$D$18,0),0)),0)</f>
        <v>2</v>
      </c>
      <c r="F1280" s="1">
        <f t="shared" si="153"/>
        <v>12</v>
      </c>
      <c r="G1280" s="9">
        <f t="shared" si="154"/>
        <v>46065</v>
      </c>
      <c r="H1280" s="1" t="str">
        <f>IF(Raw!D1280="","",Raw!D1280)</f>
        <v>P-H</v>
      </c>
      <c r="I1280" s="1" t="str">
        <f>IFERROR(IF(EXACT(H1280,INDEX(Guide!$A$7:$A$9,MATCH(SUBSTITUTE(SUBSTITUTE(SUBSTITUTE(H1280,"~","~~"),"*","~*"),"?","~?"),Guide!$A$7:$A$9,0))),INDEX(Guide!$B$7:$B$9,MATCH(SUBSTITUTE(SUBSTITUTE(SUBSTITUTE(H1280,"~","~~"),"*","~*"),"?","~?"),Guide!$A$7:$A$9,0)),""),"")</f>
        <v>Home</v>
      </c>
      <c r="J1280" s="1" t="str">
        <f>IF(TRIM(Raw!E1280)="",I1280,IF(UPPER(TRIM(Raw!E1280))=UPPER(I1280),I1280,""))</f>
        <v>Home</v>
      </c>
      <c r="K1280" s="1" t="str">
        <f>IF(Raw!F1280="","",Raw!F1280)</f>
        <v>sale</v>
      </c>
      <c r="L1280" s="1" t="str">
        <f>IF(LEFT(TRIM(Raw!G1280),2)="-$","-"&amp;MID(TRIM(Raw!G1280),3,99),IF(LEFT(TRIM(Raw!G1280),1)="$",MID(TRIM(Raw!G1280),2,99),TRIM(Raw!G1280)))</f>
        <v>232.00</v>
      </c>
      <c r="M1280" s="1">
        <f t="shared" si="155"/>
        <v>232</v>
      </c>
      <c r="N1280" s="10">
        <f t="shared" si="156"/>
        <v>23200</v>
      </c>
      <c r="O1280" s="1" t="b">
        <f>IFERROR(IF(ISNUMBER(Raw!G1280),TRUE,OR(EXACT(L1280,TEXT(M1280,"0.00")),EXACT(L1280,TEXT(M1280,"#,##0.00")))),FALSE)</f>
        <v>1</v>
      </c>
      <c r="P1280" s="1" t="str">
        <f>LEN(IF(Raw!A1280="","",Raw!A1280))&amp;":"&amp;IF(Raw!A1280="","",Raw!A1280)&amp;"|"&amp;LEN(IF(Raw!B1280="","",Raw!B1280))&amp;":"&amp;IF(Raw!B1280="","",Raw!B1280)&amp;"|"&amp;LEN(IF(Raw!C1280="","",Raw!C1280))&amp;":"&amp;IF(Raw!C1280="","",Raw!C1280)&amp;"|"&amp;LEN(IF(Raw!D1280="","",Raw!D1280))&amp;":"&amp;IF(Raw!D1280="","",Raw!D1280)&amp;"|"&amp;LEN(IF(Raw!E1280="","",Raw!E1280))&amp;":"&amp;IF(Raw!E1280="","",Raw!E1280)&amp;"|"&amp;LEN(IF(Raw!F1280="","",Raw!F1280))&amp;":"&amp;IF(Raw!F1280="","",Raw!F1280)&amp;"|"&amp;LEN(IF(Raw!G1280="","",Raw!G1280))&amp;":"&amp;IF(Raw!G1280="","",Raw!G1280)</f>
        <v>6:L01274|6:T00637|10:2026-02-12|3:P-H|4:Home|4:sale|6:232.00</v>
      </c>
      <c r="Q1280" s="1">
        <f>1</f>
        <v>1</v>
      </c>
      <c r="R1280" s="1" t="b">
        <f>FALSE</f>
        <v>0</v>
      </c>
      <c r="S1280" s="1">
        <f>1</f>
        <v>1</v>
      </c>
      <c r="T1280" s="1" t="str">
        <f>IF(AND(Raw!A1280="",Raw!B1280="",Raw!C1280="",Raw!D1280="",Raw!E1280="",Raw!F1280="",Raw!G1280=""),"UNUSED",IF(A1280="","missing line ID",IF(B1280="","missing transaction ID",IF(G1280="",IF(C1280="","missing date","invalid date"),IF(I1280="","unknown product",IF(J1280="","conflicting category",IF(NOT(OR(EXACT(K1280,"sale"),EXACT(K1280,"refund"))),"unknown event",IF(OR(N1280="",NOT(O1280)),"invalid amount",IF(OR(AND(K1280="sale",N1280&lt;=0),AND(K1280="refund",N1280&gt;=0)),"invalid sign","")))))))))</f>
        <v/>
      </c>
      <c r="U1280" s="1" t="str">
        <f t="shared" si="157"/>
        <v>INCLUDED</v>
      </c>
      <c r="V1280" s="1" t="str">
        <f t="shared" si="158"/>
        <v>2026-02</v>
      </c>
      <c r="W1280" s="1">
        <f>IF(AND(U1280="INCLUDED",X1280&gt;0,EXACT(A1280,'AI output'!A1280)),1,0)</f>
        <v>1</v>
      </c>
      <c r="X1280" s="1">
        <f>1280</f>
        <v>1280</v>
      </c>
      <c r="Y1280" s="1">
        <f>IF(AND(U1280="INCLUDED",W1280=1),--(NOT(EXACT(A1280,'AI output'!A1280)))+--(NOT(EXACT(B1280,'AI output'!B1280)))+--(NOT(EXACT(TEXT(G1280,"yyyy-mm-dd"),'AI output'!C1280)))+--(NOT(EXACT(H1280,'AI output'!D1280)))+--(NOT(EXACT(J1280,'AI output'!E1280)))+--(NOT(EXACT(K1280,'AI output'!F1280)))+--(N1280&lt;&gt;'AI output'!L1280)+--(NOT('AI output'!M1280)),0)</f>
        <v>0</v>
      </c>
      <c r="Z1280" s="1">
        <f t="shared" si="159"/>
        <v>0</v>
      </c>
      <c r="AA1280" s="1">
        <f>--EXACT(A1280,"L01274")</f>
        <v>1</v>
      </c>
    </row>
    <row r="1281" spans="1:27" ht="18.95" customHeight="1">
      <c r="A1281" s="1" t="str">
        <f>IF(Raw!A1281="","",Raw!A1281)</f>
        <v>L01275</v>
      </c>
      <c r="B1281" s="1" t="str">
        <f>IF(Raw!B1281="","",Raw!B1281)</f>
        <v>T00638</v>
      </c>
      <c r="C1281" s="1" t="str">
        <f>IF(Raw!C1281="","",Raw!C1281)</f>
        <v>2026-02-19</v>
      </c>
      <c r="D1281" s="1">
        <f t="shared" si="152"/>
        <v>2026</v>
      </c>
      <c r="E1281" s="1">
        <f>IFERROR(IF(AND(LEN(C1281)=10,MID(C1281,5,1)="-",MID(C1281,8,1)="-"),VALUE(MID(C1281,6,2)),IF(AND(LEN(C1281)=11,MID(C1281,3,1)="-",MID(C1281,7,1)="-"),MATCH(UPPER(MID(C1281,4,3)),Guide!$D$7:$D$18,0),0)),0)</f>
        <v>2</v>
      </c>
      <c r="F1281" s="1">
        <f t="shared" si="153"/>
        <v>19</v>
      </c>
      <c r="G1281" s="9">
        <f t="shared" si="154"/>
        <v>46072</v>
      </c>
      <c r="H1281" s="1" t="str">
        <f>IF(Raw!D1281="","",Raw!D1281)</f>
        <v>P-O</v>
      </c>
      <c r="I1281" s="1" t="str">
        <f>IFERROR(IF(EXACT(H1281,INDEX(Guide!$A$7:$A$9,MATCH(SUBSTITUTE(SUBSTITUTE(SUBSTITUTE(H1281,"~","~~"),"*","~*"),"?","~?"),Guide!$A$7:$A$9,0))),INDEX(Guide!$B$7:$B$9,MATCH(SUBSTITUTE(SUBSTITUTE(SUBSTITUTE(H1281,"~","~~"),"*","~*"),"?","~?"),Guide!$A$7:$A$9,0)),""),"")</f>
        <v>Office</v>
      </c>
      <c r="J1281" s="1" t="str">
        <f>IF(TRIM(Raw!E1281)="",I1281,IF(UPPER(TRIM(Raw!E1281))=UPPER(I1281),I1281,""))</f>
        <v>Office</v>
      </c>
      <c r="K1281" s="1" t="str">
        <f>IF(Raw!F1281="","",Raw!F1281)</f>
        <v>sale</v>
      </c>
      <c r="L1281" s="1" t="str">
        <f>IF(LEFT(TRIM(Raw!G1281),2)="-$","-"&amp;MID(TRIM(Raw!G1281),3,99),IF(LEFT(TRIM(Raw!G1281),1)="$",MID(TRIM(Raw!G1281),2,99),TRIM(Raw!G1281)))</f>
        <v>465.48</v>
      </c>
      <c r="M1281" s="1">
        <f t="shared" si="155"/>
        <v>465.48</v>
      </c>
      <c r="N1281" s="10">
        <f t="shared" si="156"/>
        <v>46548</v>
      </c>
      <c r="O1281" s="1" t="b">
        <f>IFERROR(IF(ISNUMBER(Raw!G1281),TRUE,OR(EXACT(L1281,TEXT(M1281,"0.00")),EXACT(L1281,TEXT(M1281,"#,##0.00")))),FALSE)</f>
        <v>1</v>
      </c>
      <c r="P1281" s="1" t="str">
        <f>LEN(IF(Raw!A1281="","",Raw!A1281))&amp;":"&amp;IF(Raw!A1281="","",Raw!A1281)&amp;"|"&amp;LEN(IF(Raw!B1281="","",Raw!B1281))&amp;":"&amp;IF(Raw!B1281="","",Raw!B1281)&amp;"|"&amp;LEN(IF(Raw!C1281="","",Raw!C1281))&amp;":"&amp;IF(Raw!C1281="","",Raw!C1281)&amp;"|"&amp;LEN(IF(Raw!D1281="","",Raw!D1281))&amp;":"&amp;IF(Raw!D1281="","",Raw!D1281)&amp;"|"&amp;LEN(IF(Raw!E1281="","",Raw!E1281))&amp;":"&amp;IF(Raw!E1281="","",Raw!E1281)&amp;"|"&amp;LEN(IF(Raw!F1281="","",Raw!F1281))&amp;":"&amp;IF(Raw!F1281="","",Raw!F1281)&amp;"|"&amp;LEN(IF(Raw!G1281="","",Raw!G1281))&amp;":"&amp;IF(Raw!G1281="","",Raw!G1281)</f>
        <v>6:L01275|6:T00638|10:2026-02-19|3:P-O|6:Office|4:sale|6:465.48</v>
      </c>
      <c r="Q1281" s="1">
        <f>1</f>
        <v>1</v>
      </c>
      <c r="R1281" s="1" t="b">
        <f>FALSE</f>
        <v>0</v>
      </c>
      <c r="S1281" s="1">
        <f>1</f>
        <v>1</v>
      </c>
      <c r="T1281" s="1" t="str">
        <f>IF(AND(Raw!A1281="",Raw!B1281="",Raw!C1281="",Raw!D1281="",Raw!E1281="",Raw!F1281="",Raw!G1281=""),"UNUSED",IF(A1281="","missing line ID",IF(B1281="","missing transaction ID",IF(G1281="",IF(C1281="","missing date","invalid date"),IF(I1281="","unknown product",IF(J1281="","conflicting category",IF(NOT(OR(EXACT(K1281,"sale"),EXACT(K1281,"refund"))),"unknown event",IF(OR(N1281="",NOT(O1281)),"invalid amount",IF(OR(AND(K1281="sale",N1281&lt;=0),AND(K1281="refund",N1281&gt;=0)),"invalid sign","")))))))))</f>
        <v/>
      </c>
      <c r="U1281" s="1" t="str">
        <f t="shared" si="157"/>
        <v>INCLUDED</v>
      </c>
      <c r="V1281" s="1" t="str">
        <f t="shared" si="158"/>
        <v>2026-02</v>
      </c>
      <c r="W1281" s="1">
        <f>IF(AND(U1281="INCLUDED",X1281&gt;0,EXACT(A1281,'AI output'!A1281)),1,0)</f>
        <v>1</v>
      </c>
      <c r="X1281" s="1">
        <f>1281</f>
        <v>1281</v>
      </c>
      <c r="Y1281" s="1">
        <f>IF(AND(U1281="INCLUDED",W1281=1),--(NOT(EXACT(A1281,'AI output'!A1281)))+--(NOT(EXACT(B1281,'AI output'!B1281)))+--(NOT(EXACT(TEXT(G1281,"yyyy-mm-dd"),'AI output'!C1281)))+--(NOT(EXACT(H1281,'AI output'!D1281)))+--(NOT(EXACT(J1281,'AI output'!E1281)))+--(NOT(EXACT(K1281,'AI output'!F1281)))+--(N1281&lt;&gt;'AI output'!L1281)+--(NOT('AI output'!M1281)),0)</f>
        <v>0</v>
      </c>
      <c r="Z1281" s="1">
        <f t="shared" si="159"/>
        <v>0</v>
      </c>
      <c r="AA1281" s="1">
        <f>--EXACT(A1281,"L01275")</f>
        <v>1</v>
      </c>
    </row>
    <row r="1282" spans="1:27" ht="18.95" customHeight="1">
      <c r="A1282" s="1" t="str">
        <f>IF(Raw!A1282="","",Raw!A1282)</f>
        <v>L01276</v>
      </c>
      <c r="B1282" s="1" t="str">
        <f>IF(Raw!B1282="","",Raw!B1282)</f>
        <v>T00638</v>
      </c>
      <c r="C1282" s="1" t="str">
        <f>IF(Raw!C1282="","",Raw!C1282)</f>
        <v>2026-02-19</v>
      </c>
      <c r="D1282" s="1">
        <f t="shared" si="152"/>
        <v>2026</v>
      </c>
      <c r="E1282" s="1">
        <f>IFERROR(IF(AND(LEN(C1282)=10,MID(C1282,5,1)="-",MID(C1282,8,1)="-"),VALUE(MID(C1282,6,2)),IF(AND(LEN(C1282)=11,MID(C1282,3,1)="-",MID(C1282,7,1)="-"),MATCH(UPPER(MID(C1282,4,3)),Guide!$D$7:$D$18,0),0)),0)</f>
        <v>2</v>
      </c>
      <c r="F1282" s="1">
        <f t="shared" si="153"/>
        <v>19</v>
      </c>
      <c r="G1282" s="9">
        <f t="shared" si="154"/>
        <v>46072</v>
      </c>
      <c r="H1282" s="1" t="str">
        <f>IF(Raw!D1282="","",Raw!D1282)</f>
        <v>P-A</v>
      </c>
      <c r="I1282" s="1" t="str">
        <f>IFERROR(IF(EXACT(H1282,INDEX(Guide!$A$7:$A$9,MATCH(SUBSTITUTE(SUBSTITUTE(SUBSTITUTE(H1282,"~","~~"),"*","~*"),"?","~?"),Guide!$A$7:$A$9,0))),INDEX(Guide!$B$7:$B$9,MATCH(SUBSTITUTE(SUBSTITUTE(SUBSTITUTE(H1282,"~","~~"),"*","~*"),"?","~?"),Guide!$A$7:$A$9,0)),""),"")</f>
        <v>Accessories</v>
      </c>
      <c r="J1282" s="1" t="str">
        <f>IF(TRIM(Raw!E1282)="",I1282,IF(UPPER(TRIM(Raw!E1282))=UPPER(I1282),I1282,""))</f>
        <v>Accessories</v>
      </c>
      <c r="K1282" s="1" t="str">
        <f>IF(Raw!F1282="","",Raw!F1282)</f>
        <v>sale</v>
      </c>
      <c r="L1282" s="1" t="str">
        <f>IF(LEFT(TRIM(Raw!G1282),2)="-$","-"&amp;MID(TRIM(Raw!G1282),3,99),IF(LEFT(TRIM(Raw!G1282),1)="$",MID(TRIM(Raw!G1282),2,99),TRIM(Raw!G1282)))</f>
        <v>116.74</v>
      </c>
      <c r="M1282" s="1">
        <f t="shared" si="155"/>
        <v>116.74</v>
      </c>
      <c r="N1282" s="10">
        <f t="shared" si="156"/>
        <v>11674</v>
      </c>
      <c r="O1282" s="1" t="b">
        <f>IFERROR(IF(ISNUMBER(Raw!G1282),TRUE,OR(EXACT(L1282,TEXT(M1282,"0.00")),EXACT(L1282,TEXT(M1282,"#,##0.00")))),FALSE)</f>
        <v>1</v>
      </c>
      <c r="P1282" s="1" t="str">
        <f>LEN(IF(Raw!A1282="","",Raw!A1282))&amp;":"&amp;IF(Raw!A1282="","",Raw!A1282)&amp;"|"&amp;LEN(IF(Raw!B1282="","",Raw!B1282))&amp;":"&amp;IF(Raw!B1282="","",Raw!B1282)&amp;"|"&amp;LEN(IF(Raw!C1282="","",Raw!C1282))&amp;":"&amp;IF(Raw!C1282="","",Raw!C1282)&amp;"|"&amp;LEN(IF(Raw!D1282="","",Raw!D1282))&amp;":"&amp;IF(Raw!D1282="","",Raw!D1282)&amp;"|"&amp;LEN(IF(Raw!E1282="","",Raw!E1282))&amp;":"&amp;IF(Raw!E1282="","",Raw!E1282)&amp;"|"&amp;LEN(IF(Raw!F1282="","",Raw!F1282))&amp;":"&amp;IF(Raw!F1282="","",Raw!F1282)&amp;"|"&amp;LEN(IF(Raw!G1282="","",Raw!G1282))&amp;":"&amp;IF(Raw!G1282="","",Raw!G1282)</f>
        <v>6:L01276|6:T00638|10:2026-02-19|3:P-A|11:Accessories|4:sale|6:116.74</v>
      </c>
      <c r="Q1282" s="1">
        <f>1</f>
        <v>1</v>
      </c>
      <c r="R1282" s="1" t="b">
        <f>FALSE</f>
        <v>0</v>
      </c>
      <c r="S1282" s="1">
        <f>1</f>
        <v>1</v>
      </c>
      <c r="T1282" s="1" t="str">
        <f>IF(AND(Raw!A1282="",Raw!B1282="",Raw!C1282="",Raw!D1282="",Raw!E1282="",Raw!F1282="",Raw!G1282=""),"UNUSED",IF(A1282="","missing line ID",IF(B1282="","missing transaction ID",IF(G1282="",IF(C1282="","missing date","invalid date"),IF(I1282="","unknown product",IF(J1282="","conflicting category",IF(NOT(OR(EXACT(K1282,"sale"),EXACT(K1282,"refund"))),"unknown event",IF(OR(N1282="",NOT(O1282)),"invalid amount",IF(OR(AND(K1282="sale",N1282&lt;=0),AND(K1282="refund",N1282&gt;=0)),"invalid sign","")))))))))</f>
        <v/>
      </c>
      <c r="U1282" s="1" t="str">
        <f t="shared" si="157"/>
        <v>INCLUDED</v>
      </c>
      <c r="V1282" s="1" t="str">
        <f t="shared" si="158"/>
        <v>2026-02</v>
      </c>
      <c r="W1282" s="1">
        <f>IF(AND(U1282="INCLUDED",X1282&gt;0,EXACT(A1282,'AI output'!A1282)),1,0)</f>
        <v>1</v>
      </c>
      <c r="X1282" s="1">
        <f>1282</f>
        <v>1282</v>
      </c>
      <c r="Y1282" s="1">
        <f>IF(AND(U1282="INCLUDED",W1282=1),--(NOT(EXACT(A1282,'AI output'!A1282)))+--(NOT(EXACT(B1282,'AI output'!B1282)))+--(NOT(EXACT(TEXT(G1282,"yyyy-mm-dd"),'AI output'!C1282)))+--(NOT(EXACT(H1282,'AI output'!D1282)))+--(NOT(EXACT(J1282,'AI output'!E1282)))+--(NOT(EXACT(K1282,'AI output'!F1282)))+--(N1282&lt;&gt;'AI output'!L1282)+--(NOT('AI output'!M1282)),0)</f>
        <v>0</v>
      </c>
      <c r="Z1282" s="1">
        <f t="shared" si="159"/>
        <v>0</v>
      </c>
      <c r="AA1282" s="1">
        <f>--EXACT(A1282,"L01276")</f>
        <v>1</v>
      </c>
    </row>
    <row r="1283" spans="1:27" ht="18.95" customHeight="1">
      <c r="A1283" s="1" t="str">
        <f>IF(Raw!A1283="","",Raw!A1283)</f>
        <v>L01277</v>
      </c>
      <c r="B1283" s="1" t="str">
        <f>IF(Raw!B1283="","",Raw!B1283)</f>
        <v>T00639</v>
      </c>
      <c r="C1283" s="1" t="str">
        <f>IF(Raw!C1283="","",Raw!C1283)</f>
        <v>2026-02-26</v>
      </c>
      <c r="D1283" s="1">
        <f t="shared" si="152"/>
        <v>2026</v>
      </c>
      <c r="E1283" s="1">
        <f>IFERROR(IF(AND(LEN(C1283)=10,MID(C1283,5,1)="-",MID(C1283,8,1)="-"),VALUE(MID(C1283,6,2)),IF(AND(LEN(C1283)=11,MID(C1283,3,1)="-",MID(C1283,7,1)="-"),MATCH(UPPER(MID(C1283,4,3)),Guide!$D$7:$D$18,0),0)),0)</f>
        <v>2</v>
      </c>
      <c r="F1283" s="1">
        <f t="shared" si="153"/>
        <v>26</v>
      </c>
      <c r="G1283" s="9">
        <f t="shared" si="154"/>
        <v>46079</v>
      </c>
      <c r="H1283" s="1" t="str">
        <f>IF(Raw!D1283="","",Raw!D1283)</f>
        <v>P-H</v>
      </c>
      <c r="I1283" s="1" t="str">
        <f>IFERROR(IF(EXACT(H1283,INDEX(Guide!$A$7:$A$9,MATCH(SUBSTITUTE(SUBSTITUTE(SUBSTITUTE(H1283,"~","~~"),"*","~*"),"?","~?"),Guide!$A$7:$A$9,0))),INDEX(Guide!$B$7:$B$9,MATCH(SUBSTITUTE(SUBSTITUTE(SUBSTITUTE(H1283,"~","~~"),"*","~*"),"?","~?"),Guide!$A$7:$A$9,0)),""),"")</f>
        <v>Home</v>
      </c>
      <c r="J1283" s="1" t="str">
        <f>IF(TRIM(Raw!E1283)="",I1283,IF(UPPER(TRIM(Raw!E1283))=UPPER(I1283),I1283,""))</f>
        <v>Home</v>
      </c>
      <c r="K1283" s="1" t="str">
        <f>IF(Raw!F1283="","",Raw!F1283)</f>
        <v>sale</v>
      </c>
      <c r="L1283" s="1" t="str">
        <f>IF(LEFT(TRIM(Raw!G1283),2)="-$","-"&amp;MID(TRIM(Raw!G1283),3,99),IF(LEFT(TRIM(Raw!G1283),1)="$",MID(TRIM(Raw!G1283),2,99),TRIM(Raw!G1283)))</f>
        <v>351.33</v>
      </c>
      <c r="M1283" s="1">
        <f t="shared" si="155"/>
        <v>351.33</v>
      </c>
      <c r="N1283" s="10">
        <f t="shared" si="156"/>
        <v>35133</v>
      </c>
      <c r="O1283" s="1" t="b">
        <f>IFERROR(IF(ISNUMBER(Raw!G1283),TRUE,OR(EXACT(L1283,TEXT(M1283,"0.00")),EXACT(L1283,TEXT(M1283,"#,##0.00")))),FALSE)</f>
        <v>1</v>
      </c>
      <c r="P1283" s="1" t="str">
        <f>LEN(IF(Raw!A1283="","",Raw!A1283))&amp;":"&amp;IF(Raw!A1283="","",Raw!A1283)&amp;"|"&amp;LEN(IF(Raw!B1283="","",Raw!B1283))&amp;":"&amp;IF(Raw!B1283="","",Raw!B1283)&amp;"|"&amp;LEN(IF(Raw!C1283="","",Raw!C1283))&amp;":"&amp;IF(Raw!C1283="","",Raw!C1283)&amp;"|"&amp;LEN(IF(Raw!D1283="","",Raw!D1283))&amp;":"&amp;IF(Raw!D1283="","",Raw!D1283)&amp;"|"&amp;LEN(IF(Raw!E1283="","",Raw!E1283))&amp;":"&amp;IF(Raw!E1283="","",Raw!E1283)&amp;"|"&amp;LEN(IF(Raw!F1283="","",Raw!F1283))&amp;":"&amp;IF(Raw!F1283="","",Raw!F1283)&amp;"|"&amp;LEN(IF(Raw!G1283="","",Raw!G1283))&amp;":"&amp;IF(Raw!G1283="","",Raw!G1283)</f>
        <v>6:L01277|6:T00639|10:2026-02-26|3:P-H|4:Home|4:sale|6:351.33</v>
      </c>
      <c r="Q1283" s="1">
        <f>1</f>
        <v>1</v>
      </c>
      <c r="R1283" s="1" t="b">
        <f>FALSE</f>
        <v>0</v>
      </c>
      <c r="S1283" s="1">
        <f>1</f>
        <v>1</v>
      </c>
      <c r="T1283" s="1" t="str">
        <f>IF(AND(Raw!A1283="",Raw!B1283="",Raw!C1283="",Raw!D1283="",Raw!E1283="",Raw!F1283="",Raw!G1283=""),"UNUSED",IF(A1283="","missing line ID",IF(B1283="","missing transaction ID",IF(G1283="",IF(C1283="","missing date","invalid date"),IF(I1283="","unknown product",IF(J1283="","conflicting category",IF(NOT(OR(EXACT(K1283,"sale"),EXACT(K1283,"refund"))),"unknown event",IF(OR(N1283="",NOT(O1283)),"invalid amount",IF(OR(AND(K1283="sale",N1283&lt;=0),AND(K1283="refund",N1283&gt;=0)),"invalid sign","")))))))))</f>
        <v/>
      </c>
      <c r="U1283" s="1" t="str">
        <f t="shared" si="157"/>
        <v>INCLUDED</v>
      </c>
      <c r="V1283" s="1" t="str">
        <f t="shared" si="158"/>
        <v>2026-02</v>
      </c>
      <c r="W1283" s="1">
        <f>IF(AND(U1283="INCLUDED",X1283&gt;0,EXACT(A1283,'AI output'!A1283)),1,0)</f>
        <v>1</v>
      </c>
      <c r="X1283" s="1">
        <f>1283</f>
        <v>1283</v>
      </c>
      <c r="Y1283" s="1">
        <f>IF(AND(U1283="INCLUDED",W1283=1),--(NOT(EXACT(A1283,'AI output'!A1283)))+--(NOT(EXACT(B1283,'AI output'!B1283)))+--(NOT(EXACT(TEXT(G1283,"yyyy-mm-dd"),'AI output'!C1283)))+--(NOT(EXACT(H1283,'AI output'!D1283)))+--(NOT(EXACT(J1283,'AI output'!E1283)))+--(NOT(EXACT(K1283,'AI output'!F1283)))+--(N1283&lt;&gt;'AI output'!L1283)+--(NOT('AI output'!M1283)),0)</f>
        <v>0</v>
      </c>
      <c r="Z1283" s="1">
        <f t="shared" si="159"/>
        <v>0</v>
      </c>
      <c r="AA1283" s="1">
        <f>--EXACT(A1283,"L01277")</f>
        <v>1</v>
      </c>
    </row>
    <row r="1284" spans="1:27" ht="18.95" customHeight="1">
      <c r="A1284" s="1" t="str">
        <f>IF(Raw!A1284="","",Raw!A1284)</f>
        <v>L01278</v>
      </c>
      <c r="B1284" s="1" t="str">
        <f>IF(Raw!B1284="","",Raw!B1284)</f>
        <v>T00639</v>
      </c>
      <c r="C1284" s="1" t="str">
        <f>IF(Raw!C1284="","",Raw!C1284)</f>
        <v>2026-02-26</v>
      </c>
      <c r="D1284" s="1">
        <f t="shared" si="152"/>
        <v>2026</v>
      </c>
      <c r="E1284" s="1">
        <f>IFERROR(IF(AND(LEN(C1284)=10,MID(C1284,5,1)="-",MID(C1284,8,1)="-"),VALUE(MID(C1284,6,2)),IF(AND(LEN(C1284)=11,MID(C1284,3,1)="-",MID(C1284,7,1)="-"),MATCH(UPPER(MID(C1284,4,3)),Guide!$D$7:$D$18,0),0)),0)</f>
        <v>2</v>
      </c>
      <c r="F1284" s="1">
        <f t="shared" si="153"/>
        <v>26</v>
      </c>
      <c r="G1284" s="9">
        <f t="shared" si="154"/>
        <v>46079</v>
      </c>
      <c r="H1284" s="1" t="str">
        <f>IF(Raw!D1284="","",Raw!D1284)</f>
        <v>P-O</v>
      </c>
      <c r="I1284" s="1" t="str">
        <f>IFERROR(IF(EXACT(H1284,INDEX(Guide!$A$7:$A$9,MATCH(SUBSTITUTE(SUBSTITUTE(SUBSTITUTE(H1284,"~","~~"),"*","~*"),"?","~?"),Guide!$A$7:$A$9,0))),INDEX(Guide!$B$7:$B$9,MATCH(SUBSTITUTE(SUBSTITUTE(SUBSTITUTE(H1284,"~","~~"),"*","~*"),"?","~?"),Guide!$A$7:$A$9,0)),""),"")</f>
        <v>Office</v>
      </c>
      <c r="J1284" s="1" t="str">
        <f>IF(TRIM(Raw!E1284)="",I1284,IF(UPPER(TRIM(Raw!E1284))=UPPER(I1284),I1284,""))</f>
        <v>Office</v>
      </c>
      <c r="K1284" s="1" t="str">
        <f>IF(Raw!F1284="","",Raw!F1284)</f>
        <v>sale</v>
      </c>
      <c r="L1284" s="1" t="str">
        <f>IF(LEFT(TRIM(Raw!G1284),2)="-$","-"&amp;MID(TRIM(Raw!G1284),3,99),IF(LEFT(TRIM(Raw!G1284),1)="$",MID(TRIM(Raw!G1284),2,99),TRIM(Raw!G1284)))</f>
        <v>587.40</v>
      </c>
      <c r="M1284" s="1">
        <f t="shared" si="155"/>
        <v>587.4</v>
      </c>
      <c r="N1284" s="10">
        <f t="shared" si="156"/>
        <v>58740</v>
      </c>
      <c r="O1284" s="1" t="b">
        <f>IFERROR(IF(ISNUMBER(Raw!G1284),TRUE,OR(EXACT(L1284,TEXT(M1284,"0.00")),EXACT(L1284,TEXT(M1284,"#,##0.00")))),FALSE)</f>
        <v>1</v>
      </c>
      <c r="P1284" s="1" t="str">
        <f>LEN(IF(Raw!A1284="","",Raw!A1284))&amp;":"&amp;IF(Raw!A1284="","",Raw!A1284)&amp;"|"&amp;LEN(IF(Raw!B1284="","",Raw!B1284))&amp;":"&amp;IF(Raw!B1284="","",Raw!B1284)&amp;"|"&amp;LEN(IF(Raw!C1284="","",Raw!C1284))&amp;":"&amp;IF(Raw!C1284="","",Raw!C1284)&amp;"|"&amp;LEN(IF(Raw!D1284="","",Raw!D1284))&amp;":"&amp;IF(Raw!D1284="","",Raw!D1284)&amp;"|"&amp;LEN(IF(Raw!E1284="","",Raw!E1284))&amp;":"&amp;IF(Raw!E1284="","",Raw!E1284)&amp;"|"&amp;LEN(IF(Raw!F1284="","",Raw!F1284))&amp;":"&amp;IF(Raw!F1284="","",Raw!F1284)&amp;"|"&amp;LEN(IF(Raw!G1284="","",Raw!G1284))&amp;":"&amp;IF(Raw!G1284="","",Raw!G1284)</f>
        <v>6:L01278|6:T00639|10:2026-02-26|3:P-O|6:Office|4:sale|6:587.40</v>
      </c>
      <c r="Q1284" s="1">
        <f>1</f>
        <v>1</v>
      </c>
      <c r="R1284" s="1" t="b">
        <f>FALSE</f>
        <v>0</v>
      </c>
      <c r="S1284" s="1">
        <f>1</f>
        <v>1</v>
      </c>
      <c r="T1284" s="1" t="str">
        <f>IF(AND(Raw!A1284="",Raw!B1284="",Raw!C1284="",Raw!D1284="",Raw!E1284="",Raw!F1284="",Raw!G1284=""),"UNUSED",IF(A1284="","missing line ID",IF(B1284="","missing transaction ID",IF(G1284="",IF(C1284="","missing date","invalid date"),IF(I1284="","unknown product",IF(J1284="","conflicting category",IF(NOT(OR(EXACT(K1284,"sale"),EXACT(K1284,"refund"))),"unknown event",IF(OR(N1284="",NOT(O1284)),"invalid amount",IF(OR(AND(K1284="sale",N1284&lt;=0),AND(K1284="refund",N1284&gt;=0)),"invalid sign","")))))))))</f>
        <v/>
      </c>
      <c r="U1284" s="1" t="str">
        <f t="shared" si="157"/>
        <v>INCLUDED</v>
      </c>
      <c r="V1284" s="1" t="str">
        <f t="shared" si="158"/>
        <v>2026-02</v>
      </c>
      <c r="W1284" s="1">
        <f>IF(AND(U1284="INCLUDED",X1284&gt;0,EXACT(A1284,'AI output'!A1284)),1,0)</f>
        <v>1</v>
      </c>
      <c r="X1284" s="1">
        <f>1284</f>
        <v>1284</v>
      </c>
      <c r="Y1284" s="1">
        <f>IF(AND(U1284="INCLUDED",W1284=1),--(NOT(EXACT(A1284,'AI output'!A1284)))+--(NOT(EXACT(B1284,'AI output'!B1284)))+--(NOT(EXACT(TEXT(G1284,"yyyy-mm-dd"),'AI output'!C1284)))+--(NOT(EXACT(H1284,'AI output'!D1284)))+--(NOT(EXACT(J1284,'AI output'!E1284)))+--(NOT(EXACT(K1284,'AI output'!F1284)))+--(N1284&lt;&gt;'AI output'!L1284)+--(NOT('AI output'!M1284)),0)</f>
        <v>0</v>
      </c>
      <c r="Z1284" s="1">
        <f t="shared" si="159"/>
        <v>0</v>
      </c>
      <c r="AA1284" s="1">
        <f>--EXACT(A1284,"L01278")</f>
        <v>1</v>
      </c>
    </row>
    <row r="1285" spans="1:27" ht="18.95" customHeight="1">
      <c r="A1285" s="1" t="str">
        <f>IF(Raw!A1285="","",Raw!A1285)</f>
        <v>L01279</v>
      </c>
      <c r="B1285" s="1" t="str">
        <f>IF(Raw!B1285="","",Raw!B1285)</f>
        <v>T00640</v>
      </c>
      <c r="C1285" s="1" t="str">
        <f>IF(Raw!C1285="","",Raw!C1285)</f>
        <v>2026-03-05</v>
      </c>
      <c r="D1285" s="1">
        <f t="shared" si="152"/>
        <v>2026</v>
      </c>
      <c r="E1285" s="1">
        <f>IFERROR(IF(AND(LEN(C1285)=10,MID(C1285,5,1)="-",MID(C1285,8,1)="-"),VALUE(MID(C1285,6,2)),IF(AND(LEN(C1285)=11,MID(C1285,3,1)="-",MID(C1285,7,1)="-"),MATCH(UPPER(MID(C1285,4,3)),Guide!$D$7:$D$18,0),0)),0)</f>
        <v>3</v>
      </c>
      <c r="F1285" s="1">
        <f t="shared" si="153"/>
        <v>5</v>
      </c>
      <c r="G1285" s="9">
        <f t="shared" si="154"/>
        <v>46086</v>
      </c>
      <c r="H1285" s="1" t="str">
        <f>IF(Raw!D1285="","",Raw!D1285)</f>
        <v>P-A</v>
      </c>
      <c r="I1285" s="1" t="str">
        <f>IFERROR(IF(EXACT(H1285,INDEX(Guide!$A$7:$A$9,MATCH(SUBSTITUTE(SUBSTITUTE(SUBSTITUTE(H1285,"~","~~"),"*","~*"),"?","~?"),Guide!$A$7:$A$9,0))),INDEX(Guide!$B$7:$B$9,MATCH(SUBSTITUTE(SUBSTITUTE(SUBSTITUTE(H1285,"~","~~"),"*","~*"),"?","~?"),Guide!$A$7:$A$9,0)),""),"")</f>
        <v>Accessories</v>
      </c>
      <c r="J1285" s="1" t="str">
        <f>IF(TRIM(Raw!E1285)="",I1285,IF(UPPER(TRIM(Raw!E1285))=UPPER(I1285),I1285,""))</f>
        <v>Accessories</v>
      </c>
      <c r="K1285" s="1" t="str">
        <f>IF(Raw!F1285="","",Raw!F1285)</f>
        <v>sale</v>
      </c>
      <c r="L1285" s="1" t="str">
        <f>IF(LEFT(TRIM(Raw!G1285),2)="-$","-"&amp;MID(TRIM(Raw!G1285),3,99),IF(LEFT(TRIM(Raw!G1285),1)="$",MID(TRIM(Raw!G1285),2,99),TRIM(Raw!G1285)))</f>
        <v>235.70</v>
      </c>
      <c r="M1285" s="1">
        <f t="shared" si="155"/>
        <v>235.7</v>
      </c>
      <c r="N1285" s="10">
        <f t="shared" si="156"/>
        <v>23570</v>
      </c>
      <c r="O1285" s="1" t="b">
        <f>IFERROR(IF(ISNUMBER(Raw!G1285),TRUE,OR(EXACT(L1285,TEXT(M1285,"0.00")),EXACT(L1285,TEXT(M1285,"#,##0.00")))),FALSE)</f>
        <v>1</v>
      </c>
      <c r="P1285" s="1" t="str">
        <f>LEN(IF(Raw!A1285="","",Raw!A1285))&amp;":"&amp;IF(Raw!A1285="","",Raw!A1285)&amp;"|"&amp;LEN(IF(Raw!B1285="","",Raw!B1285))&amp;":"&amp;IF(Raw!B1285="","",Raw!B1285)&amp;"|"&amp;LEN(IF(Raw!C1285="","",Raw!C1285))&amp;":"&amp;IF(Raw!C1285="","",Raw!C1285)&amp;"|"&amp;LEN(IF(Raw!D1285="","",Raw!D1285))&amp;":"&amp;IF(Raw!D1285="","",Raw!D1285)&amp;"|"&amp;LEN(IF(Raw!E1285="","",Raw!E1285))&amp;":"&amp;IF(Raw!E1285="","",Raw!E1285)&amp;"|"&amp;LEN(IF(Raw!F1285="","",Raw!F1285))&amp;":"&amp;IF(Raw!F1285="","",Raw!F1285)&amp;"|"&amp;LEN(IF(Raw!G1285="","",Raw!G1285))&amp;":"&amp;IF(Raw!G1285="","",Raw!G1285)</f>
        <v>6:L01279|6:T00640|10:2026-03-05|3:P-A|11:Accessories|4:sale|6:235.70</v>
      </c>
      <c r="Q1285" s="1">
        <f>1</f>
        <v>1</v>
      </c>
      <c r="R1285" s="1" t="b">
        <f>FALSE</f>
        <v>0</v>
      </c>
      <c r="S1285" s="1">
        <f>1</f>
        <v>1</v>
      </c>
      <c r="T1285" s="1" t="str">
        <f>IF(AND(Raw!A1285="",Raw!B1285="",Raw!C1285="",Raw!D1285="",Raw!E1285="",Raw!F1285="",Raw!G1285=""),"UNUSED",IF(A1285="","missing line ID",IF(B1285="","missing transaction ID",IF(G1285="",IF(C1285="","missing date","invalid date"),IF(I1285="","unknown product",IF(J1285="","conflicting category",IF(NOT(OR(EXACT(K1285,"sale"),EXACT(K1285,"refund"))),"unknown event",IF(OR(N1285="",NOT(O1285)),"invalid amount",IF(OR(AND(K1285="sale",N1285&lt;=0),AND(K1285="refund",N1285&gt;=0)),"invalid sign","")))))))))</f>
        <v/>
      </c>
      <c r="U1285" s="1" t="str">
        <f t="shared" si="157"/>
        <v>INCLUDED</v>
      </c>
      <c r="V1285" s="1" t="str">
        <f t="shared" si="158"/>
        <v>2026-03</v>
      </c>
      <c r="W1285" s="1">
        <f>IF(AND(U1285="INCLUDED",X1285&gt;0,EXACT(A1285,'AI output'!A1285)),1,0)</f>
        <v>1</v>
      </c>
      <c r="X1285" s="1">
        <f>1285</f>
        <v>1285</v>
      </c>
      <c r="Y1285" s="1">
        <f>IF(AND(U1285="INCLUDED",W1285=1),--(NOT(EXACT(A1285,'AI output'!A1285)))+--(NOT(EXACT(B1285,'AI output'!B1285)))+--(NOT(EXACT(TEXT(G1285,"yyyy-mm-dd"),'AI output'!C1285)))+--(NOT(EXACT(H1285,'AI output'!D1285)))+--(NOT(EXACT(J1285,'AI output'!E1285)))+--(NOT(EXACT(K1285,'AI output'!F1285)))+--(N1285&lt;&gt;'AI output'!L1285)+--(NOT('AI output'!M1285)),0)</f>
        <v>0</v>
      </c>
      <c r="Z1285" s="1">
        <f t="shared" si="159"/>
        <v>0</v>
      </c>
      <c r="AA1285" s="1">
        <f>--EXACT(A1285,"L01279")</f>
        <v>1</v>
      </c>
    </row>
    <row r="1286" spans="1:27" ht="18.95" customHeight="1">
      <c r="A1286" s="1" t="str">
        <f>IF(Raw!A1286="","",Raw!A1286)</f>
        <v>L01280</v>
      </c>
      <c r="B1286" s="1" t="str">
        <f>IF(Raw!B1286="","",Raw!B1286)</f>
        <v>T00640</v>
      </c>
      <c r="C1286" s="1" t="str">
        <f>IF(Raw!C1286="","",Raw!C1286)</f>
        <v>2026-03-05</v>
      </c>
      <c r="D1286" s="1">
        <f t="shared" si="152"/>
        <v>2026</v>
      </c>
      <c r="E1286" s="1">
        <f>IFERROR(IF(AND(LEN(C1286)=10,MID(C1286,5,1)="-",MID(C1286,8,1)="-"),VALUE(MID(C1286,6,2)),IF(AND(LEN(C1286)=11,MID(C1286,3,1)="-",MID(C1286,7,1)="-"),MATCH(UPPER(MID(C1286,4,3)),Guide!$D$7:$D$18,0),0)),0)</f>
        <v>3</v>
      </c>
      <c r="F1286" s="1">
        <f t="shared" si="153"/>
        <v>5</v>
      </c>
      <c r="G1286" s="9">
        <f t="shared" si="154"/>
        <v>46086</v>
      </c>
      <c r="H1286" s="1" t="str">
        <f>IF(Raw!D1286="","",Raw!D1286)</f>
        <v>P-H</v>
      </c>
      <c r="I1286" s="1" t="str">
        <f>IFERROR(IF(EXACT(H1286,INDEX(Guide!$A$7:$A$9,MATCH(SUBSTITUTE(SUBSTITUTE(SUBSTITUTE(H1286,"~","~~"),"*","~*"),"?","~?"),Guide!$A$7:$A$9,0))),INDEX(Guide!$B$7:$B$9,MATCH(SUBSTITUTE(SUBSTITUTE(SUBSTITUTE(H1286,"~","~~"),"*","~*"),"?","~?"),Guide!$A$7:$A$9,0)),""),"")</f>
        <v>Home</v>
      </c>
      <c r="J1286" s="1" t="str">
        <f>IF(TRIM(Raw!E1286)="",I1286,IF(UPPER(TRIM(Raw!E1286))=UPPER(I1286),I1286,""))</f>
        <v>Home</v>
      </c>
      <c r="K1286" s="1" t="str">
        <f>IF(Raw!F1286="","",Raw!F1286)</f>
        <v>sale</v>
      </c>
      <c r="L1286" s="1" t="str">
        <f>IF(LEFT(TRIM(Raw!G1286),2)="-$","-"&amp;MID(TRIM(Raw!G1286),3,99),IF(LEFT(TRIM(Raw!G1286),1)="$",MID(TRIM(Raw!G1286),2,99),TRIM(Raw!G1286)))</f>
        <v>472.88</v>
      </c>
      <c r="M1286" s="1">
        <f t="shared" si="155"/>
        <v>472.88</v>
      </c>
      <c r="N1286" s="10">
        <f t="shared" si="156"/>
        <v>47288</v>
      </c>
      <c r="O1286" s="1" t="b">
        <f>IFERROR(IF(ISNUMBER(Raw!G1286),TRUE,OR(EXACT(L1286,TEXT(M1286,"0.00")),EXACT(L1286,TEXT(M1286,"#,##0.00")))),FALSE)</f>
        <v>1</v>
      </c>
      <c r="P1286" s="1" t="str">
        <f>LEN(IF(Raw!A1286="","",Raw!A1286))&amp;":"&amp;IF(Raw!A1286="","",Raw!A1286)&amp;"|"&amp;LEN(IF(Raw!B1286="","",Raw!B1286))&amp;":"&amp;IF(Raw!B1286="","",Raw!B1286)&amp;"|"&amp;LEN(IF(Raw!C1286="","",Raw!C1286))&amp;":"&amp;IF(Raw!C1286="","",Raw!C1286)&amp;"|"&amp;LEN(IF(Raw!D1286="","",Raw!D1286))&amp;":"&amp;IF(Raw!D1286="","",Raw!D1286)&amp;"|"&amp;LEN(IF(Raw!E1286="","",Raw!E1286))&amp;":"&amp;IF(Raw!E1286="","",Raw!E1286)&amp;"|"&amp;LEN(IF(Raw!F1286="","",Raw!F1286))&amp;":"&amp;IF(Raw!F1286="","",Raw!F1286)&amp;"|"&amp;LEN(IF(Raw!G1286="","",Raw!G1286))&amp;":"&amp;IF(Raw!G1286="","",Raw!G1286)</f>
        <v>6:L01280|6:T00640|10:2026-03-05|3:P-H|4:Home|4:sale|6:472.88</v>
      </c>
      <c r="Q1286" s="1">
        <f>1</f>
        <v>1</v>
      </c>
      <c r="R1286" s="1" t="b">
        <f>FALSE</f>
        <v>0</v>
      </c>
      <c r="S1286" s="1">
        <f>1</f>
        <v>1</v>
      </c>
      <c r="T1286" s="1" t="str">
        <f>IF(AND(Raw!A1286="",Raw!B1286="",Raw!C1286="",Raw!D1286="",Raw!E1286="",Raw!F1286="",Raw!G1286=""),"UNUSED",IF(A1286="","missing line ID",IF(B1286="","missing transaction ID",IF(G1286="",IF(C1286="","missing date","invalid date"),IF(I1286="","unknown product",IF(J1286="","conflicting category",IF(NOT(OR(EXACT(K1286,"sale"),EXACT(K1286,"refund"))),"unknown event",IF(OR(N1286="",NOT(O1286)),"invalid amount",IF(OR(AND(K1286="sale",N1286&lt;=0),AND(K1286="refund",N1286&gt;=0)),"invalid sign","")))))))))</f>
        <v/>
      </c>
      <c r="U1286" s="1" t="str">
        <f t="shared" si="157"/>
        <v>INCLUDED</v>
      </c>
      <c r="V1286" s="1" t="str">
        <f t="shared" si="158"/>
        <v>2026-03</v>
      </c>
      <c r="W1286" s="1">
        <f>IF(AND(U1286="INCLUDED",X1286&gt;0,EXACT(A1286,'AI output'!A1286)),1,0)</f>
        <v>1</v>
      </c>
      <c r="X1286" s="1">
        <f>1286</f>
        <v>1286</v>
      </c>
      <c r="Y1286" s="1">
        <f>IF(AND(U1286="INCLUDED",W1286=1),--(NOT(EXACT(A1286,'AI output'!A1286)))+--(NOT(EXACT(B1286,'AI output'!B1286)))+--(NOT(EXACT(TEXT(G1286,"yyyy-mm-dd"),'AI output'!C1286)))+--(NOT(EXACT(H1286,'AI output'!D1286)))+--(NOT(EXACT(J1286,'AI output'!E1286)))+--(NOT(EXACT(K1286,'AI output'!F1286)))+--(N1286&lt;&gt;'AI output'!L1286)+--(NOT('AI output'!M1286)),0)</f>
        <v>0</v>
      </c>
      <c r="Z1286" s="1">
        <f t="shared" si="159"/>
        <v>0</v>
      </c>
      <c r="AA1286" s="1">
        <f>--EXACT(A1286,"L01280")</f>
        <v>1</v>
      </c>
    </row>
    <row r="1287" spans="1:27" ht="18.95" customHeight="1">
      <c r="A1287" s="1" t="str">
        <f>IF(Raw!A1287="","",Raw!A1287)</f>
        <v>L01281</v>
      </c>
      <c r="B1287" s="1" t="str">
        <f>IF(Raw!B1287="","",Raw!B1287)</f>
        <v>T00641</v>
      </c>
      <c r="C1287" s="1" t="str">
        <f>IF(Raw!C1287="","",Raw!C1287)</f>
        <v>2026-03-12</v>
      </c>
      <c r="D1287" s="1">
        <f t="shared" ref="D1287:D1350" si="160">IFERROR(IF(AND(LEN(C1287)=10,MID(C1287,5,1)="-",MID(C1287,8,1)="-"),VALUE(LEFT(C1287,4)),IF(AND(LEN(C1287)=11,MID(C1287,3,1)="-",MID(C1287,7,1)="-"),VALUE(RIGHT(C1287,4)),0)),0)</f>
        <v>2026</v>
      </c>
      <c r="E1287" s="1">
        <f>IFERROR(IF(AND(LEN(C1287)=10,MID(C1287,5,1)="-",MID(C1287,8,1)="-"),VALUE(MID(C1287,6,2)),IF(AND(LEN(C1287)=11,MID(C1287,3,1)="-",MID(C1287,7,1)="-"),MATCH(UPPER(MID(C1287,4,3)),Guide!$D$7:$D$18,0),0)),0)</f>
        <v>3</v>
      </c>
      <c r="F1287" s="1">
        <f t="shared" ref="F1287:F1350" si="161">IFERROR(IF(AND(LEN(C1287)=10,MID(C1287,5,1)="-",MID(C1287,8,1)="-"),VALUE(RIGHT(C1287,2)),IF(AND(LEN(C1287)=11,MID(C1287,3,1)="-",MID(C1287,7,1)="-"),VALUE(LEFT(C1287,2)),0)),0)</f>
        <v>12</v>
      </c>
      <c r="G1287" s="9">
        <f t="shared" ref="G1287:G1350" si="162">IFERROR(IF(AND(D1287&gt;=1900,D1287&lt;=9999,YEAR(DATE(D1287,E1287,F1287))=D1287,MONTH(DATE(D1287,E1287,F1287))=E1287,DAY(DATE(D1287,E1287,F1287))=F1287),DATE(D1287,E1287,F1287),""),"")</f>
        <v>46093</v>
      </c>
      <c r="H1287" s="1" t="str">
        <f>IF(Raw!D1287="","",Raw!D1287)</f>
        <v>P-O</v>
      </c>
      <c r="I1287" s="1" t="str">
        <f>IFERROR(IF(EXACT(H1287,INDEX(Guide!$A$7:$A$9,MATCH(SUBSTITUTE(SUBSTITUTE(SUBSTITUTE(H1287,"~","~~"),"*","~*"),"?","~?"),Guide!$A$7:$A$9,0))),INDEX(Guide!$B$7:$B$9,MATCH(SUBSTITUTE(SUBSTITUTE(SUBSTITUTE(H1287,"~","~~"),"*","~*"),"?","~?"),Guide!$A$7:$A$9,0)),""),"")</f>
        <v>Office</v>
      </c>
      <c r="J1287" s="1" t="str">
        <f>IF(TRIM(Raw!E1287)="",I1287,IF(UPPER(TRIM(Raw!E1287))=UPPER(I1287),I1287,""))</f>
        <v>Office</v>
      </c>
      <c r="K1287" s="1" t="str">
        <f>IF(Raw!F1287="","",Raw!F1287)</f>
        <v>sale</v>
      </c>
      <c r="L1287" s="1" t="str">
        <f>IF(LEFT(TRIM(Raw!G1287),2)="-$","-"&amp;MID(TRIM(Raw!G1287),3,99),IF(LEFT(TRIM(Raw!G1287),1)="$",MID(TRIM(Raw!G1287),2,99),TRIM(Raw!G1287)))</f>
        <v>118.59</v>
      </c>
      <c r="M1287" s="1">
        <f t="shared" ref="M1287:M1350" si="163">IFERROR(VALUE(L1287),"")</f>
        <v>118.59</v>
      </c>
      <c r="N1287" s="10">
        <f t="shared" ref="N1287:N1350" si="164">IF(AND(ISNUMBER(M1287),ABS(M1287*100-ROUND(M1287*100,0))&lt;0.0000001),ROUND(M1287*100,0),"")</f>
        <v>11859</v>
      </c>
      <c r="O1287" s="1" t="b">
        <f>IFERROR(IF(ISNUMBER(Raw!G1287),TRUE,OR(EXACT(L1287,TEXT(M1287,"0.00")),EXACT(L1287,TEXT(M1287,"#,##0.00")))),FALSE)</f>
        <v>1</v>
      </c>
      <c r="P1287" s="1" t="str">
        <f>LEN(IF(Raw!A1287="","",Raw!A1287))&amp;":"&amp;IF(Raw!A1287="","",Raw!A1287)&amp;"|"&amp;LEN(IF(Raw!B1287="","",Raw!B1287))&amp;":"&amp;IF(Raw!B1287="","",Raw!B1287)&amp;"|"&amp;LEN(IF(Raw!C1287="","",Raw!C1287))&amp;":"&amp;IF(Raw!C1287="","",Raw!C1287)&amp;"|"&amp;LEN(IF(Raw!D1287="","",Raw!D1287))&amp;":"&amp;IF(Raw!D1287="","",Raw!D1287)&amp;"|"&amp;LEN(IF(Raw!E1287="","",Raw!E1287))&amp;":"&amp;IF(Raw!E1287="","",Raw!E1287)&amp;"|"&amp;LEN(IF(Raw!F1287="","",Raw!F1287))&amp;":"&amp;IF(Raw!F1287="","",Raw!F1287)&amp;"|"&amp;LEN(IF(Raw!G1287="","",Raw!G1287))&amp;":"&amp;IF(Raw!G1287="","",Raw!G1287)</f>
        <v>6:L01281|6:T00641|10:2026-03-12|3:P-O|6:Office|4:sale|6:118.59</v>
      </c>
      <c r="Q1287" s="1">
        <f>1</f>
        <v>1</v>
      </c>
      <c r="R1287" s="1" t="b">
        <f>FALSE</f>
        <v>0</v>
      </c>
      <c r="S1287" s="1">
        <f>1</f>
        <v>1</v>
      </c>
      <c r="T1287" s="1" t="str">
        <f>IF(AND(Raw!A1287="",Raw!B1287="",Raw!C1287="",Raw!D1287="",Raw!E1287="",Raw!F1287="",Raw!G1287=""),"UNUSED",IF(A1287="","missing line ID",IF(B1287="","missing transaction ID",IF(G1287="",IF(C1287="","missing date","invalid date"),IF(I1287="","unknown product",IF(J1287="","conflicting category",IF(NOT(OR(EXACT(K1287,"sale"),EXACT(K1287,"refund"))),"unknown event",IF(OR(N1287="",NOT(O1287)),"invalid amount",IF(OR(AND(K1287="sale",N1287&lt;=0),AND(K1287="refund",N1287&gt;=0)),"invalid sign","")))))))))</f>
        <v/>
      </c>
      <c r="U1287" s="1" t="str">
        <f t="shared" ref="U1287:U1350" si="165">IF(T1287="UNUSED","UNUSED",IF(R1287,"QUARANTINE",IF(S1287&gt;1,"DUPLICATE",IF(T1287&lt;&gt;"","QUARANTINE","INCLUDED"))))</f>
        <v>INCLUDED</v>
      </c>
      <c r="V1287" s="1" t="str">
        <f t="shared" ref="V1287:V1350" si="166">IF(G1287="","",TEXT(G1287,"yyyy-mm"))</f>
        <v>2026-03</v>
      </c>
      <c r="W1287" s="1">
        <f>IF(AND(U1287="INCLUDED",X1287&gt;0,EXACT(A1287,'AI output'!A1287)),1,0)</f>
        <v>1</v>
      </c>
      <c r="X1287" s="1">
        <f>1287</f>
        <v>1287</v>
      </c>
      <c r="Y1287" s="1">
        <f>IF(AND(U1287="INCLUDED",W1287=1),--(NOT(EXACT(A1287,'AI output'!A1287)))+--(NOT(EXACT(B1287,'AI output'!B1287)))+--(NOT(EXACT(TEXT(G1287,"yyyy-mm-dd"),'AI output'!C1287)))+--(NOT(EXACT(H1287,'AI output'!D1287)))+--(NOT(EXACT(J1287,'AI output'!E1287)))+--(NOT(EXACT(K1287,'AI output'!F1287)))+--(N1287&lt;&gt;'AI output'!L1287)+--(NOT('AI output'!M1287)),0)</f>
        <v>0</v>
      </c>
      <c r="Z1287" s="1">
        <f t="shared" ref="Z1287:Z1350" si="167">IF(U1287="INCLUDED",IF(OR(W1287&lt;&gt;1,Y1287&lt;&gt;0),1,0),0)</f>
        <v>0</v>
      </c>
      <c r="AA1287" s="1">
        <f>--EXACT(A1287,"L01281")</f>
        <v>1</v>
      </c>
    </row>
    <row r="1288" spans="1:27" ht="18.95" customHeight="1">
      <c r="A1288" s="1" t="str">
        <f>IF(Raw!A1288="","",Raw!A1288)</f>
        <v>L01282</v>
      </c>
      <c r="B1288" s="1" t="str">
        <f>IF(Raw!B1288="","",Raw!B1288)</f>
        <v>T00641</v>
      </c>
      <c r="C1288" s="1" t="str">
        <f>IF(Raw!C1288="","",Raw!C1288)</f>
        <v>2026-03-12</v>
      </c>
      <c r="D1288" s="1">
        <f t="shared" si="160"/>
        <v>2026</v>
      </c>
      <c r="E1288" s="1">
        <f>IFERROR(IF(AND(LEN(C1288)=10,MID(C1288,5,1)="-",MID(C1288,8,1)="-"),VALUE(MID(C1288,6,2)),IF(AND(LEN(C1288)=11,MID(C1288,3,1)="-",MID(C1288,7,1)="-"),MATCH(UPPER(MID(C1288,4,3)),Guide!$D$7:$D$18,0),0)),0)</f>
        <v>3</v>
      </c>
      <c r="F1288" s="1">
        <f t="shared" si="161"/>
        <v>12</v>
      </c>
      <c r="G1288" s="9">
        <f t="shared" si="162"/>
        <v>46093</v>
      </c>
      <c r="H1288" s="1" t="str">
        <f>IF(Raw!D1288="","",Raw!D1288)</f>
        <v>P-A</v>
      </c>
      <c r="I1288" s="1" t="str">
        <f>IFERROR(IF(EXACT(H1288,INDEX(Guide!$A$7:$A$9,MATCH(SUBSTITUTE(SUBSTITUTE(SUBSTITUTE(H1288,"~","~~"),"*","~*"),"?","~?"),Guide!$A$7:$A$9,0))),INDEX(Guide!$B$7:$B$9,MATCH(SUBSTITUTE(SUBSTITUTE(SUBSTITUTE(H1288,"~","~~"),"*","~*"),"?","~?"),Guide!$A$7:$A$9,0)),""),"")</f>
        <v>Accessories</v>
      </c>
      <c r="J1288" s="1" t="str">
        <f>IF(TRIM(Raw!E1288)="",I1288,IF(UPPER(TRIM(Raw!E1288))=UPPER(I1288),I1288,""))</f>
        <v>Accessories</v>
      </c>
      <c r="K1288" s="1" t="str">
        <f>IF(Raw!F1288="","",Raw!F1288)</f>
        <v>sale</v>
      </c>
      <c r="L1288" s="1" t="str">
        <f>IF(LEFT(TRIM(Raw!G1288),2)="-$","-"&amp;MID(TRIM(Raw!G1288),3,99),IF(LEFT(TRIM(Raw!G1288),1)="$",MID(TRIM(Raw!G1288),2,99),TRIM(Raw!G1288)))</f>
        <v>356.88</v>
      </c>
      <c r="M1288" s="1">
        <f t="shared" si="163"/>
        <v>356.88</v>
      </c>
      <c r="N1288" s="10">
        <f t="shared" si="164"/>
        <v>35688</v>
      </c>
      <c r="O1288" s="1" t="b">
        <f>IFERROR(IF(ISNUMBER(Raw!G1288),TRUE,OR(EXACT(L1288,TEXT(M1288,"0.00")),EXACT(L1288,TEXT(M1288,"#,##0.00")))),FALSE)</f>
        <v>1</v>
      </c>
      <c r="P1288" s="1" t="str">
        <f>LEN(IF(Raw!A1288="","",Raw!A1288))&amp;":"&amp;IF(Raw!A1288="","",Raw!A1288)&amp;"|"&amp;LEN(IF(Raw!B1288="","",Raw!B1288))&amp;":"&amp;IF(Raw!B1288="","",Raw!B1288)&amp;"|"&amp;LEN(IF(Raw!C1288="","",Raw!C1288))&amp;":"&amp;IF(Raw!C1288="","",Raw!C1288)&amp;"|"&amp;LEN(IF(Raw!D1288="","",Raw!D1288))&amp;":"&amp;IF(Raw!D1288="","",Raw!D1288)&amp;"|"&amp;LEN(IF(Raw!E1288="","",Raw!E1288))&amp;":"&amp;IF(Raw!E1288="","",Raw!E1288)&amp;"|"&amp;LEN(IF(Raw!F1288="","",Raw!F1288))&amp;":"&amp;IF(Raw!F1288="","",Raw!F1288)&amp;"|"&amp;LEN(IF(Raw!G1288="","",Raw!G1288))&amp;":"&amp;IF(Raw!G1288="","",Raw!G1288)</f>
        <v>6:L01282|6:T00641|10:2026-03-12|3:P-A|11:Accessories|4:sale|6:356.88</v>
      </c>
      <c r="Q1288" s="1">
        <f>1</f>
        <v>1</v>
      </c>
      <c r="R1288" s="1" t="b">
        <f>FALSE</f>
        <v>0</v>
      </c>
      <c r="S1288" s="1">
        <f>1</f>
        <v>1</v>
      </c>
      <c r="T1288" s="1" t="str">
        <f>IF(AND(Raw!A1288="",Raw!B1288="",Raw!C1288="",Raw!D1288="",Raw!E1288="",Raw!F1288="",Raw!G1288=""),"UNUSED",IF(A1288="","missing line ID",IF(B1288="","missing transaction ID",IF(G1288="",IF(C1288="","missing date","invalid date"),IF(I1288="","unknown product",IF(J1288="","conflicting category",IF(NOT(OR(EXACT(K1288,"sale"),EXACT(K1288,"refund"))),"unknown event",IF(OR(N1288="",NOT(O1288)),"invalid amount",IF(OR(AND(K1288="sale",N1288&lt;=0),AND(K1288="refund",N1288&gt;=0)),"invalid sign","")))))))))</f>
        <v/>
      </c>
      <c r="U1288" s="1" t="str">
        <f t="shared" si="165"/>
        <v>INCLUDED</v>
      </c>
      <c r="V1288" s="1" t="str">
        <f t="shared" si="166"/>
        <v>2026-03</v>
      </c>
      <c r="W1288" s="1">
        <f>IF(AND(U1288="INCLUDED",X1288&gt;0,EXACT(A1288,'AI output'!A1288)),1,0)</f>
        <v>1</v>
      </c>
      <c r="X1288" s="1">
        <f>1288</f>
        <v>1288</v>
      </c>
      <c r="Y1288" s="1">
        <f>IF(AND(U1288="INCLUDED",W1288=1),--(NOT(EXACT(A1288,'AI output'!A1288)))+--(NOT(EXACT(B1288,'AI output'!B1288)))+--(NOT(EXACT(TEXT(G1288,"yyyy-mm-dd"),'AI output'!C1288)))+--(NOT(EXACT(H1288,'AI output'!D1288)))+--(NOT(EXACT(J1288,'AI output'!E1288)))+--(NOT(EXACT(K1288,'AI output'!F1288)))+--(N1288&lt;&gt;'AI output'!L1288)+--(NOT('AI output'!M1288)),0)</f>
        <v>0</v>
      </c>
      <c r="Z1288" s="1">
        <f t="shared" si="167"/>
        <v>0</v>
      </c>
      <c r="AA1288" s="1">
        <f>--EXACT(A1288,"L01282")</f>
        <v>1</v>
      </c>
    </row>
    <row r="1289" spans="1:27" ht="18.95" customHeight="1">
      <c r="A1289" s="1" t="str">
        <f>IF(Raw!A1289="","",Raw!A1289)</f>
        <v>L01283</v>
      </c>
      <c r="B1289" s="1" t="str">
        <f>IF(Raw!B1289="","",Raw!B1289)</f>
        <v>T00642</v>
      </c>
      <c r="C1289" s="1" t="str">
        <f>IF(Raw!C1289="","",Raw!C1289)</f>
        <v>2026-03-19</v>
      </c>
      <c r="D1289" s="1">
        <f t="shared" si="160"/>
        <v>2026</v>
      </c>
      <c r="E1289" s="1">
        <f>IFERROR(IF(AND(LEN(C1289)=10,MID(C1289,5,1)="-",MID(C1289,8,1)="-"),VALUE(MID(C1289,6,2)),IF(AND(LEN(C1289)=11,MID(C1289,3,1)="-",MID(C1289,7,1)="-"),MATCH(UPPER(MID(C1289,4,3)),Guide!$D$7:$D$18,0),0)),0)</f>
        <v>3</v>
      </c>
      <c r="F1289" s="1">
        <f t="shared" si="161"/>
        <v>19</v>
      </c>
      <c r="G1289" s="9">
        <f t="shared" si="162"/>
        <v>46100</v>
      </c>
      <c r="H1289" s="1" t="str">
        <f>IF(Raw!D1289="","",Raw!D1289)</f>
        <v>P-H</v>
      </c>
      <c r="I1289" s="1" t="str">
        <f>IFERROR(IF(EXACT(H1289,INDEX(Guide!$A$7:$A$9,MATCH(SUBSTITUTE(SUBSTITUTE(SUBSTITUTE(H1289,"~","~~"),"*","~*"),"?","~?"),Guide!$A$7:$A$9,0))),INDEX(Guide!$B$7:$B$9,MATCH(SUBSTITUTE(SUBSTITUTE(SUBSTITUTE(H1289,"~","~~"),"*","~*"),"?","~?"),Guide!$A$7:$A$9,0)),""),"")</f>
        <v>Home</v>
      </c>
      <c r="J1289" s="1" t="str">
        <f>IF(TRIM(Raw!E1289)="",I1289,IF(UPPER(TRIM(Raw!E1289))=UPPER(I1289),I1289,""))</f>
        <v>Home</v>
      </c>
      <c r="K1289" s="1" t="str">
        <f>IF(Raw!F1289="","",Raw!F1289)</f>
        <v>sale</v>
      </c>
      <c r="L1289" s="1" t="str">
        <f>IF(LEFT(TRIM(Raw!G1289),2)="-$","-"&amp;MID(TRIM(Raw!G1289),3,99),IF(LEFT(TRIM(Raw!G1289),1)="$",MID(TRIM(Raw!G1289),2,99),TRIM(Raw!G1289)))</f>
        <v>596.65</v>
      </c>
      <c r="M1289" s="1">
        <f t="shared" si="163"/>
        <v>596.65</v>
      </c>
      <c r="N1289" s="10">
        <f t="shared" si="164"/>
        <v>59665</v>
      </c>
      <c r="O1289" s="1" t="b">
        <f>IFERROR(IF(ISNUMBER(Raw!G1289),TRUE,OR(EXACT(L1289,TEXT(M1289,"0.00")),EXACT(L1289,TEXT(M1289,"#,##0.00")))),FALSE)</f>
        <v>1</v>
      </c>
      <c r="P1289" s="1" t="str">
        <f>LEN(IF(Raw!A1289="","",Raw!A1289))&amp;":"&amp;IF(Raw!A1289="","",Raw!A1289)&amp;"|"&amp;LEN(IF(Raw!B1289="","",Raw!B1289))&amp;":"&amp;IF(Raw!B1289="","",Raw!B1289)&amp;"|"&amp;LEN(IF(Raw!C1289="","",Raw!C1289))&amp;":"&amp;IF(Raw!C1289="","",Raw!C1289)&amp;"|"&amp;LEN(IF(Raw!D1289="","",Raw!D1289))&amp;":"&amp;IF(Raw!D1289="","",Raw!D1289)&amp;"|"&amp;LEN(IF(Raw!E1289="","",Raw!E1289))&amp;":"&amp;IF(Raw!E1289="","",Raw!E1289)&amp;"|"&amp;LEN(IF(Raw!F1289="","",Raw!F1289))&amp;":"&amp;IF(Raw!F1289="","",Raw!F1289)&amp;"|"&amp;LEN(IF(Raw!G1289="","",Raw!G1289))&amp;":"&amp;IF(Raw!G1289="","",Raw!G1289)</f>
        <v>6:L01283|6:T00642|10:2026-03-19|3:P-H|4:Home|4:sale|6:596.65</v>
      </c>
      <c r="Q1289" s="1">
        <f>1</f>
        <v>1</v>
      </c>
      <c r="R1289" s="1" t="b">
        <f>FALSE</f>
        <v>0</v>
      </c>
      <c r="S1289" s="1">
        <f>1</f>
        <v>1</v>
      </c>
      <c r="T1289" s="1" t="str">
        <f>IF(AND(Raw!A1289="",Raw!B1289="",Raw!C1289="",Raw!D1289="",Raw!E1289="",Raw!F1289="",Raw!G1289=""),"UNUSED",IF(A1289="","missing line ID",IF(B1289="","missing transaction ID",IF(G1289="",IF(C1289="","missing date","invalid date"),IF(I1289="","unknown product",IF(J1289="","conflicting category",IF(NOT(OR(EXACT(K1289,"sale"),EXACT(K1289,"refund"))),"unknown event",IF(OR(N1289="",NOT(O1289)),"invalid amount",IF(OR(AND(K1289="sale",N1289&lt;=0),AND(K1289="refund",N1289&gt;=0)),"invalid sign","")))))))))</f>
        <v/>
      </c>
      <c r="U1289" s="1" t="str">
        <f t="shared" si="165"/>
        <v>INCLUDED</v>
      </c>
      <c r="V1289" s="1" t="str">
        <f t="shared" si="166"/>
        <v>2026-03</v>
      </c>
      <c r="W1289" s="1">
        <f>IF(AND(U1289="INCLUDED",X1289&gt;0,EXACT(A1289,'AI output'!A1289)),1,0)</f>
        <v>1</v>
      </c>
      <c r="X1289" s="1">
        <f>1289</f>
        <v>1289</v>
      </c>
      <c r="Y1289" s="1">
        <f>IF(AND(U1289="INCLUDED",W1289=1),--(NOT(EXACT(A1289,'AI output'!A1289)))+--(NOT(EXACT(B1289,'AI output'!B1289)))+--(NOT(EXACT(TEXT(G1289,"yyyy-mm-dd"),'AI output'!C1289)))+--(NOT(EXACT(H1289,'AI output'!D1289)))+--(NOT(EXACT(J1289,'AI output'!E1289)))+--(NOT(EXACT(K1289,'AI output'!F1289)))+--(N1289&lt;&gt;'AI output'!L1289)+--(NOT('AI output'!M1289)),0)</f>
        <v>0</v>
      </c>
      <c r="Z1289" s="1">
        <f t="shared" si="167"/>
        <v>0</v>
      </c>
      <c r="AA1289" s="1">
        <f>--EXACT(A1289,"L01283")</f>
        <v>1</v>
      </c>
    </row>
    <row r="1290" spans="1:27" ht="18.95" customHeight="1">
      <c r="A1290" s="1" t="str">
        <f>IF(Raw!A1290="","",Raw!A1290)</f>
        <v>L01284</v>
      </c>
      <c r="B1290" s="1" t="str">
        <f>IF(Raw!B1290="","",Raw!B1290)</f>
        <v>T00642</v>
      </c>
      <c r="C1290" s="1" t="str">
        <f>IF(Raw!C1290="","",Raw!C1290)</f>
        <v>2026-03-19</v>
      </c>
      <c r="D1290" s="1">
        <f t="shared" si="160"/>
        <v>2026</v>
      </c>
      <c r="E1290" s="1">
        <f>IFERROR(IF(AND(LEN(C1290)=10,MID(C1290,5,1)="-",MID(C1290,8,1)="-"),VALUE(MID(C1290,6,2)),IF(AND(LEN(C1290)=11,MID(C1290,3,1)="-",MID(C1290,7,1)="-"),MATCH(UPPER(MID(C1290,4,3)),Guide!$D$7:$D$18,0),0)),0)</f>
        <v>3</v>
      </c>
      <c r="F1290" s="1">
        <f t="shared" si="161"/>
        <v>19</v>
      </c>
      <c r="G1290" s="9">
        <f t="shared" si="162"/>
        <v>46100</v>
      </c>
      <c r="H1290" s="1" t="str">
        <f>IF(Raw!D1290="","",Raw!D1290)</f>
        <v>P-O</v>
      </c>
      <c r="I1290" s="1" t="str">
        <f>IFERROR(IF(EXACT(H1290,INDEX(Guide!$A$7:$A$9,MATCH(SUBSTITUTE(SUBSTITUTE(SUBSTITUTE(H1290,"~","~~"),"*","~*"),"?","~?"),Guide!$A$7:$A$9,0))),INDEX(Guide!$B$7:$B$9,MATCH(SUBSTITUTE(SUBSTITUTE(SUBSTITUTE(H1290,"~","~~"),"*","~*"),"?","~?"),Guide!$A$7:$A$9,0)),""),"")</f>
        <v>Office</v>
      </c>
      <c r="J1290" s="1" t="str">
        <f>IF(TRIM(Raw!E1290)="",I1290,IF(UPPER(TRIM(Raw!E1290))=UPPER(I1290),I1290,""))</f>
        <v>Office</v>
      </c>
      <c r="K1290" s="1" t="str">
        <f>IF(Raw!F1290="","",Raw!F1290)</f>
        <v>sale</v>
      </c>
      <c r="L1290" s="1" t="str">
        <f>IF(LEFT(TRIM(Raw!G1290),2)="-$","-"&amp;MID(TRIM(Raw!G1290),3,99),IF(LEFT(TRIM(Raw!G1290),1)="$",MID(TRIM(Raw!G1290),2,99),TRIM(Raw!G1290)))</f>
        <v>239.40</v>
      </c>
      <c r="M1290" s="1">
        <f t="shared" si="163"/>
        <v>239.4</v>
      </c>
      <c r="N1290" s="10">
        <f t="shared" si="164"/>
        <v>23940</v>
      </c>
      <c r="O1290" s="1" t="b">
        <f>IFERROR(IF(ISNUMBER(Raw!G1290),TRUE,OR(EXACT(L1290,TEXT(M1290,"0.00")),EXACT(L1290,TEXT(M1290,"#,##0.00")))),FALSE)</f>
        <v>1</v>
      </c>
      <c r="P1290" s="1" t="str">
        <f>LEN(IF(Raw!A1290="","",Raw!A1290))&amp;":"&amp;IF(Raw!A1290="","",Raw!A1290)&amp;"|"&amp;LEN(IF(Raw!B1290="","",Raw!B1290))&amp;":"&amp;IF(Raw!B1290="","",Raw!B1290)&amp;"|"&amp;LEN(IF(Raw!C1290="","",Raw!C1290))&amp;":"&amp;IF(Raw!C1290="","",Raw!C1290)&amp;"|"&amp;LEN(IF(Raw!D1290="","",Raw!D1290))&amp;":"&amp;IF(Raw!D1290="","",Raw!D1290)&amp;"|"&amp;LEN(IF(Raw!E1290="","",Raw!E1290))&amp;":"&amp;IF(Raw!E1290="","",Raw!E1290)&amp;"|"&amp;LEN(IF(Raw!F1290="","",Raw!F1290))&amp;":"&amp;IF(Raw!F1290="","",Raw!F1290)&amp;"|"&amp;LEN(IF(Raw!G1290="","",Raw!G1290))&amp;":"&amp;IF(Raw!G1290="","",Raw!G1290)</f>
        <v>6:L01284|6:T00642|10:2026-03-19|3:P-O|6:Office|4:sale|6:239.40</v>
      </c>
      <c r="Q1290" s="1">
        <f>1</f>
        <v>1</v>
      </c>
      <c r="R1290" s="1" t="b">
        <f>FALSE</f>
        <v>0</v>
      </c>
      <c r="S1290" s="1">
        <f>1</f>
        <v>1</v>
      </c>
      <c r="T1290" s="1" t="str">
        <f>IF(AND(Raw!A1290="",Raw!B1290="",Raw!C1290="",Raw!D1290="",Raw!E1290="",Raw!F1290="",Raw!G1290=""),"UNUSED",IF(A1290="","missing line ID",IF(B1290="","missing transaction ID",IF(G1290="",IF(C1290="","missing date","invalid date"),IF(I1290="","unknown product",IF(J1290="","conflicting category",IF(NOT(OR(EXACT(K1290,"sale"),EXACT(K1290,"refund"))),"unknown event",IF(OR(N1290="",NOT(O1290)),"invalid amount",IF(OR(AND(K1290="sale",N1290&lt;=0),AND(K1290="refund",N1290&gt;=0)),"invalid sign","")))))))))</f>
        <v/>
      </c>
      <c r="U1290" s="1" t="str">
        <f t="shared" si="165"/>
        <v>INCLUDED</v>
      </c>
      <c r="V1290" s="1" t="str">
        <f t="shared" si="166"/>
        <v>2026-03</v>
      </c>
      <c r="W1290" s="1">
        <f>IF(AND(U1290="INCLUDED",X1290&gt;0,EXACT(A1290,'AI output'!A1290)),1,0)</f>
        <v>1</v>
      </c>
      <c r="X1290" s="1">
        <f>1290</f>
        <v>1290</v>
      </c>
      <c r="Y1290" s="1">
        <f>IF(AND(U1290="INCLUDED",W1290=1),--(NOT(EXACT(A1290,'AI output'!A1290)))+--(NOT(EXACT(B1290,'AI output'!B1290)))+--(NOT(EXACT(TEXT(G1290,"yyyy-mm-dd"),'AI output'!C1290)))+--(NOT(EXACT(H1290,'AI output'!D1290)))+--(NOT(EXACT(J1290,'AI output'!E1290)))+--(NOT(EXACT(K1290,'AI output'!F1290)))+--(N1290&lt;&gt;'AI output'!L1290)+--(NOT('AI output'!M1290)),0)</f>
        <v>0</v>
      </c>
      <c r="Z1290" s="1">
        <f t="shared" si="167"/>
        <v>0</v>
      </c>
      <c r="AA1290" s="1">
        <f>--EXACT(A1290,"L01284")</f>
        <v>1</v>
      </c>
    </row>
    <row r="1291" spans="1:27" ht="18.95" customHeight="1">
      <c r="A1291" s="1" t="str">
        <f>IF(Raw!A1291="","",Raw!A1291)</f>
        <v>L01285</v>
      </c>
      <c r="B1291" s="1" t="str">
        <f>IF(Raw!B1291="","",Raw!B1291)</f>
        <v>T00643</v>
      </c>
      <c r="C1291" s="1" t="str">
        <f>IF(Raw!C1291="","",Raw!C1291)</f>
        <v>2026-03-26</v>
      </c>
      <c r="D1291" s="1">
        <f t="shared" si="160"/>
        <v>2026</v>
      </c>
      <c r="E1291" s="1">
        <f>IFERROR(IF(AND(LEN(C1291)=10,MID(C1291,5,1)="-",MID(C1291,8,1)="-"),VALUE(MID(C1291,6,2)),IF(AND(LEN(C1291)=11,MID(C1291,3,1)="-",MID(C1291,7,1)="-"),MATCH(UPPER(MID(C1291,4,3)),Guide!$D$7:$D$18,0),0)),0)</f>
        <v>3</v>
      </c>
      <c r="F1291" s="1">
        <f t="shared" si="161"/>
        <v>26</v>
      </c>
      <c r="G1291" s="9">
        <f t="shared" si="162"/>
        <v>46107</v>
      </c>
      <c r="H1291" s="1" t="str">
        <f>IF(Raw!D1291="","",Raw!D1291)</f>
        <v>P-A</v>
      </c>
      <c r="I1291" s="1" t="str">
        <f>IFERROR(IF(EXACT(H1291,INDEX(Guide!$A$7:$A$9,MATCH(SUBSTITUTE(SUBSTITUTE(SUBSTITUTE(H1291,"~","~~"),"*","~*"),"?","~?"),Guide!$A$7:$A$9,0))),INDEX(Guide!$B$7:$B$9,MATCH(SUBSTITUTE(SUBSTITUTE(SUBSTITUTE(H1291,"~","~~"),"*","~*"),"?","~?"),Guide!$A$7:$A$9,0)),""),"")</f>
        <v>Accessories</v>
      </c>
      <c r="J1291" s="1" t="str">
        <f>IF(TRIM(Raw!E1291)="",I1291,IF(UPPER(TRIM(Raw!E1291))=UPPER(I1291),I1291,""))</f>
        <v>Accessories</v>
      </c>
      <c r="K1291" s="1" t="str">
        <f>IF(Raw!F1291="","",Raw!F1291)</f>
        <v>sale</v>
      </c>
      <c r="L1291" s="1" t="str">
        <f>IF(LEFT(TRIM(Raw!G1291),2)="-$","-"&amp;MID(TRIM(Raw!G1291),3,99),IF(LEFT(TRIM(Raw!G1291),1)="$",MID(TRIM(Raw!G1291),2,99),TRIM(Raw!G1291)))</f>
        <v>480.28</v>
      </c>
      <c r="M1291" s="1">
        <f t="shared" si="163"/>
        <v>480.28</v>
      </c>
      <c r="N1291" s="10">
        <f t="shared" si="164"/>
        <v>48028</v>
      </c>
      <c r="O1291" s="1" t="b">
        <f>IFERROR(IF(ISNUMBER(Raw!G1291),TRUE,OR(EXACT(L1291,TEXT(M1291,"0.00")),EXACT(L1291,TEXT(M1291,"#,##0.00")))),FALSE)</f>
        <v>1</v>
      </c>
      <c r="P1291" s="1" t="str">
        <f>LEN(IF(Raw!A1291="","",Raw!A1291))&amp;":"&amp;IF(Raw!A1291="","",Raw!A1291)&amp;"|"&amp;LEN(IF(Raw!B1291="","",Raw!B1291))&amp;":"&amp;IF(Raw!B1291="","",Raw!B1291)&amp;"|"&amp;LEN(IF(Raw!C1291="","",Raw!C1291))&amp;":"&amp;IF(Raw!C1291="","",Raw!C1291)&amp;"|"&amp;LEN(IF(Raw!D1291="","",Raw!D1291))&amp;":"&amp;IF(Raw!D1291="","",Raw!D1291)&amp;"|"&amp;LEN(IF(Raw!E1291="","",Raw!E1291))&amp;":"&amp;IF(Raw!E1291="","",Raw!E1291)&amp;"|"&amp;LEN(IF(Raw!F1291="","",Raw!F1291))&amp;":"&amp;IF(Raw!F1291="","",Raw!F1291)&amp;"|"&amp;LEN(IF(Raw!G1291="","",Raw!G1291))&amp;":"&amp;IF(Raw!G1291="","",Raw!G1291)</f>
        <v>6:L01285|6:T00643|10:2026-03-26|3:P-A|11:Accessories|4:sale|6:480.28</v>
      </c>
      <c r="Q1291" s="1">
        <f>1</f>
        <v>1</v>
      </c>
      <c r="R1291" s="1" t="b">
        <f>FALSE</f>
        <v>0</v>
      </c>
      <c r="S1291" s="1">
        <f>1</f>
        <v>1</v>
      </c>
      <c r="T1291" s="1" t="str">
        <f>IF(AND(Raw!A1291="",Raw!B1291="",Raw!C1291="",Raw!D1291="",Raw!E1291="",Raw!F1291="",Raw!G1291=""),"UNUSED",IF(A1291="","missing line ID",IF(B1291="","missing transaction ID",IF(G1291="",IF(C1291="","missing date","invalid date"),IF(I1291="","unknown product",IF(J1291="","conflicting category",IF(NOT(OR(EXACT(K1291,"sale"),EXACT(K1291,"refund"))),"unknown event",IF(OR(N1291="",NOT(O1291)),"invalid amount",IF(OR(AND(K1291="sale",N1291&lt;=0),AND(K1291="refund",N1291&gt;=0)),"invalid sign","")))))))))</f>
        <v/>
      </c>
      <c r="U1291" s="1" t="str">
        <f t="shared" si="165"/>
        <v>INCLUDED</v>
      </c>
      <c r="V1291" s="1" t="str">
        <f t="shared" si="166"/>
        <v>2026-03</v>
      </c>
      <c r="W1291" s="1">
        <f>IF(AND(U1291="INCLUDED",X1291&gt;0,EXACT(A1291,'AI output'!A1291)),1,0)</f>
        <v>1</v>
      </c>
      <c r="X1291" s="1">
        <f>1291</f>
        <v>1291</v>
      </c>
      <c r="Y1291" s="1">
        <f>IF(AND(U1291="INCLUDED",W1291=1),--(NOT(EXACT(A1291,'AI output'!A1291)))+--(NOT(EXACT(B1291,'AI output'!B1291)))+--(NOT(EXACT(TEXT(G1291,"yyyy-mm-dd"),'AI output'!C1291)))+--(NOT(EXACT(H1291,'AI output'!D1291)))+--(NOT(EXACT(J1291,'AI output'!E1291)))+--(NOT(EXACT(K1291,'AI output'!F1291)))+--(N1291&lt;&gt;'AI output'!L1291)+--(NOT('AI output'!M1291)),0)</f>
        <v>0</v>
      </c>
      <c r="Z1291" s="1">
        <f t="shared" si="167"/>
        <v>0</v>
      </c>
      <c r="AA1291" s="1">
        <f>--EXACT(A1291,"L01285")</f>
        <v>1</v>
      </c>
    </row>
    <row r="1292" spans="1:27" ht="18.95" customHeight="1">
      <c r="A1292" s="1" t="str">
        <f>IF(Raw!A1292="","",Raw!A1292)</f>
        <v>L01286</v>
      </c>
      <c r="B1292" s="1" t="str">
        <f>IF(Raw!B1292="","",Raw!B1292)</f>
        <v>T00643</v>
      </c>
      <c r="C1292" s="1" t="str">
        <f>IF(Raw!C1292="","",Raw!C1292)</f>
        <v>2026-03-26</v>
      </c>
      <c r="D1292" s="1">
        <f t="shared" si="160"/>
        <v>2026</v>
      </c>
      <c r="E1292" s="1">
        <f>IFERROR(IF(AND(LEN(C1292)=10,MID(C1292,5,1)="-",MID(C1292,8,1)="-"),VALUE(MID(C1292,6,2)),IF(AND(LEN(C1292)=11,MID(C1292,3,1)="-",MID(C1292,7,1)="-"),MATCH(UPPER(MID(C1292,4,3)),Guide!$D$7:$D$18,0),0)),0)</f>
        <v>3</v>
      </c>
      <c r="F1292" s="1">
        <f t="shared" si="161"/>
        <v>26</v>
      </c>
      <c r="G1292" s="9">
        <f t="shared" si="162"/>
        <v>46107</v>
      </c>
      <c r="H1292" s="1" t="str">
        <f>IF(Raw!D1292="","",Raw!D1292)</f>
        <v>P-H</v>
      </c>
      <c r="I1292" s="1" t="str">
        <f>IFERROR(IF(EXACT(H1292,INDEX(Guide!$A$7:$A$9,MATCH(SUBSTITUTE(SUBSTITUTE(SUBSTITUTE(H1292,"~","~~"),"*","~*"),"?","~?"),Guide!$A$7:$A$9,0))),INDEX(Guide!$B$7:$B$9,MATCH(SUBSTITUTE(SUBSTITUTE(SUBSTITUTE(H1292,"~","~~"),"*","~*"),"?","~?"),Guide!$A$7:$A$9,0)),""),"")</f>
        <v>Home</v>
      </c>
      <c r="J1292" s="1" t="str">
        <f>IF(TRIM(Raw!E1292)="",I1292,IF(UPPER(TRIM(Raw!E1292))=UPPER(I1292),I1292,""))</f>
        <v>Home</v>
      </c>
      <c r="K1292" s="1" t="str">
        <f>IF(Raw!F1292="","",Raw!F1292)</f>
        <v>sale</v>
      </c>
      <c r="L1292" s="1" t="str">
        <f>IF(LEFT(TRIM(Raw!G1292),2)="-$","-"&amp;MID(TRIM(Raw!G1292),3,99),IF(LEFT(TRIM(Raw!G1292),1)="$",MID(TRIM(Raw!G1292),2,99),TRIM(Raw!G1292)))</f>
        <v>120.44</v>
      </c>
      <c r="M1292" s="1">
        <f t="shared" si="163"/>
        <v>120.44</v>
      </c>
      <c r="N1292" s="10">
        <f t="shared" si="164"/>
        <v>12044</v>
      </c>
      <c r="O1292" s="1" t="b">
        <f>IFERROR(IF(ISNUMBER(Raw!G1292),TRUE,OR(EXACT(L1292,TEXT(M1292,"0.00")),EXACT(L1292,TEXT(M1292,"#,##0.00")))),FALSE)</f>
        <v>1</v>
      </c>
      <c r="P1292" s="1" t="str">
        <f>LEN(IF(Raw!A1292="","",Raw!A1292))&amp;":"&amp;IF(Raw!A1292="","",Raw!A1292)&amp;"|"&amp;LEN(IF(Raw!B1292="","",Raw!B1292))&amp;":"&amp;IF(Raw!B1292="","",Raw!B1292)&amp;"|"&amp;LEN(IF(Raw!C1292="","",Raw!C1292))&amp;":"&amp;IF(Raw!C1292="","",Raw!C1292)&amp;"|"&amp;LEN(IF(Raw!D1292="","",Raw!D1292))&amp;":"&amp;IF(Raw!D1292="","",Raw!D1292)&amp;"|"&amp;LEN(IF(Raw!E1292="","",Raw!E1292))&amp;":"&amp;IF(Raw!E1292="","",Raw!E1292)&amp;"|"&amp;LEN(IF(Raw!F1292="","",Raw!F1292))&amp;":"&amp;IF(Raw!F1292="","",Raw!F1292)&amp;"|"&amp;LEN(IF(Raw!G1292="","",Raw!G1292))&amp;":"&amp;IF(Raw!G1292="","",Raw!G1292)</f>
        <v>6:L01286|6:T00643|10:2026-03-26|3:P-H|4:Home|4:sale|6:120.44</v>
      </c>
      <c r="Q1292" s="1">
        <f>1</f>
        <v>1</v>
      </c>
      <c r="R1292" s="1" t="b">
        <f>FALSE</f>
        <v>0</v>
      </c>
      <c r="S1292" s="1">
        <f>1</f>
        <v>1</v>
      </c>
      <c r="T1292" s="1" t="str">
        <f>IF(AND(Raw!A1292="",Raw!B1292="",Raw!C1292="",Raw!D1292="",Raw!E1292="",Raw!F1292="",Raw!G1292=""),"UNUSED",IF(A1292="","missing line ID",IF(B1292="","missing transaction ID",IF(G1292="",IF(C1292="","missing date","invalid date"),IF(I1292="","unknown product",IF(J1292="","conflicting category",IF(NOT(OR(EXACT(K1292,"sale"),EXACT(K1292,"refund"))),"unknown event",IF(OR(N1292="",NOT(O1292)),"invalid amount",IF(OR(AND(K1292="sale",N1292&lt;=0),AND(K1292="refund",N1292&gt;=0)),"invalid sign","")))))))))</f>
        <v/>
      </c>
      <c r="U1292" s="1" t="str">
        <f t="shared" si="165"/>
        <v>INCLUDED</v>
      </c>
      <c r="V1292" s="1" t="str">
        <f t="shared" si="166"/>
        <v>2026-03</v>
      </c>
      <c r="W1292" s="1">
        <f>IF(AND(U1292="INCLUDED",X1292&gt;0,EXACT(A1292,'AI output'!A1292)),1,0)</f>
        <v>1</v>
      </c>
      <c r="X1292" s="1">
        <f>1292</f>
        <v>1292</v>
      </c>
      <c r="Y1292" s="1">
        <f>IF(AND(U1292="INCLUDED",W1292=1),--(NOT(EXACT(A1292,'AI output'!A1292)))+--(NOT(EXACT(B1292,'AI output'!B1292)))+--(NOT(EXACT(TEXT(G1292,"yyyy-mm-dd"),'AI output'!C1292)))+--(NOT(EXACT(H1292,'AI output'!D1292)))+--(NOT(EXACT(J1292,'AI output'!E1292)))+--(NOT(EXACT(K1292,'AI output'!F1292)))+--(N1292&lt;&gt;'AI output'!L1292)+--(NOT('AI output'!M1292)),0)</f>
        <v>0</v>
      </c>
      <c r="Z1292" s="1">
        <f t="shared" si="167"/>
        <v>0</v>
      </c>
      <c r="AA1292" s="1">
        <f>--EXACT(A1292,"L01286")</f>
        <v>1</v>
      </c>
    </row>
    <row r="1293" spans="1:27" ht="18.95" customHeight="1">
      <c r="A1293" s="1" t="str">
        <f>IF(Raw!A1293="","",Raw!A1293)</f>
        <v>L01287</v>
      </c>
      <c r="B1293" s="1" t="str">
        <f>IF(Raw!B1293="","",Raw!B1293)</f>
        <v>T00644</v>
      </c>
      <c r="C1293" s="1" t="str">
        <f>IF(Raw!C1293="","",Raw!C1293)</f>
        <v>2026-01-02</v>
      </c>
      <c r="D1293" s="1">
        <f t="shared" si="160"/>
        <v>2026</v>
      </c>
      <c r="E1293" s="1">
        <f>IFERROR(IF(AND(LEN(C1293)=10,MID(C1293,5,1)="-",MID(C1293,8,1)="-"),VALUE(MID(C1293,6,2)),IF(AND(LEN(C1293)=11,MID(C1293,3,1)="-",MID(C1293,7,1)="-"),MATCH(UPPER(MID(C1293,4,3)),Guide!$D$7:$D$18,0),0)),0)</f>
        <v>1</v>
      </c>
      <c r="F1293" s="1">
        <f t="shared" si="161"/>
        <v>2</v>
      </c>
      <c r="G1293" s="9">
        <f t="shared" si="162"/>
        <v>46024</v>
      </c>
      <c r="H1293" s="1" t="str">
        <f>IF(Raw!D1293="","",Raw!D1293)</f>
        <v>P-O</v>
      </c>
      <c r="I1293" s="1" t="str">
        <f>IFERROR(IF(EXACT(H1293,INDEX(Guide!$A$7:$A$9,MATCH(SUBSTITUTE(SUBSTITUTE(SUBSTITUTE(H1293,"~","~~"),"*","~*"),"?","~?"),Guide!$A$7:$A$9,0))),INDEX(Guide!$B$7:$B$9,MATCH(SUBSTITUTE(SUBSTITUTE(SUBSTITUTE(H1293,"~","~~"),"*","~*"),"?","~?"),Guide!$A$7:$A$9,0)),""),"")</f>
        <v>Office</v>
      </c>
      <c r="J1293" s="1" t="str">
        <f>IF(TRIM(Raw!E1293)="",I1293,IF(UPPER(TRIM(Raw!E1293))=UPPER(I1293),I1293,""))</f>
        <v>Office</v>
      </c>
      <c r="K1293" s="1" t="str">
        <f>IF(Raw!F1293="","",Raw!F1293)</f>
        <v>sale</v>
      </c>
      <c r="L1293" s="1" t="str">
        <f>IF(LEFT(TRIM(Raw!G1293),2)="-$","-"&amp;MID(TRIM(Raw!G1293),3,99),IF(LEFT(TRIM(Raw!G1293),1)="$",MID(TRIM(Raw!G1293),2,99),TRIM(Raw!G1293)))</f>
        <v>362.43</v>
      </c>
      <c r="M1293" s="1">
        <f t="shared" si="163"/>
        <v>362.43</v>
      </c>
      <c r="N1293" s="10">
        <f t="shared" si="164"/>
        <v>36243</v>
      </c>
      <c r="O1293" s="1" t="b">
        <f>IFERROR(IF(ISNUMBER(Raw!G1293),TRUE,OR(EXACT(L1293,TEXT(M1293,"0.00")),EXACT(L1293,TEXT(M1293,"#,##0.00")))),FALSE)</f>
        <v>1</v>
      </c>
      <c r="P1293" s="1" t="str">
        <f>LEN(IF(Raw!A1293="","",Raw!A1293))&amp;":"&amp;IF(Raw!A1293="","",Raw!A1293)&amp;"|"&amp;LEN(IF(Raw!B1293="","",Raw!B1293))&amp;":"&amp;IF(Raw!B1293="","",Raw!B1293)&amp;"|"&amp;LEN(IF(Raw!C1293="","",Raw!C1293))&amp;":"&amp;IF(Raw!C1293="","",Raw!C1293)&amp;"|"&amp;LEN(IF(Raw!D1293="","",Raw!D1293))&amp;":"&amp;IF(Raw!D1293="","",Raw!D1293)&amp;"|"&amp;LEN(IF(Raw!E1293="","",Raw!E1293))&amp;":"&amp;IF(Raw!E1293="","",Raw!E1293)&amp;"|"&amp;LEN(IF(Raw!F1293="","",Raw!F1293))&amp;":"&amp;IF(Raw!F1293="","",Raw!F1293)&amp;"|"&amp;LEN(IF(Raw!G1293="","",Raw!G1293))&amp;":"&amp;IF(Raw!G1293="","",Raw!G1293)</f>
        <v>6:L01287|6:T00644|10:2026-01-02|3:P-O|6:Office|4:sale|6:362.43</v>
      </c>
      <c r="Q1293" s="1">
        <f>1</f>
        <v>1</v>
      </c>
      <c r="R1293" s="1" t="b">
        <f>FALSE</f>
        <v>0</v>
      </c>
      <c r="S1293" s="1">
        <f>1</f>
        <v>1</v>
      </c>
      <c r="T1293" s="1" t="str">
        <f>IF(AND(Raw!A1293="",Raw!B1293="",Raw!C1293="",Raw!D1293="",Raw!E1293="",Raw!F1293="",Raw!G1293=""),"UNUSED",IF(A1293="","missing line ID",IF(B1293="","missing transaction ID",IF(G1293="",IF(C1293="","missing date","invalid date"),IF(I1293="","unknown product",IF(J1293="","conflicting category",IF(NOT(OR(EXACT(K1293,"sale"),EXACT(K1293,"refund"))),"unknown event",IF(OR(N1293="",NOT(O1293)),"invalid amount",IF(OR(AND(K1293="sale",N1293&lt;=0),AND(K1293="refund",N1293&gt;=0)),"invalid sign","")))))))))</f>
        <v/>
      </c>
      <c r="U1293" s="1" t="str">
        <f t="shared" si="165"/>
        <v>INCLUDED</v>
      </c>
      <c r="V1293" s="1" t="str">
        <f t="shared" si="166"/>
        <v>2026-01</v>
      </c>
      <c r="W1293" s="1">
        <f>IF(AND(U1293="INCLUDED",X1293&gt;0,EXACT(A1293,'AI output'!A1293)),1,0)</f>
        <v>1</v>
      </c>
      <c r="X1293" s="1">
        <f>1293</f>
        <v>1293</v>
      </c>
      <c r="Y1293" s="1">
        <f>IF(AND(U1293="INCLUDED",W1293=1),--(NOT(EXACT(A1293,'AI output'!A1293)))+--(NOT(EXACT(B1293,'AI output'!B1293)))+--(NOT(EXACT(TEXT(G1293,"yyyy-mm-dd"),'AI output'!C1293)))+--(NOT(EXACT(H1293,'AI output'!D1293)))+--(NOT(EXACT(J1293,'AI output'!E1293)))+--(NOT(EXACT(K1293,'AI output'!F1293)))+--(N1293&lt;&gt;'AI output'!L1293)+--(NOT('AI output'!M1293)),0)</f>
        <v>0</v>
      </c>
      <c r="Z1293" s="1">
        <f t="shared" si="167"/>
        <v>0</v>
      </c>
      <c r="AA1293" s="1">
        <f>--EXACT(A1293,"L01287")</f>
        <v>1</v>
      </c>
    </row>
    <row r="1294" spans="1:27" ht="18.95" customHeight="1">
      <c r="A1294" s="1" t="str">
        <f>IF(Raw!A1294="","",Raw!A1294)</f>
        <v>L01288</v>
      </c>
      <c r="B1294" s="1" t="str">
        <f>IF(Raw!B1294="","",Raw!B1294)</f>
        <v>T00644</v>
      </c>
      <c r="C1294" s="1" t="str">
        <f>IF(Raw!C1294="","",Raw!C1294)</f>
        <v>2026-01-02</v>
      </c>
      <c r="D1294" s="1">
        <f t="shared" si="160"/>
        <v>2026</v>
      </c>
      <c r="E1294" s="1">
        <f>IFERROR(IF(AND(LEN(C1294)=10,MID(C1294,5,1)="-",MID(C1294,8,1)="-"),VALUE(MID(C1294,6,2)),IF(AND(LEN(C1294)=11,MID(C1294,3,1)="-",MID(C1294,7,1)="-"),MATCH(UPPER(MID(C1294,4,3)),Guide!$D$7:$D$18,0),0)),0)</f>
        <v>1</v>
      </c>
      <c r="F1294" s="1">
        <f t="shared" si="161"/>
        <v>2</v>
      </c>
      <c r="G1294" s="9">
        <f t="shared" si="162"/>
        <v>46024</v>
      </c>
      <c r="H1294" s="1" t="str">
        <f>IF(Raw!D1294="","",Raw!D1294)</f>
        <v>P-A</v>
      </c>
      <c r="I1294" s="1" t="str">
        <f>IFERROR(IF(EXACT(H1294,INDEX(Guide!$A$7:$A$9,MATCH(SUBSTITUTE(SUBSTITUTE(SUBSTITUTE(H1294,"~","~~"),"*","~*"),"?","~?"),Guide!$A$7:$A$9,0))),INDEX(Guide!$B$7:$B$9,MATCH(SUBSTITUTE(SUBSTITUTE(SUBSTITUTE(H1294,"~","~~"),"*","~*"),"?","~?"),Guide!$A$7:$A$9,0)),""),"")</f>
        <v>Accessories</v>
      </c>
      <c r="J1294" s="1" t="str">
        <f>IF(TRIM(Raw!E1294)="",I1294,IF(UPPER(TRIM(Raw!E1294))=UPPER(I1294),I1294,""))</f>
        <v>Accessories</v>
      </c>
      <c r="K1294" s="1" t="str">
        <f>IF(Raw!F1294="","",Raw!F1294)</f>
        <v>sale</v>
      </c>
      <c r="L1294" s="1" t="str">
        <f>IF(LEFT(TRIM(Raw!G1294),2)="-$","-"&amp;MID(TRIM(Raw!G1294),3,99),IF(LEFT(TRIM(Raw!G1294),1)="$",MID(TRIM(Raw!G1294),2,99),TRIM(Raw!G1294)))</f>
        <v>605.90</v>
      </c>
      <c r="M1294" s="1">
        <f t="shared" si="163"/>
        <v>605.9</v>
      </c>
      <c r="N1294" s="10">
        <f t="shared" si="164"/>
        <v>60590</v>
      </c>
      <c r="O1294" s="1" t="b">
        <f>IFERROR(IF(ISNUMBER(Raw!G1294),TRUE,OR(EXACT(L1294,TEXT(M1294,"0.00")),EXACT(L1294,TEXT(M1294,"#,##0.00")))),FALSE)</f>
        <v>1</v>
      </c>
      <c r="P1294" s="1" t="str">
        <f>LEN(IF(Raw!A1294="","",Raw!A1294))&amp;":"&amp;IF(Raw!A1294="","",Raw!A1294)&amp;"|"&amp;LEN(IF(Raw!B1294="","",Raw!B1294))&amp;":"&amp;IF(Raw!B1294="","",Raw!B1294)&amp;"|"&amp;LEN(IF(Raw!C1294="","",Raw!C1294))&amp;":"&amp;IF(Raw!C1294="","",Raw!C1294)&amp;"|"&amp;LEN(IF(Raw!D1294="","",Raw!D1294))&amp;":"&amp;IF(Raw!D1294="","",Raw!D1294)&amp;"|"&amp;LEN(IF(Raw!E1294="","",Raw!E1294))&amp;":"&amp;IF(Raw!E1294="","",Raw!E1294)&amp;"|"&amp;LEN(IF(Raw!F1294="","",Raw!F1294))&amp;":"&amp;IF(Raw!F1294="","",Raw!F1294)&amp;"|"&amp;LEN(IF(Raw!G1294="","",Raw!G1294))&amp;":"&amp;IF(Raw!G1294="","",Raw!G1294)</f>
        <v>6:L01288|6:T00644|10:2026-01-02|3:P-A|11:Accessories|4:sale|6:605.90</v>
      </c>
      <c r="Q1294" s="1">
        <f>1</f>
        <v>1</v>
      </c>
      <c r="R1294" s="1" t="b">
        <f>FALSE</f>
        <v>0</v>
      </c>
      <c r="S1294" s="1">
        <f>1</f>
        <v>1</v>
      </c>
      <c r="T1294" s="1" t="str">
        <f>IF(AND(Raw!A1294="",Raw!B1294="",Raw!C1294="",Raw!D1294="",Raw!E1294="",Raw!F1294="",Raw!G1294=""),"UNUSED",IF(A1294="","missing line ID",IF(B1294="","missing transaction ID",IF(G1294="",IF(C1294="","missing date","invalid date"),IF(I1294="","unknown product",IF(J1294="","conflicting category",IF(NOT(OR(EXACT(K1294,"sale"),EXACT(K1294,"refund"))),"unknown event",IF(OR(N1294="",NOT(O1294)),"invalid amount",IF(OR(AND(K1294="sale",N1294&lt;=0),AND(K1294="refund",N1294&gt;=0)),"invalid sign","")))))))))</f>
        <v/>
      </c>
      <c r="U1294" s="1" t="str">
        <f t="shared" si="165"/>
        <v>INCLUDED</v>
      </c>
      <c r="V1294" s="1" t="str">
        <f t="shared" si="166"/>
        <v>2026-01</v>
      </c>
      <c r="W1294" s="1">
        <f>IF(AND(U1294="INCLUDED",X1294&gt;0,EXACT(A1294,'AI output'!A1294)),1,0)</f>
        <v>1</v>
      </c>
      <c r="X1294" s="1">
        <f>1294</f>
        <v>1294</v>
      </c>
      <c r="Y1294" s="1">
        <f>IF(AND(U1294="INCLUDED",W1294=1),--(NOT(EXACT(A1294,'AI output'!A1294)))+--(NOT(EXACT(B1294,'AI output'!B1294)))+--(NOT(EXACT(TEXT(G1294,"yyyy-mm-dd"),'AI output'!C1294)))+--(NOT(EXACT(H1294,'AI output'!D1294)))+--(NOT(EXACT(J1294,'AI output'!E1294)))+--(NOT(EXACT(K1294,'AI output'!F1294)))+--(N1294&lt;&gt;'AI output'!L1294)+--(NOT('AI output'!M1294)),0)</f>
        <v>0</v>
      </c>
      <c r="Z1294" s="1">
        <f t="shared" si="167"/>
        <v>0</v>
      </c>
      <c r="AA1294" s="1">
        <f>--EXACT(A1294,"L01288")</f>
        <v>1</v>
      </c>
    </row>
    <row r="1295" spans="1:27" ht="18.95" customHeight="1">
      <c r="A1295" s="1" t="str">
        <f>IF(Raw!A1295="","",Raw!A1295)</f>
        <v>L01289</v>
      </c>
      <c r="B1295" s="1" t="str">
        <f>IF(Raw!B1295="","",Raw!B1295)</f>
        <v>T00645</v>
      </c>
      <c r="C1295" s="1" t="str">
        <f>IF(Raw!C1295="","",Raw!C1295)</f>
        <v>2026-01-09</v>
      </c>
      <c r="D1295" s="1">
        <f t="shared" si="160"/>
        <v>2026</v>
      </c>
      <c r="E1295" s="1">
        <f>IFERROR(IF(AND(LEN(C1295)=10,MID(C1295,5,1)="-",MID(C1295,8,1)="-"),VALUE(MID(C1295,6,2)),IF(AND(LEN(C1295)=11,MID(C1295,3,1)="-",MID(C1295,7,1)="-"),MATCH(UPPER(MID(C1295,4,3)),Guide!$D$7:$D$18,0),0)),0)</f>
        <v>1</v>
      </c>
      <c r="F1295" s="1">
        <f t="shared" si="161"/>
        <v>9</v>
      </c>
      <c r="G1295" s="9">
        <f t="shared" si="162"/>
        <v>46031</v>
      </c>
      <c r="H1295" s="1" t="str">
        <f>IF(Raw!D1295="","",Raw!D1295)</f>
        <v>P-H</v>
      </c>
      <c r="I1295" s="1" t="str">
        <f>IFERROR(IF(EXACT(H1295,INDEX(Guide!$A$7:$A$9,MATCH(SUBSTITUTE(SUBSTITUTE(SUBSTITUTE(H1295,"~","~~"),"*","~*"),"?","~?"),Guide!$A$7:$A$9,0))),INDEX(Guide!$B$7:$B$9,MATCH(SUBSTITUTE(SUBSTITUTE(SUBSTITUTE(H1295,"~","~~"),"*","~*"),"?","~?"),Guide!$A$7:$A$9,0)),""),"")</f>
        <v>Home</v>
      </c>
      <c r="J1295" s="1" t="str">
        <f>IF(TRIM(Raw!E1295)="",I1295,IF(UPPER(TRIM(Raw!E1295))=UPPER(I1295),I1295,""))</f>
        <v>Home</v>
      </c>
      <c r="K1295" s="1" t="str">
        <f>IF(Raw!F1295="","",Raw!F1295)</f>
        <v>refund</v>
      </c>
      <c r="L1295" s="1" t="str">
        <f>IF(LEFT(TRIM(Raw!G1295),2)="-$","-"&amp;MID(TRIM(Raw!G1295),3,99),IF(LEFT(TRIM(Raw!G1295),1)="$",MID(TRIM(Raw!G1295),2,99),TRIM(Raw!G1295)))</f>
        <v>-243.10</v>
      </c>
      <c r="M1295" s="1">
        <f t="shared" si="163"/>
        <v>-243.1</v>
      </c>
      <c r="N1295" s="10">
        <f t="shared" si="164"/>
        <v>-24310</v>
      </c>
      <c r="O1295" s="1" t="b">
        <f>IFERROR(IF(ISNUMBER(Raw!G1295),TRUE,OR(EXACT(L1295,TEXT(M1295,"0.00")),EXACT(L1295,TEXT(M1295,"#,##0.00")))),FALSE)</f>
        <v>1</v>
      </c>
      <c r="P1295" s="1" t="str">
        <f>LEN(IF(Raw!A1295="","",Raw!A1295))&amp;":"&amp;IF(Raw!A1295="","",Raw!A1295)&amp;"|"&amp;LEN(IF(Raw!B1295="","",Raw!B1295))&amp;":"&amp;IF(Raw!B1295="","",Raw!B1295)&amp;"|"&amp;LEN(IF(Raw!C1295="","",Raw!C1295))&amp;":"&amp;IF(Raw!C1295="","",Raw!C1295)&amp;"|"&amp;LEN(IF(Raw!D1295="","",Raw!D1295))&amp;":"&amp;IF(Raw!D1295="","",Raw!D1295)&amp;"|"&amp;LEN(IF(Raw!E1295="","",Raw!E1295))&amp;":"&amp;IF(Raw!E1295="","",Raw!E1295)&amp;"|"&amp;LEN(IF(Raw!F1295="","",Raw!F1295))&amp;":"&amp;IF(Raw!F1295="","",Raw!F1295)&amp;"|"&amp;LEN(IF(Raw!G1295="","",Raw!G1295))&amp;":"&amp;IF(Raw!G1295="","",Raw!G1295)</f>
        <v>6:L01289|6:T00645|10:2026-01-09|3:P-H|4:Home|6:refund|7:-243.10</v>
      </c>
      <c r="Q1295" s="1">
        <f>1</f>
        <v>1</v>
      </c>
      <c r="R1295" s="1" t="b">
        <f>FALSE</f>
        <v>0</v>
      </c>
      <c r="S1295" s="1">
        <f>1</f>
        <v>1</v>
      </c>
      <c r="T1295" s="1" t="str">
        <f>IF(AND(Raw!A1295="",Raw!B1295="",Raw!C1295="",Raw!D1295="",Raw!E1295="",Raw!F1295="",Raw!G1295=""),"UNUSED",IF(A1295="","missing line ID",IF(B1295="","missing transaction ID",IF(G1295="",IF(C1295="","missing date","invalid date"),IF(I1295="","unknown product",IF(J1295="","conflicting category",IF(NOT(OR(EXACT(K1295,"sale"),EXACT(K1295,"refund"))),"unknown event",IF(OR(N1295="",NOT(O1295)),"invalid amount",IF(OR(AND(K1295="sale",N1295&lt;=0),AND(K1295="refund",N1295&gt;=0)),"invalid sign","")))))))))</f>
        <v/>
      </c>
      <c r="U1295" s="1" t="str">
        <f t="shared" si="165"/>
        <v>INCLUDED</v>
      </c>
      <c r="V1295" s="1" t="str">
        <f t="shared" si="166"/>
        <v>2026-01</v>
      </c>
      <c r="W1295" s="1">
        <f>IF(AND(U1295="INCLUDED",X1295&gt;0,EXACT(A1295,'AI output'!A1295)),1,0)</f>
        <v>1</v>
      </c>
      <c r="X1295" s="1">
        <f>1295</f>
        <v>1295</v>
      </c>
      <c r="Y1295" s="1">
        <f>IF(AND(U1295="INCLUDED",W1295=1),--(NOT(EXACT(A1295,'AI output'!A1295)))+--(NOT(EXACT(B1295,'AI output'!B1295)))+--(NOT(EXACT(TEXT(G1295,"yyyy-mm-dd"),'AI output'!C1295)))+--(NOT(EXACT(H1295,'AI output'!D1295)))+--(NOT(EXACT(J1295,'AI output'!E1295)))+--(NOT(EXACT(K1295,'AI output'!F1295)))+--(N1295&lt;&gt;'AI output'!L1295)+--(NOT('AI output'!M1295)),0)</f>
        <v>0</v>
      </c>
      <c r="Z1295" s="1">
        <f t="shared" si="167"/>
        <v>0</v>
      </c>
      <c r="AA1295" s="1">
        <f>--EXACT(A1295,"L01289")</f>
        <v>1</v>
      </c>
    </row>
    <row r="1296" spans="1:27" ht="18.95" customHeight="1">
      <c r="A1296" s="1" t="str">
        <f>IF(Raw!A1296="","",Raw!A1296)</f>
        <v>L01290</v>
      </c>
      <c r="B1296" s="1" t="str">
        <f>IF(Raw!B1296="","",Raw!B1296)</f>
        <v>T00645</v>
      </c>
      <c r="C1296" s="1" t="str">
        <f>IF(Raw!C1296="","",Raw!C1296)</f>
        <v>2026-01-09</v>
      </c>
      <c r="D1296" s="1">
        <f t="shared" si="160"/>
        <v>2026</v>
      </c>
      <c r="E1296" s="1">
        <f>IFERROR(IF(AND(LEN(C1296)=10,MID(C1296,5,1)="-",MID(C1296,8,1)="-"),VALUE(MID(C1296,6,2)),IF(AND(LEN(C1296)=11,MID(C1296,3,1)="-",MID(C1296,7,1)="-"),MATCH(UPPER(MID(C1296,4,3)),Guide!$D$7:$D$18,0),0)),0)</f>
        <v>1</v>
      </c>
      <c r="F1296" s="1">
        <f t="shared" si="161"/>
        <v>9</v>
      </c>
      <c r="G1296" s="9">
        <f t="shared" si="162"/>
        <v>46031</v>
      </c>
      <c r="H1296" s="1" t="str">
        <f>IF(Raw!D1296="","",Raw!D1296)</f>
        <v>P-O</v>
      </c>
      <c r="I1296" s="1" t="str">
        <f>IFERROR(IF(EXACT(H1296,INDEX(Guide!$A$7:$A$9,MATCH(SUBSTITUTE(SUBSTITUTE(SUBSTITUTE(H1296,"~","~~"),"*","~*"),"?","~?"),Guide!$A$7:$A$9,0))),INDEX(Guide!$B$7:$B$9,MATCH(SUBSTITUTE(SUBSTITUTE(SUBSTITUTE(H1296,"~","~~"),"*","~*"),"?","~?"),Guide!$A$7:$A$9,0)),""),"")</f>
        <v>Office</v>
      </c>
      <c r="J1296" s="1" t="str">
        <f>IF(TRIM(Raw!E1296)="",I1296,IF(UPPER(TRIM(Raw!E1296))=UPPER(I1296),I1296,""))</f>
        <v>Office</v>
      </c>
      <c r="K1296" s="1" t="str">
        <f>IF(Raw!F1296="","",Raw!F1296)</f>
        <v>sale</v>
      </c>
      <c r="L1296" s="1" t="str">
        <f>IF(LEFT(TRIM(Raw!G1296),2)="-$","-"&amp;MID(TRIM(Raw!G1296),3,99),IF(LEFT(TRIM(Raw!G1296),1)="$",MID(TRIM(Raw!G1296),2,99),TRIM(Raw!G1296)))</f>
        <v>487.68</v>
      </c>
      <c r="M1296" s="1">
        <f t="shared" si="163"/>
        <v>487.68</v>
      </c>
      <c r="N1296" s="10">
        <f t="shared" si="164"/>
        <v>48768</v>
      </c>
      <c r="O1296" s="1" t="b">
        <f>IFERROR(IF(ISNUMBER(Raw!G1296),TRUE,OR(EXACT(L1296,TEXT(M1296,"0.00")),EXACT(L1296,TEXT(M1296,"#,##0.00")))),FALSE)</f>
        <v>1</v>
      </c>
      <c r="P1296" s="1" t="str">
        <f>LEN(IF(Raw!A1296="","",Raw!A1296))&amp;":"&amp;IF(Raw!A1296="","",Raw!A1296)&amp;"|"&amp;LEN(IF(Raw!B1296="","",Raw!B1296))&amp;":"&amp;IF(Raw!B1296="","",Raw!B1296)&amp;"|"&amp;LEN(IF(Raw!C1296="","",Raw!C1296))&amp;":"&amp;IF(Raw!C1296="","",Raw!C1296)&amp;"|"&amp;LEN(IF(Raw!D1296="","",Raw!D1296))&amp;":"&amp;IF(Raw!D1296="","",Raw!D1296)&amp;"|"&amp;LEN(IF(Raw!E1296="","",Raw!E1296))&amp;":"&amp;IF(Raw!E1296="","",Raw!E1296)&amp;"|"&amp;LEN(IF(Raw!F1296="","",Raw!F1296))&amp;":"&amp;IF(Raw!F1296="","",Raw!F1296)&amp;"|"&amp;LEN(IF(Raw!G1296="","",Raw!G1296))&amp;":"&amp;IF(Raw!G1296="","",Raw!G1296)</f>
        <v>6:L01290|6:T00645|10:2026-01-09|3:P-O|6:Office|4:sale|6:487.68</v>
      </c>
      <c r="Q1296" s="1">
        <f>1</f>
        <v>1</v>
      </c>
      <c r="R1296" s="1" t="b">
        <f>FALSE</f>
        <v>0</v>
      </c>
      <c r="S1296" s="1">
        <f>1</f>
        <v>1</v>
      </c>
      <c r="T1296" s="1" t="str">
        <f>IF(AND(Raw!A1296="",Raw!B1296="",Raw!C1296="",Raw!D1296="",Raw!E1296="",Raw!F1296="",Raw!G1296=""),"UNUSED",IF(A1296="","missing line ID",IF(B1296="","missing transaction ID",IF(G1296="",IF(C1296="","missing date","invalid date"),IF(I1296="","unknown product",IF(J1296="","conflicting category",IF(NOT(OR(EXACT(K1296,"sale"),EXACT(K1296,"refund"))),"unknown event",IF(OR(N1296="",NOT(O1296)),"invalid amount",IF(OR(AND(K1296="sale",N1296&lt;=0),AND(K1296="refund",N1296&gt;=0)),"invalid sign","")))))))))</f>
        <v/>
      </c>
      <c r="U1296" s="1" t="str">
        <f t="shared" si="165"/>
        <v>INCLUDED</v>
      </c>
      <c r="V1296" s="1" t="str">
        <f t="shared" si="166"/>
        <v>2026-01</v>
      </c>
      <c r="W1296" s="1">
        <f>IF(AND(U1296="INCLUDED",X1296&gt;0,EXACT(A1296,'AI output'!A1296)),1,0)</f>
        <v>1</v>
      </c>
      <c r="X1296" s="1">
        <f>1296</f>
        <v>1296</v>
      </c>
      <c r="Y1296" s="1">
        <f>IF(AND(U1296="INCLUDED",W1296=1),--(NOT(EXACT(A1296,'AI output'!A1296)))+--(NOT(EXACT(B1296,'AI output'!B1296)))+--(NOT(EXACT(TEXT(G1296,"yyyy-mm-dd"),'AI output'!C1296)))+--(NOT(EXACT(H1296,'AI output'!D1296)))+--(NOT(EXACT(J1296,'AI output'!E1296)))+--(NOT(EXACT(K1296,'AI output'!F1296)))+--(N1296&lt;&gt;'AI output'!L1296)+--(NOT('AI output'!M1296)),0)</f>
        <v>0</v>
      </c>
      <c r="Z1296" s="1">
        <f t="shared" si="167"/>
        <v>0</v>
      </c>
      <c r="AA1296" s="1">
        <f>--EXACT(A1296,"L01290")</f>
        <v>1</v>
      </c>
    </row>
    <row r="1297" spans="1:27" ht="18.95" customHeight="1">
      <c r="A1297" s="1" t="str">
        <f>IF(Raw!A1297="","",Raw!A1297)</f>
        <v>L01291</v>
      </c>
      <c r="B1297" s="1" t="str">
        <f>IF(Raw!B1297="","",Raw!B1297)</f>
        <v>T00646</v>
      </c>
      <c r="C1297" s="1" t="str">
        <f>IF(Raw!C1297="","",Raw!C1297)</f>
        <v>2026-01-16</v>
      </c>
      <c r="D1297" s="1">
        <f t="shared" si="160"/>
        <v>2026</v>
      </c>
      <c r="E1297" s="1">
        <f>IFERROR(IF(AND(LEN(C1297)=10,MID(C1297,5,1)="-",MID(C1297,8,1)="-"),VALUE(MID(C1297,6,2)),IF(AND(LEN(C1297)=11,MID(C1297,3,1)="-",MID(C1297,7,1)="-"),MATCH(UPPER(MID(C1297,4,3)),Guide!$D$7:$D$18,0),0)),0)</f>
        <v>1</v>
      </c>
      <c r="F1297" s="1">
        <f t="shared" si="161"/>
        <v>16</v>
      </c>
      <c r="G1297" s="9">
        <f t="shared" si="162"/>
        <v>46038</v>
      </c>
      <c r="H1297" s="1" t="str">
        <f>IF(Raw!D1297="","",Raw!D1297)</f>
        <v>P-A</v>
      </c>
      <c r="I1297" s="1" t="str">
        <f>IFERROR(IF(EXACT(H1297,INDEX(Guide!$A$7:$A$9,MATCH(SUBSTITUTE(SUBSTITUTE(SUBSTITUTE(H1297,"~","~~"),"*","~*"),"?","~?"),Guide!$A$7:$A$9,0))),INDEX(Guide!$B$7:$B$9,MATCH(SUBSTITUTE(SUBSTITUTE(SUBSTITUTE(H1297,"~","~~"),"*","~*"),"?","~?"),Guide!$A$7:$A$9,0)),""),"")</f>
        <v>Accessories</v>
      </c>
      <c r="J1297" s="1" t="str">
        <f>IF(TRIM(Raw!E1297)="",I1297,IF(UPPER(TRIM(Raw!E1297))=UPPER(I1297),I1297,""))</f>
        <v>Accessories</v>
      </c>
      <c r="K1297" s="1" t="str">
        <f>IF(Raw!F1297="","",Raw!F1297)</f>
        <v>sale</v>
      </c>
      <c r="L1297" s="1" t="str">
        <f>IF(LEFT(TRIM(Raw!G1297),2)="-$","-"&amp;MID(TRIM(Raw!G1297),3,99),IF(LEFT(TRIM(Raw!G1297),1)="$",MID(TRIM(Raw!G1297),2,99),TRIM(Raw!G1297)))</f>
        <v>122.29</v>
      </c>
      <c r="M1297" s="1">
        <f t="shared" si="163"/>
        <v>122.29</v>
      </c>
      <c r="N1297" s="10">
        <f t="shared" si="164"/>
        <v>12229</v>
      </c>
      <c r="O1297" s="1" t="b">
        <f>IFERROR(IF(ISNUMBER(Raw!G1297),TRUE,OR(EXACT(L1297,TEXT(M1297,"0.00")),EXACT(L1297,TEXT(M1297,"#,##0.00")))),FALSE)</f>
        <v>1</v>
      </c>
      <c r="P1297" s="1" t="str">
        <f>LEN(IF(Raw!A1297="","",Raw!A1297))&amp;":"&amp;IF(Raw!A1297="","",Raw!A1297)&amp;"|"&amp;LEN(IF(Raw!B1297="","",Raw!B1297))&amp;":"&amp;IF(Raw!B1297="","",Raw!B1297)&amp;"|"&amp;LEN(IF(Raw!C1297="","",Raw!C1297))&amp;":"&amp;IF(Raw!C1297="","",Raw!C1297)&amp;"|"&amp;LEN(IF(Raw!D1297="","",Raw!D1297))&amp;":"&amp;IF(Raw!D1297="","",Raw!D1297)&amp;"|"&amp;LEN(IF(Raw!E1297="","",Raw!E1297))&amp;":"&amp;IF(Raw!E1297="","",Raw!E1297)&amp;"|"&amp;LEN(IF(Raw!F1297="","",Raw!F1297))&amp;":"&amp;IF(Raw!F1297="","",Raw!F1297)&amp;"|"&amp;LEN(IF(Raw!G1297="","",Raw!G1297))&amp;":"&amp;IF(Raw!G1297="","",Raw!G1297)</f>
        <v>6:L01291|6:T00646|10:2026-01-16|3:P-A|11:Accessories|4:sale|6:122.29</v>
      </c>
      <c r="Q1297" s="1">
        <f>1</f>
        <v>1</v>
      </c>
      <c r="R1297" s="1" t="b">
        <f>FALSE</f>
        <v>0</v>
      </c>
      <c r="S1297" s="1">
        <f>1</f>
        <v>1</v>
      </c>
      <c r="T1297" s="1" t="str">
        <f>IF(AND(Raw!A1297="",Raw!B1297="",Raw!C1297="",Raw!D1297="",Raw!E1297="",Raw!F1297="",Raw!G1297=""),"UNUSED",IF(A1297="","missing line ID",IF(B1297="","missing transaction ID",IF(G1297="",IF(C1297="","missing date","invalid date"),IF(I1297="","unknown product",IF(J1297="","conflicting category",IF(NOT(OR(EXACT(K1297,"sale"),EXACT(K1297,"refund"))),"unknown event",IF(OR(N1297="",NOT(O1297)),"invalid amount",IF(OR(AND(K1297="sale",N1297&lt;=0),AND(K1297="refund",N1297&gt;=0)),"invalid sign","")))))))))</f>
        <v/>
      </c>
      <c r="U1297" s="1" t="str">
        <f t="shared" si="165"/>
        <v>INCLUDED</v>
      </c>
      <c r="V1297" s="1" t="str">
        <f t="shared" si="166"/>
        <v>2026-01</v>
      </c>
      <c r="W1297" s="1">
        <f>IF(AND(U1297="INCLUDED",X1297&gt;0,EXACT(A1297,'AI output'!A1297)),1,0)</f>
        <v>1</v>
      </c>
      <c r="X1297" s="1">
        <f>1297</f>
        <v>1297</v>
      </c>
      <c r="Y1297" s="1">
        <f>IF(AND(U1297="INCLUDED",W1297=1),--(NOT(EXACT(A1297,'AI output'!A1297)))+--(NOT(EXACT(B1297,'AI output'!B1297)))+--(NOT(EXACT(TEXT(G1297,"yyyy-mm-dd"),'AI output'!C1297)))+--(NOT(EXACT(H1297,'AI output'!D1297)))+--(NOT(EXACT(J1297,'AI output'!E1297)))+--(NOT(EXACT(K1297,'AI output'!F1297)))+--(N1297&lt;&gt;'AI output'!L1297)+--(NOT('AI output'!M1297)),0)</f>
        <v>0</v>
      </c>
      <c r="Z1297" s="1">
        <f t="shared" si="167"/>
        <v>0</v>
      </c>
      <c r="AA1297" s="1">
        <f>--EXACT(A1297,"L01291")</f>
        <v>1</v>
      </c>
    </row>
    <row r="1298" spans="1:27" ht="18.95" customHeight="1">
      <c r="A1298" s="1" t="str">
        <f>IF(Raw!A1298="","",Raw!A1298)</f>
        <v>L01292</v>
      </c>
      <c r="B1298" s="1" t="str">
        <f>IF(Raw!B1298="","",Raw!B1298)</f>
        <v>T00646</v>
      </c>
      <c r="C1298" s="1" t="str">
        <f>IF(Raw!C1298="","",Raw!C1298)</f>
        <v>2026-01-16</v>
      </c>
      <c r="D1298" s="1">
        <f t="shared" si="160"/>
        <v>2026</v>
      </c>
      <c r="E1298" s="1">
        <f>IFERROR(IF(AND(LEN(C1298)=10,MID(C1298,5,1)="-",MID(C1298,8,1)="-"),VALUE(MID(C1298,6,2)),IF(AND(LEN(C1298)=11,MID(C1298,3,1)="-",MID(C1298,7,1)="-"),MATCH(UPPER(MID(C1298,4,3)),Guide!$D$7:$D$18,0),0)),0)</f>
        <v>1</v>
      </c>
      <c r="F1298" s="1">
        <f t="shared" si="161"/>
        <v>16</v>
      </c>
      <c r="G1298" s="9">
        <f t="shared" si="162"/>
        <v>46038</v>
      </c>
      <c r="H1298" s="1" t="str">
        <f>IF(Raw!D1298="","",Raw!D1298)</f>
        <v>P-H</v>
      </c>
      <c r="I1298" s="1" t="str">
        <f>IFERROR(IF(EXACT(H1298,INDEX(Guide!$A$7:$A$9,MATCH(SUBSTITUTE(SUBSTITUTE(SUBSTITUTE(H1298,"~","~~"),"*","~*"),"?","~?"),Guide!$A$7:$A$9,0))),INDEX(Guide!$B$7:$B$9,MATCH(SUBSTITUTE(SUBSTITUTE(SUBSTITUTE(H1298,"~","~~"),"*","~*"),"?","~?"),Guide!$A$7:$A$9,0)),""),"")</f>
        <v>Home</v>
      </c>
      <c r="J1298" s="1" t="str">
        <f>IF(TRIM(Raw!E1298)="",I1298,IF(UPPER(TRIM(Raw!E1298))=UPPER(I1298),I1298,""))</f>
        <v>Home</v>
      </c>
      <c r="K1298" s="1" t="str">
        <f>IF(Raw!F1298="","",Raw!F1298)</f>
        <v>sale</v>
      </c>
      <c r="L1298" s="1" t="str">
        <f>IF(LEFT(TRIM(Raw!G1298),2)="-$","-"&amp;MID(TRIM(Raw!G1298),3,99),IF(LEFT(TRIM(Raw!G1298),1)="$",MID(TRIM(Raw!G1298),2,99),TRIM(Raw!G1298)))</f>
        <v>367.98</v>
      </c>
      <c r="M1298" s="1">
        <f t="shared" si="163"/>
        <v>367.98</v>
      </c>
      <c r="N1298" s="10">
        <f t="shared" si="164"/>
        <v>36798</v>
      </c>
      <c r="O1298" s="1" t="b">
        <f>IFERROR(IF(ISNUMBER(Raw!G1298),TRUE,OR(EXACT(L1298,TEXT(M1298,"0.00")),EXACT(L1298,TEXT(M1298,"#,##0.00")))),FALSE)</f>
        <v>1</v>
      </c>
      <c r="P1298" s="1" t="str">
        <f>LEN(IF(Raw!A1298="","",Raw!A1298))&amp;":"&amp;IF(Raw!A1298="","",Raw!A1298)&amp;"|"&amp;LEN(IF(Raw!B1298="","",Raw!B1298))&amp;":"&amp;IF(Raw!B1298="","",Raw!B1298)&amp;"|"&amp;LEN(IF(Raw!C1298="","",Raw!C1298))&amp;":"&amp;IF(Raw!C1298="","",Raw!C1298)&amp;"|"&amp;LEN(IF(Raw!D1298="","",Raw!D1298))&amp;":"&amp;IF(Raw!D1298="","",Raw!D1298)&amp;"|"&amp;LEN(IF(Raw!E1298="","",Raw!E1298))&amp;":"&amp;IF(Raw!E1298="","",Raw!E1298)&amp;"|"&amp;LEN(IF(Raw!F1298="","",Raw!F1298))&amp;":"&amp;IF(Raw!F1298="","",Raw!F1298)&amp;"|"&amp;LEN(IF(Raw!G1298="","",Raw!G1298))&amp;":"&amp;IF(Raw!G1298="","",Raw!G1298)</f>
        <v>6:L01292|6:T00646|10:2026-01-16|3:P-H|4:Home|4:sale|6:367.98</v>
      </c>
      <c r="Q1298" s="1">
        <f>1</f>
        <v>1</v>
      </c>
      <c r="R1298" s="1" t="b">
        <f>FALSE</f>
        <v>0</v>
      </c>
      <c r="S1298" s="1">
        <f>1</f>
        <v>1</v>
      </c>
      <c r="T1298" s="1" t="str">
        <f>IF(AND(Raw!A1298="",Raw!B1298="",Raw!C1298="",Raw!D1298="",Raw!E1298="",Raw!F1298="",Raw!G1298=""),"UNUSED",IF(A1298="","missing line ID",IF(B1298="","missing transaction ID",IF(G1298="",IF(C1298="","missing date","invalid date"),IF(I1298="","unknown product",IF(J1298="","conflicting category",IF(NOT(OR(EXACT(K1298,"sale"),EXACT(K1298,"refund"))),"unknown event",IF(OR(N1298="",NOT(O1298)),"invalid amount",IF(OR(AND(K1298="sale",N1298&lt;=0),AND(K1298="refund",N1298&gt;=0)),"invalid sign","")))))))))</f>
        <v/>
      </c>
      <c r="U1298" s="1" t="str">
        <f t="shared" si="165"/>
        <v>INCLUDED</v>
      </c>
      <c r="V1298" s="1" t="str">
        <f t="shared" si="166"/>
        <v>2026-01</v>
      </c>
      <c r="W1298" s="1">
        <f>IF(AND(U1298="INCLUDED",X1298&gt;0,EXACT(A1298,'AI output'!A1298)),1,0)</f>
        <v>1</v>
      </c>
      <c r="X1298" s="1">
        <f>1298</f>
        <v>1298</v>
      </c>
      <c r="Y1298" s="1">
        <f>IF(AND(U1298="INCLUDED",W1298=1),--(NOT(EXACT(A1298,'AI output'!A1298)))+--(NOT(EXACT(B1298,'AI output'!B1298)))+--(NOT(EXACT(TEXT(G1298,"yyyy-mm-dd"),'AI output'!C1298)))+--(NOT(EXACT(H1298,'AI output'!D1298)))+--(NOT(EXACT(J1298,'AI output'!E1298)))+--(NOT(EXACT(K1298,'AI output'!F1298)))+--(N1298&lt;&gt;'AI output'!L1298)+--(NOT('AI output'!M1298)),0)</f>
        <v>0</v>
      </c>
      <c r="Z1298" s="1">
        <f t="shared" si="167"/>
        <v>0</v>
      </c>
      <c r="AA1298" s="1">
        <f>--EXACT(A1298,"L01292")</f>
        <v>1</v>
      </c>
    </row>
    <row r="1299" spans="1:27" ht="18.95" customHeight="1">
      <c r="A1299" s="1" t="str">
        <f>IF(Raw!A1299="","",Raw!A1299)</f>
        <v>L01293</v>
      </c>
      <c r="B1299" s="1" t="str">
        <f>IF(Raw!B1299="","",Raw!B1299)</f>
        <v>T00647</v>
      </c>
      <c r="C1299" s="1" t="str">
        <f>IF(Raw!C1299="","",Raw!C1299)</f>
        <v>2026-01-23</v>
      </c>
      <c r="D1299" s="1">
        <f t="shared" si="160"/>
        <v>2026</v>
      </c>
      <c r="E1299" s="1">
        <f>IFERROR(IF(AND(LEN(C1299)=10,MID(C1299,5,1)="-",MID(C1299,8,1)="-"),VALUE(MID(C1299,6,2)),IF(AND(LEN(C1299)=11,MID(C1299,3,1)="-",MID(C1299,7,1)="-"),MATCH(UPPER(MID(C1299,4,3)),Guide!$D$7:$D$18,0),0)),0)</f>
        <v>1</v>
      </c>
      <c r="F1299" s="1">
        <f t="shared" si="161"/>
        <v>23</v>
      </c>
      <c r="G1299" s="9">
        <f t="shared" si="162"/>
        <v>46045</v>
      </c>
      <c r="H1299" s="1" t="str">
        <f>IF(Raw!D1299="","",Raw!D1299)</f>
        <v>P-O</v>
      </c>
      <c r="I1299" s="1" t="str">
        <f>IFERROR(IF(EXACT(H1299,INDEX(Guide!$A$7:$A$9,MATCH(SUBSTITUTE(SUBSTITUTE(SUBSTITUTE(H1299,"~","~~"),"*","~*"),"?","~?"),Guide!$A$7:$A$9,0))),INDEX(Guide!$B$7:$B$9,MATCH(SUBSTITUTE(SUBSTITUTE(SUBSTITUTE(H1299,"~","~~"),"*","~*"),"?","~?"),Guide!$A$7:$A$9,0)),""),"")</f>
        <v>Office</v>
      </c>
      <c r="J1299" s="1" t="str">
        <f>IF(TRIM(Raw!E1299)="",I1299,IF(UPPER(TRIM(Raw!E1299))=UPPER(I1299),I1299,""))</f>
        <v>Office</v>
      </c>
      <c r="K1299" s="1" t="str">
        <f>IF(Raw!F1299="","",Raw!F1299)</f>
        <v>sale</v>
      </c>
      <c r="L1299" s="1" t="str">
        <f>IF(LEFT(TRIM(Raw!G1299),2)="-$","-"&amp;MID(TRIM(Raw!G1299),3,99),IF(LEFT(TRIM(Raw!G1299),1)="$",MID(TRIM(Raw!G1299),2,99),TRIM(Raw!G1299)))</f>
        <v>615.15</v>
      </c>
      <c r="M1299" s="1">
        <f t="shared" si="163"/>
        <v>615.15</v>
      </c>
      <c r="N1299" s="10">
        <f t="shared" si="164"/>
        <v>61515</v>
      </c>
      <c r="O1299" s="1" t="b">
        <f>IFERROR(IF(ISNUMBER(Raw!G1299),TRUE,OR(EXACT(L1299,TEXT(M1299,"0.00")),EXACT(L1299,TEXT(M1299,"#,##0.00")))),FALSE)</f>
        <v>1</v>
      </c>
      <c r="P1299" s="1" t="str">
        <f>LEN(IF(Raw!A1299="","",Raw!A1299))&amp;":"&amp;IF(Raw!A1299="","",Raw!A1299)&amp;"|"&amp;LEN(IF(Raw!B1299="","",Raw!B1299))&amp;":"&amp;IF(Raw!B1299="","",Raw!B1299)&amp;"|"&amp;LEN(IF(Raw!C1299="","",Raw!C1299))&amp;":"&amp;IF(Raw!C1299="","",Raw!C1299)&amp;"|"&amp;LEN(IF(Raw!D1299="","",Raw!D1299))&amp;":"&amp;IF(Raw!D1299="","",Raw!D1299)&amp;"|"&amp;LEN(IF(Raw!E1299="","",Raw!E1299))&amp;":"&amp;IF(Raw!E1299="","",Raw!E1299)&amp;"|"&amp;LEN(IF(Raw!F1299="","",Raw!F1299))&amp;":"&amp;IF(Raw!F1299="","",Raw!F1299)&amp;"|"&amp;LEN(IF(Raw!G1299="","",Raw!G1299))&amp;":"&amp;IF(Raw!G1299="","",Raw!G1299)</f>
        <v>6:L01293|6:T00647|10:2026-01-23|3:P-O|6:Office|4:sale|6:615.15</v>
      </c>
      <c r="Q1299" s="1">
        <f>1</f>
        <v>1</v>
      </c>
      <c r="R1299" s="1" t="b">
        <f>FALSE</f>
        <v>0</v>
      </c>
      <c r="S1299" s="1">
        <f>1</f>
        <v>1</v>
      </c>
      <c r="T1299" s="1" t="str">
        <f>IF(AND(Raw!A1299="",Raw!B1299="",Raw!C1299="",Raw!D1299="",Raw!E1299="",Raw!F1299="",Raw!G1299=""),"UNUSED",IF(A1299="","missing line ID",IF(B1299="","missing transaction ID",IF(G1299="",IF(C1299="","missing date","invalid date"),IF(I1299="","unknown product",IF(J1299="","conflicting category",IF(NOT(OR(EXACT(K1299,"sale"),EXACT(K1299,"refund"))),"unknown event",IF(OR(N1299="",NOT(O1299)),"invalid amount",IF(OR(AND(K1299="sale",N1299&lt;=0),AND(K1299="refund",N1299&gt;=0)),"invalid sign","")))))))))</f>
        <v/>
      </c>
      <c r="U1299" s="1" t="str">
        <f t="shared" si="165"/>
        <v>INCLUDED</v>
      </c>
      <c r="V1299" s="1" t="str">
        <f t="shared" si="166"/>
        <v>2026-01</v>
      </c>
      <c r="W1299" s="1">
        <f>IF(AND(U1299="INCLUDED",X1299&gt;0,EXACT(A1299,'AI output'!A1299)),1,0)</f>
        <v>1</v>
      </c>
      <c r="X1299" s="1">
        <f>1299</f>
        <v>1299</v>
      </c>
      <c r="Y1299" s="1">
        <f>IF(AND(U1299="INCLUDED",W1299=1),--(NOT(EXACT(A1299,'AI output'!A1299)))+--(NOT(EXACT(B1299,'AI output'!B1299)))+--(NOT(EXACT(TEXT(G1299,"yyyy-mm-dd"),'AI output'!C1299)))+--(NOT(EXACT(H1299,'AI output'!D1299)))+--(NOT(EXACT(J1299,'AI output'!E1299)))+--(NOT(EXACT(K1299,'AI output'!F1299)))+--(N1299&lt;&gt;'AI output'!L1299)+--(NOT('AI output'!M1299)),0)</f>
        <v>0</v>
      </c>
      <c r="Z1299" s="1">
        <f t="shared" si="167"/>
        <v>0</v>
      </c>
      <c r="AA1299" s="1">
        <f>--EXACT(A1299,"L01293")</f>
        <v>1</v>
      </c>
    </row>
    <row r="1300" spans="1:27" ht="18.95" customHeight="1">
      <c r="A1300" s="1" t="str">
        <f>IF(Raw!A1300="","",Raw!A1300)</f>
        <v>L01294</v>
      </c>
      <c r="B1300" s="1" t="str">
        <f>IF(Raw!B1300="","",Raw!B1300)</f>
        <v>T00647</v>
      </c>
      <c r="C1300" s="1" t="str">
        <f>IF(Raw!C1300="","",Raw!C1300)</f>
        <v>2026-01-23</v>
      </c>
      <c r="D1300" s="1">
        <f t="shared" si="160"/>
        <v>2026</v>
      </c>
      <c r="E1300" s="1">
        <f>IFERROR(IF(AND(LEN(C1300)=10,MID(C1300,5,1)="-",MID(C1300,8,1)="-"),VALUE(MID(C1300,6,2)),IF(AND(LEN(C1300)=11,MID(C1300,3,1)="-",MID(C1300,7,1)="-"),MATCH(UPPER(MID(C1300,4,3)),Guide!$D$7:$D$18,0),0)),0)</f>
        <v>1</v>
      </c>
      <c r="F1300" s="1">
        <f t="shared" si="161"/>
        <v>23</v>
      </c>
      <c r="G1300" s="9">
        <f t="shared" si="162"/>
        <v>46045</v>
      </c>
      <c r="H1300" s="1" t="str">
        <f>IF(Raw!D1300="","",Raw!D1300)</f>
        <v>P-A</v>
      </c>
      <c r="I1300" s="1" t="str">
        <f>IFERROR(IF(EXACT(H1300,INDEX(Guide!$A$7:$A$9,MATCH(SUBSTITUTE(SUBSTITUTE(SUBSTITUTE(H1300,"~","~~"),"*","~*"),"?","~?"),Guide!$A$7:$A$9,0))),INDEX(Guide!$B$7:$B$9,MATCH(SUBSTITUTE(SUBSTITUTE(SUBSTITUTE(H1300,"~","~~"),"*","~*"),"?","~?"),Guide!$A$7:$A$9,0)),""),"")</f>
        <v>Accessories</v>
      </c>
      <c r="J1300" s="1" t="str">
        <f>IF(TRIM(Raw!E1300)="",I1300,IF(UPPER(TRIM(Raw!E1300))=UPPER(I1300),I1300,""))</f>
        <v>Accessories</v>
      </c>
      <c r="K1300" s="1" t="str">
        <f>IF(Raw!F1300="","",Raw!F1300)</f>
        <v>sale</v>
      </c>
      <c r="L1300" s="1" t="str">
        <f>IF(LEFT(TRIM(Raw!G1300),2)="-$","-"&amp;MID(TRIM(Raw!G1300),3,99),IF(LEFT(TRIM(Raw!G1300),1)="$",MID(TRIM(Raw!G1300),2,99),TRIM(Raw!G1300)))</f>
        <v>246.80</v>
      </c>
      <c r="M1300" s="1">
        <f t="shared" si="163"/>
        <v>246.8</v>
      </c>
      <c r="N1300" s="10">
        <f t="shared" si="164"/>
        <v>24680</v>
      </c>
      <c r="O1300" s="1" t="b">
        <f>IFERROR(IF(ISNUMBER(Raw!G1300),TRUE,OR(EXACT(L1300,TEXT(M1300,"0.00")),EXACT(L1300,TEXT(M1300,"#,##0.00")))),FALSE)</f>
        <v>1</v>
      </c>
      <c r="P1300" s="1" t="str">
        <f>LEN(IF(Raw!A1300="","",Raw!A1300))&amp;":"&amp;IF(Raw!A1300="","",Raw!A1300)&amp;"|"&amp;LEN(IF(Raw!B1300="","",Raw!B1300))&amp;":"&amp;IF(Raw!B1300="","",Raw!B1300)&amp;"|"&amp;LEN(IF(Raw!C1300="","",Raw!C1300))&amp;":"&amp;IF(Raw!C1300="","",Raw!C1300)&amp;"|"&amp;LEN(IF(Raw!D1300="","",Raw!D1300))&amp;":"&amp;IF(Raw!D1300="","",Raw!D1300)&amp;"|"&amp;LEN(IF(Raw!E1300="","",Raw!E1300))&amp;":"&amp;IF(Raw!E1300="","",Raw!E1300)&amp;"|"&amp;LEN(IF(Raw!F1300="","",Raw!F1300))&amp;":"&amp;IF(Raw!F1300="","",Raw!F1300)&amp;"|"&amp;LEN(IF(Raw!G1300="","",Raw!G1300))&amp;":"&amp;IF(Raw!G1300="","",Raw!G1300)</f>
        <v>6:L01294|6:T00647|10:2026-01-23|3:P-A|11:Accessories|4:sale|6:246.80</v>
      </c>
      <c r="Q1300" s="1">
        <f>1</f>
        <v>1</v>
      </c>
      <c r="R1300" s="1" t="b">
        <f>FALSE</f>
        <v>0</v>
      </c>
      <c r="S1300" s="1">
        <f>1</f>
        <v>1</v>
      </c>
      <c r="T1300" s="1" t="str">
        <f>IF(AND(Raw!A1300="",Raw!B1300="",Raw!C1300="",Raw!D1300="",Raw!E1300="",Raw!F1300="",Raw!G1300=""),"UNUSED",IF(A1300="","missing line ID",IF(B1300="","missing transaction ID",IF(G1300="",IF(C1300="","missing date","invalid date"),IF(I1300="","unknown product",IF(J1300="","conflicting category",IF(NOT(OR(EXACT(K1300,"sale"),EXACT(K1300,"refund"))),"unknown event",IF(OR(N1300="",NOT(O1300)),"invalid amount",IF(OR(AND(K1300="sale",N1300&lt;=0),AND(K1300="refund",N1300&gt;=0)),"invalid sign","")))))))))</f>
        <v/>
      </c>
      <c r="U1300" s="1" t="str">
        <f t="shared" si="165"/>
        <v>INCLUDED</v>
      </c>
      <c r="V1300" s="1" t="str">
        <f t="shared" si="166"/>
        <v>2026-01</v>
      </c>
      <c r="W1300" s="1">
        <f>IF(AND(U1300="INCLUDED",X1300&gt;0,EXACT(A1300,'AI output'!A1300)),1,0)</f>
        <v>1</v>
      </c>
      <c r="X1300" s="1">
        <f>1300</f>
        <v>1300</v>
      </c>
      <c r="Y1300" s="1">
        <f>IF(AND(U1300="INCLUDED",W1300=1),--(NOT(EXACT(A1300,'AI output'!A1300)))+--(NOT(EXACT(B1300,'AI output'!B1300)))+--(NOT(EXACT(TEXT(G1300,"yyyy-mm-dd"),'AI output'!C1300)))+--(NOT(EXACT(H1300,'AI output'!D1300)))+--(NOT(EXACT(J1300,'AI output'!E1300)))+--(NOT(EXACT(K1300,'AI output'!F1300)))+--(N1300&lt;&gt;'AI output'!L1300)+--(NOT('AI output'!M1300)),0)</f>
        <v>0</v>
      </c>
      <c r="Z1300" s="1">
        <f t="shared" si="167"/>
        <v>0</v>
      </c>
      <c r="AA1300" s="1">
        <f>--EXACT(A1300,"L01294")</f>
        <v>1</v>
      </c>
    </row>
    <row r="1301" spans="1:27" ht="18.95" customHeight="1">
      <c r="A1301" s="1" t="str">
        <f>IF(Raw!A1301="","",Raw!A1301)</f>
        <v>L01295</v>
      </c>
      <c r="B1301" s="1" t="str">
        <f>IF(Raw!B1301="","",Raw!B1301)</f>
        <v>T00648</v>
      </c>
      <c r="C1301" s="1" t="str">
        <f>IF(Raw!C1301="","",Raw!C1301)</f>
        <v>2026-01-30</v>
      </c>
      <c r="D1301" s="1">
        <f t="shared" si="160"/>
        <v>2026</v>
      </c>
      <c r="E1301" s="1">
        <f>IFERROR(IF(AND(LEN(C1301)=10,MID(C1301,5,1)="-",MID(C1301,8,1)="-"),VALUE(MID(C1301,6,2)),IF(AND(LEN(C1301)=11,MID(C1301,3,1)="-",MID(C1301,7,1)="-"),MATCH(UPPER(MID(C1301,4,3)),Guide!$D$7:$D$18,0),0)),0)</f>
        <v>1</v>
      </c>
      <c r="F1301" s="1">
        <f t="shared" si="161"/>
        <v>30</v>
      </c>
      <c r="G1301" s="9">
        <f t="shared" si="162"/>
        <v>46052</v>
      </c>
      <c r="H1301" s="1" t="str">
        <f>IF(Raw!D1301="","",Raw!D1301)</f>
        <v>P-H</v>
      </c>
      <c r="I1301" s="1" t="str">
        <f>IFERROR(IF(EXACT(H1301,INDEX(Guide!$A$7:$A$9,MATCH(SUBSTITUTE(SUBSTITUTE(SUBSTITUTE(H1301,"~","~~"),"*","~*"),"?","~?"),Guide!$A$7:$A$9,0))),INDEX(Guide!$B$7:$B$9,MATCH(SUBSTITUTE(SUBSTITUTE(SUBSTITUTE(H1301,"~","~~"),"*","~*"),"?","~?"),Guide!$A$7:$A$9,0)),""),"")</f>
        <v>Home</v>
      </c>
      <c r="J1301" s="1" t="str">
        <f>IF(TRIM(Raw!E1301)="",I1301,IF(UPPER(TRIM(Raw!E1301))=UPPER(I1301),I1301,""))</f>
        <v>Home</v>
      </c>
      <c r="K1301" s="1" t="str">
        <f>IF(Raw!F1301="","",Raw!F1301)</f>
        <v>sale</v>
      </c>
      <c r="L1301" s="1" t="str">
        <f>IF(LEFT(TRIM(Raw!G1301),2)="-$","-"&amp;MID(TRIM(Raw!G1301),3,99),IF(LEFT(TRIM(Raw!G1301),1)="$",MID(TRIM(Raw!G1301),2,99),TRIM(Raw!G1301)))</f>
        <v>495.08</v>
      </c>
      <c r="M1301" s="1">
        <f t="shared" si="163"/>
        <v>495.08</v>
      </c>
      <c r="N1301" s="10">
        <f t="shared" si="164"/>
        <v>49508</v>
      </c>
      <c r="O1301" s="1" t="b">
        <f>IFERROR(IF(ISNUMBER(Raw!G1301),TRUE,OR(EXACT(L1301,TEXT(M1301,"0.00")),EXACT(L1301,TEXT(M1301,"#,##0.00")))),FALSE)</f>
        <v>1</v>
      </c>
      <c r="P1301" s="1" t="str">
        <f>LEN(IF(Raw!A1301="","",Raw!A1301))&amp;":"&amp;IF(Raw!A1301="","",Raw!A1301)&amp;"|"&amp;LEN(IF(Raw!B1301="","",Raw!B1301))&amp;":"&amp;IF(Raw!B1301="","",Raw!B1301)&amp;"|"&amp;LEN(IF(Raw!C1301="","",Raw!C1301))&amp;":"&amp;IF(Raw!C1301="","",Raw!C1301)&amp;"|"&amp;LEN(IF(Raw!D1301="","",Raw!D1301))&amp;":"&amp;IF(Raw!D1301="","",Raw!D1301)&amp;"|"&amp;LEN(IF(Raw!E1301="","",Raw!E1301))&amp;":"&amp;IF(Raw!E1301="","",Raw!E1301)&amp;"|"&amp;LEN(IF(Raw!F1301="","",Raw!F1301))&amp;":"&amp;IF(Raw!F1301="","",Raw!F1301)&amp;"|"&amp;LEN(IF(Raw!G1301="","",Raw!G1301))&amp;":"&amp;IF(Raw!G1301="","",Raw!G1301)</f>
        <v>6:L01295|6:T00648|10:2026-01-30|3:P-H|4:Home|4:sale|6:495.08</v>
      </c>
      <c r="Q1301" s="1">
        <f>1</f>
        <v>1</v>
      </c>
      <c r="R1301" s="1" t="b">
        <f>FALSE</f>
        <v>0</v>
      </c>
      <c r="S1301" s="1">
        <f>1</f>
        <v>1</v>
      </c>
      <c r="T1301" s="1" t="str">
        <f>IF(AND(Raw!A1301="",Raw!B1301="",Raw!C1301="",Raw!D1301="",Raw!E1301="",Raw!F1301="",Raw!G1301=""),"UNUSED",IF(A1301="","missing line ID",IF(B1301="","missing transaction ID",IF(G1301="",IF(C1301="","missing date","invalid date"),IF(I1301="","unknown product",IF(J1301="","conflicting category",IF(NOT(OR(EXACT(K1301,"sale"),EXACT(K1301,"refund"))),"unknown event",IF(OR(N1301="",NOT(O1301)),"invalid amount",IF(OR(AND(K1301="sale",N1301&lt;=0),AND(K1301="refund",N1301&gt;=0)),"invalid sign","")))))))))</f>
        <v/>
      </c>
      <c r="U1301" s="1" t="str">
        <f t="shared" si="165"/>
        <v>INCLUDED</v>
      </c>
      <c r="V1301" s="1" t="str">
        <f t="shared" si="166"/>
        <v>2026-01</v>
      </c>
      <c r="W1301" s="1">
        <f>IF(AND(U1301="INCLUDED",X1301&gt;0,EXACT(A1301,'AI output'!A1301)),1,0)</f>
        <v>1</v>
      </c>
      <c r="X1301" s="1">
        <f>1301</f>
        <v>1301</v>
      </c>
      <c r="Y1301" s="1">
        <f>IF(AND(U1301="INCLUDED",W1301=1),--(NOT(EXACT(A1301,'AI output'!A1301)))+--(NOT(EXACT(B1301,'AI output'!B1301)))+--(NOT(EXACT(TEXT(G1301,"yyyy-mm-dd"),'AI output'!C1301)))+--(NOT(EXACT(H1301,'AI output'!D1301)))+--(NOT(EXACT(J1301,'AI output'!E1301)))+--(NOT(EXACT(K1301,'AI output'!F1301)))+--(N1301&lt;&gt;'AI output'!L1301)+--(NOT('AI output'!M1301)),0)</f>
        <v>0</v>
      </c>
      <c r="Z1301" s="1">
        <f t="shared" si="167"/>
        <v>0</v>
      </c>
      <c r="AA1301" s="1">
        <f>--EXACT(A1301,"L01295")</f>
        <v>1</v>
      </c>
    </row>
    <row r="1302" spans="1:27" ht="18.95" customHeight="1">
      <c r="A1302" s="1" t="str">
        <f>IF(Raw!A1302="","",Raw!A1302)</f>
        <v>L01296</v>
      </c>
      <c r="B1302" s="1" t="str">
        <f>IF(Raw!B1302="","",Raw!B1302)</f>
        <v>T00648</v>
      </c>
      <c r="C1302" s="1" t="str">
        <f>IF(Raw!C1302="","",Raw!C1302)</f>
        <v>2026-01-30</v>
      </c>
      <c r="D1302" s="1">
        <f t="shared" si="160"/>
        <v>2026</v>
      </c>
      <c r="E1302" s="1">
        <f>IFERROR(IF(AND(LEN(C1302)=10,MID(C1302,5,1)="-",MID(C1302,8,1)="-"),VALUE(MID(C1302,6,2)),IF(AND(LEN(C1302)=11,MID(C1302,3,1)="-",MID(C1302,7,1)="-"),MATCH(UPPER(MID(C1302,4,3)),Guide!$D$7:$D$18,0),0)),0)</f>
        <v>1</v>
      </c>
      <c r="F1302" s="1">
        <f t="shared" si="161"/>
        <v>30</v>
      </c>
      <c r="G1302" s="9">
        <f t="shared" si="162"/>
        <v>46052</v>
      </c>
      <c r="H1302" s="1" t="str">
        <f>IF(Raw!D1302="","",Raw!D1302)</f>
        <v>P-O</v>
      </c>
      <c r="I1302" s="1" t="str">
        <f>IFERROR(IF(EXACT(H1302,INDEX(Guide!$A$7:$A$9,MATCH(SUBSTITUTE(SUBSTITUTE(SUBSTITUTE(H1302,"~","~~"),"*","~*"),"?","~?"),Guide!$A$7:$A$9,0))),INDEX(Guide!$B$7:$B$9,MATCH(SUBSTITUTE(SUBSTITUTE(SUBSTITUTE(H1302,"~","~~"),"*","~*"),"?","~?"),Guide!$A$7:$A$9,0)),""),"")</f>
        <v>Office</v>
      </c>
      <c r="J1302" s="1" t="str">
        <f>IF(TRIM(Raw!E1302)="",I1302,IF(UPPER(TRIM(Raw!E1302))=UPPER(I1302),I1302,""))</f>
        <v>Office</v>
      </c>
      <c r="K1302" s="1" t="str">
        <f>IF(Raw!F1302="","",Raw!F1302)</f>
        <v>sale</v>
      </c>
      <c r="L1302" s="1" t="str">
        <f>IF(LEFT(TRIM(Raw!G1302),2)="-$","-"&amp;MID(TRIM(Raw!G1302),3,99),IF(LEFT(TRIM(Raw!G1302),1)="$",MID(TRIM(Raw!G1302),2,99),TRIM(Raw!G1302)))</f>
        <v>124.14</v>
      </c>
      <c r="M1302" s="1">
        <f t="shared" si="163"/>
        <v>124.14</v>
      </c>
      <c r="N1302" s="10">
        <f t="shared" si="164"/>
        <v>12414</v>
      </c>
      <c r="O1302" s="1" t="b">
        <f>IFERROR(IF(ISNUMBER(Raw!G1302),TRUE,OR(EXACT(L1302,TEXT(M1302,"0.00")),EXACT(L1302,TEXT(M1302,"#,##0.00")))),FALSE)</f>
        <v>1</v>
      </c>
      <c r="P1302" s="1" t="str">
        <f>LEN(IF(Raw!A1302="","",Raw!A1302))&amp;":"&amp;IF(Raw!A1302="","",Raw!A1302)&amp;"|"&amp;LEN(IF(Raw!B1302="","",Raw!B1302))&amp;":"&amp;IF(Raw!B1302="","",Raw!B1302)&amp;"|"&amp;LEN(IF(Raw!C1302="","",Raw!C1302))&amp;":"&amp;IF(Raw!C1302="","",Raw!C1302)&amp;"|"&amp;LEN(IF(Raw!D1302="","",Raw!D1302))&amp;":"&amp;IF(Raw!D1302="","",Raw!D1302)&amp;"|"&amp;LEN(IF(Raw!E1302="","",Raw!E1302))&amp;":"&amp;IF(Raw!E1302="","",Raw!E1302)&amp;"|"&amp;LEN(IF(Raw!F1302="","",Raw!F1302))&amp;":"&amp;IF(Raw!F1302="","",Raw!F1302)&amp;"|"&amp;LEN(IF(Raw!G1302="","",Raw!G1302))&amp;":"&amp;IF(Raw!G1302="","",Raw!G1302)</f>
        <v>6:L01296|6:T00648|10:2026-01-30|3:P-O|6:Office|4:sale|6:124.14</v>
      </c>
      <c r="Q1302" s="1">
        <f>1</f>
        <v>1</v>
      </c>
      <c r="R1302" s="1" t="b">
        <f>FALSE</f>
        <v>0</v>
      </c>
      <c r="S1302" s="1">
        <f>1</f>
        <v>1</v>
      </c>
      <c r="T1302" s="1" t="str">
        <f>IF(AND(Raw!A1302="",Raw!B1302="",Raw!C1302="",Raw!D1302="",Raw!E1302="",Raw!F1302="",Raw!G1302=""),"UNUSED",IF(A1302="","missing line ID",IF(B1302="","missing transaction ID",IF(G1302="",IF(C1302="","missing date","invalid date"),IF(I1302="","unknown product",IF(J1302="","conflicting category",IF(NOT(OR(EXACT(K1302,"sale"),EXACT(K1302,"refund"))),"unknown event",IF(OR(N1302="",NOT(O1302)),"invalid amount",IF(OR(AND(K1302="sale",N1302&lt;=0),AND(K1302="refund",N1302&gt;=0)),"invalid sign","")))))))))</f>
        <v/>
      </c>
      <c r="U1302" s="1" t="str">
        <f t="shared" si="165"/>
        <v>INCLUDED</v>
      </c>
      <c r="V1302" s="1" t="str">
        <f t="shared" si="166"/>
        <v>2026-01</v>
      </c>
      <c r="W1302" s="1">
        <f>IF(AND(U1302="INCLUDED",X1302&gt;0,EXACT(A1302,'AI output'!A1302)),1,0)</f>
        <v>1</v>
      </c>
      <c r="X1302" s="1">
        <f>1302</f>
        <v>1302</v>
      </c>
      <c r="Y1302" s="1">
        <f>IF(AND(U1302="INCLUDED",W1302=1),--(NOT(EXACT(A1302,'AI output'!A1302)))+--(NOT(EXACT(B1302,'AI output'!B1302)))+--(NOT(EXACT(TEXT(G1302,"yyyy-mm-dd"),'AI output'!C1302)))+--(NOT(EXACT(H1302,'AI output'!D1302)))+--(NOT(EXACT(J1302,'AI output'!E1302)))+--(NOT(EXACT(K1302,'AI output'!F1302)))+--(N1302&lt;&gt;'AI output'!L1302)+--(NOT('AI output'!M1302)),0)</f>
        <v>0</v>
      </c>
      <c r="Z1302" s="1">
        <f t="shared" si="167"/>
        <v>0</v>
      </c>
      <c r="AA1302" s="1">
        <f>--EXACT(A1302,"L01296")</f>
        <v>1</v>
      </c>
    </row>
    <row r="1303" spans="1:27" ht="18.95" customHeight="1">
      <c r="A1303" s="1" t="str">
        <f>IF(Raw!A1303="","",Raw!A1303)</f>
        <v>L01297</v>
      </c>
      <c r="B1303" s="1" t="str">
        <f>IF(Raw!B1303="","",Raw!B1303)</f>
        <v>T00649</v>
      </c>
      <c r="C1303" s="1" t="str">
        <f>IF(Raw!C1303="","",Raw!C1303)</f>
        <v>2026-02-06</v>
      </c>
      <c r="D1303" s="1">
        <f t="shared" si="160"/>
        <v>2026</v>
      </c>
      <c r="E1303" s="1">
        <f>IFERROR(IF(AND(LEN(C1303)=10,MID(C1303,5,1)="-",MID(C1303,8,1)="-"),VALUE(MID(C1303,6,2)),IF(AND(LEN(C1303)=11,MID(C1303,3,1)="-",MID(C1303,7,1)="-"),MATCH(UPPER(MID(C1303,4,3)),Guide!$D$7:$D$18,0),0)),0)</f>
        <v>2</v>
      </c>
      <c r="F1303" s="1">
        <f t="shared" si="161"/>
        <v>6</v>
      </c>
      <c r="G1303" s="9">
        <f t="shared" si="162"/>
        <v>46059</v>
      </c>
      <c r="H1303" s="1" t="str">
        <f>IF(Raw!D1303="","",Raw!D1303)</f>
        <v>P-A</v>
      </c>
      <c r="I1303" s="1" t="str">
        <f>IFERROR(IF(EXACT(H1303,INDEX(Guide!$A$7:$A$9,MATCH(SUBSTITUTE(SUBSTITUTE(SUBSTITUTE(H1303,"~","~~"),"*","~*"),"?","~?"),Guide!$A$7:$A$9,0))),INDEX(Guide!$B$7:$B$9,MATCH(SUBSTITUTE(SUBSTITUTE(SUBSTITUTE(H1303,"~","~~"),"*","~*"),"?","~?"),Guide!$A$7:$A$9,0)),""),"")</f>
        <v>Accessories</v>
      </c>
      <c r="J1303" s="1" t="str">
        <f>IF(TRIM(Raw!E1303)="",I1303,IF(UPPER(TRIM(Raw!E1303))=UPPER(I1303),I1303,""))</f>
        <v>Accessories</v>
      </c>
      <c r="K1303" s="1" t="str">
        <f>IF(Raw!F1303="","",Raw!F1303)</f>
        <v>sale</v>
      </c>
      <c r="L1303" s="1" t="str">
        <f>IF(LEFT(TRIM(Raw!G1303),2)="-$","-"&amp;MID(TRIM(Raw!G1303),3,99),IF(LEFT(TRIM(Raw!G1303),1)="$",MID(TRIM(Raw!G1303),2,99),TRIM(Raw!G1303)))</f>
        <v>373.53</v>
      </c>
      <c r="M1303" s="1">
        <f t="shared" si="163"/>
        <v>373.53</v>
      </c>
      <c r="N1303" s="10">
        <f t="shared" si="164"/>
        <v>37353</v>
      </c>
      <c r="O1303" s="1" t="b">
        <f>IFERROR(IF(ISNUMBER(Raw!G1303),TRUE,OR(EXACT(L1303,TEXT(M1303,"0.00")),EXACT(L1303,TEXT(M1303,"#,##0.00")))),FALSE)</f>
        <v>1</v>
      </c>
      <c r="P1303" s="1" t="str">
        <f>LEN(IF(Raw!A1303="","",Raw!A1303))&amp;":"&amp;IF(Raw!A1303="","",Raw!A1303)&amp;"|"&amp;LEN(IF(Raw!B1303="","",Raw!B1303))&amp;":"&amp;IF(Raw!B1303="","",Raw!B1303)&amp;"|"&amp;LEN(IF(Raw!C1303="","",Raw!C1303))&amp;":"&amp;IF(Raw!C1303="","",Raw!C1303)&amp;"|"&amp;LEN(IF(Raw!D1303="","",Raw!D1303))&amp;":"&amp;IF(Raw!D1303="","",Raw!D1303)&amp;"|"&amp;LEN(IF(Raw!E1303="","",Raw!E1303))&amp;":"&amp;IF(Raw!E1303="","",Raw!E1303)&amp;"|"&amp;LEN(IF(Raw!F1303="","",Raw!F1303))&amp;":"&amp;IF(Raw!F1303="","",Raw!F1303)&amp;"|"&amp;LEN(IF(Raw!G1303="","",Raw!G1303))&amp;":"&amp;IF(Raw!G1303="","",Raw!G1303)</f>
        <v>6:L01297|6:T00649|10:2026-02-06|3:P-A|11:Accessories|4:sale|6:373.53</v>
      </c>
      <c r="Q1303" s="1">
        <f>1</f>
        <v>1</v>
      </c>
      <c r="R1303" s="1" t="b">
        <f>FALSE</f>
        <v>0</v>
      </c>
      <c r="S1303" s="1">
        <f>1</f>
        <v>1</v>
      </c>
      <c r="T1303" s="1" t="str">
        <f>IF(AND(Raw!A1303="",Raw!B1303="",Raw!C1303="",Raw!D1303="",Raw!E1303="",Raw!F1303="",Raw!G1303=""),"UNUSED",IF(A1303="","missing line ID",IF(B1303="","missing transaction ID",IF(G1303="",IF(C1303="","missing date","invalid date"),IF(I1303="","unknown product",IF(J1303="","conflicting category",IF(NOT(OR(EXACT(K1303,"sale"),EXACT(K1303,"refund"))),"unknown event",IF(OR(N1303="",NOT(O1303)),"invalid amount",IF(OR(AND(K1303="sale",N1303&lt;=0),AND(K1303="refund",N1303&gt;=0)),"invalid sign","")))))))))</f>
        <v/>
      </c>
      <c r="U1303" s="1" t="str">
        <f t="shared" si="165"/>
        <v>INCLUDED</v>
      </c>
      <c r="V1303" s="1" t="str">
        <f t="shared" si="166"/>
        <v>2026-02</v>
      </c>
      <c r="W1303" s="1">
        <f>IF(AND(U1303="INCLUDED",X1303&gt;0,EXACT(A1303,'AI output'!A1303)),1,0)</f>
        <v>1</v>
      </c>
      <c r="X1303" s="1">
        <f>1303</f>
        <v>1303</v>
      </c>
      <c r="Y1303" s="1">
        <f>IF(AND(U1303="INCLUDED",W1303=1),--(NOT(EXACT(A1303,'AI output'!A1303)))+--(NOT(EXACT(B1303,'AI output'!B1303)))+--(NOT(EXACT(TEXT(G1303,"yyyy-mm-dd"),'AI output'!C1303)))+--(NOT(EXACT(H1303,'AI output'!D1303)))+--(NOT(EXACT(J1303,'AI output'!E1303)))+--(NOT(EXACT(K1303,'AI output'!F1303)))+--(N1303&lt;&gt;'AI output'!L1303)+--(NOT('AI output'!M1303)),0)</f>
        <v>0</v>
      </c>
      <c r="Z1303" s="1">
        <f t="shared" si="167"/>
        <v>0</v>
      </c>
      <c r="AA1303" s="1">
        <f>--EXACT(A1303,"L01297")</f>
        <v>1</v>
      </c>
    </row>
    <row r="1304" spans="1:27" ht="18.95" customHeight="1">
      <c r="A1304" s="1" t="str">
        <f>IF(Raw!A1304="","",Raw!A1304)</f>
        <v>L01298</v>
      </c>
      <c r="B1304" s="1" t="str">
        <f>IF(Raw!B1304="","",Raw!B1304)</f>
        <v>T00649</v>
      </c>
      <c r="C1304" s="1" t="str">
        <f>IF(Raw!C1304="","",Raw!C1304)</f>
        <v>2026-02-06</v>
      </c>
      <c r="D1304" s="1">
        <f t="shared" si="160"/>
        <v>2026</v>
      </c>
      <c r="E1304" s="1">
        <f>IFERROR(IF(AND(LEN(C1304)=10,MID(C1304,5,1)="-",MID(C1304,8,1)="-"),VALUE(MID(C1304,6,2)),IF(AND(LEN(C1304)=11,MID(C1304,3,1)="-",MID(C1304,7,1)="-"),MATCH(UPPER(MID(C1304,4,3)),Guide!$D$7:$D$18,0),0)),0)</f>
        <v>2</v>
      </c>
      <c r="F1304" s="1">
        <f t="shared" si="161"/>
        <v>6</v>
      </c>
      <c r="G1304" s="9">
        <f t="shared" si="162"/>
        <v>46059</v>
      </c>
      <c r="H1304" s="1" t="str">
        <f>IF(Raw!D1304="","",Raw!D1304)</f>
        <v>P-H</v>
      </c>
      <c r="I1304" s="1" t="str">
        <f>IFERROR(IF(EXACT(H1304,INDEX(Guide!$A$7:$A$9,MATCH(SUBSTITUTE(SUBSTITUTE(SUBSTITUTE(H1304,"~","~~"),"*","~*"),"?","~?"),Guide!$A$7:$A$9,0))),INDEX(Guide!$B$7:$B$9,MATCH(SUBSTITUTE(SUBSTITUTE(SUBSTITUTE(H1304,"~","~~"),"*","~*"),"?","~?"),Guide!$A$7:$A$9,0)),""),"")</f>
        <v>Home</v>
      </c>
      <c r="J1304" s="1" t="str">
        <f>IF(TRIM(Raw!E1304)="",I1304,IF(UPPER(TRIM(Raw!E1304))=UPPER(I1304),I1304,""))</f>
        <v>Home</v>
      </c>
      <c r="K1304" s="1" t="str">
        <f>IF(Raw!F1304="","",Raw!F1304)</f>
        <v>sale</v>
      </c>
      <c r="L1304" s="1" t="str">
        <f>IF(LEFT(TRIM(Raw!G1304),2)="-$","-"&amp;MID(TRIM(Raw!G1304),3,99),IF(LEFT(TRIM(Raw!G1304),1)="$",MID(TRIM(Raw!G1304),2,99),TRIM(Raw!G1304)))</f>
        <v>624.40</v>
      </c>
      <c r="M1304" s="1">
        <f t="shared" si="163"/>
        <v>624.4</v>
      </c>
      <c r="N1304" s="10">
        <f t="shared" si="164"/>
        <v>62440</v>
      </c>
      <c r="O1304" s="1" t="b">
        <f>IFERROR(IF(ISNUMBER(Raw!G1304),TRUE,OR(EXACT(L1304,TEXT(M1304,"0.00")),EXACT(L1304,TEXT(M1304,"#,##0.00")))),FALSE)</f>
        <v>1</v>
      </c>
      <c r="P1304" s="1" t="str">
        <f>LEN(IF(Raw!A1304="","",Raw!A1304))&amp;":"&amp;IF(Raw!A1304="","",Raw!A1304)&amp;"|"&amp;LEN(IF(Raw!B1304="","",Raw!B1304))&amp;":"&amp;IF(Raw!B1304="","",Raw!B1304)&amp;"|"&amp;LEN(IF(Raw!C1304="","",Raw!C1304))&amp;":"&amp;IF(Raw!C1304="","",Raw!C1304)&amp;"|"&amp;LEN(IF(Raw!D1304="","",Raw!D1304))&amp;":"&amp;IF(Raw!D1304="","",Raw!D1304)&amp;"|"&amp;LEN(IF(Raw!E1304="","",Raw!E1304))&amp;":"&amp;IF(Raw!E1304="","",Raw!E1304)&amp;"|"&amp;LEN(IF(Raw!F1304="","",Raw!F1304))&amp;":"&amp;IF(Raw!F1304="","",Raw!F1304)&amp;"|"&amp;LEN(IF(Raw!G1304="","",Raw!G1304))&amp;":"&amp;IF(Raw!G1304="","",Raw!G1304)</f>
        <v>6:L01298|6:T00649|10:2026-02-06|3:P-H|4:Home|4:sale|6:624.40</v>
      </c>
      <c r="Q1304" s="1">
        <f>1</f>
        <v>1</v>
      </c>
      <c r="R1304" s="1" t="b">
        <f>FALSE</f>
        <v>0</v>
      </c>
      <c r="S1304" s="1">
        <f>1</f>
        <v>1</v>
      </c>
      <c r="T1304" s="1" t="str">
        <f>IF(AND(Raw!A1304="",Raw!B1304="",Raw!C1304="",Raw!D1304="",Raw!E1304="",Raw!F1304="",Raw!G1304=""),"UNUSED",IF(A1304="","missing line ID",IF(B1304="","missing transaction ID",IF(G1304="",IF(C1304="","missing date","invalid date"),IF(I1304="","unknown product",IF(J1304="","conflicting category",IF(NOT(OR(EXACT(K1304,"sale"),EXACT(K1304,"refund"))),"unknown event",IF(OR(N1304="",NOT(O1304)),"invalid amount",IF(OR(AND(K1304="sale",N1304&lt;=0),AND(K1304="refund",N1304&gt;=0)),"invalid sign","")))))))))</f>
        <v/>
      </c>
      <c r="U1304" s="1" t="str">
        <f t="shared" si="165"/>
        <v>INCLUDED</v>
      </c>
      <c r="V1304" s="1" t="str">
        <f t="shared" si="166"/>
        <v>2026-02</v>
      </c>
      <c r="W1304" s="1">
        <f>IF(AND(U1304="INCLUDED",X1304&gt;0,EXACT(A1304,'AI output'!A1304)),1,0)</f>
        <v>1</v>
      </c>
      <c r="X1304" s="1">
        <f>1304</f>
        <v>1304</v>
      </c>
      <c r="Y1304" s="1">
        <f>IF(AND(U1304="INCLUDED",W1304=1),--(NOT(EXACT(A1304,'AI output'!A1304)))+--(NOT(EXACT(B1304,'AI output'!B1304)))+--(NOT(EXACT(TEXT(G1304,"yyyy-mm-dd"),'AI output'!C1304)))+--(NOT(EXACT(H1304,'AI output'!D1304)))+--(NOT(EXACT(J1304,'AI output'!E1304)))+--(NOT(EXACT(K1304,'AI output'!F1304)))+--(N1304&lt;&gt;'AI output'!L1304)+--(NOT('AI output'!M1304)),0)</f>
        <v>0</v>
      </c>
      <c r="Z1304" s="1">
        <f t="shared" si="167"/>
        <v>0</v>
      </c>
      <c r="AA1304" s="1">
        <f>--EXACT(A1304,"L01298")</f>
        <v>1</v>
      </c>
    </row>
    <row r="1305" spans="1:27" ht="18.95" customHeight="1">
      <c r="A1305" s="1" t="str">
        <f>IF(Raw!A1305="","",Raw!A1305)</f>
        <v>L01299</v>
      </c>
      <c r="B1305" s="1" t="str">
        <f>IF(Raw!B1305="","",Raw!B1305)</f>
        <v>T00650</v>
      </c>
      <c r="C1305" s="1" t="str">
        <f>IF(Raw!C1305="","",Raw!C1305)</f>
        <v>2026-02-13</v>
      </c>
      <c r="D1305" s="1">
        <f t="shared" si="160"/>
        <v>2026</v>
      </c>
      <c r="E1305" s="1">
        <f>IFERROR(IF(AND(LEN(C1305)=10,MID(C1305,5,1)="-",MID(C1305,8,1)="-"),VALUE(MID(C1305,6,2)),IF(AND(LEN(C1305)=11,MID(C1305,3,1)="-",MID(C1305,7,1)="-"),MATCH(UPPER(MID(C1305,4,3)),Guide!$D$7:$D$18,0),0)),0)</f>
        <v>2</v>
      </c>
      <c r="F1305" s="1">
        <f t="shared" si="161"/>
        <v>13</v>
      </c>
      <c r="G1305" s="9">
        <f t="shared" si="162"/>
        <v>46066</v>
      </c>
      <c r="H1305" s="1" t="str">
        <f>IF(Raw!D1305="","",Raw!D1305)</f>
        <v>P-O</v>
      </c>
      <c r="I1305" s="1" t="str">
        <f>IFERROR(IF(EXACT(H1305,INDEX(Guide!$A$7:$A$9,MATCH(SUBSTITUTE(SUBSTITUTE(SUBSTITUTE(H1305,"~","~~"),"*","~*"),"?","~?"),Guide!$A$7:$A$9,0))),INDEX(Guide!$B$7:$B$9,MATCH(SUBSTITUTE(SUBSTITUTE(SUBSTITUTE(H1305,"~","~~"),"*","~*"),"?","~?"),Guide!$A$7:$A$9,0)),""),"")</f>
        <v>Office</v>
      </c>
      <c r="J1305" s="1" t="str">
        <f>IF(TRIM(Raw!E1305)="",I1305,IF(UPPER(TRIM(Raw!E1305))=UPPER(I1305),I1305,""))</f>
        <v>Office</v>
      </c>
      <c r="K1305" s="1" t="str">
        <f>IF(Raw!F1305="","",Raw!F1305)</f>
        <v>sale</v>
      </c>
      <c r="L1305" s="1" t="str">
        <f>IF(LEFT(TRIM(Raw!G1305),2)="-$","-"&amp;MID(TRIM(Raw!G1305),3,99),IF(LEFT(TRIM(Raw!G1305),1)="$",MID(TRIM(Raw!G1305),2,99),TRIM(Raw!G1305)))</f>
        <v>10.50</v>
      </c>
      <c r="M1305" s="1">
        <f t="shared" si="163"/>
        <v>10.5</v>
      </c>
      <c r="N1305" s="10">
        <f t="shared" si="164"/>
        <v>1050</v>
      </c>
      <c r="O1305" s="1" t="b">
        <f>IFERROR(IF(ISNUMBER(Raw!G1305),TRUE,OR(EXACT(L1305,TEXT(M1305,"0.00")),EXACT(L1305,TEXT(M1305,"#,##0.00")))),FALSE)</f>
        <v>1</v>
      </c>
      <c r="P1305" s="1" t="str">
        <f>LEN(IF(Raw!A1305="","",Raw!A1305))&amp;":"&amp;IF(Raw!A1305="","",Raw!A1305)&amp;"|"&amp;LEN(IF(Raw!B1305="","",Raw!B1305))&amp;":"&amp;IF(Raw!B1305="","",Raw!B1305)&amp;"|"&amp;LEN(IF(Raw!C1305="","",Raw!C1305))&amp;":"&amp;IF(Raw!C1305="","",Raw!C1305)&amp;"|"&amp;LEN(IF(Raw!D1305="","",Raw!D1305))&amp;":"&amp;IF(Raw!D1305="","",Raw!D1305)&amp;"|"&amp;LEN(IF(Raw!E1305="","",Raw!E1305))&amp;":"&amp;IF(Raw!E1305="","",Raw!E1305)&amp;"|"&amp;LEN(IF(Raw!F1305="","",Raw!F1305))&amp;":"&amp;IF(Raw!F1305="","",Raw!F1305)&amp;"|"&amp;LEN(IF(Raw!G1305="","",Raw!G1305))&amp;":"&amp;IF(Raw!G1305="","",Raw!G1305)</f>
        <v>6:L01299|6:T00650|10:2026-02-13|3:P-O|6:Office|4:sale|5:10.50</v>
      </c>
      <c r="Q1305" s="1">
        <f>1</f>
        <v>1</v>
      </c>
      <c r="R1305" s="1" t="b">
        <f>FALSE</f>
        <v>0</v>
      </c>
      <c r="S1305" s="1">
        <f>1</f>
        <v>1</v>
      </c>
      <c r="T1305" s="1" t="str">
        <f>IF(AND(Raw!A1305="",Raw!B1305="",Raw!C1305="",Raw!D1305="",Raw!E1305="",Raw!F1305="",Raw!G1305=""),"UNUSED",IF(A1305="","missing line ID",IF(B1305="","missing transaction ID",IF(G1305="",IF(C1305="","missing date","invalid date"),IF(I1305="","unknown product",IF(J1305="","conflicting category",IF(NOT(OR(EXACT(K1305,"sale"),EXACT(K1305,"refund"))),"unknown event",IF(OR(N1305="",NOT(O1305)),"invalid amount",IF(OR(AND(K1305="sale",N1305&lt;=0),AND(K1305="refund",N1305&gt;=0)),"invalid sign","")))))))))</f>
        <v/>
      </c>
      <c r="U1305" s="1" t="str">
        <f t="shared" si="165"/>
        <v>INCLUDED</v>
      </c>
      <c r="V1305" s="1" t="str">
        <f t="shared" si="166"/>
        <v>2026-02</v>
      </c>
      <c r="W1305" s="1">
        <f>IF(AND(U1305="INCLUDED",X1305&gt;0,EXACT(A1305,'AI output'!A1305)),1,0)</f>
        <v>1</v>
      </c>
      <c r="X1305" s="1">
        <f>1305</f>
        <v>1305</v>
      </c>
      <c r="Y1305" s="1">
        <f>IF(AND(U1305="INCLUDED",W1305=1),--(NOT(EXACT(A1305,'AI output'!A1305)))+--(NOT(EXACT(B1305,'AI output'!B1305)))+--(NOT(EXACT(TEXT(G1305,"yyyy-mm-dd"),'AI output'!C1305)))+--(NOT(EXACT(H1305,'AI output'!D1305)))+--(NOT(EXACT(J1305,'AI output'!E1305)))+--(NOT(EXACT(K1305,'AI output'!F1305)))+--(N1305&lt;&gt;'AI output'!L1305)+--(NOT('AI output'!M1305)),0)</f>
        <v>0</v>
      </c>
      <c r="Z1305" s="1">
        <f t="shared" si="167"/>
        <v>0</v>
      </c>
      <c r="AA1305" s="1">
        <f>--EXACT(A1305,"L01299")</f>
        <v>1</v>
      </c>
    </row>
    <row r="1306" spans="1:27" ht="18.95" customHeight="1">
      <c r="A1306" s="1" t="str">
        <f>IF(Raw!A1306="","",Raw!A1306)</f>
        <v>L01300</v>
      </c>
      <c r="B1306" s="1" t="str">
        <f>IF(Raw!B1306="","",Raw!B1306)</f>
        <v>T00650</v>
      </c>
      <c r="C1306" s="1" t="str">
        <f>IF(Raw!C1306="","",Raw!C1306)</f>
        <v>2026-02-13</v>
      </c>
      <c r="D1306" s="1">
        <f t="shared" si="160"/>
        <v>2026</v>
      </c>
      <c r="E1306" s="1">
        <f>IFERROR(IF(AND(LEN(C1306)=10,MID(C1306,5,1)="-",MID(C1306,8,1)="-"),VALUE(MID(C1306,6,2)),IF(AND(LEN(C1306)=11,MID(C1306,3,1)="-",MID(C1306,7,1)="-"),MATCH(UPPER(MID(C1306,4,3)),Guide!$D$7:$D$18,0),0)),0)</f>
        <v>2</v>
      </c>
      <c r="F1306" s="1">
        <f t="shared" si="161"/>
        <v>13</v>
      </c>
      <c r="G1306" s="9">
        <f t="shared" si="162"/>
        <v>46066</v>
      </c>
      <c r="H1306" s="1" t="str">
        <f>IF(Raw!D1306="","",Raw!D1306)</f>
        <v>P-A</v>
      </c>
      <c r="I1306" s="1" t="str">
        <f>IFERROR(IF(EXACT(H1306,INDEX(Guide!$A$7:$A$9,MATCH(SUBSTITUTE(SUBSTITUTE(SUBSTITUTE(H1306,"~","~~"),"*","~*"),"?","~?"),Guide!$A$7:$A$9,0))),INDEX(Guide!$B$7:$B$9,MATCH(SUBSTITUTE(SUBSTITUTE(SUBSTITUTE(H1306,"~","~~"),"*","~*"),"?","~?"),Guide!$A$7:$A$9,0)),""),"")</f>
        <v>Accessories</v>
      </c>
      <c r="J1306" s="1" t="str">
        <f>IF(TRIM(Raw!E1306)="",I1306,IF(UPPER(TRIM(Raw!E1306))=UPPER(I1306),I1306,""))</f>
        <v>Accessories</v>
      </c>
      <c r="K1306" s="1" t="str">
        <f>IF(Raw!F1306="","",Raw!F1306)</f>
        <v>sale</v>
      </c>
      <c r="L1306" s="1" t="str">
        <f>IF(LEFT(TRIM(Raw!G1306),2)="-$","-"&amp;MID(TRIM(Raw!G1306),3,99),IF(LEFT(TRIM(Raw!G1306),1)="$",MID(TRIM(Raw!G1306),2,99),TRIM(Raw!G1306)))</f>
        <v>22.48</v>
      </c>
      <c r="M1306" s="1">
        <f t="shared" si="163"/>
        <v>22.48</v>
      </c>
      <c r="N1306" s="10">
        <f t="shared" si="164"/>
        <v>2248</v>
      </c>
      <c r="O1306" s="1" t="b">
        <f>IFERROR(IF(ISNUMBER(Raw!G1306),TRUE,OR(EXACT(L1306,TEXT(M1306,"0.00")),EXACT(L1306,TEXT(M1306,"#,##0.00")))),FALSE)</f>
        <v>1</v>
      </c>
      <c r="P1306" s="1" t="str">
        <f>LEN(IF(Raw!A1306="","",Raw!A1306))&amp;":"&amp;IF(Raw!A1306="","",Raw!A1306)&amp;"|"&amp;LEN(IF(Raw!B1306="","",Raw!B1306))&amp;":"&amp;IF(Raw!B1306="","",Raw!B1306)&amp;"|"&amp;LEN(IF(Raw!C1306="","",Raw!C1306))&amp;":"&amp;IF(Raw!C1306="","",Raw!C1306)&amp;"|"&amp;LEN(IF(Raw!D1306="","",Raw!D1306))&amp;":"&amp;IF(Raw!D1306="","",Raw!D1306)&amp;"|"&amp;LEN(IF(Raw!E1306="","",Raw!E1306))&amp;":"&amp;IF(Raw!E1306="","",Raw!E1306)&amp;"|"&amp;LEN(IF(Raw!F1306="","",Raw!F1306))&amp;":"&amp;IF(Raw!F1306="","",Raw!F1306)&amp;"|"&amp;LEN(IF(Raw!G1306="","",Raw!G1306))&amp;":"&amp;IF(Raw!G1306="","",Raw!G1306)</f>
        <v>6:L01300|6:T00650|10:2026-02-13|3:P-A|11:Accessories|4:sale|5:22.48</v>
      </c>
      <c r="Q1306" s="1">
        <f>1</f>
        <v>1</v>
      </c>
      <c r="R1306" s="1" t="b">
        <f>FALSE</f>
        <v>0</v>
      </c>
      <c r="S1306" s="1">
        <f>1</f>
        <v>1</v>
      </c>
      <c r="T1306" s="1" t="str">
        <f>IF(AND(Raw!A1306="",Raw!B1306="",Raw!C1306="",Raw!D1306="",Raw!E1306="",Raw!F1306="",Raw!G1306=""),"UNUSED",IF(A1306="","missing line ID",IF(B1306="","missing transaction ID",IF(G1306="",IF(C1306="","missing date","invalid date"),IF(I1306="","unknown product",IF(J1306="","conflicting category",IF(NOT(OR(EXACT(K1306,"sale"),EXACT(K1306,"refund"))),"unknown event",IF(OR(N1306="",NOT(O1306)),"invalid amount",IF(OR(AND(K1306="sale",N1306&lt;=0),AND(K1306="refund",N1306&gt;=0)),"invalid sign","")))))))))</f>
        <v/>
      </c>
      <c r="U1306" s="1" t="str">
        <f t="shared" si="165"/>
        <v>INCLUDED</v>
      </c>
      <c r="V1306" s="1" t="str">
        <f t="shared" si="166"/>
        <v>2026-02</v>
      </c>
      <c r="W1306" s="1">
        <f>IF(AND(U1306="INCLUDED",X1306&gt;0,EXACT(A1306,'AI output'!A1306)),1,0)</f>
        <v>1</v>
      </c>
      <c r="X1306" s="1">
        <f>1306</f>
        <v>1306</v>
      </c>
      <c r="Y1306" s="1">
        <f>IF(AND(U1306="INCLUDED",W1306=1),--(NOT(EXACT(A1306,'AI output'!A1306)))+--(NOT(EXACT(B1306,'AI output'!B1306)))+--(NOT(EXACT(TEXT(G1306,"yyyy-mm-dd"),'AI output'!C1306)))+--(NOT(EXACT(H1306,'AI output'!D1306)))+--(NOT(EXACT(J1306,'AI output'!E1306)))+--(NOT(EXACT(K1306,'AI output'!F1306)))+--(N1306&lt;&gt;'AI output'!L1306)+--(NOT('AI output'!M1306)),0)</f>
        <v>0</v>
      </c>
      <c r="Z1306" s="1">
        <f t="shared" si="167"/>
        <v>0</v>
      </c>
      <c r="AA1306" s="1">
        <f>--EXACT(A1306,"L01300")</f>
        <v>1</v>
      </c>
    </row>
    <row r="1307" spans="1:27" ht="18.95" customHeight="1">
      <c r="A1307" s="1" t="str">
        <f>IF(Raw!A1307="","",Raw!A1307)</f>
        <v>L01301</v>
      </c>
      <c r="B1307" s="1" t="str">
        <f>IF(Raw!B1307="","",Raw!B1307)</f>
        <v>T00651</v>
      </c>
      <c r="C1307" s="1" t="str">
        <f>IF(Raw!C1307="","",Raw!C1307)</f>
        <v>2026-02-20</v>
      </c>
      <c r="D1307" s="1">
        <f t="shared" si="160"/>
        <v>2026</v>
      </c>
      <c r="E1307" s="1">
        <f>IFERROR(IF(AND(LEN(C1307)=10,MID(C1307,5,1)="-",MID(C1307,8,1)="-"),VALUE(MID(C1307,6,2)),IF(AND(LEN(C1307)=11,MID(C1307,3,1)="-",MID(C1307,7,1)="-"),MATCH(UPPER(MID(C1307,4,3)),Guide!$D$7:$D$18,0),0)),0)</f>
        <v>2</v>
      </c>
      <c r="F1307" s="1">
        <f t="shared" si="161"/>
        <v>20</v>
      </c>
      <c r="G1307" s="9">
        <f t="shared" si="162"/>
        <v>46073</v>
      </c>
      <c r="H1307" s="1" t="str">
        <f>IF(Raw!D1307="","",Raw!D1307)</f>
        <v>P-H</v>
      </c>
      <c r="I1307" s="1" t="str">
        <f>IFERROR(IF(EXACT(H1307,INDEX(Guide!$A$7:$A$9,MATCH(SUBSTITUTE(SUBSTITUTE(SUBSTITUTE(H1307,"~","~~"),"*","~*"),"?","~?"),Guide!$A$7:$A$9,0))),INDEX(Guide!$B$7:$B$9,MATCH(SUBSTITUTE(SUBSTITUTE(SUBSTITUTE(H1307,"~","~~"),"*","~*"),"?","~?"),Guide!$A$7:$A$9,0)),""),"")</f>
        <v>Home</v>
      </c>
      <c r="J1307" s="1" t="str">
        <f>IF(TRIM(Raw!E1307)="",I1307,IF(UPPER(TRIM(Raw!E1307))=UPPER(I1307),I1307,""))</f>
        <v>Home</v>
      </c>
      <c r="K1307" s="1" t="str">
        <f>IF(Raw!F1307="","",Raw!F1307)</f>
        <v>sale</v>
      </c>
      <c r="L1307" s="1" t="str">
        <f>IF(LEFT(TRIM(Raw!G1307),2)="-$","-"&amp;MID(TRIM(Raw!G1307),3,99),IF(LEFT(TRIM(Raw!G1307),1)="$",MID(TRIM(Raw!G1307),2,99),TRIM(Raw!G1307)))</f>
        <v>5.99</v>
      </c>
      <c r="M1307" s="1">
        <f t="shared" si="163"/>
        <v>5.99</v>
      </c>
      <c r="N1307" s="10">
        <f t="shared" si="164"/>
        <v>599</v>
      </c>
      <c r="O1307" s="1" t="b">
        <f>IFERROR(IF(ISNUMBER(Raw!G1307),TRUE,OR(EXACT(L1307,TEXT(M1307,"0.00")),EXACT(L1307,TEXT(M1307,"#,##0.00")))),FALSE)</f>
        <v>1</v>
      </c>
      <c r="P1307" s="1" t="str">
        <f>LEN(IF(Raw!A1307="","",Raw!A1307))&amp;":"&amp;IF(Raw!A1307="","",Raw!A1307)&amp;"|"&amp;LEN(IF(Raw!B1307="","",Raw!B1307))&amp;":"&amp;IF(Raw!B1307="","",Raw!B1307)&amp;"|"&amp;LEN(IF(Raw!C1307="","",Raw!C1307))&amp;":"&amp;IF(Raw!C1307="","",Raw!C1307)&amp;"|"&amp;LEN(IF(Raw!D1307="","",Raw!D1307))&amp;":"&amp;IF(Raw!D1307="","",Raw!D1307)&amp;"|"&amp;LEN(IF(Raw!E1307="","",Raw!E1307))&amp;":"&amp;IF(Raw!E1307="","",Raw!E1307)&amp;"|"&amp;LEN(IF(Raw!F1307="","",Raw!F1307))&amp;":"&amp;IF(Raw!F1307="","",Raw!F1307)&amp;"|"&amp;LEN(IF(Raw!G1307="","",Raw!G1307))&amp;":"&amp;IF(Raw!G1307="","",Raw!G1307)</f>
        <v>6:L01301|6:T00651|10:2026-02-20|3:P-H|4:Home|4:sale|4:5.99</v>
      </c>
      <c r="Q1307" s="1">
        <f>1</f>
        <v>1</v>
      </c>
      <c r="R1307" s="1" t="b">
        <f>FALSE</f>
        <v>0</v>
      </c>
      <c r="S1307" s="1">
        <f>1</f>
        <v>1</v>
      </c>
      <c r="T1307" s="1" t="str">
        <f>IF(AND(Raw!A1307="",Raw!B1307="",Raw!C1307="",Raw!D1307="",Raw!E1307="",Raw!F1307="",Raw!G1307=""),"UNUSED",IF(A1307="","missing line ID",IF(B1307="","missing transaction ID",IF(G1307="",IF(C1307="","missing date","invalid date"),IF(I1307="","unknown product",IF(J1307="","conflicting category",IF(NOT(OR(EXACT(K1307,"sale"),EXACT(K1307,"refund"))),"unknown event",IF(OR(N1307="",NOT(O1307)),"invalid amount",IF(OR(AND(K1307="sale",N1307&lt;=0),AND(K1307="refund",N1307&gt;=0)),"invalid sign","")))))))))</f>
        <v/>
      </c>
      <c r="U1307" s="1" t="str">
        <f t="shared" si="165"/>
        <v>INCLUDED</v>
      </c>
      <c r="V1307" s="1" t="str">
        <f t="shared" si="166"/>
        <v>2026-02</v>
      </c>
      <c r="W1307" s="1">
        <f>IF(AND(U1307="INCLUDED",X1307&gt;0,EXACT(A1307,'AI output'!A1307)),1,0)</f>
        <v>1</v>
      </c>
      <c r="X1307" s="1">
        <f>1307</f>
        <v>1307</v>
      </c>
      <c r="Y1307" s="1">
        <f>IF(AND(U1307="INCLUDED",W1307=1),--(NOT(EXACT(A1307,'AI output'!A1307)))+--(NOT(EXACT(B1307,'AI output'!B1307)))+--(NOT(EXACT(TEXT(G1307,"yyyy-mm-dd"),'AI output'!C1307)))+--(NOT(EXACT(H1307,'AI output'!D1307)))+--(NOT(EXACT(J1307,'AI output'!E1307)))+--(NOT(EXACT(K1307,'AI output'!F1307)))+--(N1307&lt;&gt;'AI output'!L1307)+--(NOT('AI output'!M1307)),0)</f>
        <v>0</v>
      </c>
      <c r="Z1307" s="1">
        <f t="shared" si="167"/>
        <v>0</v>
      </c>
      <c r="AA1307" s="1">
        <f>--EXACT(A1307,"L01301")</f>
        <v>1</v>
      </c>
    </row>
    <row r="1308" spans="1:27" ht="18.95" customHeight="1">
      <c r="A1308" s="1" t="str">
        <f>IF(Raw!A1308="","",Raw!A1308)</f>
        <v>L01302</v>
      </c>
      <c r="B1308" s="1" t="str">
        <f>IF(Raw!B1308="","",Raw!B1308)</f>
        <v>T00651</v>
      </c>
      <c r="C1308" s="1" t="str">
        <f>IF(Raw!C1308="","",Raw!C1308)</f>
        <v>2026-02-20</v>
      </c>
      <c r="D1308" s="1">
        <f t="shared" si="160"/>
        <v>2026</v>
      </c>
      <c r="E1308" s="1">
        <f>IFERROR(IF(AND(LEN(C1308)=10,MID(C1308,5,1)="-",MID(C1308,8,1)="-"),VALUE(MID(C1308,6,2)),IF(AND(LEN(C1308)=11,MID(C1308,3,1)="-",MID(C1308,7,1)="-"),MATCH(UPPER(MID(C1308,4,3)),Guide!$D$7:$D$18,0),0)),0)</f>
        <v>2</v>
      </c>
      <c r="F1308" s="1">
        <f t="shared" si="161"/>
        <v>20</v>
      </c>
      <c r="G1308" s="9">
        <f t="shared" si="162"/>
        <v>46073</v>
      </c>
      <c r="H1308" s="1" t="str">
        <f>IF(Raw!D1308="","",Raw!D1308)</f>
        <v>P-O</v>
      </c>
      <c r="I1308" s="1" t="str">
        <f>IFERROR(IF(EXACT(H1308,INDEX(Guide!$A$7:$A$9,MATCH(SUBSTITUTE(SUBSTITUTE(SUBSTITUTE(H1308,"~","~~"),"*","~*"),"?","~?"),Guide!$A$7:$A$9,0))),INDEX(Guide!$B$7:$B$9,MATCH(SUBSTITUTE(SUBSTITUTE(SUBSTITUTE(H1308,"~","~~"),"*","~*"),"?","~?"),Guide!$A$7:$A$9,0)),""),"")</f>
        <v>Office</v>
      </c>
      <c r="J1308" s="1" t="str">
        <f>IF(TRIM(Raw!E1308)="",I1308,IF(UPPER(TRIM(Raw!E1308))=UPPER(I1308),I1308,""))</f>
        <v>Office</v>
      </c>
      <c r="K1308" s="1" t="str">
        <f>IF(Raw!F1308="","",Raw!F1308)</f>
        <v>sale</v>
      </c>
      <c r="L1308" s="1" t="str">
        <f>IF(LEFT(TRIM(Raw!G1308),2)="-$","-"&amp;MID(TRIM(Raw!G1308),3,99),IF(LEFT(TRIM(Raw!G1308),1)="$",MID(TRIM(Raw!G1308),2,99),TRIM(Raw!G1308)))</f>
        <v>19.08</v>
      </c>
      <c r="M1308" s="1">
        <f t="shared" si="163"/>
        <v>19.079999999999998</v>
      </c>
      <c r="N1308" s="10">
        <f t="shared" si="164"/>
        <v>1908</v>
      </c>
      <c r="O1308" s="1" t="b">
        <f>IFERROR(IF(ISNUMBER(Raw!G1308),TRUE,OR(EXACT(L1308,TEXT(M1308,"0.00")),EXACT(L1308,TEXT(M1308,"#,##0.00")))),FALSE)</f>
        <v>1</v>
      </c>
      <c r="P1308" s="1" t="str">
        <f>LEN(IF(Raw!A1308="","",Raw!A1308))&amp;":"&amp;IF(Raw!A1308="","",Raw!A1308)&amp;"|"&amp;LEN(IF(Raw!B1308="","",Raw!B1308))&amp;":"&amp;IF(Raw!B1308="","",Raw!B1308)&amp;"|"&amp;LEN(IF(Raw!C1308="","",Raw!C1308))&amp;":"&amp;IF(Raw!C1308="","",Raw!C1308)&amp;"|"&amp;LEN(IF(Raw!D1308="","",Raw!D1308))&amp;":"&amp;IF(Raw!D1308="","",Raw!D1308)&amp;"|"&amp;LEN(IF(Raw!E1308="","",Raw!E1308))&amp;":"&amp;IF(Raw!E1308="","",Raw!E1308)&amp;"|"&amp;LEN(IF(Raw!F1308="","",Raw!F1308))&amp;":"&amp;IF(Raw!F1308="","",Raw!F1308)&amp;"|"&amp;LEN(IF(Raw!G1308="","",Raw!G1308))&amp;":"&amp;IF(Raw!G1308="","",Raw!G1308)</f>
        <v>6:L01302|6:T00651|10:2026-02-20|3:P-O|6:Office|4:sale|5:19.08</v>
      </c>
      <c r="Q1308" s="1">
        <f>1</f>
        <v>1</v>
      </c>
      <c r="R1308" s="1" t="b">
        <f>FALSE</f>
        <v>0</v>
      </c>
      <c r="S1308" s="1">
        <f>1</f>
        <v>1</v>
      </c>
      <c r="T1308" s="1" t="str">
        <f>IF(AND(Raw!A1308="",Raw!B1308="",Raw!C1308="",Raw!D1308="",Raw!E1308="",Raw!F1308="",Raw!G1308=""),"UNUSED",IF(A1308="","missing line ID",IF(B1308="","missing transaction ID",IF(G1308="",IF(C1308="","missing date","invalid date"),IF(I1308="","unknown product",IF(J1308="","conflicting category",IF(NOT(OR(EXACT(K1308,"sale"),EXACT(K1308,"refund"))),"unknown event",IF(OR(N1308="",NOT(O1308)),"invalid amount",IF(OR(AND(K1308="sale",N1308&lt;=0),AND(K1308="refund",N1308&gt;=0)),"invalid sign","")))))))))</f>
        <v/>
      </c>
      <c r="U1308" s="1" t="str">
        <f t="shared" si="165"/>
        <v>INCLUDED</v>
      </c>
      <c r="V1308" s="1" t="str">
        <f t="shared" si="166"/>
        <v>2026-02</v>
      </c>
      <c r="W1308" s="1">
        <f>IF(AND(U1308="INCLUDED",X1308&gt;0,EXACT(A1308,'AI output'!A1308)),1,0)</f>
        <v>1</v>
      </c>
      <c r="X1308" s="1">
        <f>1308</f>
        <v>1308</v>
      </c>
      <c r="Y1308" s="1">
        <f>IF(AND(U1308="INCLUDED",W1308=1),--(NOT(EXACT(A1308,'AI output'!A1308)))+--(NOT(EXACT(B1308,'AI output'!B1308)))+--(NOT(EXACT(TEXT(G1308,"yyyy-mm-dd"),'AI output'!C1308)))+--(NOT(EXACT(H1308,'AI output'!D1308)))+--(NOT(EXACT(J1308,'AI output'!E1308)))+--(NOT(EXACT(K1308,'AI output'!F1308)))+--(N1308&lt;&gt;'AI output'!L1308)+--(NOT('AI output'!M1308)),0)</f>
        <v>0</v>
      </c>
      <c r="Z1308" s="1">
        <f t="shared" si="167"/>
        <v>0</v>
      </c>
      <c r="AA1308" s="1">
        <f>--EXACT(A1308,"L01302")</f>
        <v>1</v>
      </c>
    </row>
    <row r="1309" spans="1:27" ht="18.95" customHeight="1">
      <c r="A1309" s="1" t="str">
        <f>IF(Raw!A1309="","",Raw!A1309)</f>
        <v>L01303</v>
      </c>
      <c r="B1309" s="1" t="str">
        <f>IF(Raw!B1309="","",Raw!B1309)</f>
        <v>T00652</v>
      </c>
      <c r="C1309" s="1" t="str">
        <f>IF(Raw!C1309="","",Raw!C1309)</f>
        <v>2026-02-27</v>
      </c>
      <c r="D1309" s="1">
        <f t="shared" si="160"/>
        <v>2026</v>
      </c>
      <c r="E1309" s="1">
        <f>IFERROR(IF(AND(LEN(C1309)=10,MID(C1309,5,1)="-",MID(C1309,8,1)="-"),VALUE(MID(C1309,6,2)),IF(AND(LEN(C1309)=11,MID(C1309,3,1)="-",MID(C1309,7,1)="-"),MATCH(UPPER(MID(C1309,4,3)),Guide!$D$7:$D$18,0),0)),0)</f>
        <v>2</v>
      </c>
      <c r="F1309" s="1">
        <f t="shared" si="161"/>
        <v>27</v>
      </c>
      <c r="G1309" s="9">
        <f t="shared" si="162"/>
        <v>46080</v>
      </c>
      <c r="H1309" s="1" t="str">
        <f>IF(Raw!D1309="","",Raw!D1309)</f>
        <v>P-A</v>
      </c>
      <c r="I1309" s="1" t="str">
        <f>IFERROR(IF(EXACT(H1309,INDEX(Guide!$A$7:$A$9,MATCH(SUBSTITUTE(SUBSTITUTE(SUBSTITUTE(H1309,"~","~~"),"*","~*"),"?","~?"),Guide!$A$7:$A$9,0))),INDEX(Guide!$B$7:$B$9,MATCH(SUBSTITUTE(SUBSTITUTE(SUBSTITUTE(H1309,"~","~~"),"*","~*"),"?","~?"),Guide!$A$7:$A$9,0)),""),"")</f>
        <v>Accessories</v>
      </c>
      <c r="J1309" s="1" t="str">
        <f>IF(TRIM(Raw!E1309)="",I1309,IF(UPPER(TRIM(Raw!E1309))=UPPER(I1309),I1309,""))</f>
        <v>Accessories</v>
      </c>
      <c r="K1309" s="1" t="str">
        <f>IF(Raw!F1309="","",Raw!F1309)</f>
        <v>sale</v>
      </c>
      <c r="L1309" s="1" t="str">
        <f>IF(LEFT(TRIM(Raw!G1309),2)="-$","-"&amp;MID(TRIM(Raw!G1309),3,99),IF(LEFT(TRIM(Raw!G1309),1)="$",MID(TRIM(Raw!G1309),2,99),TRIM(Raw!G1309)))</f>
        <v>33.65</v>
      </c>
      <c r="M1309" s="1">
        <f t="shared" si="163"/>
        <v>33.65</v>
      </c>
      <c r="N1309" s="10">
        <f t="shared" si="164"/>
        <v>3365</v>
      </c>
      <c r="O1309" s="1" t="b">
        <f>IFERROR(IF(ISNUMBER(Raw!G1309),TRUE,OR(EXACT(L1309,TEXT(M1309,"0.00")),EXACT(L1309,TEXT(M1309,"#,##0.00")))),FALSE)</f>
        <v>1</v>
      </c>
      <c r="P1309" s="1" t="str">
        <f>LEN(IF(Raw!A1309="","",Raw!A1309))&amp;":"&amp;IF(Raw!A1309="","",Raw!A1309)&amp;"|"&amp;LEN(IF(Raw!B1309="","",Raw!B1309))&amp;":"&amp;IF(Raw!B1309="","",Raw!B1309)&amp;"|"&amp;LEN(IF(Raw!C1309="","",Raw!C1309))&amp;":"&amp;IF(Raw!C1309="","",Raw!C1309)&amp;"|"&amp;LEN(IF(Raw!D1309="","",Raw!D1309))&amp;":"&amp;IF(Raw!D1309="","",Raw!D1309)&amp;"|"&amp;LEN(IF(Raw!E1309="","",Raw!E1309))&amp;":"&amp;IF(Raw!E1309="","",Raw!E1309)&amp;"|"&amp;LEN(IF(Raw!F1309="","",Raw!F1309))&amp;":"&amp;IF(Raw!F1309="","",Raw!F1309)&amp;"|"&amp;LEN(IF(Raw!G1309="","",Raw!G1309))&amp;":"&amp;IF(Raw!G1309="","",Raw!G1309)</f>
        <v>6:L01303|6:T00652|10:2026-02-27|3:P-A|11:Accessories|4:sale|5:33.65</v>
      </c>
      <c r="Q1309" s="1">
        <f>1</f>
        <v>1</v>
      </c>
      <c r="R1309" s="1" t="b">
        <f>FALSE</f>
        <v>0</v>
      </c>
      <c r="S1309" s="1">
        <f>1</f>
        <v>1</v>
      </c>
      <c r="T1309" s="1" t="str">
        <f>IF(AND(Raw!A1309="",Raw!B1309="",Raw!C1309="",Raw!D1309="",Raw!E1309="",Raw!F1309="",Raw!G1309=""),"UNUSED",IF(A1309="","missing line ID",IF(B1309="","missing transaction ID",IF(G1309="",IF(C1309="","missing date","invalid date"),IF(I1309="","unknown product",IF(J1309="","conflicting category",IF(NOT(OR(EXACT(K1309,"sale"),EXACT(K1309,"refund"))),"unknown event",IF(OR(N1309="",NOT(O1309)),"invalid amount",IF(OR(AND(K1309="sale",N1309&lt;=0),AND(K1309="refund",N1309&gt;=0)),"invalid sign","")))))))))</f>
        <v/>
      </c>
      <c r="U1309" s="1" t="str">
        <f t="shared" si="165"/>
        <v>INCLUDED</v>
      </c>
      <c r="V1309" s="1" t="str">
        <f t="shared" si="166"/>
        <v>2026-02</v>
      </c>
      <c r="W1309" s="1">
        <f>IF(AND(U1309="INCLUDED",X1309&gt;0,EXACT(A1309,'AI output'!A1309)),1,0)</f>
        <v>1</v>
      </c>
      <c r="X1309" s="1">
        <f>1309</f>
        <v>1309</v>
      </c>
      <c r="Y1309" s="1">
        <f>IF(AND(U1309="INCLUDED",W1309=1),--(NOT(EXACT(A1309,'AI output'!A1309)))+--(NOT(EXACT(B1309,'AI output'!B1309)))+--(NOT(EXACT(TEXT(G1309,"yyyy-mm-dd"),'AI output'!C1309)))+--(NOT(EXACT(H1309,'AI output'!D1309)))+--(NOT(EXACT(J1309,'AI output'!E1309)))+--(NOT(EXACT(K1309,'AI output'!F1309)))+--(N1309&lt;&gt;'AI output'!L1309)+--(NOT('AI output'!M1309)),0)</f>
        <v>0</v>
      </c>
      <c r="Z1309" s="1">
        <f t="shared" si="167"/>
        <v>0</v>
      </c>
      <c r="AA1309" s="1">
        <f>--EXACT(A1309,"L01303")</f>
        <v>1</v>
      </c>
    </row>
    <row r="1310" spans="1:27" ht="18.95" customHeight="1">
      <c r="A1310" s="1" t="str">
        <f>IF(Raw!A1310="","",Raw!A1310)</f>
        <v>L01304</v>
      </c>
      <c r="B1310" s="1" t="str">
        <f>IF(Raw!B1310="","",Raw!B1310)</f>
        <v>T00652</v>
      </c>
      <c r="C1310" s="1" t="str">
        <f>IF(Raw!C1310="","",Raw!C1310)</f>
        <v>2026-02-27</v>
      </c>
      <c r="D1310" s="1">
        <f t="shared" si="160"/>
        <v>2026</v>
      </c>
      <c r="E1310" s="1">
        <f>IFERROR(IF(AND(LEN(C1310)=10,MID(C1310,5,1)="-",MID(C1310,8,1)="-"),VALUE(MID(C1310,6,2)),IF(AND(LEN(C1310)=11,MID(C1310,3,1)="-",MID(C1310,7,1)="-"),MATCH(UPPER(MID(C1310,4,3)),Guide!$D$7:$D$18,0),0)),0)</f>
        <v>2</v>
      </c>
      <c r="F1310" s="1">
        <f t="shared" si="161"/>
        <v>27</v>
      </c>
      <c r="G1310" s="9">
        <f t="shared" si="162"/>
        <v>46080</v>
      </c>
      <c r="H1310" s="1" t="str">
        <f>IF(Raw!D1310="","",Raw!D1310)</f>
        <v>P-H</v>
      </c>
      <c r="I1310" s="1" t="str">
        <f>IFERROR(IF(EXACT(H1310,INDEX(Guide!$A$7:$A$9,MATCH(SUBSTITUTE(SUBSTITUTE(SUBSTITUTE(H1310,"~","~~"),"*","~*"),"?","~?"),Guide!$A$7:$A$9,0))),INDEX(Guide!$B$7:$B$9,MATCH(SUBSTITUTE(SUBSTITUTE(SUBSTITUTE(H1310,"~","~~"),"*","~*"),"?","~?"),Guide!$A$7:$A$9,0)),""),"")</f>
        <v>Home</v>
      </c>
      <c r="J1310" s="1" t="str">
        <f>IF(TRIM(Raw!E1310)="",I1310,IF(UPPER(TRIM(Raw!E1310))=UPPER(I1310),I1310,""))</f>
        <v>Home</v>
      </c>
      <c r="K1310" s="1" t="str">
        <f>IF(Raw!F1310="","",Raw!F1310)</f>
        <v>sale</v>
      </c>
      <c r="L1310" s="1" t="str">
        <f>IF(LEFT(TRIM(Raw!G1310),2)="-$","-"&amp;MID(TRIM(Raw!G1310),3,99),IF(LEFT(TRIM(Raw!G1310),1)="$",MID(TRIM(Raw!G1310),2,99),TRIM(Raw!G1310)))</f>
        <v>14.20</v>
      </c>
      <c r="M1310" s="1">
        <f t="shared" si="163"/>
        <v>14.2</v>
      </c>
      <c r="N1310" s="10">
        <f t="shared" si="164"/>
        <v>1420</v>
      </c>
      <c r="O1310" s="1" t="b">
        <f>IFERROR(IF(ISNUMBER(Raw!G1310),TRUE,OR(EXACT(L1310,TEXT(M1310,"0.00")),EXACT(L1310,TEXT(M1310,"#,##0.00")))),FALSE)</f>
        <v>1</v>
      </c>
      <c r="P1310" s="1" t="str">
        <f>LEN(IF(Raw!A1310="","",Raw!A1310))&amp;":"&amp;IF(Raw!A1310="","",Raw!A1310)&amp;"|"&amp;LEN(IF(Raw!B1310="","",Raw!B1310))&amp;":"&amp;IF(Raw!B1310="","",Raw!B1310)&amp;"|"&amp;LEN(IF(Raw!C1310="","",Raw!C1310))&amp;":"&amp;IF(Raw!C1310="","",Raw!C1310)&amp;"|"&amp;LEN(IF(Raw!D1310="","",Raw!D1310))&amp;":"&amp;IF(Raw!D1310="","",Raw!D1310)&amp;"|"&amp;LEN(IF(Raw!E1310="","",Raw!E1310))&amp;":"&amp;IF(Raw!E1310="","",Raw!E1310)&amp;"|"&amp;LEN(IF(Raw!F1310="","",Raw!F1310))&amp;":"&amp;IF(Raw!F1310="","",Raw!F1310)&amp;"|"&amp;LEN(IF(Raw!G1310="","",Raw!G1310))&amp;":"&amp;IF(Raw!G1310="","",Raw!G1310)</f>
        <v>6:L01304|6:T00652|10:2026-02-27|3:P-H|4:Home|4:sale|5:14.20</v>
      </c>
      <c r="Q1310" s="1">
        <f>1</f>
        <v>1</v>
      </c>
      <c r="R1310" s="1" t="b">
        <f>FALSE</f>
        <v>0</v>
      </c>
      <c r="S1310" s="1">
        <f>1</f>
        <v>1</v>
      </c>
      <c r="T1310" s="1" t="str">
        <f>IF(AND(Raw!A1310="",Raw!B1310="",Raw!C1310="",Raw!D1310="",Raw!E1310="",Raw!F1310="",Raw!G1310=""),"UNUSED",IF(A1310="","missing line ID",IF(B1310="","missing transaction ID",IF(G1310="",IF(C1310="","missing date","invalid date"),IF(I1310="","unknown product",IF(J1310="","conflicting category",IF(NOT(OR(EXACT(K1310,"sale"),EXACT(K1310,"refund"))),"unknown event",IF(OR(N1310="",NOT(O1310)),"invalid amount",IF(OR(AND(K1310="sale",N1310&lt;=0),AND(K1310="refund",N1310&gt;=0)),"invalid sign","")))))))))</f>
        <v/>
      </c>
      <c r="U1310" s="1" t="str">
        <f t="shared" si="165"/>
        <v>INCLUDED</v>
      </c>
      <c r="V1310" s="1" t="str">
        <f t="shared" si="166"/>
        <v>2026-02</v>
      </c>
      <c r="W1310" s="1">
        <f>IF(AND(U1310="INCLUDED",X1310&gt;0,EXACT(A1310,'AI output'!A1310)),1,0)</f>
        <v>1</v>
      </c>
      <c r="X1310" s="1">
        <f>1310</f>
        <v>1310</v>
      </c>
      <c r="Y1310" s="1">
        <f>IF(AND(U1310="INCLUDED",W1310=1),--(NOT(EXACT(A1310,'AI output'!A1310)))+--(NOT(EXACT(B1310,'AI output'!B1310)))+--(NOT(EXACT(TEXT(G1310,"yyyy-mm-dd"),'AI output'!C1310)))+--(NOT(EXACT(H1310,'AI output'!D1310)))+--(NOT(EXACT(J1310,'AI output'!E1310)))+--(NOT(EXACT(K1310,'AI output'!F1310)))+--(N1310&lt;&gt;'AI output'!L1310)+--(NOT('AI output'!M1310)),0)</f>
        <v>0</v>
      </c>
      <c r="Z1310" s="1">
        <f t="shared" si="167"/>
        <v>0</v>
      </c>
      <c r="AA1310" s="1">
        <f>--EXACT(A1310,"L01304")</f>
        <v>1</v>
      </c>
    </row>
    <row r="1311" spans="1:27" ht="18.95" customHeight="1">
      <c r="A1311" s="1" t="str">
        <f>IF(Raw!A1311="","",Raw!A1311)</f>
        <v>L01305</v>
      </c>
      <c r="B1311" s="1" t="str">
        <f>IF(Raw!B1311="","",Raw!B1311)</f>
        <v>T00653</v>
      </c>
      <c r="C1311" s="1" t="str">
        <f>IF(Raw!C1311="","",Raw!C1311)</f>
        <v>2026-03-06</v>
      </c>
      <c r="D1311" s="1">
        <f t="shared" si="160"/>
        <v>2026</v>
      </c>
      <c r="E1311" s="1">
        <f>IFERROR(IF(AND(LEN(C1311)=10,MID(C1311,5,1)="-",MID(C1311,8,1)="-"),VALUE(MID(C1311,6,2)),IF(AND(LEN(C1311)=11,MID(C1311,3,1)="-",MID(C1311,7,1)="-"),MATCH(UPPER(MID(C1311,4,3)),Guide!$D$7:$D$18,0),0)),0)</f>
        <v>3</v>
      </c>
      <c r="F1311" s="1">
        <f t="shared" si="161"/>
        <v>6</v>
      </c>
      <c r="G1311" s="9">
        <f t="shared" si="162"/>
        <v>46087</v>
      </c>
      <c r="H1311" s="1" t="str">
        <f>IF(Raw!D1311="","",Raw!D1311)</f>
        <v>P-O</v>
      </c>
      <c r="I1311" s="1" t="str">
        <f>IFERROR(IF(EXACT(H1311,INDEX(Guide!$A$7:$A$9,MATCH(SUBSTITUTE(SUBSTITUTE(SUBSTITUTE(H1311,"~","~~"),"*","~*"),"?","~?"),Guide!$A$7:$A$9,0))),INDEX(Guide!$B$7:$B$9,MATCH(SUBSTITUTE(SUBSTITUTE(SUBSTITUTE(H1311,"~","~~"),"*","~*"),"?","~?"),Guide!$A$7:$A$9,0)),""),"")</f>
        <v>Office</v>
      </c>
      <c r="J1311" s="1" t="str">
        <f>IF(TRIM(Raw!E1311)="",I1311,IF(UPPER(TRIM(Raw!E1311))=UPPER(I1311),I1311,""))</f>
        <v>Office</v>
      </c>
      <c r="K1311" s="1" t="str">
        <f>IF(Raw!F1311="","",Raw!F1311)</f>
        <v>sale</v>
      </c>
      <c r="L1311" s="1" t="str">
        <f>IF(LEFT(TRIM(Raw!G1311),2)="-$","-"&amp;MID(TRIM(Raw!G1311),3,99),IF(LEFT(TRIM(Raw!G1311),1)="$",MID(TRIM(Raw!G1311),2,99),TRIM(Raw!G1311)))</f>
        <v>29.88</v>
      </c>
      <c r="M1311" s="1">
        <f t="shared" si="163"/>
        <v>29.88</v>
      </c>
      <c r="N1311" s="10">
        <f t="shared" si="164"/>
        <v>2988</v>
      </c>
      <c r="O1311" s="1" t="b">
        <f>IFERROR(IF(ISNUMBER(Raw!G1311),TRUE,OR(EXACT(L1311,TEXT(M1311,"0.00")),EXACT(L1311,TEXT(M1311,"#,##0.00")))),FALSE)</f>
        <v>1</v>
      </c>
      <c r="P1311" s="1" t="str">
        <f>LEN(IF(Raw!A1311="","",Raw!A1311))&amp;":"&amp;IF(Raw!A1311="","",Raw!A1311)&amp;"|"&amp;LEN(IF(Raw!B1311="","",Raw!B1311))&amp;":"&amp;IF(Raw!B1311="","",Raw!B1311)&amp;"|"&amp;LEN(IF(Raw!C1311="","",Raw!C1311))&amp;":"&amp;IF(Raw!C1311="","",Raw!C1311)&amp;"|"&amp;LEN(IF(Raw!D1311="","",Raw!D1311))&amp;":"&amp;IF(Raw!D1311="","",Raw!D1311)&amp;"|"&amp;LEN(IF(Raw!E1311="","",Raw!E1311))&amp;":"&amp;IF(Raw!E1311="","",Raw!E1311)&amp;"|"&amp;LEN(IF(Raw!F1311="","",Raw!F1311))&amp;":"&amp;IF(Raw!F1311="","",Raw!F1311)&amp;"|"&amp;LEN(IF(Raw!G1311="","",Raw!G1311))&amp;":"&amp;IF(Raw!G1311="","",Raw!G1311)</f>
        <v>6:L01305|6:T00653|10:2026-03-06|3:P-O|10:  office  |4:sale|5:29.88</v>
      </c>
      <c r="Q1311" s="1">
        <f>1</f>
        <v>1</v>
      </c>
      <c r="R1311" s="1" t="b">
        <f>FALSE</f>
        <v>0</v>
      </c>
      <c r="S1311" s="1">
        <f>1</f>
        <v>1</v>
      </c>
      <c r="T1311" s="1" t="str">
        <f>IF(AND(Raw!A1311="",Raw!B1311="",Raw!C1311="",Raw!D1311="",Raw!E1311="",Raw!F1311="",Raw!G1311=""),"UNUSED",IF(A1311="","missing line ID",IF(B1311="","missing transaction ID",IF(G1311="",IF(C1311="","missing date","invalid date"),IF(I1311="","unknown product",IF(J1311="","conflicting category",IF(NOT(OR(EXACT(K1311,"sale"),EXACT(K1311,"refund"))),"unknown event",IF(OR(N1311="",NOT(O1311)),"invalid amount",IF(OR(AND(K1311="sale",N1311&lt;=0),AND(K1311="refund",N1311&gt;=0)),"invalid sign","")))))))))</f>
        <v/>
      </c>
      <c r="U1311" s="1" t="str">
        <f t="shared" si="165"/>
        <v>INCLUDED</v>
      </c>
      <c r="V1311" s="1" t="str">
        <f t="shared" si="166"/>
        <v>2026-03</v>
      </c>
      <c r="W1311" s="1">
        <f>IF(AND(U1311="INCLUDED",X1311&gt;0,EXACT(A1311,'AI output'!A1311)),1,0)</f>
        <v>1</v>
      </c>
      <c r="X1311" s="1">
        <f>1311</f>
        <v>1311</v>
      </c>
      <c r="Y1311" s="1">
        <f>IF(AND(U1311="INCLUDED",W1311=1),--(NOT(EXACT(A1311,'AI output'!A1311)))+--(NOT(EXACT(B1311,'AI output'!B1311)))+--(NOT(EXACT(TEXT(G1311,"yyyy-mm-dd"),'AI output'!C1311)))+--(NOT(EXACT(H1311,'AI output'!D1311)))+--(NOT(EXACT(J1311,'AI output'!E1311)))+--(NOT(EXACT(K1311,'AI output'!F1311)))+--(N1311&lt;&gt;'AI output'!L1311)+--(NOT('AI output'!M1311)),0)</f>
        <v>0</v>
      </c>
      <c r="Z1311" s="1">
        <f t="shared" si="167"/>
        <v>0</v>
      </c>
      <c r="AA1311" s="1">
        <f>--EXACT(A1311,"L01305")</f>
        <v>1</v>
      </c>
    </row>
    <row r="1312" spans="1:27" ht="18.95" customHeight="1">
      <c r="A1312" s="1" t="str">
        <f>IF(Raw!A1312="","",Raw!A1312)</f>
        <v>L01306</v>
      </c>
      <c r="B1312" s="1" t="str">
        <f>IF(Raw!B1312="","",Raw!B1312)</f>
        <v>T00653</v>
      </c>
      <c r="C1312" s="1" t="str">
        <f>IF(Raw!C1312="","",Raw!C1312)</f>
        <v>2026-03-06</v>
      </c>
      <c r="D1312" s="1">
        <f t="shared" si="160"/>
        <v>2026</v>
      </c>
      <c r="E1312" s="1">
        <f>IFERROR(IF(AND(LEN(C1312)=10,MID(C1312,5,1)="-",MID(C1312,8,1)="-"),VALUE(MID(C1312,6,2)),IF(AND(LEN(C1312)=11,MID(C1312,3,1)="-",MID(C1312,7,1)="-"),MATCH(UPPER(MID(C1312,4,3)),Guide!$D$7:$D$18,0),0)),0)</f>
        <v>3</v>
      </c>
      <c r="F1312" s="1">
        <f t="shared" si="161"/>
        <v>6</v>
      </c>
      <c r="G1312" s="9">
        <f t="shared" si="162"/>
        <v>46087</v>
      </c>
      <c r="H1312" s="1" t="str">
        <f>IF(Raw!D1312="","",Raw!D1312)</f>
        <v>P-A</v>
      </c>
      <c r="I1312" s="1" t="str">
        <f>IFERROR(IF(EXACT(H1312,INDEX(Guide!$A$7:$A$9,MATCH(SUBSTITUTE(SUBSTITUTE(SUBSTITUTE(H1312,"~","~~"),"*","~*"),"?","~?"),Guide!$A$7:$A$9,0))),INDEX(Guide!$B$7:$B$9,MATCH(SUBSTITUTE(SUBSTITUTE(SUBSTITUTE(H1312,"~","~~"),"*","~*"),"?","~?"),Guide!$A$7:$A$9,0)),""),"")</f>
        <v>Accessories</v>
      </c>
      <c r="J1312" s="1" t="str">
        <f>IF(TRIM(Raw!E1312)="",I1312,IF(UPPER(TRIM(Raw!E1312))=UPPER(I1312),I1312,""))</f>
        <v>Accessories</v>
      </c>
      <c r="K1312" s="1" t="str">
        <f>IF(Raw!F1312="","",Raw!F1312)</f>
        <v>sale</v>
      </c>
      <c r="L1312" s="1" t="str">
        <f>IF(LEFT(TRIM(Raw!G1312),2)="-$","-"&amp;MID(TRIM(Raw!G1312),3,99),IF(LEFT(TRIM(Raw!G1312),1)="$",MID(TRIM(Raw!G1312),2,99),TRIM(Raw!G1312)))</f>
        <v>7.84</v>
      </c>
      <c r="M1312" s="1">
        <f t="shared" si="163"/>
        <v>7.84</v>
      </c>
      <c r="N1312" s="10">
        <f t="shared" si="164"/>
        <v>784</v>
      </c>
      <c r="O1312" s="1" t="b">
        <f>IFERROR(IF(ISNUMBER(Raw!G1312),TRUE,OR(EXACT(L1312,TEXT(M1312,"0.00")),EXACT(L1312,TEXT(M1312,"#,##0.00")))),FALSE)</f>
        <v>1</v>
      </c>
      <c r="P1312" s="1" t="str">
        <f>LEN(IF(Raw!A1312="","",Raw!A1312))&amp;":"&amp;IF(Raw!A1312="","",Raw!A1312)&amp;"|"&amp;LEN(IF(Raw!B1312="","",Raw!B1312))&amp;":"&amp;IF(Raw!B1312="","",Raw!B1312)&amp;"|"&amp;LEN(IF(Raw!C1312="","",Raw!C1312))&amp;":"&amp;IF(Raw!C1312="","",Raw!C1312)&amp;"|"&amp;LEN(IF(Raw!D1312="","",Raw!D1312))&amp;":"&amp;IF(Raw!D1312="","",Raw!D1312)&amp;"|"&amp;LEN(IF(Raw!E1312="","",Raw!E1312))&amp;":"&amp;IF(Raw!E1312="","",Raw!E1312)&amp;"|"&amp;LEN(IF(Raw!F1312="","",Raw!F1312))&amp;":"&amp;IF(Raw!F1312="","",Raw!F1312)&amp;"|"&amp;LEN(IF(Raw!G1312="","",Raw!G1312))&amp;":"&amp;IF(Raw!G1312="","",Raw!G1312)</f>
        <v>6:L01306|6:T00653|10:2026-03-06|3:P-A|11:Accessories|4:sale|4:7.84</v>
      </c>
      <c r="Q1312" s="1">
        <f>1</f>
        <v>1</v>
      </c>
      <c r="R1312" s="1" t="b">
        <f>FALSE</f>
        <v>0</v>
      </c>
      <c r="S1312" s="1">
        <f>1</f>
        <v>1</v>
      </c>
      <c r="T1312" s="1" t="str">
        <f>IF(AND(Raw!A1312="",Raw!B1312="",Raw!C1312="",Raw!D1312="",Raw!E1312="",Raw!F1312="",Raw!G1312=""),"UNUSED",IF(A1312="","missing line ID",IF(B1312="","missing transaction ID",IF(G1312="",IF(C1312="","missing date","invalid date"),IF(I1312="","unknown product",IF(J1312="","conflicting category",IF(NOT(OR(EXACT(K1312,"sale"),EXACT(K1312,"refund"))),"unknown event",IF(OR(N1312="",NOT(O1312)),"invalid amount",IF(OR(AND(K1312="sale",N1312&lt;=0),AND(K1312="refund",N1312&gt;=0)),"invalid sign","")))))))))</f>
        <v/>
      </c>
      <c r="U1312" s="1" t="str">
        <f t="shared" si="165"/>
        <v>INCLUDED</v>
      </c>
      <c r="V1312" s="1" t="str">
        <f t="shared" si="166"/>
        <v>2026-03</v>
      </c>
      <c r="W1312" s="1">
        <f>IF(AND(U1312="INCLUDED",X1312&gt;0,EXACT(A1312,'AI output'!A1312)),1,0)</f>
        <v>1</v>
      </c>
      <c r="X1312" s="1">
        <f>1312</f>
        <v>1312</v>
      </c>
      <c r="Y1312" s="1">
        <f>IF(AND(U1312="INCLUDED",W1312=1),--(NOT(EXACT(A1312,'AI output'!A1312)))+--(NOT(EXACT(B1312,'AI output'!B1312)))+--(NOT(EXACT(TEXT(G1312,"yyyy-mm-dd"),'AI output'!C1312)))+--(NOT(EXACT(H1312,'AI output'!D1312)))+--(NOT(EXACT(J1312,'AI output'!E1312)))+--(NOT(EXACT(K1312,'AI output'!F1312)))+--(N1312&lt;&gt;'AI output'!L1312)+--(NOT('AI output'!M1312)),0)</f>
        <v>0</v>
      </c>
      <c r="Z1312" s="1">
        <f t="shared" si="167"/>
        <v>0</v>
      </c>
      <c r="AA1312" s="1">
        <f>--EXACT(A1312,"L01306")</f>
        <v>1</v>
      </c>
    </row>
    <row r="1313" spans="1:27" ht="18.95" customHeight="1">
      <c r="A1313" s="1" t="str">
        <f>IF(Raw!A1313="","",Raw!A1313)</f>
        <v>L01307</v>
      </c>
      <c r="B1313" s="1" t="str">
        <f>IF(Raw!B1313="","",Raw!B1313)</f>
        <v>T00654</v>
      </c>
      <c r="C1313" s="1" t="str">
        <f>IF(Raw!C1313="","",Raw!C1313)</f>
        <v>2026-03-13</v>
      </c>
      <c r="D1313" s="1">
        <f t="shared" si="160"/>
        <v>2026</v>
      </c>
      <c r="E1313" s="1">
        <f>IFERROR(IF(AND(LEN(C1313)=10,MID(C1313,5,1)="-",MID(C1313,8,1)="-"),VALUE(MID(C1313,6,2)),IF(AND(LEN(C1313)=11,MID(C1313,3,1)="-",MID(C1313,7,1)="-"),MATCH(UPPER(MID(C1313,4,3)),Guide!$D$7:$D$18,0),0)),0)</f>
        <v>3</v>
      </c>
      <c r="F1313" s="1">
        <f t="shared" si="161"/>
        <v>13</v>
      </c>
      <c r="G1313" s="9">
        <f t="shared" si="162"/>
        <v>46094</v>
      </c>
      <c r="H1313" s="1" t="str">
        <f>IF(Raw!D1313="","",Raw!D1313)</f>
        <v>P-H</v>
      </c>
      <c r="I1313" s="1" t="str">
        <f>IFERROR(IF(EXACT(H1313,INDEX(Guide!$A$7:$A$9,MATCH(SUBSTITUTE(SUBSTITUTE(SUBSTITUTE(H1313,"~","~~"),"*","~*"),"?","~?"),Guide!$A$7:$A$9,0))),INDEX(Guide!$B$7:$B$9,MATCH(SUBSTITUTE(SUBSTITUTE(SUBSTITUTE(H1313,"~","~~"),"*","~*"),"?","~?"),Guide!$A$7:$A$9,0)),""),"")</f>
        <v>Home</v>
      </c>
      <c r="J1313" s="1" t="str">
        <f>IF(TRIM(Raw!E1313)="",I1313,IF(UPPER(TRIM(Raw!E1313))=UPPER(I1313),I1313,""))</f>
        <v>Home</v>
      </c>
      <c r="K1313" s="1" t="str">
        <f>IF(Raw!F1313="","",Raw!F1313)</f>
        <v>sale</v>
      </c>
      <c r="L1313" s="1" t="str">
        <f>IF(LEFT(TRIM(Raw!G1313),2)="-$","-"&amp;MID(TRIM(Raw!G1313),3,99),IF(LEFT(TRIM(Raw!G1313),1)="$",MID(TRIM(Raw!G1313),2,99),TRIM(Raw!G1313)))</f>
        <v>24.63</v>
      </c>
      <c r="M1313" s="1">
        <f t="shared" si="163"/>
        <v>24.63</v>
      </c>
      <c r="N1313" s="10">
        <f t="shared" si="164"/>
        <v>2463</v>
      </c>
      <c r="O1313" s="1" t="b">
        <f>IFERROR(IF(ISNUMBER(Raw!G1313),TRUE,OR(EXACT(L1313,TEXT(M1313,"0.00")),EXACT(L1313,TEXT(M1313,"#,##0.00")))),FALSE)</f>
        <v>1</v>
      </c>
      <c r="P1313" s="1" t="str">
        <f>LEN(IF(Raw!A1313="","",Raw!A1313))&amp;":"&amp;IF(Raw!A1313="","",Raw!A1313)&amp;"|"&amp;LEN(IF(Raw!B1313="","",Raw!B1313))&amp;":"&amp;IF(Raw!B1313="","",Raw!B1313)&amp;"|"&amp;LEN(IF(Raw!C1313="","",Raw!C1313))&amp;":"&amp;IF(Raw!C1313="","",Raw!C1313)&amp;"|"&amp;LEN(IF(Raw!D1313="","",Raw!D1313))&amp;":"&amp;IF(Raw!D1313="","",Raw!D1313)&amp;"|"&amp;LEN(IF(Raw!E1313="","",Raw!E1313))&amp;":"&amp;IF(Raw!E1313="","",Raw!E1313)&amp;"|"&amp;LEN(IF(Raw!F1313="","",Raw!F1313))&amp;":"&amp;IF(Raw!F1313="","",Raw!F1313)&amp;"|"&amp;LEN(IF(Raw!G1313="","",Raw!G1313))&amp;":"&amp;IF(Raw!G1313="","",Raw!G1313)</f>
        <v>6:L01307|6:T00654|10:2026-03-13|3:P-H|4:Home|4:sale|5:24.63</v>
      </c>
      <c r="Q1313" s="1">
        <f>1</f>
        <v>1</v>
      </c>
      <c r="R1313" s="1" t="b">
        <f>FALSE</f>
        <v>0</v>
      </c>
      <c r="S1313" s="1">
        <f>1</f>
        <v>1</v>
      </c>
      <c r="T1313" s="1" t="str">
        <f>IF(AND(Raw!A1313="",Raw!B1313="",Raw!C1313="",Raw!D1313="",Raw!E1313="",Raw!F1313="",Raw!G1313=""),"UNUSED",IF(A1313="","missing line ID",IF(B1313="","missing transaction ID",IF(G1313="",IF(C1313="","missing date","invalid date"),IF(I1313="","unknown product",IF(J1313="","conflicting category",IF(NOT(OR(EXACT(K1313,"sale"),EXACT(K1313,"refund"))),"unknown event",IF(OR(N1313="",NOT(O1313)),"invalid amount",IF(OR(AND(K1313="sale",N1313&lt;=0),AND(K1313="refund",N1313&gt;=0)),"invalid sign","")))))))))</f>
        <v/>
      </c>
      <c r="U1313" s="1" t="str">
        <f t="shared" si="165"/>
        <v>INCLUDED</v>
      </c>
      <c r="V1313" s="1" t="str">
        <f t="shared" si="166"/>
        <v>2026-03</v>
      </c>
      <c r="W1313" s="1">
        <f>IF(AND(U1313="INCLUDED",X1313&gt;0,EXACT(A1313,'AI output'!A1313)),1,0)</f>
        <v>1</v>
      </c>
      <c r="X1313" s="1">
        <f>1313</f>
        <v>1313</v>
      </c>
      <c r="Y1313" s="1">
        <f>IF(AND(U1313="INCLUDED",W1313=1),--(NOT(EXACT(A1313,'AI output'!A1313)))+--(NOT(EXACT(B1313,'AI output'!B1313)))+--(NOT(EXACT(TEXT(G1313,"yyyy-mm-dd"),'AI output'!C1313)))+--(NOT(EXACT(H1313,'AI output'!D1313)))+--(NOT(EXACT(J1313,'AI output'!E1313)))+--(NOT(EXACT(K1313,'AI output'!F1313)))+--(N1313&lt;&gt;'AI output'!L1313)+--(NOT('AI output'!M1313)),0)</f>
        <v>0</v>
      </c>
      <c r="Z1313" s="1">
        <f t="shared" si="167"/>
        <v>0</v>
      </c>
      <c r="AA1313" s="1">
        <f>--EXACT(A1313,"L01307")</f>
        <v>1</v>
      </c>
    </row>
    <row r="1314" spans="1:27" ht="18.95" customHeight="1">
      <c r="A1314" s="1" t="str">
        <f>IF(Raw!A1314="","",Raw!A1314)</f>
        <v>L01308</v>
      </c>
      <c r="B1314" s="1" t="str">
        <f>IF(Raw!B1314="","",Raw!B1314)</f>
        <v>T00654</v>
      </c>
      <c r="C1314" s="1" t="str">
        <f>IF(Raw!C1314="","",Raw!C1314)</f>
        <v>2026-03-13</v>
      </c>
      <c r="D1314" s="1">
        <f t="shared" si="160"/>
        <v>2026</v>
      </c>
      <c r="E1314" s="1">
        <f>IFERROR(IF(AND(LEN(C1314)=10,MID(C1314,5,1)="-",MID(C1314,8,1)="-"),VALUE(MID(C1314,6,2)),IF(AND(LEN(C1314)=11,MID(C1314,3,1)="-",MID(C1314,7,1)="-"),MATCH(UPPER(MID(C1314,4,3)),Guide!$D$7:$D$18,0),0)),0)</f>
        <v>3</v>
      </c>
      <c r="F1314" s="1">
        <f t="shared" si="161"/>
        <v>13</v>
      </c>
      <c r="G1314" s="9">
        <f t="shared" si="162"/>
        <v>46094</v>
      </c>
      <c r="H1314" s="1" t="str">
        <f>IF(Raw!D1314="","",Raw!D1314)</f>
        <v>P-O</v>
      </c>
      <c r="I1314" s="1" t="str">
        <f>IFERROR(IF(EXACT(H1314,INDEX(Guide!$A$7:$A$9,MATCH(SUBSTITUTE(SUBSTITUTE(SUBSTITUTE(H1314,"~","~~"),"*","~*"),"?","~?"),Guide!$A$7:$A$9,0))),INDEX(Guide!$B$7:$B$9,MATCH(SUBSTITUTE(SUBSTITUTE(SUBSTITUTE(H1314,"~","~~"),"*","~*"),"?","~?"),Guide!$A$7:$A$9,0)),""),"")</f>
        <v>Office</v>
      </c>
      <c r="J1314" s="1" t="str">
        <f>IF(TRIM(Raw!E1314)="",I1314,IF(UPPER(TRIM(Raw!E1314))=UPPER(I1314),I1314,""))</f>
        <v>Office</v>
      </c>
      <c r="K1314" s="1" t="str">
        <f>IF(Raw!F1314="","",Raw!F1314)</f>
        <v>sale</v>
      </c>
      <c r="L1314" s="1" t="str">
        <f>IF(LEFT(TRIM(Raw!G1314),2)="-$","-"&amp;MID(TRIM(Raw!G1314),3,99),IF(LEFT(TRIM(Raw!G1314),1)="$",MID(TRIM(Raw!G1314),2,99),TRIM(Raw!G1314)))</f>
        <v>42.90</v>
      </c>
      <c r="M1314" s="1">
        <f t="shared" si="163"/>
        <v>42.9</v>
      </c>
      <c r="N1314" s="10">
        <f t="shared" si="164"/>
        <v>4290</v>
      </c>
      <c r="O1314" s="1" t="b">
        <f>IFERROR(IF(ISNUMBER(Raw!G1314),TRUE,OR(EXACT(L1314,TEXT(M1314,"0.00")),EXACT(L1314,TEXT(M1314,"#,##0.00")))),FALSE)</f>
        <v>1</v>
      </c>
      <c r="P1314" s="1" t="str">
        <f>LEN(IF(Raw!A1314="","",Raw!A1314))&amp;":"&amp;IF(Raw!A1314="","",Raw!A1314)&amp;"|"&amp;LEN(IF(Raw!B1314="","",Raw!B1314))&amp;":"&amp;IF(Raw!B1314="","",Raw!B1314)&amp;"|"&amp;LEN(IF(Raw!C1314="","",Raw!C1314))&amp;":"&amp;IF(Raw!C1314="","",Raw!C1314)&amp;"|"&amp;LEN(IF(Raw!D1314="","",Raw!D1314))&amp;":"&amp;IF(Raw!D1314="","",Raw!D1314)&amp;"|"&amp;LEN(IF(Raw!E1314="","",Raw!E1314))&amp;":"&amp;IF(Raw!E1314="","",Raw!E1314)&amp;"|"&amp;LEN(IF(Raw!F1314="","",Raw!F1314))&amp;":"&amp;IF(Raw!F1314="","",Raw!F1314)&amp;"|"&amp;LEN(IF(Raw!G1314="","",Raw!G1314))&amp;":"&amp;IF(Raw!G1314="","",Raw!G1314)</f>
        <v>6:L01308|6:T00654|10:2026-03-13|3:P-O|6:Office|4:sale|5:42.90</v>
      </c>
      <c r="Q1314" s="1">
        <f>1</f>
        <v>1</v>
      </c>
      <c r="R1314" s="1" t="b">
        <f>FALSE</f>
        <v>0</v>
      </c>
      <c r="S1314" s="1">
        <f>1</f>
        <v>1</v>
      </c>
      <c r="T1314" s="1" t="str">
        <f>IF(AND(Raw!A1314="",Raw!B1314="",Raw!C1314="",Raw!D1314="",Raw!E1314="",Raw!F1314="",Raw!G1314=""),"UNUSED",IF(A1314="","missing line ID",IF(B1314="","missing transaction ID",IF(G1314="",IF(C1314="","missing date","invalid date"),IF(I1314="","unknown product",IF(J1314="","conflicting category",IF(NOT(OR(EXACT(K1314,"sale"),EXACT(K1314,"refund"))),"unknown event",IF(OR(N1314="",NOT(O1314)),"invalid amount",IF(OR(AND(K1314="sale",N1314&lt;=0),AND(K1314="refund",N1314&gt;=0)),"invalid sign","")))))))))</f>
        <v/>
      </c>
      <c r="U1314" s="1" t="str">
        <f t="shared" si="165"/>
        <v>INCLUDED</v>
      </c>
      <c r="V1314" s="1" t="str">
        <f t="shared" si="166"/>
        <v>2026-03</v>
      </c>
      <c r="W1314" s="1">
        <f>IF(AND(U1314="INCLUDED",X1314&gt;0,EXACT(A1314,'AI output'!A1314)),1,0)</f>
        <v>1</v>
      </c>
      <c r="X1314" s="1">
        <f>1314</f>
        <v>1314</v>
      </c>
      <c r="Y1314" s="1">
        <f>IF(AND(U1314="INCLUDED",W1314=1),--(NOT(EXACT(A1314,'AI output'!A1314)))+--(NOT(EXACT(B1314,'AI output'!B1314)))+--(NOT(EXACT(TEXT(G1314,"yyyy-mm-dd"),'AI output'!C1314)))+--(NOT(EXACT(H1314,'AI output'!D1314)))+--(NOT(EXACT(J1314,'AI output'!E1314)))+--(NOT(EXACT(K1314,'AI output'!F1314)))+--(N1314&lt;&gt;'AI output'!L1314)+--(NOT('AI output'!M1314)),0)</f>
        <v>0</v>
      </c>
      <c r="Z1314" s="1">
        <f t="shared" si="167"/>
        <v>0</v>
      </c>
      <c r="AA1314" s="1">
        <f>--EXACT(A1314,"L01308")</f>
        <v>1</v>
      </c>
    </row>
    <row r="1315" spans="1:27" ht="18.95" customHeight="1">
      <c r="A1315" s="1" t="str">
        <f>IF(Raw!A1315="","",Raw!A1315)</f>
        <v>L01309</v>
      </c>
      <c r="B1315" s="1" t="str">
        <f>IF(Raw!B1315="","",Raw!B1315)</f>
        <v>T00655</v>
      </c>
      <c r="C1315" s="1" t="str">
        <f>IF(Raw!C1315="","",Raw!C1315)</f>
        <v>2026-03-20</v>
      </c>
      <c r="D1315" s="1">
        <f t="shared" si="160"/>
        <v>2026</v>
      </c>
      <c r="E1315" s="1">
        <f>IFERROR(IF(AND(LEN(C1315)=10,MID(C1315,5,1)="-",MID(C1315,8,1)="-"),VALUE(MID(C1315,6,2)),IF(AND(LEN(C1315)=11,MID(C1315,3,1)="-",MID(C1315,7,1)="-"),MATCH(UPPER(MID(C1315,4,3)),Guide!$D$7:$D$18,0),0)),0)</f>
        <v>3</v>
      </c>
      <c r="F1315" s="1">
        <f t="shared" si="161"/>
        <v>20</v>
      </c>
      <c r="G1315" s="9">
        <f t="shared" si="162"/>
        <v>46101</v>
      </c>
      <c r="H1315" s="1" t="str">
        <f>IF(Raw!D1315="","",Raw!D1315)</f>
        <v>P-A</v>
      </c>
      <c r="I1315" s="1" t="str">
        <f>IFERROR(IF(EXACT(H1315,INDEX(Guide!$A$7:$A$9,MATCH(SUBSTITUTE(SUBSTITUTE(SUBSTITUTE(H1315,"~","~~"),"*","~*"),"?","~?"),Guide!$A$7:$A$9,0))),INDEX(Guide!$B$7:$B$9,MATCH(SUBSTITUTE(SUBSTITUTE(SUBSTITUTE(H1315,"~","~~"),"*","~*"),"?","~?"),Guide!$A$7:$A$9,0)),""),"")</f>
        <v>Accessories</v>
      </c>
      <c r="J1315" s="1" t="str">
        <f>IF(TRIM(Raw!E1315)="",I1315,IF(UPPER(TRIM(Raw!E1315))=UPPER(I1315),I1315,""))</f>
        <v>Accessories</v>
      </c>
      <c r="K1315" s="1" t="str">
        <f>IF(Raw!F1315="","",Raw!F1315)</f>
        <v>sale</v>
      </c>
      <c r="L1315" s="1" t="str">
        <f>IF(LEFT(TRIM(Raw!G1315),2)="-$","-"&amp;MID(TRIM(Raw!G1315),3,99),IF(LEFT(TRIM(Raw!G1315),1)="$",MID(TRIM(Raw!G1315),2,99),TRIM(Raw!G1315)))</f>
        <v>17.90</v>
      </c>
      <c r="M1315" s="1">
        <f t="shared" si="163"/>
        <v>17.899999999999999</v>
      </c>
      <c r="N1315" s="10">
        <f t="shared" si="164"/>
        <v>1790</v>
      </c>
      <c r="O1315" s="1" t="b">
        <f>IFERROR(IF(ISNUMBER(Raw!G1315),TRUE,OR(EXACT(L1315,TEXT(M1315,"0.00")),EXACT(L1315,TEXT(M1315,"#,##0.00")))),FALSE)</f>
        <v>1</v>
      </c>
      <c r="P1315" s="1" t="str">
        <f>LEN(IF(Raw!A1315="","",Raw!A1315))&amp;":"&amp;IF(Raw!A1315="","",Raw!A1315)&amp;"|"&amp;LEN(IF(Raw!B1315="","",Raw!B1315))&amp;":"&amp;IF(Raw!B1315="","",Raw!B1315)&amp;"|"&amp;LEN(IF(Raw!C1315="","",Raw!C1315))&amp;":"&amp;IF(Raw!C1315="","",Raw!C1315)&amp;"|"&amp;LEN(IF(Raw!D1315="","",Raw!D1315))&amp;":"&amp;IF(Raw!D1315="","",Raw!D1315)&amp;"|"&amp;LEN(IF(Raw!E1315="","",Raw!E1315))&amp;":"&amp;IF(Raw!E1315="","",Raw!E1315)&amp;"|"&amp;LEN(IF(Raw!F1315="","",Raw!F1315))&amp;":"&amp;IF(Raw!F1315="","",Raw!F1315)&amp;"|"&amp;LEN(IF(Raw!G1315="","",Raw!G1315))&amp;":"&amp;IF(Raw!G1315="","",Raw!G1315)</f>
        <v>6:L01309|6:T00655|10:2026-03-20|3:P-A|11:Accessories|4:sale|5:17.90</v>
      </c>
      <c r="Q1315" s="1">
        <f>1</f>
        <v>1</v>
      </c>
      <c r="R1315" s="1" t="b">
        <f>FALSE</f>
        <v>0</v>
      </c>
      <c r="S1315" s="1">
        <f>1</f>
        <v>1</v>
      </c>
      <c r="T1315" s="1" t="str">
        <f>IF(AND(Raw!A1315="",Raw!B1315="",Raw!C1315="",Raw!D1315="",Raw!E1315="",Raw!F1315="",Raw!G1315=""),"UNUSED",IF(A1315="","missing line ID",IF(B1315="","missing transaction ID",IF(G1315="",IF(C1315="","missing date","invalid date"),IF(I1315="","unknown product",IF(J1315="","conflicting category",IF(NOT(OR(EXACT(K1315,"sale"),EXACT(K1315,"refund"))),"unknown event",IF(OR(N1315="",NOT(O1315)),"invalid amount",IF(OR(AND(K1315="sale",N1315&lt;=0),AND(K1315="refund",N1315&gt;=0)),"invalid sign","")))))))))</f>
        <v/>
      </c>
      <c r="U1315" s="1" t="str">
        <f t="shared" si="165"/>
        <v>INCLUDED</v>
      </c>
      <c r="V1315" s="1" t="str">
        <f t="shared" si="166"/>
        <v>2026-03</v>
      </c>
      <c r="W1315" s="1">
        <f>IF(AND(U1315="INCLUDED",X1315&gt;0,EXACT(A1315,'AI output'!A1315)),1,0)</f>
        <v>1</v>
      </c>
      <c r="X1315" s="1">
        <f>1315</f>
        <v>1315</v>
      </c>
      <c r="Y1315" s="1">
        <f>IF(AND(U1315="INCLUDED",W1315=1),--(NOT(EXACT(A1315,'AI output'!A1315)))+--(NOT(EXACT(B1315,'AI output'!B1315)))+--(NOT(EXACT(TEXT(G1315,"yyyy-mm-dd"),'AI output'!C1315)))+--(NOT(EXACT(H1315,'AI output'!D1315)))+--(NOT(EXACT(J1315,'AI output'!E1315)))+--(NOT(EXACT(K1315,'AI output'!F1315)))+--(N1315&lt;&gt;'AI output'!L1315)+--(NOT('AI output'!M1315)),0)</f>
        <v>0</v>
      </c>
      <c r="Z1315" s="1">
        <f t="shared" si="167"/>
        <v>0</v>
      </c>
      <c r="AA1315" s="1">
        <f>--EXACT(A1315,"L01309")</f>
        <v>1</v>
      </c>
    </row>
    <row r="1316" spans="1:27" ht="18.95" customHeight="1">
      <c r="A1316" s="1" t="str">
        <f>IF(Raw!A1316="","",Raw!A1316)</f>
        <v>L01310</v>
      </c>
      <c r="B1316" s="1" t="str">
        <f>IF(Raw!B1316="","",Raw!B1316)</f>
        <v>T00655</v>
      </c>
      <c r="C1316" s="1" t="str">
        <f>IF(Raw!C1316="","",Raw!C1316)</f>
        <v>2026-03-20</v>
      </c>
      <c r="D1316" s="1">
        <f t="shared" si="160"/>
        <v>2026</v>
      </c>
      <c r="E1316" s="1">
        <f>IFERROR(IF(AND(LEN(C1316)=10,MID(C1316,5,1)="-",MID(C1316,8,1)="-"),VALUE(MID(C1316,6,2)),IF(AND(LEN(C1316)=11,MID(C1316,3,1)="-",MID(C1316,7,1)="-"),MATCH(UPPER(MID(C1316,4,3)),Guide!$D$7:$D$18,0),0)),0)</f>
        <v>3</v>
      </c>
      <c r="F1316" s="1">
        <f t="shared" si="161"/>
        <v>20</v>
      </c>
      <c r="G1316" s="9">
        <f t="shared" si="162"/>
        <v>46101</v>
      </c>
      <c r="H1316" s="1" t="str">
        <f>IF(Raw!D1316="","",Raw!D1316)</f>
        <v>P-H</v>
      </c>
      <c r="I1316" s="1" t="str">
        <f>IFERROR(IF(EXACT(H1316,INDEX(Guide!$A$7:$A$9,MATCH(SUBSTITUTE(SUBSTITUTE(SUBSTITUTE(H1316,"~","~~"),"*","~*"),"?","~?"),Guide!$A$7:$A$9,0))),INDEX(Guide!$B$7:$B$9,MATCH(SUBSTITUTE(SUBSTITUTE(SUBSTITUTE(H1316,"~","~~"),"*","~*"),"?","~?"),Guide!$A$7:$A$9,0)),""),"")</f>
        <v>Home</v>
      </c>
      <c r="J1316" s="1" t="str">
        <f>IF(TRIM(Raw!E1316)="",I1316,IF(UPPER(TRIM(Raw!E1316))=UPPER(I1316),I1316,""))</f>
        <v>Home</v>
      </c>
      <c r="K1316" s="1" t="str">
        <f>IF(Raw!F1316="","",Raw!F1316)</f>
        <v>sale</v>
      </c>
      <c r="L1316" s="1" t="str">
        <f>IF(LEFT(TRIM(Raw!G1316),2)="-$","-"&amp;MID(TRIM(Raw!G1316),3,99),IF(LEFT(TRIM(Raw!G1316),1)="$",MID(TRIM(Raw!G1316),2,99),TRIM(Raw!G1316)))</f>
        <v>37.28</v>
      </c>
      <c r="M1316" s="1">
        <f t="shared" si="163"/>
        <v>37.28</v>
      </c>
      <c r="N1316" s="10">
        <f t="shared" si="164"/>
        <v>3728</v>
      </c>
      <c r="O1316" s="1" t="b">
        <f>IFERROR(IF(ISNUMBER(Raw!G1316),TRUE,OR(EXACT(L1316,TEXT(M1316,"0.00")),EXACT(L1316,TEXT(M1316,"#,##0.00")))),FALSE)</f>
        <v>1</v>
      </c>
      <c r="P1316" s="1" t="str">
        <f>LEN(IF(Raw!A1316="","",Raw!A1316))&amp;":"&amp;IF(Raw!A1316="","",Raw!A1316)&amp;"|"&amp;LEN(IF(Raw!B1316="","",Raw!B1316))&amp;":"&amp;IF(Raw!B1316="","",Raw!B1316)&amp;"|"&amp;LEN(IF(Raw!C1316="","",Raw!C1316))&amp;":"&amp;IF(Raw!C1316="","",Raw!C1316)&amp;"|"&amp;LEN(IF(Raw!D1316="","",Raw!D1316))&amp;":"&amp;IF(Raw!D1316="","",Raw!D1316)&amp;"|"&amp;LEN(IF(Raw!E1316="","",Raw!E1316))&amp;":"&amp;IF(Raw!E1316="","",Raw!E1316)&amp;"|"&amp;LEN(IF(Raw!F1316="","",Raw!F1316))&amp;":"&amp;IF(Raw!F1316="","",Raw!F1316)&amp;"|"&amp;LEN(IF(Raw!G1316="","",Raw!G1316))&amp;":"&amp;IF(Raw!G1316="","",Raw!G1316)</f>
        <v>6:L01310|6:T00655|10:2026-03-20|3:P-H|4:Home|4:sale|5:37.28</v>
      </c>
      <c r="Q1316" s="1">
        <f>1</f>
        <v>1</v>
      </c>
      <c r="R1316" s="1" t="b">
        <f>FALSE</f>
        <v>0</v>
      </c>
      <c r="S1316" s="1">
        <f>1</f>
        <v>1</v>
      </c>
      <c r="T1316" s="1" t="str">
        <f>IF(AND(Raw!A1316="",Raw!B1316="",Raw!C1316="",Raw!D1316="",Raw!E1316="",Raw!F1316="",Raw!G1316=""),"UNUSED",IF(A1316="","missing line ID",IF(B1316="","missing transaction ID",IF(G1316="",IF(C1316="","missing date","invalid date"),IF(I1316="","unknown product",IF(J1316="","conflicting category",IF(NOT(OR(EXACT(K1316,"sale"),EXACT(K1316,"refund"))),"unknown event",IF(OR(N1316="",NOT(O1316)),"invalid amount",IF(OR(AND(K1316="sale",N1316&lt;=0),AND(K1316="refund",N1316&gt;=0)),"invalid sign","")))))))))</f>
        <v/>
      </c>
      <c r="U1316" s="1" t="str">
        <f t="shared" si="165"/>
        <v>INCLUDED</v>
      </c>
      <c r="V1316" s="1" t="str">
        <f t="shared" si="166"/>
        <v>2026-03</v>
      </c>
      <c r="W1316" s="1">
        <f>IF(AND(U1316="INCLUDED",X1316&gt;0,EXACT(A1316,'AI output'!A1316)),1,0)</f>
        <v>1</v>
      </c>
      <c r="X1316" s="1">
        <f>1316</f>
        <v>1316</v>
      </c>
      <c r="Y1316" s="1">
        <f>IF(AND(U1316="INCLUDED",W1316=1),--(NOT(EXACT(A1316,'AI output'!A1316)))+--(NOT(EXACT(B1316,'AI output'!B1316)))+--(NOT(EXACT(TEXT(G1316,"yyyy-mm-dd"),'AI output'!C1316)))+--(NOT(EXACT(H1316,'AI output'!D1316)))+--(NOT(EXACT(J1316,'AI output'!E1316)))+--(NOT(EXACT(K1316,'AI output'!F1316)))+--(N1316&lt;&gt;'AI output'!L1316)+--(NOT('AI output'!M1316)),0)</f>
        <v>0</v>
      </c>
      <c r="Z1316" s="1">
        <f t="shared" si="167"/>
        <v>0</v>
      </c>
      <c r="AA1316" s="1">
        <f>--EXACT(A1316,"L01310")</f>
        <v>1</v>
      </c>
    </row>
    <row r="1317" spans="1:27" ht="18.95" customHeight="1">
      <c r="A1317" s="1" t="str">
        <f>IF(Raw!A1317="","",Raw!A1317)</f>
        <v>L01311</v>
      </c>
      <c r="B1317" s="1" t="str">
        <f>IF(Raw!B1317="","",Raw!B1317)</f>
        <v>T00656</v>
      </c>
      <c r="C1317" s="1" t="str">
        <f>IF(Raw!C1317="","",Raw!C1317)</f>
        <v>2026-03-27</v>
      </c>
      <c r="D1317" s="1">
        <f t="shared" si="160"/>
        <v>2026</v>
      </c>
      <c r="E1317" s="1">
        <f>IFERROR(IF(AND(LEN(C1317)=10,MID(C1317,5,1)="-",MID(C1317,8,1)="-"),VALUE(MID(C1317,6,2)),IF(AND(LEN(C1317)=11,MID(C1317,3,1)="-",MID(C1317,7,1)="-"),MATCH(UPPER(MID(C1317,4,3)),Guide!$D$7:$D$18,0),0)),0)</f>
        <v>3</v>
      </c>
      <c r="F1317" s="1">
        <f t="shared" si="161"/>
        <v>27</v>
      </c>
      <c r="G1317" s="9">
        <f t="shared" si="162"/>
        <v>46108</v>
      </c>
      <c r="H1317" s="1" t="str">
        <f>IF(Raw!D1317="","",Raw!D1317)</f>
        <v>P-O</v>
      </c>
      <c r="I1317" s="1" t="str">
        <f>IFERROR(IF(EXACT(H1317,INDEX(Guide!$A$7:$A$9,MATCH(SUBSTITUTE(SUBSTITUTE(SUBSTITUTE(H1317,"~","~~"),"*","~*"),"?","~?"),Guide!$A$7:$A$9,0))),INDEX(Guide!$B$7:$B$9,MATCH(SUBSTITUTE(SUBSTITUTE(SUBSTITUTE(H1317,"~","~~"),"*","~*"),"?","~?"),Guide!$A$7:$A$9,0)),""),"")</f>
        <v>Office</v>
      </c>
      <c r="J1317" s="1" t="str">
        <f>IF(TRIM(Raw!E1317)="",I1317,IF(UPPER(TRIM(Raw!E1317))=UPPER(I1317),I1317,""))</f>
        <v>Office</v>
      </c>
      <c r="K1317" s="1" t="str">
        <f>IF(Raw!F1317="","",Raw!F1317)</f>
        <v>sale</v>
      </c>
      <c r="L1317" s="1" t="str">
        <f>IF(LEFT(TRIM(Raw!G1317),2)="-$","-"&amp;MID(TRIM(Raw!G1317),3,99),IF(LEFT(TRIM(Raw!G1317),1)="$",MID(TRIM(Raw!G1317),2,99),TRIM(Raw!G1317)))</f>
        <v>9.69</v>
      </c>
      <c r="M1317" s="1">
        <f t="shared" si="163"/>
        <v>9.69</v>
      </c>
      <c r="N1317" s="10">
        <f t="shared" si="164"/>
        <v>969</v>
      </c>
      <c r="O1317" s="1" t="b">
        <f>IFERROR(IF(ISNUMBER(Raw!G1317),TRUE,OR(EXACT(L1317,TEXT(M1317,"0.00")),EXACT(L1317,TEXT(M1317,"#,##0.00")))),FALSE)</f>
        <v>1</v>
      </c>
      <c r="P1317" s="1" t="str">
        <f>LEN(IF(Raw!A1317="","",Raw!A1317))&amp;":"&amp;IF(Raw!A1317="","",Raw!A1317)&amp;"|"&amp;LEN(IF(Raw!B1317="","",Raw!B1317))&amp;":"&amp;IF(Raw!B1317="","",Raw!B1317)&amp;"|"&amp;LEN(IF(Raw!C1317="","",Raw!C1317))&amp;":"&amp;IF(Raw!C1317="","",Raw!C1317)&amp;"|"&amp;LEN(IF(Raw!D1317="","",Raw!D1317))&amp;":"&amp;IF(Raw!D1317="","",Raw!D1317)&amp;"|"&amp;LEN(IF(Raw!E1317="","",Raw!E1317))&amp;":"&amp;IF(Raw!E1317="","",Raw!E1317)&amp;"|"&amp;LEN(IF(Raw!F1317="","",Raw!F1317))&amp;":"&amp;IF(Raw!F1317="","",Raw!F1317)&amp;"|"&amp;LEN(IF(Raw!G1317="","",Raw!G1317))&amp;":"&amp;IF(Raw!G1317="","",Raw!G1317)</f>
        <v>6:L01311|6:T00656|10:2026-03-27|3:P-O|6:Office|4:sale|4:9.69</v>
      </c>
      <c r="Q1317" s="1">
        <f>1</f>
        <v>1</v>
      </c>
      <c r="R1317" s="1" t="b">
        <f>FALSE</f>
        <v>0</v>
      </c>
      <c r="S1317" s="1">
        <f>1</f>
        <v>1</v>
      </c>
      <c r="T1317" s="1" t="str">
        <f>IF(AND(Raw!A1317="",Raw!B1317="",Raw!C1317="",Raw!D1317="",Raw!E1317="",Raw!F1317="",Raw!G1317=""),"UNUSED",IF(A1317="","missing line ID",IF(B1317="","missing transaction ID",IF(G1317="",IF(C1317="","missing date","invalid date"),IF(I1317="","unknown product",IF(J1317="","conflicting category",IF(NOT(OR(EXACT(K1317,"sale"),EXACT(K1317,"refund"))),"unknown event",IF(OR(N1317="",NOT(O1317)),"invalid amount",IF(OR(AND(K1317="sale",N1317&lt;=0),AND(K1317="refund",N1317&gt;=0)),"invalid sign","")))))))))</f>
        <v/>
      </c>
      <c r="U1317" s="1" t="str">
        <f t="shared" si="165"/>
        <v>INCLUDED</v>
      </c>
      <c r="V1317" s="1" t="str">
        <f t="shared" si="166"/>
        <v>2026-03</v>
      </c>
      <c r="W1317" s="1">
        <f>IF(AND(U1317="INCLUDED",X1317&gt;0,EXACT(A1317,'AI output'!A1317)),1,0)</f>
        <v>1</v>
      </c>
      <c r="X1317" s="1">
        <f>1317</f>
        <v>1317</v>
      </c>
      <c r="Y1317" s="1">
        <f>IF(AND(U1317="INCLUDED",W1317=1),--(NOT(EXACT(A1317,'AI output'!A1317)))+--(NOT(EXACT(B1317,'AI output'!B1317)))+--(NOT(EXACT(TEXT(G1317,"yyyy-mm-dd"),'AI output'!C1317)))+--(NOT(EXACT(H1317,'AI output'!D1317)))+--(NOT(EXACT(J1317,'AI output'!E1317)))+--(NOT(EXACT(K1317,'AI output'!F1317)))+--(N1317&lt;&gt;'AI output'!L1317)+--(NOT('AI output'!M1317)),0)</f>
        <v>0</v>
      </c>
      <c r="Z1317" s="1">
        <f t="shared" si="167"/>
        <v>0</v>
      </c>
      <c r="AA1317" s="1">
        <f>--EXACT(A1317,"L01311")</f>
        <v>1</v>
      </c>
    </row>
    <row r="1318" spans="1:27" ht="18.95" customHeight="1">
      <c r="A1318" s="1" t="str">
        <f>IF(Raw!A1318="","",Raw!A1318)</f>
        <v>L01312</v>
      </c>
      <c r="B1318" s="1" t="str">
        <f>IF(Raw!B1318="","",Raw!B1318)</f>
        <v>T00656</v>
      </c>
      <c r="C1318" s="1" t="str">
        <f>IF(Raw!C1318="","",Raw!C1318)</f>
        <v>2026-03-27</v>
      </c>
      <c r="D1318" s="1">
        <f t="shared" si="160"/>
        <v>2026</v>
      </c>
      <c r="E1318" s="1">
        <f>IFERROR(IF(AND(LEN(C1318)=10,MID(C1318,5,1)="-",MID(C1318,8,1)="-"),VALUE(MID(C1318,6,2)),IF(AND(LEN(C1318)=11,MID(C1318,3,1)="-",MID(C1318,7,1)="-"),MATCH(UPPER(MID(C1318,4,3)),Guide!$D$7:$D$18,0),0)),0)</f>
        <v>3</v>
      </c>
      <c r="F1318" s="1">
        <f t="shared" si="161"/>
        <v>27</v>
      </c>
      <c r="G1318" s="9">
        <f t="shared" si="162"/>
        <v>46108</v>
      </c>
      <c r="H1318" s="1" t="str">
        <f>IF(Raw!D1318="","",Raw!D1318)</f>
        <v>P-A</v>
      </c>
      <c r="I1318" s="1" t="str">
        <f>IFERROR(IF(EXACT(H1318,INDEX(Guide!$A$7:$A$9,MATCH(SUBSTITUTE(SUBSTITUTE(SUBSTITUTE(H1318,"~","~~"),"*","~*"),"?","~?"),Guide!$A$7:$A$9,0))),INDEX(Guide!$B$7:$B$9,MATCH(SUBSTITUTE(SUBSTITUTE(SUBSTITUTE(H1318,"~","~~"),"*","~*"),"?","~?"),Guide!$A$7:$A$9,0)),""),"")</f>
        <v>Accessories</v>
      </c>
      <c r="J1318" s="1" t="str">
        <f>IF(TRIM(Raw!E1318)="",I1318,IF(UPPER(TRIM(Raw!E1318))=UPPER(I1318),I1318,""))</f>
        <v>Accessories</v>
      </c>
      <c r="K1318" s="1" t="str">
        <f>IF(Raw!F1318="","",Raw!F1318)</f>
        <v>refund</v>
      </c>
      <c r="L1318" s="1" t="str">
        <f>IF(LEFT(TRIM(Raw!G1318),2)="-$","-"&amp;MID(TRIM(Raw!G1318),3,99),IF(LEFT(TRIM(Raw!G1318),1)="$",MID(TRIM(Raw!G1318),2,99),TRIM(Raw!G1318)))</f>
        <v>-30.18</v>
      </c>
      <c r="M1318" s="1">
        <f t="shared" si="163"/>
        <v>-30.18</v>
      </c>
      <c r="N1318" s="10">
        <f t="shared" si="164"/>
        <v>-3018</v>
      </c>
      <c r="O1318" s="1" t="b">
        <f>IFERROR(IF(ISNUMBER(Raw!G1318),TRUE,OR(EXACT(L1318,TEXT(M1318,"0.00")),EXACT(L1318,TEXT(M1318,"#,##0.00")))),FALSE)</f>
        <v>1</v>
      </c>
      <c r="P1318" s="1" t="str">
        <f>LEN(IF(Raw!A1318="","",Raw!A1318))&amp;":"&amp;IF(Raw!A1318="","",Raw!A1318)&amp;"|"&amp;LEN(IF(Raw!B1318="","",Raw!B1318))&amp;":"&amp;IF(Raw!B1318="","",Raw!B1318)&amp;"|"&amp;LEN(IF(Raw!C1318="","",Raw!C1318))&amp;":"&amp;IF(Raw!C1318="","",Raw!C1318)&amp;"|"&amp;LEN(IF(Raw!D1318="","",Raw!D1318))&amp;":"&amp;IF(Raw!D1318="","",Raw!D1318)&amp;"|"&amp;LEN(IF(Raw!E1318="","",Raw!E1318))&amp;":"&amp;IF(Raw!E1318="","",Raw!E1318)&amp;"|"&amp;LEN(IF(Raw!F1318="","",Raw!F1318))&amp;":"&amp;IF(Raw!F1318="","",Raw!F1318)&amp;"|"&amp;LEN(IF(Raw!G1318="","",Raw!G1318))&amp;":"&amp;IF(Raw!G1318="","",Raw!G1318)</f>
        <v>6:L01312|6:T00656|10:2026-03-27|3:P-A|11:Accessories|6:refund|6:-30.18</v>
      </c>
      <c r="Q1318" s="1">
        <f>1</f>
        <v>1</v>
      </c>
      <c r="R1318" s="1" t="b">
        <f>FALSE</f>
        <v>0</v>
      </c>
      <c r="S1318" s="1">
        <f>1</f>
        <v>1</v>
      </c>
      <c r="T1318" s="1" t="str">
        <f>IF(AND(Raw!A1318="",Raw!B1318="",Raw!C1318="",Raw!D1318="",Raw!E1318="",Raw!F1318="",Raw!G1318=""),"UNUSED",IF(A1318="","missing line ID",IF(B1318="","missing transaction ID",IF(G1318="",IF(C1318="","missing date","invalid date"),IF(I1318="","unknown product",IF(J1318="","conflicting category",IF(NOT(OR(EXACT(K1318,"sale"),EXACT(K1318,"refund"))),"unknown event",IF(OR(N1318="",NOT(O1318)),"invalid amount",IF(OR(AND(K1318="sale",N1318&lt;=0),AND(K1318="refund",N1318&gt;=0)),"invalid sign","")))))))))</f>
        <v/>
      </c>
      <c r="U1318" s="1" t="str">
        <f t="shared" si="165"/>
        <v>INCLUDED</v>
      </c>
      <c r="V1318" s="1" t="str">
        <f t="shared" si="166"/>
        <v>2026-03</v>
      </c>
      <c r="W1318" s="1">
        <f>IF(AND(U1318="INCLUDED",X1318&gt;0,EXACT(A1318,'AI output'!A1318)),1,0)</f>
        <v>1</v>
      </c>
      <c r="X1318" s="1">
        <f>1318</f>
        <v>1318</v>
      </c>
      <c r="Y1318" s="1">
        <f>IF(AND(U1318="INCLUDED",W1318=1),--(NOT(EXACT(A1318,'AI output'!A1318)))+--(NOT(EXACT(B1318,'AI output'!B1318)))+--(NOT(EXACT(TEXT(G1318,"yyyy-mm-dd"),'AI output'!C1318)))+--(NOT(EXACT(H1318,'AI output'!D1318)))+--(NOT(EXACT(J1318,'AI output'!E1318)))+--(NOT(EXACT(K1318,'AI output'!F1318)))+--(N1318&lt;&gt;'AI output'!L1318)+--(NOT('AI output'!M1318)),0)</f>
        <v>0</v>
      </c>
      <c r="Z1318" s="1">
        <f t="shared" si="167"/>
        <v>0</v>
      </c>
      <c r="AA1318" s="1">
        <f>--EXACT(A1318,"L01312")</f>
        <v>1</v>
      </c>
    </row>
    <row r="1319" spans="1:27" ht="18.95" customHeight="1">
      <c r="A1319" s="1" t="str">
        <f>IF(Raw!A1319="","",Raw!A1319)</f>
        <v>L01313</v>
      </c>
      <c r="B1319" s="1" t="str">
        <f>IF(Raw!B1319="","",Raw!B1319)</f>
        <v>T00657</v>
      </c>
      <c r="C1319" s="1" t="str">
        <f>IF(Raw!C1319="","",Raw!C1319)</f>
        <v>2026-01-03</v>
      </c>
      <c r="D1319" s="1">
        <f t="shared" si="160"/>
        <v>2026</v>
      </c>
      <c r="E1319" s="1">
        <f>IFERROR(IF(AND(LEN(C1319)=10,MID(C1319,5,1)="-",MID(C1319,8,1)="-"),VALUE(MID(C1319,6,2)),IF(AND(LEN(C1319)=11,MID(C1319,3,1)="-",MID(C1319,7,1)="-"),MATCH(UPPER(MID(C1319,4,3)),Guide!$D$7:$D$18,0),0)),0)</f>
        <v>1</v>
      </c>
      <c r="F1319" s="1">
        <f t="shared" si="161"/>
        <v>3</v>
      </c>
      <c r="G1319" s="9">
        <f t="shared" si="162"/>
        <v>46025</v>
      </c>
      <c r="H1319" s="1" t="str">
        <f>IF(Raw!D1319="","",Raw!D1319)</f>
        <v>P-H</v>
      </c>
      <c r="I1319" s="1" t="str">
        <f>IFERROR(IF(EXACT(H1319,INDEX(Guide!$A$7:$A$9,MATCH(SUBSTITUTE(SUBSTITUTE(SUBSTITUTE(H1319,"~","~~"),"*","~*"),"?","~?"),Guide!$A$7:$A$9,0))),INDEX(Guide!$B$7:$B$9,MATCH(SUBSTITUTE(SUBSTITUTE(SUBSTITUTE(H1319,"~","~~"),"*","~*"),"?","~?"),Guide!$A$7:$A$9,0)),""),"")</f>
        <v>Home</v>
      </c>
      <c r="J1319" s="1" t="str">
        <f>IF(TRIM(Raw!E1319)="",I1319,IF(UPPER(TRIM(Raw!E1319))=UPPER(I1319),I1319,""))</f>
        <v>Home</v>
      </c>
      <c r="K1319" s="1" t="str">
        <f>IF(Raw!F1319="","",Raw!F1319)</f>
        <v>sale</v>
      </c>
      <c r="L1319" s="1" t="str">
        <f>IF(LEFT(TRIM(Raw!G1319),2)="-$","-"&amp;MID(TRIM(Raw!G1319),3,99),IF(LEFT(TRIM(Raw!G1319),1)="$",MID(TRIM(Raw!G1319),2,99),TRIM(Raw!G1319)))</f>
        <v>52.15</v>
      </c>
      <c r="M1319" s="1">
        <f t="shared" si="163"/>
        <v>52.15</v>
      </c>
      <c r="N1319" s="10">
        <f t="shared" si="164"/>
        <v>5215</v>
      </c>
      <c r="O1319" s="1" t="b">
        <f>IFERROR(IF(ISNUMBER(Raw!G1319),TRUE,OR(EXACT(L1319,TEXT(M1319,"0.00")),EXACT(L1319,TEXT(M1319,"#,##0.00")))),FALSE)</f>
        <v>1</v>
      </c>
      <c r="P1319" s="1" t="str">
        <f>LEN(IF(Raw!A1319="","",Raw!A1319))&amp;":"&amp;IF(Raw!A1319="","",Raw!A1319)&amp;"|"&amp;LEN(IF(Raw!B1319="","",Raw!B1319))&amp;":"&amp;IF(Raw!B1319="","",Raw!B1319)&amp;"|"&amp;LEN(IF(Raw!C1319="","",Raw!C1319))&amp;":"&amp;IF(Raw!C1319="","",Raw!C1319)&amp;"|"&amp;LEN(IF(Raw!D1319="","",Raw!D1319))&amp;":"&amp;IF(Raw!D1319="","",Raw!D1319)&amp;"|"&amp;LEN(IF(Raw!E1319="","",Raw!E1319))&amp;":"&amp;IF(Raw!E1319="","",Raw!E1319)&amp;"|"&amp;LEN(IF(Raw!F1319="","",Raw!F1319))&amp;":"&amp;IF(Raw!F1319="","",Raw!F1319)&amp;"|"&amp;LEN(IF(Raw!G1319="","",Raw!G1319))&amp;":"&amp;IF(Raw!G1319="","",Raw!G1319)</f>
        <v>6:L01313|6:T00657|10:2026-01-03|3:P-H|4:Home|4:sale|5:52.15</v>
      </c>
      <c r="Q1319" s="1">
        <f>1</f>
        <v>1</v>
      </c>
      <c r="R1319" s="1" t="b">
        <f>FALSE</f>
        <v>0</v>
      </c>
      <c r="S1319" s="1">
        <f>1</f>
        <v>1</v>
      </c>
      <c r="T1319" s="1" t="str">
        <f>IF(AND(Raw!A1319="",Raw!B1319="",Raw!C1319="",Raw!D1319="",Raw!E1319="",Raw!F1319="",Raw!G1319=""),"UNUSED",IF(A1319="","missing line ID",IF(B1319="","missing transaction ID",IF(G1319="",IF(C1319="","missing date","invalid date"),IF(I1319="","unknown product",IF(J1319="","conflicting category",IF(NOT(OR(EXACT(K1319,"sale"),EXACT(K1319,"refund"))),"unknown event",IF(OR(N1319="",NOT(O1319)),"invalid amount",IF(OR(AND(K1319="sale",N1319&lt;=0),AND(K1319="refund",N1319&gt;=0)),"invalid sign","")))))))))</f>
        <v/>
      </c>
      <c r="U1319" s="1" t="str">
        <f t="shared" si="165"/>
        <v>INCLUDED</v>
      </c>
      <c r="V1319" s="1" t="str">
        <f t="shared" si="166"/>
        <v>2026-01</v>
      </c>
      <c r="W1319" s="1">
        <f>IF(AND(U1319="INCLUDED",X1319&gt;0,EXACT(A1319,'AI output'!A1319)),1,0)</f>
        <v>1</v>
      </c>
      <c r="X1319" s="1">
        <f>1319</f>
        <v>1319</v>
      </c>
      <c r="Y1319" s="1">
        <f>IF(AND(U1319="INCLUDED",W1319=1),--(NOT(EXACT(A1319,'AI output'!A1319)))+--(NOT(EXACT(B1319,'AI output'!B1319)))+--(NOT(EXACT(TEXT(G1319,"yyyy-mm-dd"),'AI output'!C1319)))+--(NOT(EXACT(H1319,'AI output'!D1319)))+--(NOT(EXACT(J1319,'AI output'!E1319)))+--(NOT(EXACT(K1319,'AI output'!F1319)))+--(N1319&lt;&gt;'AI output'!L1319)+--(NOT('AI output'!M1319)),0)</f>
        <v>0</v>
      </c>
      <c r="Z1319" s="1">
        <f t="shared" si="167"/>
        <v>0</v>
      </c>
      <c r="AA1319" s="1">
        <f>--EXACT(A1319,"L01313")</f>
        <v>1</v>
      </c>
    </row>
    <row r="1320" spans="1:27" ht="18.95" customHeight="1">
      <c r="A1320" s="1" t="str">
        <f>IF(Raw!A1320="","",Raw!A1320)</f>
        <v>L01314</v>
      </c>
      <c r="B1320" s="1" t="str">
        <f>IF(Raw!B1320="","",Raw!B1320)</f>
        <v>T00657</v>
      </c>
      <c r="C1320" s="1" t="str">
        <f>IF(Raw!C1320="","",Raw!C1320)</f>
        <v>2026-01-03</v>
      </c>
      <c r="D1320" s="1">
        <f t="shared" si="160"/>
        <v>2026</v>
      </c>
      <c r="E1320" s="1">
        <f>IFERROR(IF(AND(LEN(C1320)=10,MID(C1320,5,1)="-",MID(C1320,8,1)="-"),VALUE(MID(C1320,6,2)),IF(AND(LEN(C1320)=11,MID(C1320,3,1)="-",MID(C1320,7,1)="-"),MATCH(UPPER(MID(C1320,4,3)),Guide!$D$7:$D$18,0),0)),0)</f>
        <v>1</v>
      </c>
      <c r="F1320" s="1">
        <f t="shared" si="161"/>
        <v>3</v>
      </c>
      <c r="G1320" s="9">
        <f t="shared" si="162"/>
        <v>46025</v>
      </c>
      <c r="H1320" s="1" t="str">
        <f>IF(Raw!D1320="","",Raw!D1320)</f>
        <v>P-O</v>
      </c>
      <c r="I1320" s="1" t="str">
        <f>IFERROR(IF(EXACT(H1320,INDEX(Guide!$A$7:$A$9,MATCH(SUBSTITUTE(SUBSTITUTE(SUBSTITUTE(H1320,"~","~~"),"*","~*"),"?","~?"),Guide!$A$7:$A$9,0))),INDEX(Guide!$B$7:$B$9,MATCH(SUBSTITUTE(SUBSTITUTE(SUBSTITUTE(H1320,"~","~~"),"*","~*"),"?","~?"),Guide!$A$7:$A$9,0)),""),"")</f>
        <v>Office</v>
      </c>
      <c r="J1320" s="1" t="str">
        <f>IF(TRIM(Raw!E1320)="",I1320,IF(UPPER(TRIM(Raw!E1320))=UPPER(I1320),I1320,""))</f>
        <v>Office</v>
      </c>
      <c r="K1320" s="1" t="str">
        <f>IF(Raw!F1320="","",Raw!F1320)</f>
        <v>sale</v>
      </c>
      <c r="L1320" s="1" t="str">
        <f>IF(LEFT(TRIM(Raw!G1320),2)="-$","-"&amp;MID(TRIM(Raw!G1320),3,99),IF(LEFT(TRIM(Raw!G1320),1)="$",MID(TRIM(Raw!G1320),2,99),TRIM(Raw!G1320)))</f>
        <v>21.60</v>
      </c>
      <c r="M1320" s="1">
        <f t="shared" si="163"/>
        <v>21.6</v>
      </c>
      <c r="N1320" s="10">
        <f t="shared" si="164"/>
        <v>2160</v>
      </c>
      <c r="O1320" s="1" t="b">
        <f>IFERROR(IF(ISNUMBER(Raw!G1320),TRUE,OR(EXACT(L1320,TEXT(M1320,"0.00")),EXACT(L1320,TEXT(M1320,"#,##0.00")))),FALSE)</f>
        <v>1</v>
      </c>
      <c r="P1320" s="1" t="str">
        <f>LEN(IF(Raw!A1320="","",Raw!A1320))&amp;":"&amp;IF(Raw!A1320="","",Raw!A1320)&amp;"|"&amp;LEN(IF(Raw!B1320="","",Raw!B1320))&amp;":"&amp;IF(Raw!B1320="","",Raw!B1320)&amp;"|"&amp;LEN(IF(Raw!C1320="","",Raw!C1320))&amp;":"&amp;IF(Raw!C1320="","",Raw!C1320)&amp;"|"&amp;LEN(IF(Raw!D1320="","",Raw!D1320))&amp;":"&amp;IF(Raw!D1320="","",Raw!D1320)&amp;"|"&amp;LEN(IF(Raw!E1320="","",Raw!E1320))&amp;":"&amp;IF(Raw!E1320="","",Raw!E1320)&amp;"|"&amp;LEN(IF(Raw!F1320="","",Raw!F1320))&amp;":"&amp;IF(Raw!F1320="","",Raw!F1320)&amp;"|"&amp;LEN(IF(Raw!G1320="","",Raw!G1320))&amp;":"&amp;IF(Raw!G1320="","",Raw!G1320)</f>
        <v>6:L01314|6:T00657|10:2026-01-03|3:P-O|6:Office|4:sale|5:21.60</v>
      </c>
      <c r="Q1320" s="1">
        <f>1</f>
        <v>1</v>
      </c>
      <c r="R1320" s="1" t="b">
        <f>FALSE</f>
        <v>0</v>
      </c>
      <c r="S1320" s="1">
        <f>1</f>
        <v>1</v>
      </c>
      <c r="T1320" s="1" t="str">
        <f>IF(AND(Raw!A1320="",Raw!B1320="",Raw!C1320="",Raw!D1320="",Raw!E1320="",Raw!F1320="",Raw!G1320=""),"UNUSED",IF(A1320="","missing line ID",IF(B1320="","missing transaction ID",IF(G1320="",IF(C1320="","missing date","invalid date"),IF(I1320="","unknown product",IF(J1320="","conflicting category",IF(NOT(OR(EXACT(K1320,"sale"),EXACT(K1320,"refund"))),"unknown event",IF(OR(N1320="",NOT(O1320)),"invalid amount",IF(OR(AND(K1320="sale",N1320&lt;=0),AND(K1320="refund",N1320&gt;=0)),"invalid sign","")))))))))</f>
        <v/>
      </c>
      <c r="U1320" s="1" t="str">
        <f t="shared" si="165"/>
        <v>INCLUDED</v>
      </c>
      <c r="V1320" s="1" t="str">
        <f t="shared" si="166"/>
        <v>2026-01</v>
      </c>
      <c r="W1320" s="1">
        <f>IF(AND(U1320="INCLUDED",X1320&gt;0,EXACT(A1320,'AI output'!A1320)),1,0)</f>
        <v>1</v>
      </c>
      <c r="X1320" s="1">
        <f>1320</f>
        <v>1320</v>
      </c>
      <c r="Y1320" s="1">
        <f>IF(AND(U1320="INCLUDED",W1320=1),--(NOT(EXACT(A1320,'AI output'!A1320)))+--(NOT(EXACT(B1320,'AI output'!B1320)))+--(NOT(EXACT(TEXT(G1320,"yyyy-mm-dd"),'AI output'!C1320)))+--(NOT(EXACT(H1320,'AI output'!D1320)))+--(NOT(EXACT(J1320,'AI output'!E1320)))+--(NOT(EXACT(K1320,'AI output'!F1320)))+--(N1320&lt;&gt;'AI output'!L1320)+--(NOT('AI output'!M1320)),0)</f>
        <v>0</v>
      </c>
      <c r="Z1320" s="1">
        <f t="shared" si="167"/>
        <v>0</v>
      </c>
      <c r="AA1320" s="1">
        <f>--EXACT(A1320,"L01314")</f>
        <v>1</v>
      </c>
    </row>
    <row r="1321" spans="1:27" ht="18.95" customHeight="1">
      <c r="A1321" s="1" t="str">
        <f>IF(Raw!A1321="","",Raw!A1321)</f>
        <v>L01315</v>
      </c>
      <c r="B1321" s="1" t="str">
        <f>IF(Raw!B1321="","",Raw!B1321)</f>
        <v>T00658</v>
      </c>
      <c r="C1321" s="1" t="str">
        <f>IF(Raw!C1321="","",Raw!C1321)</f>
        <v>2026-01-10</v>
      </c>
      <c r="D1321" s="1">
        <f t="shared" si="160"/>
        <v>2026</v>
      </c>
      <c r="E1321" s="1">
        <f>IFERROR(IF(AND(LEN(C1321)=10,MID(C1321,5,1)="-",MID(C1321,8,1)="-"),VALUE(MID(C1321,6,2)),IF(AND(LEN(C1321)=11,MID(C1321,3,1)="-",MID(C1321,7,1)="-"),MATCH(UPPER(MID(C1321,4,3)),Guide!$D$7:$D$18,0),0)),0)</f>
        <v>1</v>
      </c>
      <c r="F1321" s="1">
        <f t="shared" si="161"/>
        <v>10</v>
      </c>
      <c r="G1321" s="9">
        <f t="shared" si="162"/>
        <v>46032</v>
      </c>
      <c r="H1321" s="1" t="str">
        <f>IF(Raw!D1321="","",Raw!D1321)</f>
        <v>P-A</v>
      </c>
      <c r="I1321" s="1" t="str">
        <f>IFERROR(IF(EXACT(H1321,INDEX(Guide!$A$7:$A$9,MATCH(SUBSTITUTE(SUBSTITUTE(SUBSTITUTE(H1321,"~","~~"),"*","~*"),"?","~?"),Guide!$A$7:$A$9,0))),INDEX(Guide!$B$7:$B$9,MATCH(SUBSTITUTE(SUBSTITUTE(SUBSTITUTE(H1321,"~","~~"),"*","~*"),"?","~?"),Guide!$A$7:$A$9,0)),""),"")</f>
        <v>Accessories</v>
      </c>
      <c r="J1321" s="1" t="str">
        <f>IF(TRIM(Raw!E1321)="",I1321,IF(UPPER(TRIM(Raw!E1321))=UPPER(I1321),I1321,""))</f>
        <v>Accessories</v>
      </c>
      <c r="K1321" s="1" t="str">
        <f>IF(Raw!F1321="","",Raw!F1321)</f>
        <v>sale</v>
      </c>
      <c r="L1321" s="1" t="str">
        <f>IF(LEFT(TRIM(Raw!G1321),2)="-$","-"&amp;MID(TRIM(Raw!G1321),3,99),IF(LEFT(TRIM(Raw!G1321),1)="$",MID(TRIM(Raw!G1321),2,99),TRIM(Raw!G1321)))</f>
        <v>44.68</v>
      </c>
      <c r="M1321" s="1">
        <f t="shared" si="163"/>
        <v>44.68</v>
      </c>
      <c r="N1321" s="10">
        <f t="shared" si="164"/>
        <v>4468</v>
      </c>
      <c r="O1321" s="1" t="b">
        <f>IFERROR(IF(ISNUMBER(Raw!G1321),TRUE,OR(EXACT(L1321,TEXT(M1321,"0.00")),EXACT(L1321,TEXT(M1321,"#,##0.00")))),FALSE)</f>
        <v>1</v>
      </c>
      <c r="P1321" s="1" t="str">
        <f>LEN(IF(Raw!A1321="","",Raw!A1321))&amp;":"&amp;IF(Raw!A1321="","",Raw!A1321)&amp;"|"&amp;LEN(IF(Raw!B1321="","",Raw!B1321))&amp;":"&amp;IF(Raw!B1321="","",Raw!B1321)&amp;"|"&amp;LEN(IF(Raw!C1321="","",Raw!C1321))&amp;":"&amp;IF(Raw!C1321="","",Raw!C1321)&amp;"|"&amp;LEN(IF(Raw!D1321="","",Raw!D1321))&amp;":"&amp;IF(Raw!D1321="","",Raw!D1321)&amp;"|"&amp;LEN(IF(Raw!E1321="","",Raw!E1321))&amp;":"&amp;IF(Raw!E1321="","",Raw!E1321)&amp;"|"&amp;LEN(IF(Raw!F1321="","",Raw!F1321))&amp;":"&amp;IF(Raw!F1321="","",Raw!F1321)&amp;"|"&amp;LEN(IF(Raw!G1321="","",Raw!G1321))&amp;":"&amp;IF(Raw!G1321="","",Raw!G1321)</f>
        <v>6:L01315|6:T00658|10:2026-01-10|3:P-A|11:Accessories|4:sale|5:44.68</v>
      </c>
      <c r="Q1321" s="1">
        <f>1</f>
        <v>1</v>
      </c>
      <c r="R1321" s="1" t="b">
        <f>FALSE</f>
        <v>0</v>
      </c>
      <c r="S1321" s="1">
        <f>1</f>
        <v>1</v>
      </c>
      <c r="T1321" s="1" t="str">
        <f>IF(AND(Raw!A1321="",Raw!B1321="",Raw!C1321="",Raw!D1321="",Raw!E1321="",Raw!F1321="",Raw!G1321=""),"UNUSED",IF(A1321="","missing line ID",IF(B1321="","missing transaction ID",IF(G1321="",IF(C1321="","missing date","invalid date"),IF(I1321="","unknown product",IF(J1321="","conflicting category",IF(NOT(OR(EXACT(K1321,"sale"),EXACT(K1321,"refund"))),"unknown event",IF(OR(N1321="",NOT(O1321)),"invalid amount",IF(OR(AND(K1321="sale",N1321&lt;=0),AND(K1321="refund",N1321&gt;=0)),"invalid sign","")))))))))</f>
        <v/>
      </c>
      <c r="U1321" s="1" t="str">
        <f t="shared" si="165"/>
        <v>INCLUDED</v>
      </c>
      <c r="V1321" s="1" t="str">
        <f t="shared" si="166"/>
        <v>2026-01</v>
      </c>
      <c r="W1321" s="1">
        <f>IF(AND(U1321="INCLUDED",X1321&gt;0,EXACT(A1321,'AI output'!A1321)),1,0)</f>
        <v>1</v>
      </c>
      <c r="X1321" s="1">
        <f>1321</f>
        <v>1321</v>
      </c>
      <c r="Y1321" s="1">
        <f>IF(AND(U1321="INCLUDED",W1321=1),--(NOT(EXACT(A1321,'AI output'!A1321)))+--(NOT(EXACT(B1321,'AI output'!B1321)))+--(NOT(EXACT(TEXT(G1321,"yyyy-mm-dd"),'AI output'!C1321)))+--(NOT(EXACT(H1321,'AI output'!D1321)))+--(NOT(EXACT(J1321,'AI output'!E1321)))+--(NOT(EXACT(K1321,'AI output'!F1321)))+--(N1321&lt;&gt;'AI output'!L1321)+--(NOT('AI output'!M1321)),0)</f>
        <v>0</v>
      </c>
      <c r="Z1321" s="1">
        <f t="shared" si="167"/>
        <v>0</v>
      </c>
      <c r="AA1321" s="1">
        <f>--EXACT(A1321,"L01315")</f>
        <v>1</v>
      </c>
    </row>
    <row r="1322" spans="1:27" ht="18.95" customHeight="1">
      <c r="A1322" s="1" t="str">
        <f>IF(Raw!A1322="","",Raw!A1322)</f>
        <v>L01316</v>
      </c>
      <c r="B1322" s="1" t="str">
        <f>IF(Raw!B1322="","",Raw!B1322)</f>
        <v>T00658</v>
      </c>
      <c r="C1322" s="1" t="str">
        <f>IF(Raw!C1322="","",Raw!C1322)</f>
        <v>2026-01-10</v>
      </c>
      <c r="D1322" s="1">
        <f t="shared" si="160"/>
        <v>2026</v>
      </c>
      <c r="E1322" s="1">
        <f>IFERROR(IF(AND(LEN(C1322)=10,MID(C1322,5,1)="-",MID(C1322,8,1)="-"),VALUE(MID(C1322,6,2)),IF(AND(LEN(C1322)=11,MID(C1322,3,1)="-",MID(C1322,7,1)="-"),MATCH(UPPER(MID(C1322,4,3)),Guide!$D$7:$D$18,0),0)),0)</f>
        <v>1</v>
      </c>
      <c r="F1322" s="1">
        <f t="shared" si="161"/>
        <v>10</v>
      </c>
      <c r="G1322" s="9">
        <f t="shared" si="162"/>
        <v>46032</v>
      </c>
      <c r="H1322" s="1" t="str">
        <f>IF(Raw!D1322="","",Raw!D1322)</f>
        <v>P-H</v>
      </c>
      <c r="I1322" s="1" t="str">
        <f>IFERROR(IF(EXACT(H1322,INDEX(Guide!$A$7:$A$9,MATCH(SUBSTITUTE(SUBSTITUTE(SUBSTITUTE(H1322,"~","~~"),"*","~*"),"?","~?"),Guide!$A$7:$A$9,0))),INDEX(Guide!$B$7:$B$9,MATCH(SUBSTITUTE(SUBSTITUTE(SUBSTITUTE(H1322,"~","~~"),"*","~*"),"?","~?"),Guide!$A$7:$A$9,0)),""),"")</f>
        <v>Home</v>
      </c>
      <c r="J1322" s="1" t="str">
        <f>IF(TRIM(Raw!E1322)="",I1322,IF(UPPER(TRIM(Raw!E1322))=UPPER(I1322),I1322,""))</f>
        <v>Home</v>
      </c>
      <c r="K1322" s="1" t="str">
        <f>IF(Raw!F1322="","",Raw!F1322)</f>
        <v>sale</v>
      </c>
      <c r="L1322" s="1" t="str">
        <f>IF(LEFT(TRIM(Raw!G1322),2)="-$","-"&amp;MID(TRIM(Raw!G1322),3,99),IF(LEFT(TRIM(Raw!G1322),1)="$",MID(TRIM(Raw!G1322),2,99),TRIM(Raw!G1322)))</f>
        <v>11.54</v>
      </c>
      <c r="M1322" s="1">
        <f t="shared" si="163"/>
        <v>11.54</v>
      </c>
      <c r="N1322" s="10">
        <f t="shared" si="164"/>
        <v>1154</v>
      </c>
      <c r="O1322" s="1" t="b">
        <f>IFERROR(IF(ISNUMBER(Raw!G1322),TRUE,OR(EXACT(L1322,TEXT(M1322,"0.00")),EXACT(L1322,TEXT(M1322,"#,##0.00")))),FALSE)</f>
        <v>1</v>
      </c>
      <c r="P1322" s="1" t="str">
        <f>LEN(IF(Raw!A1322="","",Raw!A1322))&amp;":"&amp;IF(Raw!A1322="","",Raw!A1322)&amp;"|"&amp;LEN(IF(Raw!B1322="","",Raw!B1322))&amp;":"&amp;IF(Raw!B1322="","",Raw!B1322)&amp;"|"&amp;LEN(IF(Raw!C1322="","",Raw!C1322))&amp;":"&amp;IF(Raw!C1322="","",Raw!C1322)&amp;"|"&amp;LEN(IF(Raw!D1322="","",Raw!D1322))&amp;":"&amp;IF(Raw!D1322="","",Raw!D1322)&amp;"|"&amp;LEN(IF(Raw!E1322="","",Raw!E1322))&amp;":"&amp;IF(Raw!E1322="","",Raw!E1322)&amp;"|"&amp;LEN(IF(Raw!F1322="","",Raw!F1322))&amp;":"&amp;IF(Raw!F1322="","",Raw!F1322)&amp;"|"&amp;LEN(IF(Raw!G1322="","",Raw!G1322))&amp;":"&amp;IF(Raw!G1322="","",Raw!G1322)</f>
        <v>6:L01316|6:T00658|10:2026-01-10|3:P-H|4:Home|4:sale|5:11.54</v>
      </c>
      <c r="Q1322" s="1">
        <f>1</f>
        <v>1</v>
      </c>
      <c r="R1322" s="1" t="b">
        <f>FALSE</f>
        <v>0</v>
      </c>
      <c r="S1322" s="1">
        <f>1</f>
        <v>1</v>
      </c>
      <c r="T1322" s="1" t="str">
        <f>IF(AND(Raw!A1322="",Raw!B1322="",Raw!C1322="",Raw!D1322="",Raw!E1322="",Raw!F1322="",Raw!G1322=""),"UNUSED",IF(A1322="","missing line ID",IF(B1322="","missing transaction ID",IF(G1322="",IF(C1322="","missing date","invalid date"),IF(I1322="","unknown product",IF(J1322="","conflicting category",IF(NOT(OR(EXACT(K1322,"sale"),EXACT(K1322,"refund"))),"unknown event",IF(OR(N1322="",NOT(O1322)),"invalid amount",IF(OR(AND(K1322="sale",N1322&lt;=0),AND(K1322="refund",N1322&gt;=0)),"invalid sign","")))))))))</f>
        <v/>
      </c>
      <c r="U1322" s="1" t="str">
        <f t="shared" si="165"/>
        <v>INCLUDED</v>
      </c>
      <c r="V1322" s="1" t="str">
        <f t="shared" si="166"/>
        <v>2026-01</v>
      </c>
      <c r="W1322" s="1">
        <f>IF(AND(U1322="INCLUDED",X1322&gt;0,EXACT(A1322,'AI output'!A1322)),1,0)</f>
        <v>1</v>
      </c>
      <c r="X1322" s="1">
        <f>1322</f>
        <v>1322</v>
      </c>
      <c r="Y1322" s="1">
        <f>IF(AND(U1322="INCLUDED",W1322=1),--(NOT(EXACT(A1322,'AI output'!A1322)))+--(NOT(EXACT(B1322,'AI output'!B1322)))+--(NOT(EXACT(TEXT(G1322,"yyyy-mm-dd"),'AI output'!C1322)))+--(NOT(EXACT(H1322,'AI output'!D1322)))+--(NOT(EXACT(J1322,'AI output'!E1322)))+--(NOT(EXACT(K1322,'AI output'!F1322)))+--(N1322&lt;&gt;'AI output'!L1322)+--(NOT('AI output'!M1322)),0)</f>
        <v>0</v>
      </c>
      <c r="Z1322" s="1">
        <f t="shared" si="167"/>
        <v>0</v>
      </c>
      <c r="AA1322" s="1">
        <f>--EXACT(A1322,"L01316")</f>
        <v>1</v>
      </c>
    </row>
    <row r="1323" spans="1:27" ht="18.95" customHeight="1">
      <c r="A1323" s="1" t="str">
        <f>IF(Raw!A1323="","",Raw!A1323)</f>
        <v>L01317</v>
      </c>
      <c r="B1323" s="1" t="str">
        <f>IF(Raw!B1323="","",Raw!B1323)</f>
        <v>T00659</v>
      </c>
      <c r="C1323" s="1" t="str">
        <f>IF(Raw!C1323="","",Raw!C1323)</f>
        <v>2026-01-17</v>
      </c>
      <c r="D1323" s="1">
        <f t="shared" si="160"/>
        <v>2026</v>
      </c>
      <c r="E1323" s="1">
        <f>IFERROR(IF(AND(LEN(C1323)=10,MID(C1323,5,1)="-",MID(C1323,8,1)="-"),VALUE(MID(C1323,6,2)),IF(AND(LEN(C1323)=11,MID(C1323,3,1)="-",MID(C1323,7,1)="-"),MATCH(UPPER(MID(C1323,4,3)),Guide!$D$7:$D$18,0),0)),0)</f>
        <v>1</v>
      </c>
      <c r="F1323" s="1">
        <f t="shared" si="161"/>
        <v>17</v>
      </c>
      <c r="G1323" s="9">
        <f t="shared" si="162"/>
        <v>46039</v>
      </c>
      <c r="H1323" s="1" t="str">
        <f>IF(Raw!D1323="","",Raw!D1323)</f>
        <v>P-O</v>
      </c>
      <c r="I1323" s="1" t="str">
        <f>IFERROR(IF(EXACT(H1323,INDEX(Guide!$A$7:$A$9,MATCH(SUBSTITUTE(SUBSTITUTE(SUBSTITUTE(H1323,"~","~~"),"*","~*"),"?","~?"),Guide!$A$7:$A$9,0))),INDEX(Guide!$B$7:$B$9,MATCH(SUBSTITUTE(SUBSTITUTE(SUBSTITUTE(H1323,"~","~~"),"*","~*"),"?","~?"),Guide!$A$7:$A$9,0)),""),"")</f>
        <v>Office</v>
      </c>
      <c r="J1323" s="1" t="str">
        <f>IF(TRIM(Raw!E1323)="",I1323,IF(UPPER(TRIM(Raw!E1323))=UPPER(I1323),I1323,""))</f>
        <v>Office</v>
      </c>
      <c r="K1323" s="1" t="str">
        <f>IF(Raw!F1323="","",Raw!F1323)</f>
        <v>sale</v>
      </c>
      <c r="L1323" s="1" t="str">
        <f>IF(LEFT(TRIM(Raw!G1323),2)="-$","-"&amp;MID(TRIM(Raw!G1323),3,99),IF(LEFT(TRIM(Raw!G1323),1)="$",MID(TRIM(Raw!G1323),2,99),TRIM(Raw!G1323)))</f>
        <v>35.73</v>
      </c>
      <c r="M1323" s="1">
        <f t="shared" si="163"/>
        <v>35.729999999999997</v>
      </c>
      <c r="N1323" s="10">
        <f t="shared" si="164"/>
        <v>3573</v>
      </c>
      <c r="O1323" s="1" t="b">
        <f>IFERROR(IF(ISNUMBER(Raw!G1323),TRUE,OR(EXACT(L1323,TEXT(M1323,"0.00")),EXACT(L1323,TEXT(M1323,"#,##0.00")))),FALSE)</f>
        <v>1</v>
      </c>
      <c r="P1323" s="1" t="str">
        <f>LEN(IF(Raw!A1323="","",Raw!A1323))&amp;":"&amp;IF(Raw!A1323="","",Raw!A1323)&amp;"|"&amp;LEN(IF(Raw!B1323="","",Raw!B1323))&amp;":"&amp;IF(Raw!B1323="","",Raw!B1323)&amp;"|"&amp;LEN(IF(Raw!C1323="","",Raw!C1323))&amp;":"&amp;IF(Raw!C1323="","",Raw!C1323)&amp;"|"&amp;LEN(IF(Raw!D1323="","",Raw!D1323))&amp;":"&amp;IF(Raw!D1323="","",Raw!D1323)&amp;"|"&amp;LEN(IF(Raw!E1323="","",Raw!E1323))&amp;":"&amp;IF(Raw!E1323="","",Raw!E1323)&amp;"|"&amp;LEN(IF(Raw!F1323="","",Raw!F1323))&amp;":"&amp;IF(Raw!F1323="","",Raw!F1323)&amp;"|"&amp;LEN(IF(Raw!G1323="","",Raw!G1323))&amp;":"&amp;IF(Raw!G1323="","",Raw!G1323)</f>
        <v>6:L01317|6:T00659|10:2026-01-17|3:P-O|6:Office|4:sale|5:35.73</v>
      </c>
      <c r="Q1323" s="1">
        <f>2</f>
        <v>2</v>
      </c>
      <c r="R1323" s="1" t="b">
        <f>OR(NOT(EXACT(P1323,P2002)))</f>
        <v>0</v>
      </c>
      <c r="S1323" s="1">
        <f>1</f>
        <v>1</v>
      </c>
      <c r="T1323" s="1" t="str">
        <f>IF(AND(Raw!A1323="",Raw!B1323="",Raw!C1323="",Raw!D1323="",Raw!E1323="",Raw!F1323="",Raw!G1323=""),"UNUSED",IF(A1323="","missing line ID",IF(B1323="","missing transaction ID",IF(G1323="",IF(C1323="","missing date","invalid date"),IF(I1323="","unknown product",IF(J1323="","conflicting category",IF(NOT(OR(EXACT(K1323,"sale"),EXACT(K1323,"refund"))),"unknown event",IF(OR(N1323="",NOT(O1323)),"invalid amount",IF(OR(AND(K1323="sale",N1323&lt;=0),AND(K1323="refund",N1323&gt;=0)),"invalid sign","")))))))))</f>
        <v/>
      </c>
      <c r="U1323" s="1" t="str">
        <f t="shared" si="165"/>
        <v>INCLUDED</v>
      </c>
      <c r="V1323" s="1" t="str">
        <f t="shared" si="166"/>
        <v>2026-01</v>
      </c>
      <c r="W1323" s="1">
        <f>IF(AND(U1323="INCLUDED",X1323&gt;0,EXACT(A1323,'AI output'!A1323)),1,0)</f>
        <v>1</v>
      </c>
      <c r="X1323" s="1">
        <f>1323</f>
        <v>1323</v>
      </c>
      <c r="Y1323" s="1">
        <f>IF(AND(U1323="INCLUDED",W1323=1),--(NOT(EXACT(A1323,'AI output'!A1323)))+--(NOT(EXACT(B1323,'AI output'!B1323)))+--(NOT(EXACT(TEXT(G1323,"yyyy-mm-dd"),'AI output'!C1323)))+--(NOT(EXACT(H1323,'AI output'!D1323)))+--(NOT(EXACT(J1323,'AI output'!E1323)))+--(NOT(EXACT(K1323,'AI output'!F1323)))+--(N1323&lt;&gt;'AI output'!L1323)+--(NOT('AI output'!M1323)),0)</f>
        <v>0</v>
      </c>
      <c r="Z1323" s="1">
        <f t="shared" si="167"/>
        <v>0</v>
      </c>
      <c r="AA1323" s="1">
        <f>--EXACT(A1323,"L01317")</f>
        <v>1</v>
      </c>
    </row>
    <row r="1324" spans="1:27" ht="18.95" customHeight="1">
      <c r="A1324" s="1" t="str">
        <f>IF(Raw!A1324="","",Raw!A1324)</f>
        <v>L01318</v>
      </c>
      <c r="B1324" s="1" t="str">
        <f>IF(Raw!B1324="","",Raw!B1324)</f>
        <v>T00659</v>
      </c>
      <c r="C1324" s="1" t="str">
        <f>IF(Raw!C1324="","",Raw!C1324)</f>
        <v>2026-01-17</v>
      </c>
      <c r="D1324" s="1">
        <f t="shared" si="160"/>
        <v>2026</v>
      </c>
      <c r="E1324" s="1">
        <f>IFERROR(IF(AND(LEN(C1324)=10,MID(C1324,5,1)="-",MID(C1324,8,1)="-"),VALUE(MID(C1324,6,2)),IF(AND(LEN(C1324)=11,MID(C1324,3,1)="-",MID(C1324,7,1)="-"),MATCH(UPPER(MID(C1324,4,3)),Guide!$D$7:$D$18,0),0)),0)</f>
        <v>1</v>
      </c>
      <c r="F1324" s="1">
        <f t="shared" si="161"/>
        <v>17</v>
      </c>
      <c r="G1324" s="9">
        <f t="shared" si="162"/>
        <v>46039</v>
      </c>
      <c r="H1324" s="1" t="str">
        <f>IF(Raw!D1324="","",Raw!D1324)</f>
        <v>P-A</v>
      </c>
      <c r="I1324" s="1" t="str">
        <f>IFERROR(IF(EXACT(H1324,INDEX(Guide!$A$7:$A$9,MATCH(SUBSTITUTE(SUBSTITUTE(SUBSTITUTE(H1324,"~","~~"),"*","~*"),"?","~?"),Guide!$A$7:$A$9,0))),INDEX(Guide!$B$7:$B$9,MATCH(SUBSTITUTE(SUBSTITUTE(SUBSTITUTE(H1324,"~","~~"),"*","~*"),"?","~?"),Guide!$A$7:$A$9,0)),""),"")</f>
        <v>Accessories</v>
      </c>
      <c r="J1324" s="1" t="str">
        <f>IF(TRIM(Raw!E1324)="",I1324,IF(UPPER(TRIM(Raw!E1324))=UPPER(I1324),I1324,""))</f>
        <v>Accessories</v>
      </c>
      <c r="K1324" s="1" t="str">
        <f>IF(Raw!F1324="","",Raw!F1324)</f>
        <v>sale</v>
      </c>
      <c r="L1324" s="1" t="str">
        <f>IF(LEFT(TRIM(Raw!G1324),2)="-$","-"&amp;MID(TRIM(Raw!G1324),3,99),IF(LEFT(TRIM(Raw!G1324),1)="$",MID(TRIM(Raw!G1324),2,99),TRIM(Raw!G1324)))</f>
        <v>61.40</v>
      </c>
      <c r="M1324" s="1">
        <f t="shared" si="163"/>
        <v>61.4</v>
      </c>
      <c r="N1324" s="10">
        <f t="shared" si="164"/>
        <v>6140</v>
      </c>
      <c r="O1324" s="1" t="b">
        <f>IFERROR(IF(ISNUMBER(Raw!G1324),TRUE,OR(EXACT(L1324,TEXT(M1324,"0.00")),EXACT(L1324,TEXT(M1324,"#,##0.00")))),FALSE)</f>
        <v>1</v>
      </c>
      <c r="P1324" s="1" t="str">
        <f>LEN(IF(Raw!A1324="","",Raw!A1324))&amp;":"&amp;IF(Raw!A1324="","",Raw!A1324)&amp;"|"&amp;LEN(IF(Raw!B1324="","",Raw!B1324))&amp;":"&amp;IF(Raw!B1324="","",Raw!B1324)&amp;"|"&amp;LEN(IF(Raw!C1324="","",Raw!C1324))&amp;":"&amp;IF(Raw!C1324="","",Raw!C1324)&amp;"|"&amp;LEN(IF(Raw!D1324="","",Raw!D1324))&amp;":"&amp;IF(Raw!D1324="","",Raw!D1324)&amp;"|"&amp;LEN(IF(Raw!E1324="","",Raw!E1324))&amp;":"&amp;IF(Raw!E1324="","",Raw!E1324)&amp;"|"&amp;LEN(IF(Raw!F1324="","",Raw!F1324))&amp;":"&amp;IF(Raw!F1324="","",Raw!F1324)&amp;"|"&amp;LEN(IF(Raw!G1324="","",Raw!G1324))&amp;":"&amp;IF(Raw!G1324="","",Raw!G1324)</f>
        <v>6:L01318|6:T00659|10:2026-01-17|3:P-A|11:Accessories|4:sale|5:61.40</v>
      </c>
      <c r="Q1324" s="1">
        <f>1</f>
        <v>1</v>
      </c>
      <c r="R1324" s="1" t="b">
        <f>FALSE</f>
        <v>0</v>
      </c>
      <c r="S1324" s="1">
        <f>1</f>
        <v>1</v>
      </c>
      <c r="T1324" s="1" t="str">
        <f>IF(AND(Raw!A1324="",Raw!B1324="",Raw!C1324="",Raw!D1324="",Raw!E1324="",Raw!F1324="",Raw!G1324=""),"UNUSED",IF(A1324="","missing line ID",IF(B1324="","missing transaction ID",IF(G1324="",IF(C1324="","missing date","invalid date"),IF(I1324="","unknown product",IF(J1324="","conflicting category",IF(NOT(OR(EXACT(K1324,"sale"),EXACT(K1324,"refund"))),"unknown event",IF(OR(N1324="",NOT(O1324)),"invalid amount",IF(OR(AND(K1324="sale",N1324&lt;=0),AND(K1324="refund",N1324&gt;=0)),"invalid sign","")))))))))</f>
        <v/>
      </c>
      <c r="U1324" s="1" t="str">
        <f t="shared" si="165"/>
        <v>INCLUDED</v>
      </c>
      <c r="V1324" s="1" t="str">
        <f t="shared" si="166"/>
        <v>2026-01</v>
      </c>
      <c r="W1324" s="1">
        <f>IF(AND(U1324="INCLUDED",X1324&gt;0,EXACT(A1324,'AI output'!A1324)),1,0)</f>
        <v>1</v>
      </c>
      <c r="X1324" s="1">
        <f>1324</f>
        <v>1324</v>
      </c>
      <c r="Y1324" s="1">
        <f>IF(AND(U1324="INCLUDED",W1324=1),--(NOT(EXACT(A1324,'AI output'!A1324)))+--(NOT(EXACT(B1324,'AI output'!B1324)))+--(NOT(EXACT(TEXT(G1324,"yyyy-mm-dd"),'AI output'!C1324)))+--(NOT(EXACT(H1324,'AI output'!D1324)))+--(NOT(EXACT(J1324,'AI output'!E1324)))+--(NOT(EXACT(K1324,'AI output'!F1324)))+--(N1324&lt;&gt;'AI output'!L1324)+--(NOT('AI output'!M1324)),0)</f>
        <v>0</v>
      </c>
      <c r="Z1324" s="1">
        <f t="shared" si="167"/>
        <v>0</v>
      </c>
      <c r="AA1324" s="1">
        <f>--EXACT(A1324,"L01318")</f>
        <v>1</v>
      </c>
    </row>
    <row r="1325" spans="1:27" ht="18.95" customHeight="1">
      <c r="A1325" s="1" t="str">
        <f>IF(Raw!A1325="","",Raw!A1325)</f>
        <v>L01319</v>
      </c>
      <c r="B1325" s="1" t="str">
        <f>IF(Raw!B1325="","",Raw!B1325)</f>
        <v>T00660</v>
      </c>
      <c r="C1325" s="1" t="str">
        <f>IF(Raw!C1325="","",Raw!C1325)</f>
        <v>2026-01-24</v>
      </c>
      <c r="D1325" s="1">
        <f t="shared" si="160"/>
        <v>2026</v>
      </c>
      <c r="E1325" s="1">
        <f>IFERROR(IF(AND(LEN(C1325)=10,MID(C1325,5,1)="-",MID(C1325,8,1)="-"),VALUE(MID(C1325,6,2)),IF(AND(LEN(C1325)=11,MID(C1325,3,1)="-",MID(C1325,7,1)="-"),MATCH(UPPER(MID(C1325,4,3)),Guide!$D$7:$D$18,0),0)),0)</f>
        <v>1</v>
      </c>
      <c r="F1325" s="1">
        <f t="shared" si="161"/>
        <v>24</v>
      </c>
      <c r="G1325" s="9">
        <f t="shared" si="162"/>
        <v>46046</v>
      </c>
      <c r="H1325" s="1" t="str">
        <f>IF(Raw!D1325="","",Raw!D1325)</f>
        <v>P-H</v>
      </c>
      <c r="I1325" s="1" t="str">
        <f>IFERROR(IF(EXACT(H1325,INDEX(Guide!$A$7:$A$9,MATCH(SUBSTITUTE(SUBSTITUTE(SUBSTITUTE(H1325,"~","~~"),"*","~*"),"?","~?"),Guide!$A$7:$A$9,0))),INDEX(Guide!$B$7:$B$9,MATCH(SUBSTITUTE(SUBSTITUTE(SUBSTITUTE(H1325,"~","~~"),"*","~*"),"?","~?"),Guide!$A$7:$A$9,0)),""),"")</f>
        <v>Home</v>
      </c>
      <c r="J1325" s="1" t="str">
        <f>IF(TRIM(Raw!E1325)="",I1325,IF(UPPER(TRIM(Raw!E1325))=UPPER(I1325),I1325,""))</f>
        <v>Home</v>
      </c>
      <c r="K1325" s="1" t="str">
        <f>IF(Raw!F1325="","",Raw!F1325)</f>
        <v>sale</v>
      </c>
      <c r="L1325" s="1" t="str">
        <f>IF(LEFT(TRIM(Raw!G1325),2)="-$","-"&amp;MID(TRIM(Raw!G1325),3,99),IF(LEFT(TRIM(Raw!G1325),1)="$",MID(TRIM(Raw!G1325),2,99),TRIM(Raw!G1325)))</f>
        <v>25.30</v>
      </c>
      <c r="M1325" s="1">
        <f t="shared" si="163"/>
        <v>25.3</v>
      </c>
      <c r="N1325" s="10">
        <f t="shared" si="164"/>
        <v>2530</v>
      </c>
      <c r="O1325" s="1" t="b">
        <f>IFERROR(IF(ISNUMBER(Raw!G1325),TRUE,OR(EXACT(L1325,TEXT(M1325,"0.00")),EXACT(L1325,TEXT(M1325,"#,##0.00")))),FALSE)</f>
        <v>1</v>
      </c>
      <c r="P1325" s="1" t="str">
        <f>LEN(IF(Raw!A1325="","",Raw!A1325))&amp;":"&amp;IF(Raw!A1325="","",Raw!A1325)&amp;"|"&amp;LEN(IF(Raw!B1325="","",Raw!B1325))&amp;":"&amp;IF(Raw!B1325="","",Raw!B1325)&amp;"|"&amp;LEN(IF(Raw!C1325="","",Raw!C1325))&amp;":"&amp;IF(Raw!C1325="","",Raw!C1325)&amp;"|"&amp;LEN(IF(Raw!D1325="","",Raw!D1325))&amp;":"&amp;IF(Raw!D1325="","",Raw!D1325)&amp;"|"&amp;LEN(IF(Raw!E1325="","",Raw!E1325))&amp;":"&amp;IF(Raw!E1325="","",Raw!E1325)&amp;"|"&amp;LEN(IF(Raw!F1325="","",Raw!F1325))&amp;":"&amp;IF(Raw!F1325="","",Raw!F1325)&amp;"|"&amp;LEN(IF(Raw!G1325="","",Raw!G1325))&amp;":"&amp;IF(Raw!G1325="","",Raw!G1325)</f>
        <v>6:L01319|6:T00660|10:2026-01-24|3:P-H|4:Home|4:sale|5:25.30</v>
      </c>
      <c r="Q1325" s="1">
        <f>1</f>
        <v>1</v>
      </c>
      <c r="R1325" s="1" t="b">
        <f>FALSE</f>
        <v>0</v>
      </c>
      <c r="S1325" s="1">
        <f>1</f>
        <v>1</v>
      </c>
      <c r="T1325" s="1" t="str">
        <f>IF(AND(Raw!A1325="",Raw!B1325="",Raw!C1325="",Raw!D1325="",Raw!E1325="",Raw!F1325="",Raw!G1325=""),"UNUSED",IF(A1325="","missing line ID",IF(B1325="","missing transaction ID",IF(G1325="",IF(C1325="","missing date","invalid date"),IF(I1325="","unknown product",IF(J1325="","conflicting category",IF(NOT(OR(EXACT(K1325,"sale"),EXACT(K1325,"refund"))),"unknown event",IF(OR(N1325="",NOT(O1325)),"invalid amount",IF(OR(AND(K1325="sale",N1325&lt;=0),AND(K1325="refund",N1325&gt;=0)),"invalid sign","")))))))))</f>
        <v/>
      </c>
      <c r="U1325" s="1" t="str">
        <f t="shared" si="165"/>
        <v>INCLUDED</v>
      </c>
      <c r="V1325" s="1" t="str">
        <f t="shared" si="166"/>
        <v>2026-01</v>
      </c>
      <c r="W1325" s="1">
        <f>IF(AND(U1325="INCLUDED",X1325&gt;0,EXACT(A1325,'AI output'!A1325)),1,0)</f>
        <v>1</v>
      </c>
      <c r="X1325" s="1">
        <f>1325</f>
        <v>1325</v>
      </c>
      <c r="Y1325" s="1">
        <f>IF(AND(U1325="INCLUDED",W1325=1),--(NOT(EXACT(A1325,'AI output'!A1325)))+--(NOT(EXACT(B1325,'AI output'!B1325)))+--(NOT(EXACT(TEXT(G1325,"yyyy-mm-dd"),'AI output'!C1325)))+--(NOT(EXACT(H1325,'AI output'!D1325)))+--(NOT(EXACT(J1325,'AI output'!E1325)))+--(NOT(EXACT(K1325,'AI output'!F1325)))+--(N1325&lt;&gt;'AI output'!L1325)+--(NOT('AI output'!M1325)),0)</f>
        <v>0</v>
      </c>
      <c r="Z1325" s="1">
        <f t="shared" si="167"/>
        <v>0</v>
      </c>
      <c r="AA1325" s="1">
        <f>--EXACT(A1325,"L01319")</f>
        <v>1</v>
      </c>
    </row>
    <row r="1326" spans="1:27" ht="18.95" customHeight="1">
      <c r="A1326" s="1" t="str">
        <f>IF(Raw!A1326="","",Raw!A1326)</f>
        <v>L01320</v>
      </c>
      <c r="B1326" s="1" t="str">
        <f>IF(Raw!B1326="","",Raw!B1326)</f>
        <v>T00660</v>
      </c>
      <c r="C1326" s="1" t="str">
        <f>IF(Raw!C1326="","",Raw!C1326)</f>
        <v>2026-01-24</v>
      </c>
      <c r="D1326" s="1">
        <f t="shared" si="160"/>
        <v>2026</v>
      </c>
      <c r="E1326" s="1">
        <f>IFERROR(IF(AND(LEN(C1326)=10,MID(C1326,5,1)="-",MID(C1326,8,1)="-"),VALUE(MID(C1326,6,2)),IF(AND(LEN(C1326)=11,MID(C1326,3,1)="-",MID(C1326,7,1)="-"),MATCH(UPPER(MID(C1326,4,3)),Guide!$D$7:$D$18,0),0)),0)</f>
        <v>1</v>
      </c>
      <c r="F1326" s="1">
        <f t="shared" si="161"/>
        <v>24</v>
      </c>
      <c r="G1326" s="9">
        <f t="shared" si="162"/>
        <v>46046</v>
      </c>
      <c r="H1326" s="1" t="str">
        <f>IF(Raw!D1326="","",Raw!D1326)</f>
        <v>P-O</v>
      </c>
      <c r="I1326" s="1" t="str">
        <f>IFERROR(IF(EXACT(H1326,INDEX(Guide!$A$7:$A$9,MATCH(SUBSTITUTE(SUBSTITUTE(SUBSTITUTE(H1326,"~","~~"),"*","~*"),"?","~?"),Guide!$A$7:$A$9,0))),INDEX(Guide!$B$7:$B$9,MATCH(SUBSTITUTE(SUBSTITUTE(SUBSTITUTE(H1326,"~","~~"),"*","~*"),"?","~?"),Guide!$A$7:$A$9,0)),""),"")</f>
        <v>Office</v>
      </c>
      <c r="J1326" s="1" t="str">
        <f>IF(TRIM(Raw!E1326)="",I1326,IF(UPPER(TRIM(Raw!E1326))=UPPER(I1326),I1326,""))</f>
        <v>Office</v>
      </c>
      <c r="K1326" s="1" t="str">
        <f>IF(Raw!F1326="","",Raw!F1326)</f>
        <v>sale</v>
      </c>
      <c r="L1326" s="1" t="str">
        <f>IF(LEFT(TRIM(Raw!G1326),2)="-$","-"&amp;MID(TRIM(Raw!G1326),3,99),IF(LEFT(TRIM(Raw!G1326),1)="$",MID(TRIM(Raw!G1326),2,99),TRIM(Raw!G1326)))</f>
        <v>52.08</v>
      </c>
      <c r="M1326" s="1">
        <f t="shared" si="163"/>
        <v>52.08</v>
      </c>
      <c r="N1326" s="10">
        <f t="shared" si="164"/>
        <v>5208</v>
      </c>
      <c r="O1326" s="1" t="b">
        <f>IFERROR(IF(ISNUMBER(Raw!G1326),TRUE,OR(EXACT(L1326,TEXT(M1326,"0.00")),EXACT(L1326,TEXT(M1326,"#,##0.00")))),FALSE)</f>
        <v>1</v>
      </c>
      <c r="P1326" s="1" t="str">
        <f>LEN(IF(Raw!A1326="","",Raw!A1326))&amp;":"&amp;IF(Raw!A1326="","",Raw!A1326)&amp;"|"&amp;LEN(IF(Raw!B1326="","",Raw!B1326))&amp;":"&amp;IF(Raw!B1326="","",Raw!B1326)&amp;"|"&amp;LEN(IF(Raw!C1326="","",Raw!C1326))&amp;":"&amp;IF(Raw!C1326="","",Raw!C1326)&amp;"|"&amp;LEN(IF(Raw!D1326="","",Raw!D1326))&amp;":"&amp;IF(Raw!D1326="","",Raw!D1326)&amp;"|"&amp;LEN(IF(Raw!E1326="","",Raw!E1326))&amp;":"&amp;IF(Raw!E1326="","",Raw!E1326)&amp;"|"&amp;LEN(IF(Raw!F1326="","",Raw!F1326))&amp;":"&amp;IF(Raw!F1326="","",Raw!F1326)&amp;"|"&amp;LEN(IF(Raw!G1326="","",Raw!G1326))&amp;":"&amp;IF(Raw!G1326="","",Raw!G1326)</f>
        <v>6:L01320|6:T00660|10:2026-01-24|3:P-O|6:Office|4:sale|5:52.08</v>
      </c>
      <c r="Q1326" s="1">
        <f>1</f>
        <v>1</v>
      </c>
      <c r="R1326" s="1" t="b">
        <f>FALSE</f>
        <v>0</v>
      </c>
      <c r="S1326" s="1">
        <f>1</f>
        <v>1</v>
      </c>
      <c r="T1326" s="1" t="str">
        <f>IF(AND(Raw!A1326="",Raw!B1326="",Raw!C1326="",Raw!D1326="",Raw!E1326="",Raw!F1326="",Raw!G1326=""),"UNUSED",IF(A1326="","missing line ID",IF(B1326="","missing transaction ID",IF(G1326="",IF(C1326="","missing date","invalid date"),IF(I1326="","unknown product",IF(J1326="","conflicting category",IF(NOT(OR(EXACT(K1326,"sale"),EXACT(K1326,"refund"))),"unknown event",IF(OR(N1326="",NOT(O1326)),"invalid amount",IF(OR(AND(K1326="sale",N1326&lt;=0),AND(K1326="refund",N1326&gt;=0)),"invalid sign","")))))))))</f>
        <v/>
      </c>
      <c r="U1326" s="1" t="str">
        <f t="shared" si="165"/>
        <v>INCLUDED</v>
      </c>
      <c r="V1326" s="1" t="str">
        <f t="shared" si="166"/>
        <v>2026-01</v>
      </c>
      <c r="W1326" s="1">
        <f>IF(AND(U1326="INCLUDED",X1326&gt;0,EXACT(A1326,'AI output'!A1326)),1,0)</f>
        <v>1</v>
      </c>
      <c r="X1326" s="1">
        <f>1326</f>
        <v>1326</v>
      </c>
      <c r="Y1326" s="1">
        <f>IF(AND(U1326="INCLUDED",W1326=1),--(NOT(EXACT(A1326,'AI output'!A1326)))+--(NOT(EXACT(B1326,'AI output'!B1326)))+--(NOT(EXACT(TEXT(G1326,"yyyy-mm-dd"),'AI output'!C1326)))+--(NOT(EXACT(H1326,'AI output'!D1326)))+--(NOT(EXACT(J1326,'AI output'!E1326)))+--(NOT(EXACT(K1326,'AI output'!F1326)))+--(N1326&lt;&gt;'AI output'!L1326)+--(NOT('AI output'!M1326)),0)</f>
        <v>0</v>
      </c>
      <c r="Z1326" s="1">
        <f t="shared" si="167"/>
        <v>0</v>
      </c>
      <c r="AA1326" s="1">
        <f>--EXACT(A1326,"L01320")</f>
        <v>1</v>
      </c>
    </row>
    <row r="1327" spans="1:27" ht="18.95" customHeight="1">
      <c r="A1327" s="1" t="str">
        <f>IF(Raw!A1327="","",Raw!A1327)</f>
        <v>L01321</v>
      </c>
      <c r="B1327" s="1" t="str">
        <f>IF(Raw!B1327="","",Raw!B1327)</f>
        <v>T00661</v>
      </c>
      <c r="C1327" s="1" t="str">
        <f>IF(Raw!C1327="","",Raw!C1327)</f>
        <v>2026-01-31</v>
      </c>
      <c r="D1327" s="1">
        <f t="shared" si="160"/>
        <v>2026</v>
      </c>
      <c r="E1327" s="1">
        <f>IFERROR(IF(AND(LEN(C1327)=10,MID(C1327,5,1)="-",MID(C1327,8,1)="-"),VALUE(MID(C1327,6,2)),IF(AND(LEN(C1327)=11,MID(C1327,3,1)="-",MID(C1327,7,1)="-"),MATCH(UPPER(MID(C1327,4,3)),Guide!$D$7:$D$18,0),0)),0)</f>
        <v>1</v>
      </c>
      <c r="F1327" s="1">
        <f t="shared" si="161"/>
        <v>31</v>
      </c>
      <c r="G1327" s="9">
        <f t="shared" si="162"/>
        <v>46053</v>
      </c>
      <c r="H1327" s="1" t="str">
        <f>IF(Raw!D1327="","",Raw!D1327)</f>
        <v>P-A</v>
      </c>
      <c r="I1327" s="1" t="str">
        <f>IFERROR(IF(EXACT(H1327,INDEX(Guide!$A$7:$A$9,MATCH(SUBSTITUTE(SUBSTITUTE(SUBSTITUTE(H1327,"~","~~"),"*","~*"),"?","~?"),Guide!$A$7:$A$9,0))),INDEX(Guide!$B$7:$B$9,MATCH(SUBSTITUTE(SUBSTITUTE(SUBSTITUTE(H1327,"~","~~"),"*","~*"),"?","~?"),Guide!$A$7:$A$9,0)),""),"")</f>
        <v>Accessories</v>
      </c>
      <c r="J1327" s="1" t="str">
        <f>IF(TRIM(Raw!E1327)="",I1327,IF(UPPER(TRIM(Raw!E1327))=UPPER(I1327),I1327,""))</f>
        <v>Accessories</v>
      </c>
      <c r="K1327" s="1" t="str">
        <f>IF(Raw!F1327="","",Raw!F1327)</f>
        <v>sale</v>
      </c>
      <c r="L1327" s="1" t="str">
        <f>IF(LEFT(TRIM(Raw!G1327),2)="-$","-"&amp;MID(TRIM(Raw!G1327),3,99),IF(LEFT(TRIM(Raw!G1327),1)="$",MID(TRIM(Raw!G1327),2,99),TRIM(Raw!G1327)))</f>
        <v>13.39</v>
      </c>
      <c r="M1327" s="1">
        <f t="shared" si="163"/>
        <v>13.39</v>
      </c>
      <c r="N1327" s="10">
        <f t="shared" si="164"/>
        <v>1339</v>
      </c>
      <c r="O1327" s="1" t="b">
        <f>IFERROR(IF(ISNUMBER(Raw!G1327),TRUE,OR(EXACT(L1327,TEXT(M1327,"0.00")),EXACT(L1327,TEXT(M1327,"#,##0.00")))),FALSE)</f>
        <v>1</v>
      </c>
      <c r="P1327" s="1" t="str">
        <f>LEN(IF(Raw!A1327="","",Raw!A1327))&amp;":"&amp;IF(Raw!A1327="","",Raw!A1327)&amp;"|"&amp;LEN(IF(Raw!B1327="","",Raw!B1327))&amp;":"&amp;IF(Raw!B1327="","",Raw!B1327)&amp;"|"&amp;LEN(IF(Raw!C1327="","",Raw!C1327))&amp;":"&amp;IF(Raw!C1327="","",Raw!C1327)&amp;"|"&amp;LEN(IF(Raw!D1327="","",Raw!D1327))&amp;":"&amp;IF(Raw!D1327="","",Raw!D1327)&amp;"|"&amp;LEN(IF(Raw!E1327="","",Raw!E1327))&amp;":"&amp;IF(Raw!E1327="","",Raw!E1327)&amp;"|"&amp;LEN(IF(Raw!F1327="","",Raw!F1327))&amp;":"&amp;IF(Raw!F1327="","",Raw!F1327)&amp;"|"&amp;LEN(IF(Raw!G1327="","",Raw!G1327))&amp;":"&amp;IF(Raw!G1327="","",Raw!G1327)</f>
        <v>6:L01321|6:T00661|10:2026-01-31|3:P-A|11:Accessories|4:sale|5:13.39</v>
      </c>
      <c r="Q1327" s="1">
        <f>1</f>
        <v>1</v>
      </c>
      <c r="R1327" s="1" t="b">
        <f>FALSE</f>
        <v>0</v>
      </c>
      <c r="S1327" s="1">
        <f>1</f>
        <v>1</v>
      </c>
      <c r="T1327" s="1" t="str">
        <f>IF(AND(Raw!A1327="",Raw!B1327="",Raw!C1327="",Raw!D1327="",Raw!E1327="",Raw!F1327="",Raw!G1327=""),"UNUSED",IF(A1327="","missing line ID",IF(B1327="","missing transaction ID",IF(G1327="",IF(C1327="","missing date","invalid date"),IF(I1327="","unknown product",IF(J1327="","conflicting category",IF(NOT(OR(EXACT(K1327,"sale"),EXACT(K1327,"refund"))),"unknown event",IF(OR(N1327="",NOT(O1327)),"invalid amount",IF(OR(AND(K1327="sale",N1327&lt;=0),AND(K1327="refund",N1327&gt;=0)),"invalid sign","")))))))))</f>
        <v/>
      </c>
      <c r="U1327" s="1" t="str">
        <f t="shared" si="165"/>
        <v>INCLUDED</v>
      </c>
      <c r="V1327" s="1" t="str">
        <f t="shared" si="166"/>
        <v>2026-01</v>
      </c>
      <c r="W1327" s="1">
        <f>IF(AND(U1327="INCLUDED",X1327&gt;0,EXACT(A1327,'AI output'!A1327)),1,0)</f>
        <v>1</v>
      </c>
      <c r="X1327" s="1">
        <f>1327</f>
        <v>1327</v>
      </c>
      <c r="Y1327" s="1">
        <f>IF(AND(U1327="INCLUDED",W1327=1),--(NOT(EXACT(A1327,'AI output'!A1327)))+--(NOT(EXACT(B1327,'AI output'!B1327)))+--(NOT(EXACT(TEXT(G1327,"yyyy-mm-dd"),'AI output'!C1327)))+--(NOT(EXACT(H1327,'AI output'!D1327)))+--(NOT(EXACT(J1327,'AI output'!E1327)))+--(NOT(EXACT(K1327,'AI output'!F1327)))+--(N1327&lt;&gt;'AI output'!L1327)+--(NOT('AI output'!M1327)),0)</f>
        <v>0</v>
      </c>
      <c r="Z1327" s="1">
        <f t="shared" si="167"/>
        <v>0</v>
      </c>
      <c r="AA1327" s="1">
        <f>--EXACT(A1327,"L01321")</f>
        <v>1</v>
      </c>
    </row>
    <row r="1328" spans="1:27" ht="18.95" customHeight="1">
      <c r="A1328" s="1" t="str">
        <f>IF(Raw!A1328="","",Raw!A1328)</f>
        <v>L01322</v>
      </c>
      <c r="B1328" s="1" t="str">
        <f>IF(Raw!B1328="","",Raw!B1328)</f>
        <v>T00661</v>
      </c>
      <c r="C1328" s="1" t="str">
        <f>IF(Raw!C1328="","",Raw!C1328)</f>
        <v>2026-01-31</v>
      </c>
      <c r="D1328" s="1">
        <f t="shared" si="160"/>
        <v>2026</v>
      </c>
      <c r="E1328" s="1">
        <f>IFERROR(IF(AND(LEN(C1328)=10,MID(C1328,5,1)="-",MID(C1328,8,1)="-"),VALUE(MID(C1328,6,2)),IF(AND(LEN(C1328)=11,MID(C1328,3,1)="-",MID(C1328,7,1)="-"),MATCH(UPPER(MID(C1328,4,3)),Guide!$D$7:$D$18,0),0)),0)</f>
        <v>1</v>
      </c>
      <c r="F1328" s="1">
        <f t="shared" si="161"/>
        <v>31</v>
      </c>
      <c r="G1328" s="9">
        <f t="shared" si="162"/>
        <v>46053</v>
      </c>
      <c r="H1328" s="1" t="str">
        <f>IF(Raw!D1328="","",Raw!D1328)</f>
        <v>P-H</v>
      </c>
      <c r="I1328" s="1" t="str">
        <f>IFERROR(IF(EXACT(H1328,INDEX(Guide!$A$7:$A$9,MATCH(SUBSTITUTE(SUBSTITUTE(SUBSTITUTE(H1328,"~","~~"),"*","~*"),"?","~?"),Guide!$A$7:$A$9,0))),INDEX(Guide!$B$7:$B$9,MATCH(SUBSTITUTE(SUBSTITUTE(SUBSTITUTE(H1328,"~","~~"),"*","~*"),"?","~?"),Guide!$A$7:$A$9,0)),""),"")</f>
        <v>Home</v>
      </c>
      <c r="J1328" s="1" t="str">
        <f>IF(TRIM(Raw!E1328)="",I1328,IF(UPPER(TRIM(Raw!E1328))=UPPER(I1328),I1328,""))</f>
        <v>Home</v>
      </c>
      <c r="K1328" s="1" t="str">
        <f>IF(Raw!F1328="","",Raw!F1328)</f>
        <v>sale</v>
      </c>
      <c r="L1328" s="1" t="str">
        <f>IF(LEFT(TRIM(Raw!G1328),2)="-$","-"&amp;MID(TRIM(Raw!G1328),3,99),IF(LEFT(TRIM(Raw!G1328),1)="$",MID(TRIM(Raw!G1328),2,99),TRIM(Raw!G1328)))</f>
        <v>41.28</v>
      </c>
      <c r="M1328" s="1">
        <f t="shared" si="163"/>
        <v>41.28</v>
      </c>
      <c r="N1328" s="10">
        <f t="shared" si="164"/>
        <v>4128</v>
      </c>
      <c r="O1328" s="1" t="b">
        <f>IFERROR(IF(ISNUMBER(Raw!G1328),TRUE,OR(EXACT(L1328,TEXT(M1328,"0.00")),EXACT(L1328,TEXT(M1328,"#,##0.00")))),FALSE)</f>
        <v>1</v>
      </c>
      <c r="P1328" s="1" t="str">
        <f>LEN(IF(Raw!A1328="","",Raw!A1328))&amp;":"&amp;IF(Raw!A1328="","",Raw!A1328)&amp;"|"&amp;LEN(IF(Raw!B1328="","",Raw!B1328))&amp;":"&amp;IF(Raw!B1328="","",Raw!B1328)&amp;"|"&amp;LEN(IF(Raw!C1328="","",Raw!C1328))&amp;":"&amp;IF(Raw!C1328="","",Raw!C1328)&amp;"|"&amp;LEN(IF(Raw!D1328="","",Raw!D1328))&amp;":"&amp;IF(Raw!D1328="","",Raw!D1328)&amp;"|"&amp;LEN(IF(Raw!E1328="","",Raw!E1328))&amp;":"&amp;IF(Raw!E1328="","",Raw!E1328)&amp;"|"&amp;LEN(IF(Raw!F1328="","",Raw!F1328))&amp;":"&amp;IF(Raw!F1328="","",Raw!F1328)&amp;"|"&amp;LEN(IF(Raw!G1328="","",Raw!G1328))&amp;":"&amp;IF(Raw!G1328="","",Raw!G1328)</f>
        <v>6:L01322|6:T00661|10:2026-01-31|3:P-H|4:Home|4:sale|5:41.28</v>
      </c>
      <c r="Q1328" s="1">
        <f>1</f>
        <v>1</v>
      </c>
      <c r="R1328" s="1" t="b">
        <f>FALSE</f>
        <v>0</v>
      </c>
      <c r="S1328" s="1">
        <f>1</f>
        <v>1</v>
      </c>
      <c r="T1328" s="1" t="str">
        <f>IF(AND(Raw!A1328="",Raw!B1328="",Raw!C1328="",Raw!D1328="",Raw!E1328="",Raw!F1328="",Raw!G1328=""),"UNUSED",IF(A1328="","missing line ID",IF(B1328="","missing transaction ID",IF(G1328="",IF(C1328="","missing date","invalid date"),IF(I1328="","unknown product",IF(J1328="","conflicting category",IF(NOT(OR(EXACT(K1328,"sale"),EXACT(K1328,"refund"))),"unknown event",IF(OR(N1328="",NOT(O1328)),"invalid amount",IF(OR(AND(K1328="sale",N1328&lt;=0),AND(K1328="refund",N1328&gt;=0)),"invalid sign","")))))))))</f>
        <v/>
      </c>
      <c r="U1328" s="1" t="str">
        <f t="shared" si="165"/>
        <v>INCLUDED</v>
      </c>
      <c r="V1328" s="1" t="str">
        <f t="shared" si="166"/>
        <v>2026-01</v>
      </c>
      <c r="W1328" s="1">
        <f>IF(AND(U1328="INCLUDED",X1328&gt;0,EXACT(A1328,'AI output'!A1328)),1,0)</f>
        <v>1</v>
      </c>
      <c r="X1328" s="1">
        <f>1328</f>
        <v>1328</v>
      </c>
      <c r="Y1328" s="1">
        <f>IF(AND(U1328="INCLUDED",W1328=1),--(NOT(EXACT(A1328,'AI output'!A1328)))+--(NOT(EXACT(B1328,'AI output'!B1328)))+--(NOT(EXACT(TEXT(G1328,"yyyy-mm-dd"),'AI output'!C1328)))+--(NOT(EXACT(H1328,'AI output'!D1328)))+--(NOT(EXACT(J1328,'AI output'!E1328)))+--(NOT(EXACT(K1328,'AI output'!F1328)))+--(N1328&lt;&gt;'AI output'!L1328)+--(NOT('AI output'!M1328)),0)</f>
        <v>0</v>
      </c>
      <c r="Z1328" s="1">
        <f t="shared" si="167"/>
        <v>0</v>
      </c>
      <c r="AA1328" s="1">
        <f>--EXACT(A1328,"L01322")</f>
        <v>1</v>
      </c>
    </row>
    <row r="1329" spans="1:27" ht="18.95" customHeight="1">
      <c r="A1329" s="1" t="str">
        <f>IF(Raw!A1329="","",Raw!A1329)</f>
        <v>L01323</v>
      </c>
      <c r="B1329" s="1" t="str">
        <f>IF(Raw!B1329="","",Raw!B1329)</f>
        <v>T00662</v>
      </c>
      <c r="C1329" s="1" t="str">
        <f>IF(Raw!C1329="","",Raw!C1329)</f>
        <v>2026-02-07</v>
      </c>
      <c r="D1329" s="1">
        <f t="shared" si="160"/>
        <v>2026</v>
      </c>
      <c r="E1329" s="1">
        <f>IFERROR(IF(AND(LEN(C1329)=10,MID(C1329,5,1)="-",MID(C1329,8,1)="-"),VALUE(MID(C1329,6,2)),IF(AND(LEN(C1329)=11,MID(C1329,3,1)="-",MID(C1329,7,1)="-"),MATCH(UPPER(MID(C1329,4,3)),Guide!$D$7:$D$18,0),0)),0)</f>
        <v>2</v>
      </c>
      <c r="F1329" s="1">
        <f t="shared" si="161"/>
        <v>7</v>
      </c>
      <c r="G1329" s="9">
        <f t="shared" si="162"/>
        <v>46060</v>
      </c>
      <c r="H1329" s="1" t="str">
        <f>IF(Raw!D1329="","",Raw!D1329)</f>
        <v>P-O</v>
      </c>
      <c r="I1329" s="1" t="str">
        <f>IFERROR(IF(EXACT(H1329,INDEX(Guide!$A$7:$A$9,MATCH(SUBSTITUTE(SUBSTITUTE(SUBSTITUTE(H1329,"~","~~"),"*","~*"),"?","~?"),Guide!$A$7:$A$9,0))),INDEX(Guide!$B$7:$B$9,MATCH(SUBSTITUTE(SUBSTITUTE(SUBSTITUTE(H1329,"~","~~"),"*","~*"),"?","~?"),Guide!$A$7:$A$9,0)),""),"")</f>
        <v>Office</v>
      </c>
      <c r="J1329" s="1" t="str">
        <f>IF(TRIM(Raw!E1329)="",I1329,IF(UPPER(TRIM(Raw!E1329))=UPPER(I1329),I1329,""))</f>
        <v>Office</v>
      </c>
      <c r="K1329" s="1" t="str">
        <f>IF(Raw!F1329="","",Raw!F1329)</f>
        <v>sale</v>
      </c>
      <c r="L1329" s="1" t="str">
        <f>IF(LEFT(TRIM(Raw!G1329),2)="-$","-"&amp;MID(TRIM(Raw!G1329),3,99),IF(LEFT(TRIM(Raw!G1329),1)="$",MID(TRIM(Raw!G1329),2,99),TRIM(Raw!G1329)))</f>
        <v>70.65</v>
      </c>
      <c r="M1329" s="1">
        <f t="shared" si="163"/>
        <v>70.650000000000006</v>
      </c>
      <c r="N1329" s="10">
        <f t="shared" si="164"/>
        <v>7065</v>
      </c>
      <c r="O1329" s="1" t="b">
        <f>IFERROR(IF(ISNUMBER(Raw!G1329),TRUE,OR(EXACT(L1329,TEXT(M1329,"0.00")),EXACT(L1329,TEXT(M1329,"#,##0.00")))),FALSE)</f>
        <v>1</v>
      </c>
      <c r="P1329" s="1" t="str">
        <f>LEN(IF(Raw!A1329="","",Raw!A1329))&amp;":"&amp;IF(Raw!A1329="","",Raw!A1329)&amp;"|"&amp;LEN(IF(Raw!B1329="","",Raw!B1329))&amp;":"&amp;IF(Raw!B1329="","",Raw!B1329)&amp;"|"&amp;LEN(IF(Raw!C1329="","",Raw!C1329))&amp;":"&amp;IF(Raw!C1329="","",Raw!C1329)&amp;"|"&amp;LEN(IF(Raw!D1329="","",Raw!D1329))&amp;":"&amp;IF(Raw!D1329="","",Raw!D1329)&amp;"|"&amp;LEN(IF(Raw!E1329="","",Raw!E1329))&amp;":"&amp;IF(Raw!E1329="","",Raw!E1329)&amp;"|"&amp;LEN(IF(Raw!F1329="","",Raw!F1329))&amp;":"&amp;IF(Raw!F1329="","",Raw!F1329)&amp;"|"&amp;LEN(IF(Raw!G1329="","",Raw!G1329))&amp;":"&amp;IF(Raw!G1329="","",Raw!G1329)</f>
        <v>6:L01323|6:T00662|10:2026-02-07|3:P-O|6:Office|4:sale|5:70.65</v>
      </c>
      <c r="Q1329" s="1">
        <f>1</f>
        <v>1</v>
      </c>
      <c r="R1329" s="1" t="b">
        <f>FALSE</f>
        <v>0</v>
      </c>
      <c r="S1329" s="1">
        <f>1</f>
        <v>1</v>
      </c>
      <c r="T1329" s="1" t="str">
        <f>IF(AND(Raw!A1329="",Raw!B1329="",Raw!C1329="",Raw!D1329="",Raw!E1329="",Raw!F1329="",Raw!G1329=""),"UNUSED",IF(A1329="","missing line ID",IF(B1329="","missing transaction ID",IF(G1329="",IF(C1329="","missing date","invalid date"),IF(I1329="","unknown product",IF(J1329="","conflicting category",IF(NOT(OR(EXACT(K1329,"sale"),EXACT(K1329,"refund"))),"unknown event",IF(OR(N1329="",NOT(O1329)),"invalid amount",IF(OR(AND(K1329="sale",N1329&lt;=0),AND(K1329="refund",N1329&gt;=0)),"invalid sign","")))))))))</f>
        <v/>
      </c>
      <c r="U1329" s="1" t="str">
        <f t="shared" si="165"/>
        <v>INCLUDED</v>
      </c>
      <c r="V1329" s="1" t="str">
        <f t="shared" si="166"/>
        <v>2026-02</v>
      </c>
      <c r="W1329" s="1">
        <f>IF(AND(U1329="INCLUDED",X1329&gt;0,EXACT(A1329,'AI output'!A1329)),1,0)</f>
        <v>1</v>
      </c>
      <c r="X1329" s="1">
        <f>1329</f>
        <v>1329</v>
      </c>
      <c r="Y1329" s="1">
        <f>IF(AND(U1329="INCLUDED",W1329=1),--(NOT(EXACT(A1329,'AI output'!A1329)))+--(NOT(EXACT(B1329,'AI output'!B1329)))+--(NOT(EXACT(TEXT(G1329,"yyyy-mm-dd"),'AI output'!C1329)))+--(NOT(EXACT(H1329,'AI output'!D1329)))+--(NOT(EXACT(J1329,'AI output'!E1329)))+--(NOT(EXACT(K1329,'AI output'!F1329)))+--(N1329&lt;&gt;'AI output'!L1329)+--(NOT('AI output'!M1329)),0)</f>
        <v>0</v>
      </c>
      <c r="Z1329" s="1">
        <f t="shared" si="167"/>
        <v>0</v>
      </c>
      <c r="AA1329" s="1">
        <f>--EXACT(A1329,"L01323")</f>
        <v>1</v>
      </c>
    </row>
    <row r="1330" spans="1:27" ht="18.95" customHeight="1">
      <c r="A1330" s="1" t="str">
        <f>IF(Raw!A1330="","",Raw!A1330)</f>
        <v>L01324</v>
      </c>
      <c r="B1330" s="1" t="str">
        <f>IF(Raw!B1330="","",Raw!B1330)</f>
        <v>T00662</v>
      </c>
      <c r="C1330" s="1" t="str">
        <f>IF(Raw!C1330="","",Raw!C1330)</f>
        <v>2026-02-07</v>
      </c>
      <c r="D1330" s="1">
        <f t="shared" si="160"/>
        <v>2026</v>
      </c>
      <c r="E1330" s="1">
        <f>IFERROR(IF(AND(LEN(C1330)=10,MID(C1330,5,1)="-",MID(C1330,8,1)="-"),VALUE(MID(C1330,6,2)),IF(AND(LEN(C1330)=11,MID(C1330,3,1)="-",MID(C1330,7,1)="-"),MATCH(UPPER(MID(C1330,4,3)),Guide!$D$7:$D$18,0),0)),0)</f>
        <v>2</v>
      </c>
      <c r="F1330" s="1">
        <f t="shared" si="161"/>
        <v>7</v>
      </c>
      <c r="G1330" s="9">
        <f t="shared" si="162"/>
        <v>46060</v>
      </c>
      <c r="H1330" s="1" t="str">
        <f>IF(Raw!D1330="","",Raw!D1330)</f>
        <v>P-A</v>
      </c>
      <c r="I1330" s="1" t="str">
        <f>IFERROR(IF(EXACT(H1330,INDEX(Guide!$A$7:$A$9,MATCH(SUBSTITUTE(SUBSTITUTE(SUBSTITUTE(H1330,"~","~~"),"*","~*"),"?","~?"),Guide!$A$7:$A$9,0))),INDEX(Guide!$B$7:$B$9,MATCH(SUBSTITUTE(SUBSTITUTE(SUBSTITUTE(H1330,"~","~~"),"*","~*"),"?","~?"),Guide!$A$7:$A$9,0)),""),"")</f>
        <v>Accessories</v>
      </c>
      <c r="J1330" s="1" t="str">
        <f>IF(TRIM(Raw!E1330)="",I1330,IF(UPPER(TRIM(Raw!E1330))=UPPER(I1330),I1330,""))</f>
        <v>Accessories</v>
      </c>
      <c r="K1330" s="1" t="str">
        <f>IF(Raw!F1330="","",Raw!F1330)</f>
        <v>sale</v>
      </c>
      <c r="L1330" s="1" t="str">
        <f>IF(LEFT(TRIM(Raw!G1330),2)="-$","-"&amp;MID(TRIM(Raw!G1330),3,99),IF(LEFT(TRIM(Raw!G1330),1)="$",MID(TRIM(Raw!G1330),2,99),TRIM(Raw!G1330)))</f>
        <v>29.00</v>
      </c>
      <c r="M1330" s="1">
        <f t="shared" si="163"/>
        <v>29</v>
      </c>
      <c r="N1330" s="10">
        <f t="shared" si="164"/>
        <v>2900</v>
      </c>
      <c r="O1330" s="1" t="b">
        <f>IFERROR(IF(ISNUMBER(Raw!G1330),TRUE,OR(EXACT(L1330,TEXT(M1330,"0.00")),EXACT(L1330,TEXT(M1330,"#,##0.00")))),FALSE)</f>
        <v>1</v>
      </c>
      <c r="P1330" s="1" t="str">
        <f>LEN(IF(Raw!A1330="","",Raw!A1330))&amp;":"&amp;IF(Raw!A1330="","",Raw!A1330)&amp;"|"&amp;LEN(IF(Raw!B1330="","",Raw!B1330))&amp;":"&amp;IF(Raw!B1330="","",Raw!B1330)&amp;"|"&amp;LEN(IF(Raw!C1330="","",Raw!C1330))&amp;":"&amp;IF(Raw!C1330="","",Raw!C1330)&amp;"|"&amp;LEN(IF(Raw!D1330="","",Raw!D1330))&amp;":"&amp;IF(Raw!D1330="","",Raw!D1330)&amp;"|"&amp;LEN(IF(Raw!E1330="","",Raw!E1330))&amp;":"&amp;IF(Raw!E1330="","",Raw!E1330)&amp;"|"&amp;LEN(IF(Raw!F1330="","",Raw!F1330))&amp;":"&amp;IF(Raw!F1330="","",Raw!F1330)&amp;"|"&amp;LEN(IF(Raw!G1330="","",Raw!G1330))&amp;":"&amp;IF(Raw!G1330="","",Raw!G1330)</f>
        <v>6:L01324|6:T00662|10:2026-02-07|3:P-A|11:Accessories|4:sale|5:29.00</v>
      </c>
      <c r="Q1330" s="1">
        <f>1</f>
        <v>1</v>
      </c>
      <c r="R1330" s="1" t="b">
        <f>FALSE</f>
        <v>0</v>
      </c>
      <c r="S1330" s="1">
        <f>1</f>
        <v>1</v>
      </c>
      <c r="T1330" s="1" t="str">
        <f>IF(AND(Raw!A1330="",Raw!B1330="",Raw!C1330="",Raw!D1330="",Raw!E1330="",Raw!F1330="",Raw!G1330=""),"UNUSED",IF(A1330="","missing line ID",IF(B1330="","missing transaction ID",IF(G1330="",IF(C1330="","missing date","invalid date"),IF(I1330="","unknown product",IF(J1330="","conflicting category",IF(NOT(OR(EXACT(K1330,"sale"),EXACT(K1330,"refund"))),"unknown event",IF(OR(N1330="",NOT(O1330)),"invalid amount",IF(OR(AND(K1330="sale",N1330&lt;=0),AND(K1330="refund",N1330&gt;=0)),"invalid sign","")))))))))</f>
        <v/>
      </c>
      <c r="U1330" s="1" t="str">
        <f t="shared" si="165"/>
        <v>INCLUDED</v>
      </c>
      <c r="V1330" s="1" t="str">
        <f t="shared" si="166"/>
        <v>2026-02</v>
      </c>
      <c r="W1330" s="1">
        <f>IF(AND(U1330="INCLUDED",X1330&gt;0,EXACT(A1330,'AI output'!A1330)),1,0)</f>
        <v>1</v>
      </c>
      <c r="X1330" s="1">
        <f>1330</f>
        <v>1330</v>
      </c>
      <c r="Y1330" s="1">
        <f>IF(AND(U1330="INCLUDED",W1330=1),--(NOT(EXACT(A1330,'AI output'!A1330)))+--(NOT(EXACT(B1330,'AI output'!B1330)))+--(NOT(EXACT(TEXT(G1330,"yyyy-mm-dd"),'AI output'!C1330)))+--(NOT(EXACT(H1330,'AI output'!D1330)))+--(NOT(EXACT(J1330,'AI output'!E1330)))+--(NOT(EXACT(K1330,'AI output'!F1330)))+--(N1330&lt;&gt;'AI output'!L1330)+--(NOT('AI output'!M1330)),0)</f>
        <v>0</v>
      </c>
      <c r="Z1330" s="1">
        <f t="shared" si="167"/>
        <v>0</v>
      </c>
      <c r="AA1330" s="1">
        <f>--EXACT(A1330,"L01324")</f>
        <v>1</v>
      </c>
    </row>
    <row r="1331" spans="1:27" ht="18.95" customHeight="1">
      <c r="A1331" s="1" t="str">
        <f>IF(Raw!A1331="","",Raw!A1331)</f>
        <v>L01325</v>
      </c>
      <c r="B1331" s="1" t="str">
        <f>IF(Raw!B1331="","",Raw!B1331)</f>
        <v>T00663</v>
      </c>
      <c r="C1331" s="1" t="str">
        <f>IF(Raw!C1331="","",Raw!C1331)</f>
        <v>2026-02-14</v>
      </c>
      <c r="D1331" s="1">
        <f t="shared" si="160"/>
        <v>2026</v>
      </c>
      <c r="E1331" s="1">
        <f>IFERROR(IF(AND(LEN(C1331)=10,MID(C1331,5,1)="-",MID(C1331,8,1)="-"),VALUE(MID(C1331,6,2)),IF(AND(LEN(C1331)=11,MID(C1331,3,1)="-",MID(C1331,7,1)="-"),MATCH(UPPER(MID(C1331,4,3)),Guide!$D$7:$D$18,0),0)),0)</f>
        <v>2</v>
      </c>
      <c r="F1331" s="1">
        <f t="shared" si="161"/>
        <v>14</v>
      </c>
      <c r="G1331" s="9">
        <f t="shared" si="162"/>
        <v>46067</v>
      </c>
      <c r="H1331" s="1" t="str">
        <f>IF(Raw!D1331="","",Raw!D1331)</f>
        <v>P-H</v>
      </c>
      <c r="I1331" s="1" t="str">
        <f>IFERROR(IF(EXACT(H1331,INDEX(Guide!$A$7:$A$9,MATCH(SUBSTITUTE(SUBSTITUTE(SUBSTITUTE(H1331,"~","~~"),"*","~*"),"?","~?"),Guide!$A$7:$A$9,0))),INDEX(Guide!$B$7:$B$9,MATCH(SUBSTITUTE(SUBSTITUTE(SUBSTITUTE(H1331,"~","~~"),"*","~*"),"?","~?"),Guide!$A$7:$A$9,0)),""),"")</f>
        <v>Home</v>
      </c>
      <c r="J1331" s="1" t="str">
        <f>IF(TRIM(Raw!E1331)="",I1331,IF(UPPER(TRIM(Raw!E1331))=UPPER(I1331),I1331,""))</f>
        <v>Home</v>
      </c>
      <c r="K1331" s="1" t="str">
        <f>IF(Raw!F1331="","",Raw!F1331)</f>
        <v>sale</v>
      </c>
      <c r="L1331" s="1" t="str">
        <f>IF(LEFT(TRIM(Raw!G1331),2)="-$","-"&amp;MID(TRIM(Raw!G1331),3,99),IF(LEFT(TRIM(Raw!G1331),1)="$",MID(TRIM(Raw!G1331),2,99),TRIM(Raw!G1331)))</f>
        <v>59.48</v>
      </c>
      <c r="M1331" s="1">
        <f t="shared" si="163"/>
        <v>59.48</v>
      </c>
      <c r="N1331" s="10">
        <f t="shared" si="164"/>
        <v>5948</v>
      </c>
      <c r="O1331" s="1" t="b">
        <f>IFERROR(IF(ISNUMBER(Raw!G1331),TRUE,OR(EXACT(L1331,TEXT(M1331,"0.00")),EXACT(L1331,TEXT(M1331,"#,##0.00")))),FALSE)</f>
        <v>1</v>
      </c>
      <c r="P1331" s="1" t="str">
        <f>LEN(IF(Raw!A1331="","",Raw!A1331))&amp;":"&amp;IF(Raw!A1331="","",Raw!A1331)&amp;"|"&amp;LEN(IF(Raw!B1331="","",Raw!B1331))&amp;":"&amp;IF(Raw!B1331="","",Raw!B1331)&amp;"|"&amp;LEN(IF(Raw!C1331="","",Raw!C1331))&amp;":"&amp;IF(Raw!C1331="","",Raw!C1331)&amp;"|"&amp;LEN(IF(Raw!D1331="","",Raw!D1331))&amp;":"&amp;IF(Raw!D1331="","",Raw!D1331)&amp;"|"&amp;LEN(IF(Raw!E1331="","",Raw!E1331))&amp;":"&amp;IF(Raw!E1331="","",Raw!E1331)&amp;"|"&amp;LEN(IF(Raw!F1331="","",Raw!F1331))&amp;":"&amp;IF(Raw!F1331="","",Raw!F1331)&amp;"|"&amp;LEN(IF(Raw!G1331="","",Raw!G1331))&amp;":"&amp;IF(Raw!G1331="","",Raw!G1331)</f>
        <v>6:L01325|6:T00663|10:2026-02-14|3:P-H|4:Home|4:sale|5:59.48</v>
      </c>
      <c r="Q1331" s="1">
        <f>1</f>
        <v>1</v>
      </c>
      <c r="R1331" s="1" t="b">
        <f>FALSE</f>
        <v>0</v>
      </c>
      <c r="S1331" s="1">
        <f>1</f>
        <v>1</v>
      </c>
      <c r="T1331" s="1" t="str">
        <f>IF(AND(Raw!A1331="",Raw!B1331="",Raw!C1331="",Raw!D1331="",Raw!E1331="",Raw!F1331="",Raw!G1331=""),"UNUSED",IF(A1331="","missing line ID",IF(B1331="","missing transaction ID",IF(G1331="",IF(C1331="","missing date","invalid date"),IF(I1331="","unknown product",IF(J1331="","conflicting category",IF(NOT(OR(EXACT(K1331,"sale"),EXACT(K1331,"refund"))),"unknown event",IF(OR(N1331="",NOT(O1331)),"invalid amount",IF(OR(AND(K1331="sale",N1331&lt;=0),AND(K1331="refund",N1331&gt;=0)),"invalid sign","")))))))))</f>
        <v/>
      </c>
      <c r="U1331" s="1" t="str">
        <f t="shared" si="165"/>
        <v>INCLUDED</v>
      </c>
      <c r="V1331" s="1" t="str">
        <f t="shared" si="166"/>
        <v>2026-02</v>
      </c>
      <c r="W1331" s="1">
        <f>IF(AND(U1331="INCLUDED",X1331&gt;0,EXACT(A1331,'AI output'!A1331)),1,0)</f>
        <v>1</v>
      </c>
      <c r="X1331" s="1">
        <f>1331</f>
        <v>1331</v>
      </c>
      <c r="Y1331" s="1">
        <f>IF(AND(U1331="INCLUDED",W1331=1),--(NOT(EXACT(A1331,'AI output'!A1331)))+--(NOT(EXACT(B1331,'AI output'!B1331)))+--(NOT(EXACT(TEXT(G1331,"yyyy-mm-dd"),'AI output'!C1331)))+--(NOT(EXACT(H1331,'AI output'!D1331)))+--(NOT(EXACT(J1331,'AI output'!E1331)))+--(NOT(EXACT(K1331,'AI output'!F1331)))+--(N1331&lt;&gt;'AI output'!L1331)+--(NOT('AI output'!M1331)),0)</f>
        <v>0</v>
      </c>
      <c r="Z1331" s="1">
        <f t="shared" si="167"/>
        <v>0</v>
      </c>
      <c r="AA1331" s="1">
        <f>--EXACT(A1331,"L01325")</f>
        <v>1</v>
      </c>
    </row>
    <row r="1332" spans="1:27" ht="18.95" customHeight="1">
      <c r="A1332" s="1" t="str">
        <f>IF(Raw!A1332="","",Raw!A1332)</f>
        <v>L01326</v>
      </c>
      <c r="B1332" s="1" t="str">
        <f>IF(Raw!B1332="","",Raw!B1332)</f>
        <v>T00663</v>
      </c>
      <c r="C1332" s="1" t="str">
        <f>IF(Raw!C1332="","",Raw!C1332)</f>
        <v>2026-02-14</v>
      </c>
      <c r="D1332" s="1">
        <f t="shared" si="160"/>
        <v>2026</v>
      </c>
      <c r="E1332" s="1">
        <f>IFERROR(IF(AND(LEN(C1332)=10,MID(C1332,5,1)="-",MID(C1332,8,1)="-"),VALUE(MID(C1332,6,2)),IF(AND(LEN(C1332)=11,MID(C1332,3,1)="-",MID(C1332,7,1)="-"),MATCH(UPPER(MID(C1332,4,3)),Guide!$D$7:$D$18,0),0)),0)</f>
        <v>2</v>
      </c>
      <c r="F1332" s="1">
        <f t="shared" si="161"/>
        <v>14</v>
      </c>
      <c r="G1332" s="9">
        <f t="shared" si="162"/>
        <v>46067</v>
      </c>
      <c r="H1332" s="1" t="str">
        <f>IF(Raw!D1332="","",Raw!D1332)</f>
        <v>P-O</v>
      </c>
      <c r="I1332" s="1" t="str">
        <f>IFERROR(IF(EXACT(H1332,INDEX(Guide!$A$7:$A$9,MATCH(SUBSTITUTE(SUBSTITUTE(SUBSTITUTE(H1332,"~","~~"),"*","~*"),"?","~?"),Guide!$A$7:$A$9,0))),INDEX(Guide!$B$7:$B$9,MATCH(SUBSTITUTE(SUBSTITUTE(SUBSTITUTE(H1332,"~","~~"),"*","~*"),"?","~?"),Guide!$A$7:$A$9,0)),""),"")</f>
        <v>Office</v>
      </c>
      <c r="J1332" s="1" t="str">
        <f>IF(TRIM(Raw!E1332)="",I1332,IF(UPPER(TRIM(Raw!E1332))=UPPER(I1332),I1332,""))</f>
        <v>Office</v>
      </c>
      <c r="K1332" s="1" t="str">
        <f>IF(Raw!F1332="","",Raw!F1332)</f>
        <v>sale</v>
      </c>
      <c r="L1332" s="1" t="str">
        <f>IF(LEFT(TRIM(Raw!G1332),2)="-$","-"&amp;MID(TRIM(Raw!G1332),3,99),IF(LEFT(TRIM(Raw!G1332),1)="$",MID(TRIM(Raw!G1332),2,99),TRIM(Raw!G1332)))</f>
        <v>15.24</v>
      </c>
      <c r="M1332" s="1">
        <f t="shared" si="163"/>
        <v>15.24</v>
      </c>
      <c r="N1332" s="10">
        <f t="shared" si="164"/>
        <v>1524</v>
      </c>
      <c r="O1332" s="1" t="b">
        <f>IFERROR(IF(ISNUMBER(Raw!G1332),TRUE,OR(EXACT(L1332,TEXT(M1332,"0.00")),EXACT(L1332,TEXT(M1332,"#,##0.00")))),FALSE)</f>
        <v>1</v>
      </c>
      <c r="P1332" s="1" t="str">
        <f>LEN(IF(Raw!A1332="","",Raw!A1332))&amp;":"&amp;IF(Raw!A1332="","",Raw!A1332)&amp;"|"&amp;LEN(IF(Raw!B1332="","",Raw!B1332))&amp;":"&amp;IF(Raw!B1332="","",Raw!B1332)&amp;"|"&amp;LEN(IF(Raw!C1332="","",Raw!C1332))&amp;":"&amp;IF(Raw!C1332="","",Raw!C1332)&amp;"|"&amp;LEN(IF(Raw!D1332="","",Raw!D1332))&amp;":"&amp;IF(Raw!D1332="","",Raw!D1332)&amp;"|"&amp;LEN(IF(Raw!E1332="","",Raw!E1332))&amp;":"&amp;IF(Raw!E1332="","",Raw!E1332)&amp;"|"&amp;LEN(IF(Raw!F1332="","",Raw!F1332))&amp;":"&amp;IF(Raw!F1332="","",Raw!F1332)&amp;"|"&amp;LEN(IF(Raw!G1332="","",Raw!G1332))&amp;":"&amp;IF(Raw!G1332="","",Raw!G1332)</f>
        <v>6:L01326|6:T00663|10:2026-02-14|3:P-O|6:Office|4:sale|5:15.24</v>
      </c>
      <c r="Q1332" s="1">
        <f>1</f>
        <v>1</v>
      </c>
      <c r="R1332" s="1" t="b">
        <f>FALSE</f>
        <v>0</v>
      </c>
      <c r="S1332" s="1">
        <f>1</f>
        <v>1</v>
      </c>
      <c r="T1332" s="1" t="str">
        <f>IF(AND(Raw!A1332="",Raw!B1332="",Raw!C1332="",Raw!D1332="",Raw!E1332="",Raw!F1332="",Raw!G1332=""),"UNUSED",IF(A1332="","missing line ID",IF(B1332="","missing transaction ID",IF(G1332="",IF(C1332="","missing date","invalid date"),IF(I1332="","unknown product",IF(J1332="","conflicting category",IF(NOT(OR(EXACT(K1332,"sale"),EXACT(K1332,"refund"))),"unknown event",IF(OR(N1332="",NOT(O1332)),"invalid amount",IF(OR(AND(K1332="sale",N1332&lt;=0),AND(K1332="refund",N1332&gt;=0)),"invalid sign","")))))))))</f>
        <v/>
      </c>
      <c r="U1332" s="1" t="str">
        <f t="shared" si="165"/>
        <v>INCLUDED</v>
      </c>
      <c r="V1332" s="1" t="str">
        <f t="shared" si="166"/>
        <v>2026-02</v>
      </c>
      <c r="W1332" s="1">
        <f>IF(AND(U1332="INCLUDED",X1332&gt;0,EXACT(A1332,'AI output'!A1332)),1,0)</f>
        <v>1</v>
      </c>
      <c r="X1332" s="1">
        <f>1332</f>
        <v>1332</v>
      </c>
      <c r="Y1332" s="1">
        <f>IF(AND(U1332="INCLUDED",W1332=1),--(NOT(EXACT(A1332,'AI output'!A1332)))+--(NOT(EXACT(B1332,'AI output'!B1332)))+--(NOT(EXACT(TEXT(G1332,"yyyy-mm-dd"),'AI output'!C1332)))+--(NOT(EXACT(H1332,'AI output'!D1332)))+--(NOT(EXACT(J1332,'AI output'!E1332)))+--(NOT(EXACT(K1332,'AI output'!F1332)))+--(N1332&lt;&gt;'AI output'!L1332)+--(NOT('AI output'!M1332)),0)</f>
        <v>0</v>
      </c>
      <c r="Z1332" s="1">
        <f t="shared" si="167"/>
        <v>0</v>
      </c>
      <c r="AA1332" s="1">
        <f>--EXACT(A1332,"L01326")</f>
        <v>1</v>
      </c>
    </row>
    <row r="1333" spans="1:27" ht="18.95" customHeight="1">
      <c r="A1333" s="1" t="str">
        <f>IF(Raw!A1333="","",Raw!A1333)</f>
        <v>L01327</v>
      </c>
      <c r="B1333" s="1" t="str">
        <f>IF(Raw!B1333="","",Raw!B1333)</f>
        <v>T00664</v>
      </c>
      <c r="C1333" s="1" t="str">
        <f>IF(Raw!C1333="","",Raw!C1333)</f>
        <v>2026-02-21</v>
      </c>
      <c r="D1333" s="1">
        <f t="shared" si="160"/>
        <v>2026</v>
      </c>
      <c r="E1333" s="1">
        <f>IFERROR(IF(AND(LEN(C1333)=10,MID(C1333,5,1)="-",MID(C1333,8,1)="-"),VALUE(MID(C1333,6,2)),IF(AND(LEN(C1333)=11,MID(C1333,3,1)="-",MID(C1333,7,1)="-"),MATCH(UPPER(MID(C1333,4,3)),Guide!$D$7:$D$18,0),0)),0)</f>
        <v>2</v>
      </c>
      <c r="F1333" s="1">
        <f t="shared" si="161"/>
        <v>21</v>
      </c>
      <c r="G1333" s="9">
        <f t="shared" si="162"/>
        <v>46074</v>
      </c>
      <c r="H1333" s="1" t="str">
        <f>IF(Raw!D1333="","",Raw!D1333)</f>
        <v>P-A</v>
      </c>
      <c r="I1333" s="1" t="str">
        <f>IFERROR(IF(EXACT(H1333,INDEX(Guide!$A$7:$A$9,MATCH(SUBSTITUTE(SUBSTITUTE(SUBSTITUTE(H1333,"~","~~"),"*","~*"),"?","~?"),Guide!$A$7:$A$9,0))),INDEX(Guide!$B$7:$B$9,MATCH(SUBSTITUTE(SUBSTITUTE(SUBSTITUTE(H1333,"~","~~"),"*","~*"),"?","~?"),Guide!$A$7:$A$9,0)),""),"")</f>
        <v>Accessories</v>
      </c>
      <c r="J1333" s="1" t="str">
        <f>IF(TRIM(Raw!E1333)="",I1333,IF(UPPER(TRIM(Raw!E1333))=UPPER(I1333),I1333,""))</f>
        <v>Accessories</v>
      </c>
      <c r="K1333" s="1" t="str">
        <f>IF(Raw!F1333="","",Raw!F1333)</f>
        <v>sale</v>
      </c>
      <c r="L1333" s="1" t="str">
        <f>IF(LEFT(TRIM(Raw!G1333),2)="-$","-"&amp;MID(TRIM(Raw!G1333),3,99),IF(LEFT(TRIM(Raw!G1333),1)="$",MID(TRIM(Raw!G1333),2,99),TRIM(Raw!G1333)))</f>
        <v>46.83</v>
      </c>
      <c r="M1333" s="1">
        <f t="shared" si="163"/>
        <v>46.83</v>
      </c>
      <c r="N1333" s="10">
        <f t="shared" si="164"/>
        <v>4683</v>
      </c>
      <c r="O1333" s="1" t="b">
        <f>IFERROR(IF(ISNUMBER(Raw!G1333),TRUE,OR(EXACT(L1333,TEXT(M1333,"0.00")),EXACT(L1333,TEXT(M1333,"#,##0.00")))),FALSE)</f>
        <v>1</v>
      </c>
      <c r="P1333" s="1" t="str">
        <f>LEN(IF(Raw!A1333="","",Raw!A1333))&amp;":"&amp;IF(Raw!A1333="","",Raw!A1333)&amp;"|"&amp;LEN(IF(Raw!B1333="","",Raw!B1333))&amp;":"&amp;IF(Raw!B1333="","",Raw!B1333)&amp;"|"&amp;LEN(IF(Raw!C1333="","",Raw!C1333))&amp;":"&amp;IF(Raw!C1333="","",Raw!C1333)&amp;"|"&amp;LEN(IF(Raw!D1333="","",Raw!D1333))&amp;":"&amp;IF(Raw!D1333="","",Raw!D1333)&amp;"|"&amp;LEN(IF(Raw!E1333="","",Raw!E1333))&amp;":"&amp;IF(Raw!E1333="","",Raw!E1333)&amp;"|"&amp;LEN(IF(Raw!F1333="","",Raw!F1333))&amp;":"&amp;IF(Raw!F1333="","",Raw!F1333)&amp;"|"&amp;LEN(IF(Raw!G1333="","",Raw!G1333))&amp;":"&amp;IF(Raw!G1333="","",Raw!G1333)</f>
        <v>6:L01327|6:T00664|10:2026-02-21|3:P-A|11:Accessories|4:sale|5:46.83</v>
      </c>
      <c r="Q1333" s="1">
        <f>1</f>
        <v>1</v>
      </c>
      <c r="R1333" s="1" t="b">
        <f>FALSE</f>
        <v>0</v>
      </c>
      <c r="S1333" s="1">
        <f>1</f>
        <v>1</v>
      </c>
      <c r="T1333" s="1" t="str">
        <f>IF(AND(Raw!A1333="",Raw!B1333="",Raw!C1333="",Raw!D1333="",Raw!E1333="",Raw!F1333="",Raw!G1333=""),"UNUSED",IF(A1333="","missing line ID",IF(B1333="","missing transaction ID",IF(G1333="",IF(C1333="","missing date","invalid date"),IF(I1333="","unknown product",IF(J1333="","conflicting category",IF(NOT(OR(EXACT(K1333,"sale"),EXACT(K1333,"refund"))),"unknown event",IF(OR(N1333="",NOT(O1333)),"invalid amount",IF(OR(AND(K1333="sale",N1333&lt;=0),AND(K1333="refund",N1333&gt;=0)),"invalid sign","")))))))))</f>
        <v/>
      </c>
      <c r="U1333" s="1" t="str">
        <f t="shared" si="165"/>
        <v>INCLUDED</v>
      </c>
      <c r="V1333" s="1" t="str">
        <f t="shared" si="166"/>
        <v>2026-02</v>
      </c>
      <c r="W1333" s="1">
        <f>IF(AND(U1333="INCLUDED",X1333&gt;0,EXACT(A1333,'AI output'!A1333)),1,0)</f>
        <v>1</v>
      </c>
      <c r="X1333" s="1">
        <f>1333</f>
        <v>1333</v>
      </c>
      <c r="Y1333" s="1">
        <f>IF(AND(U1333="INCLUDED",W1333=1),--(NOT(EXACT(A1333,'AI output'!A1333)))+--(NOT(EXACT(B1333,'AI output'!B1333)))+--(NOT(EXACT(TEXT(G1333,"yyyy-mm-dd"),'AI output'!C1333)))+--(NOT(EXACT(H1333,'AI output'!D1333)))+--(NOT(EXACT(J1333,'AI output'!E1333)))+--(NOT(EXACT(K1333,'AI output'!F1333)))+--(N1333&lt;&gt;'AI output'!L1333)+--(NOT('AI output'!M1333)),0)</f>
        <v>0</v>
      </c>
      <c r="Z1333" s="1">
        <f t="shared" si="167"/>
        <v>0</v>
      </c>
      <c r="AA1333" s="1">
        <f>--EXACT(A1333,"L01327")</f>
        <v>1</v>
      </c>
    </row>
    <row r="1334" spans="1:27" ht="18.95" customHeight="1">
      <c r="A1334" s="1" t="str">
        <f>IF(Raw!A1334="","",Raw!A1334)</f>
        <v>L01328</v>
      </c>
      <c r="B1334" s="1" t="str">
        <f>IF(Raw!B1334="","",Raw!B1334)</f>
        <v>T00664</v>
      </c>
      <c r="C1334" s="1" t="str">
        <f>IF(Raw!C1334="","",Raw!C1334)</f>
        <v>2026-02-21</v>
      </c>
      <c r="D1334" s="1">
        <f t="shared" si="160"/>
        <v>2026</v>
      </c>
      <c r="E1334" s="1">
        <f>IFERROR(IF(AND(LEN(C1334)=10,MID(C1334,5,1)="-",MID(C1334,8,1)="-"),VALUE(MID(C1334,6,2)),IF(AND(LEN(C1334)=11,MID(C1334,3,1)="-",MID(C1334,7,1)="-"),MATCH(UPPER(MID(C1334,4,3)),Guide!$D$7:$D$18,0),0)),0)</f>
        <v>2</v>
      </c>
      <c r="F1334" s="1">
        <f t="shared" si="161"/>
        <v>21</v>
      </c>
      <c r="G1334" s="9">
        <f t="shared" si="162"/>
        <v>46074</v>
      </c>
      <c r="H1334" s="1" t="str">
        <f>IF(Raw!D1334="","",Raw!D1334)</f>
        <v>P-H</v>
      </c>
      <c r="I1334" s="1" t="str">
        <f>IFERROR(IF(EXACT(H1334,INDEX(Guide!$A$7:$A$9,MATCH(SUBSTITUTE(SUBSTITUTE(SUBSTITUTE(H1334,"~","~~"),"*","~*"),"?","~?"),Guide!$A$7:$A$9,0))),INDEX(Guide!$B$7:$B$9,MATCH(SUBSTITUTE(SUBSTITUTE(SUBSTITUTE(H1334,"~","~~"),"*","~*"),"?","~?"),Guide!$A$7:$A$9,0)),""),"")</f>
        <v>Home</v>
      </c>
      <c r="J1334" s="1" t="str">
        <f>IF(TRIM(Raw!E1334)="",I1334,IF(UPPER(TRIM(Raw!E1334))=UPPER(I1334),I1334,""))</f>
        <v>Home</v>
      </c>
      <c r="K1334" s="1" t="str">
        <f>IF(Raw!F1334="","",Raw!F1334)</f>
        <v>sale</v>
      </c>
      <c r="L1334" s="1" t="str">
        <f>IF(LEFT(TRIM(Raw!G1334),2)="-$","-"&amp;MID(TRIM(Raw!G1334),3,99),IF(LEFT(TRIM(Raw!G1334),1)="$",MID(TRIM(Raw!G1334),2,99),TRIM(Raw!G1334)))</f>
        <v>79.90</v>
      </c>
      <c r="M1334" s="1">
        <f t="shared" si="163"/>
        <v>79.900000000000006</v>
      </c>
      <c r="N1334" s="10">
        <f t="shared" si="164"/>
        <v>7990</v>
      </c>
      <c r="O1334" s="1" t="b">
        <f>IFERROR(IF(ISNUMBER(Raw!G1334),TRUE,OR(EXACT(L1334,TEXT(M1334,"0.00")),EXACT(L1334,TEXT(M1334,"#,##0.00")))),FALSE)</f>
        <v>1</v>
      </c>
      <c r="P1334" s="1" t="str">
        <f>LEN(IF(Raw!A1334="","",Raw!A1334))&amp;":"&amp;IF(Raw!A1334="","",Raw!A1334)&amp;"|"&amp;LEN(IF(Raw!B1334="","",Raw!B1334))&amp;":"&amp;IF(Raw!B1334="","",Raw!B1334)&amp;"|"&amp;LEN(IF(Raw!C1334="","",Raw!C1334))&amp;":"&amp;IF(Raw!C1334="","",Raw!C1334)&amp;"|"&amp;LEN(IF(Raw!D1334="","",Raw!D1334))&amp;":"&amp;IF(Raw!D1334="","",Raw!D1334)&amp;"|"&amp;LEN(IF(Raw!E1334="","",Raw!E1334))&amp;":"&amp;IF(Raw!E1334="","",Raw!E1334)&amp;"|"&amp;LEN(IF(Raw!F1334="","",Raw!F1334))&amp;":"&amp;IF(Raw!F1334="","",Raw!F1334)&amp;"|"&amp;LEN(IF(Raw!G1334="","",Raw!G1334))&amp;":"&amp;IF(Raw!G1334="","",Raw!G1334)</f>
        <v>6:L01328|6:T00664|10:2026-02-21|3:P-H|4:Home|4:sale|5:79.90</v>
      </c>
      <c r="Q1334" s="1">
        <f>1</f>
        <v>1</v>
      </c>
      <c r="R1334" s="1" t="b">
        <f>FALSE</f>
        <v>0</v>
      </c>
      <c r="S1334" s="1">
        <f>1</f>
        <v>1</v>
      </c>
      <c r="T1334" s="1" t="str">
        <f>IF(AND(Raw!A1334="",Raw!B1334="",Raw!C1334="",Raw!D1334="",Raw!E1334="",Raw!F1334="",Raw!G1334=""),"UNUSED",IF(A1334="","missing line ID",IF(B1334="","missing transaction ID",IF(G1334="",IF(C1334="","missing date","invalid date"),IF(I1334="","unknown product",IF(J1334="","conflicting category",IF(NOT(OR(EXACT(K1334,"sale"),EXACT(K1334,"refund"))),"unknown event",IF(OR(N1334="",NOT(O1334)),"invalid amount",IF(OR(AND(K1334="sale",N1334&lt;=0),AND(K1334="refund",N1334&gt;=0)),"invalid sign","")))))))))</f>
        <v/>
      </c>
      <c r="U1334" s="1" t="str">
        <f t="shared" si="165"/>
        <v>INCLUDED</v>
      </c>
      <c r="V1334" s="1" t="str">
        <f t="shared" si="166"/>
        <v>2026-02</v>
      </c>
      <c r="W1334" s="1">
        <f>IF(AND(U1334="INCLUDED",X1334&gt;0,EXACT(A1334,'AI output'!A1334)),1,0)</f>
        <v>1</v>
      </c>
      <c r="X1334" s="1">
        <f>1334</f>
        <v>1334</v>
      </c>
      <c r="Y1334" s="1">
        <f>IF(AND(U1334="INCLUDED",W1334=1),--(NOT(EXACT(A1334,'AI output'!A1334)))+--(NOT(EXACT(B1334,'AI output'!B1334)))+--(NOT(EXACT(TEXT(G1334,"yyyy-mm-dd"),'AI output'!C1334)))+--(NOT(EXACT(H1334,'AI output'!D1334)))+--(NOT(EXACT(J1334,'AI output'!E1334)))+--(NOT(EXACT(K1334,'AI output'!F1334)))+--(N1334&lt;&gt;'AI output'!L1334)+--(NOT('AI output'!M1334)),0)</f>
        <v>0</v>
      </c>
      <c r="Z1334" s="1">
        <f t="shared" si="167"/>
        <v>0</v>
      </c>
      <c r="AA1334" s="1">
        <f>--EXACT(A1334,"L01328")</f>
        <v>1</v>
      </c>
    </row>
    <row r="1335" spans="1:27" ht="18.95" customHeight="1">
      <c r="A1335" s="1" t="str">
        <f>IF(Raw!A1335="","",Raw!A1335)</f>
        <v>L01329</v>
      </c>
      <c r="B1335" s="1" t="str">
        <f>IF(Raw!B1335="","",Raw!B1335)</f>
        <v>T00665</v>
      </c>
      <c r="C1335" s="1" t="str">
        <f>IF(Raw!C1335="","",Raw!C1335)</f>
        <v>2026-02-28</v>
      </c>
      <c r="D1335" s="1">
        <f t="shared" si="160"/>
        <v>2026</v>
      </c>
      <c r="E1335" s="1">
        <f>IFERROR(IF(AND(LEN(C1335)=10,MID(C1335,5,1)="-",MID(C1335,8,1)="-"),VALUE(MID(C1335,6,2)),IF(AND(LEN(C1335)=11,MID(C1335,3,1)="-",MID(C1335,7,1)="-"),MATCH(UPPER(MID(C1335,4,3)),Guide!$D$7:$D$18,0),0)),0)</f>
        <v>2</v>
      </c>
      <c r="F1335" s="1">
        <f t="shared" si="161"/>
        <v>28</v>
      </c>
      <c r="G1335" s="9">
        <f t="shared" si="162"/>
        <v>46081</v>
      </c>
      <c r="H1335" s="1" t="str">
        <f>IF(Raw!D1335="","",Raw!D1335)</f>
        <v>P-O</v>
      </c>
      <c r="I1335" s="1" t="str">
        <f>IFERROR(IF(EXACT(H1335,INDEX(Guide!$A$7:$A$9,MATCH(SUBSTITUTE(SUBSTITUTE(SUBSTITUTE(H1335,"~","~~"),"*","~*"),"?","~?"),Guide!$A$7:$A$9,0))),INDEX(Guide!$B$7:$B$9,MATCH(SUBSTITUTE(SUBSTITUTE(SUBSTITUTE(H1335,"~","~~"),"*","~*"),"?","~?"),Guide!$A$7:$A$9,0)),""),"")</f>
        <v>Office</v>
      </c>
      <c r="J1335" s="1" t="str">
        <f>IF(TRIM(Raw!E1335)="",I1335,IF(UPPER(TRIM(Raw!E1335))=UPPER(I1335),I1335,""))</f>
        <v>Office</v>
      </c>
      <c r="K1335" s="1" t="str">
        <f>IF(Raw!F1335="","",Raw!F1335)</f>
        <v>sale</v>
      </c>
      <c r="L1335" s="1" t="str">
        <f>IF(LEFT(TRIM(Raw!G1335),2)="-$","-"&amp;MID(TRIM(Raw!G1335),3,99),IF(LEFT(TRIM(Raw!G1335),1)="$",MID(TRIM(Raw!G1335),2,99),TRIM(Raw!G1335)))</f>
        <v>32.70</v>
      </c>
      <c r="M1335" s="1">
        <f t="shared" si="163"/>
        <v>32.700000000000003</v>
      </c>
      <c r="N1335" s="10">
        <f t="shared" si="164"/>
        <v>3270</v>
      </c>
      <c r="O1335" s="1" t="b">
        <f>IFERROR(IF(ISNUMBER(Raw!G1335),TRUE,OR(EXACT(L1335,TEXT(M1335,"0.00")),EXACT(L1335,TEXT(M1335,"#,##0.00")))),FALSE)</f>
        <v>1</v>
      </c>
      <c r="P1335" s="1" t="str">
        <f>LEN(IF(Raw!A1335="","",Raw!A1335))&amp;":"&amp;IF(Raw!A1335="","",Raw!A1335)&amp;"|"&amp;LEN(IF(Raw!B1335="","",Raw!B1335))&amp;":"&amp;IF(Raw!B1335="","",Raw!B1335)&amp;"|"&amp;LEN(IF(Raw!C1335="","",Raw!C1335))&amp;":"&amp;IF(Raw!C1335="","",Raw!C1335)&amp;"|"&amp;LEN(IF(Raw!D1335="","",Raw!D1335))&amp;":"&amp;IF(Raw!D1335="","",Raw!D1335)&amp;"|"&amp;LEN(IF(Raw!E1335="","",Raw!E1335))&amp;":"&amp;IF(Raw!E1335="","",Raw!E1335)&amp;"|"&amp;LEN(IF(Raw!F1335="","",Raw!F1335))&amp;":"&amp;IF(Raw!F1335="","",Raw!F1335)&amp;"|"&amp;LEN(IF(Raw!G1335="","",Raw!G1335))&amp;":"&amp;IF(Raw!G1335="","",Raw!G1335)</f>
        <v>6:L01329|6:T00665|10:2026-02-28|3:P-O|6:Office|4:sale|5:32.70</v>
      </c>
      <c r="Q1335" s="1">
        <f>1</f>
        <v>1</v>
      </c>
      <c r="R1335" s="1" t="b">
        <f>FALSE</f>
        <v>0</v>
      </c>
      <c r="S1335" s="1">
        <f>1</f>
        <v>1</v>
      </c>
      <c r="T1335" s="1" t="str">
        <f>IF(AND(Raw!A1335="",Raw!B1335="",Raw!C1335="",Raw!D1335="",Raw!E1335="",Raw!F1335="",Raw!G1335=""),"UNUSED",IF(A1335="","missing line ID",IF(B1335="","missing transaction ID",IF(G1335="",IF(C1335="","missing date","invalid date"),IF(I1335="","unknown product",IF(J1335="","conflicting category",IF(NOT(OR(EXACT(K1335,"sale"),EXACT(K1335,"refund"))),"unknown event",IF(OR(N1335="",NOT(O1335)),"invalid amount",IF(OR(AND(K1335="sale",N1335&lt;=0),AND(K1335="refund",N1335&gt;=0)),"invalid sign","")))))))))</f>
        <v/>
      </c>
      <c r="U1335" s="1" t="str">
        <f t="shared" si="165"/>
        <v>INCLUDED</v>
      </c>
      <c r="V1335" s="1" t="str">
        <f t="shared" si="166"/>
        <v>2026-02</v>
      </c>
      <c r="W1335" s="1">
        <f>IF(AND(U1335="INCLUDED",X1335&gt;0,EXACT(A1335,'AI output'!A1335)),1,0)</f>
        <v>1</v>
      </c>
      <c r="X1335" s="1">
        <f>1335</f>
        <v>1335</v>
      </c>
      <c r="Y1335" s="1">
        <f>IF(AND(U1335="INCLUDED",W1335=1),--(NOT(EXACT(A1335,'AI output'!A1335)))+--(NOT(EXACT(B1335,'AI output'!B1335)))+--(NOT(EXACT(TEXT(G1335,"yyyy-mm-dd"),'AI output'!C1335)))+--(NOT(EXACT(H1335,'AI output'!D1335)))+--(NOT(EXACT(J1335,'AI output'!E1335)))+--(NOT(EXACT(K1335,'AI output'!F1335)))+--(N1335&lt;&gt;'AI output'!L1335)+--(NOT('AI output'!M1335)),0)</f>
        <v>0</v>
      </c>
      <c r="Z1335" s="1">
        <f t="shared" si="167"/>
        <v>0</v>
      </c>
      <c r="AA1335" s="1">
        <f>--EXACT(A1335,"L01329")</f>
        <v>1</v>
      </c>
    </row>
    <row r="1336" spans="1:27" ht="18.95" customHeight="1">
      <c r="A1336" s="1" t="str">
        <f>IF(Raw!A1336="","",Raw!A1336)</f>
        <v>L01330</v>
      </c>
      <c r="B1336" s="1" t="str">
        <f>IF(Raw!B1336="","",Raw!B1336)</f>
        <v>T00665</v>
      </c>
      <c r="C1336" s="1" t="str">
        <f>IF(Raw!C1336="","",Raw!C1336)</f>
        <v>2026-02-28</v>
      </c>
      <c r="D1336" s="1">
        <f t="shared" si="160"/>
        <v>2026</v>
      </c>
      <c r="E1336" s="1">
        <f>IFERROR(IF(AND(LEN(C1336)=10,MID(C1336,5,1)="-",MID(C1336,8,1)="-"),VALUE(MID(C1336,6,2)),IF(AND(LEN(C1336)=11,MID(C1336,3,1)="-",MID(C1336,7,1)="-"),MATCH(UPPER(MID(C1336,4,3)),Guide!$D$7:$D$18,0),0)),0)</f>
        <v>2</v>
      </c>
      <c r="F1336" s="1">
        <f t="shared" si="161"/>
        <v>28</v>
      </c>
      <c r="G1336" s="9">
        <f t="shared" si="162"/>
        <v>46081</v>
      </c>
      <c r="H1336" s="1" t="str">
        <f>IF(Raw!D1336="","",Raw!D1336)</f>
        <v>P-A</v>
      </c>
      <c r="I1336" s="1" t="str">
        <f>IFERROR(IF(EXACT(H1336,INDEX(Guide!$A$7:$A$9,MATCH(SUBSTITUTE(SUBSTITUTE(SUBSTITUTE(H1336,"~","~~"),"*","~*"),"?","~?"),Guide!$A$7:$A$9,0))),INDEX(Guide!$B$7:$B$9,MATCH(SUBSTITUTE(SUBSTITUTE(SUBSTITUTE(H1336,"~","~~"),"*","~*"),"?","~?"),Guide!$A$7:$A$9,0)),""),"")</f>
        <v>Accessories</v>
      </c>
      <c r="J1336" s="1" t="str">
        <f>IF(TRIM(Raw!E1336)="",I1336,IF(UPPER(TRIM(Raw!E1336))=UPPER(I1336),I1336,""))</f>
        <v>Accessories</v>
      </c>
      <c r="K1336" s="1" t="str">
        <f>IF(Raw!F1336="","",Raw!F1336)</f>
        <v>sale</v>
      </c>
      <c r="L1336" s="1" t="str">
        <f>IF(LEFT(TRIM(Raw!G1336),2)="-$","-"&amp;MID(TRIM(Raw!G1336),3,99),IF(LEFT(TRIM(Raw!G1336),1)="$",MID(TRIM(Raw!G1336),2,99),TRIM(Raw!G1336)))</f>
        <v>66.88</v>
      </c>
      <c r="M1336" s="1">
        <f t="shared" si="163"/>
        <v>66.88</v>
      </c>
      <c r="N1336" s="10">
        <f t="shared" si="164"/>
        <v>6688</v>
      </c>
      <c r="O1336" s="1" t="b">
        <f>IFERROR(IF(ISNUMBER(Raw!G1336),TRUE,OR(EXACT(L1336,TEXT(M1336,"0.00")),EXACT(L1336,TEXT(M1336,"#,##0.00")))),FALSE)</f>
        <v>1</v>
      </c>
      <c r="P1336" s="1" t="str">
        <f>LEN(IF(Raw!A1336="","",Raw!A1336))&amp;":"&amp;IF(Raw!A1336="","",Raw!A1336)&amp;"|"&amp;LEN(IF(Raw!B1336="","",Raw!B1336))&amp;":"&amp;IF(Raw!B1336="","",Raw!B1336)&amp;"|"&amp;LEN(IF(Raw!C1336="","",Raw!C1336))&amp;":"&amp;IF(Raw!C1336="","",Raw!C1336)&amp;"|"&amp;LEN(IF(Raw!D1336="","",Raw!D1336))&amp;":"&amp;IF(Raw!D1336="","",Raw!D1336)&amp;"|"&amp;LEN(IF(Raw!E1336="","",Raw!E1336))&amp;":"&amp;IF(Raw!E1336="","",Raw!E1336)&amp;"|"&amp;LEN(IF(Raw!F1336="","",Raw!F1336))&amp;":"&amp;IF(Raw!F1336="","",Raw!F1336)&amp;"|"&amp;LEN(IF(Raw!G1336="","",Raw!G1336))&amp;":"&amp;IF(Raw!G1336="","",Raw!G1336)</f>
        <v>6:L01330|6:T00665|10:2026-02-28|3:P-A|11:Accessories|4:sale|5:66.88</v>
      </c>
      <c r="Q1336" s="1">
        <f>1</f>
        <v>1</v>
      </c>
      <c r="R1336" s="1" t="b">
        <f>FALSE</f>
        <v>0</v>
      </c>
      <c r="S1336" s="1">
        <f>1</f>
        <v>1</v>
      </c>
      <c r="T1336" s="1" t="str">
        <f>IF(AND(Raw!A1336="",Raw!B1336="",Raw!C1336="",Raw!D1336="",Raw!E1336="",Raw!F1336="",Raw!G1336=""),"UNUSED",IF(A1336="","missing line ID",IF(B1336="","missing transaction ID",IF(G1336="",IF(C1336="","missing date","invalid date"),IF(I1336="","unknown product",IF(J1336="","conflicting category",IF(NOT(OR(EXACT(K1336,"sale"),EXACT(K1336,"refund"))),"unknown event",IF(OR(N1336="",NOT(O1336)),"invalid amount",IF(OR(AND(K1336="sale",N1336&lt;=0),AND(K1336="refund",N1336&gt;=0)),"invalid sign","")))))))))</f>
        <v/>
      </c>
      <c r="U1336" s="1" t="str">
        <f t="shared" si="165"/>
        <v>INCLUDED</v>
      </c>
      <c r="V1336" s="1" t="str">
        <f t="shared" si="166"/>
        <v>2026-02</v>
      </c>
      <c r="W1336" s="1">
        <f>IF(AND(U1336="INCLUDED",X1336&gt;0,EXACT(A1336,'AI output'!A1336)),1,0)</f>
        <v>1</v>
      </c>
      <c r="X1336" s="1">
        <f>1336</f>
        <v>1336</v>
      </c>
      <c r="Y1336" s="1">
        <f>IF(AND(U1336="INCLUDED",W1336=1),--(NOT(EXACT(A1336,'AI output'!A1336)))+--(NOT(EXACT(B1336,'AI output'!B1336)))+--(NOT(EXACT(TEXT(G1336,"yyyy-mm-dd"),'AI output'!C1336)))+--(NOT(EXACT(H1336,'AI output'!D1336)))+--(NOT(EXACT(J1336,'AI output'!E1336)))+--(NOT(EXACT(K1336,'AI output'!F1336)))+--(N1336&lt;&gt;'AI output'!L1336)+--(NOT('AI output'!M1336)),0)</f>
        <v>0</v>
      </c>
      <c r="Z1336" s="1">
        <f t="shared" si="167"/>
        <v>0</v>
      </c>
      <c r="AA1336" s="1">
        <f>--EXACT(A1336,"L01330")</f>
        <v>1</v>
      </c>
    </row>
    <row r="1337" spans="1:27" ht="18.95" customHeight="1">
      <c r="A1337" s="1" t="str">
        <f>IF(Raw!A1337="","",Raw!A1337)</f>
        <v>L01331</v>
      </c>
      <c r="B1337" s="1" t="str">
        <f>IF(Raw!B1337="","",Raw!B1337)</f>
        <v>T00666</v>
      </c>
      <c r="C1337" s="1" t="str">
        <f>IF(Raw!C1337="","",Raw!C1337)</f>
        <v>2026-03-07</v>
      </c>
      <c r="D1337" s="1">
        <f t="shared" si="160"/>
        <v>2026</v>
      </c>
      <c r="E1337" s="1">
        <f>IFERROR(IF(AND(LEN(C1337)=10,MID(C1337,5,1)="-",MID(C1337,8,1)="-"),VALUE(MID(C1337,6,2)),IF(AND(LEN(C1337)=11,MID(C1337,3,1)="-",MID(C1337,7,1)="-"),MATCH(UPPER(MID(C1337,4,3)),Guide!$D$7:$D$18,0),0)),0)</f>
        <v>3</v>
      </c>
      <c r="F1337" s="1">
        <f t="shared" si="161"/>
        <v>7</v>
      </c>
      <c r="G1337" s="9">
        <f t="shared" si="162"/>
        <v>46088</v>
      </c>
      <c r="H1337" s="1" t="str">
        <f>IF(Raw!D1337="","",Raw!D1337)</f>
        <v>P-H</v>
      </c>
      <c r="I1337" s="1" t="str">
        <f>IFERROR(IF(EXACT(H1337,INDEX(Guide!$A$7:$A$9,MATCH(SUBSTITUTE(SUBSTITUTE(SUBSTITUTE(H1337,"~","~~"),"*","~*"),"?","~?"),Guide!$A$7:$A$9,0))),INDEX(Guide!$B$7:$B$9,MATCH(SUBSTITUTE(SUBSTITUTE(SUBSTITUTE(H1337,"~","~~"),"*","~*"),"?","~?"),Guide!$A$7:$A$9,0)),""),"")</f>
        <v>Home</v>
      </c>
      <c r="J1337" s="1" t="str">
        <f>IF(TRIM(Raw!E1337)="",I1337,IF(UPPER(TRIM(Raw!E1337))=UPPER(I1337),I1337,""))</f>
        <v>Home</v>
      </c>
      <c r="K1337" s="1" t="str">
        <f>IF(Raw!F1337="","",Raw!F1337)</f>
        <v>sale</v>
      </c>
      <c r="L1337" s="1" t="str">
        <f>IF(LEFT(TRIM(Raw!G1337),2)="-$","-"&amp;MID(TRIM(Raw!G1337),3,99),IF(LEFT(TRIM(Raw!G1337),1)="$",MID(TRIM(Raw!G1337),2,99),TRIM(Raw!G1337)))</f>
        <v>17.09</v>
      </c>
      <c r="M1337" s="1">
        <f t="shared" si="163"/>
        <v>17.09</v>
      </c>
      <c r="N1337" s="10">
        <f t="shared" si="164"/>
        <v>1709</v>
      </c>
      <c r="O1337" s="1" t="b">
        <f>IFERROR(IF(ISNUMBER(Raw!G1337),TRUE,OR(EXACT(L1337,TEXT(M1337,"0.00")),EXACT(L1337,TEXT(M1337,"#,##0.00")))),FALSE)</f>
        <v>1</v>
      </c>
      <c r="P1337" s="1" t="str">
        <f>LEN(IF(Raw!A1337="","",Raw!A1337))&amp;":"&amp;IF(Raw!A1337="","",Raw!A1337)&amp;"|"&amp;LEN(IF(Raw!B1337="","",Raw!B1337))&amp;":"&amp;IF(Raw!B1337="","",Raw!B1337)&amp;"|"&amp;LEN(IF(Raw!C1337="","",Raw!C1337))&amp;":"&amp;IF(Raw!C1337="","",Raw!C1337)&amp;"|"&amp;LEN(IF(Raw!D1337="","",Raw!D1337))&amp;":"&amp;IF(Raw!D1337="","",Raw!D1337)&amp;"|"&amp;LEN(IF(Raw!E1337="","",Raw!E1337))&amp;":"&amp;IF(Raw!E1337="","",Raw!E1337)&amp;"|"&amp;LEN(IF(Raw!F1337="","",Raw!F1337))&amp;":"&amp;IF(Raw!F1337="","",Raw!F1337)&amp;"|"&amp;LEN(IF(Raw!G1337="","",Raw!G1337))&amp;":"&amp;IF(Raw!G1337="","",Raw!G1337)</f>
        <v>6:L01331|6:T00666|10:2026-03-07|3:P-H|4:Home|4:sale|5:17.09</v>
      </c>
      <c r="Q1337" s="1">
        <f>1</f>
        <v>1</v>
      </c>
      <c r="R1337" s="1" t="b">
        <f>FALSE</f>
        <v>0</v>
      </c>
      <c r="S1337" s="1">
        <f>1</f>
        <v>1</v>
      </c>
      <c r="T1337" s="1" t="str">
        <f>IF(AND(Raw!A1337="",Raw!B1337="",Raw!C1337="",Raw!D1337="",Raw!E1337="",Raw!F1337="",Raw!G1337=""),"UNUSED",IF(A1337="","missing line ID",IF(B1337="","missing transaction ID",IF(G1337="",IF(C1337="","missing date","invalid date"),IF(I1337="","unknown product",IF(J1337="","conflicting category",IF(NOT(OR(EXACT(K1337,"sale"),EXACT(K1337,"refund"))),"unknown event",IF(OR(N1337="",NOT(O1337)),"invalid amount",IF(OR(AND(K1337="sale",N1337&lt;=0),AND(K1337="refund",N1337&gt;=0)),"invalid sign","")))))))))</f>
        <v/>
      </c>
      <c r="U1337" s="1" t="str">
        <f t="shared" si="165"/>
        <v>INCLUDED</v>
      </c>
      <c r="V1337" s="1" t="str">
        <f t="shared" si="166"/>
        <v>2026-03</v>
      </c>
      <c r="W1337" s="1">
        <f>IF(AND(U1337="INCLUDED",X1337&gt;0,EXACT(A1337,'AI output'!A1337)),1,0)</f>
        <v>1</v>
      </c>
      <c r="X1337" s="1">
        <f>1337</f>
        <v>1337</v>
      </c>
      <c r="Y1337" s="1">
        <f>IF(AND(U1337="INCLUDED",W1337=1),--(NOT(EXACT(A1337,'AI output'!A1337)))+--(NOT(EXACT(B1337,'AI output'!B1337)))+--(NOT(EXACT(TEXT(G1337,"yyyy-mm-dd"),'AI output'!C1337)))+--(NOT(EXACT(H1337,'AI output'!D1337)))+--(NOT(EXACT(J1337,'AI output'!E1337)))+--(NOT(EXACT(K1337,'AI output'!F1337)))+--(N1337&lt;&gt;'AI output'!L1337)+--(NOT('AI output'!M1337)),0)</f>
        <v>0</v>
      </c>
      <c r="Z1337" s="1">
        <f t="shared" si="167"/>
        <v>0</v>
      </c>
      <c r="AA1337" s="1">
        <f>--EXACT(A1337,"L01331")</f>
        <v>1</v>
      </c>
    </row>
    <row r="1338" spans="1:27" ht="18.95" customHeight="1">
      <c r="A1338" s="1" t="str">
        <f>IF(Raw!A1338="","",Raw!A1338)</f>
        <v>L01332</v>
      </c>
      <c r="B1338" s="1" t="str">
        <f>IF(Raw!B1338="","",Raw!B1338)</f>
        <v>T00666</v>
      </c>
      <c r="C1338" s="1" t="str">
        <f>IF(Raw!C1338="","",Raw!C1338)</f>
        <v>2026-03-07</v>
      </c>
      <c r="D1338" s="1">
        <f t="shared" si="160"/>
        <v>2026</v>
      </c>
      <c r="E1338" s="1">
        <f>IFERROR(IF(AND(LEN(C1338)=10,MID(C1338,5,1)="-",MID(C1338,8,1)="-"),VALUE(MID(C1338,6,2)),IF(AND(LEN(C1338)=11,MID(C1338,3,1)="-",MID(C1338,7,1)="-"),MATCH(UPPER(MID(C1338,4,3)),Guide!$D$7:$D$18,0),0)),0)</f>
        <v>3</v>
      </c>
      <c r="F1338" s="1">
        <f t="shared" si="161"/>
        <v>7</v>
      </c>
      <c r="G1338" s="9">
        <f t="shared" si="162"/>
        <v>46088</v>
      </c>
      <c r="H1338" s="1" t="str">
        <f>IF(Raw!D1338="","",Raw!D1338)</f>
        <v>P-O</v>
      </c>
      <c r="I1338" s="1" t="str">
        <f>IFERROR(IF(EXACT(H1338,INDEX(Guide!$A$7:$A$9,MATCH(SUBSTITUTE(SUBSTITUTE(SUBSTITUTE(H1338,"~","~~"),"*","~*"),"?","~?"),Guide!$A$7:$A$9,0))),INDEX(Guide!$B$7:$B$9,MATCH(SUBSTITUTE(SUBSTITUTE(SUBSTITUTE(H1338,"~","~~"),"*","~*"),"?","~?"),Guide!$A$7:$A$9,0)),""),"")</f>
        <v>Office</v>
      </c>
      <c r="J1338" s="1" t="str">
        <f>IF(TRIM(Raw!E1338)="",I1338,IF(UPPER(TRIM(Raw!E1338))=UPPER(I1338),I1338,""))</f>
        <v>Office</v>
      </c>
      <c r="K1338" s="1" t="str">
        <f>IF(Raw!F1338="","",Raw!F1338)</f>
        <v>sale</v>
      </c>
      <c r="L1338" s="1" t="str">
        <f>IF(LEFT(TRIM(Raw!G1338),2)="-$","-"&amp;MID(TRIM(Raw!G1338),3,99),IF(LEFT(TRIM(Raw!G1338),1)="$",MID(TRIM(Raw!G1338),2,99),TRIM(Raw!G1338)))</f>
        <v>52.38</v>
      </c>
      <c r="M1338" s="1">
        <f t="shared" si="163"/>
        <v>52.38</v>
      </c>
      <c r="N1338" s="10">
        <f t="shared" si="164"/>
        <v>5238</v>
      </c>
      <c r="O1338" s="1" t="b">
        <f>IFERROR(IF(ISNUMBER(Raw!G1338),TRUE,OR(EXACT(L1338,TEXT(M1338,"0.00")),EXACT(L1338,TEXT(M1338,"#,##0.00")))),FALSE)</f>
        <v>1</v>
      </c>
      <c r="P1338" s="1" t="str">
        <f>LEN(IF(Raw!A1338="","",Raw!A1338))&amp;":"&amp;IF(Raw!A1338="","",Raw!A1338)&amp;"|"&amp;LEN(IF(Raw!B1338="","",Raw!B1338))&amp;":"&amp;IF(Raw!B1338="","",Raw!B1338)&amp;"|"&amp;LEN(IF(Raw!C1338="","",Raw!C1338))&amp;":"&amp;IF(Raw!C1338="","",Raw!C1338)&amp;"|"&amp;LEN(IF(Raw!D1338="","",Raw!D1338))&amp;":"&amp;IF(Raw!D1338="","",Raw!D1338)&amp;"|"&amp;LEN(IF(Raw!E1338="","",Raw!E1338))&amp;":"&amp;IF(Raw!E1338="","",Raw!E1338)&amp;"|"&amp;LEN(IF(Raw!F1338="","",Raw!F1338))&amp;":"&amp;IF(Raw!F1338="","",Raw!F1338)&amp;"|"&amp;LEN(IF(Raw!G1338="","",Raw!G1338))&amp;":"&amp;IF(Raw!G1338="","",Raw!G1338)</f>
        <v>6:L01332|6:T00666|10:2026-03-07|3:P-O|6:Office|4:sale|5:52.38</v>
      </c>
      <c r="Q1338" s="1">
        <f>1</f>
        <v>1</v>
      </c>
      <c r="R1338" s="1" t="b">
        <f>FALSE</f>
        <v>0</v>
      </c>
      <c r="S1338" s="1">
        <f>1</f>
        <v>1</v>
      </c>
      <c r="T1338" s="1" t="str">
        <f>IF(AND(Raw!A1338="",Raw!B1338="",Raw!C1338="",Raw!D1338="",Raw!E1338="",Raw!F1338="",Raw!G1338=""),"UNUSED",IF(A1338="","missing line ID",IF(B1338="","missing transaction ID",IF(G1338="",IF(C1338="","missing date","invalid date"),IF(I1338="","unknown product",IF(J1338="","conflicting category",IF(NOT(OR(EXACT(K1338,"sale"),EXACT(K1338,"refund"))),"unknown event",IF(OR(N1338="",NOT(O1338)),"invalid amount",IF(OR(AND(K1338="sale",N1338&lt;=0),AND(K1338="refund",N1338&gt;=0)),"invalid sign","")))))))))</f>
        <v/>
      </c>
      <c r="U1338" s="1" t="str">
        <f t="shared" si="165"/>
        <v>INCLUDED</v>
      </c>
      <c r="V1338" s="1" t="str">
        <f t="shared" si="166"/>
        <v>2026-03</v>
      </c>
      <c r="W1338" s="1">
        <f>IF(AND(U1338="INCLUDED",X1338&gt;0,EXACT(A1338,'AI output'!A1338)),1,0)</f>
        <v>1</v>
      </c>
      <c r="X1338" s="1">
        <f>1338</f>
        <v>1338</v>
      </c>
      <c r="Y1338" s="1">
        <f>IF(AND(U1338="INCLUDED",W1338=1),--(NOT(EXACT(A1338,'AI output'!A1338)))+--(NOT(EXACT(B1338,'AI output'!B1338)))+--(NOT(EXACT(TEXT(G1338,"yyyy-mm-dd"),'AI output'!C1338)))+--(NOT(EXACT(H1338,'AI output'!D1338)))+--(NOT(EXACT(J1338,'AI output'!E1338)))+--(NOT(EXACT(K1338,'AI output'!F1338)))+--(N1338&lt;&gt;'AI output'!L1338)+--(NOT('AI output'!M1338)),0)</f>
        <v>0</v>
      </c>
      <c r="Z1338" s="1">
        <f t="shared" si="167"/>
        <v>0</v>
      </c>
      <c r="AA1338" s="1">
        <f>--EXACT(A1338,"L01332")</f>
        <v>1</v>
      </c>
    </row>
    <row r="1339" spans="1:27" ht="18.95" customHeight="1">
      <c r="A1339" s="1" t="str">
        <f>IF(Raw!A1339="","",Raw!A1339)</f>
        <v>L01333</v>
      </c>
      <c r="B1339" s="1" t="str">
        <f>IF(Raw!B1339="","",Raw!B1339)</f>
        <v>T00667</v>
      </c>
      <c r="C1339" s="1" t="str">
        <f>IF(Raw!C1339="","",Raw!C1339)</f>
        <v>2026-03-14</v>
      </c>
      <c r="D1339" s="1">
        <f t="shared" si="160"/>
        <v>2026</v>
      </c>
      <c r="E1339" s="1">
        <f>IFERROR(IF(AND(LEN(C1339)=10,MID(C1339,5,1)="-",MID(C1339,8,1)="-"),VALUE(MID(C1339,6,2)),IF(AND(LEN(C1339)=11,MID(C1339,3,1)="-",MID(C1339,7,1)="-"),MATCH(UPPER(MID(C1339,4,3)),Guide!$D$7:$D$18,0),0)),0)</f>
        <v>3</v>
      </c>
      <c r="F1339" s="1">
        <f t="shared" si="161"/>
        <v>14</v>
      </c>
      <c r="G1339" s="9">
        <f t="shared" si="162"/>
        <v>46095</v>
      </c>
      <c r="H1339" s="1" t="str">
        <f>IF(Raw!D1339="","",Raw!D1339)</f>
        <v>P-A</v>
      </c>
      <c r="I1339" s="1" t="str">
        <f>IFERROR(IF(EXACT(H1339,INDEX(Guide!$A$7:$A$9,MATCH(SUBSTITUTE(SUBSTITUTE(SUBSTITUTE(H1339,"~","~~"),"*","~*"),"?","~?"),Guide!$A$7:$A$9,0))),INDEX(Guide!$B$7:$B$9,MATCH(SUBSTITUTE(SUBSTITUTE(SUBSTITUTE(H1339,"~","~~"),"*","~*"),"?","~?"),Guide!$A$7:$A$9,0)),""),"")</f>
        <v>Accessories</v>
      </c>
      <c r="J1339" s="1" t="str">
        <f>IF(TRIM(Raw!E1339)="",I1339,IF(UPPER(TRIM(Raw!E1339))=UPPER(I1339),I1339,""))</f>
        <v>Accessories</v>
      </c>
      <c r="K1339" s="1" t="str">
        <f>IF(Raw!F1339="","",Raw!F1339)</f>
        <v>sale</v>
      </c>
      <c r="L1339" s="1" t="str">
        <f>IF(LEFT(TRIM(Raw!G1339),2)="-$","-"&amp;MID(TRIM(Raw!G1339),3,99),IF(LEFT(TRIM(Raw!G1339),1)="$",MID(TRIM(Raw!G1339),2,99),TRIM(Raw!G1339)))</f>
        <v>89.15</v>
      </c>
      <c r="M1339" s="1">
        <f t="shared" si="163"/>
        <v>89.15</v>
      </c>
      <c r="N1339" s="10">
        <f t="shared" si="164"/>
        <v>8915</v>
      </c>
      <c r="O1339" s="1" t="b">
        <f>IFERROR(IF(ISNUMBER(Raw!G1339),TRUE,OR(EXACT(L1339,TEXT(M1339,"0.00")),EXACT(L1339,TEXT(M1339,"#,##0.00")))),FALSE)</f>
        <v>1</v>
      </c>
      <c r="P1339" s="1" t="str">
        <f>LEN(IF(Raw!A1339="","",Raw!A1339))&amp;":"&amp;IF(Raw!A1339="","",Raw!A1339)&amp;"|"&amp;LEN(IF(Raw!B1339="","",Raw!B1339))&amp;":"&amp;IF(Raw!B1339="","",Raw!B1339)&amp;"|"&amp;LEN(IF(Raw!C1339="","",Raw!C1339))&amp;":"&amp;IF(Raw!C1339="","",Raw!C1339)&amp;"|"&amp;LEN(IF(Raw!D1339="","",Raw!D1339))&amp;":"&amp;IF(Raw!D1339="","",Raw!D1339)&amp;"|"&amp;LEN(IF(Raw!E1339="","",Raw!E1339))&amp;":"&amp;IF(Raw!E1339="","",Raw!E1339)&amp;"|"&amp;LEN(IF(Raw!F1339="","",Raw!F1339))&amp;":"&amp;IF(Raw!F1339="","",Raw!F1339)&amp;"|"&amp;LEN(IF(Raw!G1339="","",Raw!G1339))&amp;":"&amp;IF(Raw!G1339="","",Raw!G1339)</f>
        <v>6:L01333|6:T00667|10:2026-03-14|3:P-A|11:Accessories|4:sale|5:89.15</v>
      </c>
      <c r="Q1339" s="1">
        <f>1</f>
        <v>1</v>
      </c>
      <c r="R1339" s="1" t="b">
        <f>FALSE</f>
        <v>0</v>
      </c>
      <c r="S1339" s="1">
        <f>1</f>
        <v>1</v>
      </c>
      <c r="T1339" s="1" t="str">
        <f>IF(AND(Raw!A1339="",Raw!B1339="",Raw!C1339="",Raw!D1339="",Raw!E1339="",Raw!F1339="",Raw!G1339=""),"UNUSED",IF(A1339="","missing line ID",IF(B1339="","missing transaction ID",IF(G1339="",IF(C1339="","missing date","invalid date"),IF(I1339="","unknown product",IF(J1339="","conflicting category",IF(NOT(OR(EXACT(K1339,"sale"),EXACT(K1339,"refund"))),"unknown event",IF(OR(N1339="",NOT(O1339)),"invalid amount",IF(OR(AND(K1339="sale",N1339&lt;=0),AND(K1339="refund",N1339&gt;=0)),"invalid sign","")))))))))</f>
        <v/>
      </c>
      <c r="U1339" s="1" t="str">
        <f t="shared" si="165"/>
        <v>INCLUDED</v>
      </c>
      <c r="V1339" s="1" t="str">
        <f t="shared" si="166"/>
        <v>2026-03</v>
      </c>
      <c r="W1339" s="1">
        <f>IF(AND(U1339="INCLUDED",X1339&gt;0,EXACT(A1339,'AI output'!A1339)),1,0)</f>
        <v>1</v>
      </c>
      <c r="X1339" s="1">
        <f>1339</f>
        <v>1339</v>
      </c>
      <c r="Y1339" s="1">
        <f>IF(AND(U1339="INCLUDED",W1339=1),--(NOT(EXACT(A1339,'AI output'!A1339)))+--(NOT(EXACT(B1339,'AI output'!B1339)))+--(NOT(EXACT(TEXT(G1339,"yyyy-mm-dd"),'AI output'!C1339)))+--(NOT(EXACT(H1339,'AI output'!D1339)))+--(NOT(EXACT(J1339,'AI output'!E1339)))+--(NOT(EXACT(K1339,'AI output'!F1339)))+--(N1339&lt;&gt;'AI output'!L1339)+--(NOT('AI output'!M1339)),0)</f>
        <v>0</v>
      </c>
      <c r="Z1339" s="1">
        <f t="shared" si="167"/>
        <v>0</v>
      </c>
      <c r="AA1339" s="1">
        <f>--EXACT(A1339,"L01333")</f>
        <v>1</v>
      </c>
    </row>
    <row r="1340" spans="1:27" ht="18.95" customHeight="1">
      <c r="A1340" s="1" t="str">
        <f>IF(Raw!A1340="","",Raw!A1340)</f>
        <v>L01334</v>
      </c>
      <c r="B1340" s="1" t="str">
        <f>IF(Raw!B1340="","",Raw!B1340)</f>
        <v>T00667</v>
      </c>
      <c r="C1340" s="1" t="str">
        <f>IF(Raw!C1340="","",Raw!C1340)</f>
        <v>2026-03-14</v>
      </c>
      <c r="D1340" s="1">
        <f t="shared" si="160"/>
        <v>2026</v>
      </c>
      <c r="E1340" s="1">
        <f>IFERROR(IF(AND(LEN(C1340)=10,MID(C1340,5,1)="-",MID(C1340,8,1)="-"),VALUE(MID(C1340,6,2)),IF(AND(LEN(C1340)=11,MID(C1340,3,1)="-",MID(C1340,7,1)="-"),MATCH(UPPER(MID(C1340,4,3)),Guide!$D$7:$D$18,0),0)),0)</f>
        <v>3</v>
      </c>
      <c r="F1340" s="1">
        <f t="shared" si="161"/>
        <v>14</v>
      </c>
      <c r="G1340" s="9">
        <f t="shared" si="162"/>
        <v>46095</v>
      </c>
      <c r="H1340" s="1" t="str">
        <f>IF(Raw!D1340="","",Raw!D1340)</f>
        <v>P-H</v>
      </c>
      <c r="I1340" s="1" t="str">
        <f>IFERROR(IF(EXACT(H1340,INDEX(Guide!$A$7:$A$9,MATCH(SUBSTITUTE(SUBSTITUTE(SUBSTITUTE(H1340,"~","~~"),"*","~*"),"?","~?"),Guide!$A$7:$A$9,0))),INDEX(Guide!$B$7:$B$9,MATCH(SUBSTITUTE(SUBSTITUTE(SUBSTITUTE(H1340,"~","~~"),"*","~*"),"?","~?"),Guide!$A$7:$A$9,0)),""),"")</f>
        <v>Home</v>
      </c>
      <c r="J1340" s="1" t="str">
        <f>IF(TRIM(Raw!E1340)="",I1340,IF(UPPER(TRIM(Raw!E1340))=UPPER(I1340),I1340,""))</f>
        <v>Home</v>
      </c>
      <c r="K1340" s="1" t="str">
        <f>IF(Raw!F1340="","",Raw!F1340)</f>
        <v>sale</v>
      </c>
      <c r="L1340" s="1" t="str">
        <f>IF(LEFT(TRIM(Raw!G1340),2)="-$","-"&amp;MID(TRIM(Raw!G1340),3,99),IF(LEFT(TRIM(Raw!G1340),1)="$",MID(TRIM(Raw!G1340),2,99),TRIM(Raw!G1340)))</f>
        <v>36.40</v>
      </c>
      <c r="M1340" s="1">
        <f t="shared" si="163"/>
        <v>36.4</v>
      </c>
      <c r="N1340" s="10">
        <f t="shared" si="164"/>
        <v>3640</v>
      </c>
      <c r="O1340" s="1" t="b">
        <f>IFERROR(IF(ISNUMBER(Raw!G1340),TRUE,OR(EXACT(L1340,TEXT(M1340,"0.00")),EXACT(L1340,TEXT(M1340,"#,##0.00")))),FALSE)</f>
        <v>1</v>
      </c>
      <c r="P1340" s="1" t="str">
        <f>LEN(IF(Raw!A1340="","",Raw!A1340))&amp;":"&amp;IF(Raw!A1340="","",Raw!A1340)&amp;"|"&amp;LEN(IF(Raw!B1340="","",Raw!B1340))&amp;":"&amp;IF(Raw!B1340="","",Raw!B1340)&amp;"|"&amp;LEN(IF(Raw!C1340="","",Raw!C1340))&amp;":"&amp;IF(Raw!C1340="","",Raw!C1340)&amp;"|"&amp;LEN(IF(Raw!D1340="","",Raw!D1340))&amp;":"&amp;IF(Raw!D1340="","",Raw!D1340)&amp;"|"&amp;LEN(IF(Raw!E1340="","",Raw!E1340))&amp;":"&amp;IF(Raw!E1340="","",Raw!E1340)&amp;"|"&amp;LEN(IF(Raw!F1340="","",Raw!F1340))&amp;":"&amp;IF(Raw!F1340="","",Raw!F1340)&amp;"|"&amp;LEN(IF(Raw!G1340="","",Raw!G1340))&amp;":"&amp;IF(Raw!G1340="","",Raw!G1340)</f>
        <v>6:L01334|6:T00667|10:2026-03-14|3:P-H|4:Home|4:sale|5:36.40</v>
      </c>
      <c r="Q1340" s="1">
        <f>1</f>
        <v>1</v>
      </c>
      <c r="R1340" s="1" t="b">
        <f>FALSE</f>
        <v>0</v>
      </c>
      <c r="S1340" s="1">
        <f>1</f>
        <v>1</v>
      </c>
      <c r="T1340" s="1" t="str">
        <f>IF(AND(Raw!A1340="",Raw!B1340="",Raw!C1340="",Raw!D1340="",Raw!E1340="",Raw!F1340="",Raw!G1340=""),"UNUSED",IF(A1340="","missing line ID",IF(B1340="","missing transaction ID",IF(G1340="",IF(C1340="","missing date","invalid date"),IF(I1340="","unknown product",IF(J1340="","conflicting category",IF(NOT(OR(EXACT(K1340,"sale"),EXACT(K1340,"refund"))),"unknown event",IF(OR(N1340="",NOT(O1340)),"invalid amount",IF(OR(AND(K1340="sale",N1340&lt;=0),AND(K1340="refund",N1340&gt;=0)),"invalid sign","")))))))))</f>
        <v/>
      </c>
      <c r="U1340" s="1" t="str">
        <f t="shared" si="165"/>
        <v>INCLUDED</v>
      </c>
      <c r="V1340" s="1" t="str">
        <f t="shared" si="166"/>
        <v>2026-03</v>
      </c>
      <c r="W1340" s="1">
        <f>IF(AND(U1340="INCLUDED",X1340&gt;0,EXACT(A1340,'AI output'!A1340)),1,0)</f>
        <v>1</v>
      </c>
      <c r="X1340" s="1">
        <f>1340</f>
        <v>1340</v>
      </c>
      <c r="Y1340" s="1">
        <f>IF(AND(U1340="INCLUDED",W1340=1),--(NOT(EXACT(A1340,'AI output'!A1340)))+--(NOT(EXACT(B1340,'AI output'!B1340)))+--(NOT(EXACT(TEXT(G1340,"yyyy-mm-dd"),'AI output'!C1340)))+--(NOT(EXACT(H1340,'AI output'!D1340)))+--(NOT(EXACT(J1340,'AI output'!E1340)))+--(NOT(EXACT(K1340,'AI output'!F1340)))+--(N1340&lt;&gt;'AI output'!L1340)+--(NOT('AI output'!M1340)),0)</f>
        <v>0</v>
      </c>
      <c r="Z1340" s="1">
        <f t="shared" si="167"/>
        <v>0</v>
      </c>
      <c r="AA1340" s="1">
        <f>--EXACT(A1340,"L01334")</f>
        <v>1</v>
      </c>
    </row>
    <row r="1341" spans="1:27" ht="18.95" customHeight="1">
      <c r="A1341" s="1" t="str">
        <f>IF(Raw!A1341="","",Raw!A1341)</f>
        <v>L01335</v>
      </c>
      <c r="B1341" s="1" t="str">
        <f>IF(Raw!B1341="","",Raw!B1341)</f>
        <v>T00668</v>
      </c>
      <c r="C1341" s="1" t="str">
        <f>IF(Raw!C1341="","",Raw!C1341)</f>
        <v>2026-03-21</v>
      </c>
      <c r="D1341" s="1">
        <f t="shared" si="160"/>
        <v>2026</v>
      </c>
      <c r="E1341" s="1">
        <f>IFERROR(IF(AND(LEN(C1341)=10,MID(C1341,5,1)="-",MID(C1341,8,1)="-"),VALUE(MID(C1341,6,2)),IF(AND(LEN(C1341)=11,MID(C1341,3,1)="-",MID(C1341,7,1)="-"),MATCH(UPPER(MID(C1341,4,3)),Guide!$D$7:$D$18,0),0)),0)</f>
        <v>3</v>
      </c>
      <c r="F1341" s="1">
        <f t="shared" si="161"/>
        <v>21</v>
      </c>
      <c r="G1341" s="9">
        <f t="shared" si="162"/>
        <v>46102</v>
      </c>
      <c r="H1341" s="1" t="str">
        <f>IF(Raw!D1341="","",Raw!D1341)</f>
        <v>P-O</v>
      </c>
      <c r="I1341" s="1" t="str">
        <f>IFERROR(IF(EXACT(H1341,INDEX(Guide!$A$7:$A$9,MATCH(SUBSTITUTE(SUBSTITUTE(SUBSTITUTE(H1341,"~","~~"),"*","~*"),"?","~?"),Guide!$A$7:$A$9,0))),INDEX(Guide!$B$7:$B$9,MATCH(SUBSTITUTE(SUBSTITUTE(SUBSTITUTE(H1341,"~","~~"),"*","~*"),"?","~?"),Guide!$A$7:$A$9,0)),""),"")</f>
        <v>Office</v>
      </c>
      <c r="J1341" s="1" t="str">
        <f>IF(TRIM(Raw!E1341)="",I1341,IF(UPPER(TRIM(Raw!E1341))=UPPER(I1341),I1341,""))</f>
        <v>Office</v>
      </c>
      <c r="K1341" s="1" t="str">
        <f>IF(Raw!F1341="","",Raw!F1341)</f>
        <v>refund</v>
      </c>
      <c r="L1341" s="1" t="str">
        <f>IF(LEFT(TRIM(Raw!G1341),2)="-$","-"&amp;MID(TRIM(Raw!G1341),3,99),IF(LEFT(TRIM(Raw!G1341),1)="$",MID(TRIM(Raw!G1341),2,99),TRIM(Raw!G1341)))</f>
        <v>-74.28</v>
      </c>
      <c r="M1341" s="1">
        <f t="shared" si="163"/>
        <v>-74.28</v>
      </c>
      <c r="N1341" s="10">
        <f t="shared" si="164"/>
        <v>-7428</v>
      </c>
      <c r="O1341" s="1" t="b">
        <f>IFERROR(IF(ISNUMBER(Raw!G1341),TRUE,OR(EXACT(L1341,TEXT(M1341,"0.00")),EXACT(L1341,TEXT(M1341,"#,##0.00")))),FALSE)</f>
        <v>1</v>
      </c>
      <c r="P1341" s="1" t="str">
        <f>LEN(IF(Raw!A1341="","",Raw!A1341))&amp;":"&amp;IF(Raw!A1341="","",Raw!A1341)&amp;"|"&amp;LEN(IF(Raw!B1341="","",Raw!B1341))&amp;":"&amp;IF(Raw!B1341="","",Raw!B1341)&amp;"|"&amp;LEN(IF(Raw!C1341="","",Raw!C1341))&amp;":"&amp;IF(Raw!C1341="","",Raw!C1341)&amp;"|"&amp;LEN(IF(Raw!D1341="","",Raw!D1341))&amp;":"&amp;IF(Raw!D1341="","",Raw!D1341)&amp;"|"&amp;LEN(IF(Raw!E1341="","",Raw!E1341))&amp;":"&amp;IF(Raw!E1341="","",Raw!E1341)&amp;"|"&amp;LEN(IF(Raw!F1341="","",Raw!F1341))&amp;":"&amp;IF(Raw!F1341="","",Raw!F1341)&amp;"|"&amp;LEN(IF(Raw!G1341="","",Raw!G1341))&amp;":"&amp;IF(Raw!G1341="","",Raw!G1341)</f>
        <v>6:L01335|6:T00668|10:2026-03-21|3:P-O|6:Office|6:refund|6:-74.28</v>
      </c>
      <c r="Q1341" s="1">
        <f>1</f>
        <v>1</v>
      </c>
      <c r="R1341" s="1" t="b">
        <f>FALSE</f>
        <v>0</v>
      </c>
      <c r="S1341" s="1">
        <f>1</f>
        <v>1</v>
      </c>
      <c r="T1341" s="1" t="str">
        <f>IF(AND(Raw!A1341="",Raw!B1341="",Raw!C1341="",Raw!D1341="",Raw!E1341="",Raw!F1341="",Raw!G1341=""),"UNUSED",IF(A1341="","missing line ID",IF(B1341="","missing transaction ID",IF(G1341="",IF(C1341="","missing date","invalid date"),IF(I1341="","unknown product",IF(J1341="","conflicting category",IF(NOT(OR(EXACT(K1341,"sale"),EXACT(K1341,"refund"))),"unknown event",IF(OR(N1341="",NOT(O1341)),"invalid amount",IF(OR(AND(K1341="sale",N1341&lt;=0),AND(K1341="refund",N1341&gt;=0)),"invalid sign","")))))))))</f>
        <v/>
      </c>
      <c r="U1341" s="1" t="str">
        <f t="shared" si="165"/>
        <v>INCLUDED</v>
      </c>
      <c r="V1341" s="1" t="str">
        <f t="shared" si="166"/>
        <v>2026-03</v>
      </c>
      <c r="W1341" s="1">
        <f>IF(AND(U1341="INCLUDED",X1341&gt;0,EXACT(A1341,'AI output'!A1341)),1,0)</f>
        <v>1</v>
      </c>
      <c r="X1341" s="1">
        <f>1341</f>
        <v>1341</v>
      </c>
      <c r="Y1341" s="1">
        <f>IF(AND(U1341="INCLUDED",W1341=1),--(NOT(EXACT(A1341,'AI output'!A1341)))+--(NOT(EXACT(B1341,'AI output'!B1341)))+--(NOT(EXACT(TEXT(G1341,"yyyy-mm-dd"),'AI output'!C1341)))+--(NOT(EXACT(H1341,'AI output'!D1341)))+--(NOT(EXACT(J1341,'AI output'!E1341)))+--(NOT(EXACT(K1341,'AI output'!F1341)))+--(N1341&lt;&gt;'AI output'!L1341)+--(NOT('AI output'!M1341)),0)</f>
        <v>0</v>
      </c>
      <c r="Z1341" s="1">
        <f t="shared" si="167"/>
        <v>0</v>
      </c>
      <c r="AA1341" s="1">
        <f>--EXACT(A1341,"L01335")</f>
        <v>1</v>
      </c>
    </row>
    <row r="1342" spans="1:27" ht="18.95" customHeight="1">
      <c r="A1342" s="1" t="str">
        <f>IF(Raw!A1342="","",Raw!A1342)</f>
        <v>L01336</v>
      </c>
      <c r="B1342" s="1" t="str">
        <f>IF(Raw!B1342="","",Raw!B1342)</f>
        <v>T00668</v>
      </c>
      <c r="C1342" s="1" t="str">
        <f>IF(Raw!C1342="","",Raw!C1342)</f>
        <v>2026-03-21</v>
      </c>
      <c r="D1342" s="1">
        <f t="shared" si="160"/>
        <v>2026</v>
      </c>
      <c r="E1342" s="1">
        <f>IFERROR(IF(AND(LEN(C1342)=10,MID(C1342,5,1)="-",MID(C1342,8,1)="-"),VALUE(MID(C1342,6,2)),IF(AND(LEN(C1342)=11,MID(C1342,3,1)="-",MID(C1342,7,1)="-"),MATCH(UPPER(MID(C1342,4,3)),Guide!$D$7:$D$18,0),0)),0)</f>
        <v>3</v>
      </c>
      <c r="F1342" s="1">
        <f t="shared" si="161"/>
        <v>21</v>
      </c>
      <c r="G1342" s="9">
        <f t="shared" si="162"/>
        <v>46102</v>
      </c>
      <c r="H1342" s="1" t="str">
        <f>IF(Raw!D1342="","",Raw!D1342)</f>
        <v>P-A</v>
      </c>
      <c r="I1342" s="1" t="str">
        <f>IFERROR(IF(EXACT(H1342,INDEX(Guide!$A$7:$A$9,MATCH(SUBSTITUTE(SUBSTITUTE(SUBSTITUTE(H1342,"~","~~"),"*","~*"),"?","~?"),Guide!$A$7:$A$9,0))),INDEX(Guide!$B$7:$B$9,MATCH(SUBSTITUTE(SUBSTITUTE(SUBSTITUTE(H1342,"~","~~"),"*","~*"),"?","~?"),Guide!$A$7:$A$9,0)),""),"")</f>
        <v>Accessories</v>
      </c>
      <c r="J1342" s="1" t="str">
        <f>IF(TRIM(Raw!E1342)="",I1342,IF(UPPER(TRIM(Raw!E1342))=UPPER(I1342),I1342,""))</f>
        <v>Accessories</v>
      </c>
      <c r="K1342" s="1" t="str">
        <f>IF(Raw!F1342="","",Raw!F1342)</f>
        <v>sale</v>
      </c>
      <c r="L1342" s="1" t="str">
        <f>IF(LEFT(TRIM(Raw!G1342),2)="-$","-"&amp;MID(TRIM(Raw!G1342),3,99),IF(LEFT(TRIM(Raw!G1342),1)="$",MID(TRIM(Raw!G1342),2,99),TRIM(Raw!G1342)))</f>
        <v>18.94</v>
      </c>
      <c r="M1342" s="1">
        <f t="shared" si="163"/>
        <v>18.940000000000001</v>
      </c>
      <c r="N1342" s="10">
        <f t="shared" si="164"/>
        <v>1894</v>
      </c>
      <c r="O1342" s="1" t="b">
        <f>IFERROR(IF(ISNUMBER(Raw!G1342),TRUE,OR(EXACT(L1342,TEXT(M1342,"0.00")),EXACT(L1342,TEXT(M1342,"#,##0.00")))),FALSE)</f>
        <v>1</v>
      </c>
      <c r="P1342" s="1" t="str">
        <f>LEN(IF(Raw!A1342="","",Raw!A1342))&amp;":"&amp;IF(Raw!A1342="","",Raw!A1342)&amp;"|"&amp;LEN(IF(Raw!B1342="","",Raw!B1342))&amp;":"&amp;IF(Raw!B1342="","",Raw!B1342)&amp;"|"&amp;LEN(IF(Raw!C1342="","",Raw!C1342))&amp;":"&amp;IF(Raw!C1342="","",Raw!C1342)&amp;"|"&amp;LEN(IF(Raw!D1342="","",Raw!D1342))&amp;":"&amp;IF(Raw!D1342="","",Raw!D1342)&amp;"|"&amp;LEN(IF(Raw!E1342="","",Raw!E1342))&amp;":"&amp;IF(Raw!E1342="","",Raw!E1342)&amp;"|"&amp;LEN(IF(Raw!F1342="","",Raw!F1342))&amp;":"&amp;IF(Raw!F1342="","",Raw!F1342)&amp;"|"&amp;LEN(IF(Raw!G1342="","",Raw!G1342))&amp;":"&amp;IF(Raw!G1342="","",Raw!G1342)</f>
        <v>6:L01336|6:T00668|10:2026-03-21|3:P-A|11:Accessories|4:sale|5:18.94</v>
      </c>
      <c r="Q1342" s="1">
        <f>1</f>
        <v>1</v>
      </c>
      <c r="R1342" s="1" t="b">
        <f>FALSE</f>
        <v>0</v>
      </c>
      <c r="S1342" s="1">
        <f>1</f>
        <v>1</v>
      </c>
      <c r="T1342" s="1" t="str">
        <f>IF(AND(Raw!A1342="",Raw!B1342="",Raw!C1342="",Raw!D1342="",Raw!E1342="",Raw!F1342="",Raw!G1342=""),"UNUSED",IF(A1342="","missing line ID",IF(B1342="","missing transaction ID",IF(G1342="",IF(C1342="","missing date","invalid date"),IF(I1342="","unknown product",IF(J1342="","conflicting category",IF(NOT(OR(EXACT(K1342,"sale"),EXACT(K1342,"refund"))),"unknown event",IF(OR(N1342="",NOT(O1342)),"invalid amount",IF(OR(AND(K1342="sale",N1342&lt;=0),AND(K1342="refund",N1342&gt;=0)),"invalid sign","")))))))))</f>
        <v/>
      </c>
      <c r="U1342" s="1" t="str">
        <f t="shared" si="165"/>
        <v>INCLUDED</v>
      </c>
      <c r="V1342" s="1" t="str">
        <f t="shared" si="166"/>
        <v>2026-03</v>
      </c>
      <c r="W1342" s="1">
        <f>IF(AND(U1342="INCLUDED",X1342&gt;0,EXACT(A1342,'AI output'!A1342)),1,0)</f>
        <v>1</v>
      </c>
      <c r="X1342" s="1">
        <f>1342</f>
        <v>1342</v>
      </c>
      <c r="Y1342" s="1">
        <f>IF(AND(U1342="INCLUDED",W1342=1),--(NOT(EXACT(A1342,'AI output'!A1342)))+--(NOT(EXACT(B1342,'AI output'!B1342)))+--(NOT(EXACT(TEXT(G1342,"yyyy-mm-dd"),'AI output'!C1342)))+--(NOT(EXACT(H1342,'AI output'!D1342)))+--(NOT(EXACT(J1342,'AI output'!E1342)))+--(NOT(EXACT(K1342,'AI output'!F1342)))+--(N1342&lt;&gt;'AI output'!L1342)+--(NOT('AI output'!M1342)),0)</f>
        <v>0</v>
      </c>
      <c r="Z1342" s="1">
        <f t="shared" si="167"/>
        <v>0</v>
      </c>
      <c r="AA1342" s="1">
        <f>--EXACT(A1342,"L01336")</f>
        <v>1</v>
      </c>
    </row>
    <row r="1343" spans="1:27" ht="18.95" customHeight="1">
      <c r="A1343" s="1" t="str">
        <f>IF(Raw!A1343="","",Raw!A1343)</f>
        <v>L01337</v>
      </c>
      <c r="B1343" s="1" t="str">
        <f>IF(Raw!B1343="","",Raw!B1343)</f>
        <v>T00669</v>
      </c>
      <c r="C1343" s="1" t="str">
        <f>IF(Raw!C1343="","",Raw!C1343)</f>
        <v>2026-03-28</v>
      </c>
      <c r="D1343" s="1">
        <f t="shared" si="160"/>
        <v>2026</v>
      </c>
      <c r="E1343" s="1">
        <f>IFERROR(IF(AND(LEN(C1343)=10,MID(C1343,5,1)="-",MID(C1343,8,1)="-"),VALUE(MID(C1343,6,2)),IF(AND(LEN(C1343)=11,MID(C1343,3,1)="-",MID(C1343,7,1)="-"),MATCH(UPPER(MID(C1343,4,3)),Guide!$D$7:$D$18,0),0)),0)</f>
        <v>3</v>
      </c>
      <c r="F1343" s="1">
        <f t="shared" si="161"/>
        <v>28</v>
      </c>
      <c r="G1343" s="9">
        <f t="shared" si="162"/>
        <v>46109</v>
      </c>
      <c r="H1343" s="1" t="str">
        <f>IF(Raw!D1343="","",Raw!D1343)</f>
        <v>P-H</v>
      </c>
      <c r="I1343" s="1" t="str">
        <f>IFERROR(IF(EXACT(H1343,INDEX(Guide!$A$7:$A$9,MATCH(SUBSTITUTE(SUBSTITUTE(SUBSTITUTE(H1343,"~","~~"),"*","~*"),"?","~?"),Guide!$A$7:$A$9,0))),INDEX(Guide!$B$7:$B$9,MATCH(SUBSTITUTE(SUBSTITUTE(SUBSTITUTE(H1343,"~","~~"),"*","~*"),"?","~?"),Guide!$A$7:$A$9,0)),""),"")</f>
        <v>Home</v>
      </c>
      <c r="J1343" s="1" t="str">
        <f>IF(TRIM(Raw!E1343)="",I1343,IF(UPPER(TRIM(Raw!E1343))=UPPER(I1343),I1343,""))</f>
        <v>Home</v>
      </c>
      <c r="K1343" s="1" t="str">
        <f>IF(Raw!F1343="","",Raw!F1343)</f>
        <v>sale</v>
      </c>
      <c r="L1343" s="1" t="str">
        <f>IF(LEFT(TRIM(Raw!G1343),2)="-$","-"&amp;MID(TRIM(Raw!G1343),3,99),IF(LEFT(TRIM(Raw!G1343),1)="$",MID(TRIM(Raw!G1343),2,99),TRIM(Raw!G1343)))</f>
        <v>57.93</v>
      </c>
      <c r="M1343" s="1">
        <f t="shared" si="163"/>
        <v>57.93</v>
      </c>
      <c r="N1343" s="10">
        <f t="shared" si="164"/>
        <v>5793</v>
      </c>
      <c r="O1343" s="1" t="b">
        <f>IFERROR(IF(ISNUMBER(Raw!G1343),TRUE,OR(EXACT(L1343,TEXT(M1343,"0.00")),EXACT(L1343,TEXT(M1343,"#,##0.00")))),FALSE)</f>
        <v>1</v>
      </c>
      <c r="P1343" s="1" t="str">
        <f>LEN(IF(Raw!A1343="","",Raw!A1343))&amp;":"&amp;IF(Raw!A1343="","",Raw!A1343)&amp;"|"&amp;LEN(IF(Raw!B1343="","",Raw!B1343))&amp;":"&amp;IF(Raw!B1343="","",Raw!B1343)&amp;"|"&amp;LEN(IF(Raw!C1343="","",Raw!C1343))&amp;":"&amp;IF(Raw!C1343="","",Raw!C1343)&amp;"|"&amp;LEN(IF(Raw!D1343="","",Raw!D1343))&amp;":"&amp;IF(Raw!D1343="","",Raw!D1343)&amp;"|"&amp;LEN(IF(Raw!E1343="","",Raw!E1343))&amp;":"&amp;IF(Raw!E1343="","",Raw!E1343)&amp;"|"&amp;LEN(IF(Raw!F1343="","",Raw!F1343))&amp;":"&amp;IF(Raw!F1343="","",Raw!F1343)&amp;"|"&amp;LEN(IF(Raw!G1343="","",Raw!G1343))&amp;":"&amp;IF(Raw!G1343="","",Raw!G1343)</f>
        <v>6:L01337|6:T00669|10:2026-03-28|3:P-H|4:Home|4:sale|5:57.93</v>
      </c>
      <c r="Q1343" s="1">
        <f>1</f>
        <v>1</v>
      </c>
      <c r="R1343" s="1" t="b">
        <f>FALSE</f>
        <v>0</v>
      </c>
      <c r="S1343" s="1">
        <f>1</f>
        <v>1</v>
      </c>
      <c r="T1343" s="1" t="str">
        <f>IF(AND(Raw!A1343="",Raw!B1343="",Raw!C1343="",Raw!D1343="",Raw!E1343="",Raw!F1343="",Raw!G1343=""),"UNUSED",IF(A1343="","missing line ID",IF(B1343="","missing transaction ID",IF(G1343="",IF(C1343="","missing date","invalid date"),IF(I1343="","unknown product",IF(J1343="","conflicting category",IF(NOT(OR(EXACT(K1343,"sale"),EXACT(K1343,"refund"))),"unknown event",IF(OR(N1343="",NOT(O1343)),"invalid amount",IF(OR(AND(K1343="sale",N1343&lt;=0),AND(K1343="refund",N1343&gt;=0)),"invalid sign","")))))))))</f>
        <v/>
      </c>
      <c r="U1343" s="1" t="str">
        <f t="shared" si="165"/>
        <v>INCLUDED</v>
      </c>
      <c r="V1343" s="1" t="str">
        <f t="shared" si="166"/>
        <v>2026-03</v>
      </c>
      <c r="W1343" s="1">
        <f>IF(AND(U1343="INCLUDED",X1343&gt;0,EXACT(A1343,'AI output'!A1343)),1,0)</f>
        <v>1</v>
      </c>
      <c r="X1343" s="1">
        <f>1343</f>
        <v>1343</v>
      </c>
      <c r="Y1343" s="1">
        <f>IF(AND(U1343="INCLUDED",W1343=1),--(NOT(EXACT(A1343,'AI output'!A1343)))+--(NOT(EXACT(B1343,'AI output'!B1343)))+--(NOT(EXACT(TEXT(G1343,"yyyy-mm-dd"),'AI output'!C1343)))+--(NOT(EXACT(H1343,'AI output'!D1343)))+--(NOT(EXACT(J1343,'AI output'!E1343)))+--(NOT(EXACT(K1343,'AI output'!F1343)))+--(N1343&lt;&gt;'AI output'!L1343)+--(NOT('AI output'!M1343)),0)</f>
        <v>0</v>
      </c>
      <c r="Z1343" s="1">
        <f t="shared" si="167"/>
        <v>0</v>
      </c>
      <c r="AA1343" s="1">
        <f>--EXACT(A1343,"L01337")</f>
        <v>1</v>
      </c>
    </row>
    <row r="1344" spans="1:27" ht="18.95" customHeight="1">
      <c r="A1344" s="1" t="str">
        <f>IF(Raw!A1344="","",Raw!A1344)</f>
        <v>L01338</v>
      </c>
      <c r="B1344" s="1" t="str">
        <f>IF(Raw!B1344="","",Raw!B1344)</f>
        <v>T00669</v>
      </c>
      <c r="C1344" s="1" t="str">
        <f>IF(Raw!C1344="","",Raw!C1344)</f>
        <v>2026-03-28</v>
      </c>
      <c r="D1344" s="1">
        <f t="shared" si="160"/>
        <v>2026</v>
      </c>
      <c r="E1344" s="1">
        <f>IFERROR(IF(AND(LEN(C1344)=10,MID(C1344,5,1)="-",MID(C1344,8,1)="-"),VALUE(MID(C1344,6,2)),IF(AND(LEN(C1344)=11,MID(C1344,3,1)="-",MID(C1344,7,1)="-"),MATCH(UPPER(MID(C1344,4,3)),Guide!$D$7:$D$18,0),0)),0)</f>
        <v>3</v>
      </c>
      <c r="F1344" s="1">
        <f t="shared" si="161"/>
        <v>28</v>
      </c>
      <c r="G1344" s="9">
        <f t="shared" si="162"/>
        <v>46109</v>
      </c>
      <c r="H1344" s="1" t="str">
        <f>IF(Raw!D1344="","",Raw!D1344)</f>
        <v>P-O</v>
      </c>
      <c r="I1344" s="1" t="str">
        <f>IFERROR(IF(EXACT(H1344,INDEX(Guide!$A$7:$A$9,MATCH(SUBSTITUTE(SUBSTITUTE(SUBSTITUTE(H1344,"~","~~"),"*","~*"),"?","~?"),Guide!$A$7:$A$9,0))),INDEX(Guide!$B$7:$B$9,MATCH(SUBSTITUTE(SUBSTITUTE(SUBSTITUTE(H1344,"~","~~"),"*","~*"),"?","~?"),Guide!$A$7:$A$9,0)),""),"")</f>
        <v>Office</v>
      </c>
      <c r="J1344" s="1" t="str">
        <f>IF(TRIM(Raw!E1344)="",I1344,IF(UPPER(TRIM(Raw!E1344))=UPPER(I1344),I1344,""))</f>
        <v>Office</v>
      </c>
      <c r="K1344" s="1" t="str">
        <f>IF(Raw!F1344="","",Raw!F1344)</f>
        <v>sale</v>
      </c>
      <c r="L1344" s="1" t="str">
        <f>IF(LEFT(TRIM(Raw!G1344),2)="-$","-"&amp;MID(TRIM(Raw!G1344),3,99),IF(LEFT(TRIM(Raw!G1344),1)="$",MID(TRIM(Raw!G1344),2,99),TRIM(Raw!G1344)))</f>
        <v>98.40</v>
      </c>
      <c r="M1344" s="1">
        <f t="shared" si="163"/>
        <v>98.4</v>
      </c>
      <c r="N1344" s="10">
        <f t="shared" si="164"/>
        <v>9840</v>
      </c>
      <c r="O1344" s="1" t="b">
        <f>IFERROR(IF(ISNUMBER(Raw!G1344),TRUE,OR(EXACT(L1344,TEXT(M1344,"0.00")),EXACT(L1344,TEXT(M1344,"#,##0.00")))),FALSE)</f>
        <v>1</v>
      </c>
      <c r="P1344" s="1" t="str">
        <f>LEN(IF(Raw!A1344="","",Raw!A1344))&amp;":"&amp;IF(Raw!A1344="","",Raw!A1344)&amp;"|"&amp;LEN(IF(Raw!B1344="","",Raw!B1344))&amp;":"&amp;IF(Raw!B1344="","",Raw!B1344)&amp;"|"&amp;LEN(IF(Raw!C1344="","",Raw!C1344))&amp;":"&amp;IF(Raw!C1344="","",Raw!C1344)&amp;"|"&amp;LEN(IF(Raw!D1344="","",Raw!D1344))&amp;":"&amp;IF(Raw!D1344="","",Raw!D1344)&amp;"|"&amp;LEN(IF(Raw!E1344="","",Raw!E1344))&amp;":"&amp;IF(Raw!E1344="","",Raw!E1344)&amp;"|"&amp;LEN(IF(Raw!F1344="","",Raw!F1344))&amp;":"&amp;IF(Raw!F1344="","",Raw!F1344)&amp;"|"&amp;LEN(IF(Raw!G1344="","",Raw!G1344))&amp;":"&amp;IF(Raw!G1344="","",Raw!G1344)</f>
        <v>6:L01338|6:T00669|10:2026-03-28|3:P-O|6:Office|4:sale|5:98.40</v>
      </c>
      <c r="Q1344" s="1">
        <f>1</f>
        <v>1</v>
      </c>
      <c r="R1344" s="1" t="b">
        <f>FALSE</f>
        <v>0</v>
      </c>
      <c r="S1344" s="1">
        <f>1</f>
        <v>1</v>
      </c>
      <c r="T1344" s="1" t="str">
        <f>IF(AND(Raw!A1344="",Raw!B1344="",Raw!C1344="",Raw!D1344="",Raw!E1344="",Raw!F1344="",Raw!G1344=""),"UNUSED",IF(A1344="","missing line ID",IF(B1344="","missing transaction ID",IF(G1344="",IF(C1344="","missing date","invalid date"),IF(I1344="","unknown product",IF(J1344="","conflicting category",IF(NOT(OR(EXACT(K1344,"sale"),EXACT(K1344,"refund"))),"unknown event",IF(OR(N1344="",NOT(O1344)),"invalid amount",IF(OR(AND(K1344="sale",N1344&lt;=0),AND(K1344="refund",N1344&gt;=0)),"invalid sign","")))))))))</f>
        <v/>
      </c>
      <c r="U1344" s="1" t="str">
        <f t="shared" si="165"/>
        <v>INCLUDED</v>
      </c>
      <c r="V1344" s="1" t="str">
        <f t="shared" si="166"/>
        <v>2026-03</v>
      </c>
      <c r="W1344" s="1">
        <f>IF(AND(U1344="INCLUDED",X1344&gt;0,EXACT(A1344,'AI output'!A1344)),1,0)</f>
        <v>1</v>
      </c>
      <c r="X1344" s="1">
        <f>1344</f>
        <v>1344</v>
      </c>
      <c r="Y1344" s="1">
        <f>IF(AND(U1344="INCLUDED",W1344=1),--(NOT(EXACT(A1344,'AI output'!A1344)))+--(NOT(EXACT(B1344,'AI output'!B1344)))+--(NOT(EXACT(TEXT(G1344,"yyyy-mm-dd"),'AI output'!C1344)))+--(NOT(EXACT(H1344,'AI output'!D1344)))+--(NOT(EXACT(J1344,'AI output'!E1344)))+--(NOT(EXACT(K1344,'AI output'!F1344)))+--(N1344&lt;&gt;'AI output'!L1344)+--(NOT('AI output'!M1344)),0)</f>
        <v>0</v>
      </c>
      <c r="Z1344" s="1">
        <f t="shared" si="167"/>
        <v>0</v>
      </c>
      <c r="AA1344" s="1">
        <f>--EXACT(A1344,"L01338")</f>
        <v>1</v>
      </c>
    </row>
    <row r="1345" spans="1:27" ht="18.95" customHeight="1">
      <c r="A1345" s="1" t="str">
        <f>IF(Raw!A1345="","",Raw!A1345)</f>
        <v>L01339</v>
      </c>
      <c r="B1345" s="1" t="str">
        <f>IF(Raw!B1345="","",Raw!B1345)</f>
        <v>T00670</v>
      </c>
      <c r="C1345" s="1" t="str">
        <f>IF(Raw!C1345="","",Raw!C1345)</f>
        <v>2026-01-04</v>
      </c>
      <c r="D1345" s="1">
        <f t="shared" si="160"/>
        <v>2026</v>
      </c>
      <c r="E1345" s="1">
        <f>IFERROR(IF(AND(LEN(C1345)=10,MID(C1345,5,1)="-",MID(C1345,8,1)="-"),VALUE(MID(C1345,6,2)),IF(AND(LEN(C1345)=11,MID(C1345,3,1)="-",MID(C1345,7,1)="-"),MATCH(UPPER(MID(C1345,4,3)),Guide!$D$7:$D$18,0),0)),0)</f>
        <v>1</v>
      </c>
      <c r="F1345" s="1">
        <f t="shared" si="161"/>
        <v>4</v>
      </c>
      <c r="G1345" s="9">
        <f t="shared" si="162"/>
        <v>46026</v>
      </c>
      <c r="H1345" s="1" t="str">
        <f>IF(Raw!D1345="","",Raw!D1345)</f>
        <v>P-A</v>
      </c>
      <c r="I1345" s="1" t="str">
        <f>IFERROR(IF(EXACT(H1345,INDEX(Guide!$A$7:$A$9,MATCH(SUBSTITUTE(SUBSTITUTE(SUBSTITUTE(H1345,"~","~~"),"*","~*"),"?","~?"),Guide!$A$7:$A$9,0))),INDEX(Guide!$B$7:$B$9,MATCH(SUBSTITUTE(SUBSTITUTE(SUBSTITUTE(H1345,"~","~~"),"*","~*"),"?","~?"),Guide!$A$7:$A$9,0)),""),"")</f>
        <v>Accessories</v>
      </c>
      <c r="J1345" s="1" t="str">
        <f>IF(TRIM(Raw!E1345)="",I1345,IF(UPPER(TRIM(Raw!E1345))=UPPER(I1345),I1345,""))</f>
        <v>Accessories</v>
      </c>
      <c r="K1345" s="1" t="str">
        <f>IF(Raw!F1345="","",Raw!F1345)</f>
        <v>sale</v>
      </c>
      <c r="L1345" s="1" t="str">
        <f>IF(LEFT(TRIM(Raw!G1345),2)="-$","-"&amp;MID(TRIM(Raw!G1345),3,99),IF(LEFT(TRIM(Raw!G1345),1)="$",MID(TRIM(Raw!G1345),2,99),TRIM(Raw!G1345)))</f>
        <v>40.10</v>
      </c>
      <c r="M1345" s="1">
        <f t="shared" si="163"/>
        <v>40.1</v>
      </c>
      <c r="N1345" s="10">
        <f t="shared" si="164"/>
        <v>4010</v>
      </c>
      <c r="O1345" s="1" t="b">
        <f>IFERROR(IF(ISNUMBER(Raw!G1345),TRUE,OR(EXACT(L1345,TEXT(M1345,"0.00")),EXACT(L1345,TEXT(M1345,"#,##0.00")))),FALSE)</f>
        <v>1</v>
      </c>
      <c r="P1345" s="1" t="str">
        <f>LEN(IF(Raw!A1345="","",Raw!A1345))&amp;":"&amp;IF(Raw!A1345="","",Raw!A1345)&amp;"|"&amp;LEN(IF(Raw!B1345="","",Raw!B1345))&amp;":"&amp;IF(Raw!B1345="","",Raw!B1345)&amp;"|"&amp;LEN(IF(Raw!C1345="","",Raw!C1345))&amp;":"&amp;IF(Raw!C1345="","",Raw!C1345)&amp;"|"&amp;LEN(IF(Raw!D1345="","",Raw!D1345))&amp;":"&amp;IF(Raw!D1345="","",Raw!D1345)&amp;"|"&amp;LEN(IF(Raw!E1345="","",Raw!E1345))&amp;":"&amp;IF(Raw!E1345="","",Raw!E1345)&amp;"|"&amp;LEN(IF(Raw!F1345="","",Raw!F1345))&amp;":"&amp;IF(Raw!F1345="","",Raw!F1345)&amp;"|"&amp;LEN(IF(Raw!G1345="","",Raw!G1345))&amp;":"&amp;IF(Raw!G1345="","",Raw!G1345)</f>
        <v>6:L01339|6:T00670|10:2026-01-04|3:P-A|11:Accessories|4:sale|5:40.10</v>
      </c>
      <c r="Q1345" s="1">
        <f>1</f>
        <v>1</v>
      </c>
      <c r="R1345" s="1" t="b">
        <f>FALSE</f>
        <v>0</v>
      </c>
      <c r="S1345" s="1">
        <f>1</f>
        <v>1</v>
      </c>
      <c r="T1345" s="1" t="str">
        <f>IF(AND(Raw!A1345="",Raw!B1345="",Raw!C1345="",Raw!D1345="",Raw!E1345="",Raw!F1345="",Raw!G1345=""),"UNUSED",IF(A1345="","missing line ID",IF(B1345="","missing transaction ID",IF(G1345="",IF(C1345="","missing date","invalid date"),IF(I1345="","unknown product",IF(J1345="","conflicting category",IF(NOT(OR(EXACT(K1345,"sale"),EXACT(K1345,"refund"))),"unknown event",IF(OR(N1345="",NOT(O1345)),"invalid amount",IF(OR(AND(K1345="sale",N1345&lt;=0),AND(K1345="refund",N1345&gt;=0)),"invalid sign","")))))))))</f>
        <v/>
      </c>
      <c r="U1345" s="1" t="str">
        <f t="shared" si="165"/>
        <v>INCLUDED</v>
      </c>
      <c r="V1345" s="1" t="str">
        <f t="shared" si="166"/>
        <v>2026-01</v>
      </c>
      <c r="W1345" s="1">
        <f>IF(AND(U1345="INCLUDED",X1345&gt;0,EXACT(A1345,'AI output'!A1345)),1,0)</f>
        <v>1</v>
      </c>
      <c r="X1345" s="1">
        <f>1345</f>
        <v>1345</v>
      </c>
      <c r="Y1345" s="1">
        <f>IF(AND(U1345="INCLUDED",W1345=1),--(NOT(EXACT(A1345,'AI output'!A1345)))+--(NOT(EXACT(B1345,'AI output'!B1345)))+--(NOT(EXACT(TEXT(G1345,"yyyy-mm-dd"),'AI output'!C1345)))+--(NOT(EXACT(H1345,'AI output'!D1345)))+--(NOT(EXACT(J1345,'AI output'!E1345)))+--(NOT(EXACT(K1345,'AI output'!F1345)))+--(N1345&lt;&gt;'AI output'!L1345)+--(NOT('AI output'!M1345)),0)</f>
        <v>0</v>
      </c>
      <c r="Z1345" s="1">
        <f t="shared" si="167"/>
        <v>0</v>
      </c>
      <c r="AA1345" s="1">
        <f>--EXACT(A1345,"L01339")</f>
        <v>1</v>
      </c>
    </row>
    <row r="1346" spans="1:27" ht="18.95" customHeight="1">
      <c r="A1346" s="1" t="str">
        <f>IF(Raw!A1346="","",Raw!A1346)</f>
        <v>L01340</v>
      </c>
      <c r="B1346" s="1" t="str">
        <f>IF(Raw!B1346="","",Raw!B1346)</f>
        <v>T00670</v>
      </c>
      <c r="C1346" s="1" t="str">
        <f>IF(Raw!C1346="","",Raw!C1346)</f>
        <v>2026-01-04</v>
      </c>
      <c r="D1346" s="1">
        <f t="shared" si="160"/>
        <v>2026</v>
      </c>
      <c r="E1346" s="1">
        <f>IFERROR(IF(AND(LEN(C1346)=10,MID(C1346,5,1)="-",MID(C1346,8,1)="-"),VALUE(MID(C1346,6,2)),IF(AND(LEN(C1346)=11,MID(C1346,3,1)="-",MID(C1346,7,1)="-"),MATCH(UPPER(MID(C1346,4,3)),Guide!$D$7:$D$18,0),0)),0)</f>
        <v>1</v>
      </c>
      <c r="F1346" s="1">
        <f t="shared" si="161"/>
        <v>4</v>
      </c>
      <c r="G1346" s="9">
        <f t="shared" si="162"/>
        <v>46026</v>
      </c>
      <c r="H1346" s="1" t="str">
        <f>IF(Raw!D1346="","",Raw!D1346)</f>
        <v>P-H</v>
      </c>
      <c r="I1346" s="1" t="str">
        <f>IFERROR(IF(EXACT(H1346,INDEX(Guide!$A$7:$A$9,MATCH(SUBSTITUTE(SUBSTITUTE(SUBSTITUTE(H1346,"~","~~"),"*","~*"),"?","~?"),Guide!$A$7:$A$9,0))),INDEX(Guide!$B$7:$B$9,MATCH(SUBSTITUTE(SUBSTITUTE(SUBSTITUTE(H1346,"~","~~"),"*","~*"),"?","~?"),Guide!$A$7:$A$9,0)),""),"")</f>
        <v>Home</v>
      </c>
      <c r="J1346" s="1" t="str">
        <f>IF(TRIM(Raw!E1346)="",I1346,IF(UPPER(TRIM(Raw!E1346))=UPPER(I1346),I1346,""))</f>
        <v>Home</v>
      </c>
      <c r="K1346" s="1" t="str">
        <f>IF(Raw!F1346="","",Raw!F1346)</f>
        <v>sale</v>
      </c>
      <c r="L1346" s="1" t="str">
        <f>IF(LEFT(TRIM(Raw!G1346),2)="-$","-"&amp;MID(TRIM(Raw!G1346),3,99),IF(LEFT(TRIM(Raw!G1346),1)="$",MID(TRIM(Raw!G1346),2,99),TRIM(Raw!G1346)))</f>
        <v>81.68</v>
      </c>
      <c r="M1346" s="1">
        <f t="shared" si="163"/>
        <v>81.680000000000007</v>
      </c>
      <c r="N1346" s="10">
        <f t="shared" si="164"/>
        <v>8168</v>
      </c>
      <c r="O1346" s="1" t="b">
        <f>IFERROR(IF(ISNUMBER(Raw!G1346),TRUE,OR(EXACT(L1346,TEXT(M1346,"0.00")),EXACT(L1346,TEXT(M1346,"#,##0.00")))),FALSE)</f>
        <v>1</v>
      </c>
      <c r="P1346" s="1" t="str">
        <f>LEN(IF(Raw!A1346="","",Raw!A1346))&amp;":"&amp;IF(Raw!A1346="","",Raw!A1346)&amp;"|"&amp;LEN(IF(Raw!B1346="","",Raw!B1346))&amp;":"&amp;IF(Raw!B1346="","",Raw!B1346)&amp;"|"&amp;LEN(IF(Raw!C1346="","",Raw!C1346))&amp;":"&amp;IF(Raw!C1346="","",Raw!C1346)&amp;"|"&amp;LEN(IF(Raw!D1346="","",Raw!D1346))&amp;":"&amp;IF(Raw!D1346="","",Raw!D1346)&amp;"|"&amp;LEN(IF(Raw!E1346="","",Raw!E1346))&amp;":"&amp;IF(Raw!E1346="","",Raw!E1346)&amp;"|"&amp;LEN(IF(Raw!F1346="","",Raw!F1346))&amp;":"&amp;IF(Raw!F1346="","",Raw!F1346)&amp;"|"&amp;LEN(IF(Raw!G1346="","",Raw!G1346))&amp;":"&amp;IF(Raw!G1346="","",Raw!G1346)</f>
        <v>6:L01340|6:T00670|10:2026-01-04|3:P-H|4:Home|4:sale|5:81.68</v>
      </c>
      <c r="Q1346" s="1">
        <f>1</f>
        <v>1</v>
      </c>
      <c r="R1346" s="1" t="b">
        <f>FALSE</f>
        <v>0</v>
      </c>
      <c r="S1346" s="1">
        <f>1</f>
        <v>1</v>
      </c>
      <c r="T1346" s="1" t="str">
        <f>IF(AND(Raw!A1346="",Raw!B1346="",Raw!C1346="",Raw!D1346="",Raw!E1346="",Raw!F1346="",Raw!G1346=""),"UNUSED",IF(A1346="","missing line ID",IF(B1346="","missing transaction ID",IF(G1346="",IF(C1346="","missing date","invalid date"),IF(I1346="","unknown product",IF(J1346="","conflicting category",IF(NOT(OR(EXACT(K1346,"sale"),EXACT(K1346,"refund"))),"unknown event",IF(OR(N1346="",NOT(O1346)),"invalid amount",IF(OR(AND(K1346="sale",N1346&lt;=0),AND(K1346="refund",N1346&gt;=0)),"invalid sign","")))))))))</f>
        <v/>
      </c>
      <c r="U1346" s="1" t="str">
        <f t="shared" si="165"/>
        <v>INCLUDED</v>
      </c>
      <c r="V1346" s="1" t="str">
        <f t="shared" si="166"/>
        <v>2026-01</v>
      </c>
      <c r="W1346" s="1">
        <f>IF(AND(U1346="INCLUDED",X1346&gt;0,EXACT(A1346,'AI output'!A1346)),1,0)</f>
        <v>1</v>
      </c>
      <c r="X1346" s="1">
        <f>1346</f>
        <v>1346</v>
      </c>
      <c r="Y1346" s="1">
        <f>IF(AND(U1346="INCLUDED",W1346=1),--(NOT(EXACT(A1346,'AI output'!A1346)))+--(NOT(EXACT(B1346,'AI output'!B1346)))+--(NOT(EXACT(TEXT(G1346,"yyyy-mm-dd"),'AI output'!C1346)))+--(NOT(EXACT(H1346,'AI output'!D1346)))+--(NOT(EXACT(J1346,'AI output'!E1346)))+--(NOT(EXACT(K1346,'AI output'!F1346)))+--(N1346&lt;&gt;'AI output'!L1346)+--(NOT('AI output'!M1346)),0)</f>
        <v>0</v>
      </c>
      <c r="Z1346" s="1">
        <f t="shared" si="167"/>
        <v>0</v>
      </c>
      <c r="AA1346" s="1">
        <f>--EXACT(A1346,"L01340")</f>
        <v>1</v>
      </c>
    </row>
    <row r="1347" spans="1:27" ht="18.95" customHeight="1">
      <c r="A1347" s="1" t="str">
        <f>IF(Raw!A1347="","",Raw!A1347)</f>
        <v>L01341</v>
      </c>
      <c r="B1347" s="1" t="str">
        <f>IF(Raw!B1347="","",Raw!B1347)</f>
        <v>T00671</v>
      </c>
      <c r="C1347" s="1" t="str">
        <f>IF(Raw!C1347="","",Raw!C1347)</f>
        <v>2026-01-11</v>
      </c>
      <c r="D1347" s="1">
        <f t="shared" si="160"/>
        <v>2026</v>
      </c>
      <c r="E1347" s="1">
        <f>IFERROR(IF(AND(LEN(C1347)=10,MID(C1347,5,1)="-",MID(C1347,8,1)="-"),VALUE(MID(C1347,6,2)),IF(AND(LEN(C1347)=11,MID(C1347,3,1)="-",MID(C1347,7,1)="-"),MATCH(UPPER(MID(C1347,4,3)),Guide!$D$7:$D$18,0),0)),0)</f>
        <v>1</v>
      </c>
      <c r="F1347" s="1">
        <f t="shared" si="161"/>
        <v>11</v>
      </c>
      <c r="G1347" s="9">
        <f t="shared" si="162"/>
        <v>46033</v>
      </c>
      <c r="H1347" s="1" t="str">
        <f>IF(Raw!D1347="","",Raw!D1347)</f>
        <v>P-O</v>
      </c>
      <c r="I1347" s="1" t="str">
        <f>IFERROR(IF(EXACT(H1347,INDEX(Guide!$A$7:$A$9,MATCH(SUBSTITUTE(SUBSTITUTE(SUBSTITUTE(H1347,"~","~~"),"*","~*"),"?","~?"),Guide!$A$7:$A$9,0))),INDEX(Guide!$B$7:$B$9,MATCH(SUBSTITUTE(SUBSTITUTE(SUBSTITUTE(H1347,"~","~~"),"*","~*"),"?","~?"),Guide!$A$7:$A$9,0)),""),"")</f>
        <v>Office</v>
      </c>
      <c r="J1347" s="1" t="str">
        <f>IF(TRIM(Raw!E1347)="",I1347,IF(UPPER(TRIM(Raw!E1347))=UPPER(I1347),I1347,""))</f>
        <v>Office</v>
      </c>
      <c r="K1347" s="1" t="str">
        <f>IF(Raw!F1347="","",Raw!F1347)</f>
        <v>sale</v>
      </c>
      <c r="L1347" s="1" t="str">
        <f>IF(LEFT(TRIM(Raw!G1347),2)="-$","-"&amp;MID(TRIM(Raw!G1347),3,99),IF(LEFT(TRIM(Raw!G1347),1)="$",MID(TRIM(Raw!G1347),2,99),TRIM(Raw!G1347)))</f>
        <v>20.79</v>
      </c>
      <c r="M1347" s="1">
        <f t="shared" si="163"/>
        <v>20.79</v>
      </c>
      <c r="N1347" s="10">
        <f t="shared" si="164"/>
        <v>2079</v>
      </c>
      <c r="O1347" s="1" t="b">
        <f>IFERROR(IF(ISNUMBER(Raw!G1347),TRUE,OR(EXACT(L1347,TEXT(M1347,"0.00")),EXACT(L1347,TEXT(M1347,"#,##0.00")))),FALSE)</f>
        <v>1</v>
      </c>
      <c r="P1347" s="1" t="str">
        <f>LEN(IF(Raw!A1347="","",Raw!A1347))&amp;":"&amp;IF(Raw!A1347="","",Raw!A1347)&amp;"|"&amp;LEN(IF(Raw!B1347="","",Raw!B1347))&amp;":"&amp;IF(Raw!B1347="","",Raw!B1347)&amp;"|"&amp;LEN(IF(Raw!C1347="","",Raw!C1347))&amp;":"&amp;IF(Raw!C1347="","",Raw!C1347)&amp;"|"&amp;LEN(IF(Raw!D1347="","",Raw!D1347))&amp;":"&amp;IF(Raw!D1347="","",Raw!D1347)&amp;"|"&amp;LEN(IF(Raw!E1347="","",Raw!E1347))&amp;":"&amp;IF(Raw!E1347="","",Raw!E1347)&amp;"|"&amp;LEN(IF(Raw!F1347="","",Raw!F1347))&amp;":"&amp;IF(Raw!F1347="","",Raw!F1347)&amp;"|"&amp;LEN(IF(Raw!G1347="","",Raw!G1347))&amp;":"&amp;IF(Raw!G1347="","",Raw!G1347)</f>
        <v>6:L01341|6:T00671|10:2026-01-11|3:P-O|6:Office|4:sale|5:20.79</v>
      </c>
      <c r="Q1347" s="1">
        <f>1</f>
        <v>1</v>
      </c>
      <c r="R1347" s="1" t="b">
        <f>FALSE</f>
        <v>0</v>
      </c>
      <c r="S1347" s="1">
        <f>1</f>
        <v>1</v>
      </c>
      <c r="T1347" s="1" t="str">
        <f>IF(AND(Raw!A1347="",Raw!B1347="",Raw!C1347="",Raw!D1347="",Raw!E1347="",Raw!F1347="",Raw!G1347=""),"UNUSED",IF(A1347="","missing line ID",IF(B1347="","missing transaction ID",IF(G1347="",IF(C1347="","missing date","invalid date"),IF(I1347="","unknown product",IF(J1347="","conflicting category",IF(NOT(OR(EXACT(K1347,"sale"),EXACT(K1347,"refund"))),"unknown event",IF(OR(N1347="",NOT(O1347)),"invalid amount",IF(OR(AND(K1347="sale",N1347&lt;=0),AND(K1347="refund",N1347&gt;=0)),"invalid sign","")))))))))</f>
        <v/>
      </c>
      <c r="U1347" s="1" t="str">
        <f t="shared" si="165"/>
        <v>INCLUDED</v>
      </c>
      <c r="V1347" s="1" t="str">
        <f t="shared" si="166"/>
        <v>2026-01</v>
      </c>
      <c r="W1347" s="1">
        <f>IF(AND(U1347="INCLUDED",X1347&gt;0,EXACT(A1347,'AI output'!A1347)),1,0)</f>
        <v>1</v>
      </c>
      <c r="X1347" s="1">
        <f>1347</f>
        <v>1347</v>
      </c>
      <c r="Y1347" s="1">
        <f>IF(AND(U1347="INCLUDED",W1347=1),--(NOT(EXACT(A1347,'AI output'!A1347)))+--(NOT(EXACT(B1347,'AI output'!B1347)))+--(NOT(EXACT(TEXT(G1347,"yyyy-mm-dd"),'AI output'!C1347)))+--(NOT(EXACT(H1347,'AI output'!D1347)))+--(NOT(EXACT(J1347,'AI output'!E1347)))+--(NOT(EXACT(K1347,'AI output'!F1347)))+--(N1347&lt;&gt;'AI output'!L1347)+--(NOT('AI output'!M1347)),0)</f>
        <v>0</v>
      </c>
      <c r="Z1347" s="1">
        <f t="shared" si="167"/>
        <v>0</v>
      </c>
      <c r="AA1347" s="1">
        <f>--EXACT(A1347,"L01341")</f>
        <v>1</v>
      </c>
    </row>
    <row r="1348" spans="1:27" ht="18.95" customHeight="1">
      <c r="A1348" s="1" t="str">
        <f>IF(Raw!A1348="","",Raw!A1348)</f>
        <v>L01342</v>
      </c>
      <c r="B1348" s="1" t="str">
        <f>IF(Raw!B1348="","",Raw!B1348)</f>
        <v>T00671</v>
      </c>
      <c r="C1348" s="1" t="str">
        <f>IF(Raw!C1348="","",Raw!C1348)</f>
        <v>2026-01-11</v>
      </c>
      <c r="D1348" s="1">
        <f t="shared" si="160"/>
        <v>2026</v>
      </c>
      <c r="E1348" s="1">
        <f>IFERROR(IF(AND(LEN(C1348)=10,MID(C1348,5,1)="-",MID(C1348,8,1)="-"),VALUE(MID(C1348,6,2)),IF(AND(LEN(C1348)=11,MID(C1348,3,1)="-",MID(C1348,7,1)="-"),MATCH(UPPER(MID(C1348,4,3)),Guide!$D$7:$D$18,0),0)),0)</f>
        <v>1</v>
      </c>
      <c r="F1348" s="1">
        <f t="shared" si="161"/>
        <v>11</v>
      </c>
      <c r="G1348" s="9">
        <f t="shared" si="162"/>
        <v>46033</v>
      </c>
      <c r="H1348" s="1" t="str">
        <f>IF(Raw!D1348="","",Raw!D1348)</f>
        <v>P-A</v>
      </c>
      <c r="I1348" s="1" t="str">
        <f>IFERROR(IF(EXACT(H1348,INDEX(Guide!$A$7:$A$9,MATCH(SUBSTITUTE(SUBSTITUTE(SUBSTITUTE(H1348,"~","~~"),"*","~*"),"?","~?"),Guide!$A$7:$A$9,0))),INDEX(Guide!$B$7:$B$9,MATCH(SUBSTITUTE(SUBSTITUTE(SUBSTITUTE(H1348,"~","~~"),"*","~*"),"?","~?"),Guide!$A$7:$A$9,0)),""),"")</f>
        <v>Accessories</v>
      </c>
      <c r="J1348" s="1" t="str">
        <f>IF(TRIM(Raw!E1348)="",I1348,IF(UPPER(TRIM(Raw!E1348))=UPPER(I1348),I1348,""))</f>
        <v>Accessories</v>
      </c>
      <c r="K1348" s="1" t="str">
        <f>IF(Raw!F1348="","",Raw!F1348)</f>
        <v>sale</v>
      </c>
      <c r="L1348" s="1" t="str">
        <f>IF(LEFT(TRIM(Raw!G1348),2)="-$","-"&amp;MID(TRIM(Raw!G1348),3,99),IF(LEFT(TRIM(Raw!G1348),1)="$",MID(TRIM(Raw!G1348),2,99),TRIM(Raw!G1348)))</f>
        <v>63.48</v>
      </c>
      <c r="M1348" s="1">
        <f t="shared" si="163"/>
        <v>63.48</v>
      </c>
      <c r="N1348" s="10">
        <f t="shared" si="164"/>
        <v>6348</v>
      </c>
      <c r="O1348" s="1" t="b">
        <f>IFERROR(IF(ISNUMBER(Raw!G1348),TRUE,OR(EXACT(L1348,TEXT(M1348,"0.00")),EXACT(L1348,TEXT(M1348,"#,##0.00")))),FALSE)</f>
        <v>1</v>
      </c>
      <c r="P1348" s="1" t="str">
        <f>LEN(IF(Raw!A1348="","",Raw!A1348))&amp;":"&amp;IF(Raw!A1348="","",Raw!A1348)&amp;"|"&amp;LEN(IF(Raw!B1348="","",Raw!B1348))&amp;":"&amp;IF(Raw!B1348="","",Raw!B1348)&amp;"|"&amp;LEN(IF(Raw!C1348="","",Raw!C1348))&amp;":"&amp;IF(Raw!C1348="","",Raw!C1348)&amp;"|"&amp;LEN(IF(Raw!D1348="","",Raw!D1348))&amp;":"&amp;IF(Raw!D1348="","",Raw!D1348)&amp;"|"&amp;LEN(IF(Raw!E1348="","",Raw!E1348))&amp;":"&amp;IF(Raw!E1348="","",Raw!E1348)&amp;"|"&amp;LEN(IF(Raw!F1348="","",Raw!F1348))&amp;":"&amp;IF(Raw!F1348="","",Raw!F1348)&amp;"|"&amp;LEN(IF(Raw!G1348="","",Raw!G1348))&amp;":"&amp;IF(Raw!G1348="","",Raw!G1348)</f>
        <v>6:L01342|6:T00671|10:2026-01-11|3:P-A|11:Accessories|4:sale|5:63.48</v>
      </c>
      <c r="Q1348" s="1">
        <f>1</f>
        <v>1</v>
      </c>
      <c r="R1348" s="1" t="b">
        <f>FALSE</f>
        <v>0</v>
      </c>
      <c r="S1348" s="1">
        <f>1</f>
        <v>1</v>
      </c>
      <c r="T1348" s="1" t="str">
        <f>IF(AND(Raw!A1348="",Raw!B1348="",Raw!C1348="",Raw!D1348="",Raw!E1348="",Raw!F1348="",Raw!G1348=""),"UNUSED",IF(A1348="","missing line ID",IF(B1348="","missing transaction ID",IF(G1348="",IF(C1348="","missing date","invalid date"),IF(I1348="","unknown product",IF(J1348="","conflicting category",IF(NOT(OR(EXACT(K1348,"sale"),EXACT(K1348,"refund"))),"unknown event",IF(OR(N1348="",NOT(O1348)),"invalid amount",IF(OR(AND(K1348="sale",N1348&lt;=0),AND(K1348="refund",N1348&gt;=0)),"invalid sign","")))))))))</f>
        <v/>
      </c>
      <c r="U1348" s="1" t="str">
        <f t="shared" si="165"/>
        <v>INCLUDED</v>
      </c>
      <c r="V1348" s="1" t="str">
        <f t="shared" si="166"/>
        <v>2026-01</v>
      </c>
      <c r="W1348" s="1">
        <f>IF(AND(U1348="INCLUDED",X1348&gt;0,EXACT(A1348,'AI output'!A1348)),1,0)</f>
        <v>1</v>
      </c>
      <c r="X1348" s="1">
        <f>1348</f>
        <v>1348</v>
      </c>
      <c r="Y1348" s="1">
        <f>IF(AND(U1348="INCLUDED",W1348=1),--(NOT(EXACT(A1348,'AI output'!A1348)))+--(NOT(EXACT(B1348,'AI output'!B1348)))+--(NOT(EXACT(TEXT(G1348,"yyyy-mm-dd"),'AI output'!C1348)))+--(NOT(EXACT(H1348,'AI output'!D1348)))+--(NOT(EXACT(J1348,'AI output'!E1348)))+--(NOT(EXACT(K1348,'AI output'!F1348)))+--(N1348&lt;&gt;'AI output'!L1348)+--(NOT('AI output'!M1348)),0)</f>
        <v>0</v>
      </c>
      <c r="Z1348" s="1">
        <f t="shared" si="167"/>
        <v>0</v>
      </c>
      <c r="AA1348" s="1">
        <f>--EXACT(A1348,"L01342")</f>
        <v>1</v>
      </c>
    </row>
    <row r="1349" spans="1:27" ht="18.95" customHeight="1">
      <c r="A1349" s="1" t="str">
        <f>IF(Raw!A1349="","",Raw!A1349)</f>
        <v>L01343</v>
      </c>
      <c r="B1349" s="1" t="str">
        <f>IF(Raw!B1349="","",Raw!B1349)</f>
        <v>T00672</v>
      </c>
      <c r="C1349" s="1" t="str">
        <f>IF(Raw!C1349="","",Raw!C1349)</f>
        <v>2026-01-18</v>
      </c>
      <c r="D1349" s="1">
        <f t="shared" si="160"/>
        <v>2026</v>
      </c>
      <c r="E1349" s="1">
        <f>IFERROR(IF(AND(LEN(C1349)=10,MID(C1349,5,1)="-",MID(C1349,8,1)="-"),VALUE(MID(C1349,6,2)),IF(AND(LEN(C1349)=11,MID(C1349,3,1)="-",MID(C1349,7,1)="-"),MATCH(UPPER(MID(C1349,4,3)),Guide!$D$7:$D$18,0),0)),0)</f>
        <v>1</v>
      </c>
      <c r="F1349" s="1">
        <f t="shared" si="161"/>
        <v>18</v>
      </c>
      <c r="G1349" s="9">
        <f t="shared" si="162"/>
        <v>46040</v>
      </c>
      <c r="H1349" s="1" t="str">
        <f>IF(Raw!D1349="","",Raw!D1349)</f>
        <v>P-H</v>
      </c>
      <c r="I1349" s="1" t="str">
        <f>IFERROR(IF(EXACT(H1349,INDEX(Guide!$A$7:$A$9,MATCH(SUBSTITUTE(SUBSTITUTE(SUBSTITUTE(H1349,"~","~~"),"*","~*"),"?","~?"),Guide!$A$7:$A$9,0))),INDEX(Guide!$B$7:$B$9,MATCH(SUBSTITUTE(SUBSTITUTE(SUBSTITUTE(H1349,"~","~~"),"*","~*"),"?","~?"),Guide!$A$7:$A$9,0)),""),"")</f>
        <v>Home</v>
      </c>
      <c r="J1349" s="1" t="str">
        <f>IF(TRIM(Raw!E1349)="",I1349,IF(UPPER(TRIM(Raw!E1349))=UPPER(I1349),I1349,""))</f>
        <v>Home</v>
      </c>
      <c r="K1349" s="1" t="str">
        <f>IF(Raw!F1349="","",Raw!F1349)</f>
        <v>sale</v>
      </c>
      <c r="L1349" s="1" t="str">
        <f>IF(LEFT(TRIM(Raw!G1349),2)="-$","-"&amp;MID(TRIM(Raw!G1349),3,99),IF(LEFT(TRIM(Raw!G1349),1)="$",MID(TRIM(Raw!G1349),2,99),TRIM(Raw!G1349)))</f>
        <v>107.65</v>
      </c>
      <c r="M1349" s="1">
        <f t="shared" si="163"/>
        <v>107.65</v>
      </c>
      <c r="N1349" s="10">
        <f t="shared" si="164"/>
        <v>10765</v>
      </c>
      <c r="O1349" s="1" t="b">
        <f>IFERROR(IF(ISNUMBER(Raw!G1349),TRUE,OR(EXACT(L1349,TEXT(M1349,"0.00")),EXACT(L1349,TEXT(M1349,"#,##0.00")))),FALSE)</f>
        <v>1</v>
      </c>
      <c r="P1349" s="1" t="str">
        <f>LEN(IF(Raw!A1349="","",Raw!A1349))&amp;":"&amp;IF(Raw!A1349="","",Raw!A1349)&amp;"|"&amp;LEN(IF(Raw!B1349="","",Raw!B1349))&amp;":"&amp;IF(Raw!B1349="","",Raw!B1349)&amp;"|"&amp;LEN(IF(Raw!C1349="","",Raw!C1349))&amp;":"&amp;IF(Raw!C1349="","",Raw!C1349)&amp;"|"&amp;LEN(IF(Raw!D1349="","",Raw!D1349))&amp;":"&amp;IF(Raw!D1349="","",Raw!D1349)&amp;"|"&amp;LEN(IF(Raw!E1349="","",Raw!E1349))&amp;":"&amp;IF(Raw!E1349="","",Raw!E1349)&amp;"|"&amp;LEN(IF(Raw!F1349="","",Raw!F1349))&amp;":"&amp;IF(Raw!F1349="","",Raw!F1349)&amp;"|"&amp;LEN(IF(Raw!G1349="","",Raw!G1349))&amp;":"&amp;IF(Raw!G1349="","",Raw!G1349)</f>
        <v>6:L01343|6:T00672|10:2026-01-18|3:P-H|4:Home|4:sale|6:107.65</v>
      </c>
      <c r="Q1349" s="1">
        <f>1</f>
        <v>1</v>
      </c>
      <c r="R1349" s="1" t="b">
        <f>FALSE</f>
        <v>0</v>
      </c>
      <c r="S1349" s="1">
        <f>1</f>
        <v>1</v>
      </c>
      <c r="T1349" s="1" t="str">
        <f>IF(AND(Raw!A1349="",Raw!B1349="",Raw!C1349="",Raw!D1349="",Raw!E1349="",Raw!F1349="",Raw!G1349=""),"UNUSED",IF(A1349="","missing line ID",IF(B1349="","missing transaction ID",IF(G1349="",IF(C1349="","missing date","invalid date"),IF(I1349="","unknown product",IF(J1349="","conflicting category",IF(NOT(OR(EXACT(K1349,"sale"),EXACT(K1349,"refund"))),"unknown event",IF(OR(N1349="",NOT(O1349)),"invalid amount",IF(OR(AND(K1349="sale",N1349&lt;=0),AND(K1349="refund",N1349&gt;=0)),"invalid sign","")))))))))</f>
        <v/>
      </c>
      <c r="U1349" s="1" t="str">
        <f t="shared" si="165"/>
        <v>INCLUDED</v>
      </c>
      <c r="V1349" s="1" t="str">
        <f t="shared" si="166"/>
        <v>2026-01</v>
      </c>
      <c r="W1349" s="1">
        <f>IF(AND(U1349="INCLUDED",X1349&gt;0,EXACT(A1349,'AI output'!A1349)),1,0)</f>
        <v>1</v>
      </c>
      <c r="X1349" s="1">
        <f>1349</f>
        <v>1349</v>
      </c>
      <c r="Y1349" s="1">
        <f>IF(AND(U1349="INCLUDED",W1349=1),--(NOT(EXACT(A1349,'AI output'!A1349)))+--(NOT(EXACT(B1349,'AI output'!B1349)))+--(NOT(EXACT(TEXT(G1349,"yyyy-mm-dd"),'AI output'!C1349)))+--(NOT(EXACT(H1349,'AI output'!D1349)))+--(NOT(EXACT(J1349,'AI output'!E1349)))+--(NOT(EXACT(K1349,'AI output'!F1349)))+--(N1349&lt;&gt;'AI output'!L1349)+--(NOT('AI output'!M1349)),0)</f>
        <v>0</v>
      </c>
      <c r="Z1349" s="1">
        <f t="shared" si="167"/>
        <v>0</v>
      </c>
      <c r="AA1349" s="1">
        <f>--EXACT(A1349,"L01343")</f>
        <v>1</v>
      </c>
    </row>
    <row r="1350" spans="1:27" ht="18.95" customHeight="1">
      <c r="A1350" s="1" t="str">
        <f>IF(Raw!A1350="","",Raw!A1350)</f>
        <v>L01344</v>
      </c>
      <c r="B1350" s="1" t="str">
        <f>IF(Raw!B1350="","",Raw!B1350)</f>
        <v>T00672</v>
      </c>
      <c r="C1350" s="1" t="str">
        <f>IF(Raw!C1350="","",Raw!C1350)</f>
        <v>2026-01-18</v>
      </c>
      <c r="D1350" s="1">
        <f t="shared" si="160"/>
        <v>2026</v>
      </c>
      <c r="E1350" s="1">
        <f>IFERROR(IF(AND(LEN(C1350)=10,MID(C1350,5,1)="-",MID(C1350,8,1)="-"),VALUE(MID(C1350,6,2)),IF(AND(LEN(C1350)=11,MID(C1350,3,1)="-",MID(C1350,7,1)="-"),MATCH(UPPER(MID(C1350,4,3)),Guide!$D$7:$D$18,0),0)),0)</f>
        <v>1</v>
      </c>
      <c r="F1350" s="1">
        <f t="shared" si="161"/>
        <v>18</v>
      </c>
      <c r="G1350" s="9">
        <f t="shared" si="162"/>
        <v>46040</v>
      </c>
      <c r="H1350" s="1" t="str">
        <f>IF(Raw!D1350="","",Raw!D1350)</f>
        <v>P-O</v>
      </c>
      <c r="I1350" s="1" t="str">
        <f>IFERROR(IF(EXACT(H1350,INDEX(Guide!$A$7:$A$9,MATCH(SUBSTITUTE(SUBSTITUTE(SUBSTITUTE(H1350,"~","~~"),"*","~*"),"?","~?"),Guide!$A$7:$A$9,0))),INDEX(Guide!$B$7:$B$9,MATCH(SUBSTITUTE(SUBSTITUTE(SUBSTITUTE(H1350,"~","~~"),"*","~*"),"?","~?"),Guide!$A$7:$A$9,0)),""),"")</f>
        <v>Office</v>
      </c>
      <c r="J1350" s="1" t="str">
        <f>IF(TRIM(Raw!E1350)="",I1350,IF(UPPER(TRIM(Raw!E1350))=UPPER(I1350),I1350,""))</f>
        <v>Office</v>
      </c>
      <c r="K1350" s="1" t="str">
        <f>IF(Raw!F1350="","",Raw!F1350)</f>
        <v>sale</v>
      </c>
      <c r="L1350" s="1" t="str">
        <f>IF(LEFT(TRIM(Raw!G1350),2)="-$","-"&amp;MID(TRIM(Raw!G1350),3,99),IF(LEFT(TRIM(Raw!G1350),1)="$",MID(TRIM(Raw!G1350),2,99),TRIM(Raw!G1350)))</f>
        <v>43.80</v>
      </c>
      <c r="M1350" s="1">
        <f t="shared" si="163"/>
        <v>43.8</v>
      </c>
      <c r="N1350" s="10">
        <f t="shared" si="164"/>
        <v>4380</v>
      </c>
      <c r="O1350" s="1" t="b">
        <f>IFERROR(IF(ISNUMBER(Raw!G1350),TRUE,OR(EXACT(L1350,TEXT(M1350,"0.00")),EXACT(L1350,TEXT(M1350,"#,##0.00")))),FALSE)</f>
        <v>1</v>
      </c>
      <c r="P1350" s="1" t="str">
        <f>LEN(IF(Raw!A1350="","",Raw!A1350))&amp;":"&amp;IF(Raw!A1350="","",Raw!A1350)&amp;"|"&amp;LEN(IF(Raw!B1350="","",Raw!B1350))&amp;":"&amp;IF(Raw!B1350="","",Raw!B1350)&amp;"|"&amp;LEN(IF(Raw!C1350="","",Raw!C1350))&amp;":"&amp;IF(Raw!C1350="","",Raw!C1350)&amp;"|"&amp;LEN(IF(Raw!D1350="","",Raw!D1350))&amp;":"&amp;IF(Raw!D1350="","",Raw!D1350)&amp;"|"&amp;LEN(IF(Raw!E1350="","",Raw!E1350))&amp;":"&amp;IF(Raw!E1350="","",Raw!E1350)&amp;"|"&amp;LEN(IF(Raw!F1350="","",Raw!F1350))&amp;":"&amp;IF(Raw!F1350="","",Raw!F1350)&amp;"|"&amp;LEN(IF(Raw!G1350="","",Raw!G1350))&amp;":"&amp;IF(Raw!G1350="","",Raw!G1350)</f>
        <v>6:L01344|6:T00672|10:2026-01-18|3:P-O|6:Office|4:sale|5:43.80</v>
      </c>
      <c r="Q1350" s="1">
        <f>1</f>
        <v>1</v>
      </c>
      <c r="R1350" s="1" t="b">
        <f>FALSE</f>
        <v>0</v>
      </c>
      <c r="S1350" s="1">
        <f>1</f>
        <v>1</v>
      </c>
      <c r="T1350" s="1" t="str">
        <f>IF(AND(Raw!A1350="",Raw!B1350="",Raw!C1350="",Raw!D1350="",Raw!E1350="",Raw!F1350="",Raw!G1350=""),"UNUSED",IF(A1350="","missing line ID",IF(B1350="","missing transaction ID",IF(G1350="",IF(C1350="","missing date","invalid date"),IF(I1350="","unknown product",IF(J1350="","conflicting category",IF(NOT(OR(EXACT(K1350,"sale"),EXACT(K1350,"refund"))),"unknown event",IF(OR(N1350="",NOT(O1350)),"invalid amount",IF(OR(AND(K1350="sale",N1350&lt;=0),AND(K1350="refund",N1350&gt;=0)),"invalid sign","")))))))))</f>
        <v/>
      </c>
      <c r="U1350" s="1" t="str">
        <f t="shared" si="165"/>
        <v>INCLUDED</v>
      </c>
      <c r="V1350" s="1" t="str">
        <f t="shared" si="166"/>
        <v>2026-01</v>
      </c>
      <c r="W1350" s="1">
        <f>IF(AND(U1350="INCLUDED",X1350&gt;0,EXACT(A1350,'AI output'!A1350)),1,0)</f>
        <v>1</v>
      </c>
      <c r="X1350" s="1">
        <f>1350</f>
        <v>1350</v>
      </c>
      <c r="Y1350" s="1">
        <f>IF(AND(U1350="INCLUDED",W1350=1),--(NOT(EXACT(A1350,'AI output'!A1350)))+--(NOT(EXACT(B1350,'AI output'!B1350)))+--(NOT(EXACT(TEXT(G1350,"yyyy-mm-dd"),'AI output'!C1350)))+--(NOT(EXACT(H1350,'AI output'!D1350)))+--(NOT(EXACT(J1350,'AI output'!E1350)))+--(NOT(EXACT(K1350,'AI output'!F1350)))+--(N1350&lt;&gt;'AI output'!L1350)+--(NOT('AI output'!M1350)),0)</f>
        <v>0</v>
      </c>
      <c r="Z1350" s="1">
        <f t="shared" si="167"/>
        <v>0</v>
      </c>
      <c r="AA1350" s="1">
        <f>--EXACT(A1350,"L01344")</f>
        <v>1</v>
      </c>
    </row>
    <row r="1351" spans="1:27" ht="18.95" customHeight="1">
      <c r="A1351" s="1" t="str">
        <f>IF(Raw!A1351="","",Raw!A1351)</f>
        <v>L01345</v>
      </c>
      <c r="B1351" s="1" t="str">
        <f>IF(Raw!B1351="","",Raw!B1351)</f>
        <v>T00673</v>
      </c>
      <c r="C1351" s="1" t="str">
        <f>IF(Raw!C1351="","",Raw!C1351)</f>
        <v>2026-01-25</v>
      </c>
      <c r="D1351" s="1">
        <f t="shared" ref="D1351:D1414" si="168">IFERROR(IF(AND(LEN(C1351)=10,MID(C1351,5,1)="-",MID(C1351,8,1)="-"),VALUE(LEFT(C1351,4)),IF(AND(LEN(C1351)=11,MID(C1351,3,1)="-",MID(C1351,7,1)="-"),VALUE(RIGHT(C1351,4)),0)),0)</f>
        <v>2026</v>
      </c>
      <c r="E1351" s="1">
        <f>IFERROR(IF(AND(LEN(C1351)=10,MID(C1351,5,1)="-",MID(C1351,8,1)="-"),VALUE(MID(C1351,6,2)),IF(AND(LEN(C1351)=11,MID(C1351,3,1)="-",MID(C1351,7,1)="-"),MATCH(UPPER(MID(C1351,4,3)),Guide!$D$7:$D$18,0),0)),0)</f>
        <v>1</v>
      </c>
      <c r="F1351" s="1">
        <f t="shared" ref="F1351:F1414" si="169">IFERROR(IF(AND(LEN(C1351)=10,MID(C1351,5,1)="-",MID(C1351,8,1)="-"),VALUE(RIGHT(C1351,2)),IF(AND(LEN(C1351)=11,MID(C1351,3,1)="-",MID(C1351,7,1)="-"),VALUE(LEFT(C1351,2)),0)),0)</f>
        <v>25</v>
      </c>
      <c r="G1351" s="9">
        <f t="shared" ref="G1351:G1414" si="170">IFERROR(IF(AND(D1351&gt;=1900,D1351&lt;=9999,YEAR(DATE(D1351,E1351,F1351))=D1351,MONTH(DATE(D1351,E1351,F1351))=E1351,DAY(DATE(D1351,E1351,F1351))=F1351),DATE(D1351,E1351,F1351),""),"")</f>
        <v>46047</v>
      </c>
      <c r="H1351" s="1" t="str">
        <f>IF(Raw!D1351="","",Raw!D1351)</f>
        <v>P-A</v>
      </c>
      <c r="I1351" s="1" t="str">
        <f>IFERROR(IF(EXACT(H1351,INDEX(Guide!$A$7:$A$9,MATCH(SUBSTITUTE(SUBSTITUTE(SUBSTITUTE(H1351,"~","~~"),"*","~*"),"?","~?"),Guide!$A$7:$A$9,0))),INDEX(Guide!$B$7:$B$9,MATCH(SUBSTITUTE(SUBSTITUTE(SUBSTITUTE(H1351,"~","~~"),"*","~*"),"?","~?"),Guide!$A$7:$A$9,0)),""),"")</f>
        <v>Accessories</v>
      </c>
      <c r="J1351" s="1" t="str">
        <f>IF(TRIM(Raw!E1351)="",I1351,IF(UPPER(TRIM(Raw!E1351))=UPPER(I1351),I1351,""))</f>
        <v>Accessories</v>
      </c>
      <c r="K1351" s="1" t="str">
        <f>IF(Raw!F1351="","",Raw!F1351)</f>
        <v>sale</v>
      </c>
      <c r="L1351" s="1" t="str">
        <f>IF(LEFT(TRIM(Raw!G1351),2)="-$","-"&amp;MID(TRIM(Raw!G1351),3,99),IF(LEFT(TRIM(Raw!G1351),1)="$",MID(TRIM(Raw!G1351),2,99),TRIM(Raw!G1351)))</f>
        <v>89.08</v>
      </c>
      <c r="M1351" s="1">
        <f t="shared" ref="M1351:M1414" si="171">IFERROR(VALUE(L1351),"")</f>
        <v>89.08</v>
      </c>
      <c r="N1351" s="10">
        <f t="shared" ref="N1351:N1414" si="172">IF(AND(ISNUMBER(M1351),ABS(M1351*100-ROUND(M1351*100,0))&lt;0.0000001),ROUND(M1351*100,0),"")</f>
        <v>8908</v>
      </c>
      <c r="O1351" s="1" t="b">
        <f>IFERROR(IF(ISNUMBER(Raw!G1351),TRUE,OR(EXACT(L1351,TEXT(M1351,"0.00")),EXACT(L1351,TEXT(M1351,"#,##0.00")))),FALSE)</f>
        <v>1</v>
      </c>
      <c r="P1351" s="1" t="str">
        <f>LEN(IF(Raw!A1351="","",Raw!A1351))&amp;":"&amp;IF(Raw!A1351="","",Raw!A1351)&amp;"|"&amp;LEN(IF(Raw!B1351="","",Raw!B1351))&amp;":"&amp;IF(Raw!B1351="","",Raw!B1351)&amp;"|"&amp;LEN(IF(Raw!C1351="","",Raw!C1351))&amp;":"&amp;IF(Raw!C1351="","",Raw!C1351)&amp;"|"&amp;LEN(IF(Raw!D1351="","",Raw!D1351))&amp;":"&amp;IF(Raw!D1351="","",Raw!D1351)&amp;"|"&amp;LEN(IF(Raw!E1351="","",Raw!E1351))&amp;":"&amp;IF(Raw!E1351="","",Raw!E1351)&amp;"|"&amp;LEN(IF(Raw!F1351="","",Raw!F1351))&amp;":"&amp;IF(Raw!F1351="","",Raw!F1351)&amp;"|"&amp;LEN(IF(Raw!G1351="","",Raw!G1351))&amp;":"&amp;IF(Raw!G1351="","",Raw!G1351)</f>
        <v>6:L01345|6:T00673|10:2026-01-25|3:P-A|11:Accessories|4:sale|5:89.08</v>
      </c>
      <c r="Q1351" s="1">
        <f>1</f>
        <v>1</v>
      </c>
      <c r="R1351" s="1" t="b">
        <f>FALSE</f>
        <v>0</v>
      </c>
      <c r="S1351" s="1">
        <f>1</f>
        <v>1</v>
      </c>
      <c r="T1351" s="1" t="str">
        <f>IF(AND(Raw!A1351="",Raw!B1351="",Raw!C1351="",Raw!D1351="",Raw!E1351="",Raw!F1351="",Raw!G1351=""),"UNUSED",IF(A1351="","missing line ID",IF(B1351="","missing transaction ID",IF(G1351="",IF(C1351="","missing date","invalid date"),IF(I1351="","unknown product",IF(J1351="","conflicting category",IF(NOT(OR(EXACT(K1351,"sale"),EXACT(K1351,"refund"))),"unknown event",IF(OR(N1351="",NOT(O1351)),"invalid amount",IF(OR(AND(K1351="sale",N1351&lt;=0),AND(K1351="refund",N1351&gt;=0)),"invalid sign","")))))))))</f>
        <v/>
      </c>
      <c r="U1351" s="1" t="str">
        <f t="shared" ref="U1351:U1414" si="173">IF(T1351="UNUSED","UNUSED",IF(R1351,"QUARANTINE",IF(S1351&gt;1,"DUPLICATE",IF(T1351&lt;&gt;"","QUARANTINE","INCLUDED"))))</f>
        <v>INCLUDED</v>
      </c>
      <c r="V1351" s="1" t="str">
        <f t="shared" ref="V1351:V1414" si="174">IF(G1351="","",TEXT(G1351,"yyyy-mm"))</f>
        <v>2026-01</v>
      </c>
      <c r="W1351" s="1">
        <f>IF(AND(U1351="INCLUDED",X1351&gt;0,EXACT(A1351,'AI output'!A1351)),1,0)</f>
        <v>1</v>
      </c>
      <c r="X1351" s="1">
        <f>1351</f>
        <v>1351</v>
      </c>
      <c r="Y1351" s="1">
        <f>IF(AND(U1351="INCLUDED",W1351=1),--(NOT(EXACT(A1351,'AI output'!A1351)))+--(NOT(EXACT(B1351,'AI output'!B1351)))+--(NOT(EXACT(TEXT(G1351,"yyyy-mm-dd"),'AI output'!C1351)))+--(NOT(EXACT(H1351,'AI output'!D1351)))+--(NOT(EXACT(J1351,'AI output'!E1351)))+--(NOT(EXACT(K1351,'AI output'!F1351)))+--(N1351&lt;&gt;'AI output'!L1351)+--(NOT('AI output'!M1351)),0)</f>
        <v>0</v>
      </c>
      <c r="Z1351" s="1">
        <f t="shared" ref="Z1351:Z1414" si="175">IF(U1351="INCLUDED",IF(OR(W1351&lt;&gt;1,Y1351&lt;&gt;0),1,0),0)</f>
        <v>0</v>
      </c>
      <c r="AA1351" s="1">
        <f>--EXACT(A1351,"L01345")</f>
        <v>1</v>
      </c>
    </row>
    <row r="1352" spans="1:27" ht="18.95" customHeight="1">
      <c r="A1352" s="1" t="str">
        <f>IF(Raw!A1352="","",Raw!A1352)</f>
        <v>L01346</v>
      </c>
      <c r="B1352" s="1" t="str">
        <f>IF(Raw!B1352="","",Raw!B1352)</f>
        <v>T00673</v>
      </c>
      <c r="C1352" s="1" t="str">
        <f>IF(Raw!C1352="","",Raw!C1352)</f>
        <v>2026-01-25</v>
      </c>
      <c r="D1352" s="1">
        <f t="shared" si="168"/>
        <v>2026</v>
      </c>
      <c r="E1352" s="1">
        <f>IFERROR(IF(AND(LEN(C1352)=10,MID(C1352,5,1)="-",MID(C1352,8,1)="-"),VALUE(MID(C1352,6,2)),IF(AND(LEN(C1352)=11,MID(C1352,3,1)="-",MID(C1352,7,1)="-"),MATCH(UPPER(MID(C1352,4,3)),Guide!$D$7:$D$18,0),0)),0)</f>
        <v>1</v>
      </c>
      <c r="F1352" s="1">
        <f t="shared" si="169"/>
        <v>25</v>
      </c>
      <c r="G1352" s="9">
        <f t="shared" si="170"/>
        <v>46047</v>
      </c>
      <c r="H1352" s="1" t="str">
        <f>IF(Raw!D1352="","",Raw!D1352)</f>
        <v>P-H</v>
      </c>
      <c r="I1352" s="1" t="str">
        <f>IFERROR(IF(EXACT(H1352,INDEX(Guide!$A$7:$A$9,MATCH(SUBSTITUTE(SUBSTITUTE(SUBSTITUTE(H1352,"~","~~"),"*","~*"),"?","~?"),Guide!$A$7:$A$9,0))),INDEX(Guide!$B$7:$B$9,MATCH(SUBSTITUTE(SUBSTITUTE(SUBSTITUTE(H1352,"~","~~"),"*","~*"),"?","~?"),Guide!$A$7:$A$9,0)),""),"")</f>
        <v>Home</v>
      </c>
      <c r="J1352" s="1" t="str">
        <f>IF(TRIM(Raw!E1352)="",I1352,IF(UPPER(TRIM(Raw!E1352))=UPPER(I1352),I1352,""))</f>
        <v>Home</v>
      </c>
      <c r="K1352" s="1" t="str">
        <f>IF(Raw!F1352="","",Raw!F1352)</f>
        <v>sale</v>
      </c>
      <c r="L1352" s="1" t="str">
        <f>IF(LEFT(TRIM(Raw!G1352),2)="-$","-"&amp;MID(TRIM(Raw!G1352),3,99),IF(LEFT(TRIM(Raw!G1352),1)="$",MID(TRIM(Raw!G1352),2,99),TRIM(Raw!G1352)))</f>
        <v>22.64</v>
      </c>
      <c r="M1352" s="1">
        <f t="shared" si="171"/>
        <v>22.64</v>
      </c>
      <c r="N1352" s="10">
        <f t="shared" si="172"/>
        <v>2264</v>
      </c>
      <c r="O1352" s="1" t="b">
        <f>IFERROR(IF(ISNUMBER(Raw!G1352),TRUE,OR(EXACT(L1352,TEXT(M1352,"0.00")),EXACT(L1352,TEXT(M1352,"#,##0.00")))),FALSE)</f>
        <v>1</v>
      </c>
      <c r="P1352" s="1" t="str">
        <f>LEN(IF(Raw!A1352="","",Raw!A1352))&amp;":"&amp;IF(Raw!A1352="","",Raw!A1352)&amp;"|"&amp;LEN(IF(Raw!B1352="","",Raw!B1352))&amp;":"&amp;IF(Raw!B1352="","",Raw!B1352)&amp;"|"&amp;LEN(IF(Raw!C1352="","",Raw!C1352))&amp;":"&amp;IF(Raw!C1352="","",Raw!C1352)&amp;"|"&amp;LEN(IF(Raw!D1352="","",Raw!D1352))&amp;":"&amp;IF(Raw!D1352="","",Raw!D1352)&amp;"|"&amp;LEN(IF(Raw!E1352="","",Raw!E1352))&amp;":"&amp;IF(Raw!E1352="","",Raw!E1352)&amp;"|"&amp;LEN(IF(Raw!F1352="","",Raw!F1352))&amp;":"&amp;IF(Raw!F1352="","",Raw!F1352)&amp;"|"&amp;LEN(IF(Raw!G1352="","",Raw!G1352))&amp;":"&amp;IF(Raw!G1352="","",Raw!G1352)</f>
        <v>6:L01346|6:T00673|10:2026-01-25|3:P-H|4:Home|4:sale|5:22.64</v>
      </c>
      <c r="Q1352" s="1">
        <f>1</f>
        <v>1</v>
      </c>
      <c r="R1352" s="1" t="b">
        <f>FALSE</f>
        <v>0</v>
      </c>
      <c r="S1352" s="1">
        <f>1</f>
        <v>1</v>
      </c>
      <c r="T1352" s="1" t="str">
        <f>IF(AND(Raw!A1352="",Raw!B1352="",Raw!C1352="",Raw!D1352="",Raw!E1352="",Raw!F1352="",Raw!G1352=""),"UNUSED",IF(A1352="","missing line ID",IF(B1352="","missing transaction ID",IF(G1352="",IF(C1352="","missing date","invalid date"),IF(I1352="","unknown product",IF(J1352="","conflicting category",IF(NOT(OR(EXACT(K1352,"sale"),EXACT(K1352,"refund"))),"unknown event",IF(OR(N1352="",NOT(O1352)),"invalid amount",IF(OR(AND(K1352="sale",N1352&lt;=0),AND(K1352="refund",N1352&gt;=0)),"invalid sign","")))))))))</f>
        <v/>
      </c>
      <c r="U1352" s="1" t="str">
        <f t="shared" si="173"/>
        <v>INCLUDED</v>
      </c>
      <c r="V1352" s="1" t="str">
        <f t="shared" si="174"/>
        <v>2026-01</v>
      </c>
      <c r="W1352" s="1">
        <f>IF(AND(U1352="INCLUDED",X1352&gt;0,EXACT(A1352,'AI output'!A1352)),1,0)</f>
        <v>1</v>
      </c>
      <c r="X1352" s="1">
        <f>1352</f>
        <v>1352</v>
      </c>
      <c r="Y1352" s="1">
        <f>IF(AND(U1352="INCLUDED",W1352=1),--(NOT(EXACT(A1352,'AI output'!A1352)))+--(NOT(EXACT(B1352,'AI output'!B1352)))+--(NOT(EXACT(TEXT(G1352,"yyyy-mm-dd"),'AI output'!C1352)))+--(NOT(EXACT(H1352,'AI output'!D1352)))+--(NOT(EXACT(J1352,'AI output'!E1352)))+--(NOT(EXACT(K1352,'AI output'!F1352)))+--(N1352&lt;&gt;'AI output'!L1352)+--(NOT('AI output'!M1352)),0)</f>
        <v>0</v>
      </c>
      <c r="Z1352" s="1">
        <f t="shared" si="175"/>
        <v>0</v>
      </c>
      <c r="AA1352" s="1">
        <f>--EXACT(A1352,"L01346")</f>
        <v>1</v>
      </c>
    </row>
    <row r="1353" spans="1:27" ht="18.95" customHeight="1">
      <c r="A1353" s="1" t="str">
        <f>IF(Raw!A1353="","",Raw!A1353)</f>
        <v>L01347</v>
      </c>
      <c r="B1353" s="1" t="str">
        <f>IF(Raw!B1353="","",Raw!B1353)</f>
        <v>T00674</v>
      </c>
      <c r="C1353" s="1" t="str">
        <f>IF(Raw!C1353="","",Raw!C1353)</f>
        <v>2026-02-01</v>
      </c>
      <c r="D1353" s="1">
        <f t="shared" si="168"/>
        <v>2026</v>
      </c>
      <c r="E1353" s="1">
        <f>IFERROR(IF(AND(LEN(C1353)=10,MID(C1353,5,1)="-",MID(C1353,8,1)="-"),VALUE(MID(C1353,6,2)),IF(AND(LEN(C1353)=11,MID(C1353,3,1)="-",MID(C1353,7,1)="-"),MATCH(UPPER(MID(C1353,4,3)),Guide!$D$7:$D$18,0),0)),0)</f>
        <v>2</v>
      </c>
      <c r="F1353" s="1">
        <f t="shared" si="169"/>
        <v>1</v>
      </c>
      <c r="G1353" s="9">
        <f t="shared" si="170"/>
        <v>46054</v>
      </c>
      <c r="H1353" s="1" t="str">
        <f>IF(Raw!D1353="","",Raw!D1353)</f>
        <v>P-O</v>
      </c>
      <c r="I1353" s="1" t="str">
        <f>IFERROR(IF(EXACT(H1353,INDEX(Guide!$A$7:$A$9,MATCH(SUBSTITUTE(SUBSTITUTE(SUBSTITUTE(H1353,"~","~~"),"*","~*"),"?","~?"),Guide!$A$7:$A$9,0))),INDEX(Guide!$B$7:$B$9,MATCH(SUBSTITUTE(SUBSTITUTE(SUBSTITUTE(H1353,"~","~~"),"*","~*"),"?","~?"),Guide!$A$7:$A$9,0)),""),"")</f>
        <v>Office</v>
      </c>
      <c r="J1353" s="1" t="str">
        <f>IF(TRIM(Raw!E1353)="",I1353,IF(UPPER(TRIM(Raw!E1353))=UPPER(I1353),I1353,""))</f>
        <v>Office</v>
      </c>
      <c r="K1353" s="1" t="str">
        <f>IF(Raw!F1353="","",Raw!F1353)</f>
        <v>sale</v>
      </c>
      <c r="L1353" s="1" t="str">
        <f>IF(LEFT(TRIM(Raw!G1353),2)="-$","-"&amp;MID(TRIM(Raw!G1353),3,99),IF(LEFT(TRIM(Raw!G1353),1)="$",MID(TRIM(Raw!G1353),2,99),TRIM(Raw!G1353)))</f>
        <v>69.03</v>
      </c>
      <c r="M1353" s="1">
        <f t="shared" si="171"/>
        <v>69.03</v>
      </c>
      <c r="N1353" s="10">
        <f t="shared" si="172"/>
        <v>6903</v>
      </c>
      <c r="O1353" s="1" t="b">
        <f>IFERROR(IF(ISNUMBER(Raw!G1353),TRUE,OR(EXACT(L1353,TEXT(M1353,"0.00")),EXACT(L1353,TEXT(M1353,"#,##0.00")))),FALSE)</f>
        <v>1</v>
      </c>
      <c r="P1353" s="1" t="str">
        <f>LEN(IF(Raw!A1353="","",Raw!A1353))&amp;":"&amp;IF(Raw!A1353="","",Raw!A1353)&amp;"|"&amp;LEN(IF(Raw!B1353="","",Raw!B1353))&amp;":"&amp;IF(Raw!B1353="","",Raw!B1353)&amp;"|"&amp;LEN(IF(Raw!C1353="","",Raw!C1353))&amp;":"&amp;IF(Raw!C1353="","",Raw!C1353)&amp;"|"&amp;LEN(IF(Raw!D1353="","",Raw!D1353))&amp;":"&amp;IF(Raw!D1353="","",Raw!D1353)&amp;"|"&amp;LEN(IF(Raw!E1353="","",Raw!E1353))&amp;":"&amp;IF(Raw!E1353="","",Raw!E1353)&amp;"|"&amp;LEN(IF(Raw!F1353="","",Raw!F1353))&amp;":"&amp;IF(Raw!F1353="","",Raw!F1353)&amp;"|"&amp;LEN(IF(Raw!G1353="","",Raw!G1353))&amp;":"&amp;IF(Raw!G1353="","",Raw!G1353)</f>
        <v>6:L01347|6:T00674|10:2026-02-01|3:P-O|6:Office|4:sale|5:69.03</v>
      </c>
      <c r="Q1353" s="1">
        <f>1</f>
        <v>1</v>
      </c>
      <c r="R1353" s="1" t="b">
        <f>FALSE</f>
        <v>0</v>
      </c>
      <c r="S1353" s="1">
        <f>1</f>
        <v>1</v>
      </c>
      <c r="T1353" s="1" t="str">
        <f>IF(AND(Raw!A1353="",Raw!B1353="",Raw!C1353="",Raw!D1353="",Raw!E1353="",Raw!F1353="",Raw!G1353=""),"UNUSED",IF(A1353="","missing line ID",IF(B1353="","missing transaction ID",IF(G1353="",IF(C1353="","missing date","invalid date"),IF(I1353="","unknown product",IF(J1353="","conflicting category",IF(NOT(OR(EXACT(K1353,"sale"),EXACT(K1353,"refund"))),"unknown event",IF(OR(N1353="",NOT(O1353)),"invalid amount",IF(OR(AND(K1353="sale",N1353&lt;=0),AND(K1353="refund",N1353&gt;=0)),"invalid sign","")))))))))</f>
        <v/>
      </c>
      <c r="U1353" s="1" t="str">
        <f t="shared" si="173"/>
        <v>INCLUDED</v>
      </c>
      <c r="V1353" s="1" t="str">
        <f t="shared" si="174"/>
        <v>2026-02</v>
      </c>
      <c r="W1353" s="1">
        <f>IF(AND(U1353="INCLUDED",X1353&gt;0,EXACT(A1353,'AI output'!A1353)),1,0)</f>
        <v>1</v>
      </c>
      <c r="X1353" s="1">
        <f>1353</f>
        <v>1353</v>
      </c>
      <c r="Y1353" s="1">
        <f>IF(AND(U1353="INCLUDED",W1353=1),--(NOT(EXACT(A1353,'AI output'!A1353)))+--(NOT(EXACT(B1353,'AI output'!B1353)))+--(NOT(EXACT(TEXT(G1353,"yyyy-mm-dd"),'AI output'!C1353)))+--(NOT(EXACT(H1353,'AI output'!D1353)))+--(NOT(EXACT(J1353,'AI output'!E1353)))+--(NOT(EXACT(K1353,'AI output'!F1353)))+--(N1353&lt;&gt;'AI output'!L1353)+--(NOT('AI output'!M1353)),0)</f>
        <v>0</v>
      </c>
      <c r="Z1353" s="1">
        <f t="shared" si="175"/>
        <v>0</v>
      </c>
      <c r="AA1353" s="1">
        <f>--EXACT(A1353,"L01347")</f>
        <v>1</v>
      </c>
    </row>
    <row r="1354" spans="1:27" ht="18.95" customHeight="1">
      <c r="A1354" s="1" t="str">
        <f>IF(Raw!A1354="","",Raw!A1354)</f>
        <v>L01348</v>
      </c>
      <c r="B1354" s="1" t="str">
        <f>IF(Raw!B1354="","",Raw!B1354)</f>
        <v>T00674</v>
      </c>
      <c r="C1354" s="1" t="str">
        <f>IF(Raw!C1354="","",Raw!C1354)</f>
        <v>2026-02-01</v>
      </c>
      <c r="D1354" s="1">
        <f t="shared" si="168"/>
        <v>2026</v>
      </c>
      <c r="E1354" s="1">
        <f>IFERROR(IF(AND(LEN(C1354)=10,MID(C1354,5,1)="-",MID(C1354,8,1)="-"),VALUE(MID(C1354,6,2)),IF(AND(LEN(C1354)=11,MID(C1354,3,1)="-",MID(C1354,7,1)="-"),MATCH(UPPER(MID(C1354,4,3)),Guide!$D$7:$D$18,0),0)),0)</f>
        <v>2</v>
      </c>
      <c r="F1354" s="1">
        <f t="shared" si="169"/>
        <v>1</v>
      </c>
      <c r="G1354" s="9">
        <f t="shared" si="170"/>
        <v>46054</v>
      </c>
      <c r="H1354" s="1" t="str">
        <f>IF(Raw!D1354="","",Raw!D1354)</f>
        <v>P-A</v>
      </c>
      <c r="I1354" s="1" t="str">
        <f>IFERROR(IF(EXACT(H1354,INDEX(Guide!$A$7:$A$9,MATCH(SUBSTITUTE(SUBSTITUTE(SUBSTITUTE(H1354,"~","~~"),"*","~*"),"?","~?"),Guide!$A$7:$A$9,0))),INDEX(Guide!$B$7:$B$9,MATCH(SUBSTITUTE(SUBSTITUTE(SUBSTITUTE(H1354,"~","~~"),"*","~*"),"?","~?"),Guide!$A$7:$A$9,0)),""),"")</f>
        <v>Accessories</v>
      </c>
      <c r="J1354" s="1" t="str">
        <f>IF(TRIM(Raw!E1354)="",I1354,IF(UPPER(TRIM(Raw!E1354))=UPPER(I1354),I1354,""))</f>
        <v>Accessories</v>
      </c>
      <c r="K1354" s="1" t="str">
        <f>IF(Raw!F1354="","",Raw!F1354)</f>
        <v>sale</v>
      </c>
      <c r="L1354" s="1" t="str">
        <f>IF(LEFT(TRIM(Raw!G1354),2)="-$","-"&amp;MID(TRIM(Raw!G1354),3,99),IF(LEFT(TRIM(Raw!G1354),1)="$",MID(TRIM(Raw!G1354),2,99),TRIM(Raw!G1354)))</f>
        <v>116.90</v>
      </c>
      <c r="M1354" s="1">
        <f t="shared" si="171"/>
        <v>116.9</v>
      </c>
      <c r="N1354" s="10">
        <f t="shared" si="172"/>
        <v>11690</v>
      </c>
      <c r="O1354" s="1" t="b">
        <f>IFERROR(IF(ISNUMBER(Raw!G1354),TRUE,OR(EXACT(L1354,TEXT(M1354,"0.00")),EXACT(L1354,TEXT(M1354,"#,##0.00")))),FALSE)</f>
        <v>1</v>
      </c>
      <c r="P1354" s="1" t="str">
        <f>LEN(IF(Raw!A1354="","",Raw!A1354))&amp;":"&amp;IF(Raw!A1354="","",Raw!A1354)&amp;"|"&amp;LEN(IF(Raw!B1354="","",Raw!B1354))&amp;":"&amp;IF(Raw!B1354="","",Raw!B1354)&amp;"|"&amp;LEN(IF(Raw!C1354="","",Raw!C1354))&amp;":"&amp;IF(Raw!C1354="","",Raw!C1354)&amp;"|"&amp;LEN(IF(Raw!D1354="","",Raw!D1354))&amp;":"&amp;IF(Raw!D1354="","",Raw!D1354)&amp;"|"&amp;LEN(IF(Raw!E1354="","",Raw!E1354))&amp;":"&amp;IF(Raw!E1354="","",Raw!E1354)&amp;"|"&amp;LEN(IF(Raw!F1354="","",Raw!F1354))&amp;":"&amp;IF(Raw!F1354="","",Raw!F1354)&amp;"|"&amp;LEN(IF(Raw!G1354="","",Raw!G1354))&amp;":"&amp;IF(Raw!G1354="","",Raw!G1354)</f>
        <v>6:L01348|6:T00674|10:2026-02-01|3:P-A|11:Accessories|4:sale|6:116.90</v>
      </c>
      <c r="Q1354" s="1">
        <f>1</f>
        <v>1</v>
      </c>
      <c r="R1354" s="1" t="b">
        <f>FALSE</f>
        <v>0</v>
      </c>
      <c r="S1354" s="1">
        <f>1</f>
        <v>1</v>
      </c>
      <c r="T1354" s="1" t="str">
        <f>IF(AND(Raw!A1354="",Raw!B1354="",Raw!C1354="",Raw!D1354="",Raw!E1354="",Raw!F1354="",Raw!G1354=""),"UNUSED",IF(A1354="","missing line ID",IF(B1354="","missing transaction ID",IF(G1354="",IF(C1354="","missing date","invalid date"),IF(I1354="","unknown product",IF(J1354="","conflicting category",IF(NOT(OR(EXACT(K1354,"sale"),EXACT(K1354,"refund"))),"unknown event",IF(OR(N1354="",NOT(O1354)),"invalid amount",IF(OR(AND(K1354="sale",N1354&lt;=0),AND(K1354="refund",N1354&gt;=0)),"invalid sign","")))))))))</f>
        <v/>
      </c>
      <c r="U1354" s="1" t="str">
        <f t="shared" si="173"/>
        <v>INCLUDED</v>
      </c>
      <c r="V1354" s="1" t="str">
        <f t="shared" si="174"/>
        <v>2026-02</v>
      </c>
      <c r="W1354" s="1">
        <f>IF(AND(U1354="INCLUDED",X1354&gt;0,EXACT(A1354,'AI output'!A1354)),1,0)</f>
        <v>1</v>
      </c>
      <c r="X1354" s="1">
        <f>1354</f>
        <v>1354</v>
      </c>
      <c r="Y1354" s="1">
        <f>IF(AND(U1354="INCLUDED",W1354=1),--(NOT(EXACT(A1354,'AI output'!A1354)))+--(NOT(EXACT(B1354,'AI output'!B1354)))+--(NOT(EXACT(TEXT(G1354,"yyyy-mm-dd"),'AI output'!C1354)))+--(NOT(EXACT(H1354,'AI output'!D1354)))+--(NOT(EXACT(J1354,'AI output'!E1354)))+--(NOT(EXACT(K1354,'AI output'!F1354)))+--(N1354&lt;&gt;'AI output'!L1354)+--(NOT('AI output'!M1354)),0)</f>
        <v>0</v>
      </c>
      <c r="Z1354" s="1">
        <f t="shared" si="175"/>
        <v>0</v>
      </c>
      <c r="AA1354" s="1">
        <f>--EXACT(A1354,"L01348")</f>
        <v>1</v>
      </c>
    </row>
    <row r="1355" spans="1:27" ht="18.95" customHeight="1">
      <c r="A1355" s="1" t="str">
        <f>IF(Raw!A1355="","",Raw!A1355)</f>
        <v>L01349</v>
      </c>
      <c r="B1355" s="1" t="str">
        <f>IF(Raw!B1355="","",Raw!B1355)</f>
        <v>T00675</v>
      </c>
      <c r="C1355" s="1" t="str">
        <f>IF(Raw!C1355="","",Raw!C1355)</f>
        <v>2026-02-08</v>
      </c>
      <c r="D1355" s="1">
        <f t="shared" si="168"/>
        <v>2026</v>
      </c>
      <c r="E1355" s="1">
        <f>IFERROR(IF(AND(LEN(C1355)=10,MID(C1355,5,1)="-",MID(C1355,8,1)="-"),VALUE(MID(C1355,6,2)),IF(AND(LEN(C1355)=11,MID(C1355,3,1)="-",MID(C1355,7,1)="-"),MATCH(UPPER(MID(C1355,4,3)),Guide!$D$7:$D$18,0),0)),0)</f>
        <v>2</v>
      </c>
      <c r="F1355" s="1">
        <f t="shared" si="169"/>
        <v>8</v>
      </c>
      <c r="G1355" s="9">
        <f t="shared" si="170"/>
        <v>46061</v>
      </c>
      <c r="H1355" s="1" t="str">
        <f>IF(Raw!D1355="","",Raw!D1355)</f>
        <v>P-H</v>
      </c>
      <c r="I1355" s="1" t="str">
        <f>IFERROR(IF(EXACT(H1355,INDEX(Guide!$A$7:$A$9,MATCH(SUBSTITUTE(SUBSTITUTE(SUBSTITUTE(H1355,"~","~~"),"*","~*"),"?","~?"),Guide!$A$7:$A$9,0))),INDEX(Guide!$B$7:$B$9,MATCH(SUBSTITUTE(SUBSTITUTE(SUBSTITUTE(H1355,"~","~~"),"*","~*"),"?","~?"),Guide!$A$7:$A$9,0)),""),"")</f>
        <v>Home</v>
      </c>
      <c r="J1355" s="1" t="str">
        <f>IF(TRIM(Raw!E1355)="",I1355,IF(UPPER(TRIM(Raw!E1355))=UPPER(I1355),I1355,""))</f>
        <v>Home</v>
      </c>
      <c r="K1355" s="1" t="str">
        <f>IF(Raw!F1355="","",Raw!F1355)</f>
        <v>sale</v>
      </c>
      <c r="L1355" s="1" t="str">
        <f>IF(LEFT(TRIM(Raw!G1355),2)="-$","-"&amp;MID(TRIM(Raw!G1355),3,99),IF(LEFT(TRIM(Raw!G1355),1)="$",MID(TRIM(Raw!G1355),2,99),TRIM(Raw!G1355)))</f>
        <v>47.50</v>
      </c>
      <c r="M1355" s="1">
        <f t="shared" si="171"/>
        <v>47.5</v>
      </c>
      <c r="N1355" s="10">
        <f t="shared" si="172"/>
        <v>4750</v>
      </c>
      <c r="O1355" s="1" t="b">
        <f>IFERROR(IF(ISNUMBER(Raw!G1355),TRUE,OR(EXACT(L1355,TEXT(M1355,"0.00")),EXACT(L1355,TEXT(M1355,"#,##0.00")))),FALSE)</f>
        <v>1</v>
      </c>
      <c r="P1355" s="1" t="str">
        <f>LEN(IF(Raw!A1355="","",Raw!A1355))&amp;":"&amp;IF(Raw!A1355="","",Raw!A1355)&amp;"|"&amp;LEN(IF(Raw!B1355="","",Raw!B1355))&amp;":"&amp;IF(Raw!B1355="","",Raw!B1355)&amp;"|"&amp;LEN(IF(Raw!C1355="","",Raw!C1355))&amp;":"&amp;IF(Raw!C1355="","",Raw!C1355)&amp;"|"&amp;LEN(IF(Raw!D1355="","",Raw!D1355))&amp;":"&amp;IF(Raw!D1355="","",Raw!D1355)&amp;"|"&amp;LEN(IF(Raw!E1355="","",Raw!E1355))&amp;":"&amp;IF(Raw!E1355="","",Raw!E1355)&amp;"|"&amp;LEN(IF(Raw!F1355="","",Raw!F1355))&amp;":"&amp;IF(Raw!F1355="","",Raw!F1355)&amp;"|"&amp;LEN(IF(Raw!G1355="","",Raw!G1355))&amp;":"&amp;IF(Raw!G1355="","",Raw!G1355)</f>
        <v>6:L01349|6:T00675|10:2026-02-08|3:P-H|4:Home|4:sale|5:47.50</v>
      </c>
      <c r="Q1355" s="1">
        <f>1</f>
        <v>1</v>
      </c>
      <c r="R1355" s="1" t="b">
        <f>FALSE</f>
        <v>0</v>
      </c>
      <c r="S1355" s="1">
        <f>1</f>
        <v>1</v>
      </c>
      <c r="T1355" s="1" t="str">
        <f>IF(AND(Raw!A1355="",Raw!B1355="",Raw!C1355="",Raw!D1355="",Raw!E1355="",Raw!F1355="",Raw!G1355=""),"UNUSED",IF(A1355="","missing line ID",IF(B1355="","missing transaction ID",IF(G1355="",IF(C1355="","missing date","invalid date"),IF(I1355="","unknown product",IF(J1355="","conflicting category",IF(NOT(OR(EXACT(K1355,"sale"),EXACT(K1355,"refund"))),"unknown event",IF(OR(N1355="",NOT(O1355)),"invalid amount",IF(OR(AND(K1355="sale",N1355&lt;=0),AND(K1355="refund",N1355&gt;=0)),"invalid sign","")))))))))</f>
        <v/>
      </c>
      <c r="U1355" s="1" t="str">
        <f t="shared" si="173"/>
        <v>INCLUDED</v>
      </c>
      <c r="V1355" s="1" t="str">
        <f t="shared" si="174"/>
        <v>2026-02</v>
      </c>
      <c r="W1355" s="1">
        <f>IF(AND(U1355="INCLUDED",X1355&gt;0,EXACT(A1355,'AI output'!A1355)),1,0)</f>
        <v>1</v>
      </c>
      <c r="X1355" s="1">
        <f>1355</f>
        <v>1355</v>
      </c>
      <c r="Y1355" s="1">
        <f>IF(AND(U1355="INCLUDED",W1355=1),--(NOT(EXACT(A1355,'AI output'!A1355)))+--(NOT(EXACT(B1355,'AI output'!B1355)))+--(NOT(EXACT(TEXT(G1355,"yyyy-mm-dd"),'AI output'!C1355)))+--(NOT(EXACT(H1355,'AI output'!D1355)))+--(NOT(EXACT(J1355,'AI output'!E1355)))+--(NOT(EXACT(K1355,'AI output'!F1355)))+--(N1355&lt;&gt;'AI output'!L1355)+--(NOT('AI output'!M1355)),0)</f>
        <v>0</v>
      </c>
      <c r="Z1355" s="1">
        <f t="shared" si="175"/>
        <v>0</v>
      </c>
      <c r="AA1355" s="1">
        <f>--EXACT(A1355,"L01349")</f>
        <v>1</v>
      </c>
    </row>
    <row r="1356" spans="1:27" ht="18.95" customHeight="1">
      <c r="A1356" s="1" t="str">
        <f>IF(Raw!A1356="","",Raw!A1356)</f>
        <v>L01350</v>
      </c>
      <c r="B1356" s="1" t="str">
        <f>IF(Raw!B1356="","",Raw!B1356)</f>
        <v>T00675</v>
      </c>
      <c r="C1356" s="1" t="str">
        <f>IF(Raw!C1356="","",Raw!C1356)</f>
        <v>2026-02-08</v>
      </c>
      <c r="D1356" s="1">
        <f t="shared" si="168"/>
        <v>2026</v>
      </c>
      <c r="E1356" s="1">
        <f>IFERROR(IF(AND(LEN(C1356)=10,MID(C1356,5,1)="-",MID(C1356,8,1)="-"),VALUE(MID(C1356,6,2)),IF(AND(LEN(C1356)=11,MID(C1356,3,1)="-",MID(C1356,7,1)="-"),MATCH(UPPER(MID(C1356,4,3)),Guide!$D$7:$D$18,0),0)),0)</f>
        <v>2</v>
      </c>
      <c r="F1356" s="1">
        <f t="shared" si="169"/>
        <v>8</v>
      </c>
      <c r="G1356" s="9">
        <f t="shared" si="170"/>
        <v>46061</v>
      </c>
      <c r="H1356" s="1" t="str">
        <f>IF(Raw!D1356="","",Raw!D1356)</f>
        <v>P-O</v>
      </c>
      <c r="I1356" s="1" t="str">
        <f>IFERROR(IF(EXACT(H1356,INDEX(Guide!$A$7:$A$9,MATCH(SUBSTITUTE(SUBSTITUTE(SUBSTITUTE(H1356,"~","~~"),"*","~*"),"?","~?"),Guide!$A$7:$A$9,0))),INDEX(Guide!$B$7:$B$9,MATCH(SUBSTITUTE(SUBSTITUTE(SUBSTITUTE(H1356,"~","~~"),"*","~*"),"?","~?"),Guide!$A$7:$A$9,0)),""),"")</f>
        <v>Office</v>
      </c>
      <c r="J1356" s="1" t="str">
        <f>IF(TRIM(Raw!E1356)="",I1356,IF(UPPER(TRIM(Raw!E1356))=UPPER(I1356),I1356,""))</f>
        <v>Office</v>
      </c>
      <c r="K1356" s="1" t="str">
        <f>IF(Raw!F1356="","",Raw!F1356)</f>
        <v>sale</v>
      </c>
      <c r="L1356" s="1" t="str">
        <f>IF(LEFT(TRIM(Raw!G1356),2)="-$","-"&amp;MID(TRIM(Raw!G1356),3,99),IF(LEFT(TRIM(Raw!G1356),1)="$",MID(TRIM(Raw!G1356),2,99),TRIM(Raw!G1356)))</f>
        <v>96.48</v>
      </c>
      <c r="M1356" s="1">
        <f t="shared" si="171"/>
        <v>96.48</v>
      </c>
      <c r="N1356" s="10">
        <f t="shared" si="172"/>
        <v>9648</v>
      </c>
      <c r="O1356" s="1" t="b">
        <f>IFERROR(IF(ISNUMBER(Raw!G1356),TRUE,OR(EXACT(L1356,TEXT(M1356,"0.00")),EXACT(L1356,TEXT(M1356,"#,##0.00")))),FALSE)</f>
        <v>1</v>
      </c>
      <c r="P1356" s="1" t="str">
        <f>LEN(IF(Raw!A1356="","",Raw!A1356))&amp;":"&amp;IF(Raw!A1356="","",Raw!A1356)&amp;"|"&amp;LEN(IF(Raw!B1356="","",Raw!B1356))&amp;":"&amp;IF(Raw!B1356="","",Raw!B1356)&amp;"|"&amp;LEN(IF(Raw!C1356="","",Raw!C1356))&amp;":"&amp;IF(Raw!C1356="","",Raw!C1356)&amp;"|"&amp;LEN(IF(Raw!D1356="","",Raw!D1356))&amp;":"&amp;IF(Raw!D1356="","",Raw!D1356)&amp;"|"&amp;LEN(IF(Raw!E1356="","",Raw!E1356))&amp;":"&amp;IF(Raw!E1356="","",Raw!E1356)&amp;"|"&amp;LEN(IF(Raw!F1356="","",Raw!F1356))&amp;":"&amp;IF(Raw!F1356="","",Raw!F1356)&amp;"|"&amp;LEN(IF(Raw!G1356="","",Raw!G1356))&amp;":"&amp;IF(Raw!G1356="","",Raw!G1356)</f>
        <v>6:L01350|6:T00675|10:2026-02-08|3:P-O|6:Office|4:sale|5:96.48</v>
      </c>
      <c r="Q1356" s="1">
        <f>1</f>
        <v>1</v>
      </c>
      <c r="R1356" s="1" t="b">
        <f>FALSE</f>
        <v>0</v>
      </c>
      <c r="S1356" s="1">
        <f>1</f>
        <v>1</v>
      </c>
      <c r="T1356" s="1" t="str">
        <f>IF(AND(Raw!A1356="",Raw!B1356="",Raw!C1356="",Raw!D1356="",Raw!E1356="",Raw!F1356="",Raw!G1356=""),"UNUSED",IF(A1356="","missing line ID",IF(B1356="","missing transaction ID",IF(G1356="",IF(C1356="","missing date","invalid date"),IF(I1356="","unknown product",IF(J1356="","conflicting category",IF(NOT(OR(EXACT(K1356,"sale"),EXACT(K1356,"refund"))),"unknown event",IF(OR(N1356="",NOT(O1356)),"invalid amount",IF(OR(AND(K1356="sale",N1356&lt;=0),AND(K1356="refund",N1356&gt;=0)),"invalid sign","")))))))))</f>
        <v/>
      </c>
      <c r="U1356" s="1" t="str">
        <f t="shared" si="173"/>
        <v>INCLUDED</v>
      </c>
      <c r="V1356" s="1" t="str">
        <f t="shared" si="174"/>
        <v>2026-02</v>
      </c>
      <c r="W1356" s="1">
        <f>IF(AND(U1356="INCLUDED",X1356&gt;0,EXACT(A1356,'AI output'!A1356)),1,0)</f>
        <v>1</v>
      </c>
      <c r="X1356" s="1">
        <f>1356</f>
        <v>1356</v>
      </c>
      <c r="Y1356" s="1">
        <f>IF(AND(U1356="INCLUDED",W1356=1),--(NOT(EXACT(A1356,'AI output'!A1356)))+--(NOT(EXACT(B1356,'AI output'!B1356)))+--(NOT(EXACT(TEXT(G1356,"yyyy-mm-dd"),'AI output'!C1356)))+--(NOT(EXACT(H1356,'AI output'!D1356)))+--(NOT(EXACT(J1356,'AI output'!E1356)))+--(NOT(EXACT(K1356,'AI output'!F1356)))+--(N1356&lt;&gt;'AI output'!L1356)+--(NOT('AI output'!M1356)),0)</f>
        <v>0</v>
      </c>
      <c r="Z1356" s="1">
        <f t="shared" si="175"/>
        <v>0</v>
      </c>
      <c r="AA1356" s="1">
        <f>--EXACT(A1356,"L01350")</f>
        <v>1</v>
      </c>
    </row>
    <row r="1357" spans="1:27" ht="18.95" customHeight="1">
      <c r="A1357" s="1" t="str">
        <f>IF(Raw!A1357="","",Raw!A1357)</f>
        <v>L01351</v>
      </c>
      <c r="B1357" s="1" t="str">
        <f>IF(Raw!B1357="","",Raw!B1357)</f>
        <v>T00676</v>
      </c>
      <c r="C1357" s="1" t="str">
        <f>IF(Raw!C1357="","",Raw!C1357)</f>
        <v>2026-02-15</v>
      </c>
      <c r="D1357" s="1">
        <f t="shared" si="168"/>
        <v>2026</v>
      </c>
      <c r="E1357" s="1">
        <f>IFERROR(IF(AND(LEN(C1357)=10,MID(C1357,5,1)="-",MID(C1357,8,1)="-"),VALUE(MID(C1357,6,2)),IF(AND(LEN(C1357)=11,MID(C1357,3,1)="-",MID(C1357,7,1)="-"),MATCH(UPPER(MID(C1357,4,3)),Guide!$D$7:$D$18,0),0)),0)</f>
        <v>2</v>
      </c>
      <c r="F1357" s="1">
        <f t="shared" si="169"/>
        <v>15</v>
      </c>
      <c r="G1357" s="9">
        <f t="shared" si="170"/>
        <v>46068</v>
      </c>
      <c r="H1357" s="1" t="str">
        <f>IF(Raw!D1357="","",Raw!D1357)</f>
        <v>P-A</v>
      </c>
      <c r="I1357" s="1" t="str">
        <f>IFERROR(IF(EXACT(H1357,INDEX(Guide!$A$7:$A$9,MATCH(SUBSTITUTE(SUBSTITUTE(SUBSTITUTE(H1357,"~","~~"),"*","~*"),"?","~?"),Guide!$A$7:$A$9,0))),INDEX(Guide!$B$7:$B$9,MATCH(SUBSTITUTE(SUBSTITUTE(SUBSTITUTE(H1357,"~","~~"),"*","~*"),"?","~?"),Guide!$A$7:$A$9,0)),""),"")</f>
        <v>Accessories</v>
      </c>
      <c r="J1357" s="1" t="str">
        <f>IF(TRIM(Raw!E1357)="",I1357,IF(UPPER(TRIM(Raw!E1357))=UPPER(I1357),I1357,""))</f>
        <v>Accessories</v>
      </c>
      <c r="K1357" s="1" t="str">
        <f>IF(Raw!F1357="","",Raw!F1357)</f>
        <v>sale</v>
      </c>
      <c r="L1357" s="1" t="str">
        <f>IF(LEFT(TRIM(Raw!G1357),2)="-$","-"&amp;MID(TRIM(Raw!G1357),3,99),IF(LEFT(TRIM(Raw!G1357),1)="$",MID(TRIM(Raw!G1357),2,99),TRIM(Raw!G1357)))</f>
        <v>24.49</v>
      </c>
      <c r="M1357" s="1">
        <f t="shared" si="171"/>
        <v>24.49</v>
      </c>
      <c r="N1357" s="10">
        <f t="shared" si="172"/>
        <v>2449</v>
      </c>
      <c r="O1357" s="1" t="b">
        <f>IFERROR(IF(ISNUMBER(Raw!G1357),TRUE,OR(EXACT(L1357,TEXT(M1357,"0.00")),EXACT(L1357,TEXT(M1357,"#,##0.00")))),FALSE)</f>
        <v>1</v>
      </c>
      <c r="P1357" s="1" t="str">
        <f>LEN(IF(Raw!A1357="","",Raw!A1357))&amp;":"&amp;IF(Raw!A1357="","",Raw!A1357)&amp;"|"&amp;LEN(IF(Raw!B1357="","",Raw!B1357))&amp;":"&amp;IF(Raw!B1357="","",Raw!B1357)&amp;"|"&amp;LEN(IF(Raw!C1357="","",Raw!C1357))&amp;":"&amp;IF(Raw!C1357="","",Raw!C1357)&amp;"|"&amp;LEN(IF(Raw!D1357="","",Raw!D1357))&amp;":"&amp;IF(Raw!D1357="","",Raw!D1357)&amp;"|"&amp;LEN(IF(Raw!E1357="","",Raw!E1357))&amp;":"&amp;IF(Raw!E1357="","",Raw!E1357)&amp;"|"&amp;LEN(IF(Raw!F1357="","",Raw!F1357))&amp;":"&amp;IF(Raw!F1357="","",Raw!F1357)&amp;"|"&amp;LEN(IF(Raw!G1357="","",Raw!G1357))&amp;":"&amp;IF(Raw!G1357="","",Raw!G1357)</f>
        <v>6:L01351|6:T00676|10:2026-02-15|3:P-A|11:Accessories|4:sale|5:24.49</v>
      </c>
      <c r="Q1357" s="1">
        <f>1</f>
        <v>1</v>
      </c>
      <c r="R1357" s="1" t="b">
        <f>FALSE</f>
        <v>0</v>
      </c>
      <c r="S1357" s="1">
        <f>1</f>
        <v>1</v>
      </c>
      <c r="T1357" s="1" t="str">
        <f>IF(AND(Raw!A1357="",Raw!B1357="",Raw!C1357="",Raw!D1357="",Raw!E1357="",Raw!F1357="",Raw!G1357=""),"UNUSED",IF(A1357="","missing line ID",IF(B1357="","missing transaction ID",IF(G1357="",IF(C1357="","missing date","invalid date"),IF(I1357="","unknown product",IF(J1357="","conflicting category",IF(NOT(OR(EXACT(K1357,"sale"),EXACT(K1357,"refund"))),"unknown event",IF(OR(N1357="",NOT(O1357)),"invalid amount",IF(OR(AND(K1357="sale",N1357&lt;=0),AND(K1357="refund",N1357&gt;=0)),"invalid sign","")))))))))</f>
        <v/>
      </c>
      <c r="U1357" s="1" t="str">
        <f t="shared" si="173"/>
        <v>INCLUDED</v>
      </c>
      <c r="V1357" s="1" t="str">
        <f t="shared" si="174"/>
        <v>2026-02</v>
      </c>
      <c r="W1357" s="1">
        <f>IF(AND(U1357="INCLUDED",X1357&gt;0,EXACT(A1357,'AI output'!A1357)),1,0)</f>
        <v>1</v>
      </c>
      <c r="X1357" s="1">
        <f>1357</f>
        <v>1357</v>
      </c>
      <c r="Y1357" s="1">
        <f>IF(AND(U1357="INCLUDED",W1357=1),--(NOT(EXACT(A1357,'AI output'!A1357)))+--(NOT(EXACT(B1357,'AI output'!B1357)))+--(NOT(EXACT(TEXT(G1357,"yyyy-mm-dd"),'AI output'!C1357)))+--(NOT(EXACT(H1357,'AI output'!D1357)))+--(NOT(EXACT(J1357,'AI output'!E1357)))+--(NOT(EXACT(K1357,'AI output'!F1357)))+--(N1357&lt;&gt;'AI output'!L1357)+--(NOT('AI output'!M1357)),0)</f>
        <v>0</v>
      </c>
      <c r="Z1357" s="1">
        <f t="shared" si="175"/>
        <v>0</v>
      </c>
      <c r="AA1357" s="1">
        <f>--EXACT(A1357,"L01351")</f>
        <v>1</v>
      </c>
    </row>
    <row r="1358" spans="1:27" ht="18.95" customHeight="1">
      <c r="A1358" s="1" t="str">
        <f>IF(Raw!A1358="","",Raw!A1358)</f>
        <v>L01352</v>
      </c>
      <c r="B1358" s="1" t="str">
        <f>IF(Raw!B1358="","",Raw!B1358)</f>
        <v>T00676</v>
      </c>
      <c r="C1358" s="1" t="str">
        <f>IF(Raw!C1358="","",Raw!C1358)</f>
        <v>2026-02-15</v>
      </c>
      <c r="D1358" s="1">
        <f t="shared" si="168"/>
        <v>2026</v>
      </c>
      <c r="E1358" s="1">
        <f>IFERROR(IF(AND(LEN(C1358)=10,MID(C1358,5,1)="-",MID(C1358,8,1)="-"),VALUE(MID(C1358,6,2)),IF(AND(LEN(C1358)=11,MID(C1358,3,1)="-",MID(C1358,7,1)="-"),MATCH(UPPER(MID(C1358,4,3)),Guide!$D$7:$D$18,0),0)),0)</f>
        <v>2</v>
      </c>
      <c r="F1358" s="1">
        <f t="shared" si="169"/>
        <v>15</v>
      </c>
      <c r="G1358" s="9">
        <f t="shared" si="170"/>
        <v>46068</v>
      </c>
      <c r="H1358" s="1" t="str">
        <f>IF(Raw!D1358="","",Raw!D1358)</f>
        <v>P-H</v>
      </c>
      <c r="I1358" s="1" t="str">
        <f>IFERROR(IF(EXACT(H1358,INDEX(Guide!$A$7:$A$9,MATCH(SUBSTITUTE(SUBSTITUTE(SUBSTITUTE(H1358,"~","~~"),"*","~*"),"?","~?"),Guide!$A$7:$A$9,0))),INDEX(Guide!$B$7:$B$9,MATCH(SUBSTITUTE(SUBSTITUTE(SUBSTITUTE(H1358,"~","~~"),"*","~*"),"?","~?"),Guide!$A$7:$A$9,0)),""),"")</f>
        <v>Home</v>
      </c>
      <c r="J1358" s="1" t="str">
        <f>IF(TRIM(Raw!E1358)="",I1358,IF(UPPER(TRIM(Raw!E1358))=UPPER(I1358),I1358,""))</f>
        <v>Home</v>
      </c>
      <c r="K1358" s="1" t="str">
        <f>IF(Raw!F1358="","",Raw!F1358)</f>
        <v>sale</v>
      </c>
      <c r="L1358" s="1" t="str">
        <f>IF(LEFT(TRIM(Raw!G1358),2)="-$","-"&amp;MID(TRIM(Raw!G1358),3,99),IF(LEFT(TRIM(Raw!G1358),1)="$",MID(TRIM(Raw!G1358),2,99),TRIM(Raw!G1358)))</f>
        <v>74.58</v>
      </c>
      <c r="M1358" s="1">
        <f t="shared" si="171"/>
        <v>74.58</v>
      </c>
      <c r="N1358" s="10">
        <f t="shared" si="172"/>
        <v>7458</v>
      </c>
      <c r="O1358" s="1" t="b">
        <f>IFERROR(IF(ISNUMBER(Raw!G1358),TRUE,OR(EXACT(L1358,TEXT(M1358,"0.00")),EXACT(L1358,TEXT(M1358,"#,##0.00")))),FALSE)</f>
        <v>1</v>
      </c>
      <c r="P1358" s="1" t="str">
        <f>LEN(IF(Raw!A1358="","",Raw!A1358))&amp;":"&amp;IF(Raw!A1358="","",Raw!A1358)&amp;"|"&amp;LEN(IF(Raw!B1358="","",Raw!B1358))&amp;":"&amp;IF(Raw!B1358="","",Raw!B1358)&amp;"|"&amp;LEN(IF(Raw!C1358="","",Raw!C1358))&amp;":"&amp;IF(Raw!C1358="","",Raw!C1358)&amp;"|"&amp;LEN(IF(Raw!D1358="","",Raw!D1358))&amp;":"&amp;IF(Raw!D1358="","",Raw!D1358)&amp;"|"&amp;LEN(IF(Raw!E1358="","",Raw!E1358))&amp;":"&amp;IF(Raw!E1358="","",Raw!E1358)&amp;"|"&amp;LEN(IF(Raw!F1358="","",Raw!F1358))&amp;":"&amp;IF(Raw!F1358="","",Raw!F1358)&amp;"|"&amp;LEN(IF(Raw!G1358="","",Raw!G1358))&amp;":"&amp;IF(Raw!G1358="","",Raw!G1358)</f>
        <v>6:L01352|6:T00676|10:2026-02-15|3:P-H|4:Home|4:sale|5:74.58</v>
      </c>
      <c r="Q1358" s="1">
        <f>1</f>
        <v>1</v>
      </c>
      <c r="R1358" s="1" t="b">
        <f>FALSE</f>
        <v>0</v>
      </c>
      <c r="S1358" s="1">
        <f>1</f>
        <v>1</v>
      </c>
      <c r="T1358" s="1" t="str">
        <f>IF(AND(Raw!A1358="",Raw!B1358="",Raw!C1358="",Raw!D1358="",Raw!E1358="",Raw!F1358="",Raw!G1358=""),"UNUSED",IF(A1358="","missing line ID",IF(B1358="","missing transaction ID",IF(G1358="",IF(C1358="","missing date","invalid date"),IF(I1358="","unknown product",IF(J1358="","conflicting category",IF(NOT(OR(EXACT(K1358,"sale"),EXACT(K1358,"refund"))),"unknown event",IF(OR(N1358="",NOT(O1358)),"invalid amount",IF(OR(AND(K1358="sale",N1358&lt;=0),AND(K1358="refund",N1358&gt;=0)),"invalid sign","")))))))))</f>
        <v/>
      </c>
      <c r="U1358" s="1" t="str">
        <f t="shared" si="173"/>
        <v>INCLUDED</v>
      </c>
      <c r="V1358" s="1" t="str">
        <f t="shared" si="174"/>
        <v>2026-02</v>
      </c>
      <c r="W1358" s="1">
        <f>IF(AND(U1358="INCLUDED",X1358&gt;0,EXACT(A1358,'AI output'!A1358)),1,0)</f>
        <v>1</v>
      </c>
      <c r="X1358" s="1">
        <f>1358</f>
        <v>1358</v>
      </c>
      <c r="Y1358" s="1">
        <f>IF(AND(U1358="INCLUDED",W1358=1),--(NOT(EXACT(A1358,'AI output'!A1358)))+--(NOT(EXACT(B1358,'AI output'!B1358)))+--(NOT(EXACT(TEXT(G1358,"yyyy-mm-dd"),'AI output'!C1358)))+--(NOT(EXACT(H1358,'AI output'!D1358)))+--(NOT(EXACT(J1358,'AI output'!E1358)))+--(NOT(EXACT(K1358,'AI output'!F1358)))+--(N1358&lt;&gt;'AI output'!L1358)+--(NOT('AI output'!M1358)),0)</f>
        <v>0</v>
      </c>
      <c r="Z1358" s="1">
        <f t="shared" si="175"/>
        <v>0</v>
      </c>
      <c r="AA1358" s="1">
        <f>--EXACT(A1358,"L01352")</f>
        <v>1</v>
      </c>
    </row>
    <row r="1359" spans="1:27" ht="18.95" customHeight="1">
      <c r="A1359" s="1" t="str">
        <f>IF(Raw!A1359="","",Raw!A1359)</f>
        <v>L01353</v>
      </c>
      <c r="B1359" s="1" t="str">
        <f>IF(Raw!B1359="","",Raw!B1359)</f>
        <v>T00677</v>
      </c>
      <c r="C1359" s="1" t="str">
        <f>IF(Raw!C1359="","",Raw!C1359)</f>
        <v>2026-02-22</v>
      </c>
      <c r="D1359" s="1">
        <f t="shared" si="168"/>
        <v>2026</v>
      </c>
      <c r="E1359" s="1">
        <f>IFERROR(IF(AND(LEN(C1359)=10,MID(C1359,5,1)="-",MID(C1359,8,1)="-"),VALUE(MID(C1359,6,2)),IF(AND(LEN(C1359)=11,MID(C1359,3,1)="-",MID(C1359,7,1)="-"),MATCH(UPPER(MID(C1359,4,3)),Guide!$D$7:$D$18,0),0)),0)</f>
        <v>2</v>
      </c>
      <c r="F1359" s="1">
        <f t="shared" si="169"/>
        <v>22</v>
      </c>
      <c r="G1359" s="9">
        <f t="shared" si="170"/>
        <v>46075</v>
      </c>
      <c r="H1359" s="1" t="str">
        <f>IF(Raw!D1359="","",Raw!D1359)</f>
        <v>P-O</v>
      </c>
      <c r="I1359" s="1" t="str">
        <f>IFERROR(IF(EXACT(H1359,INDEX(Guide!$A$7:$A$9,MATCH(SUBSTITUTE(SUBSTITUTE(SUBSTITUTE(H1359,"~","~~"),"*","~*"),"?","~?"),Guide!$A$7:$A$9,0))),INDEX(Guide!$B$7:$B$9,MATCH(SUBSTITUTE(SUBSTITUTE(SUBSTITUTE(H1359,"~","~~"),"*","~*"),"?","~?"),Guide!$A$7:$A$9,0)),""),"")</f>
        <v>Office</v>
      </c>
      <c r="J1359" s="1" t="str">
        <f>IF(TRIM(Raw!E1359)="",I1359,IF(UPPER(TRIM(Raw!E1359))=UPPER(I1359),I1359,""))</f>
        <v>Office</v>
      </c>
      <c r="K1359" s="1" t="str">
        <f>IF(Raw!F1359="","",Raw!F1359)</f>
        <v>sale</v>
      </c>
      <c r="L1359" s="1" t="str">
        <f>IF(LEFT(TRIM(Raw!G1359),2)="-$","-"&amp;MID(TRIM(Raw!G1359),3,99),IF(LEFT(TRIM(Raw!G1359),1)="$",MID(TRIM(Raw!G1359),2,99),TRIM(Raw!G1359)))</f>
        <v>126.15</v>
      </c>
      <c r="M1359" s="1">
        <f t="shared" si="171"/>
        <v>126.15</v>
      </c>
      <c r="N1359" s="10">
        <f t="shared" si="172"/>
        <v>12615</v>
      </c>
      <c r="O1359" s="1" t="b">
        <f>IFERROR(IF(ISNUMBER(Raw!G1359),TRUE,OR(EXACT(L1359,TEXT(M1359,"0.00")),EXACT(L1359,TEXT(M1359,"#,##0.00")))),FALSE)</f>
        <v>1</v>
      </c>
      <c r="P1359" s="1" t="str">
        <f>LEN(IF(Raw!A1359="","",Raw!A1359))&amp;":"&amp;IF(Raw!A1359="","",Raw!A1359)&amp;"|"&amp;LEN(IF(Raw!B1359="","",Raw!B1359))&amp;":"&amp;IF(Raw!B1359="","",Raw!B1359)&amp;"|"&amp;LEN(IF(Raw!C1359="","",Raw!C1359))&amp;":"&amp;IF(Raw!C1359="","",Raw!C1359)&amp;"|"&amp;LEN(IF(Raw!D1359="","",Raw!D1359))&amp;":"&amp;IF(Raw!D1359="","",Raw!D1359)&amp;"|"&amp;LEN(IF(Raw!E1359="","",Raw!E1359))&amp;":"&amp;IF(Raw!E1359="","",Raw!E1359)&amp;"|"&amp;LEN(IF(Raw!F1359="","",Raw!F1359))&amp;":"&amp;IF(Raw!F1359="","",Raw!F1359)&amp;"|"&amp;LEN(IF(Raw!G1359="","",Raw!G1359))&amp;":"&amp;IF(Raw!G1359="","",Raw!G1359)</f>
        <v>6:L01353|6:T00677|10:2026-02-22|3:P-O|6:Office|4:sale|6:126.15</v>
      </c>
      <c r="Q1359" s="1">
        <f>1</f>
        <v>1</v>
      </c>
      <c r="R1359" s="1" t="b">
        <f>FALSE</f>
        <v>0</v>
      </c>
      <c r="S1359" s="1">
        <f>1</f>
        <v>1</v>
      </c>
      <c r="T1359" s="1" t="str">
        <f>IF(AND(Raw!A1359="",Raw!B1359="",Raw!C1359="",Raw!D1359="",Raw!E1359="",Raw!F1359="",Raw!G1359=""),"UNUSED",IF(A1359="","missing line ID",IF(B1359="","missing transaction ID",IF(G1359="",IF(C1359="","missing date","invalid date"),IF(I1359="","unknown product",IF(J1359="","conflicting category",IF(NOT(OR(EXACT(K1359,"sale"),EXACT(K1359,"refund"))),"unknown event",IF(OR(N1359="",NOT(O1359)),"invalid amount",IF(OR(AND(K1359="sale",N1359&lt;=0),AND(K1359="refund",N1359&gt;=0)),"invalid sign","")))))))))</f>
        <v/>
      </c>
      <c r="U1359" s="1" t="str">
        <f t="shared" si="173"/>
        <v>INCLUDED</v>
      </c>
      <c r="V1359" s="1" t="str">
        <f t="shared" si="174"/>
        <v>2026-02</v>
      </c>
      <c r="W1359" s="1">
        <f>IF(AND(U1359="INCLUDED",X1359&gt;0,EXACT(A1359,'AI output'!A1359)),1,0)</f>
        <v>1</v>
      </c>
      <c r="X1359" s="1">
        <f>1359</f>
        <v>1359</v>
      </c>
      <c r="Y1359" s="1">
        <f>IF(AND(U1359="INCLUDED",W1359=1),--(NOT(EXACT(A1359,'AI output'!A1359)))+--(NOT(EXACT(B1359,'AI output'!B1359)))+--(NOT(EXACT(TEXT(G1359,"yyyy-mm-dd"),'AI output'!C1359)))+--(NOT(EXACT(H1359,'AI output'!D1359)))+--(NOT(EXACT(J1359,'AI output'!E1359)))+--(NOT(EXACT(K1359,'AI output'!F1359)))+--(N1359&lt;&gt;'AI output'!L1359)+--(NOT('AI output'!M1359)),0)</f>
        <v>0</v>
      </c>
      <c r="Z1359" s="1">
        <f t="shared" si="175"/>
        <v>0</v>
      </c>
      <c r="AA1359" s="1">
        <f>--EXACT(A1359,"L01353")</f>
        <v>1</v>
      </c>
    </row>
    <row r="1360" spans="1:27" ht="18.95" customHeight="1">
      <c r="A1360" s="1" t="str">
        <f>IF(Raw!A1360="","",Raw!A1360)</f>
        <v>L01354</v>
      </c>
      <c r="B1360" s="1" t="str">
        <f>IF(Raw!B1360="","",Raw!B1360)</f>
        <v>T00677</v>
      </c>
      <c r="C1360" s="1" t="str">
        <f>IF(Raw!C1360="","",Raw!C1360)</f>
        <v>2026-02-22</v>
      </c>
      <c r="D1360" s="1">
        <f t="shared" si="168"/>
        <v>2026</v>
      </c>
      <c r="E1360" s="1">
        <f>IFERROR(IF(AND(LEN(C1360)=10,MID(C1360,5,1)="-",MID(C1360,8,1)="-"),VALUE(MID(C1360,6,2)),IF(AND(LEN(C1360)=11,MID(C1360,3,1)="-",MID(C1360,7,1)="-"),MATCH(UPPER(MID(C1360,4,3)),Guide!$D$7:$D$18,0),0)),0)</f>
        <v>2</v>
      </c>
      <c r="F1360" s="1">
        <f t="shared" si="169"/>
        <v>22</v>
      </c>
      <c r="G1360" s="9">
        <f t="shared" si="170"/>
        <v>46075</v>
      </c>
      <c r="H1360" s="1" t="str">
        <f>IF(Raw!D1360="","",Raw!D1360)</f>
        <v>P-A</v>
      </c>
      <c r="I1360" s="1" t="str">
        <f>IFERROR(IF(EXACT(H1360,INDEX(Guide!$A$7:$A$9,MATCH(SUBSTITUTE(SUBSTITUTE(SUBSTITUTE(H1360,"~","~~"),"*","~*"),"?","~?"),Guide!$A$7:$A$9,0))),INDEX(Guide!$B$7:$B$9,MATCH(SUBSTITUTE(SUBSTITUTE(SUBSTITUTE(H1360,"~","~~"),"*","~*"),"?","~?"),Guide!$A$7:$A$9,0)),""),"")</f>
        <v>Accessories</v>
      </c>
      <c r="J1360" s="1" t="str">
        <f>IF(TRIM(Raw!E1360)="",I1360,IF(UPPER(TRIM(Raw!E1360))=UPPER(I1360),I1360,""))</f>
        <v>Accessories</v>
      </c>
      <c r="K1360" s="1" t="str">
        <f>IF(Raw!F1360="","",Raw!F1360)</f>
        <v>sale</v>
      </c>
      <c r="L1360" s="1" t="str">
        <f>IF(LEFT(TRIM(Raw!G1360),2)="-$","-"&amp;MID(TRIM(Raw!G1360),3,99),IF(LEFT(TRIM(Raw!G1360),1)="$",MID(TRIM(Raw!G1360),2,99),TRIM(Raw!G1360)))</f>
        <v>51.20</v>
      </c>
      <c r="M1360" s="1">
        <f t="shared" si="171"/>
        <v>51.2</v>
      </c>
      <c r="N1360" s="10">
        <f t="shared" si="172"/>
        <v>5120</v>
      </c>
      <c r="O1360" s="1" t="b">
        <f>IFERROR(IF(ISNUMBER(Raw!G1360),TRUE,OR(EXACT(L1360,TEXT(M1360,"0.00")),EXACT(L1360,TEXT(M1360,"#,##0.00")))),FALSE)</f>
        <v>1</v>
      </c>
      <c r="P1360" s="1" t="str">
        <f>LEN(IF(Raw!A1360="","",Raw!A1360))&amp;":"&amp;IF(Raw!A1360="","",Raw!A1360)&amp;"|"&amp;LEN(IF(Raw!B1360="","",Raw!B1360))&amp;":"&amp;IF(Raw!B1360="","",Raw!B1360)&amp;"|"&amp;LEN(IF(Raw!C1360="","",Raw!C1360))&amp;":"&amp;IF(Raw!C1360="","",Raw!C1360)&amp;"|"&amp;LEN(IF(Raw!D1360="","",Raw!D1360))&amp;":"&amp;IF(Raw!D1360="","",Raw!D1360)&amp;"|"&amp;LEN(IF(Raw!E1360="","",Raw!E1360))&amp;":"&amp;IF(Raw!E1360="","",Raw!E1360)&amp;"|"&amp;LEN(IF(Raw!F1360="","",Raw!F1360))&amp;":"&amp;IF(Raw!F1360="","",Raw!F1360)&amp;"|"&amp;LEN(IF(Raw!G1360="","",Raw!G1360))&amp;":"&amp;IF(Raw!G1360="","",Raw!G1360)</f>
        <v>6:L01354|6:T00677|10:2026-02-22|3:P-A|11:Accessories|4:sale|5:51.20</v>
      </c>
      <c r="Q1360" s="1">
        <f>1</f>
        <v>1</v>
      </c>
      <c r="R1360" s="1" t="b">
        <f>FALSE</f>
        <v>0</v>
      </c>
      <c r="S1360" s="1">
        <f>1</f>
        <v>1</v>
      </c>
      <c r="T1360" s="1" t="str">
        <f>IF(AND(Raw!A1360="",Raw!B1360="",Raw!C1360="",Raw!D1360="",Raw!E1360="",Raw!F1360="",Raw!G1360=""),"UNUSED",IF(A1360="","missing line ID",IF(B1360="","missing transaction ID",IF(G1360="",IF(C1360="","missing date","invalid date"),IF(I1360="","unknown product",IF(J1360="","conflicting category",IF(NOT(OR(EXACT(K1360,"sale"),EXACT(K1360,"refund"))),"unknown event",IF(OR(N1360="",NOT(O1360)),"invalid amount",IF(OR(AND(K1360="sale",N1360&lt;=0),AND(K1360="refund",N1360&gt;=0)),"invalid sign","")))))))))</f>
        <v/>
      </c>
      <c r="U1360" s="1" t="str">
        <f t="shared" si="173"/>
        <v>INCLUDED</v>
      </c>
      <c r="V1360" s="1" t="str">
        <f t="shared" si="174"/>
        <v>2026-02</v>
      </c>
      <c r="W1360" s="1">
        <f>IF(AND(U1360="INCLUDED",X1360&gt;0,EXACT(A1360,'AI output'!A1360)),1,0)</f>
        <v>1</v>
      </c>
      <c r="X1360" s="1">
        <f>1360</f>
        <v>1360</v>
      </c>
      <c r="Y1360" s="1">
        <f>IF(AND(U1360="INCLUDED",W1360=1),--(NOT(EXACT(A1360,'AI output'!A1360)))+--(NOT(EXACT(B1360,'AI output'!B1360)))+--(NOT(EXACT(TEXT(G1360,"yyyy-mm-dd"),'AI output'!C1360)))+--(NOT(EXACT(H1360,'AI output'!D1360)))+--(NOT(EXACT(J1360,'AI output'!E1360)))+--(NOT(EXACT(K1360,'AI output'!F1360)))+--(N1360&lt;&gt;'AI output'!L1360)+--(NOT('AI output'!M1360)),0)</f>
        <v>0</v>
      </c>
      <c r="Z1360" s="1">
        <f t="shared" si="175"/>
        <v>0</v>
      </c>
      <c r="AA1360" s="1">
        <f>--EXACT(A1360,"L01354")</f>
        <v>1</v>
      </c>
    </row>
    <row r="1361" spans="1:27" ht="18.95" customHeight="1">
      <c r="A1361" s="1" t="str">
        <f>IF(Raw!A1361="","",Raw!A1361)</f>
        <v>L01355</v>
      </c>
      <c r="B1361" s="1" t="str">
        <f>IF(Raw!B1361="","",Raw!B1361)</f>
        <v>T00678</v>
      </c>
      <c r="C1361" s="1" t="str">
        <f>IF(Raw!C1361="","",Raw!C1361)</f>
        <v>2026-03-01</v>
      </c>
      <c r="D1361" s="1">
        <f t="shared" si="168"/>
        <v>2026</v>
      </c>
      <c r="E1361" s="1">
        <f>IFERROR(IF(AND(LEN(C1361)=10,MID(C1361,5,1)="-",MID(C1361,8,1)="-"),VALUE(MID(C1361,6,2)),IF(AND(LEN(C1361)=11,MID(C1361,3,1)="-",MID(C1361,7,1)="-"),MATCH(UPPER(MID(C1361,4,3)),Guide!$D$7:$D$18,0),0)),0)</f>
        <v>3</v>
      </c>
      <c r="F1361" s="1">
        <f t="shared" si="169"/>
        <v>1</v>
      </c>
      <c r="G1361" s="9">
        <f t="shared" si="170"/>
        <v>46082</v>
      </c>
      <c r="H1361" s="1" t="str">
        <f>IF(Raw!D1361="","",Raw!D1361)</f>
        <v>P-H</v>
      </c>
      <c r="I1361" s="1" t="str">
        <f>IFERROR(IF(EXACT(H1361,INDEX(Guide!$A$7:$A$9,MATCH(SUBSTITUTE(SUBSTITUTE(SUBSTITUTE(H1361,"~","~~"),"*","~*"),"?","~?"),Guide!$A$7:$A$9,0))),INDEX(Guide!$B$7:$B$9,MATCH(SUBSTITUTE(SUBSTITUTE(SUBSTITUTE(H1361,"~","~~"),"*","~*"),"?","~?"),Guide!$A$7:$A$9,0)),""),"")</f>
        <v>Home</v>
      </c>
      <c r="J1361" s="1" t="str">
        <f>IF(TRIM(Raw!E1361)="",I1361,IF(UPPER(TRIM(Raw!E1361))=UPPER(I1361),I1361,""))</f>
        <v>Home</v>
      </c>
      <c r="K1361" s="1" t="str">
        <f>IF(Raw!F1361="","",Raw!F1361)</f>
        <v>sale</v>
      </c>
      <c r="L1361" s="1" t="str">
        <f>IF(LEFT(TRIM(Raw!G1361),2)="-$","-"&amp;MID(TRIM(Raw!G1361),3,99),IF(LEFT(TRIM(Raw!G1361),1)="$",MID(TRIM(Raw!G1361),2,99),TRIM(Raw!G1361)))</f>
        <v>103.88</v>
      </c>
      <c r="M1361" s="1">
        <f t="shared" si="171"/>
        <v>103.88</v>
      </c>
      <c r="N1361" s="10">
        <f t="shared" si="172"/>
        <v>10388</v>
      </c>
      <c r="O1361" s="1" t="b">
        <f>IFERROR(IF(ISNUMBER(Raw!G1361),TRUE,OR(EXACT(L1361,TEXT(M1361,"0.00")),EXACT(L1361,TEXT(M1361,"#,##0.00")))),FALSE)</f>
        <v>1</v>
      </c>
      <c r="P1361" s="1" t="str">
        <f>LEN(IF(Raw!A1361="","",Raw!A1361))&amp;":"&amp;IF(Raw!A1361="","",Raw!A1361)&amp;"|"&amp;LEN(IF(Raw!B1361="","",Raw!B1361))&amp;":"&amp;IF(Raw!B1361="","",Raw!B1361)&amp;"|"&amp;LEN(IF(Raw!C1361="","",Raw!C1361))&amp;":"&amp;IF(Raw!C1361="","",Raw!C1361)&amp;"|"&amp;LEN(IF(Raw!D1361="","",Raw!D1361))&amp;":"&amp;IF(Raw!D1361="","",Raw!D1361)&amp;"|"&amp;LEN(IF(Raw!E1361="","",Raw!E1361))&amp;":"&amp;IF(Raw!E1361="","",Raw!E1361)&amp;"|"&amp;LEN(IF(Raw!F1361="","",Raw!F1361))&amp;":"&amp;IF(Raw!F1361="","",Raw!F1361)&amp;"|"&amp;LEN(IF(Raw!G1361="","",Raw!G1361))&amp;":"&amp;IF(Raw!G1361="","",Raw!G1361)</f>
        <v>6:L01355|6:T00678|10:2026-03-01|3:P-H|4:Home|4:sale|6:103.88</v>
      </c>
      <c r="Q1361" s="1">
        <f>1</f>
        <v>1</v>
      </c>
      <c r="R1361" s="1" t="b">
        <f>FALSE</f>
        <v>0</v>
      </c>
      <c r="S1361" s="1">
        <f>1</f>
        <v>1</v>
      </c>
      <c r="T1361" s="1" t="str">
        <f>IF(AND(Raw!A1361="",Raw!B1361="",Raw!C1361="",Raw!D1361="",Raw!E1361="",Raw!F1361="",Raw!G1361=""),"UNUSED",IF(A1361="","missing line ID",IF(B1361="","missing transaction ID",IF(G1361="",IF(C1361="","missing date","invalid date"),IF(I1361="","unknown product",IF(J1361="","conflicting category",IF(NOT(OR(EXACT(K1361,"sale"),EXACT(K1361,"refund"))),"unknown event",IF(OR(N1361="",NOT(O1361)),"invalid amount",IF(OR(AND(K1361="sale",N1361&lt;=0),AND(K1361="refund",N1361&gt;=0)),"invalid sign","")))))))))</f>
        <v/>
      </c>
      <c r="U1361" s="1" t="str">
        <f t="shared" si="173"/>
        <v>INCLUDED</v>
      </c>
      <c r="V1361" s="1" t="str">
        <f t="shared" si="174"/>
        <v>2026-03</v>
      </c>
      <c r="W1361" s="1">
        <f>IF(AND(U1361="INCLUDED",X1361&gt;0,EXACT(A1361,'AI output'!A1361)),1,0)</f>
        <v>1</v>
      </c>
      <c r="X1361" s="1">
        <f>1361</f>
        <v>1361</v>
      </c>
      <c r="Y1361" s="1">
        <f>IF(AND(U1361="INCLUDED",W1361=1),--(NOT(EXACT(A1361,'AI output'!A1361)))+--(NOT(EXACT(B1361,'AI output'!B1361)))+--(NOT(EXACT(TEXT(G1361,"yyyy-mm-dd"),'AI output'!C1361)))+--(NOT(EXACT(H1361,'AI output'!D1361)))+--(NOT(EXACT(J1361,'AI output'!E1361)))+--(NOT(EXACT(K1361,'AI output'!F1361)))+--(N1361&lt;&gt;'AI output'!L1361)+--(NOT('AI output'!M1361)),0)</f>
        <v>0</v>
      </c>
      <c r="Z1361" s="1">
        <f t="shared" si="175"/>
        <v>0</v>
      </c>
      <c r="AA1361" s="1">
        <f>--EXACT(A1361,"L01355")</f>
        <v>1</v>
      </c>
    </row>
    <row r="1362" spans="1:27" ht="18.95" customHeight="1">
      <c r="A1362" s="1" t="str">
        <f>IF(Raw!A1362="","",Raw!A1362)</f>
        <v>L01356</v>
      </c>
      <c r="B1362" s="1" t="str">
        <f>IF(Raw!B1362="","",Raw!B1362)</f>
        <v>T00678</v>
      </c>
      <c r="C1362" s="1" t="str">
        <f>IF(Raw!C1362="","",Raw!C1362)</f>
        <v>2026-03-01</v>
      </c>
      <c r="D1362" s="1">
        <f t="shared" si="168"/>
        <v>2026</v>
      </c>
      <c r="E1362" s="1">
        <f>IFERROR(IF(AND(LEN(C1362)=10,MID(C1362,5,1)="-",MID(C1362,8,1)="-"),VALUE(MID(C1362,6,2)),IF(AND(LEN(C1362)=11,MID(C1362,3,1)="-",MID(C1362,7,1)="-"),MATCH(UPPER(MID(C1362,4,3)),Guide!$D$7:$D$18,0),0)),0)</f>
        <v>3</v>
      </c>
      <c r="F1362" s="1">
        <f t="shared" si="169"/>
        <v>1</v>
      </c>
      <c r="G1362" s="9">
        <f t="shared" si="170"/>
        <v>46082</v>
      </c>
      <c r="H1362" s="1" t="str">
        <f>IF(Raw!D1362="","",Raw!D1362)</f>
        <v>P-O</v>
      </c>
      <c r="I1362" s="1" t="str">
        <f>IFERROR(IF(EXACT(H1362,INDEX(Guide!$A$7:$A$9,MATCH(SUBSTITUTE(SUBSTITUTE(SUBSTITUTE(H1362,"~","~~"),"*","~*"),"?","~?"),Guide!$A$7:$A$9,0))),INDEX(Guide!$B$7:$B$9,MATCH(SUBSTITUTE(SUBSTITUTE(SUBSTITUTE(H1362,"~","~~"),"*","~*"),"?","~?"),Guide!$A$7:$A$9,0)),""),"")</f>
        <v>Office</v>
      </c>
      <c r="J1362" s="1" t="str">
        <f>IF(TRIM(Raw!E1362)="",I1362,IF(UPPER(TRIM(Raw!E1362))=UPPER(I1362),I1362,""))</f>
        <v>Office</v>
      </c>
      <c r="K1362" s="1" t="str">
        <f>IF(Raw!F1362="","",Raw!F1362)</f>
        <v>sale</v>
      </c>
      <c r="L1362" s="1" t="str">
        <f>IF(LEFT(TRIM(Raw!G1362),2)="-$","-"&amp;MID(TRIM(Raw!G1362),3,99),IF(LEFT(TRIM(Raw!G1362),1)="$",MID(TRIM(Raw!G1362),2,99),TRIM(Raw!G1362)))</f>
        <v>26.34</v>
      </c>
      <c r="M1362" s="1">
        <f t="shared" si="171"/>
        <v>26.34</v>
      </c>
      <c r="N1362" s="10">
        <f t="shared" si="172"/>
        <v>2634</v>
      </c>
      <c r="O1362" s="1" t="b">
        <f>IFERROR(IF(ISNUMBER(Raw!G1362),TRUE,OR(EXACT(L1362,TEXT(M1362,"0.00")),EXACT(L1362,TEXT(M1362,"#,##0.00")))),FALSE)</f>
        <v>1</v>
      </c>
      <c r="P1362" s="1" t="str">
        <f>LEN(IF(Raw!A1362="","",Raw!A1362))&amp;":"&amp;IF(Raw!A1362="","",Raw!A1362)&amp;"|"&amp;LEN(IF(Raw!B1362="","",Raw!B1362))&amp;":"&amp;IF(Raw!B1362="","",Raw!B1362)&amp;"|"&amp;LEN(IF(Raw!C1362="","",Raw!C1362))&amp;":"&amp;IF(Raw!C1362="","",Raw!C1362)&amp;"|"&amp;LEN(IF(Raw!D1362="","",Raw!D1362))&amp;":"&amp;IF(Raw!D1362="","",Raw!D1362)&amp;"|"&amp;LEN(IF(Raw!E1362="","",Raw!E1362))&amp;":"&amp;IF(Raw!E1362="","",Raw!E1362)&amp;"|"&amp;LEN(IF(Raw!F1362="","",Raw!F1362))&amp;":"&amp;IF(Raw!F1362="","",Raw!F1362)&amp;"|"&amp;LEN(IF(Raw!G1362="","",Raw!G1362))&amp;":"&amp;IF(Raw!G1362="","",Raw!G1362)</f>
        <v>6:L01356|6:T00678|10:2026-03-01|3:P-O|6:Office|4:sale|5:26.34</v>
      </c>
      <c r="Q1362" s="1">
        <f>1</f>
        <v>1</v>
      </c>
      <c r="R1362" s="1" t="b">
        <f>FALSE</f>
        <v>0</v>
      </c>
      <c r="S1362" s="1">
        <f>1</f>
        <v>1</v>
      </c>
      <c r="T1362" s="1" t="str">
        <f>IF(AND(Raw!A1362="",Raw!B1362="",Raw!C1362="",Raw!D1362="",Raw!E1362="",Raw!F1362="",Raw!G1362=""),"UNUSED",IF(A1362="","missing line ID",IF(B1362="","missing transaction ID",IF(G1362="",IF(C1362="","missing date","invalid date"),IF(I1362="","unknown product",IF(J1362="","conflicting category",IF(NOT(OR(EXACT(K1362,"sale"),EXACT(K1362,"refund"))),"unknown event",IF(OR(N1362="",NOT(O1362)),"invalid amount",IF(OR(AND(K1362="sale",N1362&lt;=0),AND(K1362="refund",N1362&gt;=0)),"invalid sign","")))))))))</f>
        <v/>
      </c>
      <c r="U1362" s="1" t="str">
        <f t="shared" si="173"/>
        <v>INCLUDED</v>
      </c>
      <c r="V1362" s="1" t="str">
        <f t="shared" si="174"/>
        <v>2026-03</v>
      </c>
      <c r="W1362" s="1">
        <f>IF(AND(U1362="INCLUDED",X1362&gt;0,EXACT(A1362,'AI output'!A1362)),1,0)</f>
        <v>1</v>
      </c>
      <c r="X1362" s="1">
        <f>1362</f>
        <v>1362</v>
      </c>
      <c r="Y1362" s="1">
        <f>IF(AND(U1362="INCLUDED",W1362=1),--(NOT(EXACT(A1362,'AI output'!A1362)))+--(NOT(EXACT(B1362,'AI output'!B1362)))+--(NOT(EXACT(TEXT(G1362,"yyyy-mm-dd"),'AI output'!C1362)))+--(NOT(EXACT(H1362,'AI output'!D1362)))+--(NOT(EXACT(J1362,'AI output'!E1362)))+--(NOT(EXACT(K1362,'AI output'!F1362)))+--(N1362&lt;&gt;'AI output'!L1362)+--(NOT('AI output'!M1362)),0)</f>
        <v>0</v>
      </c>
      <c r="Z1362" s="1">
        <f t="shared" si="175"/>
        <v>0</v>
      </c>
      <c r="AA1362" s="1">
        <f>--EXACT(A1362,"L01356")</f>
        <v>1</v>
      </c>
    </row>
    <row r="1363" spans="1:27" ht="18.95" customHeight="1">
      <c r="A1363" s="1" t="str">
        <f>IF(Raw!A1363="","",Raw!A1363)</f>
        <v>L01357</v>
      </c>
      <c r="B1363" s="1" t="str">
        <f>IF(Raw!B1363="","",Raw!B1363)</f>
        <v>T00679</v>
      </c>
      <c r="C1363" s="1" t="str">
        <f>IF(Raw!C1363="","",Raw!C1363)</f>
        <v>2026-03-08</v>
      </c>
      <c r="D1363" s="1">
        <f t="shared" si="168"/>
        <v>2026</v>
      </c>
      <c r="E1363" s="1">
        <f>IFERROR(IF(AND(LEN(C1363)=10,MID(C1363,5,1)="-",MID(C1363,8,1)="-"),VALUE(MID(C1363,6,2)),IF(AND(LEN(C1363)=11,MID(C1363,3,1)="-",MID(C1363,7,1)="-"),MATCH(UPPER(MID(C1363,4,3)),Guide!$D$7:$D$18,0),0)),0)</f>
        <v>3</v>
      </c>
      <c r="F1363" s="1">
        <f t="shared" si="169"/>
        <v>8</v>
      </c>
      <c r="G1363" s="9">
        <f t="shared" si="170"/>
        <v>46089</v>
      </c>
      <c r="H1363" s="1" t="str">
        <f>IF(Raw!D1363="","",Raw!D1363)</f>
        <v>P-A</v>
      </c>
      <c r="I1363" s="1" t="str">
        <f>IFERROR(IF(EXACT(H1363,INDEX(Guide!$A$7:$A$9,MATCH(SUBSTITUTE(SUBSTITUTE(SUBSTITUTE(H1363,"~","~~"),"*","~*"),"?","~?"),Guide!$A$7:$A$9,0))),INDEX(Guide!$B$7:$B$9,MATCH(SUBSTITUTE(SUBSTITUTE(SUBSTITUTE(H1363,"~","~~"),"*","~*"),"?","~?"),Guide!$A$7:$A$9,0)),""),"")</f>
        <v>Accessories</v>
      </c>
      <c r="J1363" s="1" t="str">
        <f>IF(TRIM(Raw!E1363)="",I1363,IF(UPPER(TRIM(Raw!E1363))=UPPER(I1363),I1363,""))</f>
        <v>Accessories</v>
      </c>
      <c r="K1363" s="1" t="str">
        <f>IF(Raw!F1363="","",Raw!F1363)</f>
        <v>sale</v>
      </c>
      <c r="L1363" s="1" t="str">
        <f>IF(LEFT(TRIM(Raw!G1363),2)="-$","-"&amp;MID(TRIM(Raw!G1363),3,99),IF(LEFT(TRIM(Raw!G1363),1)="$",MID(TRIM(Raw!G1363),2,99),TRIM(Raw!G1363)))</f>
        <v>80.13</v>
      </c>
      <c r="M1363" s="1">
        <f t="shared" si="171"/>
        <v>80.13</v>
      </c>
      <c r="N1363" s="10">
        <f t="shared" si="172"/>
        <v>8013</v>
      </c>
      <c r="O1363" s="1" t="b">
        <f>IFERROR(IF(ISNUMBER(Raw!G1363),TRUE,OR(EXACT(L1363,TEXT(M1363,"0.00")),EXACT(L1363,TEXT(M1363,"#,##0.00")))),FALSE)</f>
        <v>1</v>
      </c>
      <c r="P1363" s="1" t="str">
        <f>LEN(IF(Raw!A1363="","",Raw!A1363))&amp;":"&amp;IF(Raw!A1363="","",Raw!A1363)&amp;"|"&amp;LEN(IF(Raw!B1363="","",Raw!B1363))&amp;":"&amp;IF(Raw!B1363="","",Raw!B1363)&amp;"|"&amp;LEN(IF(Raw!C1363="","",Raw!C1363))&amp;":"&amp;IF(Raw!C1363="","",Raw!C1363)&amp;"|"&amp;LEN(IF(Raw!D1363="","",Raw!D1363))&amp;":"&amp;IF(Raw!D1363="","",Raw!D1363)&amp;"|"&amp;LEN(IF(Raw!E1363="","",Raw!E1363))&amp;":"&amp;IF(Raw!E1363="","",Raw!E1363)&amp;"|"&amp;LEN(IF(Raw!F1363="","",Raw!F1363))&amp;":"&amp;IF(Raw!F1363="","",Raw!F1363)&amp;"|"&amp;LEN(IF(Raw!G1363="","",Raw!G1363))&amp;":"&amp;IF(Raw!G1363="","",Raw!G1363)</f>
        <v>6:L01357|6:T00679|10:2026-03-08|3:P-A|11:Accessories|4:sale|5:80.13</v>
      </c>
      <c r="Q1363" s="1">
        <f>1</f>
        <v>1</v>
      </c>
      <c r="R1363" s="1" t="b">
        <f>FALSE</f>
        <v>0</v>
      </c>
      <c r="S1363" s="1">
        <f>1</f>
        <v>1</v>
      </c>
      <c r="T1363" s="1" t="str">
        <f>IF(AND(Raw!A1363="",Raw!B1363="",Raw!C1363="",Raw!D1363="",Raw!E1363="",Raw!F1363="",Raw!G1363=""),"UNUSED",IF(A1363="","missing line ID",IF(B1363="","missing transaction ID",IF(G1363="",IF(C1363="","missing date","invalid date"),IF(I1363="","unknown product",IF(J1363="","conflicting category",IF(NOT(OR(EXACT(K1363,"sale"),EXACT(K1363,"refund"))),"unknown event",IF(OR(N1363="",NOT(O1363)),"invalid amount",IF(OR(AND(K1363="sale",N1363&lt;=0),AND(K1363="refund",N1363&gt;=0)),"invalid sign","")))))))))</f>
        <v/>
      </c>
      <c r="U1363" s="1" t="str">
        <f t="shared" si="173"/>
        <v>INCLUDED</v>
      </c>
      <c r="V1363" s="1" t="str">
        <f t="shared" si="174"/>
        <v>2026-03</v>
      </c>
      <c r="W1363" s="1">
        <f>IF(AND(U1363="INCLUDED",X1363&gt;0,EXACT(A1363,'AI output'!A1363)),1,0)</f>
        <v>1</v>
      </c>
      <c r="X1363" s="1">
        <f>1363</f>
        <v>1363</v>
      </c>
      <c r="Y1363" s="1">
        <f>IF(AND(U1363="INCLUDED",W1363=1),--(NOT(EXACT(A1363,'AI output'!A1363)))+--(NOT(EXACT(B1363,'AI output'!B1363)))+--(NOT(EXACT(TEXT(G1363,"yyyy-mm-dd"),'AI output'!C1363)))+--(NOT(EXACT(H1363,'AI output'!D1363)))+--(NOT(EXACT(J1363,'AI output'!E1363)))+--(NOT(EXACT(K1363,'AI output'!F1363)))+--(N1363&lt;&gt;'AI output'!L1363)+--(NOT('AI output'!M1363)),0)</f>
        <v>0</v>
      </c>
      <c r="Z1363" s="1">
        <f t="shared" si="175"/>
        <v>0</v>
      </c>
      <c r="AA1363" s="1">
        <f>--EXACT(A1363,"L01357")</f>
        <v>1</v>
      </c>
    </row>
    <row r="1364" spans="1:27" ht="18.95" customHeight="1">
      <c r="A1364" s="1" t="str">
        <f>IF(Raw!A1364="","",Raw!A1364)</f>
        <v>L01358</v>
      </c>
      <c r="B1364" s="1" t="str">
        <f>IF(Raw!B1364="","",Raw!B1364)</f>
        <v>T00679</v>
      </c>
      <c r="C1364" s="1" t="str">
        <f>IF(Raw!C1364="","",Raw!C1364)</f>
        <v>2026-03-08</v>
      </c>
      <c r="D1364" s="1">
        <f t="shared" si="168"/>
        <v>2026</v>
      </c>
      <c r="E1364" s="1">
        <f>IFERROR(IF(AND(LEN(C1364)=10,MID(C1364,5,1)="-",MID(C1364,8,1)="-"),VALUE(MID(C1364,6,2)),IF(AND(LEN(C1364)=11,MID(C1364,3,1)="-",MID(C1364,7,1)="-"),MATCH(UPPER(MID(C1364,4,3)),Guide!$D$7:$D$18,0),0)),0)</f>
        <v>3</v>
      </c>
      <c r="F1364" s="1">
        <f t="shared" si="169"/>
        <v>8</v>
      </c>
      <c r="G1364" s="9">
        <f t="shared" si="170"/>
        <v>46089</v>
      </c>
      <c r="H1364" s="1" t="str">
        <f>IF(Raw!D1364="","",Raw!D1364)</f>
        <v>P-H</v>
      </c>
      <c r="I1364" s="1" t="str">
        <f>IFERROR(IF(EXACT(H1364,INDEX(Guide!$A$7:$A$9,MATCH(SUBSTITUTE(SUBSTITUTE(SUBSTITUTE(H1364,"~","~~"),"*","~*"),"?","~?"),Guide!$A$7:$A$9,0))),INDEX(Guide!$B$7:$B$9,MATCH(SUBSTITUTE(SUBSTITUTE(SUBSTITUTE(H1364,"~","~~"),"*","~*"),"?","~?"),Guide!$A$7:$A$9,0)),""),"")</f>
        <v>Home</v>
      </c>
      <c r="J1364" s="1" t="str">
        <f>IF(TRIM(Raw!E1364)="",I1364,IF(UPPER(TRIM(Raw!E1364))=UPPER(I1364),I1364,""))</f>
        <v>Home</v>
      </c>
      <c r="K1364" s="1" t="str">
        <f>IF(Raw!F1364="","",Raw!F1364)</f>
        <v>refund</v>
      </c>
      <c r="L1364" s="1" t="str">
        <f>IF(LEFT(TRIM(Raw!G1364),2)="-$","-"&amp;MID(TRIM(Raw!G1364),3,99),IF(LEFT(TRIM(Raw!G1364),1)="$",MID(TRIM(Raw!G1364),2,99),TRIM(Raw!G1364)))</f>
        <v>-135.40</v>
      </c>
      <c r="M1364" s="1">
        <f t="shared" si="171"/>
        <v>-135.4</v>
      </c>
      <c r="N1364" s="10">
        <f t="shared" si="172"/>
        <v>-13540</v>
      </c>
      <c r="O1364" s="1" t="b">
        <f>IFERROR(IF(ISNUMBER(Raw!G1364),TRUE,OR(EXACT(L1364,TEXT(M1364,"0.00")),EXACT(L1364,TEXT(M1364,"#,##0.00")))),FALSE)</f>
        <v>1</v>
      </c>
      <c r="P1364" s="1" t="str">
        <f>LEN(IF(Raw!A1364="","",Raw!A1364))&amp;":"&amp;IF(Raw!A1364="","",Raw!A1364)&amp;"|"&amp;LEN(IF(Raw!B1364="","",Raw!B1364))&amp;":"&amp;IF(Raw!B1364="","",Raw!B1364)&amp;"|"&amp;LEN(IF(Raw!C1364="","",Raw!C1364))&amp;":"&amp;IF(Raw!C1364="","",Raw!C1364)&amp;"|"&amp;LEN(IF(Raw!D1364="","",Raw!D1364))&amp;":"&amp;IF(Raw!D1364="","",Raw!D1364)&amp;"|"&amp;LEN(IF(Raw!E1364="","",Raw!E1364))&amp;":"&amp;IF(Raw!E1364="","",Raw!E1364)&amp;"|"&amp;LEN(IF(Raw!F1364="","",Raw!F1364))&amp;":"&amp;IF(Raw!F1364="","",Raw!F1364)&amp;"|"&amp;LEN(IF(Raw!G1364="","",Raw!G1364))&amp;":"&amp;IF(Raw!G1364="","",Raw!G1364)</f>
        <v>6:L01358|6:T00679|10:2026-03-08|3:P-H|4:Home|6:refund|7:-135.40</v>
      </c>
      <c r="Q1364" s="1">
        <f>1</f>
        <v>1</v>
      </c>
      <c r="R1364" s="1" t="b">
        <f>FALSE</f>
        <v>0</v>
      </c>
      <c r="S1364" s="1">
        <f>1</f>
        <v>1</v>
      </c>
      <c r="T1364" s="1" t="str">
        <f>IF(AND(Raw!A1364="",Raw!B1364="",Raw!C1364="",Raw!D1364="",Raw!E1364="",Raw!F1364="",Raw!G1364=""),"UNUSED",IF(A1364="","missing line ID",IF(B1364="","missing transaction ID",IF(G1364="",IF(C1364="","missing date","invalid date"),IF(I1364="","unknown product",IF(J1364="","conflicting category",IF(NOT(OR(EXACT(K1364,"sale"),EXACT(K1364,"refund"))),"unknown event",IF(OR(N1364="",NOT(O1364)),"invalid amount",IF(OR(AND(K1364="sale",N1364&lt;=0),AND(K1364="refund",N1364&gt;=0)),"invalid sign","")))))))))</f>
        <v/>
      </c>
      <c r="U1364" s="1" t="str">
        <f t="shared" si="173"/>
        <v>INCLUDED</v>
      </c>
      <c r="V1364" s="1" t="str">
        <f t="shared" si="174"/>
        <v>2026-03</v>
      </c>
      <c r="W1364" s="1">
        <f>IF(AND(U1364="INCLUDED",X1364&gt;0,EXACT(A1364,'AI output'!A1364)),1,0)</f>
        <v>1</v>
      </c>
      <c r="X1364" s="1">
        <f>1364</f>
        <v>1364</v>
      </c>
      <c r="Y1364" s="1">
        <f>IF(AND(U1364="INCLUDED",W1364=1),--(NOT(EXACT(A1364,'AI output'!A1364)))+--(NOT(EXACT(B1364,'AI output'!B1364)))+--(NOT(EXACT(TEXT(G1364,"yyyy-mm-dd"),'AI output'!C1364)))+--(NOT(EXACT(H1364,'AI output'!D1364)))+--(NOT(EXACT(J1364,'AI output'!E1364)))+--(NOT(EXACT(K1364,'AI output'!F1364)))+--(N1364&lt;&gt;'AI output'!L1364)+--(NOT('AI output'!M1364)),0)</f>
        <v>0</v>
      </c>
      <c r="Z1364" s="1">
        <f t="shared" si="175"/>
        <v>0</v>
      </c>
      <c r="AA1364" s="1">
        <f>--EXACT(A1364,"L01358")</f>
        <v>1</v>
      </c>
    </row>
    <row r="1365" spans="1:27" ht="18.95" customHeight="1">
      <c r="A1365" s="1" t="str">
        <f>IF(Raw!A1365="","",Raw!A1365)</f>
        <v>L01359</v>
      </c>
      <c r="B1365" s="1" t="str">
        <f>IF(Raw!B1365="","",Raw!B1365)</f>
        <v>T00680</v>
      </c>
      <c r="C1365" s="1" t="str">
        <f>IF(Raw!C1365="","",Raw!C1365)</f>
        <v>2026-03-15</v>
      </c>
      <c r="D1365" s="1">
        <f t="shared" si="168"/>
        <v>2026</v>
      </c>
      <c r="E1365" s="1">
        <f>IFERROR(IF(AND(LEN(C1365)=10,MID(C1365,5,1)="-",MID(C1365,8,1)="-"),VALUE(MID(C1365,6,2)),IF(AND(LEN(C1365)=11,MID(C1365,3,1)="-",MID(C1365,7,1)="-"),MATCH(UPPER(MID(C1365,4,3)),Guide!$D$7:$D$18,0),0)),0)</f>
        <v>3</v>
      </c>
      <c r="F1365" s="1">
        <f t="shared" si="169"/>
        <v>15</v>
      </c>
      <c r="G1365" s="9">
        <f t="shared" si="170"/>
        <v>46096</v>
      </c>
      <c r="H1365" s="1" t="str">
        <f>IF(Raw!D1365="","",Raw!D1365)</f>
        <v>P-O</v>
      </c>
      <c r="I1365" s="1" t="str">
        <f>IFERROR(IF(EXACT(H1365,INDEX(Guide!$A$7:$A$9,MATCH(SUBSTITUTE(SUBSTITUTE(SUBSTITUTE(H1365,"~","~~"),"*","~*"),"?","~?"),Guide!$A$7:$A$9,0))),INDEX(Guide!$B$7:$B$9,MATCH(SUBSTITUTE(SUBSTITUTE(SUBSTITUTE(H1365,"~","~~"),"*","~*"),"?","~?"),Guide!$A$7:$A$9,0)),""),"")</f>
        <v>Office</v>
      </c>
      <c r="J1365" s="1" t="str">
        <f>IF(TRIM(Raw!E1365)="",I1365,IF(UPPER(TRIM(Raw!E1365))=UPPER(I1365),I1365,""))</f>
        <v>Office</v>
      </c>
      <c r="K1365" s="1" t="str">
        <f>IF(Raw!F1365="","",Raw!F1365)</f>
        <v>sale</v>
      </c>
      <c r="L1365" s="1" t="str">
        <f>IF(LEFT(TRIM(Raw!G1365),2)="-$","-"&amp;MID(TRIM(Raw!G1365),3,99),IF(LEFT(TRIM(Raw!G1365),1)="$",MID(TRIM(Raw!G1365),2,99),TRIM(Raw!G1365)))</f>
        <v>54.90</v>
      </c>
      <c r="M1365" s="1">
        <f t="shared" si="171"/>
        <v>54.9</v>
      </c>
      <c r="N1365" s="10">
        <f t="shared" si="172"/>
        <v>5490</v>
      </c>
      <c r="O1365" s="1" t="b">
        <f>IFERROR(IF(ISNUMBER(Raw!G1365),TRUE,OR(EXACT(L1365,TEXT(M1365,"0.00")),EXACT(L1365,TEXT(M1365,"#,##0.00")))),FALSE)</f>
        <v>1</v>
      </c>
      <c r="P1365" s="1" t="str">
        <f>LEN(IF(Raw!A1365="","",Raw!A1365))&amp;":"&amp;IF(Raw!A1365="","",Raw!A1365)&amp;"|"&amp;LEN(IF(Raw!B1365="","",Raw!B1365))&amp;":"&amp;IF(Raw!B1365="","",Raw!B1365)&amp;"|"&amp;LEN(IF(Raw!C1365="","",Raw!C1365))&amp;":"&amp;IF(Raw!C1365="","",Raw!C1365)&amp;"|"&amp;LEN(IF(Raw!D1365="","",Raw!D1365))&amp;":"&amp;IF(Raw!D1365="","",Raw!D1365)&amp;"|"&amp;LEN(IF(Raw!E1365="","",Raw!E1365))&amp;":"&amp;IF(Raw!E1365="","",Raw!E1365)&amp;"|"&amp;LEN(IF(Raw!F1365="","",Raw!F1365))&amp;":"&amp;IF(Raw!F1365="","",Raw!F1365)&amp;"|"&amp;LEN(IF(Raw!G1365="","",Raw!G1365))&amp;":"&amp;IF(Raw!G1365="","",Raw!G1365)</f>
        <v>6:L01359|6:T00680|10:2026-03-15|3:P-O|6:Office|4:sale|5:54.90</v>
      </c>
      <c r="Q1365" s="1">
        <f>1</f>
        <v>1</v>
      </c>
      <c r="R1365" s="1" t="b">
        <f>FALSE</f>
        <v>0</v>
      </c>
      <c r="S1365" s="1">
        <f>1</f>
        <v>1</v>
      </c>
      <c r="T1365" s="1" t="str">
        <f>IF(AND(Raw!A1365="",Raw!B1365="",Raw!C1365="",Raw!D1365="",Raw!E1365="",Raw!F1365="",Raw!G1365=""),"UNUSED",IF(A1365="","missing line ID",IF(B1365="","missing transaction ID",IF(G1365="",IF(C1365="","missing date","invalid date"),IF(I1365="","unknown product",IF(J1365="","conflicting category",IF(NOT(OR(EXACT(K1365,"sale"),EXACT(K1365,"refund"))),"unknown event",IF(OR(N1365="",NOT(O1365)),"invalid amount",IF(OR(AND(K1365="sale",N1365&lt;=0),AND(K1365="refund",N1365&gt;=0)),"invalid sign","")))))))))</f>
        <v/>
      </c>
      <c r="U1365" s="1" t="str">
        <f t="shared" si="173"/>
        <v>INCLUDED</v>
      </c>
      <c r="V1365" s="1" t="str">
        <f t="shared" si="174"/>
        <v>2026-03</v>
      </c>
      <c r="W1365" s="1">
        <f>IF(AND(U1365="INCLUDED",X1365&gt;0,EXACT(A1365,'AI output'!A1365)),1,0)</f>
        <v>1</v>
      </c>
      <c r="X1365" s="1">
        <f>1365</f>
        <v>1365</v>
      </c>
      <c r="Y1365" s="1">
        <f>IF(AND(U1365="INCLUDED",W1365=1),--(NOT(EXACT(A1365,'AI output'!A1365)))+--(NOT(EXACT(B1365,'AI output'!B1365)))+--(NOT(EXACT(TEXT(G1365,"yyyy-mm-dd"),'AI output'!C1365)))+--(NOT(EXACT(H1365,'AI output'!D1365)))+--(NOT(EXACT(J1365,'AI output'!E1365)))+--(NOT(EXACT(K1365,'AI output'!F1365)))+--(N1365&lt;&gt;'AI output'!L1365)+--(NOT('AI output'!M1365)),0)</f>
        <v>0</v>
      </c>
      <c r="Z1365" s="1">
        <f t="shared" si="175"/>
        <v>0</v>
      </c>
      <c r="AA1365" s="1">
        <f>--EXACT(A1365,"L01359")</f>
        <v>1</v>
      </c>
    </row>
    <row r="1366" spans="1:27" ht="18.95" customHeight="1">
      <c r="A1366" s="1" t="str">
        <f>IF(Raw!A1366="","",Raw!A1366)</f>
        <v>L01360</v>
      </c>
      <c r="B1366" s="1" t="str">
        <f>IF(Raw!B1366="","",Raw!B1366)</f>
        <v>T00680</v>
      </c>
      <c r="C1366" s="1" t="str">
        <f>IF(Raw!C1366="","",Raw!C1366)</f>
        <v>2026-03-15</v>
      </c>
      <c r="D1366" s="1">
        <f t="shared" si="168"/>
        <v>2026</v>
      </c>
      <c r="E1366" s="1">
        <f>IFERROR(IF(AND(LEN(C1366)=10,MID(C1366,5,1)="-",MID(C1366,8,1)="-"),VALUE(MID(C1366,6,2)),IF(AND(LEN(C1366)=11,MID(C1366,3,1)="-",MID(C1366,7,1)="-"),MATCH(UPPER(MID(C1366,4,3)),Guide!$D$7:$D$18,0),0)),0)</f>
        <v>3</v>
      </c>
      <c r="F1366" s="1">
        <f t="shared" si="169"/>
        <v>15</v>
      </c>
      <c r="G1366" s="9">
        <f t="shared" si="170"/>
        <v>46096</v>
      </c>
      <c r="H1366" s="1" t="str">
        <f>IF(Raw!D1366="","",Raw!D1366)</f>
        <v>P-A</v>
      </c>
      <c r="I1366" s="1" t="str">
        <f>IFERROR(IF(EXACT(H1366,INDEX(Guide!$A$7:$A$9,MATCH(SUBSTITUTE(SUBSTITUTE(SUBSTITUTE(H1366,"~","~~"),"*","~*"),"?","~?"),Guide!$A$7:$A$9,0))),INDEX(Guide!$B$7:$B$9,MATCH(SUBSTITUTE(SUBSTITUTE(SUBSTITUTE(H1366,"~","~~"),"*","~*"),"?","~?"),Guide!$A$7:$A$9,0)),""),"")</f>
        <v>Accessories</v>
      </c>
      <c r="J1366" s="1" t="str">
        <f>IF(TRIM(Raw!E1366)="",I1366,IF(UPPER(TRIM(Raw!E1366))=UPPER(I1366),I1366,""))</f>
        <v>Accessories</v>
      </c>
      <c r="K1366" s="1" t="str">
        <f>IF(Raw!F1366="","",Raw!F1366)</f>
        <v>sale</v>
      </c>
      <c r="L1366" s="1" t="str">
        <f>IF(LEFT(TRIM(Raw!G1366),2)="-$","-"&amp;MID(TRIM(Raw!G1366),3,99),IF(LEFT(TRIM(Raw!G1366),1)="$",MID(TRIM(Raw!G1366),2,99),TRIM(Raw!G1366)))</f>
        <v>111.28</v>
      </c>
      <c r="M1366" s="1">
        <f t="shared" si="171"/>
        <v>111.28</v>
      </c>
      <c r="N1366" s="10">
        <f t="shared" si="172"/>
        <v>11128</v>
      </c>
      <c r="O1366" s="1" t="b">
        <f>IFERROR(IF(ISNUMBER(Raw!G1366),TRUE,OR(EXACT(L1366,TEXT(M1366,"0.00")),EXACT(L1366,TEXT(M1366,"#,##0.00")))),FALSE)</f>
        <v>1</v>
      </c>
      <c r="P1366" s="1" t="str">
        <f>LEN(IF(Raw!A1366="","",Raw!A1366))&amp;":"&amp;IF(Raw!A1366="","",Raw!A1366)&amp;"|"&amp;LEN(IF(Raw!B1366="","",Raw!B1366))&amp;":"&amp;IF(Raw!B1366="","",Raw!B1366)&amp;"|"&amp;LEN(IF(Raw!C1366="","",Raw!C1366))&amp;":"&amp;IF(Raw!C1366="","",Raw!C1366)&amp;"|"&amp;LEN(IF(Raw!D1366="","",Raw!D1366))&amp;":"&amp;IF(Raw!D1366="","",Raw!D1366)&amp;"|"&amp;LEN(IF(Raw!E1366="","",Raw!E1366))&amp;":"&amp;IF(Raw!E1366="","",Raw!E1366)&amp;"|"&amp;LEN(IF(Raw!F1366="","",Raw!F1366))&amp;":"&amp;IF(Raw!F1366="","",Raw!F1366)&amp;"|"&amp;LEN(IF(Raw!G1366="","",Raw!G1366))&amp;":"&amp;IF(Raw!G1366="","",Raw!G1366)</f>
        <v>6:L01360|6:T00680|10:2026-03-15|3:P-A|11:Accessories|4:sale|6:111.28</v>
      </c>
      <c r="Q1366" s="1">
        <f>1</f>
        <v>1</v>
      </c>
      <c r="R1366" s="1" t="b">
        <f>FALSE</f>
        <v>0</v>
      </c>
      <c r="S1366" s="1">
        <f>1</f>
        <v>1</v>
      </c>
      <c r="T1366" s="1" t="str">
        <f>IF(AND(Raw!A1366="",Raw!B1366="",Raw!C1366="",Raw!D1366="",Raw!E1366="",Raw!F1366="",Raw!G1366=""),"UNUSED",IF(A1366="","missing line ID",IF(B1366="","missing transaction ID",IF(G1366="",IF(C1366="","missing date","invalid date"),IF(I1366="","unknown product",IF(J1366="","conflicting category",IF(NOT(OR(EXACT(K1366,"sale"),EXACT(K1366,"refund"))),"unknown event",IF(OR(N1366="",NOT(O1366)),"invalid amount",IF(OR(AND(K1366="sale",N1366&lt;=0),AND(K1366="refund",N1366&gt;=0)),"invalid sign","")))))))))</f>
        <v/>
      </c>
      <c r="U1366" s="1" t="str">
        <f t="shared" si="173"/>
        <v>INCLUDED</v>
      </c>
      <c r="V1366" s="1" t="str">
        <f t="shared" si="174"/>
        <v>2026-03</v>
      </c>
      <c r="W1366" s="1">
        <f>IF(AND(U1366="INCLUDED",X1366&gt;0,EXACT(A1366,'AI output'!A1366)),1,0)</f>
        <v>1</v>
      </c>
      <c r="X1366" s="1">
        <f>1366</f>
        <v>1366</v>
      </c>
      <c r="Y1366" s="1">
        <f>IF(AND(U1366="INCLUDED",W1366=1),--(NOT(EXACT(A1366,'AI output'!A1366)))+--(NOT(EXACT(B1366,'AI output'!B1366)))+--(NOT(EXACT(TEXT(G1366,"yyyy-mm-dd"),'AI output'!C1366)))+--(NOT(EXACT(H1366,'AI output'!D1366)))+--(NOT(EXACT(J1366,'AI output'!E1366)))+--(NOT(EXACT(K1366,'AI output'!F1366)))+--(N1366&lt;&gt;'AI output'!L1366)+--(NOT('AI output'!M1366)),0)</f>
        <v>0</v>
      </c>
      <c r="Z1366" s="1">
        <f t="shared" si="175"/>
        <v>0</v>
      </c>
      <c r="AA1366" s="1">
        <f>--EXACT(A1366,"L01360")</f>
        <v>1</v>
      </c>
    </row>
    <row r="1367" spans="1:27" ht="18.95" customHeight="1">
      <c r="A1367" s="1" t="str">
        <f>IF(Raw!A1367="","",Raw!A1367)</f>
        <v>L01361</v>
      </c>
      <c r="B1367" s="1" t="str">
        <f>IF(Raw!B1367="","",Raw!B1367)</f>
        <v>T00681</v>
      </c>
      <c r="C1367" s="1" t="str">
        <f>IF(Raw!C1367="","",Raw!C1367)</f>
        <v>2026-03-22</v>
      </c>
      <c r="D1367" s="1">
        <f t="shared" si="168"/>
        <v>2026</v>
      </c>
      <c r="E1367" s="1">
        <f>IFERROR(IF(AND(LEN(C1367)=10,MID(C1367,5,1)="-",MID(C1367,8,1)="-"),VALUE(MID(C1367,6,2)),IF(AND(LEN(C1367)=11,MID(C1367,3,1)="-",MID(C1367,7,1)="-"),MATCH(UPPER(MID(C1367,4,3)),Guide!$D$7:$D$18,0),0)),0)</f>
        <v>3</v>
      </c>
      <c r="F1367" s="1">
        <f t="shared" si="169"/>
        <v>22</v>
      </c>
      <c r="G1367" s="9">
        <f t="shared" si="170"/>
        <v>46103</v>
      </c>
      <c r="H1367" s="1" t="str">
        <f>IF(Raw!D1367="","",Raw!D1367)</f>
        <v>P-H</v>
      </c>
      <c r="I1367" s="1" t="str">
        <f>IFERROR(IF(EXACT(H1367,INDEX(Guide!$A$7:$A$9,MATCH(SUBSTITUTE(SUBSTITUTE(SUBSTITUTE(H1367,"~","~~"),"*","~*"),"?","~?"),Guide!$A$7:$A$9,0))),INDEX(Guide!$B$7:$B$9,MATCH(SUBSTITUTE(SUBSTITUTE(SUBSTITUTE(H1367,"~","~~"),"*","~*"),"?","~?"),Guide!$A$7:$A$9,0)),""),"")</f>
        <v>Home</v>
      </c>
      <c r="J1367" s="1" t="str">
        <f>IF(TRIM(Raw!E1367)="",I1367,IF(UPPER(TRIM(Raw!E1367))=UPPER(I1367),I1367,""))</f>
        <v>Home</v>
      </c>
      <c r="K1367" s="1" t="str">
        <f>IF(Raw!F1367="","",Raw!F1367)</f>
        <v>sale</v>
      </c>
      <c r="L1367" s="1" t="str">
        <f>IF(LEFT(TRIM(Raw!G1367),2)="-$","-"&amp;MID(TRIM(Raw!G1367),3,99),IF(LEFT(TRIM(Raw!G1367),1)="$",MID(TRIM(Raw!G1367),2,99),TRIM(Raw!G1367)))</f>
        <v>28.19</v>
      </c>
      <c r="M1367" s="1">
        <f t="shared" si="171"/>
        <v>28.19</v>
      </c>
      <c r="N1367" s="10">
        <f t="shared" si="172"/>
        <v>2819</v>
      </c>
      <c r="O1367" s="1" t="b">
        <f>IFERROR(IF(ISNUMBER(Raw!G1367),TRUE,OR(EXACT(L1367,TEXT(M1367,"0.00")),EXACT(L1367,TEXT(M1367,"#,##0.00")))),FALSE)</f>
        <v>1</v>
      </c>
      <c r="P1367" s="1" t="str">
        <f>LEN(IF(Raw!A1367="","",Raw!A1367))&amp;":"&amp;IF(Raw!A1367="","",Raw!A1367)&amp;"|"&amp;LEN(IF(Raw!B1367="","",Raw!B1367))&amp;":"&amp;IF(Raw!B1367="","",Raw!B1367)&amp;"|"&amp;LEN(IF(Raw!C1367="","",Raw!C1367))&amp;":"&amp;IF(Raw!C1367="","",Raw!C1367)&amp;"|"&amp;LEN(IF(Raw!D1367="","",Raw!D1367))&amp;":"&amp;IF(Raw!D1367="","",Raw!D1367)&amp;"|"&amp;LEN(IF(Raw!E1367="","",Raw!E1367))&amp;":"&amp;IF(Raw!E1367="","",Raw!E1367)&amp;"|"&amp;LEN(IF(Raw!F1367="","",Raw!F1367))&amp;":"&amp;IF(Raw!F1367="","",Raw!F1367)&amp;"|"&amp;LEN(IF(Raw!G1367="","",Raw!G1367))&amp;":"&amp;IF(Raw!G1367="","",Raw!G1367)</f>
        <v>6:L01361|6:T00681|10:2026-03-22|3:P-H|4:Home|4:sale|5:28.19</v>
      </c>
      <c r="Q1367" s="1">
        <f>1</f>
        <v>1</v>
      </c>
      <c r="R1367" s="1" t="b">
        <f>FALSE</f>
        <v>0</v>
      </c>
      <c r="S1367" s="1">
        <f>1</f>
        <v>1</v>
      </c>
      <c r="T1367" s="1" t="str">
        <f>IF(AND(Raw!A1367="",Raw!B1367="",Raw!C1367="",Raw!D1367="",Raw!E1367="",Raw!F1367="",Raw!G1367=""),"UNUSED",IF(A1367="","missing line ID",IF(B1367="","missing transaction ID",IF(G1367="",IF(C1367="","missing date","invalid date"),IF(I1367="","unknown product",IF(J1367="","conflicting category",IF(NOT(OR(EXACT(K1367,"sale"),EXACT(K1367,"refund"))),"unknown event",IF(OR(N1367="",NOT(O1367)),"invalid amount",IF(OR(AND(K1367="sale",N1367&lt;=0),AND(K1367="refund",N1367&gt;=0)),"invalid sign","")))))))))</f>
        <v/>
      </c>
      <c r="U1367" s="1" t="str">
        <f t="shared" si="173"/>
        <v>INCLUDED</v>
      </c>
      <c r="V1367" s="1" t="str">
        <f t="shared" si="174"/>
        <v>2026-03</v>
      </c>
      <c r="W1367" s="1">
        <f>IF(AND(U1367="INCLUDED",X1367&gt;0,EXACT(A1367,'AI output'!A1367)),1,0)</f>
        <v>1</v>
      </c>
      <c r="X1367" s="1">
        <f>1367</f>
        <v>1367</v>
      </c>
      <c r="Y1367" s="1">
        <f>IF(AND(U1367="INCLUDED",W1367=1),--(NOT(EXACT(A1367,'AI output'!A1367)))+--(NOT(EXACT(B1367,'AI output'!B1367)))+--(NOT(EXACT(TEXT(G1367,"yyyy-mm-dd"),'AI output'!C1367)))+--(NOT(EXACT(H1367,'AI output'!D1367)))+--(NOT(EXACT(J1367,'AI output'!E1367)))+--(NOT(EXACT(K1367,'AI output'!F1367)))+--(N1367&lt;&gt;'AI output'!L1367)+--(NOT('AI output'!M1367)),0)</f>
        <v>0</v>
      </c>
      <c r="Z1367" s="1">
        <f t="shared" si="175"/>
        <v>0</v>
      </c>
      <c r="AA1367" s="1">
        <f>--EXACT(A1367,"L01361")</f>
        <v>1</v>
      </c>
    </row>
    <row r="1368" spans="1:27" ht="18.95" customHeight="1">
      <c r="A1368" s="1" t="str">
        <f>IF(Raw!A1368="","",Raw!A1368)</f>
        <v>L01362</v>
      </c>
      <c r="B1368" s="1" t="str">
        <f>IF(Raw!B1368="","",Raw!B1368)</f>
        <v>T00681</v>
      </c>
      <c r="C1368" s="1" t="str">
        <f>IF(Raw!C1368="","",Raw!C1368)</f>
        <v>2026-03-22</v>
      </c>
      <c r="D1368" s="1">
        <f t="shared" si="168"/>
        <v>2026</v>
      </c>
      <c r="E1368" s="1">
        <f>IFERROR(IF(AND(LEN(C1368)=10,MID(C1368,5,1)="-",MID(C1368,8,1)="-"),VALUE(MID(C1368,6,2)),IF(AND(LEN(C1368)=11,MID(C1368,3,1)="-",MID(C1368,7,1)="-"),MATCH(UPPER(MID(C1368,4,3)),Guide!$D$7:$D$18,0),0)),0)</f>
        <v>3</v>
      </c>
      <c r="F1368" s="1">
        <f t="shared" si="169"/>
        <v>22</v>
      </c>
      <c r="G1368" s="9">
        <f t="shared" si="170"/>
        <v>46103</v>
      </c>
      <c r="H1368" s="1" t="str">
        <f>IF(Raw!D1368="","",Raw!D1368)</f>
        <v>P-O</v>
      </c>
      <c r="I1368" s="1" t="str">
        <f>IFERROR(IF(EXACT(H1368,INDEX(Guide!$A$7:$A$9,MATCH(SUBSTITUTE(SUBSTITUTE(SUBSTITUTE(H1368,"~","~~"),"*","~*"),"?","~?"),Guide!$A$7:$A$9,0))),INDEX(Guide!$B$7:$B$9,MATCH(SUBSTITUTE(SUBSTITUTE(SUBSTITUTE(H1368,"~","~~"),"*","~*"),"?","~?"),Guide!$A$7:$A$9,0)),""),"")</f>
        <v>Office</v>
      </c>
      <c r="J1368" s="1" t="str">
        <f>IF(TRIM(Raw!E1368)="",I1368,IF(UPPER(TRIM(Raw!E1368))=UPPER(I1368),I1368,""))</f>
        <v>Office</v>
      </c>
      <c r="K1368" s="1" t="str">
        <f>IF(Raw!F1368="","",Raw!F1368)</f>
        <v>sale</v>
      </c>
      <c r="L1368" s="1" t="str">
        <f>IF(LEFT(TRIM(Raw!G1368),2)="-$","-"&amp;MID(TRIM(Raw!G1368),3,99),IF(LEFT(TRIM(Raw!G1368),1)="$",MID(TRIM(Raw!G1368),2,99),TRIM(Raw!G1368)))</f>
        <v>85.68</v>
      </c>
      <c r="M1368" s="1">
        <f t="shared" si="171"/>
        <v>85.68</v>
      </c>
      <c r="N1368" s="10">
        <f t="shared" si="172"/>
        <v>8568</v>
      </c>
      <c r="O1368" s="1" t="b">
        <f>IFERROR(IF(ISNUMBER(Raw!G1368),TRUE,OR(EXACT(L1368,TEXT(M1368,"0.00")),EXACT(L1368,TEXT(M1368,"#,##0.00")))),FALSE)</f>
        <v>1</v>
      </c>
      <c r="P1368" s="1" t="str">
        <f>LEN(IF(Raw!A1368="","",Raw!A1368))&amp;":"&amp;IF(Raw!A1368="","",Raw!A1368)&amp;"|"&amp;LEN(IF(Raw!B1368="","",Raw!B1368))&amp;":"&amp;IF(Raw!B1368="","",Raw!B1368)&amp;"|"&amp;LEN(IF(Raw!C1368="","",Raw!C1368))&amp;":"&amp;IF(Raw!C1368="","",Raw!C1368)&amp;"|"&amp;LEN(IF(Raw!D1368="","",Raw!D1368))&amp;":"&amp;IF(Raw!D1368="","",Raw!D1368)&amp;"|"&amp;LEN(IF(Raw!E1368="","",Raw!E1368))&amp;":"&amp;IF(Raw!E1368="","",Raw!E1368)&amp;"|"&amp;LEN(IF(Raw!F1368="","",Raw!F1368))&amp;":"&amp;IF(Raw!F1368="","",Raw!F1368)&amp;"|"&amp;LEN(IF(Raw!G1368="","",Raw!G1368))&amp;":"&amp;IF(Raw!G1368="","",Raw!G1368)</f>
        <v>6:L01362|6:T00681|10:2026-03-22|3:P-O|6:Office|4:sale|6:$85.68</v>
      </c>
      <c r="Q1368" s="1">
        <f>1</f>
        <v>1</v>
      </c>
      <c r="R1368" s="1" t="b">
        <f>FALSE</f>
        <v>0</v>
      </c>
      <c r="S1368" s="1">
        <f>1</f>
        <v>1</v>
      </c>
      <c r="T1368" s="1" t="str">
        <f>IF(AND(Raw!A1368="",Raw!B1368="",Raw!C1368="",Raw!D1368="",Raw!E1368="",Raw!F1368="",Raw!G1368=""),"UNUSED",IF(A1368="","missing line ID",IF(B1368="","missing transaction ID",IF(G1368="",IF(C1368="","missing date","invalid date"),IF(I1368="","unknown product",IF(J1368="","conflicting category",IF(NOT(OR(EXACT(K1368,"sale"),EXACT(K1368,"refund"))),"unknown event",IF(OR(N1368="",NOT(O1368)),"invalid amount",IF(OR(AND(K1368="sale",N1368&lt;=0),AND(K1368="refund",N1368&gt;=0)),"invalid sign","")))))))))</f>
        <v/>
      </c>
      <c r="U1368" s="1" t="str">
        <f t="shared" si="173"/>
        <v>INCLUDED</v>
      </c>
      <c r="V1368" s="1" t="str">
        <f t="shared" si="174"/>
        <v>2026-03</v>
      </c>
      <c r="W1368" s="1">
        <f>IF(AND(U1368="INCLUDED",X1368&gt;0,EXACT(A1368,'AI output'!A1368)),1,0)</f>
        <v>1</v>
      </c>
      <c r="X1368" s="1">
        <f>1368</f>
        <v>1368</v>
      </c>
      <c r="Y1368" s="1">
        <f>IF(AND(U1368="INCLUDED",W1368=1),--(NOT(EXACT(A1368,'AI output'!A1368)))+--(NOT(EXACT(B1368,'AI output'!B1368)))+--(NOT(EXACT(TEXT(G1368,"yyyy-mm-dd"),'AI output'!C1368)))+--(NOT(EXACT(H1368,'AI output'!D1368)))+--(NOT(EXACT(J1368,'AI output'!E1368)))+--(NOT(EXACT(K1368,'AI output'!F1368)))+--(N1368&lt;&gt;'AI output'!L1368)+--(NOT('AI output'!M1368)),0)</f>
        <v>0</v>
      </c>
      <c r="Z1368" s="1">
        <f t="shared" si="175"/>
        <v>0</v>
      </c>
      <c r="AA1368" s="1">
        <f>--EXACT(A1368,"L01362")</f>
        <v>1</v>
      </c>
    </row>
    <row r="1369" spans="1:27" ht="18.95" customHeight="1">
      <c r="A1369" s="1" t="str">
        <f>IF(Raw!A1369="","",Raw!A1369)</f>
        <v>L01363</v>
      </c>
      <c r="B1369" s="1" t="str">
        <f>IF(Raw!B1369="","",Raw!B1369)</f>
        <v>T00682</v>
      </c>
      <c r="C1369" s="1" t="str">
        <f>IF(Raw!C1369="","",Raw!C1369)</f>
        <v>2026-03-29</v>
      </c>
      <c r="D1369" s="1">
        <f t="shared" si="168"/>
        <v>2026</v>
      </c>
      <c r="E1369" s="1">
        <f>IFERROR(IF(AND(LEN(C1369)=10,MID(C1369,5,1)="-",MID(C1369,8,1)="-"),VALUE(MID(C1369,6,2)),IF(AND(LEN(C1369)=11,MID(C1369,3,1)="-",MID(C1369,7,1)="-"),MATCH(UPPER(MID(C1369,4,3)),Guide!$D$7:$D$18,0),0)),0)</f>
        <v>3</v>
      </c>
      <c r="F1369" s="1">
        <f t="shared" si="169"/>
        <v>29</v>
      </c>
      <c r="G1369" s="9">
        <f t="shared" si="170"/>
        <v>46110</v>
      </c>
      <c r="H1369" s="1" t="str">
        <f>IF(Raw!D1369="","",Raw!D1369)</f>
        <v>P-A</v>
      </c>
      <c r="I1369" s="1" t="str">
        <f>IFERROR(IF(EXACT(H1369,INDEX(Guide!$A$7:$A$9,MATCH(SUBSTITUTE(SUBSTITUTE(SUBSTITUTE(H1369,"~","~~"),"*","~*"),"?","~?"),Guide!$A$7:$A$9,0))),INDEX(Guide!$B$7:$B$9,MATCH(SUBSTITUTE(SUBSTITUTE(SUBSTITUTE(H1369,"~","~~"),"*","~*"),"?","~?"),Guide!$A$7:$A$9,0)),""),"")</f>
        <v>Accessories</v>
      </c>
      <c r="J1369" s="1" t="str">
        <f>IF(TRIM(Raw!E1369)="",I1369,IF(UPPER(TRIM(Raw!E1369))=UPPER(I1369),I1369,""))</f>
        <v>Accessories</v>
      </c>
      <c r="K1369" s="1" t="str">
        <f>IF(Raw!F1369="","",Raw!F1369)</f>
        <v>sale</v>
      </c>
      <c r="L1369" s="1" t="str">
        <f>IF(LEFT(TRIM(Raw!G1369),2)="-$","-"&amp;MID(TRIM(Raw!G1369),3,99),IF(LEFT(TRIM(Raw!G1369),1)="$",MID(TRIM(Raw!G1369),2,99),TRIM(Raw!G1369)))</f>
        <v>144.65</v>
      </c>
      <c r="M1369" s="1">
        <f t="shared" si="171"/>
        <v>144.65</v>
      </c>
      <c r="N1369" s="10">
        <f t="shared" si="172"/>
        <v>14465</v>
      </c>
      <c r="O1369" s="1" t="b">
        <f>IFERROR(IF(ISNUMBER(Raw!G1369),TRUE,OR(EXACT(L1369,TEXT(M1369,"0.00")),EXACT(L1369,TEXT(M1369,"#,##0.00")))),FALSE)</f>
        <v>1</v>
      </c>
      <c r="P1369" s="1" t="str">
        <f>LEN(IF(Raw!A1369="","",Raw!A1369))&amp;":"&amp;IF(Raw!A1369="","",Raw!A1369)&amp;"|"&amp;LEN(IF(Raw!B1369="","",Raw!B1369))&amp;":"&amp;IF(Raw!B1369="","",Raw!B1369)&amp;"|"&amp;LEN(IF(Raw!C1369="","",Raw!C1369))&amp;":"&amp;IF(Raw!C1369="","",Raw!C1369)&amp;"|"&amp;LEN(IF(Raw!D1369="","",Raw!D1369))&amp;":"&amp;IF(Raw!D1369="","",Raw!D1369)&amp;"|"&amp;LEN(IF(Raw!E1369="","",Raw!E1369))&amp;":"&amp;IF(Raw!E1369="","",Raw!E1369)&amp;"|"&amp;LEN(IF(Raw!F1369="","",Raw!F1369))&amp;":"&amp;IF(Raw!F1369="","",Raw!F1369)&amp;"|"&amp;LEN(IF(Raw!G1369="","",Raw!G1369))&amp;":"&amp;IF(Raw!G1369="","",Raw!G1369)</f>
        <v>6:L01363|6:T00682|10:2026-03-29|3:P-A|11:Accessories|4:sale|6:144.65</v>
      </c>
      <c r="Q1369" s="1">
        <f>1</f>
        <v>1</v>
      </c>
      <c r="R1369" s="1" t="b">
        <f>FALSE</f>
        <v>0</v>
      </c>
      <c r="S1369" s="1">
        <f>1</f>
        <v>1</v>
      </c>
      <c r="T1369" s="1" t="str">
        <f>IF(AND(Raw!A1369="",Raw!B1369="",Raw!C1369="",Raw!D1369="",Raw!E1369="",Raw!F1369="",Raw!G1369=""),"UNUSED",IF(A1369="","missing line ID",IF(B1369="","missing transaction ID",IF(G1369="",IF(C1369="","missing date","invalid date"),IF(I1369="","unknown product",IF(J1369="","conflicting category",IF(NOT(OR(EXACT(K1369,"sale"),EXACT(K1369,"refund"))),"unknown event",IF(OR(N1369="",NOT(O1369)),"invalid amount",IF(OR(AND(K1369="sale",N1369&lt;=0),AND(K1369="refund",N1369&gt;=0)),"invalid sign","")))))))))</f>
        <v/>
      </c>
      <c r="U1369" s="1" t="str">
        <f t="shared" si="173"/>
        <v>INCLUDED</v>
      </c>
      <c r="V1369" s="1" t="str">
        <f t="shared" si="174"/>
        <v>2026-03</v>
      </c>
      <c r="W1369" s="1">
        <f>IF(AND(U1369="INCLUDED",X1369&gt;0,EXACT(A1369,'AI output'!A1369)),1,0)</f>
        <v>1</v>
      </c>
      <c r="X1369" s="1">
        <f>1369</f>
        <v>1369</v>
      </c>
      <c r="Y1369" s="1">
        <f>IF(AND(U1369="INCLUDED",W1369=1),--(NOT(EXACT(A1369,'AI output'!A1369)))+--(NOT(EXACT(B1369,'AI output'!B1369)))+--(NOT(EXACT(TEXT(G1369,"yyyy-mm-dd"),'AI output'!C1369)))+--(NOT(EXACT(H1369,'AI output'!D1369)))+--(NOT(EXACT(J1369,'AI output'!E1369)))+--(NOT(EXACT(K1369,'AI output'!F1369)))+--(N1369&lt;&gt;'AI output'!L1369)+--(NOT('AI output'!M1369)),0)</f>
        <v>0</v>
      </c>
      <c r="Z1369" s="1">
        <f t="shared" si="175"/>
        <v>0</v>
      </c>
      <c r="AA1369" s="1">
        <f>--EXACT(A1369,"L01363")</f>
        <v>1</v>
      </c>
    </row>
    <row r="1370" spans="1:27" ht="18.95" customHeight="1">
      <c r="A1370" s="1" t="str">
        <f>IF(Raw!A1370="","",Raw!A1370)</f>
        <v>L01364</v>
      </c>
      <c r="B1370" s="1" t="str">
        <f>IF(Raw!B1370="","",Raw!B1370)</f>
        <v>T00682</v>
      </c>
      <c r="C1370" s="1" t="str">
        <f>IF(Raw!C1370="","",Raw!C1370)</f>
        <v>2026-03-29</v>
      </c>
      <c r="D1370" s="1">
        <f t="shared" si="168"/>
        <v>2026</v>
      </c>
      <c r="E1370" s="1">
        <f>IFERROR(IF(AND(LEN(C1370)=10,MID(C1370,5,1)="-",MID(C1370,8,1)="-"),VALUE(MID(C1370,6,2)),IF(AND(LEN(C1370)=11,MID(C1370,3,1)="-",MID(C1370,7,1)="-"),MATCH(UPPER(MID(C1370,4,3)),Guide!$D$7:$D$18,0),0)),0)</f>
        <v>3</v>
      </c>
      <c r="F1370" s="1">
        <f t="shared" si="169"/>
        <v>29</v>
      </c>
      <c r="G1370" s="9">
        <f t="shared" si="170"/>
        <v>46110</v>
      </c>
      <c r="H1370" s="1" t="str">
        <f>IF(Raw!D1370="","",Raw!D1370)</f>
        <v>P-H</v>
      </c>
      <c r="I1370" s="1" t="str">
        <f>IFERROR(IF(EXACT(H1370,INDEX(Guide!$A$7:$A$9,MATCH(SUBSTITUTE(SUBSTITUTE(SUBSTITUTE(H1370,"~","~~"),"*","~*"),"?","~?"),Guide!$A$7:$A$9,0))),INDEX(Guide!$B$7:$B$9,MATCH(SUBSTITUTE(SUBSTITUTE(SUBSTITUTE(H1370,"~","~~"),"*","~*"),"?","~?"),Guide!$A$7:$A$9,0)),""),"")</f>
        <v>Home</v>
      </c>
      <c r="J1370" s="1" t="str">
        <f>IF(TRIM(Raw!E1370)="",I1370,IF(UPPER(TRIM(Raw!E1370))=UPPER(I1370),I1370,""))</f>
        <v>Home</v>
      </c>
      <c r="K1370" s="1" t="str">
        <f>IF(Raw!F1370="","",Raw!F1370)</f>
        <v>sale</v>
      </c>
      <c r="L1370" s="1" t="str">
        <f>IF(LEFT(TRIM(Raw!G1370),2)="-$","-"&amp;MID(TRIM(Raw!G1370),3,99),IF(LEFT(TRIM(Raw!G1370),1)="$",MID(TRIM(Raw!G1370),2,99),TRIM(Raw!G1370)))</f>
        <v>58.60</v>
      </c>
      <c r="M1370" s="1">
        <f t="shared" si="171"/>
        <v>58.6</v>
      </c>
      <c r="N1370" s="10">
        <f t="shared" si="172"/>
        <v>5860</v>
      </c>
      <c r="O1370" s="1" t="b">
        <f>IFERROR(IF(ISNUMBER(Raw!G1370),TRUE,OR(EXACT(L1370,TEXT(M1370,"0.00")),EXACT(L1370,TEXT(M1370,"#,##0.00")))),FALSE)</f>
        <v>1</v>
      </c>
      <c r="P1370" s="1" t="str">
        <f>LEN(IF(Raw!A1370="","",Raw!A1370))&amp;":"&amp;IF(Raw!A1370="","",Raw!A1370)&amp;"|"&amp;LEN(IF(Raw!B1370="","",Raw!B1370))&amp;":"&amp;IF(Raw!B1370="","",Raw!B1370)&amp;"|"&amp;LEN(IF(Raw!C1370="","",Raw!C1370))&amp;":"&amp;IF(Raw!C1370="","",Raw!C1370)&amp;"|"&amp;LEN(IF(Raw!D1370="","",Raw!D1370))&amp;":"&amp;IF(Raw!D1370="","",Raw!D1370)&amp;"|"&amp;LEN(IF(Raw!E1370="","",Raw!E1370))&amp;":"&amp;IF(Raw!E1370="","",Raw!E1370)&amp;"|"&amp;LEN(IF(Raw!F1370="","",Raw!F1370))&amp;":"&amp;IF(Raw!F1370="","",Raw!F1370)&amp;"|"&amp;LEN(IF(Raw!G1370="","",Raw!G1370))&amp;":"&amp;IF(Raw!G1370="","",Raw!G1370)</f>
        <v>6:L01364|6:T00682|10:2026-03-29|3:P-H|4:Home|4:sale|5:58.60</v>
      </c>
      <c r="Q1370" s="1">
        <f>1</f>
        <v>1</v>
      </c>
      <c r="R1370" s="1" t="b">
        <f>FALSE</f>
        <v>0</v>
      </c>
      <c r="S1370" s="1">
        <f>1</f>
        <v>1</v>
      </c>
      <c r="T1370" s="1" t="str">
        <f>IF(AND(Raw!A1370="",Raw!B1370="",Raw!C1370="",Raw!D1370="",Raw!E1370="",Raw!F1370="",Raw!G1370=""),"UNUSED",IF(A1370="","missing line ID",IF(B1370="","missing transaction ID",IF(G1370="",IF(C1370="","missing date","invalid date"),IF(I1370="","unknown product",IF(J1370="","conflicting category",IF(NOT(OR(EXACT(K1370,"sale"),EXACT(K1370,"refund"))),"unknown event",IF(OR(N1370="",NOT(O1370)),"invalid amount",IF(OR(AND(K1370="sale",N1370&lt;=0),AND(K1370="refund",N1370&gt;=0)),"invalid sign","")))))))))</f>
        <v/>
      </c>
      <c r="U1370" s="1" t="str">
        <f t="shared" si="173"/>
        <v>INCLUDED</v>
      </c>
      <c r="V1370" s="1" t="str">
        <f t="shared" si="174"/>
        <v>2026-03</v>
      </c>
      <c r="W1370" s="1">
        <f>IF(AND(U1370="INCLUDED",X1370&gt;0,EXACT(A1370,'AI output'!A1370)),1,0)</f>
        <v>1</v>
      </c>
      <c r="X1370" s="1">
        <f>1370</f>
        <v>1370</v>
      </c>
      <c r="Y1370" s="1">
        <f>IF(AND(U1370="INCLUDED",W1370=1),--(NOT(EXACT(A1370,'AI output'!A1370)))+--(NOT(EXACT(B1370,'AI output'!B1370)))+--(NOT(EXACT(TEXT(G1370,"yyyy-mm-dd"),'AI output'!C1370)))+--(NOT(EXACT(H1370,'AI output'!D1370)))+--(NOT(EXACT(J1370,'AI output'!E1370)))+--(NOT(EXACT(K1370,'AI output'!F1370)))+--(N1370&lt;&gt;'AI output'!L1370)+--(NOT('AI output'!M1370)),0)</f>
        <v>0</v>
      </c>
      <c r="Z1370" s="1">
        <f t="shared" si="175"/>
        <v>0</v>
      </c>
      <c r="AA1370" s="1">
        <f>--EXACT(A1370,"L01364")</f>
        <v>1</v>
      </c>
    </row>
    <row r="1371" spans="1:27" ht="18.95" customHeight="1">
      <c r="A1371" s="1" t="str">
        <f>IF(Raw!A1371="","",Raw!A1371)</f>
        <v>L01365</v>
      </c>
      <c r="B1371" s="1" t="str">
        <f>IF(Raw!B1371="","",Raw!B1371)</f>
        <v>T00683</v>
      </c>
      <c r="C1371" s="1" t="str">
        <f>IF(Raw!C1371="","",Raw!C1371)</f>
        <v>2026-01-05</v>
      </c>
      <c r="D1371" s="1">
        <f t="shared" si="168"/>
        <v>2026</v>
      </c>
      <c r="E1371" s="1">
        <f>IFERROR(IF(AND(LEN(C1371)=10,MID(C1371,5,1)="-",MID(C1371,8,1)="-"),VALUE(MID(C1371,6,2)),IF(AND(LEN(C1371)=11,MID(C1371,3,1)="-",MID(C1371,7,1)="-"),MATCH(UPPER(MID(C1371,4,3)),Guide!$D$7:$D$18,0),0)),0)</f>
        <v>1</v>
      </c>
      <c r="F1371" s="1">
        <f t="shared" si="169"/>
        <v>5</v>
      </c>
      <c r="G1371" s="9">
        <f t="shared" si="170"/>
        <v>46027</v>
      </c>
      <c r="H1371" s="1" t="str">
        <f>IF(Raw!D1371="","",Raw!D1371)</f>
        <v>P-O</v>
      </c>
      <c r="I1371" s="1" t="str">
        <f>IFERROR(IF(EXACT(H1371,INDEX(Guide!$A$7:$A$9,MATCH(SUBSTITUTE(SUBSTITUTE(SUBSTITUTE(H1371,"~","~~"),"*","~*"),"?","~?"),Guide!$A$7:$A$9,0))),INDEX(Guide!$B$7:$B$9,MATCH(SUBSTITUTE(SUBSTITUTE(SUBSTITUTE(H1371,"~","~~"),"*","~*"),"?","~?"),Guide!$A$7:$A$9,0)),""),"")</f>
        <v>Office</v>
      </c>
      <c r="J1371" s="1" t="str">
        <f>IF(TRIM(Raw!E1371)="",I1371,IF(UPPER(TRIM(Raw!E1371))=UPPER(I1371),I1371,""))</f>
        <v>Office</v>
      </c>
      <c r="K1371" s="1" t="str">
        <f>IF(Raw!F1371="","",Raw!F1371)</f>
        <v>sale</v>
      </c>
      <c r="L1371" s="1" t="str">
        <f>IF(LEFT(TRIM(Raw!G1371),2)="-$","-"&amp;MID(TRIM(Raw!G1371),3,99),IF(LEFT(TRIM(Raw!G1371),1)="$",MID(TRIM(Raw!G1371),2,99),TRIM(Raw!G1371)))</f>
        <v>118.68</v>
      </c>
      <c r="M1371" s="1">
        <f t="shared" si="171"/>
        <v>118.68</v>
      </c>
      <c r="N1371" s="10">
        <f t="shared" si="172"/>
        <v>11868</v>
      </c>
      <c r="O1371" s="1" t="b">
        <f>IFERROR(IF(ISNUMBER(Raw!G1371),TRUE,OR(EXACT(L1371,TEXT(M1371,"0.00")),EXACT(L1371,TEXT(M1371,"#,##0.00")))),FALSE)</f>
        <v>1</v>
      </c>
      <c r="P1371" s="1" t="str">
        <f>LEN(IF(Raw!A1371="","",Raw!A1371))&amp;":"&amp;IF(Raw!A1371="","",Raw!A1371)&amp;"|"&amp;LEN(IF(Raw!B1371="","",Raw!B1371))&amp;":"&amp;IF(Raw!B1371="","",Raw!B1371)&amp;"|"&amp;LEN(IF(Raw!C1371="","",Raw!C1371))&amp;":"&amp;IF(Raw!C1371="","",Raw!C1371)&amp;"|"&amp;LEN(IF(Raw!D1371="","",Raw!D1371))&amp;":"&amp;IF(Raw!D1371="","",Raw!D1371)&amp;"|"&amp;LEN(IF(Raw!E1371="","",Raw!E1371))&amp;":"&amp;IF(Raw!E1371="","",Raw!E1371)&amp;"|"&amp;LEN(IF(Raw!F1371="","",Raw!F1371))&amp;":"&amp;IF(Raw!F1371="","",Raw!F1371)&amp;"|"&amp;LEN(IF(Raw!G1371="","",Raw!G1371))&amp;":"&amp;IF(Raw!G1371="","",Raw!G1371)</f>
        <v>6:L01365|6:T00683|10:2026-01-05|3:P-O|6:Office|4:sale|6:118.68</v>
      </c>
      <c r="Q1371" s="1">
        <f>1</f>
        <v>1</v>
      </c>
      <c r="R1371" s="1" t="b">
        <f>FALSE</f>
        <v>0</v>
      </c>
      <c r="S1371" s="1">
        <f>1</f>
        <v>1</v>
      </c>
      <c r="T1371" s="1" t="str">
        <f>IF(AND(Raw!A1371="",Raw!B1371="",Raw!C1371="",Raw!D1371="",Raw!E1371="",Raw!F1371="",Raw!G1371=""),"UNUSED",IF(A1371="","missing line ID",IF(B1371="","missing transaction ID",IF(G1371="",IF(C1371="","missing date","invalid date"),IF(I1371="","unknown product",IF(J1371="","conflicting category",IF(NOT(OR(EXACT(K1371,"sale"),EXACT(K1371,"refund"))),"unknown event",IF(OR(N1371="",NOT(O1371)),"invalid amount",IF(OR(AND(K1371="sale",N1371&lt;=0),AND(K1371="refund",N1371&gt;=0)),"invalid sign","")))))))))</f>
        <v/>
      </c>
      <c r="U1371" s="1" t="str">
        <f t="shared" si="173"/>
        <v>INCLUDED</v>
      </c>
      <c r="V1371" s="1" t="str">
        <f t="shared" si="174"/>
        <v>2026-01</v>
      </c>
      <c r="W1371" s="1">
        <f>IF(AND(U1371="INCLUDED",X1371&gt;0,EXACT(A1371,'AI output'!A1371)),1,0)</f>
        <v>1</v>
      </c>
      <c r="X1371" s="1">
        <f>1371</f>
        <v>1371</v>
      </c>
      <c r="Y1371" s="1">
        <f>IF(AND(U1371="INCLUDED",W1371=1),--(NOT(EXACT(A1371,'AI output'!A1371)))+--(NOT(EXACT(B1371,'AI output'!B1371)))+--(NOT(EXACT(TEXT(G1371,"yyyy-mm-dd"),'AI output'!C1371)))+--(NOT(EXACT(H1371,'AI output'!D1371)))+--(NOT(EXACT(J1371,'AI output'!E1371)))+--(NOT(EXACT(K1371,'AI output'!F1371)))+--(N1371&lt;&gt;'AI output'!L1371)+--(NOT('AI output'!M1371)),0)</f>
        <v>0</v>
      </c>
      <c r="Z1371" s="1">
        <f t="shared" si="175"/>
        <v>0</v>
      </c>
      <c r="AA1371" s="1">
        <f>--EXACT(A1371,"L01365")</f>
        <v>1</v>
      </c>
    </row>
    <row r="1372" spans="1:27" ht="18.95" customHeight="1">
      <c r="A1372" s="1" t="str">
        <f>IF(Raw!A1372="","",Raw!A1372)</f>
        <v>L01366</v>
      </c>
      <c r="B1372" s="1" t="str">
        <f>IF(Raw!B1372="","",Raw!B1372)</f>
        <v>T00683</v>
      </c>
      <c r="C1372" s="1" t="str">
        <f>IF(Raw!C1372="","",Raw!C1372)</f>
        <v>2026-01-05</v>
      </c>
      <c r="D1372" s="1">
        <f t="shared" si="168"/>
        <v>2026</v>
      </c>
      <c r="E1372" s="1">
        <f>IFERROR(IF(AND(LEN(C1372)=10,MID(C1372,5,1)="-",MID(C1372,8,1)="-"),VALUE(MID(C1372,6,2)),IF(AND(LEN(C1372)=11,MID(C1372,3,1)="-",MID(C1372,7,1)="-"),MATCH(UPPER(MID(C1372,4,3)),Guide!$D$7:$D$18,0),0)),0)</f>
        <v>1</v>
      </c>
      <c r="F1372" s="1">
        <f t="shared" si="169"/>
        <v>5</v>
      </c>
      <c r="G1372" s="9">
        <f t="shared" si="170"/>
        <v>46027</v>
      </c>
      <c r="H1372" s="1" t="str">
        <f>IF(Raw!D1372="","",Raw!D1372)</f>
        <v>P-A</v>
      </c>
      <c r="I1372" s="1" t="str">
        <f>IFERROR(IF(EXACT(H1372,INDEX(Guide!$A$7:$A$9,MATCH(SUBSTITUTE(SUBSTITUTE(SUBSTITUTE(H1372,"~","~~"),"*","~*"),"?","~?"),Guide!$A$7:$A$9,0))),INDEX(Guide!$B$7:$B$9,MATCH(SUBSTITUTE(SUBSTITUTE(SUBSTITUTE(H1372,"~","~~"),"*","~*"),"?","~?"),Guide!$A$7:$A$9,0)),""),"")</f>
        <v>Accessories</v>
      </c>
      <c r="J1372" s="1" t="str">
        <f>IF(TRIM(Raw!E1372)="",I1372,IF(UPPER(TRIM(Raw!E1372))=UPPER(I1372),I1372,""))</f>
        <v>Accessories</v>
      </c>
      <c r="K1372" s="1" t="str">
        <f>IF(Raw!F1372="","",Raw!F1372)</f>
        <v>sale</v>
      </c>
      <c r="L1372" s="1" t="str">
        <f>IF(LEFT(TRIM(Raw!G1372),2)="-$","-"&amp;MID(TRIM(Raw!G1372),3,99),IF(LEFT(TRIM(Raw!G1372),1)="$",MID(TRIM(Raw!G1372),2,99),TRIM(Raw!G1372)))</f>
        <v>30.04</v>
      </c>
      <c r="M1372" s="1">
        <f t="shared" si="171"/>
        <v>30.04</v>
      </c>
      <c r="N1372" s="10">
        <f t="shared" si="172"/>
        <v>3004</v>
      </c>
      <c r="O1372" s="1" t="b">
        <f>IFERROR(IF(ISNUMBER(Raw!G1372),TRUE,OR(EXACT(L1372,TEXT(M1372,"0.00")),EXACT(L1372,TEXT(M1372,"#,##0.00")))),FALSE)</f>
        <v>1</v>
      </c>
      <c r="P1372" s="1" t="str">
        <f>LEN(IF(Raw!A1372="","",Raw!A1372))&amp;":"&amp;IF(Raw!A1372="","",Raw!A1372)&amp;"|"&amp;LEN(IF(Raw!B1372="","",Raw!B1372))&amp;":"&amp;IF(Raw!B1372="","",Raw!B1372)&amp;"|"&amp;LEN(IF(Raw!C1372="","",Raw!C1372))&amp;":"&amp;IF(Raw!C1372="","",Raw!C1372)&amp;"|"&amp;LEN(IF(Raw!D1372="","",Raw!D1372))&amp;":"&amp;IF(Raw!D1372="","",Raw!D1372)&amp;"|"&amp;LEN(IF(Raw!E1372="","",Raw!E1372))&amp;":"&amp;IF(Raw!E1372="","",Raw!E1372)&amp;"|"&amp;LEN(IF(Raw!F1372="","",Raw!F1372))&amp;":"&amp;IF(Raw!F1372="","",Raw!F1372)&amp;"|"&amp;LEN(IF(Raw!G1372="","",Raw!G1372))&amp;":"&amp;IF(Raw!G1372="","",Raw!G1372)</f>
        <v>6:L01366|6:T00683|10:2026-01-05|3:P-A|11:Accessories|4:sale|5:30.04</v>
      </c>
      <c r="Q1372" s="1">
        <f>1</f>
        <v>1</v>
      </c>
      <c r="R1372" s="1" t="b">
        <f>FALSE</f>
        <v>0</v>
      </c>
      <c r="S1372" s="1">
        <f>1</f>
        <v>1</v>
      </c>
      <c r="T1372" s="1" t="str">
        <f>IF(AND(Raw!A1372="",Raw!B1372="",Raw!C1372="",Raw!D1372="",Raw!E1372="",Raw!F1372="",Raw!G1372=""),"UNUSED",IF(A1372="","missing line ID",IF(B1372="","missing transaction ID",IF(G1372="",IF(C1372="","missing date","invalid date"),IF(I1372="","unknown product",IF(J1372="","conflicting category",IF(NOT(OR(EXACT(K1372,"sale"),EXACT(K1372,"refund"))),"unknown event",IF(OR(N1372="",NOT(O1372)),"invalid amount",IF(OR(AND(K1372="sale",N1372&lt;=0),AND(K1372="refund",N1372&gt;=0)),"invalid sign","")))))))))</f>
        <v/>
      </c>
      <c r="U1372" s="1" t="str">
        <f t="shared" si="173"/>
        <v>INCLUDED</v>
      </c>
      <c r="V1372" s="1" t="str">
        <f t="shared" si="174"/>
        <v>2026-01</v>
      </c>
      <c r="W1372" s="1">
        <f>IF(AND(U1372="INCLUDED",X1372&gt;0,EXACT(A1372,'AI output'!A1372)),1,0)</f>
        <v>1</v>
      </c>
      <c r="X1372" s="1">
        <f>1372</f>
        <v>1372</v>
      </c>
      <c r="Y1372" s="1">
        <f>IF(AND(U1372="INCLUDED",W1372=1),--(NOT(EXACT(A1372,'AI output'!A1372)))+--(NOT(EXACT(B1372,'AI output'!B1372)))+--(NOT(EXACT(TEXT(G1372,"yyyy-mm-dd"),'AI output'!C1372)))+--(NOT(EXACT(H1372,'AI output'!D1372)))+--(NOT(EXACT(J1372,'AI output'!E1372)))+--(NOT(EXACT(K1372,'AI output'!F1372)))+--(N1372&lt;&gt;'AI output'!L1372)+--(NOT('AI output'!M1372)),0)</f>
        <v>0</v>
      </c>
      <c r="Z1372" s="1">
        <f t="shared" si="175"/>
        <v>0</v>
      </c>
      <c r="AA1372" s="1">
        <f>--EXACT(A1372,"L01366")</f>
        <v>1</v>
      </c>
    </row>
    <row r="1373" spans="1:27" ht="18.95" customHeight="1">
      <c r="A1373" s="1" t="str">
        <f>IF(Raw!A1373="","",Raw!A1373)</f>
        <v>L01367</v>
      </c>
      <c r="B1373" s="1" t="str">
        <f>IF(Raw!B1373="","",Raw!B1373)</f>
        <v>T00684</v>
      </c>
      <c r="C1373" s="1" t="str">
        <f>IF(Raw!C1373="","",Raw!C1373)</f>
        <v>2026-01-12</v>
      </c>
      <c r="D1373" s="1">
        <f t="shared" si="168"/>
        <v>2026</v>
      </c>
      <c r="E1373" s="1">
        <f>IFERROR(IF(AND(LEN(C1373)=10,MID(C1373,5,1)="-",MID(C1373,8,1)="-"),VALUE(MID(C1373,6,2)),IF(AND(LEN(C1373)=11,MID(C1373,3,1)="-",MID(C1373,7,1)="-"),MATCH(UPPER(MID(C1373,4,3)),Guide!$D$7:$D$18,0),0)),0)</f>
        <v>1</v>
      </c>
      <c r="F1373" s="1">
        <f t="shared" si="169"/>
        <v>12</v>
      </c>
      <c r="G1373" s="9">
        <f t="shared" si="170"/>
        <v>46034</v>
      </c>
      <c r="H1373" s="1" t="str">
        <f>IF(Raw!D1373="","",Raw!D1373)</f>
        <v>P-H</v>
      </c>
      <c r="I1373" s="1" t="str">
        <f>IFERROR(IF(EXACT(H1373,INDEX(Guide!$A$7:$A$9,MATCH(SUBSTITUTE(SUBSTITUTE(SUBSTITUTE(H1373,"~","~~"),"*","~*"),"?","~?"),Guide!$A$7:$A$9,0))),INDEX(Guide!$B$7:$B$9,MATCH(SUBSTITUTE(SUBSTITUTE(SUBSTITUTE(H1373,"~","~~"),"*","~*"),"?","~?"),Guide!$A$7:$A$9,0)),""),"")</f>
        <v>Home</v>
      </c>
      <c r="J1373" s="1" t="str">
        <f>IF(TRIM(Raw!E1373)="",I1373,IF(UPPER(TRIM(Raw!E1373))=UPPER(I1373),I1373,""))</f>
        <v>Home</v>
      </c>
      <c r="K1373" s="1" t="str">
        <f>IF(Raw!F1373="","",Raw!F1373)</f>
        <v>sale</v>
      </c>
      <c r="L1373" s="1" t="str">
        <f>IF(LEFT(TRIM(Raw!G1373),2)="-$","-"&amp;MID(TRIM(Raw!G1373),3,99),IF(LEFT(TRIM(Raw!G1373),1)="$",MID(TRIM(Raw!G1373),2,99),TRIM(Raw!G1373)))</f>
        <v>91.23</v>
      </c>
      <c r="M1373" s="1">
        <f t="shared" si="171"/>
        <v>91.23</v>
      </c>
      <c r="N1373" s="10">
        <f t="shared" si="172"/>
        <v>9123</v>
      </c>
      <c r="O1373" s="1" t="b">
        <f>IFERROR(IF(ISNUMBER(Raw!G1373),TRUE,OR(EXACT(L1373,TEXT(M1373,"0.00")),EXACT(L1373,TEXT(M1373,"#,##0.00")))),FALSE)</f>
        <v>1</v>
      </c>
      <c r="P1373" s="1" t="str">
        <f>LEN(IF(Raw!A1373="","",Raw!A1373))&amp;":"&amp;IF(Raw!A1373="","",Raw!A1373)&amp;"|"&amp;LEN(IF(Raw!B1373="","",Raw!B1373))&amp;":"&amp;IF(Raw!B1373="","",Raw!B1373)&amp;"|"&amp;LEN(IF(Raw!C1373="","",Raw!C1373))&amp;":"&amp;IF(Raw!C1373="","",Raw!C1373)&amp;"|"&amp;LEN(IF(Raw!D1373="","",Raw!D1373))&amp;":"&amp;IF(Raw!D1373="","",Raw!D1373)&amp;"|"&amp;LEN(IF(Raw!E1373="","",Raw!E1373))&amp;":"&amp;IF(Raw!E1373="","",Raw!E1373)&amp;"|"&amp;LEN(IF(Raw!F1373="","",Raw!F1373))&amp;":"&amp;IF(Raw!F1373="","",Raw!F1373)&amp;"|"&amp;LEN(IF(Raw!G1373="","",Raw!G1373))&amp;":"&amp;IF(Raw!G1373="","",Raw!G1373)</f>
        <v>6:L01367|6:T00684|10:2026-01-12|3:P-H|4:Home|4:sale|5:91.23</v>
      </c>
      <c r="Q1373" s="1">
        <f>1</f>
        <v>1</v>
      </c>
      <c r="R1373" s="1" t="b">
        <f>FALSE</f>
        <v>0</v>
      </c>
      <c r="S1373" s="1">
        <f>1</f>
        <v>1</v>
      </c>
      <c r="T1373" s="1" t="str">
        <f>IF(AND(Raw!A1373="",Raw!B1373="",Raw!C1373="",Raw!D1373="",Raw!E1373="",Raw!F1373="",Raw!G1373=""),"UNUSED",IF(A1373="","missing line ID",IF(B1373="","missing transaction ID",IF(G1373="",IF(C1373="","missing date","invalid date"),IF(I1373="","unknown product",IF(J1373="","conflicting category",IF(NOT(OR(EXACT(K1373,"sale"),EXACT(K1373,"refund"))),"unknown event",IF(OR(N1373="",NOT(O1373)),"invalid amount",IF(OR(AND(K1373="sale",N1373&lt;=0),AND(K1373="refund",N1373&gt;=0)),"invalid sign","")))))))))</f>
        <v/>
      </c>
      <c r="U1373" s="1" t="str">
        <f t="shared" si="173"/>
        <v>INCLUDED</v>
      </c>
      <c r="V1373" s="1" t="str">
        <f t="shared" si="174"/>
        <v>2026-01</v>
      </c>
      <c r="W1373" s="1">
        <f>IF(AND(U1373="INCLUDED",X1373&gt;0,EXACT(A1373,'AI output'!A1373)),1,0)</f>
        <v>1</v>
      </c>
      <c r="X1373" s="1">
        <f>1373</f>
        <v>1373</v>
      </c>
      <c r="Y1373" s="1">
        <f>IF(AND(U1373="INCLUDED",W1373=1),--(NOT(EXACT(A1373,'AI output'!A1373)))+--(NOT(EXACT(B1373,'AI output'!B1373)))+--(NOT(EXACT(TEXT(G1373,"yyyy-mm-dd"),'AI output'!C1373)))+--(NOT(EXACT(H1373,'AI output'!D1373)))+--(NOT(EXACT(J1373,'AI output'!E1373)))+--(NOT(EXACT(K1373,'AI output'!F1373)))+--(N1373&lt;&gt;'AI output'!L1373)+--(NOT('AI output'!M1373)),0)</f>
        <v>0</v>
      </c>
      <c r="Z1373" s="1">
        <f t="shared" si="175"/>
        <v>0</v>
      </c>
      <c r="AA1373" s="1">
        <f>--EXACT(A1373,"L01367")</f>
        <v>1</v>
      </c>
    </row>
    <row r="1374" spans="1:27" ht="18.95" customHeight="1">
      <c r="A1374" s="1" t="str">
        <f>IF(Raw!A1374="","",Raw!A1374)</f>
        <v>L01368</v>
      </c>
      <c r="B1374" s="1" t="str">
        <f>IF(Raw!B1374="","",Raw!B1374)</f>
        <v>T00684</v>
      </c>
      <c r="C1374" s="1" t="str">
        <f>IF(Raw!C1374="","",Raw!C1374)</f>
        <v>2026-01-12</v>
      </c>
      <c r="D1374" s="1">
        <f t="shared" si="168"/>
        <v>2026</v>
      </c>
      <c r="E1374" s="1">
        <f>IFERROR(IF(AND(LEN(C1374)=10,MID(C1374,5,1)="-",MID(C1374,8,1)="-"),VALUE(MID(C1374,6,2)),IF(AND(LEN(C1374)=11,MID(C1374,3,1)="-",MID(C1374,7,1)="-"),MATCH(UPPER(MID(C1374,4,3)),Guide!$D$7:$D$18,0),0)),0)</f>
        <v>1</v>
      </c>
      <c r="F1374" s="1">
        <f t="shared" si="169"/>
        <v>12</v>
      </c>
      <c r="G1374" s="9">
        <f t="shared" si="170"/>
        <v>46034</v>
      </c>
      <c r="H1374" s="1" t="str">
        <f>IF(Raw!D1374="","",Raw!D1374)</f>
        <v>P-O</v>
      </c>
      <c r="I1374" s="1" t="str">
        <f>IFERROR(IF(EXACT(H1374,INDEX(Guide!$A$7:$A$9,MATCH(SUBSTITUTE(SUBSTITUTE(SUBSTITUTE(H1374,"~","~~"),"*","~*"),"?","~?"),Guide!$A$7:$A$9,0))),INDEX(Guide!$B$7:$B$9,MATCH(SUBSTITUTE(SUBSTITUTE(SUBSTITUTE(H1374,"~","~~"),"*","~*"),"?","~?"),Guide!$A$7:$A$9,0)),""),"")</f>
        <v>Office</v>
      </c>
      <c r="J1374" s="1" t="str">
        <f>IF(TRIM(Raw!E1374)="",I1374,IF(UPPER(TRIM(Raw!E1374))=UPPER(I1374),I1374,""))</f>
        <v>Office</v>
      </c>
      <c r="K1374" s="1" t="str">
        <f>IF(Raw!F1374="","",Raw!F1374)</f>
        <v>sale</v>
      </c>
      <c r="L1374" s="1" t="str">
        <f>IF(LEFT(TRIM(Raw!G1374),2)="-$","-"&amp;MID(TRIM(Raw!G1374),3,99),IF(LEFT(TRIM(Raw!G1374),1)="$",MID(TRIM(Raw!G1374),2,99),TRIM(Raw!G1374)))</f>
        <v>153.90</v>
      </c>
      <c r="M1374" s="1">
        <f t="shared" si="171"/>
        <v>153.9</v>
      </c>
      <c r="N1374" s="10">
        <f t="shared" si="172"/>
        <v>15390</v>
      </c>
      <c r="O1374" s="1" t="b">
        <f>IFERROR(IF(ISNUMBER(Raw!G1374),TRUE,OR(EXACT(L1374,TEXT(M1374,"0.00")),EXACT(L1374,TEXT(M1374,"#,##0.00")))),FALSE)</f>
        <v>1</v>
      </c>
      <c r="P1374" s="1" t="str">
        <f>LEN(IF(Raw!A1374="","",Raw!A1374))&amp;":"&amp;IF(Raw!A1374="","",Raw!A1374)&amp;"|"&amp;LEN(IF(Raw!B1374="","",Raw!B1374))&amp;":"&amp;IF(Raw!B1374="","",Raw!B1374)&amp;"|"&amp;LEN(IF(Raw!C1374="","",Raw!C1374))&amp;":"&amp;IF(Raw!C1374="","",Raw!C1374)&amp;"|"&amp;LEN(IF(Raw!D1374="","",Raw!D1374))&amp;":"&amp;IF(Raw!D1374="","",Raw!D1374)&amp;"|"&amp;LEN(IF(Raw!E1374="","",Raw!E1374))&amp;":"&amp;IF(Raw!E1374="","",Raw!E1374)&amp;"|"&amp;LEN(IF(Raw!F1374="","",Raw!F1374))&amp;":"&amp;IF(Raw!F1374="","",Raw!F1374)&amp;"|"&amp;LEN(IF(Raw!G1374="","",Raw!G1374))&amp;":"&amp;IF(Raw!G1374="","",Raw!G1374)</f>
        <v>6:L01368|6:T00684|10:2026-01-12|3:P-O|10:  office  |4:sale|6:153.90</v>
      </c>
      <c r="Q1374" s="1">
        <f>1</f>
        <v>1</v>
      </c>
      <c r="R1374" s="1" t="b">
        <f>FALSE</f>
        <v>0</v>
      </c>
      <c r="S1374" s="1">
        <f>1</f>
        <v>1</v>
      </c>
      <c r="T1374" s="1" t="str">
        <f>IF(AND(Raw!A1374="",Raw!B1374="",Raw!C1374="",Raw!D1374="",Raw!E1374="",Raw!F1374="",Raw!G1374=""),"UNUSED",IF(A1374="","missing line ID",IF(B1374="","missing transaction ID",IF(G1374="",IF(C1374="","missing date","invalid date"),IF(I1374="","unknown product",IF(J1374="","conflicting category",IF(NOT(OR(EXACT(K1374,"sale"),EXACT(K1374,"refund"))),"unknown event",IF(OR(N1374="",NOT(O1374)),"invalid amount",IF(OR(AND(K1374="sale",N1374&lt;=0),AND(K1374="refund",N1374&gt;=0)),"invalid sign","")))))))))</f>
        <v/>
      </c>
      <c r="U1374" s="1" t="str">
        <f t="shared" si="173"/>
        <v>INCLUDED</v>
      </c>
      <c r="V1374" s="1" t="str">
        <f t="shared" si="174"/>
        <v>2026-01</v>
      </c>
      <c r="W1374" s="1">
        <f>IF(AND(U1374="INCLUDED",X1374&gt;0,EXACT(A1374,'AI output'!A1374)),1,0)</f>
        <v>1</v>
      </c>
      <c r="X1374" s="1">
        <f>1374</f>
        <v>1374</v>
      </c>
      <c r="Y1374" s="1">
        <f>IF(AND(U1374="INCLUDED",W1374=1),--(NOT(EXACT(A1374,'AI output'!A1374)))+--(NOT(EXACT(B1374,'AI output'!B1374)))+--(NOT(EXACT(TEXT(G1374,"yyyy-mm-dd"),'AI output'!C1374)))+--(NOT(EXACT(H1374,'AI output'!D1374)))+--(NOT(EXACT(J1374,'AI output'!E1374)))+--(NOT(EXACT(K1374,'AI output'!F1374)))+--(N1374&lt;&gt;'AI output'!L1374)+--(NOT('AI output'!M1374)),0)</f>
        <v>0</v>
      </c>
      <c r="Z1374" s="1">
        <f t="shared" si="175"/>
        <v>0</v>
      </c>
      <c r="AA1374" s="1">
        <f>--EXACT(A1374,"L01368")</f>
        <v>1</v>
      </c>
    </row>
    <row r="1375" spans="1:27" ht="18.95" customHeight="1">
      <c r="A1375" s="1" t="str">
        <f>IF(Raw!A1375="","",Raw!A1375)</f>
        <v>L01369</v>
      </c>
      <c r="B1375" s="1" t="str">
        <f>IF(Raw!B1375="","",Raw!B1375)</f>
        <v>T00685</v>
      </c>
      <c r="C1375" s="1" t="str">
        <f>IF(Raw!C1375="","",Raw!C1375)</f>
        <v>2026-01-19</v>
      </c>
      <c r="D1375" s="1">
        <f t="shared" si="168"/>
        <v>2026</v>
      </c>
      <c r="E1375" s="1">
        <f>IFERROR(IF(AND(LEN(C1375)=10,MID(C1375,5,1)="-",MID(C1375,8,1)="-"),VALUE(MID(C1375,6,2)),IF(AND(LEN(C1375)=11,MID(C1375,3,1)="-",MID(C1375,7,1)="-"),MATCH(UPPER(MID(C1375,4,3)),Guide!$D$7:$D$18,0),0)),0)</f>
        <v>1</v>
      </c>
      <c r="F1375" s="1">
        <f t="shared" si="169"/>
        <v>19</v>
      </c>
      <c r="G1375" s="9">
        <f t="shared" si="170"/>
        <v>46041</v>
      </c>
      <c r="H1375" s="1" t="str">
        <f>IF(Raw!D1375="","",Raw!D1375)</f>
        <v>P-A</v>
      </c>
      <c r="I1375" s="1" t="str">
        <f>IFERROR(IF(EXACT(H1375,INDEX(Guide!$A$7:$A$9,MATCH(SUBSTITUTE(SUBSTITUTE(SUBSTITUTE(H1375,"~","~~"),"*","~*"),"?","~?"),Guide!$A$7:$A$9,0))),INDEX(Guide!$B$7:$B$9,MATCH(SUBSTITUTE(SUBSTITUTE(SUBSTITUTE(H1375,"~","~~"),"*","~*"),"?","~?"),Guide!$A$7:$A$9,0)),""),"")</f>
        <v>Accessories</v>
      </c>
      <c r="J1375" s="1" t="str">
        <f>IF(TRIM(Raw!E1375)="",I1375,IF(UPPER(TRIM(Raw!E1375))=UPPER(I1375),I1375,""))</f>
        <v>Accessories</v>
      </c>
      <c r="K1375" s="1" t="str">
        <f>IF(Raw!F1375="","",Raw!F1375)</f>
        <v>sale</v>
      </c>
      <c r="L1375" s="1" t="str">
        <f>IF(LEFT(TRIM(Raw!G1375),2)="-$","-"&amp;MID(TRIM(Raw!G1375),3,99),IF(LEFT(TRIM(Raw!G1375),1)="$",MID(TRIM(Raw!G1375),2,99),TRIM(Raw!G1375)))</f>
        <v>62.30</v>
      </c>
      <c r="M1375" s="1">
        <f t="shared" si="171"/>
        <v>62.3</v>
      </c>
      <c r="N1375" s="10">
        <f t="shared" si="172"/>
        <v>6230</v>
      </c>
      <c r="O1375" s="1" t="b">
        <f>IFERROR(IF(ISNUMBER(Raw!G1375),TRUE,OR(EXACT(L1375,TEXT(M1375,"0.00")),EXACT(L1375,TEXT(M1375,"#,##0.00")))),FALSE)</f>
        <v>1</v>
      </c>
      <c r="P1375" s="1" t="str">
        <f>LEN(IF(Raw!A1375="","",Raw!A1375))&amp;":"&amp;IF(Raw!A1375="","",Raw!A1375)&amp;"|"&amp;LEN(IF(Raw!B1375="","",Raw!B1375))&amp;":"&amp;IF(Raw!B1375="","",Raw!B1375)&amp;"|"&amp;LEN(IF(Raw!C1375="","",Raw!C1375))&amp;":"&amp;IF(Raw!C1375="","",Raw!C1375)&amp;"|"&amp;LEN(IF(Raw!D1375="","",Raw!D1375))&amp;":"&amp;IF(Raw!D1375="","",Raw!D1375)&amp;"|"&amp;LEN(IF(Raw!E1375="","",Raw!E1375))&amp;":"&amp;IF(Raw!E1375="","",Raw!E1375)&amp;"|"&amp;LEN(IF(Raw!F1375="","",Raw!F1375))&amp;":"&amp;IF(Raw!F1375="","",Raw!F1375)&amp;"|"&amp;LEN(IF(Raw!G1375="","",Raw!G1375))&amp;":"&amp;IF(Raw!G1375="","",Raw!G1375)</f>
        <v>6:L01369|6:T00685|10:2026-01-19|3:P-A|11:Accessories|4:sale|5:62.30</v>
      </c>
      <c r="Q1375" s="1">
        <f>1</f>
        <v>1</v>
      </c>
      <c r="R1375" s="1" t="b">
        <f>FALSE</f>
        <v>0</v>
      </c>
      <c r="S1375" s="1">
        <f>1</f>
        <v>1</v>
      </c>
      <c r="T1375" s="1" t="str">
        <f>IF(AND(Raw!A1375="",Raw!B1375="",Raw!C1375="",Raw!D1375="",Raw!E1375="",Raw!F1375="",Raw!G1375=""),"UNUSED",IF(A1375="","missing line ID",IF(B1375="","missing transaction ID",IF(G1375="",IF(C1375="","missing date","invalid date"),IF(I1375="","unknown product",IF(J1375="","conflicting category",IF(NOT(OR(EXACT(K1375,"sale"),EXACT(K1375,"refund"))),"unknown event",IF(OR(N1375="",NOT(O1375)),"invalid amount",IF(OR(AND(K1375="sale",N1375&lt;=0),AND(K1375="refund",N1375&gt;=0)),"invalid sign","")))))))))</f>
        <v/>
      </c>
      <c r="U1375" s="1" t="str">
        <f t="shared" si="173"/>
        <v>INCLUDED</v>
      </c>
      <c r="V1375" s="1" t="str">
        <f t="shared" si="174"/>
        <v>2026-01</v>
      </c>
      <c r="W1375" s="1">
        <f>IF(AND(U1375="INCLUDED",X1375&gt;0,EXACT(A1375,'AI output'!A1375)),1,0)</f>
        <v>1</v>
      </c>
      <c r="X1375" s="1">
        <f>1375</f>
        <v>1375</v>
      </c>
      <c r="Y1375" s="1">
        <f>IF(AND(U1375="INCLUDED",W1375=1),--(NOT(EXACT(A1375,'AI output'!A1375)))+--(NOT(EXACT(B1375,'AI output'!B1375)))+--(NOT(EXACT(TEXT(G1375,"yyyy-mm-dd"),'AI output'!C1375)))+--(NOT(EXACT(H1375,'AI output'!D1375)))+--(NOT(EXACT(J1375,'AI output'!E1375)))+--(NOT(EXACT(K1375,'AI output'!F1375)))+--(N1375&lt;&gt;'AI output'!L1375)+--(NOT('AI output'!M1375)),0)</f>
        <v>0</v>
      </c>
      <c r="Z1375" s="1">
        <f t="shared" si="175"/>
        <v>0</v>
      </c>
      <c r="AA1375" s="1">
        <f>--EXACT(A1375,"L01369")</f>
        <v>1</v>
      </c>
    </row>
    <row r="1376" spans="1:27" ht="18.95" customHeight="1">
      <c r="A1376" s="1" t="str">
        <f>IF(Raw!A1376="","",Raw!A1376)</f>
        <v>L01370</v>
      </c>
      <c r="B1376" s="1" t="str">
        <f>IF(Raw!B1376="","",Raw!B1376)</f>
        <v>T00685</v>
      </c>
      <c r="C1376" s="1" t="str">
        <f>IF(Raw!C1376="","",Raw!C1376)</f>
        <v>2026-01-19</v>
      </c>
      <c r="D1376" s="1">
        <f t="shared" si="168"/>
        <v>2026</v>
      </c>
      <c r="E1376" s="1">
        <f>IFERROR(IF(AND(LEN(C1376)=10,MID(C1376,5,1)="-",MID(C1376,8,1)="-"),VALUE(MID(C1376,6,2)),IF(AND(LEN(C1376)=11,MID(C1376,3,1)="-",MID(C1376,7,1)="-"),MATCH(UPPER(MID(C1376,4,3)),Guide!$D$7:$D$18,0),0)),0)</f>
        <v>1</v>
      </c>
      <c r="F1376" s="1">
        <f t="shared" si="169"/>
        <v>19</v>
      </c>
      <c r="G1376" s="9">
        <f t="shared" si="170"/>
        <v>46041</v>
      </c>
      <c r="H1376" s="1" t="str">
        <f>IF(Raw!D1376="","",Raw!D1376)</f>
        <v>P-H</v>
      </c>
      <c r="I1376" s="1" t="str">
        <f>IFERROR(IF(EXACT(H1376,INDEX(Guide!$A$7:$A$9,MATCH(SUBSTITUTE(SUBSTITUTE(SUBSTITUTE(H1376,"~","~~"),"*","~*"),"?","~?"),Guide!$A$7:$A$9,0))),INDEX(Guide!$B$7:$B$9,MATCH(SUBSTITUTE(SUBSTITUTE(SUBSTITUTE(H1376,"~","~~"),"*","~*"),"?","~?"),Guide!$A$7:$A$9,0)),""),"")</f>
        <v>Home</v>
      </c>
      <c r="J1376" s="1" t="str">
        <f>IF(TRIM(Raw!E1376)="",I1376,IF(UPPER(TRIM(Raw!E1376))=UPPER(I1376),I1376,""))</f>
        <v>Home</v>
      </c>
      <c r="K1376" s="1" t="str">
        <f>IF(Raw!F1376="","",Raw!F1376)</f>
        <v>sale</v>
      </c>
      <c r="L1376" s="1" t="str">
        <f>IF(LEFT(TRIM(Raw!G1376),2)="-$","-"&amp;MID(TRIM(Raw!G1376),3,99),IF(LEFT(TRIM(Raw!G1376),1)="$",MID(TRIM(Raw!G1376),2,99),TRIM(Raw!G1376)))</f>
        <v>126.08</v>
      </c>
      <c r="M1376" s="1">
        <f t="shared" si="171"/>
        <v>126.08</v>
      </c>
      <c r="N1376" s="10">
        <f t="shared" si="172"/>
        <v>12608</v>
      </c>
      <c r="O1376" s="1" t="b">
        <f>IFERROR(IF(ISNUMBER(Raw!G1376),TRUE,OR(EXACT(L1376,TEXT(M1376,"0.00")),EXACT(L1376,TEXT(M1376,"#,##0.00")))),FALSE)</f>
        <v>1</v>
      </c>
      <c r="P1376" s="1" t="str">
        <f>LEN(IF(Raw!A1376="","",Raw!A1376))&amp;":"&amp;IF(Raw!A1376="","",Raw!A1376)&amp;"|"&amp;LEN(IF(Raw!B1376="","",Raw!B1376))&amp;":"&amp;IF(Raw!B1376="","",Raw!B1376)&amp;"|"&amp;LEN(IF(Raw!C1376="","",Raw!C1376))&amp;":"&amp;IF(Raw!C1376="","",Raw!C1376)&amp;"|"&amp;LEN(IF(Raw!D1376="","",Raw!D1376))&amp;":"&amp;IF(Raw!D1376="","",Raw!D1376)&amp;"|"&amp;LEN(IF(Raw!E1376="","",Raw!E1376))&amp;":"&amp;IF(Raw!E1376="","",Raw!E1376)&amp;"|"&amp;LEN(IF(Raw!F1376="","",Raw!F1376))&amp;":"&amp;IF(Raw!F1376="","",Raw!F1376)&amp;"|"&amp;LEN(IF(Raw!G1376="","",Raw!G1376))&amp;":"&amp;IF(Raw!G1376="","",Raw!G1376)</f>
        <v>6:L01370|6:T00685|10:2026-01-19|3:P-H|4:Home|4:sale|6:126.08</v>
      </c>
      <c r="Q1376" s="1">
        <f>1</f>
        <v>1</v>
      </c>
      <c r="R1376" s="1" t="b">
        <f>FALSE</f>
        <v>0</v>
      </c>
      <c r="S1376" s="1">
        <f>1</f>
        <v>1</v>
      </c>
      <c r="T1376" s="1" t="str">
        <f>IF(AND(Raw!A1376="",Raw!B1376="",Raw!C1376="",Raw!D1376="",Raw!E1376="",Raw!F1376="",Raw!G1376=""),"UNUSED",IF(A1376="","missing line ID",IF(B1376="","missing transaction ID",IF(G1376="",IF(C1376="","missing date","invalid date"),IF(I1376="","unknown product",IF(J1376="","conflicting category",IF(NOT(OR(EXACT(K1376,"sale"),EXACT(K1376,"refund"))),"unknown event",IF(OR(N1376="",NOT(O1376)),"invalid amount",IF(OR(AND(K1376="sale",N1376&lt;=0),AND(K1376="refund",N1376&gt;=0)),"invalid sign","")))))))))</f>
        <v/>
      </c>
      <c r="U1376" s="1" t="str">
        <f t="shared" si="173"/>
        <v>INCLUDED</v>
      </c>
      <c r="V1376" s="1" t="str">
        <f t="shared" si="174"/>
        <v>2026-01</v>
      </c>
      <c r="W1376" s="1">
        <f>IF(AND(U1376="INCLUDED",X1376&gt;0,EXACT(A1376,'AI output'!A1376)),1,0)</f>
        <v>1</v>
      </c>
      <c r="X1376" s="1">
        <f>1376</f>
        <v>1376</v>
      </c>
      <c r="Y1376" s="1">
        <f>IF(AND(U1376="INCLUDED",W1376=1),--(NOT(EXACT(A1376,'AI output'!A1376)))+--(NOT(EXACT(B1376,'AI output'!B1376)))+--(NOT(EXACT(TEXT(G1376,"yyyy-mm-dd"),'AI output'!C1376)))+--(NOT(EXACT(H1376,'AI output'!D1376)))+--(NOT(EXACT(J1376,'AI output'!E1376)))+--(NOT(EXACT(K1376,'AI output'!F1376)))+--(N1376&lt;&gt;'AI output'!L1376)+--(NOT('AI output'!M1376)),0)</f>
        <v>0</v>
      </c>
      <c r="Z1376" s="1">
        <f t="shared" si="175"/>
        <v>0</v>
      </c>
      <c r="AA1376" s="1">
        <f>--EXACT(A1376,"L01370")</f>
        <v>1</v>
      </c>
    </row>
    <row r="1377" spans="1:27" ht="18.95" customHeight="1">
      <c r="A1377" s="1" t="str">
        <f>IF(Raw!A1377="","",Raw!A1377)</f>
        <v>L01371</v>
      </c>
      <c r="B1377" s="1" t="str">
        <f>IF(Raw!B1377="","",Raw!B1377)</f>
        <v>T00686</v>
      </c>
      <c r="C1377" s="1" t="str">
        <f>IF(Raw!C1377="","",Raw!C1377)</f>
        <v>2026-01-26</v>
      </c>
      <c r="D1377" s="1">
        <f t="shared" si="168"/>
        <v>2026</v>
      </c>
      <c r="E1377" s="1">
        <f>IFERROR(IF(AND(LEN(C1377)=10,MID(C1377,5,1)="-",MID(C1377,8,1)="-"),VALUE(MID(C1377,6,2)),IF(AND(LEN(C1377)=11,MID(C1377,3,1)="-",MID(C1377,7,1)="-"),MATCH(UPPER(MID(C1377,4,3)),Guide!$D$7:$D$18,0),0)),0)</f>
        <v>1</v>
      </c>
      <c r="F1377" s="1">
        <f t="shared" si="169"/>
        <v>26</v>
      </c>
      <c r="G1377" s="9">
        <f t="shared" si="170"/>
        <v>46048</v>
      </c>
      <c r="H1377" s="1" t="str">
        <f>IF(Raw!D1377="","",Raw!D1377)</f>
        <v>P-O</v>
      </c>
      <c r="I1377" s="1" t="str">
        <f>IFERROR(IF(EXACT(H1377,INDEX(Guide!$A$7:$A$9,MATCH(SUBSTITUTE(SUBSTITUTE(SUBSTITUTE(H1377,"~","~~"),"*","~*"),"?","~?"),Guide!$A$7:$A$9,0))),INDEX(Guide!$B$7:$B$9,MATCH(SUBSTITUTE(SUBSTITUTE(SUBSTITUTE(H1377,"~","~~"),"*","~*"),"?","~?"),Guide!$A$7:$A$9,0)),""),"")</f>
        <v>Office</v>
      </c>
      <c r="J1377" s="1" t="str">
        <f>IF(TRIM(Raw!E1377)="",I1377,IF(UPPER(TRIM(Raw!E1377))=UPPER(I1377),I1377,""))</f>
        <v>Office</v>
      </c>
      <c r="K1377" s="1" t="str">
        <f>IF(Raw!F1377="","",Raw!F1377)</f>
        <v>sale</v>
      </c>
      <c r="L1377" s="1" t="str">
        <f>IF(LEFT(TRIM(Raw!G1377),2)="-$","-"&amp;MID(TRIM(Raw!G1377),3,99),IF(LEFT(TRIM(Raw!G1377),1)="$",MID(TRIM(Raw!G1377),2,99),TRIM(Raw!G1377)))</f>
        <v>31.89</v>
      </c>
      <c r="M1377" s="1">
        <f t="shared" si="171"/>
        <v>31.89</v>
      </c>
      <c r="N1377" s="10">
        <f t="shared" si="172"/>
        <v>3189</v>
      </c>
      <c r="O1377" s="1" t="b">
        <f>IFERROR(IF(ISNUMBER(Raw!G1377),TRUE,OR(EXACT(L1377,TEXT(M1377,"0.00")),EXACT(L1377,TEXT(M1377,"#,##0.00")))),FALSE)</f>
        <v>1</v>
      </c>
      <c r="P1377" s="1" t="str">
        <f>LEN(IF(Raw!A1377="","",Raw!A1377))&amp;":"&amp;IF(Raw!A1377="","",Raw!A1377)&amp;"|"&amp;LEN(IF(Raw!B1377="","",Raw!B1377))&amp;":"&amp;IF(Raw!B1377="","",Raw!B1377)&amp;"|"&amp;LEN(IF(Raw!C1377="","",Raw!C1377))&amp;":"&amp;IF(Raw!C1377="","",Raw!C1377)&amp;"|"&amp;LEN(IF(Raw!D1377="","",Raw!D1377))&amp;":"&amp;IF(Raw!D1377="","",Raw!D1377)&amp;"|"&amp;LEN(IF(Raw!E1377="","",Raw!E1377))&amp;":"&amp;IF(Raw!E1377="","",Raw!E1377)&amp;"|"&amp;LEN(IF(Raw!F1377="","",Raw!F1377))&amp;":"&amp;IF(Raw!F1377="","",Raw!F1377)&amp;"|"&amp;LEN(IF(Raw!G1377="","",Raw!G1377))&amp;":"&amp;IF(Raw!G1377="","",Raw!G1377)</f>
        <v>6:L01371|6:T00686|10:2026-01-26|3:P-O|6:Office|4:sale|5:31.89</v>
      </c>
      <c r="Q1377" s="1">
        <f>1</f>
        <v>1</v>
      </c>
      <c r="R1377" s="1" t="b">
        <f>FALSE</f>
        <v>0</v>
      </c>
      <c r="S1377" s="1">
        <f>1</f>
        <v>1</v>
      </c>
      <c r="T1377" s="1" t="str">
        <f>IF(AND(Raw!A1377="",Raw!B1377="",Raw!C1377="",Raw!D1377="",Raw!E1377="",Raw!F1377="",Raw!G1377=""),"UNUSED",IF(A1377="","missing line ID",IF(B1377="","missing transaction ID",IF(G1377="",IF(C1377="","missing date","invalid date"),IF(I1377="","unknown product",IF(J1377="","conflicting category",IF(NOT(OR(EXACT(K1377,"sale"),EXACT(K1377,"refund"))),"unknown event",IF(OR(N1377="",NOT(O1377)),"invalid amount",IF(OR(AND(K1377="sale",N1377&lt;=0),AND(K1377="refund",N1377&gt;=0)),"invalid sign","")))))))))</f>
        <v/>
      </c>
      <c r="U1377" s="1" t="str">
        <f t="shared" si="173"/>
        <v>INCLUDED</v>
      </c>
      <c r="V1377" s="1" t="str">
        <f t="shared" si="174"/>
        <v>2026-01</v>
      </c>
      <c r="W1377" s="1">
        <f>IF(AND(U1377="INCLUDED",X1377&gt;0,EXACT(A1377,'AI output'!A1377)),1,0)</f>
        <v>1</v>
      </c>
      <c r="X1377" s="1">
        <f>1377</f>
        <v>1377</v>
      </c>
      <c r="Y1377" s="1">
        <f>IF(AND(U1377="INCLUDED",W1377=1),--(NOT(EXACT(A1377,'AI output'!A1377)))+--(NOT(EXACT(B1377,'AI output'!B1377)))+--(NOT(EXACT(TEXT(G1377,"yyyy-mm-dd"),'AI output'!C1377)))+--(NOT(EXACT(H1377,'AI output'!D1377)))+--(NOT(EXACT(J1377,'AI output'!E1377)))+--(NOT(EXACT(K1377,'AI output'!F1377)))+--(N1377&lt;&gt;'AI output'!L1377)+--(NOT('AI output'!M1377)),0)</f>
        <v>0</v>
      </c>
      <c r="Z1377" s="1">
        <f t="shared" si="175"/>
        <v>0</v>
      </c>
      <c r="AA1377" s="1">
        <f>--EXACT(A1377,"L01371")</f>
        <v>1</v>
      </c>
    </row>
    <row r="1378" spans="1:27" ht="18.95" customHeight="1">
      <c r="A1378" s="1" t="str">
        <f>IF(Raw!A1378="","",Raw!A1378)</f>
        <v>L01372</v>
      </c>
      <c r="B1378" s="1" t="str">
        <f>IF(Raw!B1378="","",Raw!B1378)</f>
        <v>T00686</v>
      </c>
      <c r="C1378" s="1" t="str">
        <f>IF(Raw!C1378="","",Raw!C1378)</f>
        <v>2026-01-26</v>
      </c>
      <c r="D1378" s="1">
        <f t="shared" si="168"/>
        <v>2026</v>
      </c>
      <c r="E1378" s="1">
        <f>IFERROR(IF(AND(LEN(C1378)=10,MID(C1378,5,1)="-",MID(C1378,8,1)="-"),VALUE(MID(C1378,6,2)),IF(AND(LEN(C1378)=11,MID(C1378,3,1)="-",MID(C1378,7,1)="-"),MATCH(UPPER(MID(C1378,4,3)),Guide!$D$7:$D$18,0),0)),0)</f>
        <v>1</v>
      </c>
      <c r="F1378" s="1">
        <f t="shared" si="169"/>
        <v>26</v>
      </c>
      <c r="G1378" s="9">
        <f t="shared" si="170"/>
        <v>46048</v>
      </c>
      <c r="H1378" s="1" t="str">
        <f>IF(Raw!D1378="","",Raw!D1378)</f>
        <v>P-A</v>
      </c>
      <c r="I1378" s="1" t="str">
        <f>IFERROR(IF(EXACT(H1378,INDEX(Guide!$A$7:$A$9,MATCH(SUBSTITUTE(SUBSTITUTE(SUBSTITUTE(H1378,"~","~~"),"*","~*"),"?","~?"),Guide!$A$7:$A$9,0))),INDEX(Guide!$B$7:$B$9,MATCH(SUBSTITUTE(SUBSTITUTE(SUBSTITUTE(H1378,"~","~~"),"*","~*"),"?","~?"),Guide!$A$7:$A$9,0)),""),"")</f>
        <v>Accessories</v>
      </c>
      <c r="J1378" s="1" t="str">
        <f>IF(TRIM(Raw!E1378)="",I1378,IF(UPPER(TRIM(Raw!E1378))=UPPER(I1378),I1378,""))</f>
        <v>Accessories</v>
      </c>
      <c r="K1378" s="1" t="str">
        <f>IF(Raw!F1378="","",Raw!F1378)</f>
        <v>sale</v>
      </c>
      <c r="L1378" s="1" t="str">
        <f>IF(LEFT(TRIM(Raw!G1378),2)="-$","-"&amp;MID(TRIM(Raw!G1378),3,99),IF(LEFT(TRIM(Raw!G1378),1)="$",MID(TRIM(Raw!G1378),2,99),TRIM(Raw!G1378)))</f>
        <v>96.78</v>
      </c>
      <c r="M1378" s="1">
        <f t="shared" si="171"/>
        <v>96.78</v>
      </c>
      <c r="N1378" s="10">
        <f t="shared" si="172"/>
        <v>9678</v>
      </c>
      <c r="O1378" s="1" t="b">
        <f>IFERROR(IF(ISNUMBER(Raw!G1378),TRUE,OR(EXACT(L1378,TEXT(M1378,"0.00")),EXACT(L1378,TEXT(M1378,"#,##0.00")))),FALSE)</f>
        <v>1</v>
      </c>
      <c r="P1378" s="1" t="str">
        <f>LEN(IF(Raw!A1378="","",Raw!A1378))&amp;":"&amp;IF(Raw!A1378="","",Raw!A1378)&amp;"|"&amp;LEN(IF(Raw!B1378="","",Raw!B1378))&amp;":"&amp;IF(Raw!B1378="","",Raw!B1378)&amp;"|"&amp;LEN(IF(Raw!C1378="","",Raw!C1378))&amp;":"&amp;IF(Raw!C1378="","",Raw!C1378)&amp;"|"&amp;LEN(IF(Raw!D1378="","",Raw!D1378))&amp;":"&amp;IF(Raw!D1378="","",Raw!D1378)&amp;"|"&amp;LEN(IF(Raw!E1378="","",Raw!E1378))&amp;":"&amp;IF(Raw!E1378="","",Raw!E1378)&amp;"|"&amp;LEN(IF(Raw!F1378="","",Raw!F1378))&amp;":"&amp;IF(Raw!F1378="","",Raw!F1378)&amp;"|"&amp;LEN(IF(Raw!G1378="","",Raw!G1378))&amp;":"&amp;IF(Raw!G1378="","",Raw!G1378)</f>
        <v>6:L01372|6:T00686|10:2026-01-26|3:P-A|11:Accessories|4:sale|5:96.78</v>
      </c>
      <c r="Q1378" s="1">
        <f>1</f>
        <v>1</v>
      </c>
      <c r="R1378" s="1" t="b">
        <f>FALSE</f>
        <v>0</v>
      </c>
      <c r="S1378" s="1">
        <f>1</f>
        <v>1</v>
      </c>
      <c r="T1378" s="1" t="str">
        <f>IF(AND(Raw!A1378="",Raw!B1378="",Raw!C1378="",Raw!D1378="",Raw!E1378="",Raw!F1378="",Raw!G1378=""),"UNUSED",IF(A1378="","missing line ID",IF(B1378="","missing transaction ID",IF(G1378="",IF(C1378="","missing date","invalid date"),IF(I1378="","unknown product",IF(J1378="","conflicting category",IF(NOT(OR(EXACT(K1378,"sale"),EXACT(K1378,"refund"))),"unknown event",IF(OR(N1378="",NOT(O1378)),"invalid amount",IF(OR(AND(K1378="sale",N1378&lt;=0),AND(K1378="refund",N1378&gt;=0)),"invalid sign","")))))))))</f>
        <v/>
      </c>
      <c r="U1378" s="1" t="str">
        <f t="shared" si="173"/>
        <v>INCLUDED</v>
      </c>
      <c r="V1378" s="1" t="str">
        <f t="shared" si="174"/>
        <v>2026-01</v>
      </c>
      <c r="W1378" s="1">
        <f>IF(AND(U1378="INCLUDED",X1378&gt;0,EXACT(A1378,'AI output'!A1378)),1,0)</f>
        <v>1</v>
      </c>
      <c r="X1378" s="1">
        <f>1378</f>
        <v>1378</v>
      </c>
      <c r="Y1378" s="1">
        <f>IF(AND(U1378="INCLUDED",W1378=1),--(NOT(EXACT(A1378,'AI output'!A1378)))+--(NOT(EXACT(B1378,'AI output'!B1378)))+--(NOT(EXACT(TEXT(G1378,"yyyy-mm-dd"),'AI output'!C1378)))+--(NOT(EXACT(H1378,'AI output'!D1378)))+--(NOT(EXACT(J1378,'AI output'!E1378)))+--(NOT(EXACT(K1378,'AI output'!F1378)))+--(N1378&lt;&gt;'AI output'!L1378)+--(NOT('AI output'!M1378)),0)</f>
        <v>0</v>
      </c>
      <c r="Z1378" s="1">
        <f t="shared" si="175"/>
        <v>0</v>
      </c>
      <c r="AA1378" s="1">
        <f>--EXACT(A1378,"L01372")</f>
        <v>1</v>
      </c>
    </row>
    <row r="1379" spans="1:27" ht="18.95" customHeight="1">
      <c r="A1379" s="1" t="str">
        <f>IF(Raw!A1379="","",Raw!A1379)</f>
        <v>L01373</v>
      </c>
      <c r="B1379" s="1" t="str">
        <f>IF(Raw!B1379="","",Raw!B1379)</f>
        <v>T00687</v>
      </c>
      <c r="C1379" s="1" t="str">
        <f>IF(Raw!C1379="","",Raw!C1379)</f>
        <v>2026-02-02</v>
      </c>
      <c r="D1379" s="1">
        <f t="shared" si="168"/>
        <v>2026</v>
      </c>
      <c r="E1379" s="1">
        <f>IFERROR(IF(AND(LEN(C1379)=10,MID(C1379,5,1)="-",MID(C1379,8,1)="-"),VALUE(MID(C1379,6,2)),IF(AND(LEN(C1379)=11,MID(C1379,3,1)="-",MID(C1379,7,1)="-"),MATCH(UPPER(MID(C1379,4,3)),Guide!$D$7:$D$18,0),0)),0)</f>
        <v>2</v>
      </c>
      <c r="F1379" s="1">
        <f t="shared" si="169"/>
        <v>2</v>
      </c>
      <c r="G1379" s="9">
        <f t="shared" si="170"/>
        <v>46055</v>
      </c>
      <c r="H1379" s="1" t="str">
        <f>IF(Raw!D1379="","",Raw!D1379)</f>
        <v>P-H</v>
      </c>
      <c r="I1379" s="1" t="str">
        <f>IFERROR(IF(EXACT(H1379,INDEX(Guide!$A$7:$A$9,MATCH(SUBSTITUTE(SUBSTITUTE(SUBSTITUTE(H1379,"~","~~"),"*","~*"),"?","~?"),Guide!$A$7:$A$9,0))),INDEX(Guide!$B$7:$B$9,MATCH(SUBSTITUTE(SUBSTITUTE(SUBSTITUTE(H1379,"~","~~"),"*","~*"),"?","~?"),Guide!$A$7:$A$9,0)),""),"")</f>
        <v>Home</v>
      </c>
      <c r="J1379" s="1" t="str">
        <f>IF(TRIM(Raw!E1379)="",I1379,IF(UPPER(TRIM(Raw!E1379))=UPPER(I1379),I1379,""))</f>
        <v>Home</v>
      </c>
      <c r="K1379" s="1" t="str">
        <f>IF(Raw!F1379="","",Raw!F1379)</f>
        <v>sale</v>
      </c>
      <c r="L1379" s="1" t="str">
        <f>IF(LEFT(TRIM(Raw!G1379),2)="-$","-"&amp;MID(TRIM(Raw!G1379),3,99),IF(LEFT(TRIM(Raw!G1379),1)="$",MID(TRIM(Raw!G1379),2,99),TRIM(Raw!G1379)))</f>
        <v>163.15</v>
      </c>
      <c r="M1379" s="1">
        <f t="shared" si="171"/>
        <v>163.15</v>
      </c>
      <c r="N1379" s="10">
        <f t="shared" si="172"/>
        <v>16315</v>
      </c>
      <c r="O1379" s="1" t="b">
        <f>IFERROR(IF(ISNUMBER(Raw!G1379),TRUE,OR(EXACT(L1379,TEXT(M1379,"0.00")),EXACT(L1379,TEXT(M1379,"#,##0.00")))),FALSE)</f>
        <v>1</v>
      </c>
      <c r="P1379" s="1" t="str">
        <f>LEN(IF(Raw!A1379="","",Raw!A1379))&amp;":"&amp;IF(Raw!A1379="","",Raw!A1379)&amp;"|"&amp;LEN(IF(Raw!B1379="","",Raw!B1379))&amp;":"&amp;IF(Raw!B1379="","",Raw!B1379)&amp;"|"&amp;LEN(IF(Raw!C1379="","",Raw!C1379))&amp;":"&amp;IF(Raw!C1379="","",Raw!C1379)&amp;"|"&amp;LEN(IF(Raw!D1379="","",Raw!D1379))&amp;":"&amp;IF(Raw!D1379="","",Raw!D1379)&amp;"|"&amp;LEN(IF(Raw!E1379="","",Raw!E1379))&amp;":"&amp;IF(Raw!E1379="","",Raw!E1379)&amp;"|"&amp;LEN(IF(Raw!F1379="","",Raw!F1379))&amp;":"&amp;IF(Raw!F1379="","",Raw!F1379)&amp;"|"&amp;LEN(IF(Raw!G1379="","",Raw!G1379))&amp;":"&amp;IF(Raw!G1379="","",Raw!G1379)</f>
        <v>6:L01373|6:T00687|10:2026-02-02|3:P-H|4:Home|4:sale|6:163.15</v>
      </c>
      <c r="Q1379" s="1">
        <f>1</f>
        <v>1</v>
      </c>
      <c r="R1379" s="1" t="b">
        <f>FALSE</f>
        <v>0</v>
      </c>
      <c r="S1379" s="1">
        <f>1</f>
        <v>1</v>
      </c>
      <c r="T1379" s="1" t="str">
        <f>IF(AND(Raw!A1379="",Raw!B1379="",Raw!C1379="",Raw!D1379="",Raw!E1379="",Raw!F1379="",Raw!G1379=""),"UNUSED",IF(A1379="","missing line ID",IF(B1379="","missing transaction ID",IF(G1379="",IF(C1379="","missing date","invalid date"),IF(I1379="","unknown product",IF(J1379="","conflicting category",IF(NOT(OR(EXACT(K1379,"sale"),EXACT(K1379,"refund"))),"unknown event",IF(OR(N1379="",NOT(O1379)),"invalid amount",IF(OR(AND(K1379="sale",N1379&lt;=0),AND(K1379="refund",N1379&gt;=0)),"invalid sign","")))))))))</f>
        <v/>
      </c>
      <c r="U1379" s="1" t="str">
        <f t="shared" si="173"/>
        <v>INCLUDED</v>
      </c>
      <c r="V1379" s="1" t="str">
        <f t="shared" si="174"/>
        <v>2026-02</v>
      </c>
      <c r="W1379" s="1">
        <f>IF(AND(U1379="INCLUDED",X1379&gt;0,EXACT(A1379,'AI output'!A1379)),1,0)</f>
        <v>1</v>
      </c>
      <c r="X1379" s="1">
        <f>1379</f>
        <v>1379</v>
      </c>
      <c r="Y1379" s="1">
        <f>IF(AND(U1379="INCLUDED",W1379=1),--(NOT(EXACT(A1379,'AI output'!A1379)))+--(NOT(EXACT(B1379,'AI output'!B1379)))+--(NOT(EXACT(TEXT(G1379,"yyyy-mm-dd"),'AI output'!C1379)))+--(NOT(EXACT(H1379,'AI output'!D1379)))+--(NOT(EXACT(J1379,'AI output'!E1379)))+--(NOT(EXACT(K1379,'AI output'!F1379)))+--(N1379&lt;&gt;'AI output'!L1379)+--(NOT('AI output'!M1379)),0)</f>
        <v>0</v>
      </c>
      <c r="Z1379" s="1">
        <f t="shared" si="175"/>
        <v>0</v>
      </c>
      <c r="AA1379" s="1">
        <f>--EXACT(A1379,"L01373")</f>
        <v>1</v>
      </c>
    </row>
    <row r="1380" spans="1:27" ht="18.95" customHeight="1">
      <c r="A1380" s="1" t="str">
        <f>IF(Raw!A1380="","",Raw!A1380)</f>
        <v>L01374</v>
      </c>
      <c r="B1380" s="1" t="str">
        <f>IF(Raw!B1380="","",Raw!B1380)</f>
        <v>T00687</v>
      </c>
      <c r="C1380" s="1" t="str">
        <f>IF(Raw!C1380="","",Raw!C1380)</f>
        <v>2026-02-02</v>
      </c>
      <c r="D1380" s="1">
        <f t="shared" si="168"/>
        <v>2026</v>
      </c>
      <c r="E1380" s="1">
        <f>IFERROR(IF(AND(LEN(C1380)=10,MID(C1380,5,1)="-",MID(C1380,8,1)="-"),VALUE(MID(C1380,6,2)),IF(AND(LEN(C1380)=11,MID(C1380,3,1)="-",MID(C1380,7,1)="-"),MATCH(UPPER(MID(C1380,4,3)),Guide!$D$7:$D$18,0),0)),0)</f>
        <v>2</v>
      </c>
      <c r="F1380" s="1">
        <f t="shared" si="169"/>
        <v>2</v>
      </c>
      <c r="G1380" s="9">
        <f t="shared" si="170"/>
        <v>46055</v>
      </c>
      <c r="H1380" s="1" t="str">
        <f>IF(Raw!D1380="","",Raw!D1380)</f>
        <v>P-O</v>
      </c>
      <c r="I1380" s="1" t="str">
        <f>IFERROR(IF(EXACT(H1380,INDEX(Guide!$A$7:$A$9,MATCH(SUBSTITUTE(SUBSTITUTE(SUBSTITUTE(H1380,"~","~~"),"*","~*"),"?","~?"),Guide!$A$7:$A$9,0))),INDEX(Guide!$B$7:$B$9,MATCH(SUBSTITUTE(SUBSTITUTE(SUBSTITUTE(H1380,"~","~~"),"*","~*"),"?","~?"),Guide!$A$7:$A$9,0)),""),"")</f>
        <v>Office</v>
      </c>
      <c r="J1380" s="1" t="str">
        <f>IF(TRIM(Raw!E1380)="",I1380,IF(UPPER(TRIM(Raw!E1380))=UPPER(I1380),I1380,""))</f>
        <v>Office</v>
      </c>
      <c r="K1380" s="1" t="str">
        <f>IF(Raw!F1380="","",Raw!F1380)</f>
        <v>sale</v>
      </c>
      <c r="L1380" s="1" t="str">
        <f>IF(LEFT(TRIM(Raw!G1380),2)="-$","-"&amp;MID(TRIM(Raw!G1380),3,99),IF(LEFT(TRIM(Raw!G1380),1)="$",MID(TRIM(Raw!G1380),2,99),TRIM(Raw!G1380)))</f>
        <v>66.00</v>
      </c>
      <c r="M1380" s="1">
        <f t="shared" si="171"/>
        <v>66</v>
      </c>
      <c r="N1380" s="10">
        <f t="shared" si="172"/>
        <v>6600</v>
      </c>
      <c r="O1380" s="1" t="b">
        <f>IFERROR(IF(ISNUMBER(Raw!G1380),TRUE,OR(EXACT(L1380,TEXT(M1380,"0.00")),EXACT(L1380,TEXT(M1380,"#,##0.00")))),FALSE)</f>
        <v>1</v>
      </c>
      <c r="P1380" s="1" t="str">
        <f>LEN(IF(Raw!A1380="","",Raw!A1380))&amp;":"&amp;IF(Raw!A1380="","",Raw!A1380)&amp;"|"&amp;LEN(IF(Raw!B1380="","",Raw!B1380))&amp;":"&amp;IF(Raw!B1380="","",Raw!B1380)&amp;"|"&amp;LEN(IF(Raw!C1380="","",Raw!C1380))&amp;":"&amp;IF(Raw!C1380="","",Raw!C1380)&amp;"|"&amp;LEN(IF(Raw!D1380="","",Raw!D1380))&amp;":"&amp;IF(Raw!D1380="","",Raw!D1380)&amp;"|"&amp;LEN(IF(Raw!E1380="","",Raw!E1380))&amp;":"&amp;IF(Raw!E1380="","",Raw!E1380)&amp;"|"&amp;LEN(IF(Raw!F1380="","",Raw!F1380))&amp;":"&amp;IF(Raw!F1380="","",Raw!F1380)&amp;"|"&amp;LEN(IF(Raw!G1380="","",Raw!G1380))&amp;":"&amp;IF(Raw!G1380="","",Raw!G1380)</f>
        <v>6:L01374|6:T00687|10:2026-02-02|3:P-O|6:Office|4:sale|5:66.00</v>
      </c>
      <c r="Q1380" s="1">
        <f>1</f>
        <v>1</v>
      </c>
      <c r="R1380" s="1" t="b">
        <f>FALSE</f>
        <v>0</v>
      </c>
      <c r="S1380" s="1">
        <f>1</f>
        <v>1</v>
      </c>
      <c r="T1380" s="1" t="str">
        <f>IF(AND(Raw!A1380="",Raw!B1380="",Raw!C1380="",Raw!D1380="",Raw!E1380="",Raw!F1380="",Raw!G1380=""),"UNUSED",IF(A1380="","missing line ID",IF(B1380="","missing transaction ID",IF(G1380="",IF(C1380="","missing date","invalid date"),IF(I1380="","unknown product",IF(J1380="","conflicting category",IF(NOT(OR(EXACT(K1380,"sale"),EXACT(K1380,"refund"))),"unknown event",IF(OR(N1380="",NOT(O1380)),"invalid amount",IF(OR(AND(K1380="sale",N1380&lt;=0),AND(K1380="refund",N1380&gt;=0)),"invalid sign","")))))))))</f>
        <v/>
      </c>
      <c r="U1380" s="1" t="str">
        <f t="shared" si="173"/>
        <v>INCLUDED</v>
      </c>
      <c r="V1380" s="1" t="str">
        <f t="shared" si="174"/>
        <v>2026-02</v>
      </c>
      <c r="W1380" s="1">
        <f>IF(AND(U1380="INCLUDED",X1380&gt;0,EXACT(A1380,'AI output'!A1380)),1,0)</f>
        <v>1</v>
      </c>
      <c r="X1380" s="1">
        <f>1380</f>
        <v>1380</v>
      </c>
      <c r="Y1380" s="1">
        <f>IF(AND(U1380="INCLUDED",W1380=1),--(NOT(EXACT(A1380,'AI output'!A1380)))+--(NOT(EXACT(B1380,'AI output'!B1380)))+--(NOT(EXACT(TEXT(G1380,"yyyy-mm-dd"),'AI output'!C1380)))+--(NOT(EXACT(H1380,'AI output'!D1380)))+--(NOT(EXACT(J1380,'AI output'!E1380)))+--(NOT(EXACT(K1380,'AI output'!F1380)))+--(N1380&lt;&gt;'AI output'!L1380)+--(NOT('AI output'!M1380)),0)</f>
        <v>0</v>
      </c>
      <c r="Z1380" s="1">
        <f t="shared" si="175"/>
        <v>0</v>
      </c>
      <c r="AA1380" s="1">
        <f>--EXACT(A1380,"L01374")</f>
        <v>1</v>
      </c>
    </row>
    <row r="1381" spans="1:27" ht="18.95" customHeight="1">
      <c r="A1381" s="1" t="str">
        <f>IF(Raw!A1381="","",Raw!A1381)</f>
        <v>L01375</v>
      </c>
      <c r="B1381" s="1" t="str">
        <f>IF(Raw!B1381="","",Raw!B1381)</f>
        <v>T00688</v>
      </c>
      <c r="C1381" s="1" t="str">
        <f>IF(Raw!C1381="","",Raw!C1381)</f>
        <v>2026-02-09</v>
      </c>
      <c r="D1381" s="1">
        <f t="shared" si="168"/>
        <v>2026</v>
      </c>
      <c r="E1381" s="1">
        <f>IFERROR(IF(AND(LEN(C1381)=10,MID(C1381,5,1)="-",MID(C1381,8,1)="-"),VALUE(MID(C1381,6,2)),IF(AND(LEN(C1381)=11,MID(C1381,3,1)="-",MID(C1381,7,1)="-"),MATCH(UPPER(MID(C1381,4,3)),Guide!$D$7:$D$18,0),0)),0)</f>
        <v>2</v>
      </c>
      <c r="F1381" s="1">
        <f t="shared" si="169"/>
        <v>9</v>
      </c>
      <c r="G1381" s="9">
        <f t="shared" si="170"/>
        <v>46062</v>
      </c>
      <c r="H1381" s="1" t="str">
        <f>IF(Raw!D1381="","",Raw!D1381)</f>
        <v>P-A</v>
      </c>
      <c r="I1381" s="1" t="str">
        <f>IFERROR(IF(EXACT(H1381,INDEX(Guide!$A$7:$A$9,MATCH(SUBSTITUTE(SUBSTITUTE(SUBSTITUTE(H1381,"~","~~"),"*","~*"),"?","~?"),Guide!$A$7:$A$9,0))),INDEX(Guide!$B$7:$B$9,MATCH(SUBSTITUTE(SUBSTITUTE(SUBSTITUTE(H1381,"~","~~"),"*","~*"),"?","~?"),Guide!$A$7:$A$9,0)),""),"")</f>
        <v>Accessories</v>
      </c>
      <c r="J1381" s="1" t="str">
        <f>IF(TRIM(Raw!E1381)="",I1381,IF(UPPER(TRIM(Raw!E1381))=UPPER(I1381),I1381,""))</f>
        <v>Accessories</v>
      </c>
      <c r="K1381" s="1" t="str">
        <f>IF(Raw!F1381="","",Raw!F1381)</f>
        <v>sale</v>
      </c>
      <c r="L1381" s="1" t="str">
        <f>IF(LEFT(TRIM(Raw!G1381),2)="-$","-"&amp;MID(TRIM(Raw!G1381),3,99),IF(LEFT(TRIM(Raw!G1381),1)="$",MID(TRIM(Raw!G1381),2,99),TRIM(Raw!G1381)))</f>
        <v>133.48</v>
      </c>
      <c r="M1381" s="1">
        <f t="shared" si="171"/>
        <v>133.47999999999999</v>
      </c>
      <c r="N1381" s="10">
        <f t="shared" si="172"/>
        <v>13348</v>
      </c>
      <c r="O1381" s="1" t="b">
        <f>IFERROR(IF(ISNUMBER(Raw!G1381),TRUE,OR(EXACT(L1381,TEXT(M1381,"0.00")),EXACT(L1381,TEXT(M1381,"#,##0.00")))),FALSE)</f>
        <v>1</v>
      </c>
      <c r="P1381" s="1" t="str">
        <f>LEN(IF(Raw!A1381="","",Raw!A1381))&amp;":"&amp;IF(Raw!A1381="","",Raw!A1381)&amp;"|"&amp;LEN(IF(Raw!B1381="","",Raw!B1381))&amp;":"&amp;IF(Raw!B1381="","",Raw!B1381)&amp;"|"&amp;LEN(IF(Raw!C1381="","",Raw!C1381))&amp;":"&amp;IF(Raw!C1381="","",Raw!C1381)&amp;"|"&amp;LEN(IF(Raw!D1381="","",Raw!D1381))&amp;":"&amp;IF(Raw!D1381="","",Raw!D1381)&amp;"|"&amp;LEN(IF(Raw!E1381="","",Raw!E1381))&amp;":"&amp;IF(Raw!E1381="","",Raw!E1381)&amp;"|"&amp;LEN(IF(Raw!F1381="","",Raw!F1381))&amp;":"&amp;IF(Raw!F1381="","",Raw!F1381)&amp;"|"&amp;LEN(IF(Raw!G1381="","",Raw!G1381))&amp;":"&amp;IF(Raw!G1381="","",Raw!G1381)</f>
        <v>6:L01375|6:T00688|10:2026-02-09|3:P-A|11:Accessories|4:sale|6:133.48</v>
      </c>
      <c r="Q1381" s="1">
        <f>1</f>
        <v>1</v>
      </c>
      <c r="R1381" s="1" t="b">
        <f>FALSE</f>
        <v>0</v>
      </c>
      <c r="S1381" s="1">
        <f>1</f>
        <v>1</v>
      </c>
      <c r="T1381" s="1" t="str">
        <f>IF(AND(Raw!A1381="",Raw!B1381="",Raw!C1381="",Raw!D1381="",Raw!E1381="",Raw!F1381="",Raw!G1381=""),"UNUSED",IF(A1381="","missing line ID",IF(B1381="","missing transaction ID",IF(G1381="",IF(C1381="","missing date","invalid date"),IF(I1381="","unknown product",IF(J1381="","conflicting category",IF(NOT(OR(EXACT(K1381,"sale"),EXACT(K1381,"refund"))),"unknown event",IF(OR(N1381="",NOT(O1381)),"invalid amount",IF(OR(AND(K1381="sale",N1381&lt;=0),AND(K1381="refund",N1381&gt;=0)),"invalid sign","")))))))))</f>
        <v/>
      </c>
      <c r="U1381" s="1" t="str">
        <f t="shared" si="173"/>
        <v>INCLUDED</v>
      </c>
      <c r="V1381" s="1" t="str">
        <f t="shared" si="174"/>
        <v>2026-02</v>
      </c>
      <c r="W1381" s="1">
        <f>IF(AND(U1381="INCLUDED",X1381&gt;0,EXACT(A1381,'AI output'!A1381)),1,0)</f>
        <v>1</v>
      </c>
      <c r="X1381" s="1">
        <f>1381</f>
        <v>1381</v>
      </c>
      <c r="Y1381" s="1">
        <f>IF(AND(U1381="INCLUDED",W1381=1),--(NOT(EXACT(A1381,'AI output'!A1381)))+--(NOT(EXACT(B1381,'AI output'!B1381)))+--(NOT(EXACT(TEXT(G1381,"yyyy-mm-dd"),'AI output'!C1381)))+--(NOT(EXACT(H1381,'AI output'!D1381)))+--(NOT(EXACT(J1381,'AI output'!E1381)))+--(NOT(EXACT(K1381,'AI output'!F1381)))+--(N1381&lt;&gt;'AI output'!L1381)+--(NOT('AI output'!M1381)),0)</f>
        <v>0</v>
      </c>
      <c r="Z1381" s="1">
        <f t="shared" si="175"/>
        <v>0</v>
      </c>
      <c r="AA1381" s="1">
        <f>--EXACT(A1381,"L01375")</f>
        <v>1</v>
      </c>
    </row>
    <row r="1382" spans="1:27" ht="18.95" customHeight="1">
      <c r="A1382" s="1" t="str">
        <f>IF(Raw!A1382="","",Raw!A1382)</f>
        <v>L01376</v>
      </c>
      <c r="B1382" s="1" t="str">
        <f>IF(Raw!B1382="","",Raw!B1382)</f>
        <v>T00688</v>
      </c>
      <c r="C1382" s="1" t="str">
        <f>IF(Raw!C1382="","",Raw!C1382)</f>
        <v>2026-02-09</v>
      </c>
      <c r="D1382" s="1">
        <f t="shared" si="168"/>
        <v>2026</v>
      </c>
      <c r="E1382" s="1">
        <f>IFERROR(IF(AND(LEN(C1382)=10,MID(C1382,5,1)="-",MID(C1382,8,1)="-"),VALUE(MID(C1382,6,2)),IF(AND(LEN(C1382)=11,MID(C1382,3,1)="-",MID(C1382,7,1)="-"),MATCH(UPPER(MID(C1382,4,3)),Guide!$D$7:$D$18,0),0)),0)</f>
        <v>2</v>
      </c>
      <c r="F1382" s="1">
        <f t="shared" si="169"/>
        <v>9</v>
      </c>
      <c r="G1382" s="9">
        <f t="shared" si="170"/>
        <v>46062</v>
      </c>
      <c r="H1382" s="1" t="str">
        <f>IF(Raw!D1382="","",Raw!D1382)</f>
        <v>P-H</v>
      </c>
      <c r="I1382" s="1" t="str">
        <f>IFERROR(IF(EXACT(H1382,INDEX(Guide!$A$7:$A$9,MATCH(SUBSTITUTE(SUBSTITUTE(SUBSTITUTE(H1382,"~","~~"),"*","~*"),"?","~?"),Guide!$A$7:$A$9,0))),INDEX(Guide!$B$7:$B$9,MATCH(SUBSTITUTE(SUBSTITUTE(SUBSTITUTE(H1382,"~","~~"),"*","~*"),"?","~?"),Guide!$A$7:$A$9,0)),""),"")</f>
        <v>Home</v>
      </c>
      <c r="J1382" s="1" t="str">
        <f>IF(TRIM(Raw!E1382)="",I1382,IF(UPPER(TRIM(Raw!E1382))=UPPER(I1382),I1382,""))</f>
        <v>Home</v>
      </c>
      <c r="K1382" s="1" t="str">
        <f>IF(Raw!F1382="","",Raw!F1382)</f>
        <v>sale</v>
      </c>
      <c r="L1382" s="1" t="str">
        <f>IF(LEFT(TRIM(Raw!G1382),2)="-$","-"&amp;MID(TRIM(Raw!G1382),3,99),IF(LEFT(TRIM(Raw!G1382),1)="$",MID(TRIM(Raw!G1382),2,99),TRIM(Raw!G1382)))</f>
        <v>33.74</v>
      </c>
      <c r="M1382" s="1">
        <f t="shared" si="171"/>
        <v>33.74</v>
      </c>
      <c r="N1382" s="10">
        <f t="shared" si="172"/>
        <v>3374</v>
      </c>
      <c r="O1382" s="1" t="b">
        <f>IFERROR(IF(ISNUMBER(Raw!G1382),TRUE,OR(EXACT(L1382,TEXT(M1382,"0.00")),EXACT(L1382,TEXT(M1382,"#,##0.00")))),FALSE)</f>
        <v>1</v>
      </c>
      <c r="P1382" s="1" t="str">
        <f>LEN(IF(Raw!A1382="","",Raw!A1382))&amp;":"&amp;IF(Raw!A1382="","",Raw!A1382)&amp;"|"&amp;LEN(IF(Raw!B1382="","",Raw!B1382))&amp;":"&amp;IF(Raw!B1382="","",Raw!B1382)&amp;"|"&amp;LEN(IF(Raw!C1382="","",Raw!C1382))&amp;":"&amp;IF(Raw!C1382="","",Raw!C1382)&amp;"|"&amp;LEN(IF(Raw!D1382="","",Raw!D1382))&amp;":"&amp;IF(Raw!D1382="","",Raw!D1382)&amp;"|"&amp;LEN(IF(Raw!E1382="","",Raw!E1382))&amp;":"&amp;IF(Raw!E1382="","",Raw!E1382)&amp;"|"&amp;LEN(IF(Raw!F1382="","",Raw!F1382))&amp;":"&amp;IF(Raw!F1382="","",Raw!F1382)&amp;"|"&amp;LEN(IF(Raw!G1382="","",Raw!G1382))&amp;":"&amp;IF(Raw!G1382="","",Raw!G1382)</f>
        <v>6:L01376|6:T00688|10:2026-02-09|3:P-H|4:Home|4:sale|5:33.74</v>
      </c>
      <c r="Q1382" s="1">
        <f>1</f>
        <v>1</v>
      </c>
      <c r="R1382" s="1" t="b">
        <f>FALSE</f>
        <v>0</v>
      </c>
      <c r="S1382" s="1">
        <f>1</f>
        <v>1</v>
      </c>
      <c r="T1382" s="1" t="str">
        <f>IF(AND(Raw!A1382="",Raw!B1382="",Raw!C1382="",Raw!D1382="",Raw!E1382="",Raw!F1382="",Raw!G1382=""),"UNUSED",IF(A1382="","missing line ID",IF(B1382="","missing transaction ID",IF(G1382="",IF(C1382="","missing date","invalid date"),IF(I1382="","unknown product",IF(J1382="","conflicting category",IF(NOT(OR(EXACT(K1382,"sale"),EXACT(K1382,"refund"))),"unknown event",IF(OR(N1382="",NOT(O1382)),"invalid amount",IF(OR(AND(K1382="sale",N1382&lt;=0),AND(K1382="refund",N1382&gt;=0)),"invalid sign","")))))))))</f>
        <v/>
      </c>
      <c r="U1382" s="1" t="str">
        <f t="shared" si="173"/>
        <v>INCLUDED</v>
      </c>
      <c r="V1382" s="1" t="str">
        <f t="shared" si="174"/>
        <v>2026-02</v>
      </c>
      <c r="W1382" s="1">
        <f>IF(AND(U1382="INCLUDED",X1382&gt;0,EXACT(A1382,'AI output'!A1382)),1,0)</f>
        <v>1</v>
      </c>
      <c r="X1382" s="1">
        <f>1382</f>
        <v>1382</v>
      </c>
      <c r="Y1382" s="1">
        <f>IF(AND(U1382="INCLUDED",W1382=1),--(NOT(EXACT(A1382,'AI output'!A1382)))+--(NOT(EXACT(B1382,'AI output'!B1382)))+--(NOT(EXACT(TEXT(G1382,"yyyy-mm-dd"),'AI output'!C1382)))+--(NOT(EXACT(H1382,'AI output'!D1382)))+--(NOT(EXACT(J1382,'AI output'!E1382)))+--(NOT(EXACT(K1382,'AI output'!F1382)))+--(N1382&lt;&gt;'AI output'!L1382)+--(NOT('AI output'!M1382)),0)</f>
        <v>0</v>
      </c>
      <c r="Z1382" s="1">
        <f t="shared" si="175"/>
        <v>0</v>
      </c>
      <c r="AA1382" s="1">
        <f>--EXACT(A1382,"L01376")</f>
        <v>1</v>
      </c>
    </row>
    <row r="1383" spans="1:27" ht="18.95" customHeight="1">
      <c r="A1383" s="1" t="str">
        <f>IF(Raw!A1383="","",Raw!A1383)</f>
        <v>L01377</v>
      </c>
      <c r="B1383" s="1" t="str">
        <f>IF(Raw!B1383="","",Raw!B1383)</f>
        <v>T00689</v>
      </c>
      <c r="C1383" s="1" t="str">
        <f>IF(Raw!C1383="","",Raw!C1383)</f>
        <v>2026-02-16</v>
      </c>
      <c r="D1383" s="1">
        <f t="shared" si="168"/>
        <v>2026</v>
      </c>
      <c r="E1383" s="1">
        <f>IFERROR(IF(AND(LEN(C1383)=10,MID(C1383,5,1)="-",MID(C1383,8,1)="-"),VALUE(MID(C1383,6,2)),IF(AND(LEN(C1383)=11,MID(C1383,3,1)="-",MID(C1383,7,1)="-"),MATCH(UPPER(MID(C1383,4,3)),Guide!$D$7:$D$18,0),0)),0)</f>
        <v>2</v>
      </c>
      <c r="F1383" s="1">
        <f t="shared" si="169"/>
        <v>16</v>
      </c>
      <c r="G1383" s="9">
        <f t="shared" si="170"/>
        <v>46069</v>
      </c>
      <c r="H1383" s="1" t="str">
        <f>IF(Raw!D1383="","",Raw!D1383)</f>
        <v>P-O</v>
      </c>
      <c r="I1383" s="1" t="str">
        <f>IFERROR(IF(EXACT(H1383,INDEX(Guide!$A$7:$A$9,MATCH(SUBSTITUTE(SUBSTITUTE(SUBSTITUTE(H1383,"~","~~"),"*","~*"),"?","~?"),Guide!$A$7:$A$9,0))),INDEX(Guide!$B$7:$B$9,MATCH(SUBSTITUTE(SUBSTITUTE(SUBSTITUTE(H1383,"~","~~"),"*","~*"),"?","~?"),Guide!$A$7:$A$9,0)),""),"")</f>
        <v>Office</v>
      </c>
      <c r="J1383" s="1" t="str">
        <f>IF(TRIM(Raw!E1383)="",I1383,IF(UPPER(TRIM(Raw!E1383))=UPPER(I1383),I1383,""))</f>
        <v>Office</v>
      </c>
      <c r="K1383" s="1" t="str">
        <f>IF(Raw!F1383="","",Raw!F1383)</f>
        <v>sale</v>
      </c>
      <c r="L1383" s="1" t="str">
        <f>IF(LEFT(TRIM(Raw!G1383),2)="-$","-"&amp;MID(TRIM(Raw!G1383),3,99),IF(LEFT(TRIM(Raw!G1383),1)="$",MID(TRIM(Raw!G1383),2,99),TRIM(Raw!G1383)))</f>
        <v>102.33</v>
      </c>
      <c r="M1383" s="1">
        <f t="shared" si="171"/>
        <v>102.33</v>
      </c>
      <c r="N1383" s="10">
        <f t="shared" si="172"/>
        <v>10233</v>
      </c>
      <c r="O1383" s="1" t="b">
        <f>IFERROR(IF(ISNUMBER(Raw!G1383),TRUE,OR(EXACT(L1383,TEXT(M1383,"0.00")),EXACT(L1383,TEXT(M1383,"#,##0.00")))),FALSE)</f>
        <v>1</v>
      </c>
      <c r="P1383" s="1" t="str">
        <f>LEN(IF(Raw!A1383="","",Raw!A1383))&amp;":"&amp;IF(Raw!A1383="","",Raw!A1383)&amp;"|"&amp;LEN(IF(Raw!B1383="","",Raw!B1383))&amp;":"&amp;IF(Raw!B1383="","",Raw!B1383)&amp;"|"&amp;LEN(IF(Raw!C1383="","",Raw!C1383))&amp;":"&amp;IF(Raw!C1383="","",Raw!C1383)&amp;"|"&amp;LEN(IF(Raw!D1383="","",Raw!D1383))&amp;":"&amp;IF(Raw!D1383="","",Raw!D1383)&amp;"|"&amp;LEN(IF(Raw!E1383="","",Raw!E1383))&amp;":"&amp;IF(Raw!E1383="","",Raw!E1383)&amp;"|"&amp;LEN(IF(Raw!F1383="","",Raw!F1383))&amp;":"&amp;IF(Raw!F1383="","",Raw!F1383)&amp;"|"&amp;LEN(IF(Raw!G1383="","",Raw!G1383))&amp;":"&amp;IF(Raw!G1383="","",Raw!G1383)</f>
        <v>6:L01377|6:T00689|10:2026-02-16|3:P-O|6:Office|4:sale|6:102.33</v>
      </c>
      <c r="Q1383" s="1">
        <f>1</f>
        <v>1</v>
      </c>
      <c r="R1383" s="1" t="b">
        <f>FALSE</f>
        <v>0</v>
      </c>
      <c r="S1383" s="1">
        <f>1</f>
        <v>1</v>
      </c>
      <c r="T1383" s="1" t="str">
        <f>IF(AND(Raw!A1383="",Raw!B1383="",Raw!C1383="",Raw!D1383="",Raw!E1383="",Raw!F1383="",Raw!G1383=""),"UNUSED",IF(A1383="","missing line ID",IF(B1383="","missing transaction ID",IF(G1383="",IF(C1383="","missing date","invalid date"),IF(I1383="","unknown product",IF(J1383="","conflicting category",IF(NOT(OR(EXACT(K1383,"sale"),EXACT(K1383,"refund"))),"unknown event",IF(OR(N1383="",NOT(O1383)),"invalid amount",IF(OR(AND(K1383="sale",N1383&lt;=0),AND(K1383="refund",N1383&gt;=0)),"invalid sign","")))))))))</f>
        <v/>
      </c>
      <c r="U1383" s="1" t="str">
        <f t="shared" si="173"/>
        <v>INCLUDED</v>
      </c>
      <c r="V1383" s="1" t="str">
        <f t="shared" si="174"/>
        <v>2026-02</v>
      </c>
      <c r="W1383" s="1">
        <f>IF(AND(U1383="INCLUDED",X1383&gt;0,EXACT(A1383,'AI output'!A1383)),1,0)</f>
        <v>1</v>
      </c>
      <c r="X1383" s="1">
        <f>1383</f>
        <v>1383</v>
      </c>
      <c r="Y1383" s="1">
        <f>IF(AND(U1383="INCLUDED",W1383=1),--(NOT(EXACT(A1383,'AI output'!A1383)))+--(NOT(EXACT(B1383,'AI output'!B1383)))+--(NOT(EXACT(TEXT(G1383,"yyyy-mm-dd"),'AI output'!C1383)))+--(NOT(EXACT(H1383,'AI output'!D1383)))+--(NOT(EXACT(J1383,'AI output'!E1383)))+--(NOT(EXACT(K1383,'AI output'!F1383)))+--(N1383&lt;&gt;'AI output'!L1383)+--(NOT('AI output'!M1383)),0)</f>
        <v>0</v>
      </c>
      <c r="Z1383" s="1">
        <f t="shared" si="175"/>
        <v>0</v>
      </c>
      <c r="AA1383" s="1">
        <f>--EXACT(A1383,"L01377")</f>
        <v>1</v>
      </c>
    </row>
    <row r="1384" spans="1:27" ht="18.95" customHeight="1">
      <c r="A1384" s="1" t="str">
        <f>IF(Raw!A1384="","",Raw!A1384)</f>
        <v>L01378</v>
      </c>
      <c r="B1384" s="1" t="str">
        <f>IF(Raw!B1384="","",Raw!B1384)</f>
        <v>T00689</v>
      </c>
      <c r="C1384" s="1" t="str">
        <f>IF(Raw!C1384="","",Raw!C1384)</f>
        <v>2026-02-16</v>
      </c>
      <c r="D1384" s="1">
        <f t="shared" si="168"/>
        <v>2026</v>
      </c>
      <c r="E1384" s="1">
        <f>IFERROR(IF(AND(LEN(C1384)=10,MID(C1384,5,1)="-",MID(C1384,8,1)="-"),VALUE(MID(C1384,6,2)),IF(AND(LEN(C1384)=11,MID(C1384,3,1)="-",MID(C1384,7,1)="-"),MATCH(UPPER(MID(C1384,4,3)),Guide!$D$7:$D$18,0),0)),0)</f>
        <v>2</v>
      </c>
      <c r="F1384" s="1">
        <f t="shared" si="169"/>
        <v>16</v>
      </c>
      <c r="G1384" s="9">
        <f t="shared" si="170"/>
        <v>46069</v>
      </c>
      <c r="H1384" s="1" t="str">
        <f>IF(Raw!D1384="","",Raw!D1384)</f>
        <v>P-A</v>
      </c>
      <c r="I1384" s="1" t="str">
        <f>IFERROR(IF(EXACT(H1384,INDEX(Guide!$A$7:$A$9,MATCH(SUBSTITUTE(SUBSTITUTE(SUBSTITUTE(H1384,"~","~~"),"*","~*"),"?","~?"),Guide!$A$7:$A$9,0))),INDEX(Guide!$B$7:$B$9,MATCH(SUBSTITUTE(SUBSTITUTE(SUBSTITUTE(H1384,"~","~~"),"*","~*"),"?","~?"),Guide!$A$7:$A$9,0)),""),"")</f>
        <v>Accessories</v>
      </c>
      <c r="J1384" s="1" t="str">
        <f>IF(TRIM(Raw!E1384)="",I1384,IF(UPPER(TRIM(Raw!E1384))=UPPER(I1384),I1384,""))</f>
        <v>Accessories</v>
      </c>
      <c r="K1384" s="1" t="str">
        <f>IF(Raw!F1384="","",Raw!F1384)</f>
        <v>sale</v>
      </c>
      <c r="L1384" s="1" t="str">
        <f>IF(LEFT(TRIM(Raw!G1384),2)="-$","-"&amp;MID(TRIM(Raw!G1384),3,99),IF(LEFT(TRIM(Raw!G1384),1)="$",MID(TRIM(Raw!G1384),2,99),TRIM(Raw!G1384)))</f>
        <v>172.40</v>
      </c>
      <c r="M1384" s="1">
        <f t="shared" si="171"/>
        <v>172.4</v>
      </c>
      <c r="N1384" s="10">
        <f t="shared" si="172"/>
        <v>17240</v>
      </c>
      <c r="O1384" s="1" t="b">
        <f>IFERROR(IF(ISNUMBER(Raw!G1384),TRUE,OR(EXACT(L1384,TEXT(M1384,"0.00")),EXACT(L1384,TEXT(M1384,"#,##0.00")))),FALSE)</f>
        <v>1</v>
      </c>
      <c r="P1384" s="1" t="str">
        <f>LEN(IF(Raw!A1384="","",Raw!A1384))&amp;":"&amp;IF(Raw!A1384="","",Raw!A1384)&amp;"|"&amp;LEN(IF(Raw!B1384="","",Raw!B1384))&amp;":"&amp;IF(Raw!B1384="","",Raw!B1384)&amp;"|"&amp;LEN(IF(Raw!C1384="","",Raw!C1384))&amp;":"&amp;IF(Raw!C1384="","",Raw!C1384)&amp;"|"&amp;LEN(IF(Raw!D1384="","",Raw!D1384))&amp;":"&amp;IF(Raw!D1384="","",Raw!D1384)&amp;"|"&amp;LEN(IF(Raw!E1384="","",Raw!E1384))&amp;":"&amp;IF(Raw!E1384="","",Raw!E1384)&amp;"|"&amp;LEN(IF(Raw!F1384="","",Raw!F1384))&amp;":"&amp;IF(Raw!F1384="","",Raw!F1384)&amp;"|"&amp;LEN(IF(Raw!G1384="","",Raw!G1384))&amp;":"&amp;IF(Raw!G1384="","",Raw!G1384)</f>
        <v>6:L01378|6:T00689|10:2026-02-16|3:P-A|11:Accessories|4:sale|6:172.40</v>
      </c>
      <c r="Q1384" s="1">
        <f>1</f>
        <v>1</v>
      </c>
      <c r="R1384" s="1" t="b">
        <f>FALSE</f>
        <v>0</v>
      </c>
      <c r="S1384" s="1">
        <f>1</f>
        <v>1</v>
      </c>
      <c r="T1384" s="1" t="str">
        <f>IF(AND(Raw!A1384="",Raw!B1384="",Raw!C1384="",Raw!D1384="",Raw!E1384="",Raw!F1384="",Raw!G1384=""),"UNUSED",IF(A1384="","missing line ID",IF(B1384="","missing transaction ID",IF(G1384="",IF(C1384="","missing date","invalid date"),IF(I1384="","unknown product",IF(J1384="","conflicting category",IF(NOT(OR(EXACT(K1384,"sale"),EXACT(K1384,"refund"))),"unknown event",IF(OR(N1384="",NOT(O1384)),"invalid amount",IF(OR(AND(K1384="sale",N1384&lt;=0),AND(K1384="refund",N1384&gt;=0)),"invalid sign","")))))))))</f>
        <v/>
      </c>
      <c r="U1384" s="1" t="str">
        <f t="shared" si="173"/>
        <v>INCLUDED</v>
      </c>
      <c r="V1384" s="1" t="str">
        <f t="shared" si="174"/>
        <v>2026-02</v>
      </c>
      <c r="W1384" s="1">
        <f>IF(AND(U1384="INCLUDED",X1384&gt;0,EXACT(A1384,'AI output'!A1384)),1,0)</f>
        <v>1</v>
      </c>
      <c r="X1384" s="1">
        <f>1384</f>
        <v>1384</v>
      </c>
      <c r="Y1384" s="1">
        <f>IF(AND(U1384="INCLUDED",W1384=1),--(NOT(EXACT(A1384,'AI output'!A1384)))+--(NOT(EXACT(B1384,'AI output'!B1384)))+--(NOT(EXACT(TEXT(G1384,"yyyy-mm-dd"),'AI output'!C1384)))+--(NOT(EXACT(H1384,'AI output'!D1384)))+--(NOT(EXACT(J1384,'AI output'!E1384)))+--(NOT(EXACT(K1384,'AI output'!F1384)))+--(N1384&lt;&gt;'AI output'!L1384)+--(NOT('AI output'!M1384)),0)</f>
        <v>0</v>
      </c>
      <c r="Z1384" s="1">
        <f t="shared" si="175"/>
        <v>0</v>
      </c>
      <c r="AA1384" s="1">
        <f>--EXACT(A1384,"L01378")</f>
        <v>1</v>
      </c>
    </row>
    <row r="1385" spans="1:27" ht="18.95" customHeight="1">
      <c r="A1385" s="1" t="str">
        <f>IF(Raw!A1385="","",Raw!A1385)</f>
        <v>L01379</v>
      </c>
      <c r="B1385" s="1" t="str">
        <f>IF(Raw!B1385="","",Raw!B1385)</f>
        <v>T00690</v>
      </c>
      <c r="C1385" s="1" t="str">
        <f>IF(Raw!C1385="","",Raw!C1385)</f>
        <v>2026-02-23</v>
      </c>
      <c r="D1385" s="1">
        <f t="shared" si="168"/>
        <v>2026</v>
      </c>
      <c r="E1385" s="1">
        <f>IFERROR(IF(AND(LEN(C1385)=10,MID(C1385,5,1)="-",MID(C1385,8,1)="-"),VALUE(MID(C1385,6,2)),IF(AND(LEN(C1385)=11,MID(C1385,3,1)="-",MID(C1385,7,1)="-"),MATCH(UPPER(MID(C1385,4,3)),Guide!$D$7:$D$18,0),0)),0)</f>
        <v>2</v>
      </c>
      <c r="F1385" s="1">
        <f t="shared" si="169"/>
        <v>23</v>
      </c>
      <c r="G1385" s="9">
        <f t="shared" si="170"/>
        <v>46076</v>
      </c>
      <c r="H1385" s="1" t="str">
        <f>IF(Raw!D1385="","",Raw!D1385)</f>
        <v>P-H</v>
      </c>
      <c r="I1385" s="1" t="str">
        <f>IFERROR(IF(EXACT(H1385,INDEX(Guide!$A$7:$A$9,MATCH(SUBSTITUTE(SUBSTITUTE(SUBSTITUTE(H1385,"~","~~"),"*","~*"),"?","~?"),Guide!$A$7:$A$9,0))),INDEX(Guide!$B$7:$B$9,MATCH(SUBSTITUTE(SUBSTITUTE(SUBSTITUTE(H1385,"~","~~"),"*","~*"),"?","~?"),Guide!$A$7:$A$9,0)),""),"")</f>
        <v>Home</v>
      </c>
      <c r="J1385" s="1" t="str">
        <f>IF(TRIM(Raw!E1385)="",I1385,IF(UPPER(TRIM(Raw!E1385))=UPPER(I1385),I1385,""))</f>
        <v>Home</v>
      </c>
      <c r="K1385" s="1" t="str">
        <f>IF(Raw!F1385="","",Raw!F1385)</f>
        <v>sale</v>
      </c>
      <c r="L1385" s="1" t="str">
        <f>IF(LEFT(TRIM(Raw!G1385),2)="-$","-"&amp;MID(TRIM(Raw!G1385),3,99),IF(LEFT(TRIM(Raw!G1385),1)="$",MID(TRIM(Raw!G1385),2,99),TRIM(Raw!G1385)))</f>
        <v>69.70</v>
      </c>
      <c r="M1385" s="1">
        <f t="shared" si="171"/>
        <v>69.7</v>
      </c>
      <c r="N1385" s="10">
        <f t="shared" si="172"/>
        <v>6970</v>
      </c>
      <c r="O1385" s="1" t="b">
        <f>IFERROR(IF(ISNUMBER(Raw!G1385),TRUE,OR(EXACT(L1385,TEXT(M1385,"0.00")),EXACT(L1385,TEXT(M1385,"#,##0.00")))),FALSE)</f>
        <v>1</v>
      </c>
      <c r="P1385" s="1" t="str">
        <f>LEN(IF(Raw!A1385="","",Raw!A1385))&amp;":"&amp;IF(Raw!A1385="","",Raw!A1385)&amp;"|"&amp;LEN(IF(Raw!B1385="","",Raw!B1385))&amp;":"&amp;IF(Raw!B1385="","",Raw!B1385)&amp;"|"&amp;LEN(IF(Raw!C1385="","",Raw!C1385))&amp;":"&amp;IF(Raw!C1385="","",Raw!C1385)&amp;"|"&amp;LEN(IF(Raw!D1385="","",Raw!D1385))&amp;":"&amp;IF(Raw!D1385="","",Raw!D1385)&amp;"|"&amp;LEN(IF(Raw!E1385="","",Raw!E1385))&amp;":"&amp;IF(Raw!E1385="","",Raw!E1385)&amp;"|"&amp;LEN(IF(Raw!F1385="","",Raw!F1385))&amp;":"&amp;IF(Raw!F1385="","",Raw!F1385)&amp;"|"&amp;LEN(IF(Raw!G1385="","",Raw!G1385))&amp;":"&amp;IF(Raw!G1385="","",Raw!G1385)</f>
        <v>6:L01379|6:T00690|10:2026-02-23|3:P-H|4:Home|4:sale|5:69.70</v>
      </c>
      <c r="Q1385" s="1">
        <f>1</f>
        <v>1</v>
      </c>
      <c r="R1385" s="1" t="b">
        <f>FALSE</f>
        <v>0</v>
      </c>
      <c r="S1385" s="1">
        <f>1</f>
        <v>1</v>
      </c>
      <c r="T1385" s="1" t="str">
        <f>IF(AND(Raw!A1385="",Raw!B1385="",Raw!C1385="",Raw!D1385="",Raw!E1385="",Raw!F1385="",Raw!G1385=""),"UNUSED",IF(A1385="","missing line ID",IF(B1385="","missing transaction ID",IF(G1385="",IF(C1385="","missing date","invalid date"),IF(I1385="","unknown product",IF(J1385="","conflicting category",IF(NOT(OR(EXACT(K1385,"sale"),EXACT(K1385,"refund"))),"unknown event",IF(OR(N1385="",NOT(O1385)),"invalid amount",IF(OR(AND(K1385="sale",N1385&lt;=0),AND(K1385="refund",N1385&gt;=0)),"invalid sign","")))))))))</f>
        <v/>
      </c>
      <c r="U1385" s="1" t="str">
        <f t="shared" si="173"/>
        <v>INCLUDED</v>
      </c>
      <c r="V1385" s="1" t="str">
        <f t="shared" si="174"/>
        <v>2026-02</v>
      </c>
      <c r="W1385" s="1">
        <f>IF(AND(U1385="INCLUDED",X1385&gt;0,EXACT(A1385,'AI output'!A1385)),1,0)</f>
        <v>1</v>
      </c>
      <c r="X1385" s="1">
        <f>1385</f>
        <v>1385</v>
      </c>
      <c r="Y1385" s="1">
        <f>IF(AND(U1385="INCLUDED",W1385=1),--(NOT(EXACT(A1385,'AI output'!A1385)))+--(NOT(EXACT(B1385,'AI output'!B1385)))+--(NOT(EXACT(TEXT(G1385,"yyyy-mm-dd"),'AI output'!C1385)))+--(NOT(EXACT(H1385,'AI output'!D1385)))+--(NOT(EXACT(J1385,'AI output'!E1385)))+--(NOT(EXACT(K1385,'AI output'!F1385)))+--(N1385&lt;&gt;'AI output'!L1385)+--(NOT('AI output'!M1385)),0)</f>
        <v>0</v>
      </c>
      <c r="Z1385" s="1">
        <f t="shared" si="175"/>
        <v>0</v>
      </c>
      <c r="AA1385" s="1">
        <f>--EXACT(A1385,"L01379")</f>
        <v>1</v>
      </c>
    </row>
    <row r="1386" spans="1:27" ht="18.95" customHeight="1">
      <c r="A1386" s="1" t="str">
        <f>IF(Raw!A1386="","",Raw!A1386)</f>
        <v>L01380</v>
      </c>
      <c r="B1386" s="1" t="str">
        <f>IF(Raw!B1386="","",Raw!B1386)</f>
        <v>T00690</v>
      </c>
      <c r="C1386" s="1" t="str">
        <f>IF(Raw!C1386="","",Raw!C1386)</f>
        <v>2026-02-23</v>
      </c>
      <c r="D1386" s="1">
        <f t="shared" si="168"/>
        <v>2026</v>
      </c>
      <c r="E1386" s="1">
        <f>IFERROR(IF(AND(LEN(C1386)=10,MID(C1386,5,1)="-",MID(C1386,8,1)="-"),VALUE(MID(C1386,6,2)),IF(AND(LEN(C1386)=11,MID(C1386,3,1)="-",MID(C1386,7,1)="-"),MATCH(UPPER(MID(C1386,4,3)),Guide!$D$7:$D$18,0),0)),0)</f>
        <v>2</v>
      </c>
      <c r="F1386" s="1">
        <f t="shared" si="169"/>
        <v>23</v>
      </c>
      <c r="G1386" s="9">
        <f t="shared" si="170"/>
        <v>46076</v>
      </c>
      <c r="H1386" s="1" t="str">
        <f>IF(Raw!D1386="","",Raw!D1386)</f>
        <v>P-O</v>
      </c>
      <c r="I1386" s="1" t="str">
        <f>IFERROR(IF(EXACT(H1386,INDEX(Guide!$A$7:$A$9,MATCH(SUBSTITUTE(SUBSTITUTE(SUBSTITUTE(H1386,"~","~~"),"*","~*"),"?","~?"),Guide!$A$7:$A$9,0))),INDEX(Guide!$B$7:$B$9,MATCH(SUBSTITUTE(SUBSTITUTE(SUBSTITUTE(H1386,"~","~~"),"*","~*"),"?","~?"),Guide!$A$7:$A$9,0)),""),"")</f>
        <v>Office</v>
      </c>
      <c r="J1386" s="1" t="str">
        <f>IF(TRIM(Raw!E1386)="",I1386,IF(UPPER(TRIM(Raw!E1386))=UPPER(I1386),I1386,""))</f>
        <v>Office</v>
      </c>
      <c r="K1386" s="1" t="str">
        <f>IF(Raw!F1386="","",Raw!F1386)</f>
        <v>sale</v>
      </c>
      <c r="L1386" s="1" t="str">
        <f>IF(LEFT(TRIM(Raw!G1386),2)="-$","-"&amp;MID(TRIM(Raw!G1386),3,99),IF(LEFT(TRIM(Raw!G1386),1)="$",MID(TRIM(Raw!G1386),2,99),TRIM(Raw!G1386)))</f>
        <v>140.88</v>
      </c>
      <c r="M1386" s="1">
        <f t="shared" si="171"/>
        <v>140.88</v>
      </c>
      <c r="N1386" s="10">
        <f t="shared" si="172"/>
        <v>14088</v>
      </c>
      <c r="O1386" s="1" t="b">
        <f>IFERROR(IF(ISNUMBER(Raw!G1386),TRUE,OR(EXACT(L1386,TEXT(M1386,"0.00")),EXACT(L1386,TEXT(M1386,"#,##0.00")))),FALSE)</f>
        <v>1</v>
      </c>
      <c r="P1386" s="1" t="str">
        <f>LEN(IF(Raw!A1386="","",Raw!A1386))&amp;":"&amp;IF(Raw!A1386="","",Raw!A1386)&amp;"|"&amp;LEN(IF(Raw!B1386="","",Raw!B1386))&amp;":"&amp;IF(Raw!B1386="","",Raw!B1386)&amp;"|"&amp;LEN(IF(Raw!C1386="","",Raw!C1386))&amp;":"&amp;IF(Raw!C1386="","",Raw!C1386)&amp;"|"&amp;LEN(IF(Raw!D1386="","",Raw!D1386))&amp;":"&amp;IF(Raw!D1386="","",Raw!D1386)&amp;"|"&amp;LEN(IF(Raw!E1386="","",Raw!E1386))&amp;":"&amp;IF(Raw!E1386="","",Raw!E1386)&amp;"|"&amp;LEN(IF(Raw!F1386="","",Raw!F1386))&amp;":"&amp;IF(Raw!F1386="","",Raw!F1386)&amp;"|"&amp;LEN(IF(Raw!G1386="","",Raw!G1386))&amp;":"&amp;IF(Raw!G1386="","",Raw!G1386)</f>
        <v>6:L01380|6:T00690|10:2026-02-23|3:P-O|6:Office|4:sale|6:140.88</v>
      </c>
      <c r="Q1386" s="1">
        <f>1</f>
        <v>1</v>
      </c>
      <c r="R1386" s="1" t="b">
        <f>FALSE</f>
        <v>0</v>
      </c>
      <c r="S1386" s="1">
        <f>1</f>
        <v>1</v>
      </c>
      <c r="T1386" s="1" t="str">
        <f>IF(AND(Raw!A1386="",Raw!B1386="",Raw!C1386="",Raw!D1386="",Raw!E1386="",Raw!F1386="",Raw!G1386=""),"UNUSED",IF(A1386="","missing line ID",IF(B1386="","missing transaction ID",IF(G1386="",IF(C1386="","missing date","invalid date"),IF(I1386="","unknown product",IF(J1386="","conflicting category",IF(NOT(OR(EXACT(K1386,"sale"),EXACT(K1386,"refund"))),"unknown event",IF(OR(N1386="",NOT(O1386)),"invalid amount",IF(OR(AND(K1386="sale",N1386&lt;=0),AND(K1386="refund",N1386&gt;=0)),"invalid sign","")))))))))</f>
        <v/>
      </c>
      <c r="U1386" s="1" t="str">
        <f t="shared" si="173"/>
        <v>INCLUDED</v>
      </c>
      <c r="V1386" s="1" t="str">
        <f t="shared" si="174"/>
        <v>2026-02</v>
      </c>
      <c r="W1386" s="1">
        <f>IF(AND(U1386="INCLUDED",X1386&gt;0,EXACT(A1386,'AI output'!A1386)),1,0)</f>
        <v>1</v>
      </c>
      <c r="X1386" s="1">
        <f>1386</f>
        <v>1386</v>
      </c>
      <c r="Y1386" s="1">
        <f>IF(AND(U1386="INCLUDED",W1386=1),--(NOT(EXACT(A1386,'AI output'!A1386)))+--(NOT(EXACT(B1386,'AI output'!B1386)))+--(NOT(EXACT(TEXT(G1386,"yyyy-mm-dd"),'AI output'!C1386)))+--(NOT(EXACT(H1386,'AI output'!D1386)))+--(NOT(EXACT(J1386,'AI output'!E1386)))+--(NOT(EXACT(K1386,'AI output'!F1386)))+--(N1386&lt;&gt;'AI output'!L1386)+--(NOT('AI output'!M1386)),0)</f>
        <v>0</v>
      </c>
      <c r="Z1386" s="1">
        <f t="shared" si="175"/>
        <v>0</v>
      </c>
      <c r="AA1386" s="1">
        <f>--EXACT(A1386,"L01380")</f>
        <v>1</v>
      </c>
    </row>
    <row r="1387" spans="1:27" ht="18.95" customHeight="1">
      <c r="A1387" s="1" t="str">
        <f>IF(Raw!A1387="","",Raw!A1387)</f>
        <v>L01381</v>
      </c>
      <c r="B1387" s="1" t="str">
        <f>IF(Raw!B1387="","",Raw!B1387)</f>
        <v>T00691</v>
      </c>
      <c r="C1387" s="1" t="str">
        <f>IF(Raw!C1387="","",Raw!C1387)</f>
        <v>2026-03-02</v>
      </c>
      <c r="D1387" s="1">
        <f t="shared" si="168"/>
        <v>2026</v>
      </c>
      <c r="E1387" s="1">
        <f>IFERROR(IF(AND(LEN(C1387)=10,MID(C1387,5,1)="-",MID(C1387,8,1)="-"),VALUE(MID(C1387,6,2)),IF(AND(LEN(C1387)=11,MID(C1387,3,1)="-",MID(C1387,7,1)="-"),MATCH(UPPER(MID(C1387,4,3)),Guide!$D$7:$D$18,0),0)),0)</f>
        <v>3</v>
      </c>
      <c r="F1387" s="1">
        <f t="shared" si="169"/>
        <v>2</v>
      </c>
      <c r="G1387" s="9">
        <f t="shared" si="170"/>
        <v>46083</v>
      </c>
      <c r="H1387" s="1" t="str">
        <f>IF(Raw!D1387="","",Raw!D1387)</f>
        <v>P-A</v>
      </c>
      <c r="I1387" s="1" t="str">
        <f>IFERROR(IF(EXACT(H1387,INDEX(Guide!$A$7:$A$9,MATCH(SUBSTITUTE(SUBSTITUTE(SUBSTITUTE(H1387,"~","~~"),"*","~*"),"?","~?"),Guide!$A$7:$A$9,0))),INDEX(Guide!$B$7:$B$9,MATCH(SUBSTITUTE(SUBSTITUTE(SUBSTITUTE(H1387,"~","~~"),"*","~*"),"?","~?"),Guide!$A$7:$A$9,0)),""),"")</f>
        <v>Accessories</v>
      </c>
      <c r="J1387" s="1" t="str">
        <f>IF(TRIM(Raw!E1387)="",I1387,IF(UPPER(TRIM(Raw!E1387))=UPPER(I1387),I1387,""))</f>
        <v>Accessories</v>
      </c>
      <c r="K1387" s="1" t="str">
        <f>IF(Raw!F1387="","",Raw!F1387)</f>
        <v>refund</v>
      </c>
      <c r="L1387" s="1" t="str">
        <f>IF(LEFT(TRIM(Raw!G1387),2)="-$","-"&amp;MID(TRIM(Raw!G1387),3,99),IF(LEFT(TRIM(Raw!G1387),1)="$",MID(TRIM(Raw!G1387),2,99),TRIM(Raw!G1387)))</f>
        <v>-35.59</v>
      </c>
      <c r="M1387" s="1">
        <f t="shared" si="171"/>
        <v>-35.590000000000003</v>
      </c>
      <c r="N1387" s="10">
        <f t="shared" si="172"/>
        <v>-3559</v>
      </c>
      <c r="O1387" s="1" t="b">
        <f>IFERROR(IF(ISNUMBER(Raw!G1387),TRUE,OR(EXACT(L1387,TEXT(M1387,"0.00")),EXACT(L1387,TEXT(M1387,"#,##0.00")))),FALSE)</f>
        <v>1</v>
      </c>
      <c r="P1387" s="1" t="str">
        <f>LEN(IF(Raw!A1387="","",Raw!A1387))&amp;":"&amp;IF(Raw!A1387="","",Raw!A1387)&amp;"|"&amp;LEN(IF(Raw!B1387="","",Raw!B1387))&amp;":"&amp;IF(Raw!B1387="","",Raw!B1387)&amp;"|"&amp;LEN(IF(Raw!C1387="","",Raw!C1387))&amp;":"&amp;IF(Raw!C1387="","",Raw!C1387)&amp;"|"&amp;LEN(IF(Raw!D1387="","",Raw!D1387))&amp;":"&amp;IF(Raw!D1387="","",Raw!D1387)&amp;"|"&amp;LEN(IF(Raw!E1387="","",Raw!E1387))&amp;":"&amp;IF(Raw!E1387="","",Raw!E1387)&amp;"|"&amp;LEN(IF(Raw!F1387="","",Raw!F1387))&amp;":"&amp;IF(Raw!F1387="","",Raw!F1387)&amp;"|"&amp;LEN(IF(Raw!G1387="","",Raw!G1387))&amp;":"&amp;IF(Raw!G1387="","",Raw!G1387)</f>
        <v>6:L01381|6:T00691|10:2026-03-02|3:P-A|11:Accessories|6:refund|6:-35.59</v>
      </c>
      <c r="Q1387" s="1">
        <f>1</f>
        <v>1</v>
      </c>
      <c r="R1387" s="1" t="b">
        <f>FALSE</f>
        <v>0</v>
      </c>
      <c r="S1387" s="1">
        <f>1</f>
        <v>1</v>
      </c>
      <c r="T1387" s="1" t="str">
        <f>IF(AND(Raw!A1387="",Raw!B1387="",Raw!C1387="",Raw!D1387="",Raw!E1387="",Raw!F1387="",Raw!G1387=""),"UNUSED",IF(A1387="","missing line ID",IF(B1387="","missing transaction ID",IF(G1387="",IF(C1387="","missing date","invalid date"),IF(I1387="","unknown product",IF(J1387="","conflicting category",IF(NOT(OR(EXACT(K1387,"sale"),EXACT(K1387,"refund"))),"unknown event",IF(OR(N1387="",NOT(O1387)),"invalid amount",IF(OR(AND(K1387="sale",N1387&lt;=0),AND(K1387="refund",N1387&gt;=0)),"invalid sign","")))))))))</f>
        <v/>
      </c>
      <c r="U1387" s="1" t="str">
        <f t="shared" si="173"/>
        <v>INCLUDED</v>
      </c>
      <c r="V1387" s="1" t="str">
        <f t="shared" si="174"/>
        <v>2026-03</v>
      </c>
      <c r="W1387" s="1">
        <f>IF(AND(U1387="INCLUDED",X1387&gt;0,EXACT(A1387,'AI output'!A1387)),1,0)</f>
        <v>1</v>
      </c>
      <c r="X1387" s="1">
        <f>1387</f>
        <v>1387</v>
      </c>
      <c r="Y1387" s="1">
        <f>IF(AND(U1387="INCLUDED",W1387=1),--(NOT(EXACT(A1387,'AI output'!A1387)))+--(NOT(EXACT(B1387,'AI output'!B1387)))+--(NOT(EXACT(TEXT(G1387,"yyyy-mm-dd"),'AI output'!C1387)))+--(NOT(EXACT(H1387,'AI output'!D1387)))+--(NOT(EXACT(J1387,'AI output'!E1387)))+--(NOT(EXACT(K1387,'AI output'!F1387)))+--(N1387&lt;&gt;'AI output'!L1387)+--(NOT('AI output'!M1387)),0)</f>
        <v>0</v>
      </c>
      <c r="Z1387" s="1">
        <f t="shared" si="175"/>
        <v>0</v>
      </c>
      <c r="AA1387" s="1">
        <f>--EXACT(A1387,"L01381")</f>
        <v>1</v>
      </c>
    </row>
    <row r="1388" spans="1:27" ht="18.95" customHeight="1">
      <c r="A1388" s="1" t="str">
        <f>IF(Raw!A1388="","",Raw!A1388)</f>
        <v>L01382</v>
      </c>
      <c r="B1388" s="1" t="str">
        <f>IF(Raw!B1388="","",Raw!B1388)</f>
        <v>T00691</v>
      </c>
      <c r="C1388" s="1" t="str">
        <f>IF(Raw!C1388="","",Raw!C1388)</f>
        <v>2026-03-02</v>
      </c>
      <c r="D1388" s="1">
        <f t="shared" si="168"/>
        <v>2026</v>
      </c>
      <c r="E1388" s="1">
        <f>IFERROR(IF(AND(LEN(C1388)=10,MID(C1388,5,1)="-",MID(C1388,8,1)="-"),VALUE(MID(C1388,6,2)),IF(AND(LEN(C1388)=11,MID(C1388,3,1)="-",MID(C1388,7,1)="-"),MATCH(UPPER(MID(C1388,4,3)),Guide!$D$7:$D$18,0),0)),0)</f>
        <v>3</v>
      </c>
      <c r="F1388" s="1">
        <f t="shared" si="169"/>
        <v>2</v>
      </c>
      <c r="G1388" s="9">
        <f t="shared" si="170"/>
        <v>46083</v>
      </c>
      <c r="H1388" s="1" t="str">
        <f>IF(Raw!D1388="","",Raw!D1388)</f>
        <v>P-H</v>
      </c>
      <c r="I1388" s="1" t="str">
        <f>IFERROR(IF(EXACT(H1388,INDEX(Guide!$A$7:$A$9,MATCH(SUBSTITUTE(SUBSTITUTE(SUBSTITUTE(H1388,"~","~~"),"*","~*"),"?","~?"),Guide!$A$7:$A$9,0))),INDEX(Guide!$B$7:$B$9,MATCH(SUBSTITUTE(SUBSTITUTE(SUBSTITUTE(H1388,"~","~~"),"*","~*"),"?","~?"),Guide!$A$7:$A$9,0)),""),"")</f>
        <v>Home</v>
      </c>
      <c r="J1388" s="1" t="str">
        <f>IF(TRIM(Raw!E1388)="",I1388,IF(UPPER(TRIM(Raw!E1388))=UPPER(I1388),I1388,""))</f>
        <v>Home</v>
      </c>
      <c r="K1388" s="1" t="str">
        <f>IF(Raw!F1388="","",Raw!F1388)</f>
        <v>sale</v>
      </c>
      <c r="L1388" s="1" t="str">
        <f>IF(LEFT(TRIM(Raw!G1388),2)="-$","-"&amp;MID(TRIM(Raw!G1388),3,99),IF(LEFT(TRIM(Raw!G1388),1)="$",MID(TRIM(Raw!G1388),2,99),TRIM(Raw!G1388)))</f>
        <v>107.88</v>
      </c>
      <c r="M1388" s="1">
        <f t="shared" si="171"/>
        <v>107.88</v>
      </c>
      <c r="N1388" s="10">
        <f t="shared" si="172"/>
        <v>10788</v>
      </c>
      <c r="O1388" s="1" t="b">
        <f>IFERROR(IF(ISNUMBER(Raw!G1388),TRUE,OR(EXACT(L1388,TEXT(M1388,"0.00")),EXACT(L1388,TEXT(M1388,"#,##0.00")))),FALSE)</f>
        <v>1</v>
      </c>
      <c r="P1388" s="1" t="str">
        <f>LEN(IF(Raw!A1388="","",Raw!A1388))&amp;":"&amp;IF(Raw!A1388="","",Raw!A1388)&amp;"|"&amp;LEN(IF(Raw!B1388="","",Raw!B1388))&amp;":"&amp;IF(Raw!B1388="","",Raw!B1388)&amp;"|"&amp;LEN(IF(Raw!C1388="","",Raw!C1388))&amp;":"&amp;IF(Raw!C1388="","",Raw!C1388)&amp;"|"&amp;LEN(IF(Raw!D1388="","",Raw!D1388))&amp;":"&amp;IF(Raw!D1388="","",Raw!D1388)&amp;"|"&amp;LEN(IF(Raw!E1388="","",Raw!E1388))&amp;":"&amp;IF(Raw!E1388="","",Raw!E1388)&amp;"|"&amp;LEN(IF(Raw!F1388="","",Raw!F1388))&amp;":"&amp;IF(Raw!F1388="","",Raw!F1388)&amp;"|"&amp;LEN(IF(Raw!G1388="","",Raw!G1388))&amp;":"&amp;IF(Raw!G1388="","",Raw!G1388)</f>
        <v>6:L01382|6:T00691|10:2026-03-02|3:P-H|4:Home|4:sale|6:107.88</v>
      </c>
      <c r="Q1388" s="1">
        <f>1</f>
        <v>1</v>
      </c>
      <c r="R1388" s="1" t="b">
        <f>FALSE</f>
        <v>0</v>
      </c>
      <c r="S1388" s="1">
        <f>1</f>
        <v>1</v>
      </c>
      <c r="T1388" s="1" t="str">
        <f>IF(AND(Raw!A1388="",Raw!B1388="",Raw!C1388="",Raw!D1388="",Raw!E1388="",Raw!F1388="",Raw!G1388=""),"UNUSED",IF(A1388="","missing line ID",IF(B1388="","missing transaction ID",IF(G1388="",IF(C1388="","missing date","invalid date"),IF(I1388="","unknown product",IF(J1388="","conflicting category",IF(NOT(OR(EXACT(K1388,"sale"),EXACT(K1388,"refund"))),"unknown event",IF(OR(N1388="",NOT(O1388)),"invalid amount",IF(OR(AND(K1388="sale",N1388&lt;=0),AND(K1388="refund",N1388&gt;=0)),"invalid sign","")))))))))</f>
        <v/>
      </c>
      <c r="U1388" s="1" t="str">
        <f t="shared" si="173"/>
        <v>INCLUDED</v>
      </c>
      <c r="V1388" s="1" t="str">
        <f t="shared" si="174"/>
        <v>2026-03</v>
      </c>
      <c r="W1388" s="1">
        <f>IF(AND(U1388="INCLUDED",X1388&gt;0,EXACT(A1388,'AI output'!A1388)),1,0)</f>
        <v>1</v>
      </c>
      <c r="X1388" s="1">
        <f>1388</f>
        <v>1388</v>
      </c>
      <c r="Y1388" s="1">
        <f>IF(AND(U1388="INCLUDED",W1388=1),--(NOT(EXACT(A1388,'AI output'!A1388)))+--(NOT(EXACT(B1388,'AI output'!B1388)))+--(NOT(EXACT(TEXT(G1388,"yyyy-mm-dd"),'AI output'!C1388)))+--(NOT(EXACT(H1388,'AI output'!D1388)))+--(NOT(EXACT(J1388,'AI output'!E1388)))+--(NOT(EXACT(K1388,'AI output'!F1388)))+--(N1388&lt;&gt;'AI output'!L1388)+--(NOT('AI output'!M1388)),0)</f>
        <v>0</v>
      </c>
      <c r="Z1388" s="1">
        <f t="shared" si="175"/>
        <v>0</v>
      </c>
      <c r="AA1388" s="1">
        <f>--EXACT(A1388,"L01382")</f>
        <v>1</v>
      </c>
    </row>
    <row r="1389" spans="1:27" ht="18.95" customHeight="1">
      <c r="A1389" s="1" t="str">
        <f>IF(Raw!A1389="","",Raw!A1389)</f>
        <v>L01383</v>
      </c>
      <c r="B1389" s="1" t="str">
        <f>IF(Raw!B1389="","",Raw!B1389)</f>
        <v>T00692</v>
      </c>
      <c r="C1389" s="1" t="str">
        <f>IF(Raw!C1389="","",Raw!C1389)</f>
        <v>2026-03-09</v>
      </c>
      <c r="D1389" s="1">
        <f t="shared" si="168"/>
        <v>2026</v>
      </c>
      <c r="E1389" s="1">
        <f>IFERROR(IF(AND(LEN(C1389)=10,MID(C1389,5,1)="-",MID(C1389,8,1)="-"),VALUE(MID(C1389,6,2)),IF(AND(LEN(C1389)=11,MID(C1389,3,1)="-",MID(C1389,7,1)="-"),MATCH(UPPER(MID(C1389,4,3)),Guide!$D$7:$D$18,0),0)),0)</f>
        <v>3</v>
      </c>
      <c r="F1389" s="1">
        <f t="shared" si="169"/>
        <v>9</v>
      </c>
      <c r="G1389" s="9">
        <f t="shared" si="170"/>
        <v>46090</v>
      </c>
      <c r="H1389" s="1" t="str">
        <f>IF(Raw!D1389="","",Raw!D1389)</f>
        <v>P-O</v>
      </c>
      <c r="I1389" s="1" t="str">
        <f>IFERROR(IF(EXACT(H1389,INDEX(Guide!$A$7:$A$9,MATCH(SUBSTITUTE(SUBSTITUTE(SUBSTITUTE(H1389,"~","~~"),"*","~*"),"?","~?"),Guide!$A$7:$A$9,0))),INDEX(Guide!$B$7:$B$9,MATCH(SUBSTITUTE(SUBSTITUTE(SUBSTITUTE(H1389,"~","~~"),"*","~*"),"?","~?"),Guide!$A$7:$A$9,0)),""),"")</f>
        <v>Office</v>
      </c>
      <c r="J1389" s="1" t="str">
        <f>IF(TRIM(Raw!E1389)="",I1389,IF(UPPER(TRIM(Raw!E1389))=UPPER(I1389),I1389,""))</f>
        <v>Office</v>
      </c>
      <c r="K1389" s="1" t="str">
        <f>IF(Raw!F1389="","",Raw!F1389)</f>
        <v>sale</v>
      </c>
      <c r="L1389" s="1" t="str">
        <f>IF(LEFT(TRIM(Raw!G1389),2)="-$","-"&amp;MID(TRIM(Raw!G1389),3,99),IF(LEFT(TRIM(Raw!G1389),1)="$",MID(TRIM(Raw!G1389),2,99),TRIM(Raw!G1389)))</f>
        <v>181.65</v>
      </c>
      <c r="M1389" s="1">
        <f t="shared" si="171"/>
        <v>181.65</v>
      </c>
      <c r="N1389" s="10">
        <f t="shared" si="172"/>
        <v>18165</v>
      </c>
      <c r="O1389" s="1" t="b">
        <f>IFERROR(IF(ISNUMBER(Raw!G1389),TRUE,OR(EXACT(L1389,TEXT(M1389,"0.00")),EXACT(L1389,TEXT(M1389,"#,##0.00")))),FALSE)</f>
        <v>1</v>
      </c>
      <c r="P1389" s="1" t="str">
        <f>LEN(IF(Raw!A1389="","",Raw!A1389))&amp;":"&amp;IF(Raw!A1389="","",Raw!A1389)&amp;"|"&amp;LEN(IF(Raw!B1389="","",Raw!B1389))&amp;":"&amp;IF(Raw!B1389="","",Raw!B1389)&amp;"|"&amp;LEN(IF(Raw!C1389="","",Raw!C1389))&amp;":"&amp;IF(Raw!C1389="","",Raw!C1389)&amp;"|"&amp;LEN(IF(Raw!D1389="","",Raw!D1389))&amp;":"&amp;IF(Raw!D1389="","",Raw!D1389)&amp;"|"&amp;LEN(IF(Raw!E1389="","",Raw!E1389))&amp;":"&amp;IF(Raw!E1389="","",Raw!E1389)&amp;"|"&amp;LEN(IF(Raw!F1389="","",Raw!F1389))&amp;":"&amp;IF(Raw!F1389="","",Raw!F1389)&amp;"|"&amp;LEN(IF(Raw!G1389="","",Raw!G1389))&amp;":"&amp;IF(Raw!G1389="","",Raw!G1389)</f>
        <v>6:L01383|6:T00692|10:2026-03-09|3:P-O|6:Office|4:sale|6:181.65</v>
      </c>
      <c r="Q1389" s="1">
        <f>1</f>
        <v>1</v>
      </c>
      <c r="R1389" s="1" t="b">
        <f>FALSE</f>
        <v>0</v>
      </c>
      <c r="S1389" s="1">
        <f>1</f>
        <v>1</v>
      </c>
      <c r="T1389" s="1" t="str">
        <f>IF(AND(Raw!A1389="",Raw!B1389="",Raw!C1389="",Raw!D1389="",Raw!E1389="",Raw!F1389="",Raw!G1389=""),"UNUSED",IF(A1389="","missing line ID",IF(B1389="","missing transaction ID",IF(G1389="",IF(C1389="","missing date","invalid date"),IF(I1389="","unknown product",IF(J1389="","conflicting category",IF(NOT(OR(EXACT(K1389,"sale"),EXACT(K1389,"refund"))),"unknown event",IF(OR(N1389="",NOT(O1389)),"invalid amount",IF(OR(AND(K1389="sale",N1389&lt;=0),AND(K1389="refund",N1389&gt;=0)),"invalid sign","")))))))))</f>
        <v/>
      </c>
      <c r="U1389" s="1" t="str">
        <f t="shared" si="173"/>
        <v>INCLUDED</v>
      </c>
      <c r="V1389" s="1" t="str">
        <f t="shared" si="174"/>
        <v>2026-03</v>
      </c>
      <c r="W1389" s="1">
        <f>IF(AND(U1389="INCLUDED",X1389&gt;0,EXACT(A1389,'AI output'!A1389)),1,0)</f>
        <v>1</v>
      </c>
      <c r="X1389" s="1">
        <f>1389</f>
        <v>1389</v>
      </c>
      <c r="Y1389" s="1">
        <f>IF(AND(U1389="INCLUDED",W1389=1),--(NOT(EXACT(A1389,'AI output'!A1389)))+--(NOT(EXACT(B1389,'AI output'!B1389)))+--(NOT(EXACT(TEXT(G1389,"yyyy-mm-dd"),'AI output'!C1389)))+--(NOT(EXACT(H1389,'AI output'!D1389)))+--(NOT(EXACT(J1389,'AI output'!E1389)))+--(NOT(EXACT(K1389,'AI output'!F1389)))+--(N1389&lt;&gt;'AI output'!L1389)+--(NOT('AI output'!M1389)),0)</f>
        <v>0</v>
      </c>
      <c r="Z1389" s="1">
        <f t="shared" si="175"/>
        <v>0</v>
      </c>
      <c r="AA1389" s="1">
        <f>--EXACT(A1389,"L01383")</f>
        <v>1</v>
      </c>
    </row>
    <row r="1390" spans="1:27" ht="18.95" customHeight="1">
      <c r="A1390" s="1" t="str">
        <f>IF(Raw!A1390="","",Raw!A1390)</f>
        <v>L01384</v>
      </c>
      <c r="B1390" s="1" t="str">
        <f>IF(Raw!B1390="","",Raw!B1390)</f>
        <v>T00692</v>
      </c>
      <c r="C1390" s="1" t="str">
        <f>IF(Raw!C1390="","",Raw!C1390)</f>
        <v>2026-03-09</v>
      </c>
      <c r="D1390" s="1">
        <f t="shared" si="168"/>
        <v>2026</v>
      </c>
      <c r="E1390" s="1">
        <f>IFERROR(IF(AND(LEN(C1390)=10,MID(C1390,5,1)="-",MID(C1390,8,1)="-"),VALUE(MID(C1390,6,2)),IF(AND(LEN(C1390)=11,MID(C1390,3,1)="-",MID(C1390,7,1)="-"),MATCH(UPPER(MID(C1390,4,3)),Guide!$D$7:$D$18,0),0)),0)</f>
        <v>3</v>
      </c>
      <c r="F1390" s="1">
        <f t="shared" si="169"/>
        <v>9</v>
      </c>
      <c r="G1390" s="9">
        <f t="shared" si="170"/>
        <v>46090</v>
      </c>
      <c r="H1390" s="1" t="str">
        <f>IF(Raw!D1390="","",Raw!D1390)</f>
        <v>P-A</v>
      </c>
      <c r="I1390" s="1" t="str">
        <f>IFERROR(IF(EXACT(H1390,INDEX(Guide!$A$7:$A$9,MATCH(SUBSTITUTE(SUBSTITUTE(SUBSTITUTE(H1390,"~","~~"),"*","~*"),"?","~?"),Guide!$A$7:$A$9,0))),INDEX(Guide!$B$7:$B$9,MATCH(SUBSTITUTE(SUBSTITUTE(SUBSTITUTE(H1390,"~","~~"),"*","~*"),"?","~?"),Guide!$A$7:$A$9,0)),""),"")</f>
        <v>Accessories</v>
      </c>
      <c r="J1390" s="1" t="str">
        <f>IF(TRIM(Raw!E1390)="",I1390,IF(UPPER(TRIM(Raw!E1390))=UPPER(I1390),I1390,""))</f>
        <v>Accessories</v>
      </c>
      <c r="K1390" s="1" t="str">
        <f>IF(Raw!F1390="","",Raw!F1390)</f>
        <v>sale</v>
      </c>
      <c r="L1390" s="1" t="str">
        <f>IF(LEFT(TRIM(Raw!G1390),2)="-$","-"&amp;MID(TRIM(Raw!G1390),3,99),IF(LEFT(TRIM(Raw!G1390),1)="$",MID(TRIM(Raw!G1390),2,99),TRIM(Raw!G1390)))</f>
        <v>73.40</v>
      </c>
      <c r="M1390" s="1">
        <f t="shared" si="171"/>
        <v>73.400000000000006</v>
      </c>
      <c r="N1390" s="10">
        <f t="shared" si="172"/>
        <v>7340</v>
      </c>
      <c r="O1390" s="1" t="b">
        <f>IFERROR(IF(ISNUMBER(Raw!G1390),TRUE,OR(EXACT(L1390,TEXT(M1390,"0.00")),EXACT(L1390,TEXT(M1390,"#,##0.00")))),FALSE)</f>
        <v>1</v>
      </c>
      <c r="P1390" s="1" t="str">
        <f>LEN(IF(Raw!A1390="","",Raw!A1390))&amp;":"&amp;IF(Raw!A1390="","",Raw!A1390)&amp;"|"&amp;LEN(IF(Raw!B1390="","",Raw!B1390))&amp;":"&amp;IF(Raw!B1390="","",Raw!B1390)&amp;"|"&amp;LEN(IF(Raw!C1390="","",Raw!C1390))&amp;":"&amp;IF(Raw!C1390="","",Raw!C1390)&amp;"|"&amp;LEN(IF(Raw!D1390="","",Raw!D1390))&amp;":"&amp;IF(Raw!D1390="","",Raw!D1390)&amp;"|"&amp;LEN(IF(Raw!E1390="","",Raw!E1390))&amp;":"&amp;IF(Raw!E1390="","",Raw!E1390)&amp;"|"&amp;LEN(IF(Raw!F1390="","",Raw!F1390))&amp;":"&amp;IF(Raw!F1390="","",Raw!F1390)&amp;"|"&amp;LEN(IF(Raw!G1390="","",Raw!G1390))&amp;":"&amp;IF(Raw!G1390="","",Raw!G1390)</f>
        <v>6:L01384|6:T00692|10:2026-03-09|3:P-A|11:Accessories|4:sale|5:73.40</v>
      </c>
      <c r="Q1390" s="1">
        <f>1</f>
        <v>1</v>
      </c>
      <c r="R1390" s="1" t="b">
        <f>FALSE</f>
        <v>0</v>
      </c>
      <c r="S1390" s="1">
        <f>1</f>
        <v>1</v>
      </c>
      <c r="T1390" s="1" t="str">
        <f>IF(AND(Raw!A1390="",Raw!B1390="",Raw!C1390="",Raw!D1390="",Raw!E1390="",Raw!F1390="",Raw!G1390=""),"UNUSED",IF(A1390="","missing line ID",IF(B1390="","missing transaction ID",IF(G1390="",IF(C1390="","missing date","invalid date"),IF(I1390="","unknown product",IF(J1390="","conflicting category",IF(NOT(OR(EXACT(K1390,"sale"),EXACT(K1390,"refund"))),"unknown event",IF(OR(N1390="",NOT(O1390)),"invalid amount",IF(OR(AND(K1390="sale",N1390&lt;=0),AND(K1390="refund",N1390&gt;=0)),"invalid sign","")))))))))</f>
        <v/>
      </c>
      <c r="U1390" s="1" t="str">
        <f t="shared" si="173"/>
        <v>INCLUDED</v>
      </c>
      <c r="V1390" s="1" t="str">
        <f t="shared" si="174"/>
        <v>2026-03</v>
      </c>
      <c r="W1390" s="1">
        <f>IF(AND(U1390="INCLUDED",X1390&gt;0,EXACT(A1390,'AI output'!A1390)),1,0)</f>
        <v>1</v>
      </c>
      <c r="X1390" s="1">
        <f>1390</f>
        <v>1390</v>
      </c>
      <c r="Y1390" s="1">
        <f>IF(AND(U1390="INCLUDED",W1390=1),--(NOT(EXACT(A1390,'AI output'!A1390)))+--(NOT(EXACT(B1390,'AI output'!B1390)))+--(NOT(EXACT(TEXT(G1390,"yyyy-mm-dd"),'AI output'!C1390)))+--(NOT(EXACT(H1390,'AI output'!D1390)))+--(NOT(EXACT(J1390,'AI output'!E1390)))+--(NOT(EXACT(K1390,'AI output'!F1390)))+--(N1390&lt;&gt;'AI output'!L1390)+--(NOT('AI output'!M1390)),0)</f>
        <v>0</v>
      </c>
      <c r="Z1390" s="1">
        <f t="shared" si="175"/>
        <v>0</v>
      </c>
      <c r="AA1390" s="1">
        <f>--EXACT(A1390,"L01384")</f>
        <v>1</v>
      </c>
    </row>
    <row r="1391" spans="1:27" ht="18.95" customHeight="1">
      <c r="A1391" s="1" t="str">
        <f>IF(Raw!A1391="","",Raw!A1391)</f>
        <v>L01385</v>
      </c>
      <c r="B1391" s="1" t="str">
        <f>IF(Raw!B1391="","",Raw!B1391)</f>
        <v>T00693</v>
      </c>
      <c r="C1391" s="1" t="str">
        <f>IF(Raw!C1391="","",Raw!C1391)</f>
        <v>2026-03-16</v>
      </c>
      <c r="D1391" s="1">
        <f t="shared" si="168"/>
        <v>2026</v>
      </c>
      <c r="E1391" s="1">
        <f>IFERROR(IF(AND(LEN(C1391)=10,MID(C1391,5,1)="-",MID(C1391,8,1)="-"),VALUE(MID(C1391,6,2)),IF(AND(LEN(C1391)=11,MID(C1391,3,1)="-",MID(C1391,7,1)="-"),MATCH(UPPER(MID(C1391,4,3)),Guide!$D$7:$D$18,0),0)),0)</f>
        <v>3</v>
      </c>
      <c r="F1391" s="1">
        <f t="shared" si="169"/>
        <v>16</v>
      </c>
      <c r="G1391" s="9">
        <f t="shared" si="170"/>
        <v>46097</v>
      </c>
      <c r="H1391" s="1" t="str">
        <f>IF(Raw!D1391="","",Raw!D1391)</f>
        <v>P-H</v>
      </c>
      <c r="I1391" s="1" t="str">
        <f>IFERROR(IF(EXACT(H1391,INDEX(Guide!$A$7:$A$9,MATCH(SUBSTITUTE(SUBSTITUTE(SUBSTITUTE(H1391,"~","~~"),"*","~*"),"?","~?"),Guide!$A$7:$A$9,0))),INDEX(Guide!$B$7:$B$9,MATCH(SUBSTITUTE(SUBSTITUTE(SUBSTITUTE(H1391,"~","~~"),"*","~*"),"?","~?"),Guide!$A$7:$A$9,0)),""),"")</f>
        <v>Home</v>
      </c>
      <c r="J1391" s="1" t="str">
        <f>IF(TRIM(Raw!E1391)="",I1391,IF(UPPER(TRIM(Raw!E1391))=UPPER(I1391),I1391,""))</f>
        <v>Home</v>
      </c>
      <c r="K1391" s="1" t="str">
        <f>IF(Raw!F1391="","",Raw!F1391)</f>
        <v>sale</v>
      </c>
      <c r="L1391" s="1" t="str">
        <f>IF(LEFT(TRIM(Raw!G1391),2)="-$","-"&amp;MID(TRIM(Raw!G1391),3,99),IF(LEFT(TRIM(Raw!G1391),1)="$",MID(TRIM(Raw!G1391),2,99),TRIM(Raw!G1391)))</f>
        <v>148.28</v>
      </c>
      <c r="M1391" s="1">
        <f t="shared" si="171"/>
        <v>148.28</v>
      </c>
      <c r="N1391" s="10">
        <f t="shared" si="172"/>
        <v>14828</v>
      </c>
      <c r="O1391" s="1" t="b">
        <f>IFERROR(IF(ISNUMBER(Raw!G1391),TRUE,OR(EXACT(L1391,TEXT(M1391,"0.00")),EXACT(L1391,TEXT(M1391,"#,##0.00")))),FALSE)</f>
        <v>1</v>
      </c>
      <c r="P1391" s="1" t="str">
        <f>LEN(IF(Raw!A1391="","",Raw!A1391))&amp;":"&amp;IF(Raw!A1391="","",Raw!A1391)&amp;"|"&amp;LEN(IF(Raw!B1391="","",Raw!B1391))&amp;":"&amp;IF(Raw!B1391="","",Raw!B1391)&amp;"|"&amp;LEN(IF(Raw!C1391="","",Raw!C1391))&amp;":"&amp;IF(Raw!C1391="","",Raw!C1391)&amp;"|"&amp;LEN(IF(Raw!D1391="","",Raw!D1391))&amp;":"&amp;IF(Raw!D1391="","",Raw!D1391)&amp;"|"&amp;LEN(IF(Raw!E1391="","",Raw!E1391))&amp;":"&amp;IF(Raw!E1391="","",Raw!E1391)&amp;"|"&amp;LEN(IF(Raw!F1391="","",Raw!F1391))&amp;":"&amp;IF(Raw!F1391="","",Raw!F1391)&amp;"|"&amp;LEN(IF(Raw!G1391="","",Raw!G1391))&amp;":"&amp;IF(Raw!G1391="","",Raw!G1391)</f>
        <v>6:L01385|6:T00693|10:2026-03-16|3:P-H|4:Home|4:sale|6:148.28</v>
      </c>
      <c r="Q1391" s="1">
        <f>1</f>
        <v>1</v>
      </c>
      <c r="R1391" s="1" t="b">
        <f>FALSE</f>
        <v>0</v>
      </c>
      <c r="S1391" s="1">
        <f>1</f>
        <v>1</v>
      </c>
      <c r="T1391" s="1" t="str">
        <f>IF(AND(Raw!A1391="",Raw!B1391="",Raw!C1391="",Raw!D1391="",Raw!E1391="",Raw!F1391="",Raw!G1391=""),"UNUSED",IF(A1391="","missing line ID",IF(B1391="","missing transaction ID",IF(G1391="",IF(C1391="","missing date","invalid date"),IF(I1391="","unknown product",IF(J1391="","conflicting category",IF(NOT(OR(EXACT(K1391,"sale"),EXACT(K1391,"refund"))),"unknown event",IF(OR(N1391="",NOT(O1391)),"invalid amount",IF(OR(AND(K1391="sale",N1391&lt;=0),AND(K1391="refund",N1391&gt;=0)),"invalid sign","")))))))))</f>
        <v/>
      </c>
      <c r="U1391" s="1" t="str">
        <f t="shared" si="173"/>
        <v>INCLUDED</v>
      </c>
      <c r="V1391" s="1" t="str">
        <f t="shared" si="174"/>
        <v>2026-03</v>
      </c>
      <c r="W1391" s="1">
        <f>IF(AND(U1391="INCLUDED",X1391&gt;0,EXACT(A1391,'AI output'!A1391)),1,0)</f>
        <v>1</v>
      </c>
      <c r="X1391" s="1">
        <f>1391</f>
        <v>1391</v>
      </c>
      <c r="Y1391" s="1">
        <f>IF(AND(U1391="INCLUDED",W1391=1),--(NOT(EXACT(A1391,'AI output'!A1391)))+--(NOT(EXACT(B1391,'AI output'!B1391)))+--(NOT(EXACT(TEXT(G1391,"yyyy-mm-dd"),'AI output'!C1391)))+--(NOT(EXACT(H1391,'AI output'!D1391)))+--(NOT(EXACT(J1391,'AI output'!E1391)))+--(NOT(EXACT(K1391,'AI output'!F1391)))+--(N1391&lt;&gt;'AI output'!L1391)+--(NOT('AI output'!M1391)),0)</f>
        <v>0</v>
      </c>
      <c r="Z1391" s="1">
        <f t="shared" si="175"/>
        <v>0</v>
      </c>
      <c r="AA1391" s="1">
        <f>--EXACT(A1391,"L01385")</f>
        <v>1</v>
      </c>
    </row>
    <row r="1392" spans="1:27" ht="18.95" customHeight="1">
      <c r="A1392" s="1" t="str">
        <f>IF(Raw!A1392="","",Raw!A1392)</f>
        <v>L01386</v>
      </c>
      <c r="B1392" s="1" t="str">
        <f>IF(Raw!B1392="","",Raw!B1392)</f>
        <v>T00693</v>
      </c>
      <c r="C1392" s="1" t="str">
        <f>IF(Raw!C1392="","",Raw!C1392)</f>
        <v>2026-03-16</v>
      </c>
      <c r="D1392" s="1">
        <f t="shared" si="168"/>
        <v>2026</v>
      </c>
      <c r="E1392" s="1">
        <f>IFERROR(IF(AND(LEN(C1392)=10,MID(C1392,5,1)="-",MID(C1392,8,1)="-"),VALUE(MID(C1392,6,2)),IF(AND(LEN(C1392)=11,MID(C1392,3,1)="-",MID(C1392,7,1)="-"),MATCH(UPPER(MID(C1392,4,3)),Guide!$D$7:$D$18,0),0)),0)</f>
        <v>3</v>
      </c>
      <c r="F1392" s="1">
        <f t="shared" si="169"/>
        <v>16</v>
      </c>
      <c r="G1392" s="9">
        <f t="shared" si="170"/>
        <v>46097</v>
      </c>
      <c r="H1392" s="1" t="str">
        <f>IF(Raw!D1392="","",Raw!D1392)</f>
        <v>P-O</v>
      </c>
      <c r="I1392" s="1" t="str">
        <f>IFERROR(IF(EXACT(H1392,INDEX(Guide!$A$7:$A$9,MATCH(SUBSTITUTE(SUBSTITUTE(SUBSTITUTE(H1392,"~","~~"),"*","~*"),"?","~?"),Guide!$A$7:$A$9,0))),INDEX(Guide!$B$7:$B$9,MATCH(SUBSTITUTE(SUBSTITUTE(SUBSTITUTE(H1392,"~","~~"),"*","~*"),"?","~?"),Guide!$A$7:$A$9,0)),""),"")</f>
        <v>Office</v>
      </c>
      <c r="J1392" s="1" t="str">
        <f>IF(TRIM(Raw!E1392)="",I1392,IF(UPPER(TRIM(Raw!E1392))=UPPER(I1392),I1392,""))</f>
        <v>Office</v>
      </c>
      <c r="K1392" s="1" t="str">
        <f>IF(Raw!F1392="","",Raw!F1392)</f>
        <v>sale</v>
      </c>
      <c r="L1392" s="1" t="str">
        <f>IF(LEFT(TRIM(Raw!G1392),2)="-$","-"&amp;MID(TRIM(Raw!G1392),3,99),IF(LEFT(TRIM(Raw!G1392),1)="$",MID(TRIM(Raw!G1392),2,99),TRIM(Raw!G1392)))</f>
        <v>37.44</v>
      </c>
      <c r="M1392" s="1">
        <f t="shared" si="171"/>
        <v>37.44</v>
      </c>
      <c r="N1392" s="10">
        <f t="shared" si="172"/>
        <v>3744</v>
      </c>
      <c r="O1392" s="1" t="b">
        <f>IFERROR(IF(ISNUMBER(Raw!G1392),TRUE,OR(EXACT(L1392,TEXT(M1392,"0.00")),EXACT(L1392,TEXT(M1392,"#,##0.00")))),FALSE)</f>
        <v>1</v>
      </c>
      <c r="P1392" s="1" t="str">
        <f>LEN(IF(Raw!A1392="","",Raw!A1392))&amp;":"&amp;IF(Raw!A1392="","",Raw!A1392)&amp;"|"&amp;LEN(IF(Raw!B1392="","",Raw!B1392))&amp;":"&amp;IF(Raw!B1392="","",Raw!B1392)&amp;"|"&amp;LEN(IF(Raw!C1392="","",Raw!C1392))&amp;":"&amp;IF(Raw!C1392="","",Raw!C1392)&amp;"|"&amp;LEN(IF(Raw!D1392="","",Raw!D1392))&amp;":"&amp;IF(Raw!D1392="","",Raw!D1392)&amp;"|"&amp;LEN(IF(Raw!E1392="","",Raw!E1392))&amp;":"&amp;IF(Raw!E1392="","",Raw!E1392)&amp;"|"&amp;LEN(IF(Raw!F1392="","",Raw!F1392))&amp;":"&amp;IF(Raw!F1392="","",Raw!F1392)&amp;"|"&amp;LEN(IF(Raw!G1392="","",Raw!G1392))&amp;":"&amp;IF(Raw!G1392="","",Raw!G1392)</f>
        <v>6:L01386|6:T00693|10:2026-03-16|3:P-O|6:Office|4:sale|5:37.44</v>
      </c>
      <c r="Q1392" s="1">
        <f>1</f>
        <v>1</v>
      </c>
      <c r="R1392" s="1" t="b">
        <f>FALSE</f>
        <v>0</v>
      </c>
      <c r="S1392" s="1">
        <f>1</f>
        <v>1</v>
      </c>
      <c r="T1392" s="1" t="str">
        <f>IF(AND(Raw!A1392="",Raw!B1392="",Raw!C1392="",Raw!D1392="",Raw!E1392="",Raw!F1392="",Raw!G1392=""),"UNUSED",IF(A1392="","missing line ID",IF(B1392="","missing transaction ID",IF(G1392="",IF(C1392="","missing date","invalid date"),IF(I1392="","unknown product",IF(J1392="","conflicting category",IF(NOT(OR(EXACT(K1392,"sale"),EXACT(K1392,"refund"))),"unknown event",IF(OR(N1392="",NOT(O1392)),"invalid amount",IF(OR(AND(K1392="sale",N1392&lt;=0),AND(K1392="refund",N1392&gt;=0)),"invalid sign","")))))))))</f>
        <v/>
      </c>
      <c r="U1392" s="1" t="str">
        <f t="shared" si="173"/>
        <v>INCLUDED</v>
      </c>
      <c r="V1392" s="1" t="str">
        <f t="shared" si="174"/>
        <v>2026-03</v>
      </c>
      <c r="W1392" s="1">
        <f>IF(AND(U1392="INCLUDED",X1392&gt;0,EXACT(A1392,'AI output'!A1392)),1,0)</f>
        <v>1</v>
      </c>
      <c r="X1392" s="1">
        <f>1392</f>
        <v>1392</v>
      </c>
      <c r="Y1392" s="1">
        <f>IF(AND(U1392="INCLUDED",W1392=1),--(NOT(EXACT(A1392,'AI output'!A1392)))+--(NOT(EXACT(B1392,'AI output'!B1392)))+--(NOT(EXACT(TEXT(G1392,"yyyy-mm-dd"),'AI output'!C1392)))+--(NOT(EXACT(H1392,'AI output'!D1392)))+--(NOT(EXACT(J1392,'AI output'!E1392)))+--(NOT(EXACT(K1392,'AI output'!F1392)))+--(N1392&lt;&gt;'AI output'!L1392)+--(NOT('AI output'!M1392)),0)</f>
        <v>0</v>
      </c>
      <c r="Z1392" s="1">
        <f t="shared" si="175"/>
        <v>0</v>
      </c>
      <c r="AA1392" s="1">
        <f>--EXACT(A1392,"L01386")</f>
        <v>1</v>
      </c>
    </row>
    <row r="1393" spans="1:27" ht="18.95" customHeight="1">
      <c r="A1393" s="1" t="str">
        <f>IF(Raw!A1393="","",Raw!A1393)</f>
        <v>L01387</v>
      </c>
      <c r="B1393" s="1" t="str">
        <f>IF(Raw!B1393="","",Raw!B1393)</f>
        <v>T00694</v>
      </c>
      <c r="C1393" s="1" t="str">
        <f>IF(Raw!C1393="","",Raw!C1393)</f>
        <v>2026-03-23</v>
      </c>
      <c r="D1393" s="1">
        <f t="shared" si="168"/>
        <v>2026</v>
      </c>
      <c r="E1393" s="1">
        <f>IFERROR(IF(AND(LEN(C1393)=10,MID(C1393,5,1)="-",MID(C1393,8,1)="-"),VALUE(MID(C1393,6,2)),IF(AND(LEN(C1393)=11,MID(C1393,3,1)="-",MID(C1393,7,1)="-"),MATCH(UPPER(MID(C1393,4,3)),Guide!$D$7:$D$18,0),0)),0)</f>
        <v>3</v>
      </c>
      <c r="F1393" s="1">
        <f t="shared" si="169"/>
        <v>23</v>
      </c>
      <c r="G1393" s="9">
        <f t="shared" si="170"/>
        <v>46104</v>
      </c>
      <c r="H1393" s="1" t="str">
        <f>IF(Raw!D1393="","",Raw!D1393)</f>
        <v>P-A</v>
      </c>
      <c r="I1393" s="1" t="str">
        <f>IFERROR(IF(EXACT(H1393,INDEX(Guide!$A$7:$A$9,MATCH(SUBSTITUTE(SUBSTITUTE(SUBSTITUTE(H1393,"~","~~"),"*","~*"),"?","~?"),Guide!$A$7:$A$9,0))),INDEX(Guide!$B$7:$B$9,MATCH(SUBSTITUTE(SUBSTITUTE(SUBSTITUTE(H1393,"~","~~"),"*","~*"),"?","~?"),Guide!$A$7:$A$9,0)),""),"")</f>
        <v>Accessories</v>
      </c>
      <c r="J1393" s="1" t="str">
        <f>IF(TRIM(Raw!E1393)="",I1393,IF(UPPER(TRIM(Raw!E1393))=UPPER(I1393),I1393,""))</f>
        <v>Accessories</v>
      </c>
      <c r="K1393" s="1" t="str">
        <f>IF(Raw!F1393="","",Raw!F1393)</f>
        <v>sale</v>
      </c>
      <c r="L1393" s="1" t="str">
        <f>IF(LEFT(TRIM(Raw!G1393),2)="-$","-"&amp;MID(TRIM(Raw!G1393),3,99),IF(LEFT(TRIM(Raw!G1393),1)="$",MID(TRIM(Raw!G1393),2,99),TRIM(Raw!G1393)))</f>
        <v>113.43</v>
      </c>
      <c r="M1393" s="1">
        <f t="shared" si="171"/>
        <v>113.43</v>
      </c>
      <c r="N1393" s="10">
        <f t="shared" si="172"/>
        <v>11343</v>
      </c>
      <c r="O1393" s="1" t="b">
        <f>IFERROR(IF(ISNUMBER(Raw!G1393),TRUE,OR(EXACT(L1393,TEXT(M1393,"0.00")),EXACT(L1393,TEXT(M1393,"#,##0.00")))),FALSE)</f>
        <v>1</v>
      </c>
      <c r="P1393" s="1" t="str">
        <f>LEN(IF(Raw!A1393="","",Raw!A1393))&amp;":"&amp;IF(Raw!A1393="","",Raw!A1393)&amp;"|"&amp;LEN(IF(Raw!B1393="","",Raw!B1393))&amp;":"&amp;IF(Raw!B1393="","",Raw!B1393)&amp;"|"&amp;LEN(IF(Raw!C1393="","",Raw!C1393))&amp;":"&amp;IF(Raw!C1393="","",Raw!C1393)&amp;"|"&amp;LEN(IF(Raw!D1393="","",Raw!D1393))&amp;":"&amp;IF(Raw!D1393="","",Raw!D1393)&amp;"|"&amp;LEN(IF(Raw!E1393="","",Raw!E1393))&amp;":"&amp;IF(Raw!E1393="","",Raw!E1393)&amp;"|"&amp;LEN(IF(Raw!F1393="","",Raw!F1393))&amp;":"&amp;IF(Raw!F1393="","",Raw!F1393)&amp;"|"&amp;LEN(IF(Raw!G1393="","",Raw!G1393))&amp;":"&amp;IF(Raw!G1393="","",Raw!G1393)</f>
        <v>6:L01387|6:T00694|10:2026-03-23|3:P-A|11:Accessories|4:sale|6:113.43</v>
      </c>
      <c r="Q1393" s="1">
        <f>1</f>
        <v>1</v>
      </c>
      <c r="R1393" s="1" t="b">
        <f>FALSE</f>
        <v>0</v>
      </c>
      <c r="S1393" s="1">
        <f>1</f>
        <v>1</v>
      </c>
      <c r="T1393" s="1" t="str">
        <f>IF(AND(Raw!A1393="",Raw!B1393="",Raw!C1393="",Raw!D1393="",Raw!E1393="",Raw!F1393="",Raw!G1393=""),"UNUSED",IF(A1393="","missing line ID",IF(B1393="","missing transaction ID",IF(G1393="",IF(C1393="","missing date","invalid date"),IF(I1393="","unknown product",IF(J1393="","conflicting category",IF(NOT(OR(EXACT(K1393,"sale"),EXACT(K1393,"refund"))),"unknown event",IF(OR(N1393="",NOT(O1393)),"invalid amount",IF(OR(AND(K1393="sale",N1393&lt;=0),AND(K1393="refund",N1393&gt;=0)),"invalid sign","")))))))))</f>
        <v/>
      </c>
      <c r="U1393" s="1" t="str">
        <f t="shared" si="173"/>
        <v>INCLUDED</v>
      </c>
      <c r="V1393" s="1" t="str">
        <f t="shared" si="174"/>
        <v>2026-03</v>
      </c>
      <c r="W1393" s="1">
        <f>IF(AND(U1393="INCLUDED",X1393&gt;0,EXACT(A1393,'AI output'!A1393)),1,0)</f>
        <v>1</v>
      </c>
      <c r="X1393" s="1">
        <f>1393</f>
        <v>1393</v>
      </c>
      <c r="Y1393" s="1">
        <f>IF(AND(U1393="INCLUDED",W1393=1),--(NOT(EXACT(A1393,'AI output'!A1393)))+--(NOT(EXACT(B1393,'AI output'!B1393)))+--(NOT(EXACT(TEXT(G1393,"yyyy-mm-dd"),'AI output'!C1393)))+--(NOT(EXACT(H1393,'AI output'!D1393)))+--(NOT(EXACT(J1393,'AI output'!E1393)))+--(NOT(EXACT(K1393,'AI output'!F1393)))+--(N1393&lt;&gt;'AI output'!L1393)+--(NOT('AI output'!M1393)),0)</f>
        <v>0</v>
      </c>
      <c r="Z1393" s="1">
        <f t="shared" si="175"/>
        <v>0</v>
      </c>
      <c r="AA1393" s="1">
        <f>--EXACT(A1393,"L01387")</f>
        <v>1</v>
      </c>
    </row>
    <row r="1394" spans="1:27" ht="18.95" customHeight="1">
      <c r="A1394" s="1" t="str">
        <f>IF(Raw!A1394="","",Raw!A1394)</f>
        <v>L01388</v>
      </c>
      <c r="B1394" s="1" t="str">
        <f>IF(Raw!B1394="","",Raw!B1394)</f>
        <v>T00694</v>
      </c>
      <c r="C1394" s="1" t="str">
        <f>IF(Raw!C1394="","",Raw!C1394)</f>
        <v>2026-03-23</v>
      </c>
      <c r="D1394" s="1">
        <f t="shared" si="168"/>
        <v>2026</v>
      </c>
      <c r="E1394" s="1">
        <f>IFERROR(IF(AND(LEN(C1394)=10,MID(C1394,5,1)="-",MID(C1394,8,1)="-"),VALUE(MID(C1394,6,2)),IF(AND(LEN(C1394)=11,MID(C1394,3,1)="-",MID(C1394,7,1)="-"),MATCH(UPPER(MID(C1394,4,3)),Guide!$D$7:$D$18,0),0)),0)</f>
        <v>3</v>
      </c>
      <c r="F1394" s="1">
        <f t="shared" si="169"/>
        <v>23</v>
      </c>
      <c r="G1394" s="9">
        <f t="shared" si="170"/>
        <v>46104</v>
      </c>
      <c r="H1394" s="1" t="str">
        <f>IF(Raw!D1394="","",Raw!D1394)</f>
        <v>P-H</v>
      </c>
      <c r="I1394" s="1" t="str">
        <f>IFERROR(IF(EXACT(H1394,INDEX(Guide!$A$7:$A$9,MATCH(SUBSTITUTE(SUBSTITUTE(SUBSTITUTE(H1394,"~","~~"),"*","~*"),"?","~?"),Guide!$A$7:$A$9,0))),INDEX(Guide!$B$7:$B$9,MATCH(SUBSTITUTE(SUBSTITUTE(SUBSTITUTE(H1394,"~","~~"),"*","~*"),"?","~?"),Guide!$A$7:$A$9,0)),""),"")</f>
        <v>Home</v>
      </c>
      <c r="J1394" s="1" t="str">
        <f>IF(TRIM(Raw!E1394)="",I1394,IF(UPPER(TRIM(Raw!E1394))=UPPER(I1394),I1394,""))</f>
        <v>Home</v>
      </c>
      <c r="K1394" s="1" t="str">
        <f>IF(Raw!F1394="","",Raw!F1394)</f>
        <v>sale</v>
      </c>
      <c r="L1394" s="1" t="str">
        <f>IF(LEFT(TRIM(Raw!G1394),2)="-$","-"&amp;MID(TRIM(Raw!G1394),3,99),IF(LEFT(TRIM(Raw!G1394),1)="$",MID(TRIM(Raw!G1394),2,99),TRIM(Raw!G1394)))</f>
        <v>190.90</v>
      </c>
      <c r="M1394" s="1">
        <f t="shared" si="171"/>
        <v>190.9</v>
      </c>
      <c r="N1394" s="10">
        <f t="shared" si="172"/>
        <v>19090</v>
      </c>
      <c r="O1394" s="1" t="b">
        <f>IFERROR(IF(ISNUMBER(Raw!G1394),TRUE,OR(EXACT(L1394,TEXT(M1394,"0.00")),EXACT(L1394,TEXT(M1394,"#,##0.00")))),FALSE)</f>
        <v>1</v>
      </c>
      <c r="P1394" s="1" t="str">
        <f>LEN(IF(Raw!A1394="","",Raw!A1394))&amp;":"&amp;IF(Raw!A1394="","",Raw!A1394)&amp;"|"&amp;LEN(IF(Raw!B1394="","",Raw!B1394))&amp;":"&amp;IF(Raw!B1394="","",Raw!B1394)&amp;"|"&amp;LEN(IF(Raw!C1394="","",Raw!C1394))&amp;":"&amp;IF(Raw!C1394="","",Raw!C1394)&amp;"|"&amp;LEN(IF(Raw!D1394="","",Raw!D1394))&amp;":"&amp;IF(Raw!D1394="","",Raw!D1394)&amp;"|"&amp;LEN(IF(Raw!E1394="","",Raw!E1394))&amp;":"&amp;IF(Raw!E1394="","",Raw!E1394)&amp;"|"&amp;LEN(IF(Raw!F1394="","",Raw!F1394))&amp;":"&amp;IF(Raw!F1394="","",Raw!F1394)&amp;"|"&amp;LEN(IF(Raw!G1394="","",Raw!G1394))&amp;":"&amp;IF(Raw!G1394="","",Raw!G1394)</f>
        <v>6:L01388|6:T00694|10:2026-03-23|3:P-H|4:Home|4:sale|6:190.90</v>
      </c>
      <c r="Q1394" s="1">
        <f>1</f>
        <v>1</v>
      </c>
      <c r="R1394" s="1" t="b">
        <f>FALSE</f>
        <v>0</v>
      </c>
      <c r="S1394" s="1">
        <f>1</f>
        <v>1</v>
      </c>
      <c r="T1394" s="1" t="str">
        <f>IF(AND(Raw!A1394="",Raw!B1394="",Raw!C1394="",Raw!D1394="",Raw!E1394="",Raw!F1394="",Raw!G1394=""),"UNUSED",IF(A1394="","missing line ID",IF(B1394="","missing transaction ID",IF(G1394="",IF(C1394="","missing date","invalid date"),IF(I1394="","unknown product",IF(J1394="","conflicting category",IF(NOT(OR(EXACT(K1394,"sale"),EXACT(K1394,"refund"))),"unknown event",IF(OR(N1394="",NOT(O1394)),"invalid amount",IF(OR(AND(K1394="sale",N1394&lt;=0),AND(K1394="refund",N1394&gt;=0)),"invalid sign","")))))))))</f>
        <v/>
      </c>
      <c r="U1394" s="1" t="str">
        <f t="shared" si="173"/>
        <v>INCLUDED</v>
      </c>
      <c r="V1394" s="1" t="str">
        <f t="shared" si="174"/>
        <v>2026-03</v>
      </c>
      <c r="W1394" s="1">
        <f>IF(AND(U1394="INCLUDED",X1394&gt;0,EXACT(A1394,'AI output'!A1394)),1,0)</f>
        <v>1</v>
      </c>
      <c r="X1394" s="1">
        <f>1394</f>
        <v>1394</v>
      </c>
      <c r="Y1394" s="1">
        <f>IF(AND(U1394="INCLUDED",W1394=1),--(NOT(EXACT(A1394,'AI output'!A1394)))+--(NOT(EXACT(B1394,'AI output'!B1394)))+--(NOT(EXACT(TEXT(G1394,"yyyy-mm-dd"),'AI output'!C1394)))+--(NOT(EXACT(H1394,'AI output'!D1394)))+--(NOT(EXACT(J1394,'AI output'!E1394)))+--(NOT(EXACT(K1394,'AI output'!F1394)))+--(N1394&lt;&gt;'AI output'!L1394)+--(NOT('AI output'!M1394)),0)</f>
        <v>0</v>
      </c>
      <c r="Z1394" s="1">
        <f t="shared" si="175"/>
        <v>0</v>
      </c>
      <c r="AA1394" s="1">
        <f>--EXACT(A1394,"L01388")</f>
        <v>1</v>
      </c>
    </row>
    <row r="1395" spans="1:27" ht="18.95" customHeight="1">
      <c r="A1395" s="1" t="str">
        <f>IF(Raw!A1395="","",Raw!A1395)</f>
        <v>L01389</v>
      </c>
      <c r="B1395" s="1" t="str">
        <f>IF(Raw!B1395="","",Raw!B1395)</f>
        <v>T00695</v>
      </c>
      <c r="C1395" s="1" t="str">
        <f>IF(Raw!C1395="","",Raw!C1395)</f>
        <v>2026-03-30</v>
      </c>
      <c r="D1395" s="1">
        <f t="shared" si="168"/>
        <v>2026</v>
      </c>
      <c r="E1395" s="1">
        <f>IFERROR(IF(AND(LEN(C1395)=10,MID(C1395,5,1)="-",MID(C1395,8,1)="-"),VALUE(MID(C1395,6,2)),IF(AND(LEN(C1395)=11,MID(C1395,3,1)="-",MID(C1395,7,1)="-"),MATCH(UPPER(MID(C1395,4,3)),Guide!$D$7:$D$18,0),0)),0)</f>
        <v>3</v>
      </c>
      <c r="F1395" s="1">
        <f t="shared" si="169"/>
        <v>30</v>
      </c>
      <c r="G1395" s="9">
        <f t="shared" si="170"/>
        <v>46111</v>
      </c>
      <c r="H1395" s="1" t="str">
        <f>IF(Raw!D1395="","",Raw!D1395)</f>
        <v>P-O</v>
      </c>
      <c r="I1395" s="1" t="str">
        <f>IFERROR(IF(EXACT(H1395,INDEX(Guide!$A$7:$A$9,MATCH(SUBSTITUTE(SUBSTITUTE(SUBSTITUTE(H1395,"~","~~"),"*","~*"),"?","~?"),Guide!$A$7:$A$9,0))),INDEX(Guide!$B$7:$B$9,MATCH(SUBSTITUTE(SUBSTITUTE(SUBSTITUTE(H1395,"~","~~"),"*","~*"),"?","~?"),Guide!$A$7:$A$9,0)),""),"")</f>
        <v>Office</v>
      </c>
      <c r="J1395" s="1" t="str">
        <f>IF(TRIM(Raw!E1395)="",I1395,IF(UPPER(TRIM(Raw!E1395))=UPPER(I1395),I1395,""))</f>
        <v>Office</v>
      </c>
      <c r="K1395" s="1" t="str">
        <f>IF(Raw!F1395="","",Raw!F1395)</f>
        <v>sale</v>
      </c>
      <c r="L1395" s="1" t="str">
        <f>IF(LEFT(TRIM(Raw!G1395),2)="-$","-"&amp;MID(TRIM(Raw!G1395),3,99),IF(LEFT(TRIM(Raw!G1395),1)="$",MID(TRIM(Raw!G1395),2,99),TRIM(Raw!G1395)))</f>
        <v>77.10</v>
      </c>
      <c r="M1395" s="1">
        <f t="shared" si="171"/>
        <v>77.099999999999994</v>
      </c>
      <c r="N1395" s="10">
        <f t="shared" si="172"/>
        <v>7710</v>
      </c>
      <c r="O1395" s="1" t="b">
        <f>IFERROR(IF(ISNUMBER(Raw!G1395),TRUE,OR(EXACT(L1395,TEXT(M1395,"0.00")),EXACT(L1395,TEXT(M1395,"#,##0.00")))),FALSE)</f>
        <v>1</v>
      </c>
      <c r="P1395" s="1" t="str">
        <f>LEN(IF(Raw!A1395="","",Raw!A1395))&amp;":"&amp;IF(Raw!A1395="","",Raw!A1395)&amp;"|"&amp;LEN(IF(Raw!B1395="","",Raw!B1395))&amp;":"&amp;IF(Raw!B1395="","",Raw!B1395)&amp;"|"&amp;LEN(IF(Raw!C1395="","",Raw!C1395))&amp;":"&amp;IF(Raw!C1395="","",Raw!C1395)&amp;"|"&amp;LEN(IF(Raw!D1395="","",Raw!D1395))&amp;":"&amp;IF(Raw!D1395="","",Raw!D1395)&amp;"|"&amp;LEN(IF(Raw!E1395="","",Raw!E1395))&amp;":"&amp;IF(Raw!E1395="","",Raw!E1395)&amp;"|"&amp;LEN(IF(Raw!F1395="","",Raw!F1395))&amp;":"&amp;IF(Raw!F1395="","",Raw!F1395)&amp;"|"&amp;LEN(IF(Raw!G1395="","",Raw!G1395))&amp;":"&amp;IF(Raw!G1395="","",Raw!G1395)</f>
        <v>6:L01389|6:T00695|10:2026-03-30|3:P-O|6:Office|4:sale|5:77.10</v>
      </c>
      <c r="Q1395" s="1">
        <f>1</f>
        <v>1</v>
      </c>
      <c r="R1395" s="1" t="b">
        <f>FALSE</f>
        <v>0</v>
      </c>
      <c r="S1395" s="1">
        <f>1</f>
        <v>1</v>
      </c>
      <c r="T1395" s="1" t="str">
        <f>IF(AND(Raw!A1395="",Raw!B1395="",Raw!C1395="",Raw!D1395="",Raw!E1395="",Raw!F1395="",Raw!G1395=""),"UNUSED",IF(A1395="","missing line ID",IF(B1395="","missing transaction ID",IF(G1395="",IF(C1395="","missing date","invalid date"),IF(I1395="","unknown product",IF(J1395="","conflicting category",IF(NOT(OR(EXACT(K1395,"sale"),EXACT(K1395,"refund"))),"unknown event",IF(OR(N1395="",NOT(O1395)),"invalid amount",IF(OR(AND(K1395="sale",N1395&lt;=0),AND(K1395="refund",N1395&gt;=0)),"invalid sign","")))))))))</f>
        <v/>
      </c>
      <c r="U1395" s="1" t="str">
        <f t="shared" si="173"/>
        <v>INCLUDED</v>
      </c>
      <c r="V1395" s="1" t="str">
        <f t="shared" si="174"/>
        <v>2026-03</v>
      </c>
      <c r="W1395" s="1">
        <f>IF(AND(U1395="INCLUDED",X1395&gt;0,EXACT(A1395,'AI output'!A1395)),1,0)</f>
        <v>1</v>
      </c>
      <c r="X1395" s="1">
        <f>1395</f>
        <v>1395</v>
      </c>
      <c r="Y1395" s="1">
        <f>IF(AND(U1395="INCLUDED",W1395=1),--(NOT(EXACT(A1395,'AI output'!A1395)))+--(NOT(EXACT(B1395,'AI output'!B1395)))+--(NOT(EXACT(TEXT(G1395,"yyyy-mm-dd"),'AI output'!C1395)))+--(NOT(EXACT(H1395,'AI output'!D1395)))+--(NOT(EXACT(J1395,'AI output'!E1395)))+--(NOT(EXACT(K1395,'AI output'!F1395)))+--(N1395&lt;&gt;'AI output'!L1395)+--(NOT('AI output'!M1395)),0)</f>
        <v>0</v>
      </c>
      <c r="Z1395" s="1">
        <f t="shared" si="175"/>
        <v>0</v>
      </c>
      <c r="AA1395" s="1">
        <f>--EXACT(A1395,"L01389")</f>
        <v>1</v>
      </c>
    </row>
    <row r="1396" spans="1:27" ht="18.95" customHeight="1">
      <c r="A1396" s="1" t="str">
        <f>IF(Raw!A1396="","",Raw!A1396)</f>
        <v>L01390</v>
      </c>
      <c r="B1396" s="1" t="str">
        <f>IF(Raw!B1396="","",Raw!B1396)</f>
        <v>T00695</v>
      </c>
      <c r="C1396" s="1" t="str">
        <f>IF(Raw!C1396="","",Raw!C1396)</f>
        <v>2026-03-30</v>
      </c>
      <c r="D1396" s="1">
        <f t="shared" si="168"/>
        <v>2026</v>
      </c>
      <c r="E1396" s="1">
        <f>IFERROR(IF(AND(LEN(C1396)=10,MID(C1396,5,1)="-",MID(C1396,8,1)="-"),VALUE(MID(C1396,6,2)),IF(AND(LEN(C1396)=11,MID(C1396,3,1)="-",MID(C1396,7,1)="-"),MATCH(UPPER(MID(C1396,4,3)),Guide!$D$7:$D$18,0),0)),0)</f>
        <v>3</v>
      </c>
      <c r="F1396" s="1">
        <f t="shared" si="169"/>
        <v>30</v>
      </c>
      <c r="G1396" s="9">
        <f t="shared" si="170"/>
        <v>46111</v>
      </c>
      <c r="H1396" s="1" t="str">
        <f>IF(Raw!D1396="","",Raw!D1396)</f>
        <v>P-A</v>
      </c>
      <c r="I1396" s="1" t="str">
        <f>IFERROR(IF(EXACT(H1396,INDEX(Guide!$A$7:$A$9,MATCH(SUBSTITUTE(SUBSTITUTE(SUBSTITUTE(H1396,"~","~~"),"*","~*"),"?","~?"),Guide!$A$7:$A$9,0))),INDEX(Guide!$B$7:$B$9,MATCH(SUBSTITUTE(SUBSTITUTE(SUBSTITUTE(H1396,"~","~~"),"*","~*"),"?","~?"),Guide!$A$7:$A$9,0)),""),"")</f>
        <v>Accessories</v>
      </c>
      <c r="J1396" s="1" t="str">
        <f>IF(TRIM(Raw!E1396)="",I1396,IF(UPPER(TRIM(Raw!E1396))=UPPER(I1396),I1396,""))</f>
        <v>Accessories</v>
      </c>
      <c r="K1396" s="1" t="str">
        <f>IF(Raw!F1396="","",Raw!F1396)</f>
        <v>sale</v>
      </c>
      <c r="L1396" s="1" t="str">
        <f>IF(LEFT(TRIM(Raw!G1396),2)="-$","-"&amp;MID(TRIM(Raw!G1396),3,99),IF(LEFT(TRIM(Raw!G1396),1)="$",MID(TRIM(Raw!G1396),2,99),TRIM(Raw!G1396)))</f>
        <v>155.68</v>
      </c>
      <c r="M1396" s="1">
        <f t="shared" si="171"/>
        <v>155.68</v>
      </c>
      <c r="N1396" s="10">
        <f t="shared" si="172"/>
        <v>15568</v>
      </c>
      <c r="O1396" s="1" t="b">
        <f>IFERROR(IF(ISNUMBER(Raw!G1396),TRUE,OR(EXACT(L1396,TEXT(M1396,"0.00")),EXACT(L1396,TEXT(M1396,"#,##0.00")))),FALSE)</f>
        <v>1</v>
      </c>
      <c r="P1396" s="1" t="str">
        <f>LEN(IF(Raw!A1396="","",Raw!A1396))&amp;":"&amp;IF(Raw!A1396="","",Raw!A1396)&amp;"|"&amp;LEN(IF(Raw!B1396="","",Raw!B1396))&amp;":"&amp;IF(Raw!B1396="","",Raw!B1396)&amp;"|"&amp;LEN(IF(Raw!C1396="","",Raw!C1396))&amp;":"&amp;IF(Raw!C1396="","",Raw!C1396)&amp;"|"&amp;LEN(IF(Raw!D1396="","",Raw!D1396))&amp;":"&amp;IF(Raw!D1396="","",Raw!D1396)&amp;"|"&amp;LEN(IF(Raw!E1396="","",Raw!E1396))&amp;":"&amp;IF(Raw!E1396="","",Raw!E1396)&amp;"|"&amp;LEN(IF(Raw!F1396="","",Raw!F1396))&amp;":"&amp;IF(Raw!F1396="","",Raw!F1396)&amp;"|"&amp;LEN(IF(Raw!G1396="","",Raw!G1396))&amp;":"&amp;IF(Raw!G1396="","",Raw!G1396)</f>
        <v>6:L01390|6:T00695|10:2026-03-30|3:P-A|11:Accessories|4:sale|6:155.68</v>
      </c>
      <c r="Q1396" s="1">
        <f>1</f>
        <v>1</v>
      </c>
      <c r="R1396" s="1" t="b">
        <f>FALSE</f>
        <v>0</v>
      </c>
      <c r="S1396" s="1">
        <f>1</f>
        <v>1</v>
      </c>
      <c r="T1396" s="1" t="str">
        <f>IF(AND(Raw!A1396="",Raw!B1396="",Raw!C1396="",Raw!D1396="",Raw!E1396="",Raw!F1396="",Raw!G1396=""),"UNUSED",IF(A1396="","missing line ID",IF(B1396="","missing transaction ID",IF(G1396="",IF(C1396="","missing date","invalid date"),IF(I1396="","unknown product",IF(J1396="","conflicting category",IF(NOT(OR(EXACT(K1396,"sale"),EXACT(K1396,"refund"))),"unknown event",IF(OR(N1396="",NOT(O1396)),"invalid amount",IF(OR(AND(K1396="sale",N1396&lt;=0),AND(K1396="refund",N1396&gt;=0)),"invalid sign","")))))))))</f>
        <v/>
      </c>
      <c r="U1396" s="1" t="str">
        <f t="shared" si="173"/>
        <v>INCLUDED</v>
      </c>
      <c r="V1396" s="1" t="str">
        <f t="shared" si="174"/>
        <v>2026-03</v>
      </c>
      <c r="W1396" s="1">
        <f>IF(AND(U1396="INCLUDED",X1396&gt;0,EXACT(A1396,'AI output'!A1396)),1,0)</f>
        <v>1</v>
      </c>
      <c r="X1396" s="1">
        <f>1396</f>
        <v>1396</v>
      </c>
      <c r="Y1396" s="1">
        <f>IF(AND(U1396="INCLUDED",W1396=1),--(NOT(EXACT(A1396,'AI output'!A1396)))+--(NOT(EXACT(B1396,'AI output'!B1396)))+--(NOT(EXACT(TEXT(G1396,"yyyy-mm-dd"),'AI output'!C1396)))+--(NOT(EXACT(H1396,'AI output'!D1396)))+--(NOT(EXACT(J1396,'AI output'!E1396)))+--(NOT(EXACT(K1396,'AI output'!F1396)))+--(N1396&lt;&gt;'AI output'!L1396)+--(NOT('AI output'!M1396)),0)</f>
        <v>0</v>
      </c>
      <c r="Z1396" s="1">
        <f t="shared" si="175"/>
        <v>0</v>
      </c>
      <c r="AA1396" s="1">
        <f>--EXACT(A1396,"L01390")</f>
        <v>1</v>
      </c>
    </row>
    <row r="1397" spans="1:27" ht="18.95" customHeight="1">
      <c r="A1397" s="1" t="str">
        <f>IF(Raw!A1397="","",Raw!A1397)</f>
        <v>L01391</v>
      </c>
      <c r="B1397" s="1" t="str">
        <f>IF(Raw!B1397="","",Raw!B1397)</f>
        <v>T00696</v>
      </c>
      <c r="C1397" s="1" t="str">
        <f>IF(Raw!C1397="","",Raw!C1397)</f>
        <v>2026-01-06</v>
      </c>
      <c r="D1397" s="1">
        <f t="shared" si="168"/>
        <v>2026</v>
      </c>
      <c r="E1397" s="1">
        <f>IFERROR(IF(AND(LEN(C1397)=10,MID(C1397,5,1)="-",MID(C1397,8,1)="-"),VALUE(MID(C1397,6,2)),IF(AND(LEN(C1397)=11,MID(C1397,3,1)="-",MID(C1397,7,1)="-"),MATCH(UPPER(MID(C1397,4,3)),Guide!$D$7:$D$18,0),0)),0)</f>
        <v>1</v>
      </c>
      <c r="F1397" s="1">
        <f t="shared" si="169"/>
        <v>6</v>
      </c>
      <c r="G1397" s="9">
        <f t="shared" si="170"/>
        <v>46028</v>
      </c>
      <c r="H1397" s="1" t="str">
        <f>IF(Raw!D1397="","",Raw!D1397)</f>
        <v>P-H</v>
      </c>
      <c r="I1397" s="1" t="str">
        <f>IFERROR(IF(EXACT(H1397,INDEX(Guide!$A$7:$A$9,MATCH(SUBSTITUTE(SUBSTITUTE(SUBSTITUTE(H1397,"~","~~"),"*","~*"),"?","~?"),Guide!$A$7:$A$9,0))),INDEX(Guide!$B$7:$B$9,MATCH(SUBSTITUTE(SUBSTITUTE(SUBSTITUTE(H1397,"~","~~"),"*","~*"),"?","~?"),Guide!$A$7:$A$9,0)),""),"")</f>
        <v>Home</v>
      </c>
      <c r="J1397" s="1" t="str">
        <f>IF(TRIM(Raw!E1397)="",I1397,IF(UPPER(TRIM(Raw!E1397))=UPPER(I1397),I1397,""))</f>
        <v>Home</v>
      </c>
      <c r="K1397" s="1" t="str">
        <f>IF(Raw!F1397="","",Raw!F1397)</f>
        <v>sale</v>
      </c>
      <c r="L1397" s="1" t="str">
        <f>IF(LEFT(TRIM(Raw!G1397),2)="-$","-"&amp;MID(TRIM(Raw!G1397),3,99),IF(LEFT(TRIM(Raw!G1397),1)="$",MID(TRIM(Raw!G1397),2,99),TRIM(Raw!G1397)))</f>
        <v>39.29</v>
      </c>
      <c r="M1397" s="1">
        <f t="shared" si="171"/>
        <v>39.29</v>
      </c>
      <c r="N1397" s="10">
        <f t="shared" si="172"/>
        <v>3929</v>
      </c>
      <c r="O1397" s="1" t="b">
        <f>IFERROR(IF(ISNUMBER(Raw!G1397),TRUE,OR(EXACT(L1397,TEXT(M1397,"0.00")),EXACT(L1397,TEXT(M1397,"#,##0.00")))),FALSE)</f>
        <v>1</v>
      </c>
      <c r="P1397" s="1" t="str">
        <f>LEN(IF(Raw!A1397="","",Raw!A1397))&amp;":"&amp;IF(Raw!A1397="","",Raw!A1397)&amp;"|"&amp;LEN(IF(Raw!B1397="","",Raw!B1397))&amp;":"&amp;IF(Raw!B1397="","",Raw!B1397)&amp;"|"&amp;LEN(IF(Raw!C1397="","",Raw!C1397))&amp;":"&amp;IF(Raw!C1397="","",Raw!C1397)&amp;"|"&amp;LEN(IF(Raw!D1397="","",Raw!D1397))&amp;":"&amp;IF(Raw!D1397="","",Raw!D1397)&amp;"|"&amp;LEN(IF(Raw!E1397="","",Raw!E1397))&amp;":"&amp;IF(Raw!E1397="","",Raw!E1397)&amp;"|"&amp;LEN(IF(Raw!F1397="","",Raw!F1397))&amp;":"&amp;IF(Raw!F1397="","",Raw!F1397)&amp;"|"&amp;LEN(IF(Raw!G1397="","",Raw!G1397))&amp;":"&amp;IF(Raw!G1397="","",Raw!G1397)</f>
        <v>6:L01391|6:T00696|10:2026-01-06|3:P-H|4:Home|4:sale|5:39.29</v>
      </c>
      <c r="Q1397" s="1">
        <f>1</f>
        <v>1</v>
      </c>
      <c r="R1397" s="1" t="b">
        <f>FALSE</f>
        <v>0</v>
      </c>
      <c r="S1397" s="1">
        <f>1</f>
        <v>1</v>
      </c>
      <c r="T1397" s="1" t="str">
        <f>IF(AND(Raw!A1397="",Raw!B1397="",Raw!C1397="",Raw!D1397="",Raw!E1397="",Raw!F1397="",Raw!G1397=""),"UNUSED",IF(A1397="","missing line ID",IF(B1397="","missing transaction ID",IF(G1397="",IF(C1397="","missing date","invalid date"),IF(I1397="","unknown product",IF(J1397="","conflicting category",IF(NOT(OR(EXACT(K1397,"sale"),EXACT(K1397,"refund"))),"unknown event",IF(OR(N1397="",NOT(O1397)),"invalid amount",IF(OR(AND(K1397="sale",N1397&lt;=0),AND(K1397="refund",N1397&gt;=0)),"invalid sign","")))))))))</f>
        <v/>
      </c>
      <c r="U1397" s="1" t="str">
        <f t="shared" si="173"/>
        <v>INCLUDED</v>
      </c>
      <c r="V1397" s="1" t="str">
        <f t="shared" si="174"/>
        <v>2026-01</v>
      </c>
      <c r="W1397" s="1">
        <f>IF(AND(U1397="INCLUDED",X1397&gt;0,EXACT(A1397,'AI output'!A1397)),1,0)</f>
        <v>1</v>
      </c>
      <c r="X1397" s="1">
        <f>1397</f>
        <v>1397</v>
      </c>
      <c r="Y1397" s="1">
        <f>IF(AND(U1397="INCLUDED",W1397=1),--(NOT(EXACT(A1397,'AI output'!A1397)))+--(NOT(EXACT(B1397,'AI output'!B1397)))+--(NOT(EXACT(TEXT(G1397,"yyyy-mm-dd"),'AI output'!C1397)))+--(NOT(EXACT(H1397,'AI output'!D1397)))+--(NOT(EXACT(J1397,'AI output'!E1397)))+--(NOT(EXACT(K1397,'AI output'!F1397)))+--(N1397&lt;&gt;'AI output'!L1397)+--(NOT('AI output'!M1397)),0)</f>
        <v>0</v>
      </c>
      <c r="Z1397" s="1">
        <f t="shared" si="175"/>
        <v>0</v>
      </c>
      <c r="AA1397" s="1">
        <f>--EXACT(A1397,"L01391")</f>
        <v>1</v>
      </c>
    </row>
    <row r="1398" spans="1:27" ht="18.95" customHeight="1">
      <c r="A1398" s="1" t="str">
        <f>IF(Raw!A1398="","",Raw!A1398)</f>
        <v>L01392</v>
      </c>
      <c r="B1398" s="1" t="str">
        <f>IF(Raw!B1398="","",Raw!B1398)</f>
        <v>T00696</v>
      </c>
      <c r="C1398" s="1" t="str">
        <f>IF(Raw!C1398="","",Raw!C1398)</f>
        <v>2026-01-06</v>
      </c>
      <c r="D1398" s="1">
        <f t="shared" si="168"/>
        <v>2026</v>
      </c>
      <c r="E1398" s="1">
        <f>IFERROR(IF(AND(LEN(C1398)=10,MID(C1398,5,1)="-",MID(C1398,8,1)="-"),VALUE(MID(C1398,6,2)),IF(AND(LEN(C1398)=11,MID(C1398,3,1)="-",MID(C1398,7,1)="-"),MATCH(UPPER(MID(C1398,4,3)),Guide!$D$7:$D$18,0),0)),0)</f>
        <v>1</v>
      </c>
      <c r="F1398" s="1">
        <f t="shared" si="169"/>
        <v>6</v>
      </c>
      <c r="G1398" s="9">
        <f t="shared" si="170"/>
        <v>46028</v>
      </c>
      <c r="H1398" s="1" t="str">
        <f>IF(Raw!D1398="","",Raw!D1398)</f>
        <v>P-O</v>
      </c>
      <c r="I1398" s="1" t="str">
        <f>IFERROR(IF(EXACT(H1398,INDEX(Guide!$A$7:$A$9,MATCH(SUBSTITUTE(SUBSTITUTE(SUBSTITUTE(H1398,"~","~~"),"*","~*"),"?","~?"),Guide!$A$7:$A$9,0))),INDEX(Guide!$B$7:$B$9,MATCH(SUBSTITUTE(SUBSTITUTE(SUBSTITUTE(H1398,"~","~~"),"*","~*"),"?","~?"),Guide!$A$7:$A$9,0)),""),"")</f>
        <v>Office</v>
      </c>
      <c r="J1398" s="1" t="str">
        <f>IF(TRIM(Raw!E1398)="",I1398,IF(UPPER(TRIM(Raw!E1398))=UPPER(I1398),I1398,""))</f>
        <v>Office</v>
      </c>
      <c r="K1398" s="1" t="str">
        <f>IF(Raw!F1398="","",Raw!F1398)</f>
        <v>sale</v>
      </c>
      <c r="L1398" s="1" t="str">
        <f>IF(LEFT(TRIM(Raw!G1398),2)="-$","-"&amp;MID(TRIM(Raw!G1398),3,99),IF(LEFT(TRIM(Raw!G1398),1)="$",MID(TRIM(Raw!G1398),2,99),TRIM(Raw!G1398)))</f>
        <v>118.98</v>
      </c>
      <c r="M1398" s="1">
        <f t="shared" si="171"/>
        <v>118.98</v>
      </c>
      <c r="N1398" s="10">
        <f t="shared" si="172"/>
        <v>11898</v>
      </c>
      <c r="O1398" s="1" t="b">
        <f>IFERROR(IF(ISNUMBER(Raw!G1398),TRUE,OR(EXACT(L1398,TEXT(M1398,"0.00")),EXACT(L1398,TEXT(M1398,"#,##0.00")))),FALSE)</f>
        <v>1</v>
      </c>
      <c r="P1398" s="1" t="str">
        <f>LEN(IF(Raw!A1398="","",Raw!A1398))&amp;":"&amp;IF(Raw!A1398="","",Raw!A1398)&amp;"|"&amp;LEN(IF(Raw!B1398="","",Raw!B1398))&amp;":"&amp;IF(Raw!B1398="","",Raw!B1398)&amp;"|"&amp;LEN(IF(Raw!C1398="","",Raw!C1398))&amp;":"&amp;IF(Raw!C1398="","",Raw!C1398)&amp;"|"&amp;LEN(IF(Raw!D1398="","",Raw!D1398))&amp;":"&amp;IF(Raw!D1398="","",Raw!D1398)&amp;"|"&amp;LEN(IF(Raw!E1398="","",Raw!E1398))&amp;":"&amp;IF(Raw!E1398="","",Raw!E1398)&amp;"|"&amp;LEN(IF(Raw!F1398="","",Raw!F1398))&amp;":"&amp;IF(Raw!F1398="","",Raw!F1398)&amp;"|"&amp;LEN(IF(Raw!G1398="","",Raw!G1398))&amp;":"&amp;IF(Raw!G1398="","",Raw!G1398)</f>
        <v>6:L01392|6:T00696|10:2026-01-06|3:P-O|6:Office|4:sale|6:118.98</v>
      </c>
      <c r="Q1398" s="1">
        <f>1</f>
        <v>1</v>
      </c>
      <c r="R1398" s="1" t="b">
        <f>FALSE</f>
        <v>0</v>
      </c>
      <c r="S1398" s="1">
        <f>1</f>
        <v>1</v>
      </c>
      <c r="T1398" s="1" t="str">
        <f>IF(AND(Raw!A1398="",Raw!B1398="",Raw!C1398="",Raw!D1398="",Raw!E1398="",Raw!F1398="",Raw!G1398=""),"UNUSED",IF(A1398="","missing line ID",IF(B1398="","missing transaction ID",IF(G1398="",IF(C1398="","missing date","invalid date"),IF(I1398="","unknown product",IF(J1398="","conflicting category",IF(NOT(OR(EXACT(K1398,"sale"),EXACT(K1398,"refund"))),"unknown event",IF(OR(N1398="",NOT(O1398)),"invalid amount",IF(OR(AND(K1398="sale",N1398&lt;=0),AND(K1398="refund",N1398&gt;=0)),"invalid sign","")))))))))</f>
        <v/>
      </c>
      <c r="U1398" s="1" t="str">
        <f t="shared" si="173"/>
        <v>INCLUDED</v>
      </c>
      <c r="V1398" s="1" t="str">
        <f t="shared" si="174"/>
        <v>2026-01</v>
      </c>
      <c r="W1398" s="1">
        <f>IF(AND(U1398="INCLUDED",X1398&gt;0,EXACT(A1398,'AI output'!A1398)),1,0)</f>
        <v>1</v>
      </c>
      <c r="X1398" s="1">
        <f>1398</f>
        <v>1398</v>
      </c>
      <c r="Y1398" s="1">
        <f>IF(AND(U1398="INCLUDED",W1398=1),--(NOT(EXACT(A1398,'AI output'!A1398)))+--(NOT(EXACT(B1398,'AI output'!B1398)))+--(NOT(EXACT(TEXT(G1398,"yyyy-mm-dd"),'AI output'!C1398)))+--(NOT(EXACT(H1398,'AI output'!D1398)))+--(NOT(EXACT(J1398,'AI output'!E1398)))+--(NOT(EXACT(K1398,'AI output'!F1398)))+--(N1398&lt;&gt;'AI output'!L1398)+--(NOT('AI output'!M1398)),0)</f>
        <v>0</v>
      </c>
      <c r="Z1398" s="1">
        <f t="shared" si="175"/>
        <v>0</v>
      </c>
      <c r="AA1398" s="1">
        <f>--EXACT(A1398,"L01392")</f>
        <v>1</v>
      </c>
    </row>
    <row r="1399" spans="1:27" ht="18.95" customHeight="1">
      <c r="A1399" s="1" t="str">
        <f>IF(Raw!A1399="","",Raw!A1399)</f>
        <v>L01393</v>
      </c>
      <c r="B1399" s="1" t="str">
        <f>IF(Raw!B1399="","",Raw!B1399)</f>
        <v>T00697</v>
      </c>
      <c r="C1399" s="1" t="str">
        <f>IF(Raw!C1399="","",Raw!C1399)</f>
        <v>2026-01-13</v>
      </c>
      <c r="D1399" s="1">
        <f t="shared" si="168"/>
        <v>2026</v>
      </c>
      <c r="E1399" s="1">
        <f>IFERROR(IF(AND(LEN(C1399)=10,MID(C1399,5,1)="-",MID(C1399,8,1)="-"),VALUE(MID(C1399,6,2)),IF(AND(LEN(C1399)=11,MID(C1399,3,1)="-",MID(C1399,7,1)="-"),MATCH(UPPER(MID(C1399,4,3)),Guide!$D$7:$D$18,0),0)),0)</f>
        <v>1</v>
      </c>
      <c r="F1399" s="1">
        <f t="shared" si="169"/>
        <v>13</v>
      </c>
      <c r="G1399" s="9">
        <f t="shared" si="170"/>
        <v>46035</v>
      </c>
      <c r="H1399" s="1" t="str">
        <f>IF(Raw!D1399="","",Raw!D1399)</f>
        <v>P-A</v>
      </c>
      <c r="I1399" s="1" t="str">
        <f>IFERROR(IF(EXACT(H1399,INDEX(Guide!$A$7:$A$9,MATCH(SUBSTITUTE(SUBSTITUTE(SUBSTITUTE(H1399,"~","~~"),"*","~*"),"?","~?"),Guide!$A$7:$A$9,0))),INDEX(Guide!$B$7:$B$9,MATCH(SUBSTITUTE(SUBSTITUTE(SUBSTITUTE(H1399,"~","~~"),"*","~*"),"?","~?"),Guide!$A$7:$A$9,0)),""),"")</f>
        <v>Accessories</v>
      </c>
      <c r="J1399" s="1" t="str">
        <f>IF(TRIM(Raw!E1399)="",I1399,IF(UPPER(TRIM(Raw!E1399))=UPPER(I1399),I1399,""))</f>
        <v>Accessories</v>
      </c>
      <c r="K1399" s="1" t="str">
        <f>IF(Raw!F1399="","",Raw!F1399)</f>
        <v>sale</v>
      </c>
      <c r="L1399" s="1" t="str">
        <f>IF(LEFT(TRIM(Raw!G1399),2)="-$","-"&amp;MID(TRIM(Raw!G1399),3,99),IF(LEFT(TRIM(Raw!G1399),1)="$",MID(TRIM(Raw!G1399),2,99),TRIM(Raw!G1399)))</f>
        <v>200.15</v>
      </c>
      <c r="M1399" s="1">
        <f t="shared" si="171"/>
        <v>200.15</v>
      </c>
      <c r="N1399" s="10">
        <f t="shared" si="172"/>
        <v>20015</v>
      </c>
      <c r="O1399" s="1" t="b">
        <f>IFERROR(IF(ISNUMBER(Raw!G1399),TRUE,OR(EXACT(L1399,TEXT(M1399,"0.00")),EXACT(L1399,TEXT(M1399,"#,##0.00")))),FALSE)</f>
        <v>1</v>
      </c>
      <c r="P1399" s="1" t="str">
        <f>LEN(IF(Raw!A1399="","",Raw!A1399))&amp;":"&amp;IF(Raw!A1399="","",Raw!A1399)&amp;"|"&amp;LEN(IF(Raw!B1399="","",Raw!B1399))&amp;":"&amp;IF(Raw!B1399="","",Raw!B1399)&amp;"|"&amp;LEN(IF(Raw!C1399="","",Raw!C1399))&amp;":"&amp;IF(Raw!C1399="","",Raw!C1399)&amp;"|"&amp;LEN(IF(Raw!D1399="","",Raw!D1399))&amp;":"&amp;IF(Raw!D1399="","",Raw!D1399)&amp;"|"&amp;LEN(IF(Raw!E1399="","",Raw!E1399))&amp;":"&amp;IF(Raw!E1399="","",Raw!E1399)&amp;"|"&amp;LEN(IF(Raw!F1399="","",Raw!F1399))&amp;":"&amp;IF(Raw!F1399="","",Raw!F1399)&amp;"|"&amp;LEN(IF(Raw!G1399="","",Raw!G1399))&amp;":"&amp;IF(Raw!G1399="","",Raw!G1399)</f>
        <v>6:L01393|6:T00697|10:2026-01-13|3:P-A|11:Accessories|4:sale|6:200.15</v>
      </c>
      <c r="Q1399" s="1">
        <f>1</f>
        <v>1</v>
      </c>
      <c r="R1399" s="1" t="b">
        <f>FALSE</f>
        <v>0</v>
      </c>
      <c r="S1399" s="1">
        <f>1</f>
        <v>1</v>
      </c>
      <c r="T1399" s="1" t="str">
        <f>IF(AND(Raw!A1399="",Raw!B1399="",Raw!C1399="",Raw!D1399="",Raw!E1399="",Raw!F1399="",Raw!G1399=""),"UNUSED",IF(A1399="","missing line ID",IF(B1399="","missing transaction ID",IF(G1399="",IF(C1399="","missing date","invalid date"),IF(I1399="","unknown product",IF(J1399="","conflicting category",IF(NOT(OR(EXACT(K1399,"sale"),EXACT(K1399,"refund"))),"unknown event",IF(OR(N1399="",NOT(O1399)),"invalid amount",IF(OR(AND(K1399="sale",N1399&lt;=0),AND(K1399="refund",N1399&gt;=0)),"invalid sign","")))))))))</f>
        <v/>
      </c>
      <c r="U1399" s="1" t="str">
        <f t="shared" si="173"/>
        <v>INCLUDED</v>
      </c>
      <c r="V1399" s="1" t="str">
        <f t="shared" si="174"/>
        <v>2026-01</v>
      </c>
      <c r="W1399" s="1">
        <f>IF(AND(U1399="INCLUDED",X1399&gt;0,EXACT(A1399,'AI output'!A1399)),1,0)</f>
        <v>1</v>
      </c>
      <c r="X1399" s="1">
        <f>1399</f>
        <v>1399</v>
      </c>
      <c r="Y1399" s="1">
        <f>IF(AND(U1399="INCLUDED",W1399=1),--(NOT(EXACT(A1399,'AI output'!A1399)))+--(NOT(EXACT(B1399,'AI output'!B1399)))+--(NOT(EXACT(TEXT(G1399,"yyyy-mm-dd"),'AI output'!C1399)))+--(NOT(EXACT(H1399,'AI output'!D1399)))+--(NOT(EXACT(J1399,'AI output'!E1399)))+--(NOT(EXACT(K1399,'AI output'!F1399)))+--(N1399&lt;&gt;'AI output'!L1399)+--(NOT('AI output'!M1399)),0)</f>
        <v>0</v>
      </c>
      <c r="Z1399" s="1">
        <f t="shared" si="175"/>
        <v>0</v>
      </c>
      <c r="AA1399" s="1">
        <f>--EXACT(A1399,"L01393")</f>
        <v>1</v>
      </c>
    </row>
    <row r="1400" spans="1:27" ht="18.95" customHeight="1">
      <c r="A1400" s="1" t="str">
        <f>IF(Raw!A1400="","",Raw!A1400)</f>
        <v>L01394</v>
      </c>
      <c r="B1400" s="1" t="str">
        <f>IF(Raw!B1400="","",Raw!B1400)</f>
        <v>T00697</v>
      </c>
      <c r="C1400" s="1" t="str">
        <f>IF(Raw!C1400="","",Raw!C1400)</f>
        <v>2026-01-13</v>
      </c>
      <c r="D1400" s="1">
        <f t="shared" si="168"/>
        <v>2026</v>
      </c>
      <c r="E1400" s="1">
        <f>IFERROR(IF(AND(LEN(C1400)=10,MID(C1400,5,1)="-",MID(C1400,8,1)="-"),VALUE(MID(C1400,6,2)),IF(AND(LEN(C1400)=11,MID(C1400,3,1)="-",MID(C1400,7,1)="-"),MATCH(UPPER(MID(C1400,4,3)),Guide!$D$7:$D$18,0),0)),0)</f>
        <v>1</v>
      </c>
      <c r="F1400" s="1">
        <f t="shared" si="169"/>
        <v>13</v>
      </c>
      <c r="G1400" s="9">
        <f t="shared" si="170"/>
        <v>46035</v>
      </c>
      <c r="H1400" s="1" t="str">
        <f>IF(Raw!D1400="","",Raw!D1400)</f>
        <v>P-H</v>
      </c>
      <c r="I1400" s="1" t="str">
        <f>IFERROR(IF(EXACT(H1400,INDEX(Guide!$A$7:$A$9,MATCH(SUBSTITUTE(SUBSTITUTE(SUBSTITUTE(H1400,"~","~~"),"*","~*"),"?","~?"),Guide!$A$7:$A$9,0))),INDEX(Guide!$B$7:$B$9,MATCH(SUBSTITUTE(SUBSTITUTE(SUBSTITUTE(H1400,"~","~~"),"*","~*"),"?","~?"),Guide!$A$7:$A$9,0)),""),"")</f>
        <v>Home</v>
      </c>
      <c r="J1400" s="1" t="str">
        <f>IF(TRIM(Raw!E1400)="",I1400,IF(UPPER(TRIM(Raw!E1400))=UPPER(I1400),I1400,""))</f>
        <v>Home</v>
      </c>
      <c r="K1400" s="1" t="str">
        <f>IF(Raw!F1400="","",Raw!F1400)</f>
        <v>sale</v>
      </c>
      <c r="L1400" s="1" t="str">
        <f>IF(LEFT(TRIM(Raw!G1400),2)="-$","-"&amp;MID(TRIM(Raw!G1400),3,99),IF(LEFT(TRIM(Raw!G1400),1)="$",MID(TRIM(Raw!G1400),2,99),TRIM(Raw!G1400)))</f>
        <v>80.80</v>
      </c>
      <c r="M1400" s="1">
        <f t="shared" si="171"/>
        <v>80.8</v>
      </c>
      <c r="N1400" s="10">
        <f t="shared" si="172"/>
        <v>8080</v>
      </c>
      <c r="O1400" s="1" t="b">
        <f>IFERROR(IF(ISNUMBER(Raw!G1400),TRUE,OR(EXACT(L1400,TEXT(M1400,"0.00")),EXACT(L1400,TEXT(M1400,"#,##0.00")))),FALSE)</f>
        <v>1</v>
      </c>
      <c r="P1400" s="1" t="str">
        <f>LEN(IF(Raw!A1400="","",Raw!A1400))&amp;":"&amp;IF(Raw!A1400="","",Raw!A1400)&amp;"|"&amp;LEN(IF(Raw!B1400="","",Raw!B1400))&amp;":"&amp;IF(Raw!B1400="","",Raw!B1400)&amp;"|"&amp;LEN(IF(Raw!C1400="","",Raw!C1400))&amp;":"&amp;IF(Raw!C1400="","",Raw!C1400)&amp;"|"&amp;LEN(IF(Raw!D1400="","",Raw!D1400))&amp;":"&amp;IF(Raw!D1400="","",Raw!D1400)&amp;"|"&amp;LEN(IF(Raw!E1400="","",Raw!E1400))&amp;":"&amp;IF(Raw!E1400="","",Raw!E1400)&amp;"|"&amp;LEN(IF(Raw!F1400="","",Raw!F1400))&amp;":"&amp;IF(Raw!F1400="","",Raw!F1400)&amp;"|"&amp;LEN(IF(Raw!G1400="","",Raw!G1400))&amp;":"&amp;IF(Raw!G1400="","",Raw!G1400)</f>
        <v>6:L01394|6:T00697|10:2026-01-13|3:P-H|4:Home|4:sale|5:80.80</v>
      </c>
      <c r="Q1400" s="1">
        <f>1</f>
        <v>1</v>
      </c>
      <c r="R1400" s="1" t="b">
        <f>FALSE</f>
        <v>0</v>
      </c>
      <c r="S1400" s="1">
        <f>1</f>
        <v>1</v>
      </c>
      <c r="T1400" s="1" t="str">
        <f>IF(AND(Raw!A1400="",Raw!B1400="",Raw!C1400="",Raw!D1400="",Raw!E1400="",Raw!F1400="",Raw!G1400=""),"UNUSED",IF(A1400="","missing line ID",IF(B1400="","missing transaction ID",IF(G1400="",IF(C1400="","missing date","invalid date"),IF(I1400="","unknown product",IF(J1400="","conflicting category",IF(NOT(OR(EXACT(K1400,"sale"),EXACT(K1400,"refund"))),"unknown event",IF(OR(N1400="",NOT(O1400)),"invalid amount",IF(OR(AND(K1400="sale",N1400&lt;=0),AND(K1400="refund",N1400&gt;=0)),"invalid sign","")))))))))</f>
        <v/>
      </c>
      <c r="U1400" s="1" t="str">
        <f t="shared" si="173"/>
        <v>INCLUDED</v>
      </c>
      <c r="V1400" s="1" t="str">
        <f t="shared" si="174"/>
        <v>2026-01</v>
      </c>
      <c r="W1400" s="1">
        <f>IF(AND(U1400="INCLUDED",X1400&gt;0,EXACT(A1400,'AI output'!A1400)),1,0)</f>
        <v>1</v>
      </c>
      <c r="X1400" s="1">
        <f>1400</f>
        <v>1400</v>
      </c>
      <c r="Y1400" s="1">
        <f>IF(AND(U1400="INCLUDED",W1400=1),--(NOT(EXACT(A1400,'AI output'!A1400)))+--(NOT(EXACT(B1400,'AI output'!B1400)))+--(NOT(EXACT(TEXT(G1400,"yyyy-mm-dd"),'AI output'!C1400)))+--(NOT(EXACT(H1400,'AI output'!D1400)))+--(NOT(EXACT(J1400,'AI output'!E1400)))+--(NOT(EXACT(K1400,'AI output'!F1400)))+--(N1400&lt;&gt;'AI output'!L1400)+--(NOT('AI output'!M1400)),0)</f>
        <v>0</v>
      </c>
      <c r="Z1400" s="1">
        <f t="shared" si="175"/>
        <v>0</v>
      </c>
      <c r="AA1400" s="1">
        <f>--EXACT(A1400,"L01394")</f>
        <v>1</v>
      </c>
    </row>
    <row r="1401" spans="1:27" ht="18.95" customHeight="1">
      <c r="A1401" s="1" t="str">
        <f>IF(Raw!A1401="","",Raw!A1401)</f>
        <v>L01395</v>
      </c>
      <c r="B1401" s="1" t="str">
        <f>IF(Raw!B1401="","",Raw!B1401)</f>
        <v>T00698</v>
      </c>
      <c r="C1401" s="1" t="str">
        <f>IF(Raw!C1401="","",Raw!C1401)</f>
        <v>2026-01-20</v>
      </c>
      <c r="D1401" s="1">
        <f t="shared" si="168"/>
        <v>2026</v>
      </c>
      <c r="E1401" s="1">
        <f>IFERROR(IF(AND(LEN(C1401)=10,MID(C1401,5,1)="-",MID(C1401,8,1)="-"),VALUE(MID(C1401,6,2)),IF(AND(LEN(C1401)=11,MID(C1401,3,1)="-",MID(C1401,7,1)="-"),MATCH(UPPER(MID(C1401,4,3)),Guide!$D$7:$D$18,0),0)),0)</f>
        <v>1</v>
      </c>
      <c r="F1401" s="1">
        <f t="shared" si="169"/>
        <v>20</v>
      </c>
      <c r="G1401" s="9">
        <f t="shared" si="170"/>
        <v>46042</v>
      </c>
      <c r="H1401" s="1" t="str">
        <f>IF(Raw!D1401="","",Raw!D1401)</f>
        <v>P-O</v>
      </c>
      <c r="I1401" s="1" t="str">
        <f>IFERROR(IF(EXACT(H1401,INDEX(Guide!$A$7:$A$9,MATCH(SUBSTITUTE(SUBSTITUTE(SUBSTITUTE(H1401,"~","~~"),"*","~*"),"?","~?"),Guide!$A$7:$A$9,0))),INDEX(Guide!$B$7:$B$9,MATCH(SUBSTITUTE(SUBSTITUTE(SUBSTITUTE(H1401,"~","~~"),"*","~*"),"?","~?"),Guide!$A$7:$A$9,0)),""),"")</f>
        <v>Office</v>
      </c>
      <c r="J1401" s="1" t="str">
        <f>IF(TRIM(Raw!E1401)="",I1401,IF(UPPER(TRIM(Raw!E1401))=UPPER(I1401),I1401,""))</f>
        <v>Office</v>
      </c>
      <c r="K1401" s="1" t="str">
        <f>IF(Raw!F1401="","",Raw!F1401)</f>
        <v>sale</v>
      </c>
      <c r="L1401" s="1" t="str">
        <f>IF(LEFT(TRIM(Raw!G1401),2)="-$","-"&amp;MID(TRIM(Raw!G1401),3,99),IF(LEFT(TRIM(Raw!G1401),1)="$",MID(TRIM(Raw!G1401),2,99),TRIM(Raw!G1401)))</f>
        <v>163.08</v>
      </c>
      <c r="M1401" s="1">
        <f t="shared" si="171"/>
        <v>163.08000000000001</v>
      </c>
      <c r="N1401" s="10">
        <f t="shared" si="172"/>
        <v>16308</v>
      </c>
      <c r="O1401" s="1" t="b">
        <f>IFERROR(IF(ISNUMBER(Raw!G1401),TRUE,OR(EXACT(L1401,TEXT(M1401,"0.00")),EXACT(L1401,TEXT(M1401,"#,##0.00")))),FALSE)</f>
        <v>1</v>
      </c>
      <c r="P1401" s="1" t="str">
        <f>LEN(IF(Raw!A1401="","",Raw!A1401))&amp;":"&amp;IF(Raw!A1401="","",Raw!A1401)&amp;"|"&amp;LEN(IF(Raw!B1401="","",Raw!B1401))&amp;":"&amp;IF(Raw!B1401="","",Raw!B1401)&amp;"|"&amp;LEN(IF(Raw!C1401="","",Raw!C1401))&amp;":"&amp;IF(Raw!C1401="","",Raw!C1401)&amp;"|"&amp;LEN(IF(Raw!D1401="","",Raw!D1401))&amp;":"&amp;IF(Raw!D1401="","",Raw!D1401)&amp;"|"&amp;LEN(IF(Raw!E1401="","",Raw!E1401))&amp;":"&amp;IF(Raw!E1401="","",Raw!E1401)&amp;"|"&amp;LEN(IF(Raw!F1401="","",Raw!F1401))&amp;":"&amp;IF(Raw!F1401="","",Raw!F1401)&amp;"|"&amp;LEN(IF(Raw!G1401="","",Raw!G1401))&amp;":"&amp;IF(Raw!G1401="","",Raw!G1401)</f>
        <v>6:L01395|6:T00698|10:2026-01-20|3:P-O|6:Office|4:sale|6:163.08</v>
      </c>
      <c r="Q1401" s="1">
        <f>1</f>
        <v>1</v>
      </c>
      <c r="R1401" s="1" t="b">
        <f>FALSE</f>
        <v>0</v>
      </c>
      <c r="S1401" s="1">
        <f>1</f>
        <v>1</v>
      </c>
      <c r="T1401" s="1" t="str">
        <f>IF(AND(Raw!A1401="",Raw!B1401="",Raw!C1401="",Raw!D1401="",Raw!E1401="",Raw!F1401="",Raw!G1401=""),"UNUSED",IF(A1401="","missing line ID",IF(B1401="","missing transaction ID",IF(G1401="",IF(C1401="","missing date","invalid date"),IF(I1401="","unknown product",IF(J1401="","conflicting category",IF(NOT(OR(EXACT(K1401,"sale"),EXACT(K1401,"refund"))),"unknown event",IF(OR(N1401="",NOT(O1401)),"invalid amount",IF(OR(AND(K1401="sale",N1401&lt;=0),AND(K1401="refund",N1401&gt;=0)),"invalid sign","")))))))))</f>
        <v/>
      </c>
      <c r="U1401" s="1" t="str">
        <f t="shared" si="173"/>
        <v>INCLUDED</v>
      </c>
      <c r="V1401" s="1" t="str">
        <f t="shared" si="174"/>
        <v>2026-01</v>
      </c>
      <c r="W1401" s="1">
        <f>IF(AND(U1401="INCLUDED",X1401&gt;0,EXACT(A1401,'AI output'!A1401)),1,0)</f>
        <v>1</v>
      </c>
      <c r="X1401" s="1">
        <f>1401</f>
        <v>1401</v>
      </c>
      <c r="Y1401" s="1">
        <f>IF(AND(U1401="INCLUDED",W1401=1),--(NOT(EXACT(A1401,'AI output'!A1401)))+--(NOT(EXACT(B1401,'AI output'!B1401)))+--(NOT(EXACT(TEXT(G1401,"yyyy-mm-dd"),'AI output'!C1401)))+--(NOT(EXACT(H1401,'AI output'!D1401)))+--(NOT(EXACT(J1401,'AI output'!E1401)))+--(NOT(EXACT(K1401,'AI output'!F1401)))+--(N1401&lt;&gt;'AI output'!L1401)+--(NOT('AI output'!M1401)),0)</f>
        <v>0</v>
      </c>
      <c r="Z1401" s="1">
        <f t="shared" si="175"/>
        <v>0</v>
      </c>
      <c r="AA1401" s="1">
        <f>--EXACT(A1401,"L01395")</f>
        <v>1</v>
      </c>
    </row>
    <row r="1402" spans="1:27" ht="18.95" customHeight="1">
      <c r="A1402" s="1" t="str">
        <f>IF(Raw!A1402="","",Raw!A1402)</f>
        <v>L01396</v>
      </c>
      <c r="B1402" s="1" t="str">
        <f>IF(Raw!B1402="","",Raw!B1402)</f>
        <v>T00698</v>
      </c>
      <c r="C1402" s="1" t="str">
        <f>IF(Raw!C1402="","",Raw!C1402)</f>
        <v>2026-01-20</v>
      </c>
      <c r="D1402" s="1">
        <f t="shared" si="168"/>
        <v>2026</v>
      </c>
      <c r="E1402" s="1">
        <f>IFERROR(IF(AND(LEN(C1402)=10,MID(C1402,5,1)="-",MID(C1402,8,1)="-"),VALUE(MID(C1402,6,2)),IF(AND(LEN(C1402)=11,MID(C1402,3,1)="-",MID(C1402,7,1)="-"),MATCH(UPPER(MID(C1402,4,3)),Guide!$D$7:$D$18,0),0)),0)</f>
        <v>1</v>
      </c>
      <c r="F1402" s="1">
        <f t="shared" si="169"/>
        <v>20</v>
      </c>
      <c r="G1402" s="9">
        <f t="shared" si="170"/>
        <v>46042</v>
      </c>
      <c r="H1402" s="1" t="str">
        <f>IF(Raw!D1402="","",Raw!D1402)</f>
        <v>P-A</v>
      </c>
      <c r="I1402" s="1" t="str">
        <f>IFERROR(IF(EXACT(H1402,INDEX(Guide!$A$7:$A$9,MATCH(SUBSTITUTE(SUBSTITUTE(SUBSTITUTE(H1402,"~","~~"),"*","~*"),"?","~?"),Guide!$A$7:$A$9,0))),INDEX(Guide!$B$7:$B$9,MATCH(SUBSTITUTE(SUBSTITUTE(SUBSTITUTE(H1402,"~","~~"),"*","~*"),"?","~?"),Guide!$A$7:$A$9,0)),""),"")</f>
        <v>Accessories</v>
      </c>
      <c r="J1402" s="1" t="str">
        <f>IF(TRIM(Raw!E1402)="",I1402,IF(UPPER(TRIM(Raw!E1402))=UPPER(I1402),I1402,""))</f>
        <v>Accessories</v>
      </c>
      <c r="K1402" s="1" t="str">
        <f>IF(Raw!F1402="","",Raw!F1402)</f>
        <v>sale</v>
      </c>
      <c r="L1402" s="1" t="str">
        <f>IF(LEFT(TRIM(Raw!G1402),2)="-$","-"&amp;MID(TRIM(Raw!G1402),3,99),IF(LEFT(TRIM(Raw!G1402),1)="$",MID(TRIM(Raw!G1402),2,99),TRIM(Raw!G1402)))</f>
        <v>41.14</v>
      </c>
      <c r="M1402" s="1">
        <f t="shared" si="171"/>
        <v>41.14</v>
      </c>
      <c r="N1402" s="10">
        <f t="shared" si="172"/>
        <v>4114</v>
      </c>
      <c r="O1402" s="1" t="b">
        <f>IFERROR(IF(ISNUMBER(Raw!G1402),TRUE,OR(EXACT(L1402,TEXT(M1402,"0.00")),EXACT(L1402,TEXT(M1402,"#,##0.00")))),FALSE)</f>
        <v>1</v>
      </c>
      <c r="P1402" s="1" t="str">
        <f>LEN(IF(Raw!A1402="","",Raw!A1402))&amp;":"&amp;IF(Raw!A1402="","",Raw!A1402)&amp;"|"&amp;LEN(IF(Raw!B1402="","",Raw!B1402))&amp;":"&amp;IF(Raw!B1402="","",Raw!B1402)&amp;"|"&amp;LEN(IF(Raw!C1402="","",Raw!C1402))&amp;":"&amp;IF(Raw!C1402="","",Raw!C1402)&amp;"|"&amp;LEN(IF(Raw!D1402="","",Raw!D1402))&amp;":"&amp;IF(Raw!D1402="","",Raw!D1402)&amp;"|"&amp;LEN(IF(Raw!E1402="","",Raw!E1402))&amp;":"&amp;IF(Raw!E1402="","",Raw!E1402)&amp;"|"&amp;LEN(IF(Raw!F1402="","",Raw!F1402))&amp;":"&amp;IF(Raw!F1402="","",Raw!F1402)&amp;"|"&amp;LEN(IF(Raw!G1402="","",Raw!G1402))&amp;":"&amp;IF(Raw!G1402="","",Raw!G1402)</f>
        <v>6:L01396|6:T00698|10:2026-01-20|3:P-A|11:Accessories|4:sale|5:41.14</v>
      </c>
      <c r="Q1402" s="1">
        <f>1</f>
        <v>1</v>
      </c>
      <c r="R1402" s="1" t="b">
        <f>FALSE</f>
        <v>0</v>
      </c>
      <c r="S1402" s="1">
        <f>1</f>
        <v>1</v>
      </c>
      <c r="T1402" s="1" t="str">
        <f>IF(AND(Raw!A1402="",Raw!B1402="",Raw!C1402="",Raw!D1402="",Raw!E1402="",Raw!F1402="",Raw!G1402=""),"UNUSED",IF(A1402="","missing line ID",IF(B1402="","missing transaction ID",IF(G1402="",IF(C1402="","missing date","invalid date"),IF(I1402="","unknown product",IF(J1402="","conflicting category",IF(NOT(OR(EXACT(K1402,"sale"),EXACT(K1402,"refund"))),"unknown event",IF(OR(N1402="",NOT(O1402)),"invalid amount",IF(OR(AND(K1402="sale",N1402&lt;=0),AND(K1402="refund",N1402&gt;=0)),"invalid sign","")))))))))</f>
        <v/>
      </c>
      <c r="U1402" s="1" t="str">
        <f t="shared" si="173"/>
        <v>INCLUDED</v>
      </c>
      <c r="V1402" s="1" t="str">
        <f t="shared" si="174"/>
        <v>2026-01</v>
      </c>
      <c r="W1402" s="1">
        <f>IF(AND(U1402="INCLUDED",X1402&gt;0,EXACT(A1402,'AI output'!A1402)),1,0)</f>
        <v>1</v>
      </c>
      <c r="X1402" s="1">
        <f>1402</f>
        <v>1402</v>
      </c>
      <c r="Y1402" s="1">
        <f>IF(AND(U1402="INCLUDED",W1402=1),--(NOT(EXACT(A1402,'AI output'!A1402)))+--(NOT(EXACT(B1402,'AI output'!B1402)))+--(NOT(EXACT(TEXT(G1402,"yyyy-mm-dd"),'AI output'!C1402)))+--(NOT(EXACT(H1402,'AI output'!D1402)))+--(NOT(EXACT(J1402,'AI output'!E1402)))+--(NOT(EXACT(K1402,'AI output'!F1402)))+--(N1402&lt;&gt;'AI output'!L1402)+--(NOT('AI output'!M1402)),0)</f>
        <v>0</v>
      </c>
      <c r="Z1402" s="1">
        <f t="shared" si="175"/>
        <v>0</v>
      </c>
      <c r="AA1402" s="1">
        <f>--EXACT(A1402,"L01396")</f>
        <v>1</v>
      </c>
    </row>
    <row r="1403" spans="1:27" ht="18.95" customHeight="1">
      <c r="A1403" s="1" t="str">
        <f>IF(Raw!A1403="","",Raw!A1403)</f>
        <v>L01397</v>
      </c>
      <c r="B1403" s="1" t="str">
        <f>IF(Raw!B1403="","",Raw!B1403)</f>
        <v>T00699</v>
      </c>
      <c r="C1403" s="1" t="str">
        <f>IF(Raw!C1403="","",Raw!C1403)</f>
        <v>2026-01-27</v>
      </c>
      <c r="D1403" s="1">
        <f t="shared" si="168"/>
        <v>2026</v>
      </c>
      <c r="E1403" s="1">
        <f>IFERROR(IF(AND(LEN(C1403)=10,MID(C1403,5,1)="-",MID(C1403,8,1)="-"),VALUE(MID(C1403,6,2)),IF(AND(LEN(C1403)=11,MID(C1403,3,1)="-",MID(C1403,7,1)="-"),MATCH(UPPER(MID(C1403,4,3)),Guide!$D$7:$D$18,0),0)),0)</f>
        <v>1</v>
      </c>
      <c r="F1403" s="1">
        <f t="shared" si="169"/>
        <v>27</v>
      </c>
      <c r="G1403" s="9">
        <f t="shared" si="170"/>
        <v>46049</v>
      </c>
      <c r="H1403" s="1" t="str">
        <f>IF(Raw!D1403="","",Raw!D1403)</f>
        <v>P-H</v>
      </c>
      <c r="I1403" s="1" t="str">
        <f>IFERROR(IF(EXACT(H1403,INDEX(Guide!$A$7:$A$9,MATCH(SUBSTITUTE(SUBSTITUTE(SUBSTITUTE(H1403,"~","~~"),"*","~*"),"?","~?"),Guide!$A$7:$A$9,0))),INDEX(Guide!$B$7:$B$9,MATCH(SUBSTITUTE(SUBSTITUTE(SUBSTITUTE(H1403,"~","~~"),"*","~*"),"?","~?"),Guide!$A$7:$A$9,0)),""),"")</f>
        <v>Home</v>
      </c>
      <c r="J1403" s="1" t="str">
        <f>IF(TRIM(Raw!E1403)="",I1403,IF(UPPER(TRIM(Raw!E1403))=UPPER(I1403),I1403,""))</f>
        <v>Home</v>
      </c>
      <c r="K1403" s="1" t="str">
        <f>IF(Raw!F1403="","",Raw!F1403)</f>
        <v>sale</v>
      </c>
      <c r="L1403" s="1" t="str">
        <f>IF(LEFT(TRIM(Raw!G1403),2)="-$","-"&amp;MID(TRIM(Raw!G1403),3,99),IF(LEFT(TRIM(Raw!G1403),1)="$",MID(TRIM(Raw!G1403),2,99),TRIM(Raw!G1403)))</f>
        <v>124.53</v>
      </c>
      <c r="M1403" s="1">
        <f t="shared" si="171"/>
        <v>124.53</v>
      </c>
      <c r="N1403" s="10">
        <f t="shared" si="172"/>
        <v>12453</v>
      </c>
      <c r="O1403" s="1" t="b">
        <f>IFERROR(IF(ISNUMBER(Raw!G1403),TRUE,OR(EXACT(L1403,TEXT(M1403,"0.00")),EXACT(L1403,TEXT(M1403,"#,##0.00")))),FALSE)</f>
        <v>1</v>
      </c>
      <c r="P1403" s="1" t="str">
        <f>LEN(IF(Raw!A1403="","",Raw!A1403))&amp;":"&amp;IF(Raw!A1403="","",Raw!A1403)&amp;"|"&amp;LEN(IF(Raw!B1403="","",Raw!B1403))&amp;":"&amp;IF(Raw!B1403="","",Raw!B1403)&amp;"|"&amp;LEN(IF(Raw!C1403="","",Raw!C1403))&amp;":"&amp;IF(Raw!C1403="","",Raw!C1403)&amp;"|"&amp;LEN(IF(Raw!D1403="","",Raw!D1403))&amp;":"&amp;IF(Raw!D1403="","",Raw!D1403)&amp;"|"&amp;LEN(IF(Raw!E1403="","",Raw!E1403))&amp;":"&amp;IF(Raw!E1403="","",Raw!E1403)&amp;"|"&amp;LEN(IF(Raw!F1403="","",Raw!F1403))&amp;":"&amp;IF(Raw!F1403="","",Raw!F1403)&amp;"|"&amp;LEN(IF(Raw!G1403="","",Raw!G1403))&amp;":"&amp;IF(Raw!G1403="","",Raw!G1403)</f>
        <v>6:L01397|6:T00699|10:2026-01-27|3:P-H|4:Home|4:sale|6:124.53</v>
      </c>
      <c r="Q1403" s="1">
        <f>1</f>
        <v>1</v>
      </c>
      <c r="R1403" s="1" t="b">
        <f>FALSE</f>
        <v>0</v>
      </c>
      <c r="S1403" s="1">
        <f>1</f>
        <v>1</v>
      </c>
      <c r="T1403" s="1" t="str">
        <f>IF(AND(Raw!A1403="",Raw!B1403="",Raw!C1403="",Raw!D1403="",Raw!E1403="",Raw!F1403="",Raw!G1403=""),"UNUSED",IF(A1403="","missing line ID",IF(B1403="","missing transaction ID",IF(G1403="",IF(C1403="","missing date","invalid date"),IF(I1403="","unknown product",IF(J1403="","conflicting category",IF(NOT(OR(EXACT(K1403,"sale"),EXACT(K1403,"refund"))),"unknown event",IF(OR(N1403="",NOT(O1403)),"invalid amount",IF(OR(AND(K1403="sale",N1403&lt;=0),AND(K1403="refund",N1403&gt;=0)),"invalid sign","")))))))))</f>
        <v/>
      </c>
      <c r="U1403" s="1" t="str">
        <f t="shared" si="173"/>
        <v>INCLUDED</v>
      </c>
      <c r="V1403" s="1" t="str">
        <f t="shared" si="174"/>
        <v>2026-01</v>
      </c>
      <c r="W1403" s="1">
        <f>IF(AND(U1403="INCLUDED",X1403&gt;0,EXACT(A1403,'AI output'!A1403)),1,0)</f>
        <v>1</v>
      </c>
      <c r="X1403" s="1">
        <f>1403</f>
        <v>1403</v>
      </c>
      <c r="Y1403" s="1">
        <f>IF(AND(U1403="INCLUDED",W1403=1),--(NOT(EXACT(A1403,'AI output'!A1403)))+--(NOT(EXACT(B1403,'AI output'!B1403)))+--(NOT(EXACT(TEXT(G1403,"yyyy-mm-dd"),'AI output'!C1403)))+--(NOT(EXACT(H1403,'AI output'!D1403)))+--(NOT(EXACT(J1403,'AI output'!E1403)))+--(NOT(EXACT(K1403,'AI output'!F1403)))+--(N1403&lt;&gt;'AI output'!L1403)+--(NOT('AI output'!M1403)),0)</f>
        <v>0</v>
      </c>
      <c r="Z1403" s="1">
        <f t="shared" si="175"/>
        <v>0</v>
      </c>
      <c r="AA1403" s="1">
        <f>--EXACT(A1403,"L01397")</f>
        <v>1</v>
      </c>
    </row>
    <row r="1404" spans="1:27" ht="18.95" customHeight="1">
      <c r="A1404" s="1" t="str">
        <f>IF(Raw!A1404="","",Raw!A1404)</f>
        <v>L01398</v>
      </c>
      <c r="B1404" s="1" t="str">
        <f>IF(Raw!B1404="","",Raw!B1404)</f>
        <v>T00699</v>
      </c>
      <c r="C1404" s="1" t="str">
        <f>IF(Raw!C1404="","",Raw!C1404)</f>
        <v>2026-01-27</v>
      </c>
      <c r="D1404" s="1">
        <f t="shared" si="168"/>
        <v>2026</v>
      </c>
      <c r="E1404" s="1">
        <f>IFERROR(IF(AND(LEN(C1404)=10,MID(C1404,5,1)="-",MID(C1404,8,1)="-"),VALUE(MID(C1404,6,2)),IF(AND(LEN(C1404)=11,MID(C1404,3,1)="-",MID(C1404,7,1)="-"),MATCH(UPPER(MID(C1404,4,3)),Guide!$D$7:$D$18,0),0)),0)</f>
        <v>1</v>
      </c>
      <c r="F1404" s="1">
        <f t="shared" si="169"/>
        <v>27</v>
      </c>
      <c r="G1404" s="9">
        <f t="shared" si="170"/>
        <v>46049</v>
      </c>
      <c r="H1404" s="1" t="str">
        <f>IF(Raw!D1404="","",Raw!D1404)</f>
        <v>P-O</v>
      </c>
      <c r="I1404" s="1" t="str">
        <f>IFERROR(IF(EXACT(H1404,INDEX(Guide!$A$7:$A$9,MATCH(SUBSTITUTE(SUBSTITUTE(SUBSTITUTE(H1404,"~","~~"),"*","~*"),"?","~?"),Guide!$A$7:$A$9,0))),INDEX(Guide!$B$7:$B$9,MATCH(SUBSTITUTE(SUBSTITUTE(SUBSTITUTE(H1404,"~","~~"),"*","~*"),"?","~?"),Guide!$A$7:$A$9,0)),""),"")</f>
        <v>Office</v>
      </c>
      <c r="J1404" s="1" t="str">
        <f>IF(TRIM(Raw!E1404)="",I1404,IF(UPPER(TRIM(Raw!E1404))=UPPER(I1404),I1404,""))</f>
        <v>Office</v>
      </c>
      <c r="K1404" s="1" t="str">
        <f>IF(Raw!F1404="","",Raw!F1404)</f>
        <v>sale</v>
      </c>
      <c r="L1404" s="1" t="str">
        <f>IF(LEFT(TRIM(Raw!G1404),2)="-$","-"&amp;MID(TRIM(Raw!G1404),3,99),IF(LEFT(TRIM(Raw!G1404),1)="$",MID(TRIM(Raw!G1404),2,99),TRIM(Raw!G1404)))</f>
        <v>209.40</v>
      </c>
      <c r="M1404" s="1">
        <f t="shared" si="171"/>
        <v>209.4</v>
      </c>
      <c r="N1404" s="10">
        <f t="shared" si="172"/>
        <v>20940</v>
      </c>
      <c r="O1404" s="1" t="b">
        <f>IFERROR(IF(ISNUMBER(Raw!G1404),TRUE,OR(EXACT(L1404,TEXT(M1404,"0.00")),EXACT(L1404,TEXT(M1404,"#,##0.00")))),FALSE)</f>
        <v>1</v>
      </c>
      <c r="P1404" s="1" t="str">
        <f>LEN(IF(Raw!A1404="","",Raw!A1404))&amp;":"&amp;IF(Raw!A1404="","",Raw!A1404)&amp;"|"&amp;LEN(IF(Raw!B1404="","",Raw!B1404))&amp;":"&amp;IF(Raw!B1404="","",Raw!B1404)&amp;"|"&amp;LEN(IF(Raw!C1404="","",Raw!C1404))&amp;":"&amp;IF(Raw!C1404="","",Raw!C1404)&amp;"|"&amp;LEN(IF(Raw!D1404="","",Raw!D1404))&amp;":"&amp;IF(Raw!D1404="","",Raw!D1404)&amp;"|"&amp;LEN(IF(Raw!E1404="","",Raw!E1404))&amp;":"&amp;IF(Raw!E1404="","",Raw!E1404)&amp;"|"&amp;LEN(IF(Raw!F1404="","",Raw!F1404))&amp;":"&amp;IF(Raw!F1404="","",Raw!F1404)&amp;"|"&amp;LEN(IF(Raw!G1404="","",Raw!G1404))&amp;":"&amp;IF(Raw!G1404="","",Raw!G1404)</f>
        <v>6:L01398|6:T00699|10:2026-01-27|3:P-O|6:Office|4:sale|6:209.40</v>
      </c>
      <c r="Q1404" s="1">
        <f>1</f>
        <v>1</v>
      </c>
      <c r="R1404" s="1" t="b">
        <f>FALSE</f>
        <v>0</v>
      </c>
      <c r="S1404" s="1">
        <f>1</f>
        <v>1</v>
      </c>
      <c r="T1404" s="1" t="str">
        <f>IF(AND(Raw!A1404="",Raw!B1404="",Raw!C1404="",Raw!D1404="",Raw!E1404="",Raw!F1404="",Raw!G1404=""),"UNUSED",IF(A1404="","missing line ID",IF(B1404="","missing transaction ID",IF(G1404="",IF(C1404="","missing date","invalid date"),IF(I1404="","unknown product",IF(J1404="","conflicting category",IF(NOT(OR(EXACT(K1404,"sale"),EXACT(K1404,"refund"))),"unknown event",IF(OR(N1404="",NOT(O1404)),"invalid amount",IF(OR(AND(K1404="sale",N1404&lt;=0),AND(K1404="refund",N1404&gt;=0)),"invalid sign","")))))))))</f>
        <v/>
      </c>
      <c r="U1404" s="1" t="str">
        <f t="shared" si="173"/>
        <v>INCLUDED</v>
      </c>
      <c r="V1404" s="1" t="str">
        <f t="shared" si="174"/>
        <v>2026-01</v>
      </c>
      <c r="W1404" s="1">
        <f>IF(AND(U1404="INCLUDED",X1404&gt;0,EXACT(A1404,'AI output'!A1404)),1,0)</f>
        <v>1</v>
      </c>
      <c r="X1404" s="1">
        <f>1404</f>
        <v>1404</v>
      </c>
      <c r="Y1404" s="1">
        <f>IF(AND(U1404="INCLUDED",W1404=1),--(NOT(EXACT(A1404,'AI output'!A1404)))+--(NOT(EXACT(B1404,'AI output'!B1404)))+--(NOT(EXACT(TEXT(G1404,"yyyy-mm-dd"),'AI output'!C1404)))+--(NOT(EXACT(H1404,'AI output'!D1404)))+--(NOT(EXACT(J1404,'AI output'!E1404)))+--(NOT(EXACT(K1404,'AI output'!F1404)))+--(N1404&lt;&gt;'AI output'!L1404)+--(NOT('AI output'!M1404)),0)</f>
        <v>0</v>
      </c>
      <c r="Z1404" s="1">
        <f t="shared" si="175"/>
        <v>0</v>
      </c>
      <c r="AA1404" s="1">
        <f>--EXACT(A1404,"L01398")</f>
        <v>1</v>
      </c>
    </row>
    <row r="1405" spans="1:27" ht="18.95" customHeight="1">
      <c r="A1405" s="1" t="str">
        <f>IF(Raw!A1405="","",Raw!A1405)</f>
        <v>L01399</v>
      </c>
      <c r="B1405" s="1" t="str">
        <f>IF(Raw!B1405="","",Raw!B1405)</f>
        <v>T00700</v>
      </c>
      <c r="C1405" s="1" t="str">
        <f>IF(Raw!C1405="","",Raw!C1405)</f>
        <v>2026-02-03</v>
      </c>
      <c r="D1405" s="1">
        <f t="shared" si="168"/>
        <v>2026</v>
      </c>
      <c r="E1405" s="1">
        <f>IFERROR(IF(AND(LEN(C1405)=10,MID(C1405,5,1)="-",MID(C1405,8,1)="-"),VALUE(MID(C1405,6,2)),IF(AND(LEN(C1405)=11,MID(C1405,3,1)="-",MID(C1405,7,1)="-"),MATCH(UPPER(MID(C1405,4,3)),Guide!$D$7:$D$18,0),0)),0)</f>
        <v>2</v>
      </c>
      <c r="F1405" s="1">
        <f t="shared" si="169"/>
        <v>3</v>
      </c>
      <c r="G1405" s="9">
        <f t="shared" si="170"/>
        <v>46056</v>
      </c>
      <c r="H1405" s="1" t="str">
        <f>IF(Raw!D1405="","",Raw!D1405)</f>
        <v>P-A</v>
      </c>
      <c r="I1405" s="1" t="str">
        <f>IFERROR(IF(EXACT(H1405,INDEX(Guide!$A$7:$A$9,MATCH(SUBSTITUTE(SUBSTITUTE(SUBSTITUTE(H1405,"~","~~"),"*","~*"),"?","~?"),Guide!$A$7:$A$9,0))),INDEX(Guide!$B$7:$B$9,MATCH(SUBSTITUTE(SUBSTITUTE(SUBSTITUTE(H1405,"~","~~"),"*","~*"),"?","~?"),Guide!$A$7:$A$9,0)),""),"")</f>
        <v>Accessories</v>
      </c>
      <c r="J1405" s="1" t="str">
        <f>IF(TRIM(Raw!E1405)="",I1405,IF(UPPER(TRIM(Raw!E1405))=UPPER(I1405),I1405,""))</f>
        <v>Accessories</v>
      </c>
      <c r="K1405" s="1" t="str">
        <f>IF(Raw!F1405="","",Raw!F1405)</f>
        <v>sale</v>
      </c>
      <c r="L1405" s="1" t="str">
        <f>IF(LEFT(TRIM(Raw!G1405),2)="-$","-"&amp;MID(TRIM(Raw!G1405),3,99),IF(LEFT(TRIM(Raw!G1405),1)="$",MID(TRIM(Raw!G1405),2,99),TRIM(Raw!G1405)))</f>
        <v>84.50</v>
      </c>
      <c r="M1405" s="1">
        <f t="shared" si="171"/>
        <v>84.5</v>
      </c>
      <c r="N1405" s="10">
        <f t="shared" si="172"/>
        <v>8450</v>
      </c>
      <c r="O1405" s="1" t="b">
        <f>IFERROR(IF(ISNUMBER(Raw!G1405),TRUE,OR(EXACT(L1405,TEXT(M1405,"0.00")),EXACT(L1405,TEXT(M1405,"#,##0.00")))),FALSE)</f>
        <v>1</v>
      </c>
      <c r="P1405" s="1" t="str">
        <f>LEN(IF(Raw!A1405="","",Raw!A1405))&amp;":"&amp;IF(Raw!A1405="","",Raw!A1405)&amp;"|"&amp;LEN(IF(Raw!B1405="","",Raw!B1405))&amp;":"&amp;IF(Raw!B1405="","",Raw!B1405)&amp;"|"&amp;LEN(IF(Raw!C1405="","",Raw!C1405))&amp;":"&amp;IF(Raw!C1405="","",Raw!C1405)&amp;"|"&amp;LEN(IF(Raw!D1405="","",Raw!D1405))&amp;":"&amp;IF(Raw!D1405="","",Raw!D1405)&amp;"|"&amp;LEN(IF(Raw!E1405="","",Raw!E1405))&amp;":"&amp;IF(Raw!E1405="","",Raw!E1405)&amp;"|"&amp;LEN(IF(Raw!F1405="","",Raw!F1405))&amp;":"&amp;IF(Raw!F1405="","",Raw!F1405)&amp;"|"&amp;LEN(IF(Raw!G1405="","",Raw!G1405))&amp;":"&amp;IF(Raw!G1405="","",Raw!G1405)</f>
        <v>6:L01399|6:T00700|10:2026-02-03|3:P-A|11:Accessories|4:sale|5:84.50</v>
      </c>
      <c r="Q1405" s="1">
        <f>1</f>
        <v>1</v>
      </c>
      <c r="R1405" s="1" t="b">
        <f>FALSE</f>
        <v>0</v>
      </c>
      <c r="S1405" s="1">
        <f>1</f>
        <v>1</v>
      </c>
      <c r="T1405" s="1" t="str">
        <f>IF(AND(Raw!A1405="",Raw!B1405="",Raw!C1405="",Raw!D1405="",Raw!E1405="",Raw!F1405="",Raw!G1405=""),"UNUSED",IF(A1405="","missing line ID",IF(B1405="","missing transaction ID",IF(G1405="",IF(C1405="","missing date","invalid date"),IF(I1405="","unknown product",IF(J1405="","conflicting category",IF(NOT(OR(EXACT(K1405,"sale"),EXACT(K1405,"refund"))),"unknown event",IF(OR(N1405="",NOT(O1405)),"invalid amount",IF(OR(AND(K1405="sale",N1405&lt;=0),AND(K1405="refund",N1405&gt;=0)),"invalid sign","")))))))))</f>
        <v/>
      </c>
      <c r="U1405" s="1" t="str">
        <f t="shared" si="173"/>
        <v>INCLUDED</v>
      </c>
      <c r="V1405" s="1" t="str">
        <f t="shared" si="174"/>
        <v>2026-02</v>
      </c>
      <c r="W1405" s="1">
        <f>IF(AND(U1405="INCLUDED",X1405&gt;0,EXACT(A1405,'AI output'!A1405)),1,0)</f>
        <v>1</v>
      </c>
      <c r="X1405" s="1">
        <f>1405</f>
        <v>1405</v>
      </c>
      <c r="Y1405" s="1">
        <f>IF(AND(U1405="INCLUDED",W1405=1),--(NOT(EXACT(A1405,'AI output'!A1405)))+--(NOT(EXACT(B1405,'AI output'!B1405)))+--(NOT(EXACT(TEXT(G1405,"yyyy-mm-dd"),'AI output'!C1405)))+--(NOT(EXACT(H1405,'AI output'!D1405)))+--(NOT(EXACT(J1405,'AI output'!E1405)))+--(NOT(EXACT(K1405,'AI output'!F1405)))+--(N1405&lt;&gt;'AI output'!L1405)+--(NOT('AI output'!M1405)),0)</f>
        <v>0</v>
      </c>
      <c r="Z1405" s="1">
        <f t="shared" si="175"/>
        <v>0</v>
      </c>
      <c r="AA1405" s="1">
        <f>--EXACT(A1405,"L01399")</f>
        <v>1</v>
      </c>
    </row>
    <row r="1406" spans="1:27" ht="18.95" customHeight="1">
      <c r="A1406" s="1" t="str">
        <f>IF(Raw!A1406="","",Raw!A1406)</f>
        <v>L01400</v>
      </c>
      <c r="B1406" s="1" t="str">
        <f>IF(Raw!B1406="","",Raw!B1406)</f>
        <v>T00700</v>
      </c>
      <c r="C1406" s="1" t="str">
        <f>IF(Raw!C1406="","",Raw!C1406)</f>
        <v>2026-02-03</v>
      </c>
      <c r="D1406" s="1">
        <f t="shared" si="168"/>
        <v>2026</v>
      </c>
      <c r="E1406" s="1">
        <f>IFERROR(IF(AND(LEN(C1406)=10,MID(C1406,5,1)="-",MID(C1406,8,1)="-"),VALUE(MID(C1406,6,2)),IF(AND(LEN(C1406)=11,MID(C1406,3,1)="-",MID(C1406,7,1)="-"),MATCH(UPPER(MID(C1406,4,3)),Guide!$D$7:$D$18,0),0)),0)</f>
        <v>2</v>
      </c>
      <c r="F1406" s="1">
        <f t="shared" si="169"/>
        <v>3</v>
      </c>
      <c r="G1406" s="9">
        <f t="shared" si="170"/>
        <v>46056</v>
      </c>
      <c r="H1406" s="1" t="str">
        <f>IF(Raw!D1406="","",Raw!D1406)</f>
        <v>P-H</v>
      </c>
      <c r="I1406" s="1" t="str">
        <f>IFERROR(IF(EXACT(H1406,INDEX(Guide!$A$7:$A$9,MATCH(SUBSTITUTE(SUBSTITUTE(SUBSTITUTE(H1406,"~","~~"),"*","~*"),"?","~?"),Guide!$A$7:$A$9,0))),INDEX(Guide!$B$7:$B$9,MATCH(SUBSTITUTE(SUBSTITUTE(SUBSTITUTE(H1406,"~","~~"),"*","~*"),"?","~?"),Guide!$A$7:$A$9,0)),""),"")</f>
        <v>Home</v>
      </c>
      <c r="J1406" s="1" t="str">
        <f>IF(TRIM(Raw!E1406)="",I1406,IF(UPPER(TRIM(Raw!E1406))=UPPER(I1406),I1406,""))</f>
        <v>Home</v>
      </c>
      <c r="K1406" s="1" t="str">
        <f>IF(Raw!F1406="","",Raw!F1406)</f>
        <v>sale</v>
      </c>
      <c r="L1406" s="1" t="str">
        <f>IF(LEFT(TRIM(Raw!G1406),2)="-$","-"&amp;MID(TRIM(Raw!G1406),3,99),IF(LEFT(TRIM(Raw!G1406),1)="$",MID(TRIM(Raw!G1406),2,99),TRIM(Raw!G1406)))</f>
        <v>170.48</v>
      </c>
      <c r="M1406" s="1">
        <f t="shared" si="171"/>
        <v>170.48</v>
      </c>
      <c r="N1406" s="10">
        <f t="shared" si="172"/>
        <v>17048</v>
      </c>
      <c r="O1406" s="1" t="b">
        <f>IFERROR(IF(ISNUMBER(Raw!G1406),TRUE,OR(EXACT(L1406,TEXT(M1406,"0.00")),EXACT(L1406,TEXT(M1406,"#,##0.00")))),FALSE)</f>
        <v>1</v>
      </c>
      <c r="P1406" s="1" t="str">
        <f>LEN(IF(Raw!A1406="","",Raw!A1406))&amp;":"&amp;IF(Raw!A1406="","",Raw!A1406)&amp;"|"&amp;LEN(IF(Raw!B1406="","",Raw!B1406))&amp;":"&amp;IF(Raw!B1406="","",Raw!B1406)&amp;"|"&amp;LEN(IF(Raw!C1406="","",Raw!C1406))&amp;":"&amp;IF(Raw!C1406="","",Raw!C1406)&amp;"|"&amp;LEN(IF(Raw!D1406="","",Raw!D1406))&amp;":"&amp;IF(Raw!D1406="","",Raw!D1406)&amp;"|"&amp;LEN(IF(Raw!E1406="","",Raw!E1406))&amp;":"&amp;IF(Raw!E1406="","",Raw!E1406)&amp;"|"&amp;LEN(IF(Raw!F1406="","",Raw!F1406))&amp;":"&amp;IF(Raw!F1406="","",Raw!F1406)&amp;"|"&amp;LEN(IF(Raw!G1406="","",Raw!G1406))&amp;":"&amp;IF(Raw!G1406="","",Raw!G1406)</f>
        <v>6:L01400|6:T00700|10:2026-02-03|3:P-H|4:Home|4:sale|6:170.48</v>
      </c>
      <c r="Q1406" s="1">
        <f>1</f>
        <v>1</v>
      </c>
      <c r="R1406" s="1" t="b">
        <f>FALSE</f>
        <v>0</v>
      </c>
      <c r="S1406" s="1">
        <f>1</f>
        <v>1</v>
      </c>
      <c r="T1406" s="1" t="str">
        <f>IF(AND(Raw!A1406="",Raw!B1406="",Raw!C1406="",Raw!D1406="",Raw!E1406="",Raw!F1406="",Raw!G1406=""),"UNUSED",IF(A1406="","missing line ID",IF(B1406="","missing transaction ID",IF(G1406="",IF(C1406="","missing date","invalid date"),IF(I1406="","unknown product",IF(J1406="","conflicting category",IF(NOT(OR(EXACT(K1406,"sale"),EXACT(K1406,"refund"))),"unknown event",IF(OR(N1406="",NOT(O1406)),"invalid amount",IF(OR(AND(K1406="sale",N1406&lt;=0),AND(K1406="refund",N1406&gt;=0)),"invalid sign","")))))))))</f>
        <v/>
      </c>
      <c r="U1406" s="1" t="str">
        <f t="shared" si="173"/>
        <v>INCLUDED</v>
      </c>
      <c r="V1406" s="1" t="str">
        <f t="shared" si="174"/>
        <v>2026-02</v>
      </c>
      <c r="W1406" s="1">
        <f>IF(AND(U1406="INCLUDED",X1406&gt;0,EXACT(A1406,'AI output'!A1406)),1,0)</f>
        <v>1</v>
      </c>
      <c r="X1406" s="1">
        <f>1406</f>
        <v>1406</v>
      </c>
      <c r="Y1406" s="1">
        <f>IF(AND(U1406="INCLUDED",W1406=1),--(NOT(EXACT(A1406,'AI output'!A1406)))+--(NOT(EXACT(B1406,'AI output'!B1406)))+--(NOT(EXACT(TEXT(G1406,"yyyy-mm-dd"),'AI output'!C1406)))+--(NOT(EXACT(H1406,'AI output'!D1406)))+--(NOT(EXACT(J1406,'AI output'!E1406)))+--(NOT(EXACT(K1406,'AI output'!F1406)))+--(N1406&lt;&gt;'AI output'!L1406)+--(NOT('AI output'!M1406)),0)</f>
        <v>0</v>
      </c>
      <c r="Z1406" s="1">
        <f t="shared" si="175"/>
        <v>0</v>
      </c>
      <c r="AA1406" s="1">
        <f>--EXACT(A1406,"L01400")</f>
        <v>1</v>
      </c>
    </row>
    <row r="1407" spans="1:27" ht="18.95" customHeight="1">
      <c r="A1407" s="1" t="str">
        <f>IF(Raw!A1407="","",Raw!A1407)</f>
        <v>L01401</v>
      </c>
      <c r="B1407" s="1" t="str">
        <f>IF(Raw!B1407="","",Raw!B1407)</f>
        <v>T00701</v>
      </c>
      <c r="C1407" s="1" t="str">
        <f>IF(Raw!C1407="","",Raw!C1407)</f>
        <v>2026-02-10</v>
      </c>
      <c r="D1407" s="1">
        <f t="shared" si="168"/>
        <v>2026</v>
      </c>
      <c r="E1407" s="1">
        <f>IFERROR(IF(AND(LEN(C1407)=10,MID(C1407,5,1)="-",MID(C1407,8,1)="-"),VALUE(MID(C1407,6,2)),IF(AND(LEN(C1407)=11,MID(C1407,3,1)="-",MID(C1407,7,1)="-"),MATCH(UPPER(MID(C1407,4,3)),Guide!$D$7:$D$18,0),0)),0)</f>
        <v>2</v>
      </c>
      <c r="F1407" s="1">
        <f t="shared" si="169"/>
        <v>10</v>
      </c>
      <c r="G1407" s="9">
        <f t="shared" si="170"/>
        <v>46063</v>
      </c>
      <c r="H1407" s="1" t="str">
        <f>IF(Raw!D1407="","",Raw!D1407)</f>
        <v>P-O</v>
      </c>
      <c r="I1407" s="1" t="str">
        <f>IFERROR(IF(EXACT(H1407,INDEX(Guide!$A$7:$A$9,MATCH(SUBSTITUTE(SUBSTITUTE(SUBSTITUTE(H1407,"~","~~"),"*","~*"),"?","~?"),Guide!$A$7:$A$9,0))),INDEX(Guide!$B$7:$B$9,MATCH(SUBSTITUTE(SUBSTITUTE(SUBSTITUTE(H1407,"~","~~"),"*","~*"),"?","~?"),Guide!$A$7:$A$9,0)),""),"")</f>
        <v>Office</v>
      </c>
      <c r="J1407" s="1" t="str">
        <f>IF(TRIM(Raw!E1407)="",I1407,IF(UPPER(TRIM(Raw!E1407))=UPPER(I1407),I1407,""))</f>
        <v>Office</v>
      </c>
      <c r="K1407" s="1" t="str">
        <f>IF(Raw!F1407="","",Raw!F1407)</f>
        <v>sale</v>
      </c>
      <c r="L1407" s="1" t="str">
        <f>IF(LEFT(TRIM(Raw!G1407),2)="-$","-"&amp;MID(TRIM(Raw!G1407),3,99),IF(LEFT(TRIM(Raw!G1407),1)="$",MID(TRIM(Raw!G1407),2,99),TRIM(Raw!G1407)))</f>
        <v>42.99</v>
      </c>
      <c r="M1407" s="1">
        <f t="shared" si="171"/>
        <v>42.99</v>
      </c>
      <c r="N1407" s="10">
        <f t="shared" si="172"/>
        <v>4299</v>
      </c>
      <c r="O1407" s="1" t="b">
        <f>IFERROR(IF(ISNUMBER(Raw!G1407),TRUE,OR(EXACT(L1407,TEXT(M1407,"0.00")),EXACT(L1407,TEXT(M1407,"#,##0.00")))),FALSE)</f>
        <v>1</v>
      </c>
      <c r="P1407" s="1" t="str">
        <f>LEN(IF(Raw!A1407="","",Raw!A1407))&amp;":"&amp;IF(Raw!A1407="","",Raw!A1407)&amp;"|"&amp;LEN(IF(Raw!B1407="","",Raw!B1407))&amp;":"&amp;IF(Raw!B1407="","",Raw!B1407)&amp;"|"&amp;LEN(IF(Raw!C1407="","",Raw!C1407))&amp;":"&amp;IF(Raw!C1407="","",Raw!C1407)&amp;"|"&amp;LEN(IF(Raw!D1407="","",Raw!D1407))&amp;":"&amp;IF(Raw!D1407="","",Raw!D1407)&amp;"|"&amp;LEN(IF(Raw!E1407="","",Raw!E1407))&amp;":"&amp;IF(Raw!E1407="","",Raw!E1407)&amp;"|"&amp;LEN(IF(Raw!F1407="","",Raw!F1407))&amp;":"&amp;IF(Raw!F1407="","",Raw!F1407)&amp;"|"&amp;LEN(IF(Raw!G1407="","",Raw!G1407))&amp;":"&amp;IF(Raw!G1407="","",Raw!G1407)</f>
        <v>6:L01401|6:T00701|10:2026-02-10|3:P-O|6:Office|4:sale|5:42.99</v>
      </c>
      <c r="Q1407" s="1">
        <f>1</f>
        <v>1</v>
      </c>
      <c r="R1407" s="1" t="b">
        <f>FALSE</f>
        <v>0</v>
      </c>
      <c r="S1407" s="1">
        <f>1</f>
        <v>1</v>
      </c>
      <c r="T1407" s="1" t="str">
        <f>IF(AND(Raw!A1407="",Raw!B1407="",Raw!C1407="",Raw!D1407="",Raw!E1407="",Raw!F1407="",Raw!G1407=""),"UNUSED",IF(A1407="","missing line ID",IF(B1407="","missing transaction ID",IF(G1407="",IF(C1407="","missing date","invalid date"),IF(I1407="","unknown product",IF(J1407="","conflicting category",IF(NOT(OR(EXACT(K1407,"sale"),EXACT(K1407,"refund"))),"unknown event",IF(OR(N1407="",NOT(O1407)),"invalid amount",IF(OR(AND(K1407="sale",N1407&lt;=0),AND(K1407="refund",N1407&gt;=0)),"invalid sign","")))))))))</f>
        <v/>
      </c>
      <c r="U1407" s="1" t="str">
        <f t="shared" si="173"/>
        <v>INCLUDED</v>
      </c>
      <c r="V1407" s="1" t="str">
        <f t="shared" si="174"/>
        <v>2026-02</v>
      </c>
      <c r="W1407" s="1">
        <f>IF(AND(U1407="INCLUDED",X1407&gt;0,EXACT(A1407,'AI output'!A1407)),1,0)</f>
        <v>1</v>
      </c>
      <c r="X1407" s="1">
        <f>1407</f>
        <v>1407</v>
      </c>
      <c r="Y1407" s="1">
        <f>IF(AND(U1407="INCLUDED",W1407=1),--(NOT(EXACT(A1407,'AI output'!A1407)))+--(NOT(EXACT(B1407,'AI output'!B1407)))+--(NOT(EXACT(TEXT(G1407,"yyyy-mm-dd"),'AI output'!C1407)))+--(NOT(EXACT(H1407,'AI output'!D1407)))+--(NOT(EXACT(J1407,'AI output'!E1407)))+--(NOT(EXACT(K1407,'AI output'!F1407)))+--(N1407&lt;&gt;'AI output'!L1407)+--(NOT('AI output'!M1407)),0)</f>
        <v>0</v>
      </c>
      <c r="Z1407" s="1">
        <f t="shared" si="175"/>
        <v>0</v>
      </c>
      <c r="AA1407" s="1">
        <f>--EXACT(A1407,"L01401")</f>
        <v>1</v>
      </c>
    </row>
    <row r="1408" spans="1:27" ht="18.95" customHeight="1">
      <c r="A1408" s="1" t="str">
        <f>IF(Raw!A1408="","",Raw!A1408)</f>
        <v>L01402</v>
      </c>
      <c r="B1408" s="1" t="str">
        <f>IF(Raw!B1408="","",Raw!B1408)</f>
        <v>T00701</v>
      </c>
      <c r="C1408" s="1" t="str">
        <f>IF(Raw!C1408="","",Raw!C1408)</f>
        <v>2026-02-10</v>
      </c>
      <c r="D1408" s="1">
        <f t="shared" si="168"/>
        <v>2026</v>
      </c>
      <c r="E1408" s="1">
        <f>IFERROR(IF(AND(LEN(C1408)=10,MID(C1408,5,1)="-",MID(C1408,8,1)="-"),VALUE(MID(C1408,6,2)),IF(AND(LEN(C1408)=11,MID(C1408,3,1)="-",MID(C1408,7,1)="-"),MATCH(UPPER(MID(C1408,4,3)),Guide!$D$7:$D$18,0),0)),0)</f>
        <v>2</v>
      </c>
      <c r="F1408" s="1">
        <f t="shared" si="169"/>
        <v>10</v>
      </c>
      <c r="G1408" s="9">
        <f t="shared" si="170"/>
        <v>46063</v>
      </c>
      <c r="H1408" s="1" t="str">
        <f>IF(Raw!D1408="","",Raw!D1408)</f>
        <v>P-A</v>
      </c>
      <c r="I1408" s="1" t="str">
        <f>IFERROR(IF(EXACT(H1408,INDEX(Guide!$A$7:$A$9,MATCH(SUBSTITUTE(SUBSTITUTE(SUBSTITUTE(H1408,"~","~~"),"*","~*"),"?","~?"),Guide!$A$7:$A$9,0))),INDEX(Guide!$B$7:$B$9,MATCH(SUBSTITUTE(SUBSTITUTE(SUBSTITUTE(H1408,"~","~~"),"*","~*"),"?","~?"),Guide!$A$7:$A$9,0)),""),"")</f>
        <v>Accessories</v>
      </c>
      <c r="J1408" s="1" t="str">
        <f>IF(TRIM(Raw!E1408)="",I1408,IF(UPPER(TRIM(Raw!E1408))=UPPER(I1408),I1408,""))</f>
        <v>Accessories</v>
      </c>
      <c r="K1408" s="1" t="str">
        <f>IF(Raw!F1408="","",Raw!F1408)</f>
        <v>sale</v>
      </c>
      <c r="L1408" s="1" t="str">
        <f>IF(LEFT(TRIM(Raw!G1408),2)="-$","-"&amp;MID(TRIM(Raw!G1408),3,99),IF(LEFT(TRIM(Raw!G1408),1)="$",MID(TRIM(Raw!G1408),2,99),TRIM(Raw!G1408)))</f>
        <v>130.08</v>
      </c>
      <c r="M1408" s="1">
        <f t="shared" si="171"/>
        <v>130.08000000000001</v>
      </c>
      <c r="N1408" s="10">
        <f t="shared" si="172"/>
        <v>13008</v>
      </c>
      <c r="O1408" s="1" t="b">
        <f>IFERROR(IF(ISNUMBER(Raw!G1408),TRUE,OR(EXACT(L1408,TEXT(M1408,"0.00")),EXACT(L1408,TEXT(M1408,"#,##0.00")))),FALSE)</f>
        <v>1</v>
      </c>
      <c r="P1408" s="1" t="str">
        <f>LEN(IF(Raw!A1408="","",Raw!A1408))&amp;":"&amp;IF(Raw!A1408="","",Raw!A1408)&amp;"|"&amp;LEN(IF(Raw!B1408="","",Raw!B1408))&amp;":"&amp;IF(Raw!B1408="","",Raw!B1408)&amp;"|"&amp;LEN(IF(Raw!C1408="","",Raw!C1408))&amp;":"&amp;IF(Raw!C1408="","",Raw!C1408)&amp;"|"&amp;LEN(IF(Raw!D1408="","",Raw!D1408))&amp;":"&amp;IF(Raw!D1408="","",Raw!D1408)&amp;"|"&amp;LEN(IF(Raw!E1408="","",Raw!E1408))&amp;":"&amp;IF(Raw!E1408="","",Raw!E1408)&amp;"|"&amp;LEN(IF(Raw!F1408="","",Raw!F1408))&amp;":"&amp;IF(Raw!F1408="","",Raw!F1408)&amp;"|"&amp;LEN(IF(Raw!G1408="","",Raw!G1408))&amp;":"&amp;IF(Raw!G1408="","",Raw!G1408)</f>
        <v>6:L01402|6:T00701|10:2026-02-10|3:P-A|11:Accessories|4:sale|6:130.08</v>
      </c>
      <c r="Q1408" s="1">
        <f>1</f>
        <v>1</v>
      </c>
      <c r="R1408" s="1" t="b">
        <f>FALSE</f>
        <v>0</v>
      </c>
      <c r="S1408" s="1">
        <f>1</f>
        <v>1</v>
      </c>
      <c r="T1408" s="1" t="str">
        <f>IF(AND(Raw!A1408="",Raw!B1408="",Raw!C1408="",Raw!D1408="",Raw!E1408="",Raw!F1408="",Raw!G1408=""),"UNUSED",IF(A1408="","missing line ID",IF(B1408="","missing transaction ID",IF(G1408="",IF(C1408="","missing date","invalid date"),IF(I1408="","unknown product",IF(J1408="","conflicting category",IF(NOT(OR(EXACT(K1408,"sale"),EXACT(K1408,"refund"))),"unknown event",IF(OR(N1408="",NOT(O1408)),"invalid amount",IF(OR(AND(K1408="sale",N1408&lt;=0),AND(K1408="refund",N1408&gt;=0)),"invalid sign","")))))))))</f>
        <v/>
      </c>
      <c r="U1408" s="1" t="str">
        <f t="shared" si="173"/>
        <v>INCLUDED</v>
      </c>
      <c r="V1408" s="1" t="str">
        <f t="shared" si="174"/>
        <v>2026-02</v>
      </c>
      <c r="W1408" s="1">
        <f>IF(AND(U1408="INCLUDED",X1408&gt;0,EXACT(A1408,'AI output'!A1408)),1,0)</f>
        <v>1</v>
      </c>
      <c r="X1408" s="1">
        <f>1408</f>
        <v>1408</v>
      </c>
      <c r="Y1408" s="1">
        <f>IF(AND(U1408="INCLUDED",W1408=1),--(NOT(EXACT(A1408,'AI output'!A1408)))+--(NOT(EXACT(B1408,'AI output'!B1408)))+--(NOT(EXACT(TEXT(G1408,"yyyy-mm-dd"),'AI output'!C1408)))+--(NOT(EXACT(H1408,'AI output'!D1408)))+--(NOT(EXACT(J1408,'AI output'!E1408)))+--(NOT(EXACT(K1408,'AI output'!F1408)))+--(N1408&lt;&gt;'AI output'!L1408)+--(NOT('AI output'!M1408)),0)</f>
        <v>0</v>
      </c>
      <c r="Z1408" s="1">
        <f t="shared" si="175"/>
        <v>0</v>
      </c>
      <c r="AA1408" s="1">
        <f>--EXACT(A1408,"L01402")</f>
        <v>1</v>
      </c>
    </row>
    <row r="1409" spans="1:27" ht="18.95" customHeight="1">
      <c r="A1409" s="1" t="str">
        <f>IF(Raw!A1409="","",Raw!A1409)</f>
        <v>L01403</v>
      </c>
      <c r="B1409" s="1" t="str">
        <f>IF(Raw!B1409="","",Raw!B1409)</f>
        <v>T00702</v>
      </c>
      <c r="C1409" s="1" t="str">
        <f>IF(Raw!C1409="","",Raw!C1409)</f>
        <v>2026-02-17</v>
      </c>
      <c r="D1409" s="1">
        <f t="shared" si="168"/>
        <v>2026</v>
      </c>
      <c r="E1409" s="1">
        <f>IFERROR(IF(AND(LEN(C1409)=10,MID(C1409,5,1)="-",MID(C1409,8,1)="-"),VALUE(MID(C1409,6,2)),IF(AND(LEN(C1409)=11,MID(C1409,3,1)="-",MID(C1409,7,1)="-"),MATCH(UPPER(MID(C1409,4,3)),Guide!$D$7:$D$18,0),0)),0)</f>
        <v>2</v>
      </c>
      <c r="F1409" s="1">
        <f t="shared" si="169"/>
        <v>17</v>
      </c>
      <c r="G1409" s="9">
        <f t="shared" si="170"/>
        <v>46070</v>
      </c>
      <c r="H1409" s="1" t="str">
        <f>IF(Raw!D1409="","",Raw!D1409)</f>
        <v>P-H</v>
      </c>
      <c r="I1409" s="1" t="str">
        <f>IFERROR(IF(EXACT(H1409,INDEX(Guide!$A$7:$A$9,MATCH(SUBSTITUTE(SUBSTITUTE(SUBSTITUTE(H1409,"~","~~"),"*","~*"),"?","~?"),Guide!$A$7:$A$9,0))),INDEX(Guide!$B$7:$B$9,MATCH(SUBSTITUTE(SUBSTITUTE(SUBSTITUTE(H1409,"~","~~"),"*","~*"),"?","~?"),Guide!$A$7:$A$9,0)),""),"")</f>
        <v>Home</v>
      </c>
      <c r="J1409" s="1" t="str">
        <f>IF(TRIM(Raw!E1409)="",I1409,IF(UPPER(TRIM(Raw!E1409))=UPPER(I1409),I1409,""))</f>
        <v>Home</v>
      </c>
      <c r="K1409" s="1" t="str">
        <f>IF(Raw!F1409="","",Raw!F1409)</f>
        <v>sale</v>
      </c>
      <c r="L1409" s="1" t="str">
        <f>IF(LEFT(TRIM(Raw!G1409),2)="-$","-"&amp;MID(TRIM(Raw!G1409),3,99),IF(LEFT(TRIM(Raw!G1409),1)="$",MID(TRIM(Raw!G1409),2,99),TRIM(Raw!G1409)))</f>
        <v>218.65</v>
      </c>
      <c r="M1409" s="1">
        <f t="shared" si="171"/>
        <v>218.65</v>
      </c>
      <c r="N1409" s="10">
        <f t="shared" si="172"/>
        <v>21865</v>
      </c>
      <c r="O1409" s="1" t="b">
        <f>IFERROR(IF(ISNUMBER(Raw!G1409),TRUE,OR(EXACT(L1409,TEXT(M1409,"0.00")),EXACT(L1409,TEXT(M1409,"#,##0.00")))),FALSE)</f>
        <v>1</v>
      </c>
      <c r="P1409" s="1" t="str">
        <f>LEN(IF(Raw!A1409="","",Raw!A1409))&amp;":"&amp;IF(Raw!A1409="","",Raw!A1409)&amp;"|"&amp;LEN(IF(Raw!B1409="","",Raw!B1409))&amp;":"&amp;IF(Raw!B1409="","",Raw!B1409)&amp;"|"&amp;LEN(IF(Raw!C1409="","",Raw!C1409))&amp;":"&amp;IF(Raw!C1409="","",Raw!C1409)&amp;"|"&amp;LEN(IF(Raw!D1409="","",Raw!D1409))&amp;":"&amp;IF(Raw!D1409="","",Raw!D1409)&amp;"|"&amp;LEN(IF(Raw!E1409="","",Raw!E1409))&amp;":"&amp;IF(Raw!E1409="","",Raw!E1409)&amp;"|"&amp;LEN(IF(Raw!F1409="","",Raw!F1409))&amp;":"&amp;IF(Raw!F1409="","",Raw!F1409)&amp;"|"&amp;LEN(IF(Raw!G1409="","",Raw!G1409))&amp;":"&amp;IF(Raw!G1409="","",Raw!G1409)</f>
        <v>6:L01403|6:T00702|10:2026-02-17|3:P-H|4:Home|4:sale|6:218.65</v>
      </c>
      <c r="Q1409" s="1">
        <f>1</f>
        <v>1</v>
      </c>
      <c r="R1409" s="1" t="b">
        <f>FALSE</f>
        <v>0</v>
      </c>
      <c r="S1409" s="1">
        <f>1</f>
        <v>1</v>
      </c>
      <c r="T1409" s="1" t="str">
        <f>IF(AND(Raw!A1409="",Raw!B1409="",Raw!C1409="",Raw!D1409="",Raw!E1409="",Raw!F1409="",Raw!G1409=""),"UNUSED",IF(A1409="","missing line ID",IF(B1409="","missing transaction ID",IF(G1409="",IF(C1409="","missing date","invalid date"),IF(I1409="","unknown product",IF(J1409="","conflicting category",IF(NOT(OR(EXACT(K1409,"sale"),EXACT(K1409,"refund"))),"unknown event",IF(OR(N1409="",NOT(O1409)),"invalid amount",IF(OR(AND(K1409="sale",N1409&lt;=0),AND(K1409="refund",N1409&gt;=0)),"invalid sign","")))))))))</f>
        <v/>
      </c>
      <c r="U1409" s="1" t="str">
        <f t="shared" si="173"/>
        <v>INCLUDED</v>
      </c>
      <c r="V1409" s="1" t="str">
        <f t="shared" si="174"/>
        <v>2026-02</v>
      </c>
      <c r="W1409" s="1">
        <f>IF(AND(U1409="INCLUDED",X1409&gt;0,EXACT(A1409,'AI output'!A1409)),1,0)</f>
        <v>1</v>
      </c>
      <c r="X1409" s="1">
        <f>1409</f>
        <v>1409</v>
      </c>
      <c r="Y1409" s="1">
        <f>IF(AND(U1409="INCLUDED",W1409=1),--(NOT(EXACT(A1409,'AI output'!A1409)))+--(NOT(EXACT(B1409,'AI output'!B1409)))+--(NOT(EXACT(TEXT(G1409,"yyyy-mm-dd"),'AI output'!C1409)))+--(NOT(EXACT(H1409,'AI output'!D1409)))+--(NOT(EXACT(J1409,'AI output'!E1409)))+--(NOT(EXACT(K1409,'AI output'!F1409)))+--(N1409&lt;&gt;'AI output'!L1409)+--(NOT('AI output'!M1409)),0)</f>
        <v>0</v>
      </c>
      <c r="Z1409" s="1">
        <f t="shared" si="175"/>
        <v>0</v>
      </c>
      <c r="AA1409" s="1">
        <f>--EXACT(A1409,"L01403")</f>
        <v>1</v>
      </c>
    </row>
    <row r="1410" spans="1:27" ht="18.95" customHeight="1">
      <c r="A1410" s="1" t="str">
        <f>IF(Raw!A1410="","",Raw!A1410)</f>
        <v>L01404</v>
      </c>
      <c r="B1410" s="1" t="str">
        <f>IF(Raw!B1410="","",Raw!B1410)</f>
        <v>T00702</v>
      </c>
      <c r="C1410" s="1" t="str">
        <f>IF(Raw!C1410="","",Raw!C1410)</f>
        <v>17-Feb-2026</v>
      </c>
      <c r="D1410" s="1">
        <f t="shared" si="168"/>
        <v>2026</v>
      </c>
      <c r="E1410" s="1">
        <f>IFERROR(IF(AND(LEN(C1410)=10,MID(C1410,5,1)="-",MID(C1410,8,1)="-"),VALUE(MID(C1410,6,2)),IF(AND(LEN(C1410)=11,MID(C1410,3,1)="-",MID(C1410,7,1)="-"),MATCH(UPPER(MID(C1410,4,3)),Guide!$D$7:$D$18,0),0)),0)</f>
        <v>2</v>
      </c>
      <c r="F1410" s="1">
        <f t="shared" si="169"/>
        <v>17</v>
      </c>
      <c r="G1410" s="9">
        <f t="shared" si="170"/>
        <v>46070</v>
      </c>
      <c r="H1410" s="1" t="str">
        <f>IF(Raw!D1410="","",Raw!D1410)</f>
        <v>P-O</v>
      </c>
      <c r="I1410" s="1" t="str">
        <f>IFERROR(IF(EXACT(H1410,INDEX(Guide!$A$7:$A$9,MATCH(SUBSTITUTE(SUBSTITUTE(SUBSTITUTE(H1410,"~","~~"),"*","~*"),"?","~?"),Guide!$A$7:$A$9,0))),INDEX(Guide!$B$7:$B$9,MATCH(SUBSTITUTE(SUBSTITUTE(SUBSTITUTE(H1410,"~","~~"),"*","~*"),"?","~?"),Guide!$A$7:$A$9,0)),""),"")</f>
        <v>Office</v>
      </c>
      <c r="J1410" s="1" t="str">
        <f>IF(TRIM(Raw!E1410)="",I1410,IF(UPPER(TRIM(Raw!E1410))=UPPER(I1410),I1410,""))</f>
        <v>Office</v>
      </c>
      <c r="K1410" s="1" t="str">
        <f>IF(Raw!F1410="","",Raw!F1410)</f>
        <v>refund</v>
      </c>
      <c r="L1410" s="1" t="str">
        <f>IF(LEFT(TRIM(Raw!G1410),2)="-$","-"&amp;MID(TRIM(Raw!G1410),3,99),IF(LEFT(TRIM(Raw!G1410),1)="$",MID(TRIM(Raw!G1410),2,99),TRIM(Raw!G1410)))</f>
        <v>-88.20</v>
      </c>
      <c r="M1410" s="1">
        <f t="shared" si="171"/>
        <v>-88.2</v>
      </c>
      <c r="N1410" s="10">
        <f t="shared" si="172"/>
        <v>-8820</v>
      </c>
      <c r="O1410" s="1" t="b">
        <f>IFERROR(IF(ISNUMBER(Raw!G1410),TRUE,OR(EXACT(L1410,TEXT(M1410,"0.00")),EXACT(L1410,TEXT(M1410,"#,##0.00")))),FALSE)</f>
        <v>1</v>
      </c>
      <c r="P1410" s="1" t="str">
        <f>LEN(IF(Raw!A1410="","",Raw!A1410))&amp;":"&amp;IF(Raw!A1410="","",Raw!A1410)&amp;"|"&amp;LEN(IF(Raw!B1410="","",Raw!B1410))&amp;":"&amp;IF(Raw!B1410="","",Raw!B1410)&amp;"|"&amp;LEN(IF(Raw!C1410="","",Raw!C1410))&amp;":"&amp;IF(Raw!C1410="","",Raw!C1410)&amp;"|"&amp;LEN(IF(Raw!D1410="","",Raw!D1410))&amp;":"&amp;IF(Raw!D1410="","",Raw!D1410)&amp;"|"&amp;LEN(IF(Raw!E1410="","",Raw!E1410))&amp;":"&amp;IF(Raw!E1410="","",Raw!E1410)&amp;"|"&amp;LEN(IF(Raw!F1410="","",Raw!F1410))&amp;":"&amp;IF(Raw!F1410="","",Raw!F1410)&amp;"|"&amp;LEN(IF(Raw!G1410="","",Raw!G1410))&amp;":"&amp;IF(Raw!G1410="","",Raw!G1410)</f>
        <v>6:L01404|6:T00702|11:17-Feb-2026|3:P-O|6:Office|6:refund|6:-88.20</v>
      </c>
      <c r="Q1410" s="1">
        <f>2</f>
        <v>2</v>
      </c>
      <c r="R1410" s="1" t="b">
        <f>OR(NOT(EXACT(P1410,P2003)))</f>
        <v>0</v>
      </c>
      <c r="S1410" s="1">
        <f>1</f>
        <v>1</v>
      </c>
      <c r="T1410" s="1" t="str">
        <f>IF(AND(Raw!A1410="",Raw!B1410="",Raw!C1410="",Raw!D1410="",Raw!E1410="",Raw!F1410="",Raw!G1410=""),"UNUSED",IF(A1410="","missing line ID",IF(B1410="","missing transaction ID",IF(G1410="",IF(C1410="","missing date","invalid date"),IF(I1410="","unknown product",IF(J1410="","conflicting category",IF(NOT(OR(EXACT(K1410,"sale"),EXACT(K1410,"refund"))),"unknown event",IF(OR(N1410="",NOT(O1410)),"invalid amount",IF(OR(AND(K1410="sale",N1410&lt;=0),AND(K1410="refund",N1410&gt;=0)),"invalid sign","")))))))))</f>
        <v/>
      </c>
      <c r="U1410" s="1" t="str">
        <f t="shared" si="173"/>
        <v>INCLUDED</v>
      </c>
      <c r="V1410" s="1" t="str">
        <f t="shared" si="174"/>
        <v>2026-02</v>
      </c>
      <c r="W1410" s="1">
        <f>IF(AND(U1410="INCLUDED",X1410&gt;0,EXACT(A1410,'AI output'!A1410)),1,0)</f>
        <v>1</v>
      </c>
      <c r="X1410" s="1">
        <f>1410</f>
        <v>1410</v>
      </c>
      <c r="Y1410" s="1">
        <f>IF(AND(U1410="INCLUDED",W1410=1),--(NOT(EXACT(A1410,'AI output'!A1410)))+--(NOT(EXACT(B1410,'AI output'!B1410)))+--(NOT(EXACT(TEXT(G1410,"yyyy-mm-dd"),'AI output'!C1410)))+--(NOT(EXACT(H1410,'AI output'!D1410)))+--(NOT(EXACT(J1410,'AI output'!E1410)))+--(NOT(EXACT(K1410,'AI output'!F1410)))+--(N1410&lt;&gt;'AI output'!L1410)+--(NOT('AI output'!M1410)),0)</f>
        <v>0</v>
      </c>
      <c r="Z1410" s="1">
        <f t="shared" si="175"/>
        <v>0</v>
      </c>
      <c r="AA1410" s="1">
        <f>--EXACT(A1410,"L01404")</f>
        <v>1</v>
      </c>
    </row>
    <row r="1411" spans="1:27" ht="18.95" customHeight="1">
      <c r="A1411" s="1" t="str">
        <f>IF(Raw!A1411="","",Raw!A1411)</f>
        <v>L01405</v>
      </c>
      <c r="B1411" s="1" t="str">
        <f>IF(Raw!B1411="","",Raw!B1411)</f>
        <v>T00703</v>
      </c>
      <c r="C1411" s="1" t="str">
        <f>IF(Raw!C1411="","",Raw!C1411)</f>
        <v>2026-02-24</v>
      </c>
      <c r="D1411" s="1">
        <f t="shared" si="168"/>
        <v>2026</v>
      </c>
      <c r="E1411" s="1">
        <f>IFERROR(IF(AND(LEN(C1411)=10,MID(C1411,5,1)="-",MID(C1411,8,1)="-"),VALUE(MID(C1411,6,2)),IF(AND(LEN(C1411)=11,MID(C1411,3,1)="-",MID(C1411,7,1)="-"),MATCH(UPPER(MID(C1411,4,3)),Guide!$D$7:$D$18,0),0)),0)</f>
        <v>2</v>
      </c>
      <c r="F1411" s="1">
        <f t="shared" si="169"/>
        <v>24</v>
      </c>
      <c r="G1411" s="9">
        <f t="shared" si="170"/>
        <v>46077</v>
      </c>
      <c r="H1411" s="1" t="str">
        <f>IF(Raw!D1411="","",Raw!D1411)</f>
        <v>P-A</v>
      </c>
      <c r="I1411" s="1" t="str">
        <f>IFERROR(IF(EXACT(H1411,INDEX(Guide!$A$7:$A$9,MATCH(SUBSTITUTE(SUBSTITUTE(SUBSTITUTE(H1411,"~","~~"),"*","~*"),"?","~?"),Guide!$A$7:$A$9,0))),INDEX(Guide!$B$7:$B$9,MATCH(SUBSTITUTE(SUBSTITUTE(SUBSTITUTE(H1411,"~","~~"),"*","~*"),"?","~?"),Guide!$A$7:$A$9,0)),""),"")</f>
        <v>Accessories</v>
      </c>
      <c r="J1411" s="1" t="str">
        <f>IF(TRIM(Raw!E1411)="",I1411,IF(UPPER(TRIM(Raw!E1411))=UPPER(I1411),I1411,""))</f>
        <v>Accessories</v>
      </c>
      <c r="K1411" s="1" t="str">
        <f>IF(Raw!F1411="","",Raw!F1411)</f>
        <v>sale</v>
      </c>
      <c r="L1411" s="1" t="str">
        <f>IF(LEFT(TRIM(Raw!G1411),2)="-$","-"&amp;MID(TRIM(Raw!G1411),3,99),IF(LEFT(TRIM(Raw!G1411),1)="$",MID(TRIM(Raw!G1411),2,99),TRIM(Raw!G1411)))</f>
        <v>177.88</v>
      </c>
      <c r="M1411" s="1">
        <f t="shared" si="171"/>
        <v>177.88</v>
      </c>
      <c r="N1411" s="10">
        <f t="shared" si="172"/>
        <v>17788</v>
      </c>
      <c r="O1411" s="1" t="b">
        <f>IFERROR(IF(ISNUMBER(Raw!G1411),TRUE,OR(EXACT(L1411,TEXT(M1411,"0.00")),EXACT(L1411,TEXT(M1411,"#,##0.00")))),FALSE)</f>
        <v>1</v>
      </c>
      <c r="P1411" s="1" t="str">
        <f>LEN(IF(Raw!A1411="","",Raw!A1411))&amp;":"&amp;IF(Raw!A1411="","",Raw!A1411)&amp;"|"&amp;LEN(IF(Raw!B1411="","",Raw!B1411))&amp;":"&amp;IF(Raw!B1411="","",Raw!B1411)&amp;"|"&amp;LEN(IF(Raw!C1411="","",Raw!C1411))&amp;":"&amp;IF(Raw!C1411="","",Raw!C1411)&amp;"|"&amp;LEN(IF(Raw!D1411="","",Raw!D1411))&amp;":"&amp;IF(Raw!D1411="","",Raw!D1411)&amp;"|"&amp;LEN(IF(Raw!E1411="","",Raw!E1411))&amp;":"&amp;IF(Raw!E1411="","",Raw!E1411)&amp;"|"&amp;LEN(IF(Raw!F1411="","",Raw!F1411))&amp;":"&amp;IF(Raw!F1411="","",Raw!F1411)&amp;"|"&amp;LEN(IF(Raw!G1411="","",Raw!G1411))&amp;":"&amp;IF(Raw!G1411="","",Raw!G1411)</f>
        <v>6:L01405|6:T00703|10:2026-02-24|3:P-A|11:Accessories|4:sale|6:177.88</v>
      </c>
      <c r="Q1411" s="1">
        <f>1</f>
        <v>1</v>
      </c>
      <c r="R1411" s="1" t="b">
        <f>FALSE</f>
        <v>0</v>
      </c>
      <c r="S1411" s="1">
        <f>1</f>
        <v>1</v>
      </c>
      <c r="T1411" s="1" t="str">
        <f>IF(AND(Raw!A1411="",Raw!B1411="",Raw!C1411="",Raw!D1411="",Raw!E1411="",Raw!F1411="",Raw!G1411=""),"UNUSED",IF(A1411="","missing line ID",IF(B1411="","missing transaction ID",IF(G1411="",IF(C1411="","missing date","invalid date"),IF(I1411="","unknown product",IF(J1411="","conflicting category",IF(NOT(OR(EXACT(K1411,"sale"),EXACT(K1411,"refund"))),"unknown event",IF(OR(N1411="",NOT(O1411)),"invalid amount",IF(OR(AND(K1411="sale",N1411&lt;=0),AND(K1411="refund",N1411&gt;=0)),"invalid sign","")))))))))</f>
        <v/>
      </c>
      <c r="U1411" s="1" t="str">
        <f t="shared" si="173"/>
        <v>INCLUDED</v>
      </c>
      <c r="V1411" s="1" t="str">
        <f t="shared" si="174"/>
        <v>2026-02</v>
      </c>
      <c r="W1411" s="1">
        <f>IF(AND(U1411="INCLUDED",X1411&gt;0,EXACT(A1411,'AI output'!A1411)),1,0)</f>
        <v>1</v>
      </c>
      <c r="X1411" s="1">
        <f>1411</f>
        <v>1411</v>
      </c>
      <c r="Y1411" s="1">
        <f>IF(AND(U1411="INCLUDED",W1411=1),--(NOT(EXACT(A1411,'AI output'!A1411)))+--(NOT(EXACT(B1411,'AI output'!B1411)))+--(NOT(EXACT(TEXT(G1411,"yyyy-mm-dd"),'AI output'!C1411)))+--(NOT(EXACT(H1411,'AI output'!D1411)))+--(NOT(EXACT(J1411,'AI output'!E1411)))+--(NOT(EXACT(K1411,'AI output'!F1411)))+--(N1411&lt;&gt;'AI output'!L1411)+--(NOT('AI output'!M1411)),0)</f>
        <v>0</v>
      </c>
      <c r="Z1411" s="1">
        <f t="shared" si="175"/>
        <v>0</v>
      </c>
      <c r="AA1411" s="1">
        <f>--EXACT(A1411,"L01405")</f>
        <v>1</v>
      </c>
    </row>
    <row r="1412" spans="1:27" ht="18.95" customHeight="1">
      <c r="A1412" s="1" t="str">
        <f>IF(Raw!A1412="","",Raw!A1412)</f>
        <v>L01406</v>
      </c>
      <c r="B1412" s="1" t="str">
        <f>IF(Raw!B1412="","",Raw!B1412)</f>
        <v>T00703</v>
      </c>
      <c r="C1412" s="1" t="str">
        <f>IF(Raw!C1412="","",Raw!C1412)</f>
        <v>2026-02-24</v>
      </c>
      <c r="D1412" s="1">
        <f t="shared" si="168"/>
        <v>2026</v>
      </c>
      <c r="E1412" s="1">
        <f>IFERROR(IF(AND(LEN(C1412)=10,MID(C1412,5,1)="-",MID(C1412,8,1)="-"),VALUE(MID(C1412,6,2)),IF(AND(LEN(C1412)=11,MID(C1412,3,1)="-",MID(C1412,7,1)="-"),MATCH(UPPER(MID(C1412,4,3)),Guide!$D$7:$D$18,0),0)),0)</f>
        <v>2</v>
      </c>
      <c r="F1412" s="1">
        <f t="shared" si="169"/>
        <v>24</v>
      </c>
      <c r="G1412" s="9">
        <f t="shared" si="170"/>
        <v>46077</v>
      </c>
      <c r="H1412" s="1" t="str">
        <f>IF(Raw!D1412="","",Raw!D1412)</f>
        <v>P-H</v>
      </c>
      <c r="I1412" s="1" t="str">
        <f>IFERROR(IF(EXACT(H1412,INDEX(Guide!$A$7:$A$9,MATCH(SUBSTITUTE(SUBSTITUTE(SUBSTITUTE(H1412,"~","~~"),"*","~*"),"?","~?"),Guide!$A$7:$A$9,0))),INDEX(Guide!$B$7:$B$9,MATCH(SUBSTITUTE(SUBSTITUTE(SUBSTITUTE(H1412,"~","~~"),"*","~*"),"?","~?"),Guide!$A$7:$A$9,0)),""),"")</f>
        <v>Home</v>
      </c>
      <c r="J1412" s="1" t="str">
        <f>IF(TRIM(Raw!E1412)="",I1412,IF(UPPER(TRIM(Raw!E1412))=UPPER(I1412),I1412,""))</f>
        <v>Home</v>
      </c>
      <c r="K1412" s="1" t="str">
        <f>IF(Raw!F1412="","",Raw!F1412)</f>
        <v>sale</v>
      </c>
      <c r="L1412" s="1" t="str">
        <f>IF(LEFT(TRIM(Raw!G1412),2)="-$","-"&amp;MID(TRIM(Raw!G1412),3,99),IF(LEFT(TRIM(Raw!G1412),1)="$",MID(TRIM(Raw!G1412),2,99),TRIM(Raw!G1412)))</f>
        <v>44.84</v>
      </c>
      <c r="M1412" s="1">
        <f t="shared" si="171"/>
        <v>44.84</v>
      </c>
      <c r="N1412" s="10">
        <f t="shared" si="172"/>
        <v>4484</v>
      </c>
      <c r="O1412" s="1" t="b">
        <f>IFERROR(IF(ISNUMBER(Raw!G1412),TRUE,OR(EXACT(L1412,TEXT(M1412,"0.00")),EXACT(L1412,TEXT(M1412,"#,##0.00")))),FALSE)</f>
        <v>1</v>
      </c>
      <c r="P1412" s="1" t="str">
        <f>LEN(IF(Raw!A1412="","",Raw!A1412))&amp;":"&amp;IF(Raw!A1412="","",Raw!A1412)&amp;"|"&amp;LEN(IF(Raw!B1412="","",Raw!B1412))&amp;":"&amp;IF(Raw!B1412="","",Raw!B1412)&amp;"|"&amp;LEN(IF(Raw!C1412="","",Raw!C1412))&amp;":"&amp;IF(Raw!C1412="","",Raw!C1412)&amp;"|"&amp;LEN(IF(Raw!D1412="","",Raw!D1412))&amp;":"&amp;IF(Raw!D1412="","",Raw!D1412)&amp;"|"&amp;LEN(IF(Raw!E1412="","",Raw!E1412))&amp;":"&amp;IF(Raw!E1412="","",Raw!E1412)&amp;"|"&amp;LEN(IF(Raw!F1412="","",Raw!F1412))&amp;":"&amp;IF(Raw!F1412="","",Raw!F1412)&amp;"|"&amp;LEN(IF(Raw!G1412="","",Raw!G1412))&amp;":"&amp;IF(Raw!G1412="","",Raw!G1412)</f>
        <v>6:L01406|6:T00703|10:2026-02-24|3:P-H|4:Home|4:sale|5:44.84</v>
      </c>
      <c r="Q1412" s="1">
        <f>1</f>
        <v>1</v>
      </c>
      <c r="R1412" s="1" t="b">
        <f>FALSE</f>
        <v>0</v>
      </c>
      <c r="S1412" s="1">
        <f>1</f>
        <v>1</v>
      </c>
      <c r="T1412" s="1" t="str">
        <f>IF(AND(Raw!A1412="",Raw!B1412="",Raw!C1412="",Raw!D1412="",Raw!E1412="",Raw!F1412="",Raw!G1412=""),"UNUSED",IF(A1412="","missing line ID",IF(B1412="","missing transaction ID",IF(G1412="",IF(C1412="","missing date","invalid date"),IF(I1412="","unknown product",IF(J1412="","conflicting category",IF(NOT(OR(EXACT(K1412,"sale"),EXACT(K1412,"refund"))),"unknown event",IF(OR(N1412="",NOT(O1412)),"invalid amount",IF(OR(AND(K1412="sale",N1412&lt;=0),AND(K1412="refund",N1412&gt;=0)),"invalid sign","")))))))))</f>
        <v/>
      </c>
      <c r="U1412" s="1" t="str">
        <f t="shared" si="173"/>
        <v>INCLUDED</v>
      </c>
      <c r="V1412" s="1" t="str">
        <f t="shared" si="174"/>
        <v>2026-02</v>
      </c>
      <c r="W1412" s="1">
        <f>IF(AND(U1412="INCLUDED",X1412&gt;0,EXACT(A1412,'AI output'!A1412)),1,0)</f>
        <v>1</v>
      </c>
      <c r="X1412" s="1">
        <f>1412</f>
        <v>1412</v>
      </c>
      <c r="Y1412" s="1">
        <f>IF(AND(U1412="INCLUDED",W1412=1),--(NOT(EXACT(A1412,'AI output'!A1412)))+--(NOT(EXACT(B1412,'AI output'!B1412)))+--(NOT(EXACT(TEXT(G1412,"yyyy-mm-dd"),'AI output'!C1412)))+--(NOT(EXACT(H1412,'AI output'!D1412)))+--(NOT(EXACT(J1412,'AI output'!E1412)))+--(NOT(EXACT(K1412,'AI output'!F1412)))+--(N1412&lt;&gt;'AI output'!L1412)+--(NOT('AI output'!M1412)),0)</f>
        <v>0</v>
      </c>
      <c r="Z1412" s="1">
        <f t="shared" si="175"/>
        <v>0</v>
      </c>
      <c r="AA1412" s="1">
        <f>--EXACT(A1412,"L01406")</f>
        <v>1</v>
      </c>
    </row>
    <row r="1413" spans="1:27" ht="18.95" customHeight="1">
      <c r="A1413" s="1" t="str">
        <f>IF(Raw!A1413="","",Raw!A1413)</f>
        <v>L01407</v>
      </c>
      <c r="B1413" s="1" t="str">
        <f>IF(Raw!B1413="","",Raw!B1413)</f>
        <v>T00704</v>
      </c>
      <c r="C1413" s="1" t="str">
        <f>IF(Raw!C1413="","",Raw!C1413)</f>
        <v>2026-03-03</v>
      </c>
      <c r="D1413" s="1">
        <f t="shared" si="168"/>
        <v>2026</v>
      </c>
      <c r="E1413" s="1">
        <f>IFERROR(IF(AND(LEN(C1413)=10,MID(C1413,5,1)="-",MID(C1413,8,1)="-"),VALUE(MID(C1413,6,2)),IF(AND(LEN(C1413)=11,MID(C1413,3,1)="-",MID(C1413,7,1)="-"),MATCH(UPPER(MID(C1413,4,3)),Guide!$D$7:$D$18,0),0)),0)</f>
        <v>3</v>
      </c>
      <c r="F1413" s="1">
        <f t="shared" si="169"/>
        <v>3</v>
      </c>
      <c r="G1413" s="9">
        <f t="shared" si="170"/>
        <v>46084</v>
      </c>
      <c r="H1413" s="1" t="str">
        <f>IF(Raw!D1413="","",Raw!D1413)</f>
        <v>P-O</v>
      </c>
      <c r="I1413" s="1" t="str">
        <f>IFERROR(IF(EXACT(H1413,INDEX(Guide!$A$7:$A$9,MATCH(SUBSTITUTE(SUBSTITUTE(SUBSTITUTE(H1413,"~","~~"),"*","~*"),"?","~?"),Guide!$A$7:$A$9,0))),INDEX(Guide!$B$7:$B$9,MATCH(SUBSTITUTE(SUBSTITUTE(SUBSTITUTE(H1413,"~","~~"),"*","~*"),"?","~?"),Guide!$A$7:$A$9,0)),""),"")</f>
        <v>Office</v>
      </c>
      <c r="J1413" s="1" t="str">
        <f>IF(TRIM(Raw!E1413)="",I1413,IF(UPPER(TRIM(Raw!E1413))=UPPER(I1413),I1413,""))</f>
        <v>Office</v>
      </c>
      <c r="K1413" s="1" t="str">
        <f>IF(Raw!F1413="","",Raw!F1413)</f>
        <v>sale</v>
      </c>
      <c r="L1413" s="1" t="str">
        <f>IF(LEFT(TRIM(Raw!G1413),2)="-$","-"&amp;MID(TRIM(Raw!G1413),3,99),IF(LEFT(TRIM(Raw!G1413),1)="$",MID(TRIM(Raw!G1413),2,99),TRIM(Raw!G1413)))</f>
        <v>135.63</v>
      </c>
      <c r="M1413" s="1">
        <f t="shared" si="171"/>
        <v>135.63</v>
      </c>
      <c r="N1413" s="10">
        <f t="shared" si="172"/>
        <v>13563</v>
      </c>
      <c r="O1413" s="1" t="b">
        <f>IFERROR(IF(ISNUMBER(Raw!G1413),TRUE,OR(EXACT(L1413,TEXT(M1413,"0.00")),EXACT(L1413,TEXT(M1413,"#,##0.00")))),FALSE)</f>
        <v>1</v>
      </c>
      <c r="P1413" s="1" t="str">
        <f>LEN(IF(Raw!A1413="","",Raw!A1413))&amp;":"&amp;IF(Raw!A1413="","",Raw!A1413)&amp;"|"&amp;LEN(IF(Raw!B1413="","",Raw!B1413))&amp;":"&amp;IF(Raw!B1413="","",Raw!B1413)&amp;"|"&amp;LEN(IF(Raw!C1413="","",Raw!C1413))&amp;":"&amp;IF(Raw!C1413="","",Raw!C1413)&amp;"|"&amp;LEN(IF(Raw!D1413="","",Raw!D1413))&amp;":"&amp;IF(Raw!D1413="","",Raw!D1413)&amp;"|"&amp;LEN(IF(Raw!E1413="","",Raw!E1413))&amp;":"&amp;IF(Raw!E1413="","",Raw!E1413)&amp;"|"&amp;LEN(IF(Raw!F1413="","",Raw!F1413))&amp;":"&amp;IF(Raw!F1413="","",Raw!F1413)&amp;"|"&amp;LEN(IF(Raw!G1413="","",Raw!G1413))&amp;":"&amp;IF(Raw!G1413="","",Raw!G1413)</f>
        <v>6:L01407|6:T00704|10:2026-03-03|3:P-O|6:Office|4:sale|6:135.63</v>
      </c>
      <c r="Q1413" s="1">
        <f>1</f>
        <v>1</v>
      </c>
      <c r="R1413" s="1" t="b">
        <f>FALSE</f>
        <v>0</v>
      </c>
      <c r="S1413" s="1">
        <f>1</f>
        <v>1</v>
      </c>
      <c r="T1413" s="1" t="str">
        <f>IF(AND(Raw!A1413="",Raw!B1413="",Raw!C1413="",Raw!D1413="",Raw!E1413="",Raw!F1413="",Raw!G1413=""),"UNUSED",IF(A1413="","missing line ID",IF(B1413="","missing transaction ID",IF(G1413="",IF(C1413="","missing date","invalid date"),IF(I1413="","unknown product",IF(J1413="","conflicting category",IF(NOT(OR(EXACT(K1413,"sale"),EXACT(K1413,"refund"))),"unknown event",IF(OR(N1413="",NOT(O1413)),"invalid amount",IF(OR(AND(K1413="sale",N1413&lt;=0),AND(K1413="refund",N1413&gt;=0)),"invalid sign","")))))))))</f>
        <v/>
      </c>
      <c r="U1413" s="1" t="str">
        <f t="shared" si="173"/>
        <v>INCLUDED</v>
      </c>
      <c r="V1413" s="1" t="str">
        <f t="shared" si="174"/>
        <v>2026-03</v>
      </c>
      <c r="W1413" s="1">
        <f>IF(AND(U1413="INCLUDED",X1413&gt;0,EXACT(A1413,'AI output'!A1413)),1,0)</f>
        <v>1</v>
      </c>
      <c r="X1413" s="1">
        <f>1413</f>
        <v>1413</v>
      </c>
      <c r="Y1413" s="1">
        <f>IF(AND(U1413="INCLUDED",W1413=1),--(NOT(EXACT(A1413,'AI output'!A1413)))+--(NOT(EXACT(B1413,'AI output'!B1413)))+--(NOT(EXACT(TEXT(G1413,"yyyy-mm-dd"),'AI output'!C1413)))+--(NOT(EXACT(H1413,'AI output'!D1413)))+--(NOT(EXACT(J1413,'AI output'!E1413)))+--(NOT(EXACT(K1413,'AI output'!F1413)))+--(N1413&lt;&gt;'AI output'!L1413)+--(NOT('AI output'!M1413)),0)</f>
        <v>0</v>
      </c>
      <c r="Z1413" s="1">
        <f t="shared" si="175"/>
        <v>0</v>
      </c>
      <c r="AA1413" s="1">
        <f>--EXACT(A1413,"L01407")</f>
        <v>1</v>
      </c>
    </row>
    <row r="1414" spans="1:27" ht="18.95" customHeight="1">
      <c r="A1414" s="1" t="str">
        <f>IF(Raw!A1414="","",Raw!A1414)</f>
        <v>L01408</v>
      </c>
      <c r="B1414" s="1" t="str">
        <f>IF(Raw!B1414="","",Raw!B1414)</f>
        <v>T00704</v>
      </c>
      <c r="C1414" s="1" t="str">
        <f>IF(Raw!C1414="","",Raw!C1414)</f>
        <v>2026-03-03</v>
      </c>
      <c r="D1414" s="1">
        <f t="shared" si="168"/>
        <v>2026</v>
      </c>
      <c r="E1414" s="1">
        <f>IFERROR(IF(AND(LEN(C1414)=10,MID(C1414,5,1)="-",MID(C1414,8,1)="-"),VALUE(MID(C1414,6,2)),IF(AND(LEN(C1414)=11,MID(C1414,3,1)="-",MID(C1414,7,1)="-"),MATCH(UPPER(MID(C1414,4,3)),Guide!$D$7:$D$18,0),0)),0)</f>
        <v>3</v>
      </c>
      <c r="F1414" s="1">
        <f t="shared" si="169"/>
        <v>3</v>
      </c>
      <c r="G1414" s="9">
        <f t="shared" si="170"/>
        <v>46084</v>
      </c>
      <c r="H1414" s="1" t="str">
        <f>IF(Raw!D1414="","",Raw!D1414)</f>
        <v>P-A</v>
      </c>
      <c r="I1414" s="1" t="str">
        <f>IFERROR(IF(EXACT(H1414,INDEX(Guide!$A$7:$A$9,MATCH(SUBSTITUTE(SUBSTITUTE(SUBSTITUTE(H1414,"~","~~"),"*","~*"),"?","~?"),Guide!$A$7:$A$9,0))),INDEX(Guide!$B$7:$B$9,MATCH(SUBSTITUTE(SUBSTITUTE(SUBSTITUTE(H1414,"~","~~"),"*","~*"),"?","~?"),Guide!$A$7:$A$9,0)),""),"")</f>
        <v>Accessories</v>
      </c>
      <c r="J1414" s="1" t="str">
        <f>IF(TRIM(Raw!E1414)="",I1414,IF(UPPER(TRIM(Raw!E1414))=UPPER(I1414),I1414,""))</f>
        <v>Accessories</v>
      </c>
      <c r="K1414" s="1" t="str">
        <f>IF(Raw!F1414="","",Raw!F1414)</f>
        <v>sale</v>
      </c>
      <c r="L1414" s="1" t="str">
        <f>IF(LEFT(TRIM(Raw!G1414),2)="-$","-"&amp;MID(TRIM(Raw!G1414),3,99),IF(LEFT(TRIM(Raw!G1414),1)="$",MID(TRIM(Raw!G1414),2,99),TRIM(Raw!G1414)))</f>
        <v>227.90</v>
      </c>
      <c r="M1414" s="1">
        <f t="shared" si="171"/>
        <v>227.9</v>
      </c>
      <c r="N1414" s="10">
        <f t="shared" si="172"/>
        <v>22790</v>
      </c>
      <c r="O1414" s="1" t="b">
        <f>IFERROR(IF(ISNUMBER(Raw!G1414),TRUE,OR(EXACT(L1414,TEXT(M1414,"0.00")),EXACT(L1414,TEXT(M1414,"#,##0.00")))),FALSE)</f>
        <v>1</v>
      </c>
      <c r="P1414" s="1" t="str">
        <f>LEN(IF(Raw!A1414="","",Raw!A1414))&amp;":"&amp;IF(Raw!A1414="","",Raw!A1414)&amp;"|"&amp;LEN(IF(Raw!B1414="","",Raw!B1414))&amp;":"&amp;IF(Raw!B1414="","",Raw!B1414)&amp;"|"&amp;LEN(IF(Raw!C1414="","",Raw!C1414))&amp;":"&amp;IF(Raw!C1414="","",Raw!C1414)&amp;"|"&amp;LEN(IF(Raw!D1414="","",Raw!D1414))&amp;":"&amp;IF(Raw!D1414="","",Raw!D1414)&amp;"|"&amp;LEN(IF(Raw!E1414="","",Raw!E1414))&amp;":"&amp;IF(Raw!E1414="","",Raw!E1414)&amp;"|"&amp;LEN(IF(Raw!F1414="","",Raw!F1414))&amp;":"&amp;IF(Raw!F1414="","",Raw!F1414)&amp;"|"&amp;LEN(IF(Raw!G1414="","",Raw!G1414))&amp;":"&amp;IF(Raw!G1414="","",Raw!G1414)</f>
        <v>6:L01408|6:T00704|10:2026-03-03|3:P-A|11:Accessories|4:sale|6:227.90</v>
      </c>
      <c r="Q1414" s="1">
        <f>1</f>
        <v>1</v>
      </c>
      <c r="R1414" s="1" t="b">
        <f>FALSE</f>
        <v>0</v>
      </c>
      <c r="S1414" s="1">
        <f>1</f>
        <v>1</v>
      </c>
      <c r="T1414" s="1" t="str">
        <f>IF(AND(Raw!A1414="",Raw!B1414="",Raw!C1414="",Raw!D1414="",Raw!E1414="",Raw!F1414="",Raw!G1414=""),"UNUSED",IF(A1414="","missing line ID",IF(B1414="","missing transaction ID",IF(G1414="",IF(C1414="","missing date","invalid date"),IF(I1414="","unknown product",IF(J1414="","conflicting category",IF(NOT(OR(EXACT(K1414,"sale"),EXACT(K1414,"refund"))),"unknown event",IF(OR(N1414="",NOT(O1414)),"invalid amount",IF(OR(AND(K1414="sale",N1414&lt;=0),AND(K1414="refund",N1414&gt;=0)),"invalid sign","")))))))))</f>
        <v/>
      </c>
      <c r="U1414" s="1" t="str">
        <f t="shared" si="173"/>
        <v>INCLUDED</v>
      </c>
      <c r="V1414" s="1" t="str">
        <f t="shared" si="174"/>
        <v>2026-03</v>
      </c>
      <c r="W1414" s="1">
        <f>IF(AND(U1414="INCLUDED",X1414&gt;0,EXACT(A1414,'AI output'!A1414)),1,0)</f>
        <v>1</v>
      </c>
      <c r="X1414" s="1">
        <f>1414</f>
        <v>1414</v>
      </c>
      <c r="Y1414" s="1">
        <f>IF(AND(U1414="INCLUDED",W1414=1),--(NOT(EXACT(A1414,'AI output'!A1414)))+--(NOT(EXACT(B1414,'AI output'!B1414)))+--(NOT(EXACT(TEXT(G1414,"yyyy-mm-dd"),'AI output'!C1414)))+--(NOT(EXACT(H1414,'AI output'!D1414)))+--(NOT(EXACT(J1414,'AI output'!E1414)))+--(NOT(EXACT(K1414,'AI output'!F1414)))+--(N1414&lt;&gt;'AI output'!L1414)+--(NOT('AI output'!M1414)),0)</f>
        <v>0</v>
      </c>
      <c r="Z1414" s="1">
        <f t="shared" si="175"/>
        <v>0</v>
      </c>
      <c r="AA1414" s="1">
        <f>--EXACT(A1414,"L01408")</f>
        <v>1</v>
      </c>
    </row>
    <row r="1415" spans="1:27" ht="18.95" customHeight="1">
      <c r="A1415" s="1" t="str">
        <f>IF(Raw!A1415="","",Raw!A1415)</f>
        <v>L01409</v>
      </c>
      <c r="B1415" s="1" t="str">
        <f>IF(Raw!B1415="","",Raw!B1415)</f>
        <v>T00705</v>
      </c>
      <c r="C1415" s="1" t="str">
        <f>IF(Raw!C1415="","",Raw!C1415)</f>
        <v>2026-03-10</v>
      </c>
      <c r="D1415" s="1">
        <f t="shared" ref="D1415:D1478" si="176">IFERROR(IF(AND(LEN(C1415)=10,MID(C1415,5,1)="-",MID(C1415,8,1)="-"),VALUE(LEFT(C1415,4)),IF(AND(LEN(C1415)=11,MID(C1415,3,1)="-",MID(C1415,7,1)="-"),VALUE(RIGHT(C1415,4)),0)),0)</f>
        <v>2026</v>
      </c>
      <c r="E1415" s="1">
        <f>IFERROR(IF(AND(LEN(C1415)=10,MID(C1415,5,1)="-",MID(C1415,8,1)="-"),VALUE(MID(C1415,6,2)),IF(AND(LEN(C1415)=11,MID(C1415,3,1)="-",MID(C1415,7,1)="-"),MATCH(UPPER(MID(C1415,4,3)),Guide!$D$7:$D$18,0),0)),0)</f>
        <v>3</v>
      </c>
      <c r="F1415" s="1">
        <f t="shared" ref="F1415:F1478" si="177">IFERROR(IF(AND(LEN(C1415)=10,MID(C1415,5,1)="-",MID(C1415,8,1)="-"),VALUE(RIGHT(C1415,2)),IF(AND(LEN(C1415)=11,MID(C1415,3,1)="-",MID(C1415,7,1)="-"),VALUE(LEFT(C1415,2)),0)),0)</f>
        <v>10</v>
      </c>
      <c r="G1415" s="9">
        <f t="shared" ref="G1415:G1478" si="178">IFERROR(IF(AND(D1415&gt;=1900,D1415&lt;=9999,YEAR(DATE(D1415,E1415,F1415))=D1415,MONTH(DATE(D1415,E1415,F1415))=E1415,DAY(DATE(D1415,E1415,F1415))=F1415),DATE(D1415,E1415,F1415),""),"")</f>
        <v>46091</v>
      </c>
      <c r="H1415" s="1" t="str">
        <f>IF(Raw!D1415="","",Raw!D1415)</f>
        <v>P-H</v>
      </c>
      <c r="I1415" s="1" t="str">
        <f>IFERROR(IF(EXACT(H1415,INDEX(Guide!$A$7:$A$9,MATCH(SUBSTITUTE(SUBSTITUTE(SUBSTITUTE(H1415,"~","~~"),"*","~*"),"?","~?"),Guide!$A$7:$A$9,0))),INDEX(Guide!$B$7:$B$9,MATCH(SUBSTITUTE(SUBSTITUTE(SUBSTITUTE(H1415,"~","~~"),"*","~*"),"?","~?"),Guide!$A$7:$A$9,0)),""),"")</f>
        <v>Home</v>
      </c>
      <c r="J1415" s="1" t="str">
        <f>IF(TRIM(Raw!E1415)="",I1415,IF(UPPER(TRIM(Raw!E1415))=UPPER(I1415),I1415,""))</f>
        <v>Home</v>
      </c>
      <c r="K1415" s="1" t="str">
        <f>IF(Raw!F1415="","",Raw!F1415)</f>
        <v>sale</v>
      </c>
      <c r="L1415" s="1" t="str">
        <f>IF(LEFT(TRIM(Raw!G1415),2)="-$","-"&amp;MID(TRIM(Raw!G1415),3,99),IF(LEFT(TRIM(Raw!G1415),1)="$",MID(TRIM(Raw!G1415),2,99),TRIM(Raw!G1415)))</f>
        <v>91.90</v>
      </c>
      <c r="M1415" s="1">
        <f t="shared" ref="M1415:M1478" si="179">IFERROR(VALUE(L1415),"")</f>
        <v>91.9</v>
      </c>
      <c r="N1415" s="10">
        <f t="shared" ref="N1415:N1478" si="180">IF(AND(ISNUMBER(M1415),ABS(M1415*100-ROUND(M1415*100,0))&lt;0.0000001),ROUND(M1415*100,0),"")</f>
        <v>9190</v>
      </c>
      <c r="O1415" s="1" t="b">
        <f>IFERROR(IF(ISNUMBER(Raw!G1415),TRUE,OR(EXACT(L1415,TEXT(M1415,"0.00")),EXACT(L1415,TEXT(M1415,"#,##0.00")))),FALSE)</f>
        <v>1</v>
      </c>
      <c r="P1415" s="1" t="str">
        <f>LEN(IF(Raw!A1415="","",Raw!A1415))&amp;":"&amp;IF(Raw!A1415="","",Raw!A1415)&amp;"|"&amp;LEN(IF(Raw!B1415="","",Raw!B1415))&amp;":"&amp;IF(Raw!B1415="","",Raw!B1415)&amp;"|"&amp;LEN(IF(Raw!C1415="","",Raw!C1415))&amp;":"&amp;IF(Raw!C1415="","",Raw!C1415)&amp;"|"&amp;LEN(IF(Raw!D1415="","",Raw!D1415))&amp;":"&amp;IF(Raw!D1415="","",Raw!D1415)&amp;"|"&amp;LEN(IF(Raw!E1415="","",Raw!E1415))&amp;":"&amp;IF(Raw!E1415="","",Raw!E1415)&amp;"|"&amp;LEN(IF(Raw!F1415="","",Raw!F1415))&amp;":"&amp;IF(Raw!F1415="","",Raw!F1415)&amp;"|"&amp;LEN(IF(Raw!G1415="","",Raw!G1415))&amp;":"&amp;IF(Raw!G1415="","",Raw!G1415)</f>
        <v>6:L01409|6:T00705|10:2026-03-10|3:P-H|4:Home|4:sale|5:91.90</v>
      </c>
      <c r="Q1415" s="1">
        <f>1</f>
        <v>1</v>
      </c>
      <c r="R1415" s="1" t="b">
        <f>FALSE</f>
        <v>0</v>
      </c>
      <c r="S1415" s="1">
        <f>1</f>
        <v>1</v>
      </c>
      <c r="T1415" s="1" t="str">
        <f>IF(AND(Raw!A1415="",Raw!B1415="",Raw!C1415="",Raw!D1415="",Raw!E1415="",Raw!F1415="",Raw!G1415=""),"UNUSED",IF(A1415="","missing line ID",IF(B1415="","missing transaction ID",IF(G1415="",IF(C1415="","missing date","invalid date"),IF(I1415="","unknown product",IF(J1415="","conflicting category",IF(NOT(OR(EXACT(K1415,"sale"),EXACT(K1415,"refund"))),"unknown event",IF(OR(N1415="",NOT(O1415)),"invalid amount",IF(OR(AND(K1415="sale",N1415&lt;=0),AND(K1415="refund",N1415&gt;=0)),"invalid sign","")))))))))</f>
        <v/>
      </c>
      <c r="U1415" s="1" t="str">
        <f t="shared" ref="U1415:U1478" si="181">IF(T1415="UNUSED","UNUSED",IF(R1415,"QUARANTINE",IF(S1415&gt;1,"DUPLICATE",IF(T1415&lt;&gt;"","QUARANTINE","INCLUDED"))))</f>
        <v>INCLUDED</v>
      </c>
      <c r="V1415" s="1" t="str">
        <f t="shared" ref="V1415:V1478" si="182">IF(G1415="","",TEXT(G1415,"yyyy-mm"))</f>
        <v>2026-03</v>
      </c>
      <c r="W1415" s="1">
        <f>IF(AND(U1415="INCLUDED",X1415&gt;0,EXACT(A1415,'AI output'!A1415)),1,0)</f>
        <v>1</v>
      </c>
      <c r="X1415" s="1">
        <f>1415</f>
        <v>1415</v>
      </c>
      <c r="Y1415" s="1">
        <f>IF(AND(U1415="INCLUDED",W1415=1),--(NOT(EXACT(A1415,'AI output'!A1415)))+--(NOT(EXACT(B1415,'AI output'!B1415)))+--(NOT(EXACT(TEXT(G1415,"yyyy-mm-dd"),'AI output'!C1415)))+--(NOT(EXACT(H1415,'AI output'!D1415)))+--(NOT(EXACT(J1415,'AI output'!E1415)))+--(NOT(EXACT(K1415,'AI output'!F1415)))+--(N1415&lt;&gt;'AI output'!L1415)+--(NOT('AI output'!M1415)),0)</f>
        <v>0</v>
      </c>
      <c r="Z1415" s="1">
        <f t="shared" ref="Z1415:Z1478" si="183">IF(U1415="INCLUDED",IF(OR(W1415&lt;&gt;1,Y1415&lt;&gt;0),1,0),0)</f>
        <v>0</v>
      </c>
      <c r="AA1415" s="1">
        <f>--EXACT(A1415,"L01409")</f>
        <v>1</v>
      </c>
    </row>
    <row r="1416" spans="1:27" ht="18.95" customHeight="1">
      <c r="A1416" s="1" t="str">
        <f>IF(Raw!A1416="","",Raw!A1416)</f>
        <v>L01410</v>
      </c>
      <c r="B1416" s="1" t="str">
        <f>IF(Raw!B1416="","",Raw!B1416)</f>
        <v>T00705</v>
      </c>
      <c r="C1416" s="1" t="str">
        <f>IF(Raw!C1416="","",Raw!C1416)</f>
        <v>2026-03-10</v>
      </c>
      <c r="D1416" s="1">
        <f t="shared" si="176"/>
        <v>2026</v>
      </c>
      <c r="E1416" s="1">
        <f>IFERROR(IF(AND(LEN(C1416)=10,MID(C1416,5,1)="-",MID(C1416,8,1)="-"),VALUE(MID(C1416,6,2)),IF(AND(LEN(C1416)=11,MID(C1416,3,1)="-",MID(C1416,7,1)="-"),MATCH(UPPER(MID(C1416,4,3)),Guide!$D$7:$D$18,0),0)),0)</f>
        <v>3</v>
      </c>
      <c r="F1416" s="1">
        <f t="shared" si="177"/>
        <v>10</v>
      </c>
      <c r="G1416" s="9">
        <f t="shared" si="178"/>
        <v>46091</v>
      </c>
      <c r="H1416" s="1" t="str">
        <f>IF(Raw!D1416="","",Raw!D1416)</f>
        <v>P-O</v>
      </c>
      <c r="I1416" s="1" t="str">
        <f>IFERROR(IF(EXACT(H1416,INDEX(Guide!$A$7:$A$9,MATCH(SUBSTITUTE(SUBSTITUTE(SUBSTITUTE(H1416,"~","~~"),"*","~*"),"?","~?"),Guide!$A$7:$A$9,0))),INDEX(Guide!$B$7:$B$9,MATCH(SUBSTITUTE(SUBSTITUTE(SUBSTITUTE(H1416,"~","~~"),"*","~*"),"?","~?"),Guide!$A$7:$A$9,0)),""),"")</f>
        <v>Office</v>
      </c>
      <c r="J1416" s="1" t="str">
        <f>IF(TRIM(Raw!E1416)="",I1416,IF(UPPER(TRIM(Raw!E1416))=UPPER(I1416),I1416,""))</f>
        <v>Office</v>
      </c>
      <c r="K1416" s="1" t="str">
        <f>IF(Raw!F1416="","",Raw!F1416)</f>
        <v>sale</v>
      </c>
      <c r="L1416" s="1" t="str">
        <f>IF(LEFT(TRIM(Raw!G1416),2)="-$","-"&amp;MID(TRIM(Raw!G1416),3,99),IF(LEFT(TRIM(Raw!G1416),1)="$",MID(TRIM(Raw!G1416),2,99),TRIM(Raw!G1416)))</f>
        <v>185.28</v>
      </c>
      <c r="M1416" s="1">
        <f t="shared" si="179"/>
        <v>185.28</v>
      </c>
      <c r="N1416" s="10">
        <f t="shared" si="180"/>
        <v>18528</v>
      </c>
      <c r="O1416" s="1" t="b">
        <f>IFERROR(IF(ISNUMBER(Raw!G1416),TRUE,OR(EXACT(L1416,TEXT(M1416,"0.00")),EXACT(L1416,TEXT(M1416,"#,##0.00")))),FALSE)</f>
        <v>1</v>
      </c>
      <c r="P1416" s="1" t="str">
        <f>LEN(IF(Raw!A1416="","",Raw!A1416))&amp;":"&amp;IF(Raw!A1416="","",Raw!A1416)&amp;"|"&amp;LEN(IF(Raw!B1416="","",Raw!B1416))&amp;":"&amp;IF(Raw!B1416="","",Raw!B1416)&amp;"|"&amp;LEN(IF(Raw!C1416="","",Raw!C1416))&amp;":"&amp;IF(Raw!C1416="","",Raw!C1416)&amp;"|"&amp;LEN(IF(Raw!D1416="","",Raw!D1416))&amp;":"&amp;IF(Raw!D1416="","",Raw!D1416)&amp;"|"&amp;LEN(IF(Raw!E1416="","",Raw!E1416))&amp;":"&amp;IF(Raw!E1416="","",Raw!E1416)&amp;"|"&amp;LEN(IF(Raw!F1416="","",Raw!F1416))&amp;":"&amp;IF(Raw!F1416="","",Raw!F1416)&amp;"|"&amp;LEN(IF(Raw!G1416="","",Raw!G1416))&amp;":"&amp;IF(Raw!G1416="","",Raw!G1416)</f>
        <v>6:L01410|6:T00705|10:2026-03-10|3:P-O|6:Office|4:sale|6:185.28</v>
      </c>
      <c r="Q1416" s="1">
        <f>1</f>
        <v>1</v>
      </c>
      <c r="R1416" s="1" t="b">
        <f>FALSE</f>
        <v>0</v>
      </c>
      <c r="S1416" s="1">
        <f>1</f>
        <v>1</v>
      </c>
      <c r="T1416" s="1" t="str">
        <f>IF(AND(Raw!A1416="",Raw!B1416="",Raw!C1416="",Raw!D1416="",Raw!E1416="",Raw!F1416="",Raw!G1416=""),"UNUSED",IF(A1416="","missing line ID",IF(B1416="","missing transaction ID",IF(G1416="",IF(C1416="","missing date","invalid date"),IF(I1416="","unknown product",IF(J1416="","conflicting category",IF(NOT(OR(EXACT(K1416,"sale"),EXACT(K1416,"refund"))),"unknown event",IF(OR(N1416="",NOT(O1416)),"invalid amount",IF(OR(AND(K1416="sale",N1416&lt;=0),AND(K1416="refund",N1416&gt;=0)),"invalid sign","")))))))))</f>
        <v/>
      </c>
      <c r="U1416" s="1" t="str">
        <f t="shared" si="181"/>
        <v>INCLUDED</v>
      </c>
      <c r="V1416" s="1" t="str">
        <f t="shared" si="182"/>
        <v>2026-03</v>
      </c>
      <c r="W1416" s="1">
        <f>IF(AND(U1416="INCLUDED",X1416&gt;0,EXACT(A1416,'AI output'!A1416)),1,0)</f>
        <v>1</v>
      </c>
      <c r="X1416" s="1">
        <f>1416</f>
        <v>1416</v>
      </c>
      <c r="Y1416" s="1">
        <f>IF(AND(U1416="INCLUDED",W1416=1),--(NOT(EXACT(A1416,'AI output'!A1416)))+--(NOT(EXACT(B1416,'AI output'!B1416)))+--(NOT(EXACT(TEXT(G1416,"yyyy-mm-dd"),'AI output'!C1416)))+--(NOT(EXACT(H1416,'AI output'!D1416)))+--(NOT(EXACT(J1416,'AI output'!E1416)))+--(NOT(EXACT(K1416,'AI output'!F1416)))+--(N1416&lt;&gt;'AI output'!L1416)+--(NOT('AI output'!M1416)),0)</f>
        <v>0</v>
      </c>
      <c r="Z1416" s="1">
        <f t="shared" si="183"/>
        <v>0</v>
      </c>
      <c r="AA1416" s="1">
        <f>--EXACT(A1416,"L01410")</f>
        <v>1</v>
      </c>
    </row>
    <row r="1417" spans="1:27" ht="18.95" customHeight="1">
      <c r="A1417" s="1" t="str">
        <f>IF(Raw!A1417="","",Raw!A1417)</f>
        <v>L01411</v>
      </c>
      <c r="B1417" s="1" t="str">
        <f>IF(Raw!B1417="","",Raw!B1417)</f>
        <v>T00706</v>
      </c>
      <c r="C1417" s="1" t="str">
        <f>IF(Raw!C1417="","",Raw!C1417)</f>
        <v>2026-03-17</v>
      </c>
      <c r="D1417" s="1">
        <f t="shared" si="176"/>
        <v>2026</v>
      </c>
      <c r="E1417" s="1">
        <f>IFERROR(IF(AND(LEN(C1417)=10,MID(C1417,5,1)="-",MID(C1417,8,1)="-"),VALUE(MID(C1417,6,2)),IF(AND(LEN(C1417)=11,MID(C1417,3,1)="-",MID(C1417,7,1)="-"),MATCH(UPPER(MID(C1417,4,3)),Guide!$D$7:$D$18,0),0)),0)</f>
        <v>3</v>
      </c>
      <c r="F1417" s="1">
        <f t="shared" si="177"/>
        <v>17</v>
      </c>
      <c r="G1417" s="9">
        <f t="shared" si="178"/>
        <v>46098</v>
      </c>
      <c r="H1417" s="1" t="str">
        <f>IF(Raw!D1417="","",Raw!D1417)</f>
        <v>P-A</v>
      </c>
      <c r="I1417" s="1" t="str">
        <f>IFERROR(IF(EXACT(H1417,INDEX(Guide!$A$7:$A$9,MATCH(SUBSTITUTE(SUBSTITUTE(SUBSTITUTE(H1417,"~","~~"),"*","~*"),"?","~?"),Guide!$A$7:$A$9,0))),INDEX(Guide!$B$7:$B$9,MATCH(SUBSTITUTE(SUBSTITUTE(SUBSTITUTE(H1417,"~","~~"),"*","~*"),"?","~?"),Guide!$A$7:$A$9,0)),""),"")</f>
        <v>Accessories</v>
      </c>
      <c r="J1417" s="1" t="str">
        <f>IF(TRIM(Raw!E1417)="",I1417,IF(UPPER(TRIM(Raw!E1417))=UPPER(I1417),I1417,""))</f>
        <v>Accessories</v>
      </c>
      <c r="K1417" s="1" t="str">
        <f>IF(Raw!F1417="","",Raw!F1417)</f>
        <v>sale</v>
      </c>
      <c r="L1417" s="1" t="str">
        <f>IF(LEFT(TRIM(Raw!G1417),2)="-$","-"&amp;MID(TRIM(Raw!G1417),3,99),IF(LEFT(TRIM(Raw!G1417),1)="$",MID(TRIM(Raw!G1417),2,99),TRIM(Raw!G1417)))</f>
        <v>46.69</v>
      </c>
      <c r="M1417" s="1">
        <f t="shared" si="179"/>
        <v>46.69</v>
      </c>
      <c r="N1417" s="10">
        <f t="shared" si="180"/>
        <v>4669</v>
      </c>
      <c r="O1417" s="1" t="b">
        <f>IFERROR(IF(ISNUMBER(Raw!G1417),TRUE,OR(EXACT(L1417,TEXT(M1417,"0.00")),EXACT(L1417,TEXT(M1417,"#,##0.00")))),FALSE)</f>
        <v>1</v>
      </c>
      <c r="P1417" s="1" t="str">
        <f>LEN(IF(Raw!A1417="","",Raw!A1417))&amp;":"&amp;IF(Raw!A1417="","",Raw!A1417)&amp;"|"&amp;LEN(IF(Raw!B1417="","",Raw!B1417))&amp;":"&amp;IF(Raw!B1417="","",Raw!B1417)&amp;"|"&amp;LEN(IF(Raw!C1417="","",Raw!C1417))&amp;":"&amp;IF(Raw!C1417="","",Raw!C1417)&amp;"|"&amp;LEN(IF(Raw!D1417="","",Raw!D1417))&amp;":"&amp;IF(Raw!D1417="","",Raw!D1417)&amp;"|"&amp;LEN(IF(Raw!E1417="","",Raw!E1417))&amp;":"&amp;IF(Raw!E1417="","",Raw!E1417)&amp;"|"&amp;LEN(IF(Raw!F1417="","",Raw!F1417))&amp;":"&amp;IF(Raw!F1417="","",Raw!F1417)&amp;"|"&amp;LEN(IF(Raw!G1417="","",Raw!G1417))&amp;":"&amp;IF(Raw!G1417="","",Raw!G1417)</f>
        <v>6:L01411|6:T00706|10:2026-03-17|3:P-A|11:Accessories|4:sale|5:46.69</v>
      </c>
      <c r="Q1417" s="1">
        <f>1</f>
        <v>1</v>
      </c>
      <c r="R1417" s="1" t="b">
        <f>FALSE</f>
        <v>0</v>
      </c>
      <c r="S1417" s="1">
        <f>1</f>
        <v>1</v>
      </c>
      <c r="T1417" s="1" t="str">
        <f>IF(AND(Raw!A1417="",Raw!B1417="",Raw!C1417="",Raw!D1417="",Raw!E1417="",Raw!F1417="",Raw!G1417=""),"UNUSED",IF(A1417="","missing line ID",IF(B1417="","missing transaction ID",IF(G1417="",IF(C1417="","missing date","invalid date"),IF(I1417="","unknown product",IF(J1417="","conflicting category",IF(NOT(OR(EXACT(K1417,"sale"),EXACT(K1417,"refund"))),"unknown event",IF(OR(N1417="",NOT(O1417)),"invalid amount",IF(OR(AND(K1417="sale",N1417&lt;=0),AND(K1417="refund",N1417&gt;=0)),"invalid sign","")))))))))</f>
        <v/>
      </c>
      <c r="U1417" s="1" t="str">
        <f t="shared" si="181"/>
        <v>INCLUDED</v>
      </c>
      <c r="V1417" s="1" t="str">
        <f t="shared" si="182"/>
        <v>2026-03</v>
      </c>
      <c r="W1417" s="1">
        <f>IF(AND(U1417="INCLUDED",X1417&gt;0,EXACT(A1417,'AI output'!A1417)),1,0)</f>
        <v>1</v>
      </c>
      <c r="X1417" s="1">
        <f>1417</f>
        <v>1417</v>
      </c>
      <c r="Y1417" s="1">
        <f>IF(AND(U1417="INCLUDED",W1417=1),--(NOT(EXACT(A1417,'AI output'!A1417)))+--(NOT(EXACT(B1417,'AI output'!B1417)))+--(NOT(EXACT(TEXT(G1417,"yyyy-mm-dd"),'AI output'!C1417)))+--(NOT(EXACT(H1417,'AI output'!D1417)))+--(NOT(EXACT(J1417,'AI output'!E1417)))+--(NOT(EXACT(K1417,'AI output'!F1417)))+--(N1417&lt;&gt;'AI output'!L1417)+--(NOT('AI output'!M1417)),0)</f>
        <v>0</v>
      </c>
      <c r="Z1417" s="1">
        <f t="shared" si="183"/>
        <v>0</v>
      </c>
      <c r="AA1417" s="1">
        <f>--EXACT(A1417,"L01411")</f>
        <v>1</v>
      </c>
    </row>
    <row r="1418" spans="1:27" ht="18.95" customHeight="1">
      <c r="A1418" s="1" t="str">
        <f>IF(Raw!A1418="","",Raw!A1418)</f>
        <v>L01412</v>
      </c>
      <c r="B1418" s="1" t="str">
        <f>IF(Raw!B1418="","",Raw!B1418)</f>
        <v>T00706</v>
      </c>
      <c r="C1418" s="1" t="str">
        <f>IF(Raw!C1418="","",Raw!C1418)</f>
        <v>2026-03-17</v>
      </c>
      <c r="D1418" s="1">
        <f t="shared" si="176"/>
        <v>2026</v>
      </c>
      <c r="E1418" s="1">
        <f>IFERROR(IF(AND(LEN(C1418)=10,MID(C1418,5,1)="-",MID(C1418,8,1)="-"),VALUE(MID(C1418,6,2)),IF(AND(LEN(C1418)=11,MID(C1418,3,1)="-",MID(C1418,7,1)="-"),MATCH(UPPER(MID(C1418,4,3)),Guide!$D$7:$D$18,0),0)),0)</f>
        <v>3</v>
      </c>
      <c r="F1418" s="1">
        <f t="shared" si="177"/>
        <v>17</v>
      </c>
      <c r="G1418" s="9">
        <f t="shared" si="178"/>
        <v>46098</v>
      </c>
      <c r="H1418" s="1" t="str">
        <f>IF(Raw!D1418="","",Raw!D1418)</f>
        <v>P-H</v>
      </c>
      <c r="I1418" s="1" t="str">
        <f>IFERROR(IF(EXACT(H1418,INDEX(Guide!$A$7:$A$9,MATCH(SUBSTITUTE(SUBSTITUTE(SUBSTITUTE(H1418,"~","~~"),"*","~*"),"?","~?"),Guide!$A$7:$A$9,0))),INDEX(Guide!$B$7:$B$9,MATCH(SUBSTITUTE(SUBSTITUTE(SUBSTITUTE(H1418,"~","~~"),"*","~*"),"?","~?"),Guide!$A$7:$A$9,0)),""),"")</f>
        <v>Home</v>
      </c>
      <c r="J1418" s="1" t="str">
        <f>IF(TRIM(Raw!E1418)="",I1418,IF(UPPER(TRIM(Raw!E1418))=UPPER(I1418),I1418,""))</f>
        <v>Home</v>
      </c>
      <c r="K1418" s="1" t="str">
        <f>IF(Raw!F1418="","",Raw!F1418)</f>
        <v>sale</v>
      </c>
      <c r="L1418" s="1" t="str">
        <f>IF(LEFT(TRIM(Raw!G1418),2)="-$","-"&amp;MID(TRIM(Raw!G1418),3,99),IF(LEFT(TRIM(Raw!G1418),1)="$",MID(TRIM(Raw!G1418),2,99),TRIM(Raw!G1418)))</f>
        <v>141.18</v>
      </c>
      <c r="M1418" s="1">
        <f t="shared" si="179"/>
        <v>141.18</v>
      </c>
      <c r="N1418" s="10">
        <f t="shared" si="180"/>
        <v>14118</v>
      </c>
      <c r="O1418" s="1" t="b">
        <f>IFERROR(IF(ISNUMBER(Raw!G1418),TRUE,OR(EXACT(L1418,TEXT(M1418,"0.00")),EXACT(L1418,TEXT(M1418,"#,##0.00")))),FALSE)</f>
        <v>1</v>
      </c>
      <c r="P1418" s="1" t="str">
        <f>LEN(IF(Raw!A1418="","",Raw!A1418))&amp;":"&amp;IF(Raw!A1418="","",Raw!A1418)&amp;"|"&amp;LEN(IF(Raw!B1418="","",Raw!B1418))&amp;":"&amp;IF(Raw!B1418="","",Raw!B1418)&amp;"|"&amp;LEN(IF(Raw!C1418="","",Raw!C1418))&amp;":"&amp;IF(Raw!C1418="","",Raw!C1418)&amp;"|"&amp;LEN(IF(Raw!D1418="","",Raw!D1418))&amp;":"&amp;IF(Raw!D1418="","",Raw!D1418)&amp;"|"&amp;LEN(IF(Raw!E1418="","",Raw!E1418))&amp;":"&amp;IF(Raw!E1418="","",Raw!E1418)&amp;"|"&amp;LEN(IF(Raw!F1418="","",Raw!F1418))&amp;":"&amp;IF(Raw!F1418="","",Raw!F1418)&amp;"|"&amp;LEN(IF(Raw!G1418="","",Raw!G1418))&amp;":"&amp;IF(Raw!G1418="","",Raw!G1418)</f>
        <v>6:L01412|6:T00706|10:2026-03-17|3:P-H|4:Home|4:sale|6:141.18</v>
      </c>
      <c r="Q1418" s="1">
        <f>1</f>
        <v>1</v>
      </c>
      <c r="R1418" s="1" t="b">
        <f>FALSE</f>
        <v>0</v>
      </c>
      <c r="S1418" s="1">
        <f>1</f>
        <v>1</v>
      </c>
      <c r="T1418" s="1" t="str">
        <f>IF(AND(Raw!A1418="",Raw!B1418="",Raw!C1418="",Raw!D1418="",Raw!E1418="",Raw!F1418="",Raw!G1418=""),"UNUSED",IF(A1418="","missing line ID",IF(B1418="","missing transaction ID",IF(G1418="",IF(C1418="","missing date","invalid date"),IF(I1418="","unknown product",IF(J1418="","conflicting category",IF(NOT(OR(EXACT(K1418,"sale"),EXACT(K1418,"refund"))),"unknown event",IF(OR(N1418="",NOT(O1418)),"invalid amount",IF(OR(AND(K1418="sale",N1418&lt;=0),AND(K1418="refund",N1418&gt;=0)),"invalid sign","")))))))))</f>
        <v/>
      </c>
      <c r="U1418" s="1" t="str">
        <f t="shared" si="181"/>
        <v>INCLUDED</v>
      </c>
      <c r="V1418" s="1" t="str">
        <f t="shared" si="182"/>
        <v>2026-03</v>
      </c>
      <c r="W1418" s="1">
        <f>IF(AND(U1418="INCLUDED",X1418&gt;0,EXACT(A1418,'AI output'!A1418)),1,0)</f>
        <v>1</v>
      </c>
      <c r="X1418" s="1">
        <f>1418</f>
        <v>1418</v>
      </c>
      <c r="Y1418" s="1">
        <f>IF(AND(U1418="INCLUDED",W1418=1),--(NOT(EXACT(A1418,'AI output'!A1418)))+--(NOT(EXACT(B1418,'AI output'!B1418)))+--(NOT(EXACT(TEXT(G1418,"yyyy-mm-dd"),'AI output'!C1418)))+--(NOT(EXACT(H1418,'AI output'!D1418)))+--(NOT(EXACT(J1418,'AI output'!E1418)))+--(NOT(EXACT(K1418,'AI output'!F1418)))+--(N1418&lt;&gt;'AI output'!L1418)+--(NOT('AI output'!M1418)),0)</f>
        <v>0</v>
      </c>
      <c r="Z1418" s="1">
        <f t="shared" si="183"/>
        <v>0</v>
      </c>
      <c r="AA1418" s="1">
        <f>--EXACT(A1418,"L01412")</f>
        <v>1</v>
      </c>
    </row>
    <row r="1419" spans="1:27" ht="18.95" customHeight="1">
      <c r="A1419" s="1" t="str">
        <f>IF(Raw!A1419="","",Raw!A1419)</f>
        <v>L01413</v>
      </c>
      <c r="B1419" s="1" t="str">
        <f>IF(Raw!B1419="","",Raw!B1419)</f>
        <v>T00707</v>
      </c>
      <c r="C1419" s="1" t="str">
        <f>IF(Raw!C1419="","",Raw!C1419)</f>
        <v>2026-03-24</v>
      </c>
      <c r="D1419" s="1">
        <f t="shared" si="176"/>
        <v>2026</v>
      </c>
      <c r="E1419" s="1">
        <f>IFERROR(IF(AND(LEN(C1419)=10,MID(C1419,5,1)="-",MID(C1419,8,1)="-"),VALUE(MID(C1419,6,2)),IF(AND(LEN(C1419)=11,MID(C1419,3,1)="-",MID(C1419,7,1)="-"),MATCH(UPPER(MID(C1419,4,3)),Guide!$D$7:$D$18,0),0)),0)</f>
        <v>3</v>
      </c>
      <c r="F1419" s="1">
        <f t="shared" si="177"/>
        <v>24</v>
      </c>
      <c r="G1419" s="9">
        <f t="shared" si="178"/>
        <v>46105</v>
      </c>
      <c r="H1419" s="1" t="str">
        <f>IF(Raw!D1419="","",Raw!D1419)</f>
        <v>P-O</v>
      </c>
      <c r="I1419" s="1" t="str">
        <f>IFERROR(IF(EXACT(H1419,INDEX(Guide!$A$7:$A$9,MATCH(SUBSTITUTE(SUBSTITUTE(SUBSTITUTE(H1419,"~","~~"),"*","~*"),"?","~?"),Guide!$A$7:$A$9,0))),INDEX(Guide!$B$7:$B$9,MATCH(SUBSTITUTE(SUBSTITUTE(SUBSTITUTE(H1419,"~","~~"),"*","~*"),"?","~?"),Guide!$A$7:$A$9,0)),""),"")</f>
        <v>Office</v>
      </c>
      <c r="J1419" s="1" t="str">
        <f>IF(TRIM(Raw!E1419)="",I1419,IF(UPPER(TRIM(Raw!E1419))=UPPER(I1419),I1419,""))</f>
        <v>Office</v>
      </c>
      <c r="K1419" s="1" t="str">
        <f>IF(Raw!F1419="","",Raw!F1419)</f>
        <v>sale</v>
      </c>
      <c r="L1419" s="1" t="str">
        <f>IF(LEFT(TRIM(Raw!G1419),2)="-$","-"&amp;MID(TRIM(Raw!G1419),3,99),IF(LEFT(TRIM(Raw!G1419),1)="$",MID(TRIM(Raw!G1419),2,99),TRIM(Raw!G1419)))</f>
        <v>237.15</v>
      </c>
      <c r="M1419" s="1">
        <f t="shared" si="179"/>
        <v>237.15</v>
      </c>
      <c r="N1419" s="10">
        <f t="shared" si="180"/>
        <v>23715</v>
      </c>
      <c r="O1419" s="1" t="b">
        <f>IFERROR(IF(ISNUMBER(Raw!G1419),TRUE,OR(EXACT(L1419,TEXT(M1419,"0.00")),EXACT(L1419,TEXT(M1419,"#,##0.00")))),FALSE)</f>
        <v>1</v>
      </c>
      <c r="P1419" s="1" t="str">
        <f>LEN(IF(Raw!A1419="","",Raw!A1419))&amp;":"&amp;IF(Raw!A1419="","",Raw!A1419)&amp;"|"&amp;LEN(IF(Raw!B1419="","",Raw!B1419))&amp;":"&amp;IF(Raw!B1419="","",Raw!B1419)&amp;"|"&amp;LEN(IF(Raw!C1419="","",Raw!C1419))&amp;":"&amp;IF(Raw!C1419="","",Raw!C1419)&amp;"|"&amp;LEN(IF(Raw!D1419="","",Raw!D1419))&amp;":"&amp;IF(Raw!D1419="","",Raw!D1419)&amp;"|"&amp;LEN(IF(Raw!E1419="","",Raw!E1419))&amp;":"&amp;IF(Raw!E1419="","",Raw!E1419)&amp;"|"&amp;LEN(IF(Raw!F1419="","",Raw!F1419))&amp;":"&amp;IF(Raw!F1419="","",Raw!F1419)&amp;"|"&amp;LEN(IF(Raw!G1419="","",Raw!G1419))&amp;":"&amp;IF(Raw!G1419="","",Raw!G1419)</f>
        <v>6:L01413|6:T00707|10:2026-03-24|3:P-O|6:Office|4:sale|6:237.15</v>
      </c>
      <c r="Q1419" s="1">
        <f>1</f>
        <v>1</v>
      </c>
      <c r="R1419" s="1" t="b">
        <f>FALSE</f>
        <v>0</v>
      </c>
      <c r="S1419" s="1">
        <f>1</f>
        <v>1</v>
      </c>
      <c r="T1419" s="1" t="str">
        <f>IF(AND(Raw!A1419="",Raw!B1419="",Raw!C1419="",Raw!D1419="",Raw!E1419="",Raw!F1419="",Raw!G1419=""),"UNUSED",IF(A1419="","missing line ID",IF(B1419="","missing transaction ID",IF(G1419="",IF(C1419="","missing date","invalid date"),IF(I1419="","unknown product",IF(J1419="","conflicting category",IF(NOT(OR(EXACT(K1419,"sale"),EXACT(K1419,"refund"))),"unknown event",IF(OR(N1419="",NOT(O1419)),"invalid amount",IF(OR(AND(K1419="sale",N1419&lt;=0),AND(K1419="refund",N1419&gt;=0)),"invalid sign","")))))))))</f>
        <v/>
      </c>
      <c r="U1419" s="1" t="str">
        <f t="shared" si="181"/>
        <v>INCLUDED</v>
      </c>
      <c r="V1419" s="1" t="str">
        <f t="shared" si="182"/>
        <v>2026-03</v>
      </c>
      <c r="W1419" s="1">
        <f>IF(AND(U1419="INCLUDED",X1419&gt;0,EXACT(A1419,'AI output'!A1419)),1,0)</f>
        <v>1</v>
      </c>
      <c r="X1419" s="1">
        <f>1419</f>
        <v>1419</v>
      </c>
      <c r="Y1419" s="1">
        <f>IF(AND(U1419="INCLUDED",W1419=1),--(NOT(EXACT(A1419,'AI output'!A1419)))+--(NOT(EXACT(B1419,'AI output'!B1419)))+--(NOT(EXACT(TEXT(G1419,"yyyy-mm-dd"),'AI output'!C1419)))+--(NOT(EXACT(H1419,'AI output'!D1419)))+--(NOT(EXACT(J1419,'AI output'!E1419)))+--(NOT(EXACT(K1419,'AI output'!F1419)))+--(N1419&lt;&gt;'AI output'!L1419)+--(NOT('AI output'!M1419)),0)</f>
        <v>0</v>
      </c>
      <c r="Z1419" s="1">
        <f t="shared" si="183"/>
        <v>0</v>
      </c>
      <c r="AA1419" s="1">
        <f>--EXACT(A1419,"L01413")</f>
        <v>1</v>
      </c>
    </row>
    <row r="1420" spans="1:27" ht="18.95" customHeight="1">
      <c r="A1420" s="1" t="str">
        <f>IF(Raw!A1420="","",Raw!A1420)</f>
        <v>L01414</v>
      </c>
      <c r="B1420" s="1" t="str">
        <f>IF(Raw!B1420="","",Raw!B1420)</f>
        <v>T00707</v>
      </c>
      <c r="C1420" s="1" t="str">
        <f>IF(Raw!C1420="","",Raw!C1420)</f>
        <v>2026-03-24</v>
      </c>
      <c r="D1420" s="1">
        <f t="shared" si="176"/>
        <v>2026</v>
      </c>
      <c r="E1420" s="1">
        <f>IFERROR(IF(AND(LEN(C1420)=10,MID(C1420,5,1)="-",MID(C1420,8,1)="-"),VALUE(MID(C1420,6,2)),IF(AND(LEN(C1420)=11,MID(C1420,3,1)="-",MID(C1420,7,1)="-"),MATCH(UPPER(MID(C1420,4,3)),Guide!$D$7:$D$18,0),0)),0)</f>
        <v>3</v>
      </c>
      <c r="F1420" s="1">
        <f t="shared" si="177"/>
        <v>24</v>
      </c>
      <c r="G1420" s="9">
        <f t="shared" si="178"/>
        <v>46105</v>
      </c>
      <c r="H1420" s="1" t="str">
        <f>IF(Raw!D1420="","",Raw!D1420)</f>
        <v>P-A</v>
      </c>
      <c r="I1420" s="1" t="str">
        <f>IFERROR(IF(EXACT(H1420,INDEX(Guide!$A$7:$A$9,MATCH(SUBSTITUTE(SUBSTITUTE(SUBSTITUTE(H1420,"~","~~"),"*","~*"),"?","~?"),Guide!$A$7:$A$9,0))),INDEX(Guide!$B$7:$B$9,MATCH(SUBSTITUTE(SUBSTITUTE(SUBSTITUTE(H1420,"~","~~"),"*","~*"),"?","~?"),Guide!$A$7:$A$9,0)),""),"")</f>
        <v>Accessories</v>
      </c>
      <c r="J1420" s="1" t="str">
        <f>IF(TRIM(Raw!E1420)="",I1420,IF(UPPER(TRIM(Raw!E1420))=UPPER(I1420),I1420,""))</f>
        <v>Accessories</v>
      </c>
      <c r="K1420" s="1" t="str">
        <f>IF(Raw!F1420="","",Raw!F1420)</f>
        <v>sale</v>
      </c>
      <c r="L1420" s="1" t="str">
        <f>IF(LEFT(TRIM(Raw!G1420),2)="-$","-"&amp;MID(TRIM(Raw!G1420),3,99),IF(LEFT(TRIM(Raw!G1420),1)="$",MID(TRIM(Raw!G1420),2,99),TRIM(Raw!G1420)))</f>
        <v>95.60</v>
      </c>
      <c r="M1420" s="1">
        <f t="shared" si="179"/>
        <v>95.6</v>
      </c>
      <c r="N1420" s="10">
        <f t="shared" si="180"/>
        <v>9560</v>
      </c>
      <c r="O1420" s="1" t="b">
        <f>IFERROR(IF(ISNUMBER(Raw!G1420),TRUE,OR(EXACT(L1420,TEXT(M1420,"0.00")),EXACT(L1420,TEXT(M1420,"#,##0.00")))),FALSE)</f>
        <v>1</v>
      </c>
      <c r="P1420" s="1" t="str">
        <f>LEN(IF(Raw!A1420="","",Raw!A1420))&amp;":"&amp;IF(Raw!A1420="","",Raw!A1420)&amp;"|"&amp;LEN(IF(Raw!B1420="","",Raw!B1420))&amp;":"&amp;IF(Raw!B1420="","",Raw!B1420)&amp;"|"&amp;LEN(IF(Raw!C1420="","",Raw!C1420))&amp;":"&amp;IF(Raw!C1420="","",Raw!C1420)&amp;"|"&amp;LEN(IF(Raw!D1420="","",Raw!D1420))&amp;":"&amp;IF(Raw!D1420="","",Raw!D1420)&amp;"|"&amp;LEN(IF(Raw!E1420="","",Raw!E1420))&amp;":"&amp;IF(Raw!E1420="","",Raw!E1420)&amp;"|"&amp;LEN(IF(Raw!F1420="","",Raw!F1420))&amp;":"&amp;IF(Raw!F1420="","",Raw!F1420)&amp;"|"&amp;LEN(IF(Raw!G1420="","",Raw!G1420))&amp;":"&amp;IF(Raw!G1420="","",Raw!G1420)</f>
        <v>6:L01414|6:T00707|10:2026-03-24|3:P-A|11:Accessories|4:sale|5:95.60</v>
      </c>
      <c r="Q1420" s="1">
        <f>1</f>
        <v>1</v>
      </c>
      <c r="R1420" s="1" t="b">
        <f>FALSE</f>
        <v>0</v>
      </c>
      <c r="S1420" s="1">
        <f>1</f>
        <v>1</v>
      </c>
      <c r="T1420" s="1" t="str">
        <f>IF(AND(Raw!A1420="",Raw!B1420="",Raw!C1420="",Raw!D1420="",Raw!E1420="",Raw!F1420="",Raw!G1420=""),"UNUSED",IF(A1420="","missing line ID",IF(B1420="","missing transaction ID",IF(G1420="",IF(C1420="","missing date","invalid date"),IF(I1420="","unknown product",IF(J1420="","conflicting category",IF(NOT(OR(EXACT(K1420,"sale"),EXACT(K1420,"refund"))),"unknown event",IF(OR(N1420="",NOT(O1420)),"invalid amount",IF(OR(AND(K1420="sale",N1420&lt;=0),AND(K1420="refund",N1420&gt;=0)),"invalid sign","")))))))))</f>
        <v/>
      </c>
      <c r="U1420" s="1" t="str">
        <f t="shared" si="181"/>
        <v>INCLUDED</v>
      </c>
      <c r="V1420" s="1" t="str">
        <f t="shared" si="182"/>
        <v>2026-03</v>
      </c>
      <c r="W1420" s="1">
        <f>IF(AND(U1420="INCLUDED",X1420&gt;0,EXACT(A1420,'AI output'!A1420)),1,0)</f>
        <v>1</v>
      </c>
      <c r="X1420" s="1">
        <f>1420</f>
        <v>1420</v>
      </c>
      <c r="Y1420" s="1">
        <f>IF(AND(U1420="INCLUDED",W1420=1),--(NOT(EXACT(A1420,'AI output'!A1420)))+--(NOT(EXACT(B1420,'AI output'!B1420)))+--(NOT(EXACT(TEXT(G1420,"yyyy-mm-dd"),'AI output'!C1420)))+--(NOT(EXACT(H1420,'AI output'!D1420)))+--(NOT(EXACT(J1420,'AI output'!E1420)))+--(NOT(EXACT(K1420,'AI output'!F1420)))+--(N1420&lt;&gt;'AI output'!L1420)+--(NOT('AI output'!M1420)),0)</f>
        <v>0</v>
      </c>
      <c r="Z1420" s="1">
        <f t="shared" si="183"/>
        <v>0</v>
      </c>
      <c r="AA1420" s="1">
        <f>--EXACT(A1420,"L01414")</f>
        <v>1</v>
      </c>
    </row>
    <row r="1421" spans="1:27" ht="18.95" customHeight="1">
      <c r="A1421" s="1" t="str">
        <f>IF(Raw!A1421="","",Raw!A1421)</f>
        <v>L01415</v>
      </c>
      <c r="B1421" s="1" t="str">
        <f>IF(Raw!B1421="","",Raw!B1421)</f>
        <v>T00708</v>
      </c>
      <c r="C1421" s="1" t="str">
        <f>IF(Raw!C1421="","",Raw!C1421)</f>
        <v>2026-03-31</v>
      </c>
      <c r="D1421" s="1">
        <f t="shared" si="176"/>
        <v>2026</v>
      </c>
      <c r="E1421" s="1">
        <f>IFERROR(IF(AND(LEN(C1421)=10,MID(C1421,5,1)="-",MID(C1421,8,1)="-"),VALUE(MID(C1421,6,2)),IF(AND(LEN(C1421)=11,MID(C1421,3,1)="-",MID(C1421,7,1)="-"),MATCH(UPPER(MID(C1421,4,3)),Guide!$D$7:$D$18,0),0)),0)</f>
        <v>3</v>
      </c>
      <c r="F1421" s="1">
        <f t="shared" si="177"/>
        <v>31</v>
      </c>
      <c r="G1421" s="9">
        <f t="shared" si="178"/>
        <v>46112</v>
      </c>
      <c r="H1421" s="1" t="str">
        <f>IF(Raw!D1421="","",Raw!D1421)</f>
        <v>P-H</v>
      </c>
      <c r="I1421" s="1" t="str">
        <f>IFERROR(IF(EXACT(H1421,INDEX(Guide!$A$7:$A$9,MATCH(SUBSTITUTE(SUBSTITUTE(SUBSTITUTE(H1421,"~","~~"),"*","~*"),"?","~?"),Guide!$A$7:$A$9,0))),INDEX(Guide!$B$7:$B$9,MATCH(SUBSTITUTE(SUBSTITUTE(SUBSTITUTE(H1421,"~","~~"),"*","~*"),"?","~?"),Guide!$A$7:$A$9,0)),""),"")</f>
        <v>Home</v>
      </c>
      <c r="J1421" s="1" t="str">
        <f>IF(TRIM(Raw!E1421)="",I1421,IF(UPPER(TRIM(Raw!E1421))=UPPER(I1421),I1421,""))</f>
        <v>Home</v>
      </c>
      <c r="K1421" s="1" t="str">
        <f>IF(Raw!F1421="","",Raw!F1421)</f>
        <v>sale</v>
      </c>
      <c r="L1421" s="1" t="str">
        <f>IF(LEFT(TRIM(Raw!G1421),2)="-$","-"&amp;MID(TRIM(Raw!G1421),3,99),IF(LEFT(TRIM(Raw!G1421),1)="$",MID(TRIM(Raw!G1421),2,99),TRIM(Raw!G1421)))</f>
        <v>192.68</v>
      </c>
      <c r="M1421" s="1">
        <f t="shared" si="179"/>
        <v>192.68</v>
      </c>
      <c r="N1421" s="10">
        <f t="shared" si="180"/>
        <v>19268</v>
      </c>
      <c r="O1421" s="1" t="b">
        <f>IFERROR(IF(ISNUMBER(Raw!G1421),TRUE,OR(EXACT(L1421,TEXT(M1421,"0.00")),EXACT(L1421,TEXT(M1421,"#,##0.00")))),FALSE)</f>
        <v>1</v>
      </c>
      <c r="P1421" s="1" t="str">
        <f>LEN(IF(Raw!A1421="","",Raw!A1421))&amp;":"&amp;IF(Raw!A1421="","",Raw!A1421)&amp;"|"&amp;LEN(IF(Raw!B1421="","",Raw!B1421))&amp;":"&amp;IF(Raw!B1421="","",Raw!B1421)&amp;"|"&amp;LEN(IF(Raw!C1421="","",Raw!C1421))&amp;":"&amp;IF(Raw!C1421="","",Raw!C1421)&amp;"|"&amp;LEN(IF(Raw!D1421="","",Raw!D1421))&amp;":"&amp;IF(Raw!D1421="","",Raw!D1421)&amp;"|"&amp;LEN(IF(Raw!E1421="","",Raw!E1421))&amp;":"&amp;IF(Raw!E1421="","",Raw!E1421)&amp;"|"&amp;LEN(IF(Raw!F1421="","",Raw!F1421))&amp;":"&amp;IF(Raw!F1421="","",Raw!F1421)&amp;"|"&amp;LEN(IF(Raw!G1421="","",Raw!G1421))&amp;":"&amp;IF(Raw!G1421="","",Raw!G1421)</f>
        <v>6:L01415|6:T00708|10:2026-03-31|3:P-H|4:Home|4:sale|6:192.68</v>
      </c>
      <c r="Q1421" s="1">
        <f>1</f>
        <v>1</v>
      </c>
      <c r="R1421" s="1" t="b">
        <f>FALSE</f>
        <v>0</v>
      </c>
      <c r="S1421" s="1">
        <f>1</f>
        <v>1</v>
      </c>
      <c r="T1421" s="1" t="str">
        <f>IF(AND(Raw!A1421="",Raw!B1421="",Raw!C1421="",Raw!D1421="",Raw!E1421="",Raw!F1421="",Raw!G1421=""),"UNUSED",IF(A1421="","missing line ID",IF(B1421="","missing transaction ID",IF(G1421="",IF(C1421="","missing date","invalid date"),IF(I1421="","unknown product",IF(J1421="","conflicting category",IF(NOT(OR(EXACT(K1421,"sale"),EXACT(K1421,"refund"))),"unknown event",IF(OR(N1421="",NOT(O1421)),"invalid amount",IF(OR(AND(K1421="sale",N1421&lt;=0),AND(K1421="refund",N1421&gt;=0)),"invalid sign","")))))))))</f>
        <v/>
      </c>
      <c r="U1421" s="1" t="str">
        <f t="shared" si="181"/>
        <v>INCLUDED</v>
      </c>
      <c r="V1421" s="1" t="str">
        <f t="shared" si="182"/>
        <v>2026-03</v>
      </c>
      <c r="W1421" s="1">
        <f>IF(AND(U1421="INCLUDED",X1421&gt;0,EXACT(A1421,'AI output'!A1421)),1,0)</f>
        <v>1</v>
      </c>
      <c r="X1421" s="1">
        <f>1421</f>
        <v>1421</v>
      </c>
      <c r="Y1421" s="1">
        <f>IF(AND(U1421="INCLUDED",W1421=1),--(NOT(EXACT(A1421,'AI output'!A1421)))+--(NOT(EXACT(B1421,'AI output'!B1421)))+--(NOT(EXACT(TEXT(G1421,"yyyy-mm-dd"),'AI output'!C1421)))+--(NOT(EXACT(H1421,'AI output'!D1421)))+--(NOT(EXACT(J1421,'AI output'!E1421)))+--(NOT(EXACT(K1421,'AI output'!F1421)))+--(N1421&lt;&gt;'AI output'!L1421)+--(NOT('AI output'!M1421)),0)</f>
        <v>0</v>
      </c>
      <c r="Z1421" s="1">
        <f t="shared" si="183"/>
        <v>0</v>
      </c>
      <c r="AA1421" s="1">
        <f>--EXACT(A1421,"L01415")</f>
        <v>1</v>
      </c>
    </row>
    <row r="1422" spans="1:27" ht="18.95" customHeight="1">
      <c r="A1422" s="1" t="str">
        <f>IF(Raw!A1422="","",Raw!A1422)</f>
        <v>L01416</v>
      </c>
      <c r="B1422" s="1" t="str">
        <f>IF(Raw!B1422="","",Raw!B1422)</f>
        <v>T00708</v>
      </c>
      <c r="C1422" s="1" t="str">
        <f>IF(Raw!C1422="","",Raw!C1422)</f>
        <v>2026-03-31</v>
      </c>
      <c r="D1422" s="1">
        <f t="shared" si="176"/>
        <v>2026</v>
      </c>
      <c r="E1422" s="1">
        <f>IFERROR(IF(AND(LEN(C1422)=10,MID(C1422,5,1)="-",MID(C1422,8,1)="-"),VALUE(MID(C1422,6,2)),IF(AND(LEN(C1422)=11,MID(C1422,3,1)="-",MID(C1422,7,1)="-"),MATCH(UPPER(MID(C1422,4,3)),Guide!$D$7:$D$18,0),0)),0)</f>
        <v>3</v>
      </c>
      <c r="F1422" s="1">
        <f t="shared" si="177"/>
        <v>31</v>
      </c>
      <c r="G1422" s="9">
        <f t="shared" si="178"/>
        <v>46112</v>
      </c>
      <c r="H1422" s="1" t="str">
        <f>IF(Raw!D1422="","",Raw!D1422)</f>
        <v>P-O</v>
      </c>
      <c r="I1422" s="1" t="str">
        <f>IFERROR(IF(EXACT(H1422,INDEX(Guide!$A$7:$A$9,MATCH(SUBSTITUTE(SUBSTITUTE(SUBSTITUTE(H1422,"~","~~"),"*","~*"),"?","~?"),Guide!$A$7:$A$9,0))),INDEX(Guide!$B$7:$B$9,MATCH(SUBSTITUTE(SUBSTITUTE(SUBSTITUTE(H1422,"~","~~"),"*","~*"),"?","~?"),Guide!$A$7:$A$9,0)),""),"")</f>
        <v>Office</v>
      </c>
      <c r="J1422" s="1" t="str">
        <f>IF(TRIM(Raw!E1422)="",I1422,IF(UPPER(TRIM(Raw!E1422))=UPPER(I1422),I1422,""))</f>
        <v>Office</v>
      </c>
      <c r="K1422" s="1" t="str">
        <f>IF(Raw!F1422="","",Raw!F1422)</f>
        <v>sale</v>
      </c>
      <c r="L1422" s="1" t="str">
        <f>IF(LEFT(TRIM(Raw!G1422),2)="-$","-"&amp;MID(TRIM(Raw!G1422),3,99),IF(LEFT(TRIM(Raw!G1422),1)="$",MID(TRIM(Raw!G1422),2,99),TRIM(Raw!G1422)))</f>
        <v>48.54</v>
      </c>
      <c r="M1422" s="1">
        <f t="shared" si="179"/>
        <v>48.54</v>
      </c>
      <c r="N1422" s="10">
        <f t="shared" si="180"/>
        <v>4854</v>
      </c>
      <c r="O1422" s="1" t="b">
        <f>IFERROR(IF(ISNUMBER(Raw!G1422),TRUE,OR(EXACT(L1422,TEXT(M1422,"0.00")),EXACT(L1422,TEXT(M1422,"#,##0.00")))),FALSE)</f>
        <v>1</v>
      </c>
      <c r="P1422" s="1" t="str">
        <f>LEN(IF(Raw!A1422="","",Raw!A1422))&amp;":"&amp;IF(Raw!A1422="","",Raw!A1422)&amp;"|"&amp;LEN(IF(Raw!B1422="","",Raw!B1422))&amp;":"&amp;IF(Raw!B1422="","",Raw!B1422)&amp;"|"&amp;LEN(IF(Raw!C1422="","",Raw!C1422))&amp;":"&amp;IF(Raw!C1422="","",Raw!C1422)&amp;"|"&amp;LEN(IF(Raw!D1422="","",Raw!D1422))&amp;":"&amp;IF(Raw!D1422="","",Raw!D1422)&amp;"|"&amp;LEN(IF(Raw!E1422="","",Raw!E1422))&amp;":"&amp;IF(Raw!E1422="","",Raw!E1422)&amp;"|"&amp;LEN(IF(Raw!F1422="","",Raw!F1422))&amp;":"&amp;IF(Raw!F1422="","",Raw!F1422)&amp;"|"&amp;LEN(IF(Raw!G1422="","",Raw!G1422))&amp;":"&amp;IF(Raw!G1422="","",Raw!G1422)</f>
        <v>6:L01416|6:T00708|10:2026-03-31|3:P-O|6:Office|4:sale|5:48.54</v>
      </c>
      <c r="Q1422" s="1">
        <f>1</f>
        <v>1</v>
      </c>
      <c r="R1422" s="1" t="b">
        <f>FALSE</f>
        <v>0</v>
      </c>
      <c r="S1422" s="1">
        <f>1</f>
        <v>1</v>
      </c>
      <c r="T1422" s="1" t="str">
        <f>IF(AND(Raw!A1422="",Raw!B1422="",Raw!C1422="",Raw!D1422="",Raw!E1422="",Raw!F1422="",Raw!G1422=""),"UNUSED",IF(A1422="","missing line ID",IF(B1422="","missing transaction ID",IF(G1422="",IF(C1422="","missing date","invalid date"),IF(I1422="","unknown product",IF(J1422="","conflicting category",IF(NOT(OR(EXACT(K1422,"sale"),EXACT(K1422,"refund"))),"unknown event",IF(OR(N1422="",NOT(O1422)),"invalid amount",IF(OR(AND(K1422="sale",N1422&lt;=0),AND(K1422="refund",N1422&gt;=0)),"invalid sign","")))))))))</f>
        <v/>
      </c>
      <c r="U1422" s="1" t="str">
        <f t="shared" si="181"/>
        <v>INCLUDED</v>
      </c>
      <c r="V1422" s="1" t="str">
        <f t="shared" si="182"/>
        <v>2026-03</v>
      </c>
      <c r="W1422" s="1">
        <f>IF(AND(U1422="INCLUDED",X1422&gt;0,EXACT(A1422,'AI output'!A1422)),1,0)</f>
        <v>1</v>
      </c>
      <c r="X1422" s="1">
        <f>1422</f>
        <v>1422</v>
      </c>
      <c r="Y1422" s="1">
        <f>IF(AND(U1422="INCLUDED",W1422=1),--(NOT(EXACT(A1422,'AI output'!A1422)))+--(NOT(EXACT(B1422,'AI output'!B1422)))+--(NOT(EXACT(TEXT(G1422,"yyyy-mm-dd"),'AI output'!C1422)))+--(NOT(EXACT(H1422,'AI output'!D1422)))+--(NOT(EXACT(J1422,'AI output'!E1422)))+--(NOT(EXACT(K1422,'AI output'!F1422)))+--(N1422&lt;&gt;'AI output'!L1422)+--(NOT('AI output'!M1422)),0)</f>
        <v>0</v>
      </c>
      <c r="Z1422" s="1">
        <f t="shared" si="183"/>
        <v>0</v>
      </c>
      <c r="AA1422" s="1">
        <f>--EXACT(A1422,"L01416")</f>
        <v>1</v>
      </c>
    </row>
    <row r="1423" spans="1:27" ht="18.95" customHeight="1">
      <c r="A1423" s="1" t="str">
        <f>IF(Raw!A1423="","",Raw!A1423)</f>
        <v>L01417</v>
      </c>
      <c r="B1423" s="1" t="str">
        <f>IF(Raw!B1423="","",Raw!B1423)</f>
        <v>T00709</v>
      </c>
      <c r="C1423" s="1" t="str">
        <f>IF(Raw!C1423="","",Raw!C1423)</f>
        <v>2026-01-07</v>
      </c>
      <c r="D1423" s="1">
        <f t="shared" si="176"/>
        <v>2026</v>
      </c>
      <c r="E1423" s="1">
        <f>IFERROR(IF(AND(LEN(C1423)=10,MID(C1423,5,1)="-",MID(C1423,8,1)="-"),VALUE(MID(C1423,6,2)),IF(AND(LEN(C1423)=11,MID(C1423,3,1)="-",MID(C1423,7,1)="-"),MATCH(UPPER(MID(C1423,4,3)),Guide!$D$7:$D$18,0),0)),0)</f>
        <v>1</v>
      </c>
      <c r="F1423" s="1">
        <f t="shared" si="177"/>
        <v>7</v>
      </c>
      <c r="G1423" s="9">
        <f t="shared" si="178"/>
        <v>46029</v>
      </c>
      <c r="H1423" s="1" t="str">
        <f>IF(Raw!D1423="","",Raw!D1423)</f>
        <v>P-A</v>
      </c>
      <c r="I1423" s="1" t="str">
        <f>IFERROR(IF(EXACT(H1423,INDEX(Guide!$A$7:$A$9,MATCH(SUBSTITUTE(SUBSTITUTE(SUBSTITUTE(H1423,"~","~~"),"*","~*"),"?","~?"),Guide!$A$7:$A$9,0))),INDEX(Guide!$B$7:$B$9,MATCH(SUBSTITUTE(SUBSTITUTE(SUBSTITUTE(H1423,"~","~~"),"*","~*"),"?","~?"),Guide!$A$7:$A$9,0)),""),"")</f>
        <v>Accessories</v>
      </c>
      <c r="J1423" s="1" t="str">
        <f>IF(TRIM(Raw!E1423)="",I1423,IF(UPPER(TRIM(Raw!E1423))=UPPER(I1423),I1423,""))</f>
        <v>Accessories</v>
      </c>
      <c r="K1423" s="1" t="str">
        <f>IF(Raw!F1423="","",Raw!F1423)</f>
        <v>sale</v>
      </c>
      <c r="L1423" s="1" t="str">
        <f>IF(LEFT(TRIM(Raw!G1423),2)="-$","-"&amp;MID(TRIM(Raw!G1423),3,99),IF(LEFT(TRIM(Raw!G1423),1)="$",MID(TRIM(Raw!G1423),2,99),TRIM(Raw!G1423)))</f>
        <v>146.73</v>
      </c>
      <c r="M1423" s="1">
        <f t="shared" si="179"/>
        <v>146.72999999999999</v>
      </c>
      <c r="N1423" s="10">
        <f t="shared" si="180"/>
        <v>14673</v>
      </c>
      <c r="O1423" s="1" t="b">
        <f>IFERROR(IF(ISNUMBER(Raw!G1423),TRUE,OR(EXACT(L1423,TEXT(M1423,"0.00")),EXACT(L1423,TEXT(M1423,"#,##0.00")))),FALSE)</f>
        <v>1</v>
      </c>
      <c r="P1423" s="1" t="str">
        <f>LEN(IF(Raw!A1423="","",Raw!A1423))&amp;":"&amp;IF(Raw!A1423="","",Raw!A1423)&amp;"|"&amp;LEN(IF(Raw!B1423="","",Raw!B1423))&amp;":"&amp;IF(Raw!B1423="","",Raw!B1423)&amp;"|"&amp;LEN(IF(Raw!C1423="","",Raw!C1423))&amp;":"&amp;IF(Raw!C1423="","",Raw!C1423)&amp;"|"&amp;LEN(IF(Raw!D1423="","",Raw!D1423))&amp;":"&amp;IF(Raw!D1423="","",Raw!D1423)&amp;"|"&amp;LEN(IF(Raw!E1423="","",Raw!E1423))&amp;":"&amp;IF(Raw!E1423="","",Raw!E1423)&amp;"|"&amp;LEN(IF(Raw!F1423="","",Raw!F1423))&amp;":"&amp;IF(Raw!F1423="","",Raw!F1423)&amp;"|"&amp;LEN(IF(Raw!G1423="","",Raw!G1423))&amp;":"&amp;IF(Raw!G1423="","",Raw!G1423)</f>
        <v>6:L01417|6:T00709|10:2026-01-07|3:P-A|11:Accessories|4:sale|6:146.73</v>
      </c>
      <c r="Q1423" s="1">
        <f>1</f>
        <v>1</v>
      </c>
      <c r="R1423" s="1" t="b">
        <f>FALSE</f>
        <v>0</v>
      </c>
      <c r="S1423" s="1">
        <f>1</f>
        <v>1</v>
      </c>
      <c r="T1423" s="1" t="str">
        <f>IF(AND(Raw!A1423="",Raw!B1423="",Raw!C1423="",Raw!D1423="",Raw!E1423="",Raw!F1423="",Raw!G1423=""),"UNUSED",IF(A1423="","missing line ID",IF(B1423="","missing transaction ID",IF(G1423="",IF(C1423="","missing date","invalid date"),IF(I1423="","unknown product",IF(J1423="","conflicting category",IF(NOT(OR(EXACT(K1423,"sale"),EXACT(K1423,"refund"))),"unknown event",IF(OR(N1423="",NOT(O1423)),"invalid amount",IF(OR(AND(K1423="sale",N1423&lt;=0),AND(K1423="refund",N1423&gt;=0)),"invalid sign","")))))))))</f>
        <v/>
      </c>
      <c r="U1423" s="1" t="str">
        <f t="shared" si="181"/>
        <v>INCLUDED</v>
      </c>
      <c r="V1423" s="1" t="str">
        <f t="shared" si="182"/>
        <v>2026-01</v>
      </c>
      <c r="W1423" s="1">
        <f>IF(AND(U1423="INCLUDED",X1423&gt;0,EXACT(A1423,'AI output'!A1423)),1,0)</f>
        <v>1</v>
      </c>
      <c r="X1423" s="1">
        <f>1423</f>
        <v>1423</v>
      </c>
      <c r="Y1423" s="1">
        <f>IF(AND(U1423="INCLUDED",W1423=1),--(NOT(EXACT(A1423,'AI output'!A1423)))+--(NOT(EXACT(B1423,'AI output'!B1423)))+--(NOT(EXACT(TEXT(G1423,"yyyy-mm-dd"),'AI output'!C1423)))+--(NOT(EXACT(H1423,'AI output'!D1423)))+--(NOT(EXACT(J1423,'AI output'!E1423)))+--(NOT(EXACT(K1423,'AI output'!F1423)))+--(N1423&lt;&gt;'AI output'!L1423)+--(NOT('AI output'!M1423)),0)</f>
        <v>0</v>
      </c>
      <c r="Z1423" s="1">
        <f t="shared" si="183"/>
        <v>0</v>
      </c>
      <c r="AA1423" s="1">
        <f>--EXACT(A1423,"L01417")</f>
        <v>1</v>
      </c>
    </row>
    <row r="1424" spans="1:27" ht="18.95" customHeight="1">
      <c r="A1424" s="1" t="str">
        <f>IF(Raw!A1424="","",Raw!A1424)</f>
        <v>L01418</v>
      </c>
      <c r="B1424" s="1" t="str">
        <f>IF(Raw!B1424="","",Raw!B1424)</f>
        <v>T00709</v>
      </c>
      <c r="C1424" s="1" t="str">
        <f>IF(Raw!C1424="","",Raw!C1424)</f>
        <v>2026-01-07</v>
      </c>
      <c r="D1424" s="1">
        <f t="shared" si="176"/>
        <v>2026</v>
      </c>
      <c r="E1424" s="1">
        <f>IFERROR(IF(AND(LEN(C1424)=10,MID(C1424,5,1)="-",MID(C1424,8,1)="-"),VALUE(MID(C1424,6,2)),IF(AND(LEN(C1424)=11,MID(C1424,3,1)="-",MID(C1424,7,1)="-"),MATCH(UPPER(MID(C1424,4,3)),Guide!$D$7:$D$18,0),0)),0)</f>
        <v>1</v>
      </c>
      <c r="F1424" s="1">
        <f t="shared" si="177"/>
        <v>7</v>
      </c>
      <c r="G1424" s="9">
        <f t="shared" si="178"/>
        <v>46029</v>
      </c>
      <c r="H1424" s="1" t="str">
        <f>IF(Raw!D1424="","",Raw!D1424)</f>
        <v>P-H</v>
      </c>
      <c r="I1424" s="1" t="str">
        <f>IFERROR(IF(EXACT(H1424,INDEX(Guide!$A$7:$A$9,MATCH(SUBSTITUTE(SUBSTITUTE(SUBSTITUTE(H1424,"~","~~"),"*","~*"),"?","~?"),Guide!$A$7:$A$9,0))),INDEX(Guide!$B$7:$B$9,MATCH(SUBSTITUTE(SUBSTITUTE(SUBSTITUTE(H1424,"~","~~"),"*","~*"),"?","~?"),Guide!$A$7:$A$9,0)),""),"")</f>
        <v>Home</v>
      </c>
      <c r="J1424" s="1" t="str">
        <f>IF(TRIM(Raw!E1424)="",I1424,IF(UPPER(TRIM(Raw!E1424))=UPPER(I1424),I1424,""))</f>
        <v>Home</v>
      </c>
      <c r="K1424" s="1" t="str">
        <f>IF(Raw!F1424="","",Raw!F1424)</f>
        <v>sale</v>
      </c>
      <c r="L1424" s="1" t="str">
        <f>IF(LEFT(TRIM(Raw!G1424),2)="-$","-"&amp;MID(TRIM(Raw!G1424),3,99),IF(LEFT(TRIM(Raw!G1424),1)="$",MID(TRIM(Raw!G1424),2,99),TRIM(Raw!G1424)))</f>
        <v>246.40</v>
      </c>
      <c r="M1424" s="1">
        <f t="shared" si="179"/>
        <v>246.4</v>
      </c>
      <c r="N1424" s="10">
        <f t="shared" si="180"/>
        <v>24640</v>
      </c>
      <c r="O1424" s="1" t="b">
        <f>IFERROR(IF(ISNUMBER(Raw!G1424),TRUE,OR(EXACT(L1424,TEXT(M1424,"0.00")),EXACT(L1424,TEXT(M1424,"#,##0.00")))),FALSE)</f>
        <v>1</v>
      </c>
      <c r="P1424" s="1" t="str">
        <f>LEN(IF(Raw!A1424="","",Raw!A1424))&amp;":"&amp;IF(Raw!A1424="","",Raw!A1424)&amp;"|"&amp;LEN(IF(Raw!B1424="","",Raw!B1424))&amp;":"&amp;IF(Raw!B1424="","",Raw!B1424)&amp;"|"&amp;LEN(IF(Raw!C1424="","",Raw!C1424))&amp;":"&amp;IF(Raw!C1424="","",Raw!C1424)&amp;"|"&amp;LEN(IF(Raw!D1424="","",Raw!D1424))&amp;":"&amp;IF(Raw!D1424="","",Raw!D1424)&amp;"|"&amp;LEN(IF(Raw!E1424="","",Raw!E1424))&amp;":"&amp;IF(Raw!E1424="","",Raw!E1424)&amp;"|"&amp;LEN(IF(Raw!F1424="","",Raw!F1424))&amp;":"&amp;IF(Raw!F1424="","",Raw!F1424)&amp;"|"&amp;LEN(IF(Raw!G1424="","",Raw!G1424))&amp;":"&amp;IF(Raw!G1424="","",Raw!G1424)</f>
        <v>6:L01418|6:T00709|10:2026-01-07|3:P-H|4:Home|4:sale|6:246.40</v>
      </c>
      <c r="Q1424" s="1">
        <f>1</f>
        <v>1</v>
      </c>
      <c r="R1424" s="1" t="b">
        <f>FALSE</f>
        <v>0</v>
      </c>
      <c r="S1424" s="1">
        <f>1</f>
        <v>1</v>
      </c>
      <c r="T1424" s="1" t="str">
        <f>IF(AND(Raw!A1424="",Raw!B1424="",Raw!C1424="",Raw!D1424="",Raw!E1424="",Raw!F1424="",Raw!G1424=""),"UNUSED",IF(A1424="","missing line ID",IF(B1424="","missing transaction ID",IF(G1424="",IF(C1424="","missing date","invalid date"),IF(I1424="","unknown product",IF(J1424="","conflicting category",IF(NOT(OR(EXACT(K1424,"sale"),EXACT(K1424,"refund"))),"unknown event",IF(OR(N1424="",NOT(O1424)),"invalid amount",IF(OR(AND(K1424="sale",N1424&lt;=0),AND(K1424="refund",N1424&gt;=0)),"invalid sign","")))))))))</f>
        <v/>
      </c>
      <c r="U1424" s="1" t="str">
        <f t="shared" si="181"/>
        <v>INCLUDED</v>
      </c>
      <c r="V1424" s="1" t="str">
        <f t="shared" si="182"/>
        <v>2026-01</v>
      </c>
      <c r="W1424" s="1">
        <f>IF(AND(U1424="INCLUDED",X1424&gt;0,EXACT(A1424,'AI output'!A1424)),1,0)</f>
        <v>1</v>
      </c>
      <c r="X1424" s="1">
        <f>1424</f>
        <v>1424</v>
      </c>
      <c r="Y1424" s="1">
        <f>IF(AND(U1424="INCLUDED",W1424=1),--(NOT(EXACT(A1424,'AI output'!A1424)))+--(NOT(EXACT(B1424,'AI output'!B1424)))+--(NOT(EXACT(TEXT(G1424,"yyyy-mm-dd"),'AI output'!C1424)))+--(NOT(EXACT(H1424,'AI output'!D1424)))+--(NOT(EXACT(J1424,'AI output'!E1424)))+--(NOT(EXACT(K1424,'AI output'!F1424)))+--(N1424&lt;&gt;'AI output'!L1424)+--(NOT('AI output'!M1424)),0)</f>
        <v>0</v>
      </c>
      <c r="Z1424" s="1">
        <f t="shared" si="183"/>
        <v>0</v>
      </c>
      <c r="AA1424" s="1">
        <f>--EXACT(A1424,"L01418")</f>
        <v>1</v>
      </c>
    </row>
    <row r="1425" spans="1:27" ht="18.95" customHeight="1">
      <c r="A1425" s="1" t="str">
        <f>IF(Raw!A1425="","",Raw!A1425)</f>
        <v>L01419</v>
      </c>
      <c r="B1425" s="1" t="str">
        <f>IF(Raw!B1425="","",Raw!B1425)</f>
        <v>T00710</v>
      </c>
      <c r="C1425" s="1" t="str">
        <f>IF(Raw!C1425="","",Raw!C1425)</f>
        <v>2026-01-14</v>
      </c>
      <c r="D1425" s="1">
        <f t="shared" si="176"/>
        <v>2026</v>
      </c>
      <c r="E1425" s="1">
        <f>IFERROR(IF(AND(LEN(C1425)=10,MID(C1425,5,1)="-",MID(C1425,8,1)="-"),VALUE(MID(C1425,6,2)),IF(AND(LEN(C1425)=11,MID(C1425,3,1)="-",MID(C1425,7,1)="-"),MATCH(UPPER(MID(C1425,4,3)),Guide!$D$7:$D$18,0),0)),0)</f>
        <v>1</v>
      </c>
      <c r="F1425" s="1">
        <f t="shared" si="177"/>
        <v>14</v>
      </c>
      <c r="G1425" s="9">
        <f t="shared" si="178"/>
        <v>46036</v>
      </c>
      <c r="H1425" s="1" t="str">
        <f>IF(Raw!D1425="","",Raw!D1425)</f>
        <v>P-O</v>
      </c>
      <c r="I1425" s="1" t="str">
        <f>IFERROR(IF(EXACT(H1425,INDEX(Guide!$A$7:$A$9,MATCH(SUBSTITUTE(SUBSTITUTE(SUBSTITUTE(H1425,"~","~~"),"*","~*"),"?","~?"),Guide!$A$7:$A$9,0))),INDEX(Guide!$B$7:$B$9,MATCH(SUBSTITUTE(SUBSTITUTE(SUBSTITUTE(H1425,"~","~~"),"*","~*"),"?","~?"),Guide!$A$7:$A$9,0)),""),"")</f>
        <v>Office</v>
      </c>
      <c r="J1425" s="1" t="str">
        <f>IF(TRIM(Raw!E1425)="",I1425,IF(UPPER(TRIM(Raw!E1425))=UPPER(I1425),I1425,""))</f>
        <v>Office</v>
      </c>
      <c r="K1425" s="1" t="str">
        <f>IF(Raw!F1425="","",Raw!F1425)</f>
        <v>sale</v>
      </c>
      <c r="L1425" s="1" t="str">
        <f>IF(LEFT(TRIM(Raw!G1425),2)="-$","-"&amp;MID(TRIM(Raw!G1425),3,99),IF(LEFT(TRIM(Raw!G1425),1)="$",MID(TRIM(Raw!G1425),2,99),TRIM(Raw!G1425)))</f>
        <v>99.30</v>
      </c>
      <c r="M1425" s="1">
        <f t="shared" si="179"/>
        <v>99.3</v>
      </c>
      <c r="N1425" s="10">
        <f t="shared" si="180"/>
        <v>9930</v>
      </c>
      <c r="O1425" s="1" t="b">
        <f>IFERROR(IF(ISNUMBER(Raw!G1425),TRUE,OR(EXACT(L1425,TEXT(M1425,"0.00")),EXACT(L1425,TEXT(M1425,"#,##0.00")))),FALSE)</f>
        <v>1</v>
      </c>
      <c r="P1425" s="1" t="str">
        <f>LEN(IF(Raw!A1425="","",Raw!A1425))&amp;":"&amp;IF(Raw!A1425="","",Raw!A1425)&amp;"|"&amp;LEN(IF(Raw!B1425="","",Raw!B1425))&amp;":"&amp;IF(Raw!B1425="","",Raw!B1425)&amp;"|"&amp;LEN(IF(Raw!C1425="","",Raw!C1425))&amp;":"&amp;IF(Raw!C1425="","",Raw!C1425)&amp;"|"&amp;LEN(IF(Raw!D1425="","",Raw!D1425))&amp;":"&amp;IF(Raw!D1425="","",Raw!D1425)&amp;"|"&amp;LEN(IF(Raw!E1425="","",Raw!E1425))&amp;":"&amp;IF(Raw!E1425="","",Raw!E1425)&amp;"|"&amp;LEN(IF(Raw!F1425="","",Raw!F1425))&amp;":"&amp;IF(Raw!F1425="","",Raw!F1425)&amp;"|"&amp;LEN(IF(Raw!G1425="","",Raw!G1425))&amp;":"&amp;IF(Raw!G1425="","",Raw!G1425)</f>
        <v>6:L01419|6:T00710|10:2026-01-14|3:P-O|6:Office|4:sale|5:99.30</v>
      </c>
      <c r="Q1425" s="1">
        <f>1</f>
        <v>1</v>
      </c>
      <c r="R1425" s="1" t="b">
        <f>FALSE</f>
        <v>0</v>
      </c>
      <c r="S1425" s="1">
        <f>1</f>
        <v>1</v>
      </c>
      <c r="T1425" s="1" t="str">
        <f>IF(AND(Raw!A1425="",Raw!B1425="",Raw!C1425="",Raw!D1425="",Raw!E1425="",Raw!F1425="",Raw!G1425=""),"UNUSED",IF(A1425="","missing line ID",IF(B1425="","missing transaction ID",IF(G1425="",IF(C1425="","missing date","invalid date"),IF(I1425="","unknown product",IF(J1425="","conflicting category",IF(NOT(OR(EXACT(K1425,"sale"),EXACT(K1425,"refund"))),"unknown event",IF(OR(N1425="",NOT(O1425)),"invalid amount",IF(OR(AND(K1425="sale",N1425&lt;=0),AND(K1425="refund",N1425&gt;=0)),"invalid sign","")))))))))</f>
        <v/>
      </c>
      <c r="U1425" s="1" t="str">
        <f t="shared" si="181"/>
        <v>INCLUDED</v>
      </c>
      <c r="V1425" s="1" t="str">
        <f t="shared" si="182"/>
        <v>2026-01</v>
      </c>
      <c r="W1425" s="1">
        <f>IF(AND(U1425="INCLUDED",X1425&gt;0,EXACT(A1425,'AI output'!A1425)),1,0)</f>
        <v>1</v>
      </c>
      <c r="X1425" s="1">
        <f>1425</f>
        <v>1425</v>
      </c>
      <c r="Y1425" s="1">
        <f>IF(AND(U1425="INCLUDED",W1425=1),--(NOT(EXACT(A1425,'AI output'!A1425)))+--(NOT(EXACT(B1425,'AI output'!B1425)))+--(NOT(EXACT(TEXT(G1425,"yyyy-mm-dd"),'AI output'!C1425)))+--(NOT(EXACT(H1425,'AI output'!D1425)))+--(NOT(EXACT(J1425,'AI output'!E1425)))+--(NOT(EXACT(K1425,'AI output'!F1425)))+--(N1425&lt;&gt;'AI output'!L1425)+--(NOT('AI output'!M1425)),0)</f>
        <v>0</v>
      </c>
      <c r="Z1425" s="1">
        <f t="shared" si="183"/>
        <v>0</v>
      </c>
      <c r="AA1425" s="1">
        <f>--EXACT(A1425,"L01419")</f>
        <v>1</v>
      </c>
    </row>
    <row r="1426" spans="1:27" ht="18.95" customHeight="1">
      <c r="A1426" s="1" t="str">
        <f>IF(Raw!A1426="","",Raw!A1426)</f>
        <v>L01420</v>
      </c>
      <c r="B1426" s="1" t="str">
        <f>IF(Raw!B1426="","",Raw!B1426)</f>
        <v>T00710</v>
      </c>
      <c r="C1426" s="1" t="str">
        <f>IF(Raw!C1426="","",Raw!C1426)</f>
        <v>2026-01-14</v>
      </c>
      <c r="D1426" s="1">
        <f t="shared" si="176"/>
        <v>2026</v>
      </c>
      <c r="E1426" s="1">
        <f>IFERROR(IF(AND(LEN(C1426)=10,MID(C1426,5,1)="-",MID(C1426,8,1)="-"),VALUE(MID(C1426,6,2)),IF(AND(LEN(C1426)=11,MID(C1426,3,1)="-",MID(C1426,7,1)="-"),MATCH(UPPER(MID(C1426,4,3)),Guide!$D$7:$D$18,0),0)),0)</f>
        <v>1</v>
      </c>
      <c r="F1426" s="1">
        <f t="shared" si="177"/>
        <v>14</v>
      </c>
      <c r="G1426" s="9">
        <f t="shared" si="178"/>
        <v>46036</v>
      </c>
      <c r="H1426" s="1" t="str">
        <f>IF(Raw!D1426="","",Raw!D1426)</f>
        <v>P-A</v>
      </c>
      <c r="I1426" s="1" t="str">
        <f>IFERROR(IF(EXACT(H1426,INDEX(Guide!$A$7:$A$9,MATCH(SUBSTITUTE(SUBSTITUTE(SUBSTITUTE(H1426,"~","~~"),"*","~*"),"?","~?"),Guide!$A$7:$A$9,0))),INDEX(Guide!$B$7:$B$9,MATCH(SUBSTITUTE(SUBSTITUTE(SUBSTITUTE(H1426,"~","~~"),"*","~*"),"?","~?"),Guide!$A$7:$A$9,0)),""),"")</f>
        <v>Accessories</v>
      </c>
      <c r="J1426" s="1" t="str">
        <f>IF(TRIM(Raw!E1426)="",I1426,IF(UPPER(TRIM(Raw!E1426))=UPPER(I1426),I1426,""))</f>
        <v>Accessories</v>
      </c>
      <c r="K1426" s="1" t="str">
        <f>IF(Raw!F1426="","",Raw!F1426)</f>
        <v>sale</v>
      </c>
      <c r="L1426" s="1" t="str">
        <f>IF(LEFT(TRIM(Raw!G1426),2)="-$","-"&amp;MID(TRIM(Raw!G1426),3,99),IF(LEFT(TRIM(Raw!G1426),1)="$",MID(TRIM(Raw!G1426),2,99),TRIM(Raw!G1426)))</f>
        <v>200.08</v>
      </c>
      <c r="M1426" s="1">
        <f t="shared" si="179"/>
        <v>200.08</v>
      </c>
      <c r="N1426" s="10">
        <f t="shared" si="180"/>
        <v>20008</v>
      </c>
      <c r="O1426" s="1" t="b">
        <f>IFERROR(IF(ISNUMBER(Raw!G1426),TRUE,OR(EXACT(L1426,TEXT(M1426,"0.00")),EXACT(L1426,TEXT(M1426,"#,##0.00")))),FALSE)</f>
        <v>1</v>
      </c>
      <c r="P1426" s="1" t="str">
        <f>LEN(IF(Raw!A1426="","",Raw!A1426))&amp;":"&amp;IF(Raw!A1426="","",Raw!A1426)&amp;"|"&amp;LEN(IF(Raw!B1426="","",Raw!B1426))&amp;":"&amp;IF(Raw!B1426="","",Raw!B1426)&amp;"|"&amp;LEN(IF(Raw!C1426="","",Raw!C1426))&amp;":"&amp;IF(Raw!C1426="","",Raw!C1426)&amp;"|"&amp;LEN(IF(Raw!D1426="","",Raw!D1426))&amp;":"&amp;IF(Raw!D1426="","",Raw!D1426)&amp;"|"&amp;LEN(IF(Raw!E1426="","",Raw!E1426))&amp;":"&amp;IF(Raw!E1426="","",Raw!E1426)&amp;"|"&amp;LEN(IF(Raw!F1426="","",Raw!F1426))&amp;":"&amp;IF(Raw!F1426="","",Raw!F1426)&amp;"|"&amp;LEN(IF(Raw!G1426="","",Raw!G1426))&amp;":"&amp;IF(Raw!G1426="","",Raw!G1426)</f>
        <v>6:L01420|6:T00710|10:2026-01-14|3:P-A|11:Accessories|4:sale|6:200.08</v>
      </c>
      <c r="Q1426" s="1">
        <f>1</f>
        <v>1</v>
      </c>
      <c r="R1426" s="1" t="b">
        <f>FALSE</f>
        <v>0</v>
      </c>
      <c r="S1426" s="1">
        <f>1</f>
        <v>1</v>
      </c>
      <c r="T1426" s="1" t="str">
        <f>IF(AND(Raw!A1426="",Raw!B1426="",Raw!C1426="",Raw!D1426="",Raw!E1426="",Raw!F1426="",Raw!G1426=""),"UNUSED",IF(A1426="","missing line ID",IF(B1426="","missing transaction ID",IF(G1426="",IF(C1426="","missing date","invalid date"),IF(I1426="","unknown product",IF(J1426="","conflicting category",IF(NOT(OR(EXACT(K1426,"sale"),EXACT(K1426,"refund"))),"unknown event",IF(OR(N1426="",NOT(O1426)),"invalid amount",IF(OR(AND(K1426="sale",N1426&lt;=0),AND(K1426="refund",N1426&gt;=0)),"invalid sign","")))))))))</f>
        <v/>
      </c>
      <c r="U1426" s="1" t="str">
        <f t="shared" si="181"/>
        <v>INCLUDED</v>
      </c>
      <c r="V1426" s="1" t="str">
        <f t="shared" si="182"/>
        <v>2026-01</v>
      </c>
      <c r="W1426" s="1">
        <f>IF(AND(U1426="INCLUDED",X1426&gt;0,EXACT(A1426,'AI output'!A1426)),1,0)</f>
        <v>1</v>
      </c>
      <c r="X1426" s="1">
        <f>1426</f>
        <v>1426</v>
      </c>
      <c r="Y1426" s="1">
        <f>IF(AND(U1426="INCLUDED",W1426=1),--(NOT(EXACT(A1426,'AI output'!A1426)))+--(NOT(EXACT(B1426,'AI output'!B1426)))+--(NOT(EXACT(TEXT(G1426,"yyyy-mm-dd"),'AI output'!C1426)))+--(NOT(EXACT(H1426,'AI output'!D1426)))+--(NOT(EXACT(J1426,'AI output'!E1426)))+--(NOT(EXACT(K1426,'AI output'!F1426)))+--(N1426&lt;&gt;'AI output'!L1426)+--(NOT('AI output'!M1426)),0)</f>
        <v>0</v>
      </c>
      <c r="Z1426" s="1">
        <f t="shared" si="183"/>
        <v>0</v>
      </c>
      <c r="AA1426" s="1">
        <f>--EXACT(A1426,"L01420")</f>
        <v>1</v>
      </c>
    </row>
    <row r="1427" spans="1:27" ht="18.95" customHeight="1">
      <c r="A1427" s="1" t="str">
        <f>IF(Raw!A1427="","",Raw!A1427)</f>
        <v>L01421</v>
      </c>
      <c r="B1427" s="1" t="str">
        <f>IF(Raw!B1427="","",Raw!B1427)</f>
        <v>T00711</v>
      </c>
      <c r="C1427" s="1" t="str">
        <f>IF(Raw!C1427="","",Raw!C1427)</f>
        <v>2026-01-21</v>
      </c>
      <c r="D1427" s="1">
        <f t="shared" si="176"/>
        <v>2026</v>
      </c>
      <c r="E1427" s="1">
        <f>IFERROR(IF(AND(LEN(C1427)=10,MID(C1427,5,1)="-",MID(C1427,8,1)="-"),VALUE(MID(C1427,6,2)),IF(AND(LEN(C1427)=11,MID(C1427,3,1)="-",MID(C1427,7,1)="-"),MATCH(UPPER(MID(C1427,4,3)),Guide!$D$7:$D$18,0),0)),0)</f>
        <v>1</v>
      </c>
      <c r="F1427" s="1">
        <f t="shared" si="177"/>
        <v>21</v>
      </c>
      <c r="G1427" s="9">
        <f t="shared" si="178"/>
        <v>46043</v>
      </c>
      <c r="H1427" s="1" t="str">
        <f>IF(Raw!D1427="","",Raw!D1427)</f>
        <v>P-H</v>
      </c>
      <c r="I1427" s="1" t="str">
        <f>IFERROR(IF(EXACT(H1427,INDEX(Guide!$A$7:$A$9,MATCH(SUBSTITUTE(SUBSTITUTE(SUBSTITUTE(H1427,"~","~~"),"*","~*"),"?","~?"),Guide!$A$7:$A$9,0))),INDEX(Guide!$B$7:$B$9,MATCH(SUBSTITUTE(SUBSTITUTE(SUBSTITUTE(H1427,"~","~~"),"*","~*"),"?","~?"),Guide!$A$7:$A$9,0)),""),"")</f>
        <v>Home</v>
      </c>
      <c r="J1427" s="1" t="str">
        <f>IF(TRIM(Raw!E1427)="",I1427,IF(UPPER(TRIM(Raw!E1427))=UPPER(I1427),I1427,""))</f>
        <v>Home</v>
      </c>
      <c r="K1427" s="1" t="str">
        <f>IF(Raw!F1427="","",Raw!F1427)</f>
        <v>sale</v>
      </c>
      <c r="L1427" s="1" t="str">
        <f>IF(LEFT(TRIM(Raw!G1427),2)="-$","-"&amp;MID(TRIM(Raw!G1427),3,99),IF(LEFT(TRIM(Raw!G1427),1)="$",MID(TRIM(Raw!G1427),2,99),TRIM(Raw!G1427)))</f>
        <v>50.39</v>
      </c>
      <c r="M1427" s="1">
        <f t="shared" si="179"/>
        <v>50.39</v>
      </c>
      <c r="N1427" s="10">
        <f t="shared" si="180"/>
        <v>5039</v>
      </c>
      <c r="O1427" s="1" t="b">
        <f>IFERROR(IF(ISNUMBER(Raw!G1427),TRUE,OR(EXACT(L1427,TEXT(M1427,"0.00")),EXACT(L1427,TEXT(M1427,"#,##0.00")))),FALSE)</f>
        <v>1</v>
      </c>
      <c r="P1427" s="1" t="str">
        <f>LEN(IF(Raw!A1427="","",Raw!A1427))&amp;":"&amp;IF(Raw!A1427="","",Raw!A1427)&amp;"|"&amp;LEN(IF(Raw!B1427="","",Raw!B1427))&amp;":"&amp;IF(Raw!B1427="","",Raw!B1427)&amp;"|"&amp;LEN(IF(Raw!C1427="","",Raw!C1427))&amp;":"&amp;IF(Raw!C1427="","",Raw!C1427)&amp;"|"&amp;LEN(IF(Raw!D1427="","",Raw!D1427))&amp;":"&amp;IF(Raw!D1427="","",Raw!D1427)&amp;"|"&amp;LEN(IF(Raw!E1427="","",Raw!E1427))&amp;":"&amp;IF(Raw!E1427="","",Raw!E1427)&amp;"|"&amp;LEN(IF(Raw!F1427="","",Raw!F1427))&amp;":"&amp;IF(Raw!F1427="","",Raw!F1427)&amp;"|"&amp;LEN(IF(Raw!G1427="","",Raw!G1427))&amp;":"&amp;IF(Raw!G1427="","",Raw!G1427)</f>
        <v>6:L01421|6:T00711|10:2026-01-21|3:P-H|4:Home|4:sale|5:50.39</v>
      </c>
      <c r="Q1427" s="1">
        <f>1</f>
        <v>1</v>
      </c>
      <c r="R1427" s="1" t="b">
        <f>FALSE</f>
        <v>0</v>
      </c>
      <c r="S1427" s="1">
        <f>1</f>
        <v>1</v>
      </c>
      <c r="T1427" s="1" t="str">
        <f>IF(AND(Raw!A1427="",Raw!B1427="",Raw!C1427="",Raw!D1427="",Raw!E1427="",Raw!F1427="",Raw!G1427=""),"UNUSED",IF(A1427="","missing line ID",IF(B1427="","missing transaction ID",IF(G1427="",IF(C1427="","missing date","invalid date"),IF(I1427="","unknown product",IF(J1427="","conflicting category",IF(NOT(OR(EXACT(K1427,"sale"),EXACT(K1427,"refund"))),"unknown event",IF(OR(N1427="",NOT(O1427)),"invalid amount",IF(OR(AND(K1427="sale",N1427&lt;=0),AND(K1427="refund",N1427&gt;=0)),"invalid sign","")))))))))</f>
        <v/>
      </c>
      <c r="U1427" s="1" t="str">
        <f t="shared" si="181"/>
        <v>INCLUDED</v>
      </c>
      <c r="V1427" s="1" t="str">
        <f t="shared" si="182"/>
        <v>2026-01</v>
      </c>
      <c r="W1427" s="1">
        <f>IF(AND(U1427="INCLUDED",X1427&gt;0,EXACT(A1427,'AI output'!A1427)),1,0)</f>
        <v>1</v>
      </c>
      <c r="X1427" s="1">
        <f>1427</f>
        <v>1427</v>
      </c>
      <c r="Y1427" s="1">
        <f>IF(AND(U1427="INCLUDED",W1427=1),--(NOT(EXACT(A1427,'AI output'!A1427)))+--(NOT(EXACT(B1427,'AI output'!B1427)))+--(NOT(EXACT(TEXT(G1427,"yyyy-mm-dd"),'AI output'!C1427)))+--(NOT(EXACT(H1427,'AI output'!D1427)))+--(NOT(EXACT(J1427,'AI output'!E1427)))+--(NOT(EXACT(K1427,'AI output'!F1427)))+--(N1427&lt;&gt;'AI output'!L1427)+--(NOT('AI output'!M1427)),0)</f>
        <v>0</v>
      </c>
      <c r="Z1427" s="1">
        <f t="shared" si="183"/>
        <v>0</v>
      </c>
      <c r="AA1427" s="1">
        <f>--EXACT(A1427,"L01421")</f>
        <v>1</v>
      </c>
    </row>
    <row r="1428" spans="1:27" ht="18.95" customHeight="1">
      <c r="A1428" s="1" t="str">
        <f>IF(Raw!A1428="","",Raw!A1428)</f>
        <v>L01422</v>
      </c>
      <c r="B1428" s="1" t="str">
        <f>IF(Raw!B1428="","",Raw!B1428)</f>
        <v>T00711</v>
      </c>
      <c r="C1428" s="1" t="str">
        <f>IF(Raw!C1428="","",Raw!C1428)</f>
        <v>2026-01-21</v>
      </c>
      <c r="D1428" s="1">
        <f t="shared" si="176"/>
        <v>2026</v>
      </c>
      <c r="E1428" s="1">
        <f>IFERROR(IF(AND(LEN(C1428)=10,MID(C1428,5,1)="-",MID(C1428,8,1)="-"),VALUE(MID(C1428,6,2)),IF(AND(LEN(C1428)=11,MID(C1428,3,1)="-",MID(C1428,7,1)="-"),MATCH(UPPER(MID(C1428,4,3)),Guide!$D$7:$D$18,0),0)),0)</f>
        <v>1</v>
      </c>
      <c r="F1428" s="1">
        <f t="shared" si="177"/>
        <v>21</v>
      </c>
      <c r="G1428" s="9">
        <f t="shared" si="178"/>
        <v>46043</v>
      </c>
      <c r="H1428" s="1" t="str">
        <f>IF(Raw!D1428="","",Raw!D1428)</f>
        <v>P-O</v>
      </c>
      <c r="I1428" s="1" t="str">
        <f>IFERROR(IF(EXACT(H1428,INDEX(Guide!$A$7:$A$9,MATCH(SUBSTITUTE(SUBSTITUTE(SUBSTITUTE(H1428,"~","~~"),"*","~*"),"?","~?"),Guide!$A$7:$A$9,0))),INDEX(Guide!$B$7:$B$9,MATCH(SUBSTITUTE(SUBSTITUTE(SUBSTITUTE(H1428,"~","~~"),"*","~*"),"?","~?"),Guide!$A$7:$A$9,0)),""),"")</f>
        <v>Office</v>
      </c>
      <c r="J1428" s="1" t="str">
        <f>IF(TRIM(Raw!E1428)="",I1428,IF(UPPER(TRIM(Raw!E1428))=UPPER(I1428),I1428,""))</f>
        <v>Office</v>
      </c>
      <c r="K1428" s="1" t="str">
        <f>IF(Raw!F1428="","",Raw!F1428)</f>
        <v>sale</v>
      </c>
      <c r="L1428" s="1" t="str">
        <f>IF(LEFT(TRIM(Raw!G1428),2)="-$","-"&amp;MID(TRIM(Raw!G1428),3,99),IF(LEFT(TRIM(Raw!G1428),1)="$",MID(TRIM(Raw!G1428),2,99),TRIM(Raw!G1428)))</f>
        <v>152.28</v>
      </c>
      <c r="M1428" s="1">
        <f t="shared" si="179"/>
        <v>152.28</v>
      </c>
      <c r="N1428" s="10">
        <f t="shared" si="180"/>
        <v>15228</v>
      </c>
      <c r="O1428" s="1" t="b">
        <f>IFERROR(IF(ISNUMBER(Raw!G1428),TRUE,OR(EXACT(L1428,TEXT(M1428,"0.00")),EXACT(L1428,TEXT(M1428,"#,##0.00")))),FALSE)</f>
        <v>1</v>
      </c>
      <c r="P1428" s="1" t="str">
        <f>LEN(IF(Raw!A1428="","",Raw!A1428))&amp;":"&amp;IF(Raw!A1428="","",Raw!A1428)&amp;"|"&amp;LEN(IF(Raw!B1428="","",Raw!B1428))&amp;":"&amp;IF(Raw!B1428="","",Raw!B1428)&amp;"|"&amp;LEN(IF(Raw!C1428="","",Raw!C1428))&amp;":"&amp;IF(Raw!C1428="","",Raw!C1428)&amp;"|"&amp;LEN(IF(Raw!D1428="","",Raw!D1428))&amp;":"&amp;IF(Raw!D1428="","",Raw!D1428)&amp;"|"&amp;LEN(IF(Raw!E1428="","",Raw!E1428))&amp;":"&amp;IF(Raw!E1428="","",Raw!E1428)&amp;"|"&amp;LEN(IF(Raw!F1428="","",Raw!F1428))&amp;":"&amp;IF(Raw!F1428="","",Raw!F1428)&amp;"|"&amp;LEN(IF(Raw!G1428="","",Raw!G1428))&amp;":"&amp;IF(Raw!G1428="","",Raw!G1428)</f>
        <v>6:L01422|6:T00711|10:2026-01-21|3:P-O|6:Office|4:sale|6:152.28</v>
      </c>
      <c r="Q1428" s="1">
        <f>1</f>
        <v>1</v>
      </c>
      <c r="R1428" s="1" t="b">
        <f>FALSE</f>
        <v>0</v>
      </c>
      <c r="S1428" s="1">
        <f>1</f>
        <v>1</v>
      </c>
      <c r="T1428" s="1" t="str">
        <f>IF(AND(Raw!A1428="",Raw!B1428="",Raw!C1428="",Raw!D1428="",Raw!E1428="",Raw!F1428="",Raw!G1428=""),"UNUSED",IF(A1428="","missing line ID",IF(B1428="","missing transaction ID",IF(G1428="",IF(C1428="","missing date","invalid date"),IF(I1428="","unknown product",IF(J1428="","conflicting category",IF(NOT(OR(EXACT(K1428,"sale"),EXACT(K1428,"refund"))),"unknown event",IF(OR(N1428="",NOT(O1428)),"invalid amount",IF(OR(AND(K1428="sale",N1428&lt;=0),AND(K1428="refund",N1428&gt;=0)),"invalid sign","")))))))))</f>
        <v/>
      </c>
      <c r="U1428" s="1" t="str">
        <f t="shared" si="181"/>
        <v>INCLUDED</v>
      </c>
      <c r="V1428" s="1" t="str">
        <f t="shared" si="182"/>
        <v>2026-01</v>
      </c>
      <c r="W1428" s="1">
        <f>IF(AND(U1428="INCLUDED",X1428&gt;0,EXACT(A1428,'AI output'!A1428)),1,0)</f>
        <v>1</v>
      </c>
      <c r="X1428" s="1">
        <f>1428</f>
        <v>1428</v>
      </c>
      <c r="Y1428" s="1">
        <f>IF(AND(U1428="INCLUDED",W1428=1),--(NOT(EXACT(A1428,'AI output'!A1428)))+--(NOT(EXACT(B1428,'AI output'!B1428)))+--(NOT(EXACT(TEXT(G1428,"yyyy-mm-dd"),'AI output'!C1428)))+--(NOT(EXACT(H1428,'AI output'!D1428)))+--(NOT(EXACT(J1428,'AI output'!E1428)))+--(NOT(EXACT(K1428,'AI output'!F1428)))+--(N1428&lt;&gt;'AI output'!L1428)+--(NOT('AI output'!M1428)),0)</f>
        <v>0</v>
      </c>
      <c r="Z1428" s="1">
        <f t="shared" si="183"/>
        <v>0</v>
      </c>
      <c r="AA1428" s="1">
        <f>--EXACT(A1428,"L01422")</f>
        <v>1</v>
      </c>
    </row>
    <row r="1429" spans="1:27" ht="18.95" customHeight="1">
      <c r="A1429" s="1" t="str">
        <f>IF(Raw!A1429="","",Raw!A1429)</f>
        <v>L01423</v>
      </c>
      <c r="B1429" s="1" t="str">
        <f>IF(Raw!B1429="","",Raw!B1429)</f>
        <v>T00712</v>
      </c>
      <c r="C1429" s="1" t="str">
        <f>IF(Raw!C1429="","",Raw!C1429)</f>
        <v>2026-01-28</v>
      </c>
      <c r="D1429" s="1">
        <f t="shared" si="176"/>
        <v>2026</v>
      </c>
      <c r="E1429" s="1">
        <f>IFERROR(IF(AND(LEN(C1429)=10,MID(C1429,5,1)="-",MID(C1429,8,1)="-"),VALUE(MID(C1429,6,2)),IF(AND(LEN(C1429)=11,MID(C1429,3,1)="-",MID(C1429,7,1)="-"),MATCH(UPPER(MID(C1429,4,3)),Guide!$D$7:$D$18,0),0)),0)</f>
        <v>1</v>
      </c>
      <c r="F1429" s="1">
        <f t="shared" si="177"/>
        <v>28</v>
      </c>
      <c r="G1429" s="9">
        <f t="shared" si="178"/>
        <v>46050</v>
      </c>
      <c r="H1429" s="1" t="str">
        <f>IF(Raw!D1429="","",Raw!D1429)</f>
        <v>P-A</v>
      </c>
      <c r="I1429" s="1" t="str">
        <f>IFERROR(IF(EXACT(H1429,INDEX(Guide!$A$7:$A$9,MATCH(SUBSTITUTE(SUBSTITUTE(SUBSTITUTE(H1429,"~","~~"),"*","~*"),"?","~?"),Guide!$A$7:$A$9,0))),INDEX(Guide!$B$7:$B$9,MATCH(SUBSTITUTE(SUBSTITUTE(SUBSTITUTE(H1429,"~","~~"),"*","~*"),"?","~?"),Guide!$A$7:$A$9,0)),""),"")</f>
        <v>Accessories</v>
      </c>
      <c r="J1429" s="1" t="str">
        <f>IF(TRIM(Raw!E1429)="",I1429,IF(UPPER(TRIM(Raw!E1429))=UPPER(I1429),I1429,""))</f>
        <v>Accessories</v>
      </c>
      <c r="K1429" s="1" t="str">
        <f>IF(Raw!F1429="","",Raw!F1429)</f>
        <v>sale</v>
      </c>
      <c r="L1429" s="1" t="str">
        <f>IF(LEFT(TRIM(Raw!G1429),2)="-$","-"&amp;MID(TRIM(Raw!G1429),3,99),IF(LEFT(TRIM(Raw!G1429),1)="$",MID(TRIM(Raw!G1429),2,99),TRIM(Raw!G1429)))</f>
        <v>255.65</v>
      </c>
      <c r="M1429" s="1">
        <f t="shared" si="179"/>
        <v>255.65</v>
      </c>
      <c r="N1429" s="10">
        <f t="shared" si="180"/>
        <v>25565</v>
      </c>
      <c r="O1429" s="1" t="b">
        <f>IFERROR(IF(ISNUMBER(Raw!G1429),TRUE,OR(EXACT(L1429,TEXT(M1429,"0.00")),EXACT(L1429,TEXT(M1429,"#,##0.00")))),FALSE)</f>
        <v>1</v>
      </c>
      <c r="P1429" s="1" t="str">
        <f>LEN(IF(Raw!A1429="","",Raw!A1429))&amp;":"&amp;IF(Raw!A1429="","",Raw!A1429)&amp;"|"&amp;LEN(IF(Raw!B1429="","",Raw!B1429))&amp;":"&amp;IF(Raw!B1429="","",Raw!B1429)&amp;"|"&amp;LEN(IF(Raw!C1429="","",Raw!C1429))&amp;":"&amp;IF(Raw!C1429="","",Raw!C1429)&amp;"|"&amp;LEN(IF(Raw!D1429="","",Raw!D1429))&amp;":"&amp;IF(Raw!D1429="","",Raw!D1429)&amp;"|"&amp;LEN(IF(Raw!E1429="","",Raw!E1429))&amp;":"&amp;IF(Raw!E1429="","",Raw!E1429)&amp;"|"&amp;LEN(IF(Raw!F1429="","",Raw!F1429))&amp;":"&amp;IF(Raw!F1429="","",Raw!F1429)&amp;"|"&amp;LEN(IF(Raw!G1429="","",Raw!G1429))&amp;":"&amp;IF(Raw!G1429="","",Raw!G1429)</f>
        <v>6:L01423|6:T00712|10:2026-01-28|3:P-A|11:Accessories|4:sale|6:255.65</v>
      </c>
      <c r="Q1429" s="1">
        <f>1</f>
        <v>1</v>
      </c>
      <c r="R1429" s="1" t="b">
        <f>FALSE</f>
        <v>0</v>
      </c>
      <c r="S1429" s="1">
        <f>1</f>
        <v>1</v>
      </c>
      <c r="T1429" s="1" t="str">
        <f>IF(AND(Raw!A1429="",Raw!B1429="",Raw!C1429="",Raw!D1429="",Raw!E1429="",Raw!F1429="",Raw!G1429=""),"UNUSED",IF(A1429="","missing line ID",IF(B1429="","missing transaction ID",IF(G1429="",IF(C1429="","missing date","invalid date"),IF(I1429="","unknown product",IF(J1429="","conflicting category",IF(NOT(OR(EXACT(K1429,"sale"),EXACT(K1429,"refund"))),"unknown event",IF(OR(N1429="",NOT(O1429)),"invalid amount",IF(OR(AND(K1429="sale",N1429&lt;=0),AND(K1429="refund",N1429&gt;=0)),"invalid sign","")))))))))</f>
        <v/>
      </c>
      <c r="U1429" s="1" t="str">
        <f t="shared" si="181"/>
        <v>INCLUDED</v>
      </c>
      <c r="V1429" s="1" t="str">
        <f t="shared" si="182"/>
        <v>2026-01</v>
      </c>
      <c r="W1429" s="1">
        <f>IF(AND(U1429="INCLUDED",X1429&gt;0,EXACT(A1429,'AI output'!A1429)),1,0)</f>
        <v>1</v>
      </c>
      <c r="X1429" s="1">
        <f>1429</f>
        <v>1429</v>
      </c>
      <c r="Y1429" s="1">
        <f>IF(AND(U1429="INCLUDED",W1429=1),--(NOT(EXACT(A1429,'AI output'!A1429)))+--(NOT(EXACT(B1429,'AI output'!B1429)))+--(NOT(EXACT(TEXT(G1429,"yyyy-mm-dd"),'AI output'!C1429)))+--(NOT(EXACT(H1429,'AI output'!D1429)))+--(NOT(EXACT(J1429,'AI output'!E1429)))+--(NOT(EXACT(K1429,'AI output'!F1429)))+--(N1429&lt;&gt;'AI output'!L1429)+--(NOT('AI output'!M1429)),0)</f>
        <v>0</v>
      </c>
      <c r="Z1429" s="1">
        <f t="shared" si="183"/>
        <v>0</v>
      </c>
      <c r="AA1429" s="1">
        <f>--EXACT(A1429,"L01423")</f>
        <v>1</v>
      </c>
    </row>
    <row r="1430" spans="1:27" ht="18.95" customHeight="1">
      <c r="A1430" s="1" t="str">
        <f>IF(Raw!A1430="","",Raw!A1430)</f>
        <v>L01424</v>
      </c>
      <c r="B1430" s="1" t="str">
        <f>IF(Raw!B1430="","",Raw!B1430)</f>
        <v>T00712</v>
      </c>
      <c r="C1430" s="1" t="str">
        <f>IF(Raw!C1430="","",Raw!C1430)</f>
        <v>2026-01-28</v>
      </c>
      <c r="D1430" s="1">
        <f t="shared" si="176"/>
        <v>2026</v>
      </c>
      <c r="E1430" s="1">
        <f>IFERROR(IF(AND(LEN(C1430)=10,MID(C1430,5,1)="-",MID(C1430,8,1)="-"),VALUE(MID(C1430,6,2)),IF(AND(LEN(C1430)=11,MID(C1430,3,1)="-",MID(C1430,7,1)="-"),MATCH(UPPER(MID(C1430,4,3)),Guide!$D$7:$D$18,0),0)),0)</f>
        <v>1</v>
      </c>
      <c r="F1430" s="1">
        <f t="shared" si="177"/>
        <v>28</v>
      </c>
      <c r="G1430" s="9">
        <f t="shared" si="178"/>
        <v>46050</v>
      </c>
      <c r="H1430" s="1" t="str">
        <f>IF(Raw!D1430="","",Raw!D1430)</f>
        <v>P-H</v>
      </c>
      <c r="I1430" s="1" t="str">
        <f>IFERROR(IF(EXACT(H1430,INDEX(Guide!$A$7:$A$9,MATCH(SUBSTITUTE(SUBSTITUTE(SUBSTITUTE(H1430,"~","~~"),"*","~*"),"?","~?"),Guide!$A$7:$A$9,0))),INDEX(Guide!$B$7:$B$9,MATCH(SUBSTITUTE(SUBSTITUTE(SUBSTITUTE(H1430,"~","~~"),"*","~*"),"?","~?"),Guide!$A$7:$A$9,0)),""),"")</f>
        <v>Home</v>
      </c>
      <c r="J1430" s="1" t="str">
        <f>IF(TRIM(Raw!E1430)="",I1430,IF(UPPER(TRIM(Raw!E1430))=UPPER(I1430),I1430,""))</f>
        <v>Home</v>
      </c>
      <c r="K1430" s="1" t="str">
        <f>IF(Raw!F1430="","",Raw!F1430)</f>
        <v>sale</v>
      </c>
      <c r="L1430" s="1" t="str">
        <f>IF(LEFT(TRIM(Raw!G1430),2)="-$","-"&amp;MID(TRIM(Raw!G1430),3,99),IF(LEFT(TRIM(Raw!G1430),1)="$",MID(TRIM(Raw!G1430),2,99),TRIM(Raw!G1430)))</f>
        <v>103.00</v>
      </c>
      <c r="M1430" s="1">
        <f t="shared" si="179"/>
        <v>103</v>
      </c>
      <c r="N1430" s="10">
        <f t="shared" si="180"/>
        <v>10300</v>
      </c>
      <c r="O1430" s="1" t="b">
        <f>IFERROR(IF(ISNUMBER(Raw!G1430),TRUE,OR(EXACT(L1430,TEXT(M1430,"0.00")),EXACT(L1430,TEXT(M1430,"#,##0.00")))),FALSE)</f>
        <v>1</v>
      </c>
      <c r="P1430" s="1" t="str">
        <f>LEN(IF(Raw!A1430="","",Raw!A1430))&amp;":"&amp;IF(Raw!A1430="","",Raw!A1430)&amp;"|"&amp;LEN(IF(Raw!B1430="","",Raw!B1430))&amp;":"&amp;IF(Raw!B1430="","",Raw!B1430)&amp;"|"&amp;LEN(IF(Raw!C1430="","",Raw!C1430))&amp;":"&amp;IF(Raw!C1430="","",Raw!C1430)&amp;"|"&amp;LEN(IF(Raw!D1430="","",Raw!D1430))&amp;":"&amp;IF(Raw!D1430="","",Raw!D1430)&amp;"|"&amp;LEN(IF(Raw!E1430="","",Raw!E1430))&amp;":"&amp;IF(Raw!E1430="","",Raw!E1430)&amp;"|"&amp;LEN(IF(Raw!F1430="","",Raw!F1430))&amp;":"&amp;IF(Raw!F1430="","",Raw!F1430)&amp;"|"&amp;LEN(IF(Raw!G1430="","",Raw!G1430))&amp;":"&amp;IF(Raw!G1430="","",Raw!G1430)</f>
        <v>6:L01424|6:T00712|10:2026-01-28|3:P-H|4:Home|4:sale|6:103.00</v>
      </c>
      <c r="Q1430" s="1">
        <f>1</f>
        <v>1</v>
      </c>
      <c r="R1430" s="1" t="b">
        <f>FALSE</f>
        <v>0</v>
      </c>
      <c r="S1430" s="1">
        <f>1</f>
        <v>1</v>
      </c>
      <c r="T1430" s="1" t="str">
        <f>IF(AND(Raw!A1430="",Raw!B1430="",Raw!C1430="",Raw!D1430="",Raw!E1430="",Raw!F1430="",Raw!G1430=""),"UNUSED",IF(A1430="","missing line ID",IF(B1430="","missing transaction ID",IF(G1430="",IF(C1430="","missing date","invalid date"),IF(I1430="","unknown product",IF(J1430="","conflicting category",IF(NOT(OR(EXACT(K1430,"sale"),EXACT(K1430,"refund"))),"unknown event",IF(OR(N1430="",NOT(O1430)),"invalid amount",IF(OR(AND(K1430="sale",N1430&lt;=0),AND(K1430="refund",N1430&gt;=0)),"invalid sign","")))))))))</f>
        <v/>
      </c>
      <c r="U1430" s="1" t="str">
        <f t="shared" si="181"/>
        <v>INCLUDED</v>
      </c>
      <c r="V1430" s="1" t="str">
        <f t="shared" si="182"/>
        <v>2026-01</v>
      </c>
      <c r="W1430" s="1">
        <f>IF(AND(U1430="INCLUDED",X1430&gt;0,EXACT(A1430,'AI output'!A1430)),1,0)</f>
        <v>1</v>
      </c>
      <c r="X1430" s="1">
        <f>1430</f>
        <v>1430</v>
      </c>
      <c r="Y1430" s="1">
        <f>IF(AND(U1430="INCLUDED",W1430=1),--(NOT(EXACT(A1430,'AI output'!A1430)))+--(NOT(EXACT(B1430,'AI output'!B1430)))+--(NOT(EXACT(TEXT(G1430,"yyyy-mm-dd"),'AI output'!C1430)))+--(NOT(EXACT(H1430,'AI output'!D1430)))+--(NOT(EXACT(J1430,'AI output'!E1430)))+--(NOT(EXACT(K1430,'AI output'!F1430)))+--(N1430&lt;&gt;'AI output'!L1430)+--(NOT('AI output'!M1430)),0)</f>
        <v>0</v>
      </c>
      <c r="Z1430" s="1">
        <f t="shared" si="183"/>
        <v>0</v>
      </c>
      <c r="AA1430" s="1">
        <f>--EXACT(A1430,"L01424")</f>
        <v>1</v>
      </c>
    </row>
    <row r="1431" spans="1:27" ht="18.95" customHeight="1">
      <c r="A1431" s="1" t="str">
        <f>IF(Raw!A1431="","",Raw!A1431)</f>
        <v>L01425</v>
      </c>
      <c r="B1431" s="1" t="str">
        <f>IF(Raw!B1431="","",Raw!B1431)</f>
        <v>T00713</v>
      </c>
      <c r="C1431" s="1" t="str">
        <f>IF(Raw!C1431="","",Raw!C1431)</f>
        <v>2026-02-04</v>
      </c>
      <c r="D1431" s="1">
        <f t="shared" si="176"/>
        <v>2026</v>
      </c>
      <c r="E1431" s="1">
        <f>IFERROR(IF(AND(LEN(C1431)=10,MID(C1431,5,1)="-",MID(C1431,8,1)="-"),VALUE(MID(C1431,6,2)),IF(AND(LEN(C1431)=11,MID(C1431,3,1)="-",MID(C1431,7,1)="-"),MATCH(UPPER(MID(C1431,4,3)),Guide!$D$7:$D$18,0),0)),0)</f>
        <v>2</v>
      </c>
      <c r="F1431" s="1">
        <f t="shared" si="177"/>
        <v>4</v>
      </c>
      <c r="G1431" s="9">
        <f t="shared" si="178"/>
        <v>46057</v>
      </c>
      <c r="H1431" s="1" t="str">
        <f>IF(Raw!D1431="","",Raw!D1431)</f>
        <v>P-O</v>
      </c>
      <c r="I1431" s="1" t="str">
        <f>IFERROR(IF(EXACT(H1431,INDEX(Guide!$A$7:$A$9,MATCH(SUBSTITUTE(SUBSTITUTE(SUBSTITUTE(H1431,"~","~~"),"*","~*"),"?","~?"),Guide!$A$7:$A$9,0))),INDEX(Guide!$B$7:$B$9,MATCH(SUBSTITUTE(SUBSTITUTE(SUBSTITUTE(H1431,"~","~~"),"*","~*"),"?","~?"),Guide!$A$7:$A$9,0)),""),"")</f>
        <v>Office</v>
      </c>
      <c r="J1431" s="1" t="str">
        <f>IF(TRIM(Raw!E1431)="",I1431,IF(UPPER(TRIM(Raw!E1431))=UPPER(I1431),I1431,""))</f>
        <v>Office</v>
      </c>
      <c r="K1431" s="1" t="str">
        <f>IF(Raw!F1431="","",Raw!F1431)</f>
        <v>sale</v>
      </c>
      <c r="L1431" s="1" t="str">
        <f>IF(LEFT(TRIM(Raw!G1431),2)="-$","-"&amp;MID(TRIM(Raw!G1431),3,99),IF(LEFT(TRIM(Raw!G1431),1)="$",MID(TRIM(Raw!G1431),2,99),TRIM(Raw!G1431)))</f>
        <v>207.48</v>
      </c>
      <c r="M1431" s="1">
        <f t="shared" si="179"/>
        <v>207.48</v>
      </c>
      <c r="N1431" s="10">
        <f t="shared" si="180"/>
        <v>20748</v>
      </c>
      <c r="O1431" s="1" t="b">
        <f>IFERROR(IF(ISNUMBER(Raw!G1431),TRUE,OR(EXACT(L1431,TEXT(M1431,"0.00")),EXACT(L1431,TEXT(M1431,"#,##0.00")))),FALSE)</f>
        <v>1</v>
      </c>
      <c r="P1431" s="1" t="str">
        <f>LEN(IF(Raw!A1431="","",Raw!A1431))&amp;":"&amp;IF(Raw!A1431="","",Raw!A1431)&amp;"|"&amp;LEN(IF(Raw!B1431="","",Raw!B1431))&amp;":"&amp;IF(Raw!B1431="","",Raw!B1431)&amp;"|"&amp;LEN(IF(Raw!C1431="","",Raw!C1431))&amp;":"&amp;IF(Raw!C1431="","",Raw!C1431)&amp;"|"&amp;LEN(IF(Raw!D1431="","",Raw!D1431))&amp;":"&amp;IF(Raw!D1431="","",Raw!D1431)&amp;"|"&amp;LEN(IF(Raw!E1431="","",Raw!E1431))&amp;":"&amp;IF(Raw!E1431="","",Raw!E1431)&amp;"|"&amp;LEN(IF(Raw!F1431="","",Raw!F1431))&amp;":"&amp;IF(Raw!F1431="","",Raw!F1431)&amp;"|"&amp;LEN(IF(Raw!G1431="","",Raw!G1431))&amp;":"&amp;IF(Raw!G1431="","",Raw!G1431)</f>
        <v>6:L01425|6:T00713|10:2026-02-04|3:P-O|6:Office|4:sale|6:207.48</v>
      </c>
      <c r="Q1431" s="1">
        <f>1</f>
        <v>1</v>
      </c>
      <c r="R1431" s="1" t="b">
        <f>FALSE</f>
        <v>0</v>
      </c>
      <c r="S1431" s="1">
        <f>1</f>
        <v>1</v>
      </c>
      <c r="T1431" s="1" t="str">
        <f>IF(AND(Raw!A1431="",Raw!B1431="",Raw!C1431="",Raw!D1431="",Raw!E1431="",Raw!F1431="",Raw!G1431=""),"UNUSED",IF(A1431="","missing line ID",IF(B1431="","missing transaction ID",IF(G1431="",IF(C1431="","missing date","invalid date"),IF(I1431="","unknown product",IF(J1431="","conflicting category",IF(NOT(OR(EXACT(K1431,"sale"),EXACT(K1431,"refund"))),"unknown event",IF(OR(N1431="",NOT(O1431)),"invalid amount",IF(OR(AND(K1431="sale",N1431&lt;=0),AND(K1431="refund",N1431&gt;=0)),"invalid sign","")))))))))</f>
        <v/>
      </c>
      <c r="U1431" s="1" t="str">
        <f t="shared" si="181"/>
        <v>INCLUDED</v>
      </c>
      <c r="V1431" s="1" t="str">
        <f t="shared" si="182"/>
        <v>2026-02</v>
      </c>
      <c r="W1431" s="1">
        <f>IF(AND(U1431="INCLUDED",X1431&gt;0,EXACT(A1431,'AI output'!A1431)),1,0)</f>
        <v>1</v>
      </c>
      <c r="X1431" s="1">
        <f>1431</f>
        <v>1431</v>
      </c>
      <c r="Y1431" s="1">
        <f>IF(AND(U1431="INCLUDED",W1431=1),--(NOT(EXACT(A1431,'AI output'!A1431)))+--(NOT(EXACT(B1431,'AI output'!B1431)))+--(NOT(EXACT(TEXT(G1431,"yyyy-mm-dd"),'AI output'!C1431)))+--(NOT(EXACT(H1431,'AI output'!D1431)))+--(NOT(EXACT(J1431,'AI output'!E1431)))+--(NOT(EXACT(K1431,'AI output'!F1431)))+--(N1431&lt;&gt;'AI output'!L1431)+--(NOT('AI output'!M1431)),0)</f>
        <v>0</v>
      </c>
      <c r="Z1431" s="1">
        <f t="shared" si="183"/>
        <v>0</v>
      </c>
      <c r="AA1431" s="1">
        <f>--EXACT(A1431,"L01425")</f>
        <v>1</v>
      </c>
    </row>
    <row r="1432" spans="1:27" ht="18.95" customHeight="1">
      <c r="A1432" s="1" t="str">
        <f>IF(Raw!A1432="","",Raw!A1432)</f>
        <v>L01426</v>
      </c>
      <c r="B1432" s="1" t="str">
        <f>IF(Raw!B1432="","",Raw!B1432)</f>
        <v>T00713</v>
      </c>
      <c r="C1432" s="1" t="str">
        <f>IF(Raw!C1432="","",Raw!C1432)</f>
        <v>2026-02-04</v>
      </c>
      <c r="D1432" s="1">
        <f t="shared" si="176"/>
        <v>2026</v>
      </c>
      <c r="E1432" s="1">
        <f>IFERROR(IF(AND(LEN(C1432)=10,MID(C1432,5,1)="-",MID(C1432,8,1)="-"),VALUE(MID(C1432,6,2)),IF(AND(LEN(C1432)=11,MID(C1432,3,1)="-",MID(C1432,7,1)="-"),MATCH(UPPER(MID(C1432,4,3)),Guide!$D$7:$D$18,0),0)),0)</f>
        <v>2</v>
      </c>
      <c r="F1432" s="1">
        <f t="shared" si="177"/>
        <v>4</v>
      </c>
      <c r="G1432" s="9">
        <f t="shared" si="178"/>
        <v>46057</v>
      </c>
      <c r="H1432" s="1" t="str">
        <f>IF(Raw!D1432="","",Raw!D1432)</f>
        <v>P-A</v>
      </c>
      <c r="I1432" s="1" t="str">
        <f>IFERROR(IF(EXACT(H1432,INDEX(Guide!$A$7:$A$9,MATCH(SUBSTITUTE(SUBSTITUTE(SUBSTITUTE(H1432,"~","~~"),"*","~*"),"?","~?"),Guide!$A$7:$A$9,0))),INDEX(Guide!$B$7:$B$9,MATCH(SUBSTITUTE(SUBSTITUTE(SUBSTITUTE(H1432,"~","~~"),"*","~*"),"?","~?"),Guide!$A$7:$A$9,0)),""),"")</f>
        <v>Accessories</v>
      </c>
      <c r="J1432" s="1" t="str">
        <f>IF(TRIM(Raw!E1432)="",I1432,IF(UPPER(TRIM(Raw!E1432))=UPPER(I1432),I1432,""))</f>
        <v>Accessories</v>
      </c>
      <c r="K1432" s="1" t="str">
        <f>IF(Raw!F1432="","",Raw!F1432)</f>
        <v>sale</v>
      </c>
      <c r="L1432" s="1" t="str">
        <f>IF(LEFT(TRIM(Raw!G1432),2)="-$","-"&amp;MID(TRIM(Raw!G1432),3,99),IF(LEFT(TRIM(Raw!G1432),1)="$",MID(TRIM(Raw!G1432),2,99),TRIM(Raw!G1432)))</f>
        <v>52.24</v>
      </c>
      <c r="M1432" s="1">
        <f t="shared" si="179"/>
        <v>52.24</v>
      </c>
      <c r="N1432" s="10">
        <f t="shared" si="180"/>
        <v>5224</v>
      </c>
      <c r="O1432" s="1" t="b">
        <f>IFERROR(IF(ISNUMBER(Raw!G1432),TRUE,OR(EXACT(L1432,TEXT(M1432,"0.00")),EXACT(L1432,TEXT(M1432,"#,##0.00")))),FALSE)</f>
        <v>1</v>
      </c>
      <c r="P1432" s="1" t="str">
        <f>LEN(IF(Raw!A1432="","",Raw!A1432))&amp;":"&amp;IF(Raw!A1432="","",Raw!A1432)&amp;"|"&amp;LEN(IF(Raw!B1432="","",Raw!B1432))&amp;":"&amp;IF(Raw!B1432="","",Raw!B1432)&amp;"|"&amp;LEN(IF(Raw!C1432="","",Raw!C1432))&amp;":"&amp;IF(Raw!C1432="","",Raw!C1432)&amp;"|"&amp;LEN(IF(Raw!D1432="","",Raw!D1432))&amp;":"&amp;IF(Raw!D1432="","",Raw!D1432)&amp;"|"&amp;LEN(IF(Raw!E1432="","",Raw!E1432))&amp;":"&amp;IF(Raw!E1432="","",Raw!E1432)&amp;"|"&amp;LEN(IF(Raw!F1432="","",Raw!F1432))&amp;":"&amp;IF(Raw!F1432="","",Raw!F1432)&amp;"|"&amp;LEN(IF(Raw!G1432="","",Raw!G1432))&amp;":"&amp;IF(Raw!G1432="","",Raw!G1432)</f>
        <v>6:L01426|6:T00713|10:2026-02-04|3:P-A|11:Accessories|4:sale|5:52.24</v>
      </c>
      <c r="Q1432" s="1">
        <f>1</f>
        <v>1</v>
      </c>
      <c r="R1432" s="1" t="b">
        <f>FALSE</f>
        <v>0</v>
      </c>
      <c r="S1432" s="1">
        <f>1</f>
        <v>1</v>
      </c>
      <c r="T1432" s="1" t="str">
        <f>IF(AND(Raw!A1432="",Raw!B1432="",Raw!C1432="",Raw!D1432="",Raw!E1432="",Raw!F1432="",Raw!G1432=""),"UNUSED",IF(A1432="","missing line ID",IF(B1432="","missing transaction ID",IF(G1432="",IF(C1432="","missing date","invalid date"),IF(I1432="","unknown product",IF(J1432="","conflicting category",IF(NOT(OR(EXACT(K1432,"sale"),EXACT(K1432,"refund"))),"unknown event",IF(OR(N1432="",NOT(O1432)),"invalid amount",IF(OR(AND(K1432="sale",N1432&lt;=0),AND(K1432="refund",N1432&gt;=0)),"invalid sign","")))))))))</f>
        <v/>
      </c>
      <c r="U1432" s="1" t="str">
        <f t="shared" si="181"/>
        <v>INCLUDED</v>
      </c>
      <c r="V1432" s="1" t="str">
        <f t="shared" si="182"/>
        <v>2026-02</v>
      </c>
      <c r="W1432" s="1">
        <f>IF(AND(U1432="INCLUDED",X1432&gt;0,EXACT(A1432,'AI output'!A1432)),1,0)</f>
        <v>1</v>
      </c>
      <c r="X1432" s="1">
        <f>1432</f>
        <v>1432</v>
      </c>
      <c r="Y1432" s="1">
        <f>IF(AND(U1432="INCLUDED",W1432=1),--(NOT(EXACT(A1432,'AI output'!A1432)))+--(NOT(EXACT(B1432,'AI output'!B1432)))+--(NOT(EXACT(TEXT(G1432,"yyyy-mm-dd"),'AI output'!C1432)))+--(NOT(EXACT(H1432,'AI output'!D1432)))+--(NOT(EXACT(J1432,'AI output'!E1432)))+--(NOT(EXACT(K1432,'AI output'!F1432)))+--(N1432&lt;&gt;'AI output'!L1432)+--(NOT('AI output'!M1432)),0)</f>
        <v>0</v>
      </c>
      <c r="Z1432" s="1">
        <f t="shared" si="183"/>
        <v>0</v>
      </c>
      <c r="AA1432" s="1">
        <f>--EXACT(A1432,"L01426")</f>
        <v>1</v>
      </c>
    </row>
    <row r="1433" spans="1:27" ht="18.95" customHeight="1">
      <c r="A1433" s="1" t="str">
        <f>IF(Raw!A1433="","",Raw!A1433)</f>
        <v>L01427</v>
      </c>
      <c r="B1433" s="1" t="str">
        <f>IF(Raw!B1433="","",Raw!B1433)</f>
        <v>T00714</v>
      </c>
      <c r="C1433" s="1" t="str">
        <f>IF(Raw!C1433="","",Raw!C1433)</f>
        <v>2026-02-11</v>
      </c>
      <c r="D1433" s="1">
        <f t="shared" si="176"/>
        <v>2026</v>
      </c>
      <c r="E1433" s="1">
        <f>IFERROR(IF(AND(LEN(C1433)=10,MID(C1433,5,1)="-",MID(C1433,8,1)="-"),VALUE(MID(C1433,6,2)),IF(AND(LEN(C1433)=11,MID(C1433,3,1)="-",MID(C1433,7,1)="-"),MATCH(UPPER(MID(C1433,4,3)),Guide!$D$7:$D$18,0),0)),0)</f>
        <v>2</v>
      </c>
      <c r="F1433" s="1">
        <f t="shared" si="177"/>
        <v>11</v>
      </c>
      <c r="G1433" s="9">
        <f t="shared" si="178"/>
        <v>46064</v>
      </c>
      <c r="H1433" s="1" t="str">
        <f>IF(Raw!D1433="","",Raw!D1433)</f>
        <v>P-H</v>
      </c>
      <c r="I1433" s="1" t="str">
        <f>IFERROR(IF(EXACT(H1433,INDEX(Guide!$A$7:$A$9,MATCH(SUBSTITUTE(SUBSTITUTE(SUBSTITUTE(H1433,"~","~~"),"*","~*"),"?","~?"),Guide!$A$7:$A$9,0))),INDEX(Guide!$B$7:$B$9,MATCH(SUBSTITUTE(SUBSTITUTE(SUBSTITUTE(H1433,"~","~~"),"*","~*"),"?","~?"),Guide!$A$7:$A$9,0)),""),"")</f>
        <v>Home</v>
      </c>
      <c r="J1433" s="1" t="str">
        <f>IF(TRIM(Raw!E1433)="",I1433,IF(UPPER(TRIM(Raw!E1433))=UPPER(I1433),I1433,""))</f>
        <v>Home</v>
      </c>
      <c r="K1433" s="1" t="str">
        <f>IF(Raw!F1433="","",Raw!F1433)</f>
        <v>refund</v>
      </c>
      <c r="L1433" s="1" t="str">
        <f>IF(LEFT(TRIM(Raw!G1433),2)="-$","-"&amp;MID(TRIM(Raw!G1433),3,99),IF(LEFT(TRIM(Raw!G1433),1)="$",MID(TRIM(Raw!G1433),2,99),TRIM(Raw!G1433)))</f>
        <v>-157.83</v>
      </c>
      <c r="M1433" s="1">
        <f t="shared" si="179"/>
        <v>-157.83000000000001</v>
      </c>
      <c r="N1433" s="10">
        <f t="shared" si="180"/>
        <v>-15783</v>
      </c>
      <c r="O1433" s="1" t="b">
        <f>IFERROR(IF(ISNUMBER(Raw!G1433),TRUE,OR(EXACT(L1433,TEXT(M1433,"0.00")),EXACT(L1433,TEXT(M1433,"#,##0.00")))),FALSE)</f>
        <v>1</v>
      </c>
      <c r="P1433" s="1" t="str">
        <f>LEN(IF(Raw!A1433="","",Raw!A1433))&amp;":"&amp;IF(Raw!A1433="","",Raw!A1433)&amp;"|"&amp;LEN(IF(Raw!B1433="","",Raw!B1433))&amp;":"&amp;IF(Raw!B1433="","",Raw!B1433)&amp;"|"&amp;LEN(IF(Raw!C1433="","",Raw!C1433))&amp;":"&amp;IF(Raw!C1433="","",Raw!C1433)&amp;"|"&amp;LEN(IF(Raw!D1433="","",Raw!D1433))&amp;":"&amp;IF(Raw!D1433="","",Raw!D1433)&amp;"|"&amp;LEN(IF(Raw!E1433="","",Raw!E1433))&amp;":"&amp;IF(Raw!E1433="","",Raw!E1433)&amp;"|"&amp;LEN(IF(Raw!F1433="","",Raw!F1433))&amp;":"&amp;IF(Raw!F1433="","",Raw!F1433)&amp;"|"&amp;LEN(IF(Raw!G1433="","",Raw!G1433))&amp;":"&amp;IF(Raw!G1433="","",Raw!G1433)</f>
        <v>6:L01427|6:T00714|10:2026-02-11|3:P-H|4:Home|6:refund|7:-157.83</v>
      </c>
      <c r="Q1433" s="1">
        <f>1</f>
        <v>1</v>
      </c>
      <c r="R1433" s="1" t="b">
        <f>FALSE</f>
        <v>0</v>
      </c>
      <c r="S1433" s="1">
        <f>1</f>
        <v>1</v>
      </c>
      <c r="T1433" s="1" t="str">
        <f>IF(AND(Raw!A1433="",Raw!B1433="",Raw!C1433="",Raw!D1433="",Raw!E1433="",Raw!F1433="",Raw!G1433=""),"UNUSED",IF(A1433="","missing line ID",IF(B1433="","missing transaction ID",IF(G1433="",IF(C1433="","missing date","invalid date"),IF(I1433="","unknown product",IF(J1433="","conflicting category",IF(NOT(OR(EXACT(K1433,"sale"),EXACT(K1433,"refund"))),"unknown event",IF(OR(N1433="",NOT(O1433)),"invalid amount",IF(OR(AND(K1433="sale",N1433&lt;=0),AND(K1433="refund",N1433&gt;=0)),"invalid sign","")))))))))</f>
        <v/>
      </c>
      <c r="U1433" s="1" t="str">
        <f t="shared" si="181"/>
        <v>INCLUDED</v>
      </c>
      <c r="V1433" s="1" t="str">
        <f t="shared" si="182"/>
        <v>2026-02</v>
      </c>
      <c r="W1433" s="1">
        <f>IF(AND(U1433="INCLUDED",X1433&gt;0,EXACT(A1433,'AI output'!A1433)),1,0)</f>
        <v>1</v>
      </c>
      <c r="X1433" s="1">
        <f>1433</f>
        <v>1433</v>
      </c>
      <c r="Y1433" s="1">
        <f>IF(AND(U1433="INCLUDED",W1433=1),--(NOT(EXACT(A1433,'AI output'!A1433)))+--(NOT(EXACT(B1433,'AI output'!B1433)))+--(NOT(EXACT(TEXT(G1433,"yyyy-mm-dd"),'AI output'!C1433)))+--(NOT(EXACT(H1433,'AI output'!D1433)))+--(NOT(EXACT(J1433,'AI output'!E1433)))+--(NOT(EXACT(K1433,'AI output'!F1433)))+--(N1433&lt;&gt;'AI output'!L1433)+--(NOT('AI output'!M1433)),0)</f>
        <v>0</v>
      </c>
      <c r="Z1433" s="1">
        <f t="shared" si="183"/>
        <v>0</v>
      </c>
      <c r="AA1433" s="1">
        <f>--EXACT(A1433,"L01427")</f>
        <v>1</v>
      </c>
    </row>
    <row r="1434" spans="1:27" ht="18.95" customHeight="1">
      <c r="A1434" s="1" t="str">
        <f>IF(Raw!A1434="","",Raw!A1434)</f>
        <v>L01428</v>
      </c>
      <c r="B1434" s="1" t="str">
        <f>IF(Raw!B1434="","",Raw!B1434)</f>
        <v>T00714</v>
      </c>
      <c r="C1434" s="1" t="str">
        <f>IF(Raw!C1434="","",Raw!C1434)</f>
        <v>2026-02-11</v>
      </c>
      <c r="D1434" s="1">
        <f t="shared" si="176"/>
        <v>2026</v>
      </c>
      <c r="E1434" s="1">
        <f>IFERROR(IF(AND(LEN(C1434)=10,MID(C1434,5,1)="-",MID(C1434,8,1)="-"),VALUE(MID(C1434,6,2)),IF(AND(LEN(C1434)=11,MID(C1434,3,1)="-",MID(C1434,7,1)="-"),MATCH(UPPER(MID(C1434,4,3)),Guide!$D$7:$D$18,0),0)),0)</f>
        <v>2</v>
      </c>
      <c r="F1434" s="1">
        <f t="shared" si="177"/>
        <v>11</v>
      </c>
      <c r="G1434" s="9">
        <f t="shared" si="178"/>
        <v>46064</v>
      </c>
      <c r="H1434" s="1" t="str">
        <f>IF(Raw!D1434="","",Raw!D1434)</f>
        <v>P-O</v>
      </c>
      <c r="I1434" s="1" t="str">
        <f>IFERROR(IF(EXACT(H1434,INDEX(Guide!$A$7:$A$9,MATCH(SUBSTITUTE(SUBSTITUTE(SUBSTITUTE(H1434,"~","~~"),"*","~*"),"?","~?"),Guide!$A$7:$A$9,0))),INDEX(Guide!$B$7:$B$9,MATCH(SUBSTITUTE(SUBSTITUTE(SUBSTITUTE(H1434,"~","~~"),"*","~*"),"?","~?"),Guide!$A$7:$A$9,0)),""),"")</f>
        <v>Office</v>
      </c>
      <c r="J1434" s="1" t="str">
        <f>IF(TRIM(Raw!E1434)="",I1434,IF(UPPER(TRIM(Raw!E1434))=UPPER(I1434),I1434,""))</f>
        <v>Office</v>
      </c>
      <c r="K1434" s="1" t="str">
        <f>IF(Raw!F1434="","",Raw!F1434)</f>
        <v>sale</v>
      </c>
      <c r="L1434" s="1" t="str">
        <f>IF(LEFT(TRIM(Raw!G1434),2)="-$","-"&amp;MID(TRIM(Raw!G1434),3,99),IF(LEFT(TRIM(Raw!G1434),1)="$",MID(TRIM(Raw!G1434),2,99),TRIM(Raw!G1434)))</f>
        <v>264.90</v>
      </c>
      <c r="M1434" s="1">
        <f t="shared" si="179"/>
        <v>264.89999999999998</v>
      </c>
      <c r="N1434" s="10">
        <f t="shared" si="180"/>
        <v>26490</v>
      </c>
      <c r="O1434" s="1" t="b">
        <f>IFERROR(IF(ISNUMBER(Raw!G1434),TRUE,OR(EXACT(L1434,TEXT(M1434,"0.00")),EXACT(L1434,TEXT(M1434,"#,##0.00")))),FALSE)</f>
        <v>1</v>
      </c>
      <c r="P1434" s="1" t="str">
        <f>LEN(IF(Raw!A1434="","",Raw!A1434))&amp;":"&amp;IF(Raw!A1434="","",Raw!A1434)&amp;"|"&amp;LEN(IF(Raw!B1434="","",Raw!B1434))&amp;":"&amp;IF(Raw!B1434="","",Raw!B1434)&amp;"|"&amp;LEN(IF(Raw!C1434="","",Raw!C1434))&amp;":"&amp;IF(Raw!C1434="","",Raw!C1434)&amp;"|"&amp;LEN(IF(Raw!D1434="","",Raw!D1434))&amp;":"&amp;IF(Raw!D1434="","",Raw!D1434)&amp;"|"&amp;LEN(IF(Raw!E1434="","",Raw!E1434))&amp;":"&amp;IF(Raw!E1434="","",Raw!E1434)&amp;"|"&amp;LEN(IF(Raw!F1434="","",Raw!F1434))&amp;":"&amp;IF(Raw!F1434="","",Raw!F1434)&amp;"|"&amp;LEN(IF(Raw!G1434="","",Raw!G1434))&amp;":"&amp;IF(Raw!G1434="","",Raw!G1434)</f>
        <v>6:L01428|6:T00714|10:2026-02-11|3:P-O|6:Office|4:sale|6:264.90</v>
      </c>
      <c r="Q1434" s="1">
        <f>1</f>
        <v>1</v>
      </c>
      <c r="R1434" s="1" t="b">
        <f>FALSE</f>
        <v>0</v>
      </c>
      <c r="S1434" s="1">
        <f>1</f>
        <v>1</v>
      </c>
      <c r="T1434" s="1" t="str">
        <f>IF(AND(Raw!A1434="",Raw!B1434="",Raw!C1434="",Raw!D1434="",Raw!E1434="",Raw!F1434="",Raw!G1434=""),"UNUSED",IF(A1434="","missing line ID",IF(B1434="","missing transaction ID",IF(G1434="",IF(C1434="","missing date","invalid date"),IF(I1434="","unknown product",IF(J1434="","conflicting category",IF(NOT(OR(EXACT(K1434,"sale"),EXACT(K1434,"refund"))),"unknown event",IF(OR(N1434="",NOT(O1434)),"invalid amount",IF(OR(AND(K1434="sale",N1434&lt;=0),AND(K1434="refund",N1434&gt;=0)),"invalid sign","")))))))))</f>
        <v/>
      </c>
      <c r="U1434" s="1" t="str">
        <f t="shared" si="181"/>
        <v>INCLUDED</v>
      </c>
      <c r="V1434" s="1" t="str">
        <f t="shared" si="182"/>
        <v>2026-02</v>
      </c>
      <c r="W1434" s="1">
        <f>IF(AND(U1434="INCLUDED",X1434&gt;0,EXACT(A1434,'AI output'!A1434)),1,0)</f>
        <v>1</v>
      </c>
      <c r="X1434" s="1">
        <f>1434</f>
        <v>1434</v>
      </c>
      <c r="Y1434" s="1">
        <f>IF(AND(U1434="INCLUDED",W1434=1),--(NOT(EXACT(A1434,'AI output'!A1434)))+--(NOT(EXACT(B1434,'AI output'!B1434)))+--(NOT(EXACT(TEXT(G1434,"yyyy-mm-dd"),'AI output'!C1434)))+--(NOT(EXACT(H1434,'AI output'!D1434)))+--(NOT(EXACT(J1434,'AI output'!E1434)))+--(NOT(EXACT(K1434,'AI output'!F1434)))+--(N1434&lt;&gt;'AI output'!L1434)+--(NOT('AI output'!M1434)),0)</f>
        <v>0</v>
      </c>
      <c r="Z1434" s="1">
        <f t="shared" si="183"/>
        <v>0</v>
      </c>
      <c r="AA1434" s="1">
        <f>--EXACT(A1434,"L01428")</f>
        <v>1</v>
      </c>
    </row>
    <row r="1435" spans="1:27" ht="18.95" customHeight="1">
      <c r="A1435" s="1" t="str">
        <f>IF(Raw!A1435="","",Raw!A1435)</f>
        <v>L01429</v>
      </c>
      <c r="B1435" s="1" t="str">
        <f>IF(Raw!B1435="","",Raw!B1435)</f>
        <v>T00715</v>
      </c>
      <c r="C1435" s="1" t="str">
        <f>IF(Raw!C1435="","",Raw!C1435)</f>
        <v>2026-02-18</v>
      </c>
      <c r="D1435" s="1">
        <f t="shared" si="176"/>
        <v>2026</v>
      </c>
      <c r="E1435" s="1">
        <f>IFERROR(IF(AND(LEN(C1435)=10,MID(C1435,5,1)="-",MID(C1435,8,1)="-"),VALUE(MID(C1435,6,2)),IF(AND(LEN(C1435)=11,MID(C1435,3,1)="-",MID(C1435,7,1)="-"),MATCH(UPPER(MID(C1435,4,3)),Guide!$D$7:$D$18,0),0)),0)</f>
        <v>2</v>
      </c>
      <c r="F1435" s="1">
        <f t="shared" si="177"/>
        <v>18</v>
      </c>
      <c r="G1435" s="9">
        <f t="shared" si="178"/>
        <v>46071</v>
      </c>
      <c r="H1435" s="1" t="str">
        <f>IF(Raw!D1435="","",Raw!D1435)</f>
        <v>P-A</v>
      </c>
      <c r="I1435" s="1" t="str">
        <f>IFERROR(IF(EXACT(H1435,INDEX(Guide!$A$7:$A$9,MATCH(SUBSTITUTE(SUBSTITUTE(SUBSTITUTE(H1435,"~","~~"),"*","~*"),"?","~?"),Guide!$A$7:$A$9,0))),INDEX(Guide!$B$7:$B$9,MATCH(SUBSTITUTE(SUBSTITUTE(SUBSTITUTE(H1435,"~","~~"),"*","~*"),"?","~?"),Guide!$A$7:$A$9,0)),""),"")</f>
        <v>Accessories</v>
      </c>
      <c r="J1435" s="1" t="str">
        <f>IF(TRIM(Raw!E1435)="",I1435,IF(UPPER(TRIM(Raw!E1435))=UPPER(I1435),I1435,""))</f>
        <v>Accessories</v>
      </c>
      <c r="K1435" s="1" t="str">
        <f>IF(Raw!F1435="","",Raw!F1435)</f>
        <v>sale</v>
      </c>
      <c r="L1435" s="1" t="str">
        <f>IF(LEFT(TRIM(Raw!G1435),2)="-$","-"&amp;MID(TRIM(Raw!G1435),3,99),IF(LEFT(TRIM(Raw!G1435),1)="$",MID(TRIM(Raw!G1435),2,99),TRIM(Raw!G1435)))</f>
        <v>106.70</v>
      </c>
      <c r="M1435" s="1">
        <f t="shared" si="179"/>
        <v>106.7</v>
      </c>
      <c r="N1435" s="10">
        <f t="shared" si="180"/>
        <v>10670</v>
      </c>
      <c r="O1435" s="1" t="b">
        <f>IFERROR(IF(ISNUMBER(Raw!G1435),TRUE,OR(EXACT(L1435,TEXT(M1435,"0.00")),EXACT(L1435,TEXT(M1435,"#,##0.00")))),FALSE)</f>
        <v>1</v>
      </c>
      <c r="P1435" s="1" t="str">
        <f>LEN(IF(Raw!A1435="","",Raw!A1435))&amp;":"&amp;IF(Raw!A1435="","",Raw!A1435)&amp;"|"&amp;LEN(IF(Raw!B1435="","",Raw!B1435))&amp;":"&amp;IF(Raw!B1435="","",Raw!B1435)&amp;"|"&amp;LEN(IF(Raw!C1435="","",Raw!C1435))&amp;":"&amp;IF(Raw!C1435="","",Raw!C1435)&amp;"|"&amp;LEN(IF(Raw!D1435="","",Raw!D1435))&amp;":"&amp;IF(Raw!D1435="","",Raw!D1435)&amp;"|"&amp;LEN(IF(Raw!E1435="","",Raw!E1435))&amp;":"&amp;IF(Raw!E1435="","",Raw!E1435)&amp;"|"&amp;LEN(IF(Raw!F1435="","",Raw!F1435))&amp;":"&amp;IF(Raw!F1435="","",Raw!F1435)&amp;"|"&amp;LEN(IF(Raw!G1435="","",Raw!G1435))&amp;":"&amp;IF(Raw!G1435="","",Raw!G1435)</f>
        <v>6:L01429|6:T00715|10:2026-02-18|3:P-A|11:Accessories|4:sale|6:106.70</v>
      </c>
      <c r="Q1435" s="1">
        <f>1</f>
        <v>1</v>
      </c>
      <c r="R1435" s="1" t="b">
        <f>FALSE</f>
        <v>0</v>
      </c>
      <c r="S1435" s="1">
        <f>1</f>
        <v>1</v>
      </c>
      <c r="T1435" s="1" t="str">
        <f>IF(AND(Raw!A1435="",Raw!B1435="",Raw!C1435="",Raw!D1435="",Raw!E1435="",Raw!F1435="",Raw!G1435=""),"UNUSED",IF(A1435="","missing line ID",IF(B1435="","missing transaction ID",IF(G1435="",IF(C1435="","missing date","invalid date"),IF(I1435="","unknown product",IF(J1435="","conflicting category",IF(NOT(OR(EXACT(K1435,"sale"),EXACT(K1435,"refund"))),"unknown event",IF(OR(N1435="",NOT(O1435)),"invalid amount",IF(OR(AND(K1435="sale",N1435&lt;=0),AND(K1435="refund",N1435&gt;=0)),"invalid sign","")))))))))</f>
        <v/>
      </c>
      <c r="U1435" s="1" t="str">
        <f t="shared" si="181"/>
        <v>INCLUDED</v>
      </c>
      <c r="V1435" s="1" t="str">
        <f t="shared" si="182"/>
        <v>2026-02</v>
      </c>
      <c r="W1435" s="1">
        <f>IF(AND(U1435="INCLUDED",X1435&gt;0,EXACT(A1435,'AI output'!A1435)),1,0)</f>
        <v>1</v>
      </c>
      <c r="X1435" s="1">
        <f>1435</f>
        <v>1435</v>
      </c>
      <c r="Y1435" s="1">
        <f>IF(AND(U1435="INCLUDED",W1435=1),--(NOT(EXACT(A1435,'AI output'!A1435)))+--(NOT(EXACT(B1435,'AI output'!B1435)))+--(NOT(EXACT(TEXT(G1435,"yyyy-mm-dd"),'AI output'!C1435)))+--(NOT(EXACT(H1435,'AI output'!D1435)))+--(NOT(EXACT(J1435,'AI output'!E1435)))+--(NOT(EXACT(K1435,'AI output'!F1435)))+--(N1435&lt;&gt;'AI output'!L1435)+--(NOT('AI output'!M1435)),0)</f>
        <v>0</v>
      </c>
      <c r="Z1435" s="1">
        <f t="shared" si="183"/>
        <v>0</v>
      </c>
      <c r="AA1435" s="1">
        <f>--EXACT(A1435,"L01429")</f>
        <v>1</v>
      </c>
    </row>
    <row r="1436" spans="1:27" ht="18.95" customHeight="1">
      <c r="A1436" s="1" t="str">
        <f>IF(Raw!A1436="","",Raw!A1436)</f>
        <v>L01430</v>
      </c>
      <c r="B1436" s="1" t="str">
        <f>IF(Raw!B1436="","",Raw!B1436)</f>
        <v>T00715</v>
      </c>
      <c r="C1436" s="1" t="str">
        <f>IF(Raw!C1436="","",Raw!C1436)</f>
        <v>2026-02-18</v>
      </c>
      <c r="D1436" s="1">
        <f t="shared" si="176"/>
        <v>2026</v>
      </c>
      <c r="E1436" s="1">
        <f>IFERROR(IF(AND(LEN(C1436)=10,MID(C1436,5,1)="-",MID(C1436,8,1)="-"),VALUE(MID(C1436,6,2)),IF(AND(LEN(C1436)=11,MID(C1436,3,1)="-",MID(C1436,7,1)="-"),MATCH(UPPER(MID(C1436,4,3)),Guide!$D$7:$D$18,0),0)),0)</f>
        <v>2</v>
      </c>
      <c r="F1436" s="1">
        <f t="shared" si="177"/>
        <v>18</v>
      </c>
      <c r="G1436" s="9">
        <f t="shared" si="178"/>
        <v>46071</v>
      </c>
      <c r="H1436" s="1" t="str">
        <f>IF(Raw!D1436="","",Raw!D1436)</f>
        <v>P-H</v>
      </c>
      <c r="I1436" s="1" t="str">
        <f>IFERROR(IF(EXACT(H1436,INDEX(Guide!$A$7:$A$9,MATCH(SUBSTITUTE(SUBSTITUTE(SUBSTITUTE(H1436,"~","~~"),"*","~*"),"?","~?"),Guide!$A$7:$A$9,0))),INDEX(Guide!$B$7:$B$9,MATCH(SUBSTITUTE(SUBSTITUTE(SUBSTITUTE(H1436,"~","~~"),"*","~*"),"?","~?"),Guide!$A$7:$A$9,0)),""),"")</f>
        <v>Home</v>
      </c>
      <c r="J1436" s="1" t="str">
        <f>IF(TRIM(Raw!E1436)="",I1436,IF(UPPER(TRIM(Raw!E1436))=UPPER(I1436),I1436,""))</f>
        <v>Home</v>
      </c>
      <c r="K1436" s="1" t="str">
        <f>IF(Raw!F1436="","",Raw!F1436)</f>
        <v>sale</v>
      </c>
      <c r="L1436" s="1" t="str">
        <f>IF(LEFT(TRIM(Raw!G1436),2)="-$","-"&amp;MID(TRIM(Raw!G1436),3,99),IF(LEFT(TRIM(Raw!G1436),1)="$",MID(TRIM(Raw!G1436),2,99),TRIM(Raw!G1436)))</f>
        <v>214.88</v>
      </c>
      <c r="M1436" s="1">
        <f t="shared" si="179"/>
        <v>214.88</v>
      </c>
      <c r="N1436" s="10">
        <f t="shared" si="180"/>
        <v>21488</v>
      </c>
      <c r="O1436" s="1" t="b">
        <f>IFERROR(IF(ISNUMBER(Raw!G1436),TRUE,OR(EXACT(L1436,TEXT(M1436,"0.00")),EXACT(L1436,TEXT(M1436,"#,##0.00")))),FALSE)</f>
        <v>1</v>
      </c>
      <c r="P1436" s="1" t="str">
        <f>LEN(IF(Raw!A1436="","",Raw!A1436))&amp;":"&amp;IF(Raw!A1436="","",Raw!A1436)&amp;"|"&amp;LEN(IF(Raw!B1436="","",Raw!B1436))&amp;":"&amp;IF(Raw!B1436="","",Raw!B1436)&amp;"|"&amp;LEN(IF(Raw!C1436="","",Raw!C1436))&amp;":"&amp;IF(Raw!C1436="","",Raw!C1436)&amp;"|"&amp;LEN(IF(Raw!D1436="","",Raw!D1436))&amp;":"&amp;IF(Raw!D1436="","",Raw!D1436)&amp;"|"&amp;LEN(IF(Raw!E1436="","",Raw!E1436))&amp;":"&amp;IF(Raw!E1436="","",Raw!E1436)&amp;"|"&amp;LEN(IF(Raw!F1436="","",Raw!F1436))&amp;":"&amp;IF(Raw!F1436="","",Raw!F1436)&amp;"|"&amp;LEN(IF(Raw!G1436="","",Raw!G1436))&amp;":"&amp;IF(Raw!G1436="","",Raw!G1436)</f>
        <v>6:L01430|6:T00715|10:2026-02-18|3:P-H|4:Home|4:sale|6:214.88</v>
      </c>
      <c r="Q1436" s="1">
        <f>1</f>
        <v>1</v>
      </c>
      <c r="R1436" s="1" t="b">
        <f>FALSE</f>
        <v>0</v>
      </c>
      <c r="S1436" s="1">
        <f>1</f>
        <v>1</v>
      </c>
      <c r="T1436" s="1" t="str">
        <f>IF(AND(Raw!A1436="",Raw!B1436="",Raw!C1436="",Raw!D1436="",Raw!E1436="",Raw!F1436="",Raw!G1436=""),"UNUSED",IF(A1436="","missing line ID",IF(B1436="","missing transaction ID",IF(G1436="",IF(C1436="","missing date","invalid date"),IF(I1436="","unknown product",IF(J1436="","conflicting category",IF(NOT(OR(EXACT(K1436,"sale"),EXACT(K1436,"refund"))),"unknown event",IF(OR(N1436="",NOT(O1436)),"invalid amount",IF(OR(AND(K1436="sale",N1436&lt;=0),AND(K1436="refund",N1436&gt;=0)),"invalid sign","")))))))))</f>
        <v/>
      </c>
      <c r="U1436" s="1" t="str">
        <f t="shared" si="181"/>
        <v>INCLUDED</v>
      </c>
      <c r="V1436" s="1" t="str">
        <f t="shared" si="182"/>
        <v>2026-02</v>
      </c>
      <c r="W1436" s="1">
        <f>IF(AND(U1436="INCLUDED",X1436&gt;0,EXACT(A1436,'AI output'!A1436)),1,0)</f>
        <v>1</v>
      </c>
      <c r="X1436" s="1">
        <f>1436</f>
        <v>1436</v>
      </c>
      <c r="Y1436" s="1">
        <f>IF(AND(U1436="INCLUDED",W1436=1),--(NOT(EXACT(A1436,'AI output'!A1436)))+--(NOT(EXACT(B1436,'AI output'!B1436)))+--(NOT(EXACT(TEXT(G1436,"yyyy-mm-dd"),'AI output'!C1436)))+--(NOT(EXACT(H1436,'AI output'!D1436)))+--(NOT(EXACT(J1436,'AI output'!E1436)))+--(NOT(EXACT(K1436,'AI output'!F1436)))+--(N1436&lt;&gt;'AI output'!L1436)+--(NOT('AI output'!M1436)),0)</f>
        <v>0</v>
      </c>
      <c r="Z1436" s="1">
        <f t="shared" si="183"/>
        <v>0</v>
      </c>
      <c r="AA1436" s="1">
        <f>--EXACT(A1436,"L01430")</f>
        <v>1</v>
      </c>
    </row>
    <row r="1437" spans="1:27" ht="18.95" customHeight="1">
      <c r="A1437" s="1" t="str">
        <f>IF(Raw!A1437="","",Raw!A1437)</f>
        <v>L01431</v>
      </c>
      <c r="B1437" s="1" t="str">
        <f>IF(Raw!B1437="","",Raw!B1437)</f>
        <v>T00716</v>
      </c>
      <c r="C1437" s="1" t="str">
        <f>IF(Raw!C1437="","",Raw!C1437)</f>
        <v>2026-02-25</v>
      </c>
      <c r="D1437" s="1">
        <f t="shared" si="176"/>
        <v>2026</v>
      </c>
      <c r="E1437" s="1">
        <f>IFERROR(IF(AND(LEN(C1437)=10,MID(C1437,5,1)="-",MID(C1437,8,1)="-"),VALUE(MID(C1437,6,2)),IF(AND(LEN(C1437)=11,MID(C1437,3,1)="-",MID(C1437,7,1)="-"),MATCH(UPPER(MID(C1437,4,3)),Guide!$D$7:$D$18,0),0)),0)</f>
        <v>2</v>
      </c>
      <c r="F1437" s="1">
        <f t="shared" si="177"/>
        <v>25</v>
      </c>
      <c r="G1437" s="9">
        <f t="shared" si="178"/>
        <v>46078</v>
      </c>
      <c r="H1437" s="1" t="str">
        <f>IF(Raw!D1437="","",Raw!D1437)</f>
        <v>P-O</v>
      </c>
      <c r="I1437" s="1" t="str">
        <f>IFERROR(IF(EXACT(H1437,INDEX(Guide!$A$7:$A$9,MATCH(SUBSTITUTE(SUBSTITUTE(SUBSTITUTE(H1437,"~","~~"),"*","~*"),"?","~?"),Guide!$A$7:$A$9,0))),INDEX(Guide!$B$7:$B$9,MATCH(SUBSTITUTE(SUBSTITUTE(SUBSTITUTE(H1437,"~","~~"),"*","~*"),"?","~?"),Guide!$A$7:$A$9,0)),""),"")</f>
        <v>Office</v>
      </c>
      <c r="J1437" s="1" t="str">
        <f>IF(TRIM(Raw!E1437)="",I1437,IF(UPPER(TRIM(Raw!E1437))=UPPER(I1437),I1437,""))</f>
        <v>Office</v>
      </c>
      <c r="K1437" s="1" t="str">
        <f>IF(Raw!F1437="","",Raw!F1437)</f>
        <v>sale</v>
      </c>
      <c r="L1437" s="1" t="str">
        <f>IF(LEFT(TRIM(Raw!G1437),2)="-$","-"&amp;MID(TRIM(Raw!G1437),3,99),IF(LEFT(TRIM(Raw!G1437),1)="$",MID(TRIM(Raw!G1437),2,99),TRIM(Raw!G1437)))</f>
        <v>54.09</v>
      </c>
      <c r="M1437" s="1">
        <f t="shared" si="179"/>
        <v>54.09</v>
      </c>
      <c r="N1437" s="10">
        <f t="shared" si="180"/>
        <v>5409</v>
      </c>
      <c r="O1437" s="1" t="b">
        <f>IFERROR(IF(ISNUMBER(Raw!G1437),TRUE,OR(EXACT(L1437,TEXT(M1437,"0.00")),EXACT(L1437,TEXT(M1437,"#,##0.00")))),FALSE)</f>
        <v>1</v>
      </c>
      <c r="P1437" s="1" t="str">
        <f>LEN(IF(Raw!A1437="","",Raw!A1437))&amp;":"&amp;IF(Raw!A1437="","",Raw!A1437)&amp;"|"&amp;LEN(IF(Raw!B1437="","",Raw!B1437))&amp;":"&amp;IF(Raw!B1437="","",Raw!B1437)&amp;"|"&amp;LEN(IF(Raw!C1437="","",Raw!C1437))&amp;":"&amp;IF(Raw!C1437="","",Raw!C1437)&amp;"|"&amp;LEN(IF(Raw!D1437="","",Raw!D1437))&amp;":"&amp;IF(Raw!D1437="","",Raw!D1437)&amp;"|"&amp;LEN(IF(Raw!E1437="","",Raw!E1437))&amp;":"&amp;IF(Raw!E1437="","",Raw!E1437)&amp;"|"&amp;LEN(IF(Raw!F1437="","",Raw!F1437))&amp;":"&amp;IF(Raw!F1437="","",Raw!F1437)&amp;"|"&amp;LEN(IF(Raw!G1437="","",Raw!G1437))&amp;":"&amp;IF(Raw!G1437="","",Raw!G1437)</f>
        <v>6:L01431|6:T00716|10:2026-02-25|3:P-O|10:  office  |4:sale|5:54.09</v>
      </c>
      <c r="Q1437" s="1">
        <f>1</f>
        <v>1</v>
      </c>
      <c r="R1437" s="1" t="b">
        <f>FALSE</f>
        <v>0</v>
      </c>
      <c r="S1437" s="1">
        <f>1</f>
        <v>1</v>
      </c>
      <c r="T1437" s="1" t="str">
        <f>IF(AND(Raw!A1437="",Raw!B1437="",Raw!C1437="",Raw!D1437="",Raw!E1437="",Raw!F1437="",Raw!G1437=""),"UNUSED",IF(A1437="","missing line ID",IF(B1437="","missing transaction ID",IF(G1437="",IF(C1437="","missing date","invalid date"),IF(I1437="","unknown product",IF(J1437="","conflicting category",IF(NOT(OR(EXACT(K1437,"sale"),EXACT(K1437,"refund"))),"unknown event",IF(OR(N1437="",NOT(O1437)),"invalid amount",IF(OR(AND(K1437="sale",N1437&lt;=0),AND(K1437="refund",N1437&gt;=0)),"invalid sign","")))))))))</f>
        <v/>
      </c>
      <c r="U1437" s="1" t="str">
        <f t="shared" si="181"/>
        <v>INCLUDED</v>
      </c>
      <c r="V1437" s="1" t="str">
        <f t="shared" si="182"/>
        <v>2026-02</v>
      </c>
      <c r="W1437" s="1">
        <f>IF(AND(U1437="INCLUDED",X1437&gt;0,EXACT(A1437,'AI output'!A1437)),1,0)</f>
        <v>1</v>
      </c>
      <c r="X1437" s="1">
        <f>1437</f>
        <v>1437</v>
      </c>
      <c r="Y1437" s="1">
        <f>IF(AND(U1437="INCLUDED",W1437=1),--(NOT(EXACT(A1437,'AI output'!A1437)))+--(NOT(EXACT(B1437,'AI output'!B1437)))+--(NOT(EXACT(TEXT(G1437,"yyyy-mm-dd"),'AI output'!C1437)))+--(NOT(EXACT(H1437,'AI output'!D1437)))+--(NOT(EXACT(J1437,'AI output'!E1437)))+--(NOT(EXACT(K1437,'AI output'!F1437)))+--(N1437&lt;&gt;'AI output'!L1437)+--(NOT('AI output'!M1437)),0)</f>
        <v>0</v>
      </c>
      <c r="Z1437" s="1">
        <f t="shared" si="183"/>
        <v>0</v>
      </c>
      <c r="AA1437" s="1">
        <f>--EXACT(A1437,"L01431")</f>
        <v>1</v>
      </c>
    </row>
    <row r="1438" spans="1:27" ht="18.95" customHeight="1">
      <c r="A1438" s="1" t="str">
        <f>IF(Raw!A1438="","",Raw!A1438)</f>
        <v>L01432</v>
      </c>
      <c r="B1438" s="1" t="str">
        <f>IF(Raw!B1438="","",Raw!B1438)</f>
        <v>T00716</v>
      </c>
      <c r="C1438" s="1" t="str">
        <f>IF(Raw!C1438="","",Raw!C1438)</f>
        <v>2026-02-25</v>
      </c>
      <c r="D1438" s="1">
        <f t="shared" si="176"/>
        <v>2026</v>
      </c>
      <c r="E1438" s="1">
        <f>IFERROR(IF(AND(LEN(C1438)=10,MID(C1438,5,1)="-",MID(C1438,8,1)="-"),VALUE(MID(C1438,6,2)),IF(AND(LEN(C1438)=11,MID(C1438,3,1)="-",MID(C1438,7,1)="-"),MATCH(UPPER(MID(C1438,4,3)),Guide!$D$7:$D$18,0),0)),0)</f>
        <v>2</v>
      </c>
      <c r="F1438" s="1">
        <f t="shared" si="177"/>
        <v>25</v>
      </c>
      <c r="G1438" s="9">
        <f t="shared" si="178"/>
        <v>46078</v>
      </c>
      <c r="H1438" s="1" t="str">
        <f>IF(Raw!D1438="","",Raw!D1438)</f>
        <v>P-A</v>
      </c>
      <c r="I1438" s="1" t="str">
        <f>IFERROR(IF(EXACT(H1438,INDEX(Guide!$A$7:$A$9,MATCH(SUBSTITUTE(SUBSTITUTE(SUBSTITUTE(H1438,"~","~~"),"*","~*"),"?","~?"),Guide!$A$7:$A$9,0))),INDEX(Guide!$B$7:$B$9,MATCH(SUBSTITUTE(SUBSTITUTE(SUBSTITUTE(H1438,"~","~~"),"*","~*"),"?","~?"),Guide!$A$7:$A$9,0)),""),"")</f>
        <v>Accessories</v>
      </c>
      <c r="J1438" s="1" t="str">
        <f>IF(TRIM(Raw!E1438)="",I1438,IF(UPPER(TRIM(Raw!E1438))=UPPER(I1438),I1438,""))</f>
        <v>Accessories</v>
      </c>
      <c r="K1438" s="1" t="str">
        <f>IF(Raw!F1438="","",Raw!F1438)</f>
        <v>sale</v>
      </c>
      <c r="L1438" s="1" t="str">
        <f>IF(LEFT(TRIM(Raw!G1438),2)="-$","-"&amp;MID(TRIM(Raw!G1438),3,99),IF(LEFT(TRIM(Raw!G1438),1)="$",MID(TRIM(Raw!G1438),2,99),TRIM(Raw!G1438)))</f>
        <v>163.38</v>
      </c>
      <c r="M1438" s="1">
        <f t="shared" si="179"/>
        <v>163.38</v>
      </c>
      <c r="N1438" s="10">
        <f t="shared" si="180"/>
        <v>16338</v>
      </c>
      <c r="O1438" s="1" t="b">
        <f>IFERROR(IF(ISNUMBER(Raw!G1438),TRUE,OR(EXACT(L1438,TEXT(M1438,"0.00")),EXACT(L1438,TEXT(M1438,"#,##0.00")))),FALSE)</f>
        <v>1</v>
      </c>
      <c r="P1438" s="1" t="str">
        <f>LEN(IF(Raw!A1438="","",Raw!A1438))&amp;":"&amp;IF(Raw!A1438="","",Raw!A1438)&amp;"|"&amp;LEN(IF(Raw!B1438="","",Raw!B1438))&amp;":"&amp;IF(Raw!B1438="","",Raw!B1438)&amp;"|"&amp;LEN(IF(Raw!C1438="","",Raw!C1438))&amp;":"&amp;IF(Raw!C1438="","",Raw!C1438)&amp;"|"&amp;LEN(IF(Raw!D1438="","",Raw!D1438))&amp;":"&amp;IF(Raw!D1438="","",Raw!D1438)&amp;"|"&amp;LEN(IF(Raw!E1438="","",Raw!E1438))&amp;":"&amp;IF(Raw!E1438="","",Raw!E1438)&amp;"|"&amp;LEN(IF(Raw!F1438="","",Raw!F1438))&amp;":"&amp;IF(Raw!F1438="","",Raw!F1438)&amp;"|"&amp;LEN(IF(Raw!G1438="","",Raw!G1438))&amp;":"&amp;IF(Raw!G1438="","",Raw!G1438)</f>
        <v>6:L01432|6:T00716|10:2026-02-25|3:P-A|11:Accessories|4:sale|6:163.38</v>
      </c>
      <c r="Q1438" s="1">
        <f>1</f>
        <v>1</v>
      </c>
      <c r="R1438" s="1" t="b">
        <f>FALSE</f>
        <v>0</v>
      </c>
      <c r="S1438" s="1">
        <f>1</f>
        <v>1</v>
      </c>
      <c r="T1438" s="1" t="str">
        <f>IF(AND(Raw!A1438="",Raw!B1438="",Raw!C1438="",Raw!D1438="",Raw!E1438="",Raw!F1438="",Raw!G1438=""),"UNUSED",IF(A1438="","missing line ID",IF(B1438="","missing transaction ID",IF(G1438="",IF(C1438="","missing date","invalid date"),IF(I1438="","unknown product",IF(J1438="","conflicting category",IF(NOT(OR(EXACT(K1438,"sale"),EXACT(K1438,"refund"))),"unknown event",IF(OR(N1438="",NOT(O1438)),"invalid amount",IF(OR(AND(K1438="sale",N1438&lt;=0),AND(K1438="refund",N1438&gt;=0)),"invalid sign","")))))))))</f>
        <v/>
      </c>
      <c r="U1438" s="1" t="str">
        <f t="shared" si="181"/>
        <v>INCLUDED</v>
      </c>
      <c r="V1438" s="1" t="str">
        <f t="shared" si="182"/>
        <v>2026-02</v>
      </c>
      <c r="W1438" s="1">
        <f>IF(AND(U1438="INCLUDED",X1438&gt;0,EXACT(A1438,'AI output'!A1438)),1,0)</f>
        <v>1</v>
      </c>
      <c r="X1438" s="1">
        <f>1438</f>
        <v>1438</v>
      </c>
      <c r="Y1438" s="1">
        <f>IF(AND(U1438="INCLUDED",W1438=1),--(NOT(EXACT(A1438,'AI output'!A1438)))+--(NOT(EXACT(B1438,'AI output'!B1438)))+--(NOT(EXACT(TEXT(G1438,"yyyy-mm-dd"),'AI output'!C1438)))+--(NOT(EXACT(H1438,'AI output'!D1438)))+--(NOT(EXACT(J1438,'AI output'!E1438)))+--(NOT(EXACT(K1438,'AI output'!F1438)))+--(N1438&lt;&gt;'AI output'!L1438)+--(NOT('AI output'!M1438)),0)</f>
        <v>0</v>
      </c>
      <c r="Z1438" s="1">
        <f t="shared" si="183"/>
        <v>0</v>
      </c>
      <c r="AA1438" s="1">
        <f>--EXACT(A1438,"L01432")</f>
        <v>1</v>
      </c>
    </row>
    <row r="1439" spans="1:27" ht="18.95" customHeight="1">
      <c r="A1439" s="1" t="str">
        <f>IF(Raw!A1439="","",Raw!A1439)</f>
        <v>L01433</v>
      </c>
      <c r="B1439" s="1" t="str">
        <f>IF(Raw!B1439="","",Raw!B1439)</f>
        <v>T00717</v>
      </c>
      <c r="C1439" s="1" t="str">
        <f>IF(Raw!C1439="","",Raw!C1439)</f>
        <v>2026-03-04</v>
      </c>
      <c r="D1439" s="1">
        <f t="shared" si="176"/>
        <v>2026</v>
      </c>
      <c r="E1439" s="1">
        <f>IFERROR(IF(AND(LEN(C1439)=10,MID(C1439,5,1)="-",MID(C1439,8,1)="-"),VALUE(MID(C1439,6,2)),IF(AND(LEN(C1439)=11,MID(C1439,3,1)="-",MID(C1439,7,1)="-"),MATCH(UPPER(MID(C1439,4,3)),Guide!$D$7:$D$18,0),0)),0)</f>
        <v>3</v>
      </c>
      <c r="F1439" s="1">
        <f t="shared" si="177"/>
        <v>4</v>
      </c>
      <c r="G1439" s="9">
        <f t="shared" si="178"/>
        <v>46085</v>
      </c>
      <c r="H1439" s="1" t="str">
        <f>IF(Raw!D1439="","",Raw!D1439)</f>
        <v>P-H</v>
      </c>
      <c r="I1439" s="1" t="str">
        <f>IFERROR(IF(EXACT(H1439,INDEX(Guide!$A$7:$A$9,MATCH(SUBSTITUTE(SUBSTITUTE(SUBSTITUTE(H1439,"~","~~"),"*","~*"),"?","~?"),Guide!$A$7:$A$9,0))),INDEX(Guide!$B$7:$B$9,MATCH(SUBSTITUTE(SUBSTITUTE(SUBSTITUTE(H1439,"~","~~"),"*","~*"),"?","~?"),Guide!$A$7:$A$9,0)),""),"")</f>
        <v>Home</v>
      </c>
      <c r="J1439" s="1" t="str">
        <f>IF(TRIM(Raw!E1439)="",I1439,IF(UPPER(TRIM(Raw!E1439))=UPPER(I1439),I1439,""))</f>
        <v>Home</v>
      </c>
      <c r="K1439" s="1" t="str">
        <f>IF(Raw!F1439="","",Raw!F1439)</f>
        <v>sale</v>
      </c>
      <c r="L1439" s="1" t="str">
        <f>IF(LEFT(TRIM(Raw!G1439),2)="-$","-"&amp;MID(TRIM(Raw!G1439),3,99),IF(LEFT(TRIM(Raw!G1439),1)="$",MID(TRIM(Raw!G1439),2,99),TRIM(Raw!G1439)))</f>
        <v>274.15</v>
      </c>
      <c r="M1439" s="1">
        <f t="shared" si="179"/>
        <v>274.14999999999998</v>
      </c>
      <c r="N1439" s="10">
        <f t="shared" si="180"/>
        <v>27415</v>
      </c>
      <c r="O1439" s="1" t="b">
        <f>IFERROR(IF(ISNUMBER(Raw!G1439),TRUE,OR(EXACT(L1439,TEXT(M1439,"0.00")),EXACT(L1439,TEXT(M1439,"#,##0.00")))),FALSE)</f>
        <v>1</v>
      </c>
      <c r="P1439" s="1" t="str">
        <f>LEN(IF(Raw!A1439="","",Raw!A1439))&amp;":"&amp;IF(Raw!A1439="","",Raw!A1439)&amp;"|"&amp;LEN(IF(Raw!B1439="","",Raw!B1439))&amp;":"&amp;IF(Raw!B1439="","",Raw!B1439)&amp;"|"&amp;LEN(IF(Raw!C1439="","",Raw!C1439))&amp;":"&amp;IF(Raw!C1439="","",Raw!C1439)&amp;"|"&amp;LEN(IF(Raw!D1439="","",Raw!D1439))&amp;":"&amp;IF(Raw!D1439="","",Raw!D1439)&amp;"|"&amp;LEN(IF(Raw!E1439="","",Raw!E1439))&amp;":"&amp;IF(Raw!E1439="","",Raw!E1439)&amp;"|"&amp;LEN(IF(Raw!F1439="","",Raw!F1439))&amp;":"&amp;IF(Raw!F1439="","",Raw!F1439)&amp;"|"&amp;LEN(IF(Raw!G1439="","",Raw!G1439))&amp;":"&amp;IF(Raw!G1439="","",Raw!G1439)</f>
        <v>6:L01433|6:T00717|10:2026-03-04|3:P-H|4:Home|4:sale|6:274.15</v>
      </c>
      <c r="Q1439" s="1">
        <f>1</f>
        <v>1</v>
      </c>
      <c r="R1439" s="1" t="b">
        <f>FALSE</f>
        <v>0</v>
      </c>
      <c r="S1439" s="1">
        <f>1</f>
        <v>1</v>
      </c>
      <c r="T1439" s="1" t="str">
        <f>IF(AND(Raw!A1439="",Raw!B1439="",Raw!C1439="",Raw!D1439="",Raw!E1439="",Raw!F1439="",Raw!G1439=""),"UNUSED",IF(A1439="","missing line ID",IF(B1439="","missing transaction ID",IF(G1439="",IF(C1439="","missing date","invalid date"),IF(I1439="","unknown product",IF(J1439="","conflicting category",IF(NOT(OR(EXACT(K1439,"sale"),EXACT(K1439,"refund"))),"unknown event",IF(OR(N1439="",NOT(O1439)),"invalid amount",IF(OR(AND(K1439="sale",N1439&lt;=0),AND(K1439="refund",N1439&gt;=0)),"invalid sign","")))))))))</f>
        <v/>
      </c>
      <c r="U1439" s="1" t="str">
        <f t="shared" si="181"/>
        <v>INCLUDED</v>
      </c>
      <c r="V1439" s="1" t="str">
        <f t="shared" si="182"/>
        <v>2026-03</v>
      </c>
      <c r="W1439" s="1">
        <f>IF(AND(U1439="INCLUDED",X1439&gt;0,EXACT(A1439,'AI output'!A1439)),1,0)</f>
        <v>1</v>
      </c>
      <c r="X1439" s="1">
        <f>1439</f>
        <v>1439</v>
      </c>
      <c r="Y1439" s="1">
        <f>IF(AND(U1439="INCLUDED",W1439=1),--(NOT(EXACT(A1439,'AI output'!A1439)))+--(NOT(EXACT(B1439,'AI output'!B1439)))+--(NOT(EXACT(TEXT(G1439,"yyyy-mm-dd"),'AI output'!C1439)))+--(NOT(EXACT(H1439,'AI output'!D1439)))+--(NOT(EXACT(J1439,'AI output'!E1439)))+--(NOT(EXACT(K1439,'AI output'!F1439)))+--(N1439&lt;&gt;'AI output'!L1439)+--(NOT('AI output'!M1439)),0)</f>
        <v>0</v>
      </c>
      <c r="Z1439" s="1">
        <f t="shared" si="183"/>
        <v>0</v>
      </c>
      <c r="AA1439" s="1">
        <f>--EXACT(A1439,"L01433")</f>
        <v>1</v>
      </c>
    </row>
    <row r="1440" spans="1:27" ht="18.95" customHeight="1">
      <c r="A1440" s="1" t="str">
        <f>IF(Raw!A1440="","",Raw!A1440)</f>
        <v>L01434</v>
      </c>
      <c r="B1440" s="1" t="str">
        <f>IF(Raw!B1440="","",Raw!B1440)</f>
        <v>T00717</v>
      </c>
      <c r="C1440" s="1" t="str">
        <f>IF(Raw!C1440="","",Raw!C1440)</f>
        <v>2026-03-04</v>
      </c>
      <c r="D1440" s="1">
        <f t="shared" si="176"/>
        <v>2026</v>
      </c>
      <c r="E1440" s="1">
        <f>IFERROR(IF(AND(LEN(C1440)=10,MID(C1440,5,1)="-",MID(C1440,8,1)="-"),VALUE(MID(C1440,6,2)),IF(AND(LEN(C1440)=11,MID(C1440,3,1)="-",MID(C1440,7,1)="-"),MATCH(UPPER(MID(C1440,4,3)),Guide!$D$7:$D$18,0),0)),0)</f>
        <v>3</v>
      </c>
      <c r="F1440" s="1">
        <f t="shared" si="177"/>
        <v>4</v>
      </c>
      <c r="G1440" s="9">
        <f t="shared" si="178"/>
        <v>46085</v>
      </c>
      <c r="H1440" s="1" t="str">
        <f>IF(Raw!D1440="","",Raw!D1440)</f>
        <v>P-O</v>
      </c>
      <c r="I1440" s="1" t="str">
        <f>IFERROR(IF(EXACT(H1440,INDEX(Guide!$A$7:$A$9,MATCH(SUBSTITUTE(SUBSTITUTE(SUBSTITUTE(H1440,"~","~~"),"*","~*"),"?","~?"),Guide!$A$7:$A$9,0))),INDEX(Guide!$B$7:$B$9,MATCH(SUBSTITUTE(SUBSTITUTE(SUBSTITUTE(H1440,"~","~~"),"*","~*"),"?","~?"),Guide!$A$7:$A$9,0)),""),"")</f>
        <v>Office</v>
      </c>
      <c r="J1440" s="1" t="str">
        <f>IF(TRIM(Raw!E1440)="",I1440,IF(UPPER(TRIM(Raw!E1440))=UPPER(I1440),I1440,""))</f>
        <v>Office</v>
      </c>
      <c r="K1440" s="1" t="str">
        <f>IF(Raw!F1440="","",Raw!F1440)</f>
        <v>sale</v>
      </c>
      <c r="L1440" s="1" t="str">
        <f>IF(LEFT(TRIM(Raw!G1440),2)="-$","-"&amp;MID(TRIM(Raw!G1440),3,99),IF(LEFT(TRIM(Raw!G1440),1)="$",MID(TRIM(Raw!G1440),2,99),TRIM(Raw!G1440)))</f>
        <v>110.40</v>
      </c>
      <c r="M1440" s="1">
        <f t="shared" si="179"/>
        <v>110.4</v>
      </c>
      <c r="N1440" s="10">
        <f t="shared" si="180"/>
        <v>11040</v>
      </c>
      <c r="O1440" s="1" t="b">
        <f>IFERROR(IF(ISNUMBER(Raw!G1440),TRUE,OR(EXACT(L1440,TEXT(M1440,"0.00")),EXACT(L1440,TEXT(M1440,"#,##0.00")))),FALSE)</f>
        <v>1</v>
      </c>
      <c r="P1440" s="1" t="str">
        <f>LEN(IF(Raw!A1440="","",Raw!A1440))&amp;":"&amp;IF(Raw!A1440="","",Raw!A1440)&amp;"|"&amp;LEN(IF(Raw!B1440="","",Raw!B1440))&amp;":"&amp;IF(Raw!B1440="","",Raw!B1440)&amp;"|"&amp;LEN(IF(Raw!C1440="","",Raw!C1440))&amp;":"&amp;IF(Raw!C1440="","",Raw!C1440)&amp;"|"&amp;LEN(IF(Raw!D1440="","",Raw!D1440))&amp;":"&amp;IF(Raw!D1440="","",Raw!D1440)&amp;"|"&amp;LEN(IF(Raw!E1440="","",Raw!E1440))&amp;":"&amp;IF(Raw!E1440="","",Raw!E1440)&amp;"|"&amp;LEN(IF(Raw!F1440="","",Raw!F1440))&amp;":"&amp;IF(Raw!F1440="","",Raw!F1440)&amp;"|"&amp;LEN(IF(Raw!G1440="","",Raw!G1440))&amp;":"&amp;IF(Raw!G1440="","",Raw!G1440)</f>
        <v>6:L01434|6:T00717|10:2026-03-04|3:P-O|6:Office|4:sale|6:110.40</v>
      </c>
      <c r="Q1440" s="1">
        <f>1</f>
        <v>1</v>
      </c>
      <c r="R1440" s="1" t="b">
        <f>FALSE</f>
        <v>0</v>
      </c>
      <c r="S1440" s="1">
        <f>1</f>
        <v>1</v>
      </c>
      <c r="T1440" s="1" t="str">
        <f>IF(AND(Raw!A1440="",Raw!B1440="",Raw!C1440="",Raw!D1440="",Raw!E1440="",Raw!F1440="",Raw!G1440=""),"UNUSED",IF(A1440="","missing line ID",IF(B1440="","missing transaction ID",IF(G1440="",IF(C1440="","missing date","invalid date"),IF(I1440="","unknown product",IF(J1440="","conflicting category",IF(NOT(OR(EXACT(K1440,"sale"),EXACT(K1440,"refund"))),"unknown event",IF(OR(N1440="",NOT(O1440)),"invalid amount",IF(OR(AND(K1440="sale",N1440&lt;=0),AND(K1440="refund",N1440&gt;=0)),"invalid sign","")))))))))</f>
        <v/>
      </c>
      <c r="U1440" s="1" t="str">
        <f t="shared" si="181"/>
        <v>INCLUDED</v>
      </c>
      <c r="V1440" s="1" t="str">
        <f t="shared" si="182"/>
        <v>2026-03</v>
      </c>
      <c r="W1440" s="1">
        <f>IF(AND(U1440="INCLUDED",X1440&gt;0,EXACT(A1440,'AI output'!A1440)),1,0)</f>
        <v>1</v>
      </c>
      <c r="X1440" s="1">
        <f>1440</f>
        <v>1440</v>
      </c>
      <c r="Y1440" s="1">
        <f>IF(AND(U1440="INCLUDED",W1440=1),--(NOT(EXACT(A1440,'AI output'!A1440)))+--(NOT(EXACT(B1440,'AI output'!B1440)))+--(NOT(EXACT(TEXT(G1440,"yyyy-mm-dd"),'AI output'!C1440)))+--(NOT(EXACT(H1440,'AI output'!D1440)))+--(NOT(EXACT(J1440,'AI output'!E1440)))+--(NOT(EXACT(K1440,'AI output'!F1440)))+--(N1440&lt;&gt;'AI output'!L1440)+--(NOT('AI output'!M1440)),0)</f>
        <v>0</v>
      </c>
      <c r="Z1440" s="1">
        <f t="shared" si="183"/>
        <v>0</v>
      </c>
      <c r="AA1440" s="1">
        <f>--EXACT(A1440,"L01434")</f>
        <v>1</v>
      </c>
    </row>
    <row r="1441" spans="1:27" ht="18.95" customHeight="1">
      <c r="A1441" s="1" t="str">
        <f>IF(Raw!A1441="","",Raw!A1441)</f>
        <v>L01435</v>
      </c>
      <c r="B1441" s="1" t="str">
        <f>IF(Raw!B1441="","",Raw!B1441)</f>
        <v>T00718</v>
      </c>
      <c r="C1441" s="1" t="str">
        <f>IF(Raw!C1441="","",Raw!C1441)</f>
        <v>2026-03-11</v>
      </c>
      <c r="D1441" s="1">
        <f t="shared" si="176"/>
        <v>2026</v>
      </c>
      <c r="E1441" s="1">
        <f>IFERROR(IF(AND(LEN(C1441)=10,MID(C1441,5,1)="-",MID(C1441,8,1)="-"),VALUE(MID(C1441,6,2)),IF(AND(LEN(C1441)=11,MID(C1441,3,1)="-",MID(C1441,7,1)="-"),MATCH(UPPER(MID(C1441,4,3)),Guide!$D$7:$D$18,0),0)),0)</f>
        <v>3</v>
      </c>
      <c r="F1441" s="1">
        <f t="shared" si="177"/>
        <v>11</v>
      </c>
      <c r="G1441" s="9">
        <f t="shared" si="178"/>
        <v>46092</v>
      </c>
      <c r="H1441" s="1" t="str">
        <f>IF(Raw!D1441="","",Raw!D1441)</f>
        <v>P-A</v>
      </c>
      <c r="I1441" s="1" t="str">
        <f>IFERROR(IF(EXACT(H1441,INDEX(Guide!$A$7:$A$9,MATCH(SUBSTITUTE(SUBSTITUTE(SUBSTITUTE(H1441,"~","~~"),"*","~*"),"?","~?"),Guide!$A$7:$A$9,0))),INDEX(Guide!$B$7:$B$9,MATCH(SUBSTITUTE(SUBSTITUTE(SUBSTITUTE(H1441,"~","~~"),"*","~*"),"?","~?"),Guide!$A$7:$A$9,0)),""),"")</f>
        <v>Accessories</v>
      </c>
      <c r="J1441" s="1" t="str">
        <f>IF(TRIM(Raw!E1441)="",I1441,IF(UPPER(TRIM(Raw!E1441))=UPPER(I1441),I1441,""))</f>
        <v>Accessories</v>
      </c>
      <c r="K1441" s="1" t="str">
        <f>IF(Raw!F1441="","",Raw!F1441)</f>
        <v>sale</v>
      </c>
      <c r="L1441" s="1" t="str">
        <f>IF(LEFT(TRIM(Raw!G1441),2)="-$","-"&amp;MID(TRIM(Raw!G1441),3,99),IF(LEFT(TRIM(Raw!G1441),1)="$",MID(TRIM(Raw!G1441),2,99),TRIM(Raw!G1441)))</f>
        <v>222.28</v>
      </c>
      <c r="M1441" s="1">
        <f t="shared" si="179"/>
        <v>222.28</v>
      </c>
      <c r="N1441" s="10">
        <f t="shared" si="180"/>
        <v>22228</v>
      </c>
      <c r="O1441" s="1" t="b">
        <f>IFERROR(IF(ISNUMBER(Raw!G1441),TRUE,OR(EXACT(L1441,TEXT(M1441,"0.00")),EXACT(L1441,TEXT(M1441,"#,##0.00")))),FALSE)</f>
        <v>1</v>
      </c>
      <c r="P1441" s="1" t="str">
        <f>LEN(IF(Raw!A1441="","",Raw!A1441))&amp;":"&amp;IF(Raw!A1441="","",Raw!A1441)&amp;"|"&amp;LEN(IF(Raw!B1441="","",Raw!B1441))&amp;":"&amp;IF(Raw!B1441="","",Raw!B1441)&amp;"|"&amp;LEN(IF(Raw!C1441="","",Raw!C1441))&amp;":"&amp;IF(Raw!C1441="","",Raw!C1441)&amp;"|"&amp;LEN(IF(Raw!D1441="","",Raw!D1441))&amp;":"&amp;IF(Raw!D1441="","",Raw!D1441)&amp;"|"&amp;LEN(IF(Raw!E1441="","",Raw!E1441))&amp;":"&amp;IF(Raw!E1441="","",Raw!E1441)&amp;"|"&amp;LEN(IF(Raw!F1441="","",Raw!F1441))&amp;":"&amp;IF(Raw!F1441="","",Raw!F1441)&amp;"|"&amp;LEN(IF(Raw!G1441="","",Raw!G1441))&amp;":"&amp;IF(Raw!G1441="","",Raw!G1441)</f>
        <v>6:L01435|6:T00718|10:2026-03-11|3:P-A|11:Accessories|4:sale|6:222.28</v>
      </c>
      <c r="Q1441" s="1">
        <f>1</f>
        <v>1</v>
      </c>
      <c r="R1441" s="1" t="b">
        <f>FALSE</f>
        <v>0</v>
      </c>
      <c r="S1441" s="1">
        <f>1</f>
        <v>1</v>
      </c>
      <c r="T1441" s="1" t="str">
        <f>IF(AND(Raw!A1441="",Raw!B1441="",Raw!C1441="",Raw!D1441="",Raw!E1441="",Raw!F1441="",Raw!G1441=""),"UNUSED",IF(A1441="","missing line ID",IF(B1441="","missing transaction ID",IF(G1441="",IF(C1441="","missing date","invalid date"),IF(I1441="","unknown product",IF(J1441="","conflicting category",IF(NOT(OR(EXACT(K1441,"sale"),EXACT(K1441,"refund"))),"unknown event",IF(OR(N1441="",NOT(O1441)),"invalid amount",IF(OR(AND(K1441="sale",N1441&lt;=0),AND(K1441="refund",N1441&gt;=0)),"invalid sign","")))))))))</f>
        <v/>
      </c>
      <c r="U1441" s="1" t="str">
        <f t="shared" si="181"/>
        <v>INCLUDED</v>
      </c>
      <c r="V1441" s="1" t="str">
        <f t="shared" si="182"/>
        <v>2026-03</v>
      </c>
      <c r="W1441" s="1">
        <f>IF(AND(U1441="INCLUDED",X1441&gt;0,EXACT(A1441,'AI output'!A1441)),1,0)</f>
        <v>1</v>
      </c>
      <c r="X1441" s="1">
        <f>1441</f>
        <v>1441</v>
      </c>
      <c r="Y1441" s="1">
        <f>IF(AND(U1441="INCLUDED",W1441=1),--(NOT(EXACT(A1441,'AI output'!A1441)))+--(NOT(EXACT(B1441,'AI output'!B1441)))+--(NOT(EXACT(TEXT(G1441,"yyyy-mm-dd"),'AI output'!C1441)))+--(NOT(EXACT(H1441,'AI output'!D1441)))+--(NOT(EXACT(J1441,'AI output'!E1441)))+--(NOT(EXACT(K1441,'AI output'!F1441)))+--(N1441&lt;&gt;'AI output'!L1441)+--(NOT('AI output'!M1441)),0)</f>
        <v>0</v>
      </c>
      <c r="Z1441" s="1">
        <f t="shared" si="183"/>
        <v>0</v>
      </c>
      <c r="AA1441" s="1">
        <f>--EXACT(A1441,"L01435")</f>
        <v>1</v>
      </c>
    </row>
    <row r="1442" spans="1:27" ht="18.95" customHeight="1">
      <c r="A1442" s="1" t="str">
        <f>IF(Raw!A1442="","",Raw!A1442)</f>
        <v>L01436</v>
      </c>
      <c r="B1442" s="1" t="str">
        <f>IF(Raw!B1442="","",Raw!B1442)</f>
        <v>T00718</v>
      </c>
      <c r="C1442" s="1" t="str">
        <f>IF(Raw!C1442="","",Raw!C1442)</f>
        <v>2026-03-11</v>
      </c>
      <c r="D1442" s="1">
        <f t="shared" si="176"/>
        <v>2026</v>
      </c>
      <c r="E1442" s="1">
        <f>IFERROR(IF(AND(LEN(C1442)=10,MID(C1442,5,1)="-",MID(C1442,8,1)="-"),VALUE(MID(C1442,6,2)),IF(AND(LEN(C1442)=11,MID(C1442,3,1)="-",MID(C1442,7,1)="-"),MATCH(UPPER(MID(C1442,4,3)),Guide!$D$7:$D$18,0),0)),0)</f>
        <v>3</v>
      </c>
      <c r="F1442" s="1">
        <f t="shared" si="177"/>
        <v>11</v>
      </c>
      <c r="G1442" s="9">
        <f t="shared" si="178"/>
        <v>46092</v>
      </c>
      <c r="H1442" s="1" t="str">
        <f>IF(Raw!D1442="","",Raw!D1442)</f>
        <v>P-H</v>
      </c>
      <c r="I1442" s="1" t="str">
        <f>IFERROR(IF(EXACT(H1442,INDEX(Guide!$A$7:$A$9,MATCH(SUBSTITUTE(SUBSTITUTE(SUBSTITUTE(H1442,"~","~~"),"*","~*"),"?","~?"),Guide!$A$7:$A$9,0))),INDEX(Guide!$B$7:$B$9,MATCH(SUBSTITUTE(SUBSTITUTE(SUBSTITUTE(H1442,"~","~~"),"*","~*"),"?","~?"),Guide!$A$7:$A$9,0)),""),"")</f>
        <v>Home</v>
      </c>
      <c r="J1442" s="1" t="str">
        <f>IF(TRIM(Raw!E1442)="",I1442,IF(UPPER(TRIM(Raw!E1442))=UPPER(I1442),I1442,""))</f>
        <v>Home</v>
      </c>
      <c r="K1442" s="1" t="str">
        <f>IF(Raw!F1442="","",Raw!F1442)</f>
        <v>sale</v>
      </c>
      <c r="L1442" s="1" t="str">
        <f>IF(LEFT(TRIM(Raw!G1442),2)="-$","-"&amp;MID(TRIM(Raw!G1442),3,99),IF(LEFT(TRIM(Raw!G1442),1)="$",MID(TRIM(Raw!G1442),2,99),TRIM(Raw!G1442)))</f>
        <v>55.94</v>
      </c>
      <c r="M1442" s="1">
        <f t="shared" si="179"/>
        <v>55.94</v>
      </c>
      <c r="N1442" s="10">
        <f t="shared" si="180"/>
        <v>5594</v>
      </c>
      <c r="O1442" s="1" t="b">
        <f>IFERROR(IF(ISNUMBER(Raw!G1442),TRUE,OR(EXACT(L1442,TEXT(M1442,"0.00")),EXACT(L1442,TEXT(M1442,"#,##0.00")))),FALSE)</f>
        <v>1</v>
      </c>
      <c r="P1442" s="1" t="str">
        <f>LEN(IF(Raw!A1442="","",Raw!A1442))&amp;":"&amp;IF(Raw!A1442="","",Raw!A1442)&amp;"|"&amp;LEN(IF(Raw!B1442="","",Raw!B1442))&amp;":"&amp;IF(Raw!B1442="","",Raw!B1442)&amp;"|"&amp;LEN(IF(Raw!C1442="","",Raw!C1442))&amp;":"&amp;IF(Raw!C1442="","",Raw!C1442)&amp;"|"&amp;LEN(IF(Raw!D1442="","",Raw!D1442))&amp;":"&amp;IF(Raw!D1442="","",Raw!D1442)&amp;"|"&amp;LEN(IF(Raw!E1442="","",Raw!E1442))&amp;":"&amp;IF(Raw!E1442="","",Raw!E1442)&amp;"|"&amp;LEN(IF(Raw!F1442="","",Raw!F1442))&amp;":"&amp;IF(Raw!F1442="","",Raw!F1442)&amp;"|"&amp;LEN(IF(Raw!G1442="","",Raw!G1442))&amp;":"&amp;IF(Raw!G1442="","",Raw!G1442)</f>
        <v>6:L01436|6:T00718|10:2026-03-11|3:P-H|4:Home|4:sale|5:55.94</v>
      </c>
      <c r="Q1442" s="1">
        <f>1</f>
        <v>1</v>
      </c>
      <c r="R1442" s="1" t="b">
        <f>FALSE</f>
        <v>0</v>
      </c>
      <c r="S1442" s="1">
        <f>1</f>
        <v>1</v>
      </c>
      <c r="T1442" s="1" t="str">
        <f>IF(AND(Raw!A1442="",Raw!B1442="",Raw!C1442="",Raw!D1442="",Raw!E1442="",Raw!F1442="",Raw!G1442=""),"UNUSED",IF(A1442="","missing line ID",IF(B1442="","missing transaction ID",IF(G1442="",IF(C1442="","missing date","invalid date"),IF(I1442="","unknown product",IF(J1442="","conflicting category",IF(NOT(OR(EXACT(K1442,"sale"),EXACT(K1442,"refund"))),"unknown event",IF(OR(N1442="",NOT(O1442)),"invalid amount",IF(OR(AND(K1442="sale",N1442&lt;=0),AND(K1442="refund",N1442&gt;=0)),"invalid sign","")))))))))</f>
        <v/>
      </c>
      <c r="U1442" s="1" t="str">
        <f t="shared" si="181"/>
        <v>INCLUDED</v>
      </c>
      <c r="V1442" s="1" t="str">
        <f t="shared" si="182"/>
        <v>2026-03</v>
      </c>
      <c r="W1442" s="1">
        <f>IF(AND(U1442="INCLUDED",X1442&gt;0,EXACT(A1442,'AI output'!A1442)),1,0)</f>
        <v>1</v>
      </c>
      <c r="X1442" s="1">
        <f>1442</f>
        <v>1442</v>
      </c>
      <c r="Y1442" s="1">
        <f>IF(AND(U1442="INCLUDED",W1442=1),--(NOT(EXACT(A1442,'AI output'!A1442)))+--(NOT(EXACT(B1442,'AI output'!B1442)))+--(NOT(EXACT(TEXT(G1442,"yyyy-mm-dd"),'AI output'!C1442)))+--(NOT(EXACT(H1442,'AI output'!D1442)))+--(NOT(EXACT(J1442,'AI output'!E1442)))+--(NOT(EXACT(K1442,'AI output'!F1442)))+--(N1442&lt;&gt;'AI output'!L1442)+--(NOT('AI output'!M1442)),0)</f>
        <v>0</v>
      </c>
      <c r="Z1442" s="1">
        <f t="shared" si="183"/>
        <v>0</v>
      </c>
      <c r="AA1442" s="1">
        <f>--EXACT(A1442,"L01436")</f>
        <v>1</v>
      </c>
    </row>
    <row r="1443" spans="1:27" ht="18.95" customHeight="1">
      <c r="A1443" s="1" t="str">
        <f>IF(Raw!A1443="","",Raw!A1443)</f>
        <v>L01437</v>
      </c>
      <c r="B1443" s="1" t="str">
        <f>IF(Raw!B1443="","",Raw!B1443)</f>
        <v>T00719</v>
      </c>
      <c r="C1443" s="1" t="str">
        <f>IF(Raw!C1443="","",Raw!C1443)</f>
        <v>2026-03-18</v>
      </c>
      <c r="D1443" s="1">
        <f t="shared" si="176"/>
        <v>2026</v>
      </c>
      <c r="E1443" s="1">
        <f>IFERROR(IF(AND(LEN(C1443)=10,MID(C1443,5,1)="-",MID(C1443,8,1)="-"),VALUE(MID(C1443,6,2)),IF(AND(LEN(C1443)=11,MID(C1443,3,1)="-",MID(C1443,7,1)="-"),MATCH(UPPER(MID(C1443,4,3)),Guide!$D$7:$D$18,0),0)),0)</f>
        <v>3</v>
      </c>
      <c r="F1443" s="1">
        <f t="shared" si="177"/>
        <v>18</v>
      </c>
      <c r="G1443" s="9">
        <f t="shared" si="178"/>
        <v>46099</v>
      </c>
      <c r="H1443" s="1" t="str">
        <f>IF(Raw!D1443="","",Raw!D1443)</f>
        <v>P-O</v>
      </c>
      <c r="I1443" s="1" t="str">
        <f>IFERROR(IF(EXACT(H1443,INDEX(Guide!$A$7:$A$9,MATCH(SUBSTITUTE(SUBSTITUTE(SUBSTITUTE(H1443,"~","~~"),"*","~*"),"?","~?"),Guide!$A$7:$A$9,0))),INDEX(Guide!$B$7:$B$9,MATCH(SUBSTITUTE(SUBSTITUTE(SUBSTITUTE(H1443,"~","~~"),"*","~*"),"?","~?"),Guide!$A$7:$A$9,0)),""),"")</f>
        <v>Office</v>
      </c>
      <c r="J1443" s="1" t="str">
        <f>IF(TRIM(Raw!E1443)="",I1443,IF(UPPER(TRIM(Raw!E1443))=UPPER(I1443),I1443,""))</f>
        <v>Office</v>
      </c>
      <c r="K1443" s="1" t="str">
        <f>IF(Raw!F1443="","",Raw!F1443)</f>
        <v>sale</v>
      </c>
      <c r="L1443" s="1" t="str">
        <f>IF(LEFT(TRIM(Raw!G1443),2)="-$","-"&amp;MID(TRIM(Raw!G1443),3,99),IF(LEFT(TRIM(Raw!G1443),1)="$",MID(TRIM(Raw!G1443),2,99),TRIM(Raw!G1443)))</f>
        <v>168.93</v>
      </c>
      <c r="M1443" s="1">
        <f t="shared" si="179"/>
        <v>168.93</v>
      </c>
      <c r="N1443" s="10">
        <f t="shared" si="180"/>
        <v>16893</v>
      </c>
      <c r="O1443" s="1" t="b">
        <f>IFERROR(IF(ISNUMBER(Raw!G1443),TRUE,OR(EXACT(L1443,TEXT(M1443,"0.00")),EXACT(L1443,TEXT(M1443,"#,##0.00")))),FALSE)</f>
        <v>1</v>
      </c>
      <c r="P1443" s="1" t="str">
        <f>LEN(IF(Raw!A1443="","",Raw!A1443))&amp;":"&amp;IF(Raw!A1443="","",Raw!A1443)&amp;"|"&amp;LEN(IF(Raw!B1443="","",Raw!B1443))&amp;":"&amp;IF(Raw!B1443="","",Raw!B1443)&amp;"|"&amp;LEN(IF(Raw!C1443="","",Raw!C1443))&amp;":"&amp;IF(Raw!C1443="","",Raw!C1443)&amp;"|"&amp;LEN(IF(Raw!D1443="","",Raw!D1443))&amp;":"&amp;IF(Raw!D1443="","",Raw!D1443)&amp;"|"&amp;LEN(IF(Raw!E1443="","",Raw!E1443))&amp;":"&amp;IF(Raw!E1443="","",Raw!E1443)&amp;"|"&amp;LEN(IF(Raw!F1443="","",Raw!F1443))&amp;":"&amp;IF(Raw!F1443="","",Raw!F1443)&amp;"|"&amp;LEN(IF(Raw!G1443="","",Raw!G1443))&amp;":"&amp;IF(Raw!G1443="","",Raw!G1443)</f>
        <v>6:L01437|6:T00719|10:2026-03-18|3:P-O|6:Office|4:sale|6:168.93</v>
      </c>
      <c r="Q1443" s="1">
        <f>1</f>
        <v>1</v>
      </c>
      <c r="R1443" s="1" t="b">
        <f>FALSE</f>
        <v>0</v>
      </c>
      <c r="S1443" s="1">
        <f>1</f>
        <v>1</v>
      </c>
      <c r="T1443" s="1" t="str">
        <f>IF(AND(Raw!A1443="",Raw!B1443="",Raw!C1443="",Raw!D1443="",Raw!E1443="",Raw!F1443="",Raw!G1443=""),"UNUSED",IF(A1443="","missing line ID",IF(B1443="","missing transaction ID",IF(G1443="",IF(C1443="","missing date","invalid date"),IF(I1443="","unknown product",IF(J1443="","conflicting category",IF(NOT(OR(EXACT(K1443,"sale"),EXACT(K1443,"refund"))),"unknown event",IF(OR(N1443="",NOT(O1443)),"invalid amount",IF(OR(AND(K1443="sale",N1443&lt;=0),AND(K1443="refund",N1443&gt;=0)),"invalid sign","")))))))))</f>
        <v/>
      </c>
      <c r="U1443" s="1" t="str">
        <f t="shared" si="181"/>
        <v>INCLUDED</v>
      </c>
      <c r="V1443" s="1" t="str">
        <f t="shared" si="182"/>
        <v>2026-03</v>
      </c>
      <c r="W1443" s="1">
        <f>IF(AND(U1443="INCLUDED",X1443&gt;0,EXACT(A1443,'AI output'!A1443)),1,0)</f>
        <v>1</v>
      </c>
      <c r="X1443" s="1">
        <f>1443</f>
        <v>1443</v>
      </c>
      <c r="Y1443" s="1">
        <f>IF(AND(U1443="INCLUDED",W1443=1),--(NOT(EXACT(A1443,'AI output'!A1443)))+--(NOT(EXACT(B1443,'AI output'!B1443)))+--(NOT(EXACT(TEXT(G1443,"yyyy-mm-dd"),'AI output'!C1443)))+--(NOT(EXACT(H1443,'AI output'!D1443)))+--(NOT(EXACT(J1443,'AI output'!E1443)))+--(NOT(EXACT(K1443,'AI output'!F1443)))+--(N1443&lt;&gt;'AI output'!L1443)+--(NOT('AI output'!M1443)),0)</f>
        <v>0</v>
      </c>
      <c r="Z1443" s="1">
        <f t="shared" si="183"/>
        <v>0</v>
      </c>
      <c r="AA1443" s="1">
        <f>--EXACT(A1443,"L01437")</f>
        <v>1</v>
      </c>
    </row>
    <row r="1444" spans="1:27" ht="18.95" customHeight="1">
      <c r="A1444" s="1" t="str">
        <f>IF(Raw!A1444="","",Raw!A1444)</f>
        <v>L01438</v>
      </c>
      <c r="B1444" s="1" t="str">
        <f>IF(Raw!B1444="","",Raw!B1444)</f>
        <v>T00719</v>
      </c>
      <c r="C1444" s="1" t="str">
        <f>IF(Raw!C1444="","",Raw!C1444)</f>
        <v>2026-03-18</v>
      </c>
      <c r="D1444" s="1">
        <f t="shared" si="176"/>
        <v>2026</v>
      </c>
      <c r="E1444" s="1">
        <f>IFERROR(IF(AND(LEN(C1444)=10,MID(C1444,5,1)="-",MID(C1444,8,1)="-"),VALUE(MID(C1444,6,2)),IF(AND(LEN(C1444)=11,MID(C1444,3,1)="-",MID(C1444,7,1)="-"),MATCH(UPPER(MID(C1444,4,3)),Guide!$D$7:$D$18,0),0)),0)</f>
        <v>3</v>
      </c>
      <c r="F1444" s="1">
        <f t="shared" si="177"/>
        <v>18</v>
      </c>
      <c r="G1444" s="9">
        <f t="shared" si="178"/>
        <v>46099</v>
      </c>
      <c r="H1444" s="1" t="str">
        <f>IF(Raw!D1444="","",Raw!D1444)</f>
        <v>P-A</v>
      </c>
      <c r="I1444" s="1" t="str">
        <f>IFERROR(IF(EXACT(H1444,INDEX(Guide!$A$7:$A$9,MATCH(SUBSTITUTE(SUBSTITUTE(SUBSTITUTE(H1444,"~","~~"),"*","~*"),"?","~?"),Guide!$A$7:$A$9,0))),INDEX(Guide!$B$7:$B$9,MATCH(SUBSTITUTE(SUBSTITUTE(SUBSTITUTE(H1444,"~","~~"),"*","~*"),"?","~?"),Guide!$A$7:$A$9,0)),""),"")</f>
        <v>Accessories</v>
      </c>
      <c r="J1444" s="1" t="str">
        <f>IF(TRIM(Raw!E1444)="",I1444,IF(UPPER(TRIM(Raw!E1444))=UPPER(I1444),I1444,""))</f>
        <v>Accessories</v>
      </c>
      <c r="K1444" s="1" t="str">
        <f>IF(Raw!F1444="","",Raw!F1444)</f>
        <v>sale</v>
      </c>
      <c r="L1444" s="1" t="str">
        <f>IF(LEFT(TRIM(Raw!G1444),2)="-$","-"&amp;MID(TRIM(Raw!G1444),3,99),IF(LEFT(TRIM(Raw!G1444),1)="$",MID(TRIM(Raw!G1444),2,99),TRIM(Raw!G1444)))</f>
        <v>283.40</v>
      </c>
      <c r="M1444" s="1">
        <f t="shared" si="179"/>
        <v>283.39999999999998</v>
      </c>
      <c r="N1444" s="10">
        <f t="shared" si="180"/>
        <v>28340</v>
      </c>
      <c r="O1444" s="1" t="b">
        <f>IFERROR(IF(ISNUMBER(Raw!G1444),TRUE,OR(EXACT(L1444,TEXT(M1444,"0.00")),EXACT(L1444,TEXT(M1444,"#,##0.00")))),FALSE)</f>
        <v>1</v>
      </c>
      <c r="P1444" s="1" t="str">
        <f>LEN(IF(Raw!A1444="","",Raw!A1444))&amp;":"&amp;IF(Raw!A1444="","",Raw!A1444)&amp;"|"&amp;LEN(IF(Raw!B1444="","",Raw!B1444))&amp;":"&amp;IF(Raw!B1444="","",Raw!B1444)&amp;"|"&amp;LEN(IF(Raw!C1444="","",Raw!C1444))&amp;":"&amp;IF(Raw!C1444="","",Raw!C1444)&amp;"|"&amp;LEN(IF(Raw!D1444="","",Raw!D1444))&amp;":"&amp;IF(Raw!D1444="","",Raw!D1444)&amp;"|"&amp;LEN(IF(Raw!E1444="","",Raw!E1444))&amp;":"&amp;IF(Raw!E1444="","",Raw!E1444)&amp;"|"&amp;LEN(IF(Raw!F1444="","",Raw!F1444))&amp;":"&amp;IF(Raw!F1444="","",Raw!F1444)&amp;"|"&amp;LEN(IF(Raw!G1444="","",Raw!G1444))&amp;":"&amp;IF(Raw!G1444="","",Raw!G1444)</f>
        <v>6:L01438|6:T00719|10:2026-03-18|3:P-A|11:Accessories|4:sale|6:283.40</v>
      </c>
      <c r="Q1444" s="1">
        <f>1</f>
        <v>1</v>
      </c>
      <c r="R1444" s="1" t="b">
        <f>FALSE</f>
        <v>0</v>
      </c>
      <c r="S1444" s="1">
        <f>1</f>
        <v>1</v>
      </c>
      <c r="T1444" s="1" t="str">
        <f>IF(AND(Raw!A1444="",Raw!B1444="",Raw!C1444="",Raw!D1444="",Raw!E1444="",Raw!F1444="",Raw!G1444=""),"UNUSED",IF(A1444="","missing line ID",IF(B1444="","missing transaction ID",IF(G1444="",IF(C1444="","missing date","invalid date"),IF(I1444="","unknown product",IF(J1444="","conflicting category",IF(NOT(OR(EXACT(K1444,"sale"),EXACT(K1444,"refund"))),"unknown event",IF(OR(N1444="",NOT(O1444)),"invalid amount",IF(OR(AND(K1444="sale",N1444&lt;=0),AND(K1444="refund",N1444&gt;=0)),"invalid sign","")))))))))</f>
        <v/>
      </c>
      <c r="U1444" s="1" t="str">
        <f t="shared" si="181"/>
        <v>INCLUDED</v>
      </c>
      <c r="V1444" s="1" t="str">
        <f t="shared" si="182"/>
        <v>2026-03</v>
      </c>
      <c r="W1444" s="1">
        <f>IF(AND(U1444="INCLUDED",X1444&gt;0,EXACT(A1444,'AI output'!A1444)),1,0)</f>
        <v>1</v>
      </c>
      <c r="X1444" s="1">
        <f>1444</f>
        <v>1444</v>
      </c>
      <c r="Y1444" s="1">
        <f>IF(AND(U1444="INCLUDED",W1444=1),--(NOT(EXACT(A1444,'AI output'!A1444)))+--(NOT(EXACT(B1444,'AI output'!B1444)))+--(NOT(EXACT(TEXT(G1444,"yyyy-mm-dd"),'AI output'!C1444)))+--(NOT(EXACT(H1444,'AI output'!D1444)))+--(NOT(EXACT(J1444,'AI output'!E1444)))+--(NOT(EXACT(K1444,'AI output'!F1444)))+--(N1444&lt;&gt;'AI output'!L1444)+--(NOT('AI output'!M1444)),0)</f>
        <v>0</v>
      </c>
      <c r="Z1444" s="1">
        <f t="shared" si="183"/>
        <v>0</v>
      </c>
      <c r="AA1444" s="1">
        <f>--EXACT(A1444,"L01438")</f>
        <v>1</v>
      </c>
    </row>
    <row r="1445" spans="1:27" ht="18.95" customHeight="1">
      <c r="A1445" s="1" t="str">
        <f>IF(Raw!A1445="","",Raw!A1445)</f>
        <v>L01439</v>
      </c>
      <c r="B1445" s="1" t="str">
        <f>IF(Raw!B1445="","",Raw!B1445)</f>
        <v>T00720</v>
      </c>
      <c r="C1445" s="1" t="str">
        <f>IF(Raw!C1445="","",Raw!C1445)</f>
        <v>2026-03-25</v>
      </c>
      <c r="D1445" s="1">
        <f t="shared" si="176"/>
        <v>2026</v>
      </c>
      <c r="E1445" s="1">
        <f>IFERROR(IF(AND(LEN(C1445)=10,MID(C1445,5,1)="-",MID(C1445,8,1)="-"),VALUE(MID(C1445,6,2)),IF(AND(LEN(C1445)=11,MID(C1445,3,1)="-",MID(C1445,7,1)="-"),MATCH(UPPER(MID(C1445,4,3)),Guide!$D$7:$D$18,0),0)),0)</f>
        <v>3</v>
      </c>
      <c r="F1445" s="1">
        <f t="shared" si="177"/>
        <v>25</v>
      </c>
      <c r="G1445" s="9">
        <f t="shared" si="178"/>
        <v>46106</v>
      </c>
      <c r="H1445" s="1" t="str">
        <f>IF(Raw!D1445="","",Raw!D1445)</f>
        <v>P-H</v>
      </c>
      <c r="I1445" s="1" t="str">
        <f>IFERROR(IF(EXACT(H1445,INDEX(Guide!$A$7:$A$9,MATCH(SUBSTITUTE(SUBSTITUTE(SUBSTITUTE(H1445,"~","~~"),"*","~*"),"?","~?"),Guide!$A$7:$A$9,0))),INDEX(Guide!$B$7:$B$9,MATCH(SUBSTITUTE(SUBSTITUTE(SUBSTITUTE(H1445,"~","~~"),"*","~*"),"?","~?"),Guide!$A$7:$A$9,0)),""),"")</f>
        <v>Home</v>
      </c>
      <c r="J1445" s="1" t="str">
        <f>IF(TRIM(Raw!E1445)="",I1445,IF(UPPER(TRIM(Raw!E1445))=UPPER(I1445),I1445,""))</f>
        <v>Home</v>
      </c>
      <c r="K1445" s="1" t="str">
        <f>IF(Raw!F1445="","",Raw!F1445)</f>
        <v>sale</v>
      </c>
      <c r="L1445" s="1" t="str">
        <f>IF(LEFT(TRIM(Raw!G1445),2)="-$","-"&amp;MID(TRIM(Raw!G1445),3,99),IF(LEFT(TRIM(Raw!G1445),1)="$",MID(TRIM(Raw!G1445),2,99),TRIM(Raw!G1445)))</f>
        <v>114.10</v>
      </c>
      <c r="M1445" s="1">
        <f t="shared" si="179"/>
        <v>114.1</v>
      </c>
      <c r="N1445" s="10">
        <f t="shared" si="180"/>
        <v>11410</v>
      </c>
      <c r="O1445" s="1" t="b">
        <f>IFERROR(IF(ISNUMBER(Raw!G1445),TRUE,OR(EXACT(L1445,TEXT(M1445,"0.00")),EXACT(L1445,TEXT(M1445,"#,##0.00")))),FALSE)</f>
        <v>1</v>
      </c>
      <c r="P1445" s="1" t="str">
        <f>LEN(IF(Raw!A1445="","",Raw!A1445))&amp;":"&amp;IF(Raw!A1445="","",Raw!A1445)&amp;"|"&amp;LEN(IF(Raw!B1445="","",Raw!B1445))&amp;":"&amp;IF(Raw!B1445="","",Raw!B1445)&amp;"|"&amp;LEN(IF(Raw!C1445="","",Raw!C1445))&amp;":"&amp;IF(Raw!C1445="","",Raw!C1445)&amp;"|"&amp;LEN(IF(Raw!D1445="","",Raw!D1445))&amp;":"&amp;IF(Raw!D1445="","",Raw!D1445)&amp;"|"&amp;LEN(IF(Raw!E1445="","",Raw!E1445))&amp;":"&amp;IF(Raw!E1445="","",Raw!E1445)&amp;"|"&amp;LEN(IF(Raw!F1445="","",Raw!F1445))&amp;":"&amp;IF(Raw!F1445="","",Raw!F1445)&amp;"|"&amp;LEN(IF(Raw!G1445="","",Raw!G1445))&amp;":"&amp;IF(Raw!G1445="","",Raw!G1445)</f>
        <v>6:L01439|6:T00720|10:2026-03-25|3:P-H|4:Home|4:sale|6:114.10</v>
      </c>
      <c r="Q1445" s="1">
        <f>1</f>
        <v>1</v>
      </c>
      <c r="R1445" s="1" t="b">
        <f>FALSE</f>
        <v>0</v>
      </c>
      <c r="S1445" s="1">
        <f>1</f>
        <v>1</v>
      </c>
      <c r="T1445" s="1" t="str">
        <f>IF(AND(Raw!A1445="",Raw!B1445="",Raw!C1445="",Raw!D1445="",Raw!E1445="",Raw!F1445="",Raw!G1445=""),"UNUSED",IF(A1445="","missing line ID",IF(B1445="","missing transaction ID",IF(G1445="",IF(C1445="","missing date","invalid date"),IF(I1445="","unknown product",IF(J1445="","conflicting category",IF(NOT(OR(EXACT(K1445,"sale"),EXACT(K1445,"refund"))),"unknown event",IF(OR(N1445="",NOT(O1445)),"invalid amount",IF(OR(AND(K1445="sale",N1445&lt;=0),AND(K1445="refund",N1445&gt;=0)),"invalid sign","")))))))))</f>
        <v/>
      </c>
      <c r="U1445" s="1" t="str">
        <f t="shared" si="181"/>
        <v>INCLUDED</v>
      </c>
      <c r="V1445" s="1" t="str">
        <f t="shared" si="182"/>
        <v>2026-03</v>
      </c>
      <c r="W1445" s="1">
        <f>IF(AND(U1445="INCLUDED",X1445&gt;0,EXACT(A1445,'AI output'!A1445)),1,0)</f>
        <v>1</v>
      </c>
      <c r="X1445" s="1">
        <f>1445</f>
        <v>1445</v>
      </c>
      <c r="Y1445" s="1">
        <f>IF(AND(U1445="INCLUDED",W1445=1),--(NOT(EXACT(A1445,'AI output'!A1445)))+--(NOT(EXACT(B1445,'AI output'!B1445)))+--(NOT(EXACT(TEXT(G1445,"yyyy-mm-dd"),'AI output'!C1445)))+--(NOT(EXACT(H1445,'AI output'!D1445)))+--(NOT(EXACT(J1445,'AI output'!E1445)))+--(NOT(EXACT(K1445,'AI output'!F1445)))+--(N1445&lt;&gt;'AI output'!L1445)+--(NOT('AI output'!M1445)),0)</f>
        <v>0</v>
      </c>
      <c r="Z1445" s="1">
        <f t="shared" si="183"/>
        <v>0</v>
      </c>
      <c r="AA1445" s="1">
        <f>--EXACT(A1445,"L01439")</f>
        <v>1</v>
      </c>
    </row>
    <row r="1446" spans="1:27" ht="18.95" customHeight="1">
      <c r="A1446" s="1" t="str">
        <f>IF(Raw!A1446="","",Raw!A1446)</f>
        <v>L01440</v>
      </c>
      <c r="B1446" s="1" t="str">
        <f>IF(Raw!B1446="","",Raw!B1446)</f>
        <v>T00720</v>
      </c>
      <c r="C1446" s="1" t="str">
        <f>IF(Raw!C1446="","",Raw!C1446)</f>
        <v>2026-03-25</v>
      </c>
      <c r="D1446" s="1">
        <f t="shared" si="176"/>
        <v>2026</v>
      </c>
      <c r="E1446" s="1">
        <f>IFERROR(IF(AND(LEN(C1446)=10,MID(C1446,5,1)="-",MID(C1446,8,1)="-"),VALUE(MID(C1446,6,2)),IF(AND(LEN(C1446)=11,MID(C1446,3,1)="-",MID(C1446,7,1)="-"),MATCH(UPPER(MID(C1446,4,3)),Guide!$D$7:$D$18,0),0)),0)</f>
        <v>3</v>
      </c>
      <c r="F1446" s="1">
        <f t="shared" si="177"/>
        <v>25</v>
      </c>
      <c r="G1446" s="9">
        <f t="shared" si="178"/>
        <v>46106</v>
      </c>
      <c r="H1446" s="1" t="str">
        <f>IF(Raw!D1446="","",Raw!D1446)</f>
        <v>P-O</v>
      </c>
      <c r="I1446" s="1" t="str">
        <f>IFERROR(IF(EXACT(H1446,INDEX(Guide!$A$7:$A$9,MATCH(SUBSTITUTE(SUBSTITUTE(SUBSTITUTE(H1446,"~","~~"),"*","~*"),"?","~?"),Guide!$A$7:$A$9,0))),INDEX(Guide!$B$7:$B$9,MATCH(SUBSTITUTE(SUBSTITUTE(SUBSTITUTE(H1446,"~","~~"),"*","~*"),"?","~?"),Guide!$A$7:$A$9,0)),""),"")</f>
        <v>Office</v>
      </c>
      <c r="J1446" s="1" t="str">
        <f>IF(TRIM(Raw!E1446)="",I1446,IF(UPPER(TRIM(Raw!E1446))=UPPER(I1446),I1446,""))</f>
        <v>Office</v>
      </c>
      <c r="K1446" s="1" t="str">
        <f>IF(Raw!F1446="","",Raw!F1446)</f>
        <v>sale</v>
      </c>
      <c r="L1446" s="1" t="str">
        <f>IF(LEFT(TRIM(Raw!G1446),2)="-$","-"&amp;MID(TRIM(Raw!G1446),3,99),IF(LEFT(TRIM(Raw!G1446),1)="$",MID(TRIM(Raw!G1446),2,99),TRIM(Raw!G1446)))</f>
        <v>229.68</v>
      </c>
      <c r="M1446" s="1">
        <f t="shared" si="179"/>
        <v>229.68</v>
      </c>
      <c r="N1446" s="10">
        <f t="shared" si="180"/>
        <v>22968</v>
      </c>
      <c r="O1446" s="1" t="b">
        <f>IFERROR(IF(ISNUMBER(Raw!G1446),TRUE,OR(EXACT(L1446,TEXT(M1446,"0.00")),EXACT(L1446,TEXT(M1446,"#,##0.00")))),FALSE)</f>
        <v>1</v>
      </c>
      <c r="P1446" s="1" t="str">
        <f>LEN(IF(Raw!A1446="","",Raw!A1446))&amp;":"&amp;IF(Raw!A1446="","",Raw!A1446)&amp;"|"&amp;LEN(IF(Raw!B1446="","",Raw!B1446))&amp;":"&amp;IF(Raw!B1446="","",Raw!B1446)&amp;"|"&amp;LEN(IF(Raw!C1446="","",Raw!C1446))&amp;":"&amp;IF(Raw!C1446="","",Raw!C1446)&amp;"|"&amp;LEN(IF(Raw!D1446="","",Raw!D1446))&amp;":"&amp;IF(Raw!D1446="","",Raw!D1446)&amp;"|"&amp;LEN(IF(Raw!E1446="","",Raw!E1446))&amp;":"&amp;IF(Raw!E1446="","",Raw!E1446)&amp;"|"&amp;LEN(IF(Raw!F1446="","",Raw!F1446))&amp;":"&amp;IF(Raw!F1446="","",Raw!F1446)&amp;"|"&amp;LEN(IF(Raw!G1446="","",Raw!G1446))&amp;":"&amp;IF(Raw!G1446="","",Raw!G1446)</f>
        <v>6:L01440|6:T00720|10:2026-03-25|3:P-O|6:Office|4:sale|6:229.68</v>
      </c>
      <c r="Q1446" s="1">
        <f>1</f>
        <v>1</v>
      </c>
      <c r="R1446" s="1" t="b">
        <f>FALSE</f>
        <v>0</v>
      </c>
      <c r="S1446" s="1">
        <f>1</f>
        <v>1</v>
      </c>
      <c r="T1446" s="1" t="str">
        <f>IF(AND(Raw!A1446="",Raw!B1446="",Raw!C1446="",Raw!D1446="",Raw!E1446="",Raw!F1446="",Raw!G1446=""),"UNUSED",IF(A1446="","missing line ID",IF(B1446="","missing transaction ID",IF(G1446="",IF(C1446="","missing date","invalid date"),IF(I1446="","unknown product",IF(J1446="","conflicting category",IF(NOT(OR(EXACT(K1446,"sale"),EXACT(K1446,"refund"))),"unknown event",IF(OR(N1446="",NOT(O1446)),"invalid amount",IF(OR(AND(K1446="sale",N1446&lt;=0),AND(K1446="refund",N1446&gt;=0)),"invalid sign","")))))))))</f>
        <v/>
      </c>
      <c r="U1446" s="1" t="str">
        <f t="shared" si="181"/>
        <v>INCLUDED</v>
      </c>
      <c r="V1446" s="1" t="str">
        <f t="shared" si="182"/>
        <v>2026-03</v>
      </c>
      <c r="W1446" s="1">
        <f>IF(AND(U1446="INCLUDED",X1446&gt;0,EXACT(A1446,'AI output'!A1446)),1,0)</f>
        <v>1</v>
      </c>
      <c r="X1446" s="1">
        <f>1446</f>
        <v>1446</v>
      </c>
      <c r="Y1446" s="1">
        <f>IF(AND(U1446="INCLUDED",W1446=1),--(NOT(EXACT(A1446,'AI output'!A1446)))+--(NOT(EXACT(B1446,'AI output'!B1446)))+--(NOT(EXACT(TEXT(G1446,"yyyy-mm-dd"),'AI output'!C1446)))+--(NOT(EXACT(H1446,'AI output'!D1446)))+--(NOT(EXACT(J1446,'AI output'!E1446)))+--(NOT(EXACT(K1446,'AI output'!F1446)))+--(N1446&lt;&gt;'AI output'!L1446)+--(NOT('AI output'!M1446)),0)</f>
        <v>0</v>
      </c>
      <c r="Z1446" s="1">
        <f t="shared" si="183"/>
        <v>0</v>
      </c>
      <c r="AA1446" s="1">
        <f>--EXACT(A1446,"L01440")</f>
        <v>1</v>
      </c>
    </row>
    <row r="1447" spans="1:27" ht="18.95" customHeight="1">
      <c r="A1447" s="1" t="str">
        <f>IF(Raw!A1447="","",Raw!A1447)</f>
        <v>L01441</v>
      </c>
      <c r="B1447" s="1" t="str">
        <f>IF(Raw!B1447="","",Raw!B1447)</f>
        <v>T00721</v>
      </c>
      <c r="C1447" s="1" t="str">
        <f>IF(Raw!C1447="","",Raw!C1447)</f>
        <v>2026-01-01</v>
      </c>
      <c r="D1447" s="1">
        <f t="shared" si="176"/>
        <v>2026</v>
      </c>
      <c r="E1447" s="1">
        <f>IFERROR(IF(AND(LEN(C1447)=10,MID(C1447,5,1)="-",MID(C1447,8,1)="-"),VALUE(MID(C1447,6,2)),IF(AND(LEN(C1447)=11,MID(C1447,3,1)="-",MID(C1447,7,1)="-"),MATCH(UPPER(MID(C1447,4,3)),Guide!$D$7:$D$18,0),0)),0)</f>
        <v>1</v>
      </c>
      <c r="F1447" s="1">
        <f t="shared" si="177"/>
        <v>1</v>
      </c>
      <c r="G1447" s="9">
        <f t="shared" si="178"/>
        <v>46023</v>
      </c>
      <c r="H1447" s="1" t="str">
        <f>IF(Raw!D1447="","",Raw!D1447)</f>
        <v>P-A</v>
      </c>
      <c r="I1447" s="1" t="str">
        <f>IFERROR(IF(EXACT(H1447,INDEX(Guide!$A$7:$A$9,MATCH(SUBSTITUTE(SUBSTITUTE(SUBSTITUTE(H1447,"~","~~"),"*","~*"),"?","~?"),Guide!$A$7:$A$9,0))),INDEX(Guide!$B$7:$B$9,MATCH(SUBSTITUTE(SUBSTITUTE(SUBSTITUTE(H1447,"~","~~"),"*","~*"),"?","~?"),Guide!$A$7:$A$9,0)),""),"")</f>
        <v>Accessories</v>
      </c>
      <c r="J1447" s="1" t="str">
        <f>IF(TRIM(Raw!E1447)="",I1447,IF(UPPER(TRIM(Raw!E1447))=UPPER(I1447),I1447,""))</f>
        <v>Accessories</v>
      </c>
      <c r="K1447" s="1" t="str">
        <f>IF(Raw!F1447="","",Raw!F1447)</f>
        <v>sale</v>
      </c>
      <c r="L1447" s="1" t="str">
        <f>IF(LEFT(TRIM(Raw!G1447),2)="-$","-"&amp;MID(TRIM(Raw!G1447),3,99),IF(LEFT(TRIM(Raw!G1447),1)="$",MID(TRIM(Raw!G1447),2,99),TRIM(Raw!G1447)))</f>
        <v>57.79</v>
      </c>
      <c r="M1447" s="1">
        <f t="shared" si="179"/>
        <v>57.79</v>
      </c>
      <c r="N1447" s="10">
        <f t="shared" si="180"/>
        <v>5779</v>
      </c>
      <c r="O1447" s="1" t="b">
        <f>IFERROR(IF(ISNUMBER(Raw!G1447),TRUE,OR(EXACT(L1447,TEXT(M1447,"0.00")),EXACT(L1447,TEXT(M1447,"#,##0.00")))),FALSE)</f>
        <v>1</v>
      </c>
      <c r="P1447" s="1" t="str">
        <f>LEN(IF(Raw!A1447="","",Raw!A1447))&amp;":"&amp;IF(Raw!A1447="","",Raw!A1447)&amp;"|"&amp;LEN(IF(Raw!B1447="","",Raw!B1447))&amp;":"&amp;IF(Raw!B1447="","",Raw!B1447)&amp;"|"&amp;LEN(IF(Raw!C1447="","",Raw!C1447))&amp;":"&amp;IF(Raw!C1447="","",Raw!C1447)&amp;"|"&amp;LEN(IF(Raw!D1447="","",Raw!D1447))&amp;":"&amp;IF(Raw!D1447="","",Raw!D1447)&amp;"|"&amp;LEN(IF(Raw!E1447="","",Raw!E1447))&amp;":"&amp;IF(Raw!E1447="","",Raw!E1447)&amp;"|"&amp;LEN(IF(Raw!F1447="","",Raw!F1447))&amp;":"&amp;IF(Raw!F1447="","",Raw!F1447)&amp;"|"&amp;LEN(IF(Raw!G1447="","",Raw!G1447))&amp;":"&amp;IF(Raw!G1447="","",Raw!G1447)</f>
        <v>6:L01441|6:T00721|10:2026-01-01|3:P-A|11:Accessories|4:sale|5:57.79</v>
      </c>
      <c r="Q1447" s="1">
        <f>1</f>
        <v>1</v>
      </c>
      <c r="R1447" s="1" t="b">
        <f>FALSE</f>
        <v>0</v>
      </c>
      <c r="S1447" s="1">
        <f>1</f>
        <v>1</v>
      </c>
      <c r="T1447" s="1" t="str">
        <f>IF(AND(Raw!A1447="",Raw!B1447="",Raw!C1447="",Raw!D1447="",Raw!E1447="",Raw!F1447="",Raw!G1447=""),"UNUSED",IF(A1447="","missing line ID",IF(B1447="","missing transaction ID",IF(G1447="",IF(C1447="","missing date","invalid date"),IF(I1447="","unknown product",IF(J1447="","conflicting category",IF(NOT(OR(EXACT(K1447,"sale"),EXACT(K1447,"refund"))),"unknown event",IF(OR(N1447="",NOT(O1447)),"invalid amount",IF(OR(AND(K1447="sale",N1447&lt;=0),AND(K1447="refund",N1447&gt;=0)),"invalid sign","")))))))))</f>
        <v/>
      </c>
      <c r="U1447" s="1" t="str">
        <f t="shared" si="181"/>
        <v>INCLUDED</v>
      </c>
      <c r="V1447" s="1" t="str">
        <f t="shared" si="182"/>
        <v>2026-01</v>
      </c>
      <c r="W1447" s="1">
        <f>IF(AND(U1447="INCLUDED",X1447&gt;0,EXACT(A1447,'AI output'!A1447)),1,0)</f>
        <v>1</v>
      </c>
      <c r="X1447" s="1">
        <f>1447</f>
        <v>1447</v>
      </c>
      <c r="Y1447" s="1">
        <f>IF(AND(U1447="INCLUDED",W1447=1),--(NOT(EXACT(A1447,'AI output'!A1447)))+--(NOT(EXACT(B1447,'AI output'!B1447)))+--(NOT(EXACT(TEXT(G1447,"yyyy-mm-dd"),'AI output'!C1447)))+--(NOT(EXACT(H1447,'AI output'!D1447)))+--(NOT(EXACT(J1447,'AI output'!E1447)))+--(NOT(EXACT(K1447,'AI output'!F1447)))+--(N1447&lt;&gt;'AI output'!L1447)+--(NOT('AI output'!M1447)),0)</f>
        <v>0</v>
      </c>
      <c r="Z1447" s="1">
        <f t="shared" si="183"/>
        <v>0</v>
      </c>
      <c r="AA1447" s="1">
        <f>--EXACT(A1447,"L01441")</f>
        <v>1</v>
      </c>
    </row>
    <row r="1448" spans="1:27" ht="18.95" customHeight="1">
      <c r="A1448" s="1" t="str">
        <f>IF(Raw!A1448="","",Raw!A1448)</f>
        <v>L01442</v>
      </c>
      <c r="B1448" s="1" t="str">
        <f>IF(Raw!B1448="","",Raw!B1448)</f>
        <v>T00721</v>
      </c>
      <c r="C1448" s="1" t="str">
        <f>IF(Raw!C1448="","",Raw!C1448)</f>
        <v>2026-01-01</v>
      </c>
      <c r="D1448" s="1">
        <f t="shared" si="176"/>
        <v>2026</v>
      </c>
      <c r="E1448" s="1">
        <f>IFERROR(IF(AND(LEN(C1448)=10,MID(C1448,5,1)="-",MID(C1448,8,1)="-"),VALUE(MID(C1448,6,2)),IF(AND(LEN(C1448)=11,MID(C1448,3,1)="-",MID(C1448,7,1)="-"),MATCH(UPPER(MID(C1448,4,3)),Guide!$D$7:$D$18,0),0)),0)</f>
        <v>1</v>
      </c>
      <c r="F1448" s="1">
        <f t="shared" si="177"/>
        <v>1</v>
      </c>
      <c r="G1448" s="9">
        <f t="shared" si="178"/>
        <v>46023</v>
      </c>
      <c r="H1448" s="1" t="str">
        <f>IF(Raw!D1448="","",Raw!D1448)</f>
        <v>P-H</v>
      </c>
      <c r="I1448" s="1" t="str">
        <f>IFERROR(IF(EXACT(H1448,INDEX(Guide!$A$7:$A$9,MATCH(SUBSTITUTE(SUBSTITUTE(SUBSTITUTE(H1448,"~","~~"),"*","~*"),"?","~?"),Guide!$A$7:$A$9,0))),INDEX(Guide!$B$7:$B$9,MATCH(SUBSTITUTE(SUBSTITUTE(SUBSTITUTE(H1448,"~","~~"),"*","~*"),"?","~?"),Guide!$A$7:$A$9,0)),""),"")</f>
        <v>Home</v>
      </c>
      <c r="J1448" s="1" t="str">
        <f>IF(TRIM(Raw!E1448)="",I1448,IF(UPPER(TRIM(Raw!E1448))=UPPER(I1448),I1448,""))</f>
        <v>Home</v>
      </c>
      <c r="K1448" s="1" t="str">
        <f>IF(Raw!F1448="","",Raw!F1448)</f>
        <v>sale</v>
      </c>
      <c r="L1448" s="1" t="str">
        <f>IF(LEFT(TRIM(Raw!G1448),2)="-$","-"&amp;MID(TRIM(Raw!G1448),3,99),IF(LEFT(TRIM(Raw!G1448),1)="$",MID(TRIM(Raw!G1448),2,99),TRIM(Raw!G1448)))</f>
        <v>174.48</v>
      </c>
      <c r="M1448" s="1">
        <f t="shared" si="179"/>
        <v>174.48</v>
      </c>
      <c r="N1448" s="10">
        <f t="shared" si="180"/>
        <v>17448</v>
      </c>
      <c r="O1448" s="1" t="b">
        <f>IFERROR(IF(ISNUMBER(Raw!G1448),TRUE,OR(EXACT(L1448,TEXT(M1448,"0.00")),EXACT(L1448,TEXT(M1448,"#,##0.00")))),FALSE)</f>
        <v>1</v>
      </c>
      <c r="P1448" s="1" t="str">
        <f>LEN(IF(Raw!A1448="","",Raw!A1448))&amp;":"&amp;IF(Raw!A1448="","",Raw!A1448)&amp;"|"&amp;LEN(IF(Raw!B1448="","",Raw!B1448))&amp;":"&amp;IF(Raw!B1448="","",Raw!B1448)&amp;"|"&amp;LEN(IF(Raw!C1448="","",Raw!C1448))&amp;":"&amp;IF(Raw!C1448="","",Raw!C1448)&amp;"|"&amp;LEN(IF(Raw!D1448="","",Raw!D1448))&amp;":"&amp;IF(Raw!D1448="","",Raw!D1448)&amp;"|"&amp;LEN(IF(Raw!E1448="","",Raw!E1448))&amp;":"&amp;IF(Raw!E1448="","",Raw!E1448)&amp;"|"&amp;LEN(IF(Raw!F1448="","",Raw!F1448))&amp;":"&amp;IF(Raw!F1448="","",Raw!F1448)&amp;"|"&amp;LEN(IF(Raw!G1448="","",Raw!G1448))&amp;":"&amp;IF(Raw!G1448="","",Raw!G1448)</f>
        <v>6:L01442|6:T00721|10:2026-01-01|3:P-H|4:Home|4:sale|6:174.48</v>
      </c>
      <c r="Q1448" s="1">
        <f>1</f>
        <v>1</v>
      </c>
      <c r="R1448" s="1" t="b">
        <f>FALSE</f>
        <v>0</v>
      </c>
      <c r="S1448" s="1">
        <f>1</f>
        <v>1</v>
      </c>
      <c r="T1448" s="1" t="str">
        <f>IF(AND(Raw!A1448="",Raw!B1448="",Raw!C1448="",Raw!D1448="",Raw!E1448="",Raw!F1448="",Raw!G1448=""),"UNUSED",IF(A1448="","missing line ID",IF(B1448="","missing transaction ID",IF(G1448="",IF(C1448="","missing date","invalid date"),IF(I1448="","unknown product",IF(J1448="","conflicting category",IF(NOT(OR(EXACT(K1448,"sale"),EXACT(K1448,"refund"))),"unknown event",IF(OR(N1448="",NOT(O1448)),"invalid amount",IF(OR(AND(K1448="sale",N1448&lt;=0),AND(K1448="refund",N1448&gt;=0)),"invalid sign","")))))))))</f>
        <v/>
      </c>
      <c r="U1448" s="1" t="str">
        <f t="shared" si="181"/>
        <v>INCLUDED</v>
      </c>
      <c r="V1448" s="1" t="str">
        <f t="shared" si="182"/>
        <v>2026-01</v>
      </c>
      <c r="W1448" s="1">
        <f>IF(AND(U1448="INCLUDED",X1448&gt;0,EXACT(A1448,'AI output'!A1448)),1,0)</f>
        <v>1</v>
      </c>
      <c r="X1448" s="1">
        <f>1448</f>
        <v>1448</v>
      </c>
      <c r="Y1448" s="1">
        <f>IF(AND(U1448="INCLUDED",W1448=1),--(NOT(EXACT(A1448,'AI output'!A1448)))+--(NOT(EXACT(B1448,'AI output'!B1448)))+--(NOT(EXACT(TEXT(G1448,"yyyy-mm-dd"),'AI output'!C1448)))+--(NOT(EXACT(H1448,'AI output'!D1448)))+--(NOT(EXACT(J1448,'AI output'!E1448)))+--(NOT(EXACT(K1448,'AI output'!F1448)))+--(N1448&lt;&gt;'AI output'!L1448)+--(NOT('AI output'!M1448)),0)</f>
        <v>0</v>
      </c>
      <c r="Z1448" s="1">
        <f t="shared" si="183"/>
        <v>0</v>
      </c>
      <c r="AA1448" s="1">
        <f>--EXACT(A1448,"L01442")</f>
        <v>1</v>
      </c>
    </row>
    <row r="1449" spans="1:27" ht="18.95" customHeight="1">
      <c r="A1449" s="1" t="str">
        <f>IF(Raw!A1449="","",Raw!A1449)</f>
        <v>L01443</v>
      </c>
      <c r="B1449" s="1" t="str">
        <f>IF(Raw!B1449="","",Raw!B1449)</f>
        <v>T00722</v>
      </c>
      <c r="C1449" s="1" t="str">
        <f>IF(Raw!C1449="","",Raw!C1449)</f>
        <v>2026-01-08</v>
      </c>
      <c r="D1449" s="1">
        <f t="shared" si="176"/>
        <v>2026</v>
      </c>
      <c r="E1449" s="1">
        <f>IFERROR(IF(AND(LEN(C1449)=10,MID(C1449,5,1)="-",MID(C1449,8,1)="-"),VALUE(MID(C1449,6,2)),IF(AND(LEN(C1449)=11,MID(C1449,3,1)="-",MID(C1449,7,1)="-"),MATCH(UPPER(MID(C1449,4,3)),Guide!$D$7:$D$18,0),0)),0)</f>
        <v>1</v>
      </c>
      <c r="F1449" s="1">
        <f t="shared" si="177"/>
        <v>8</v>
      </c>
      <c r="G1449" s="9">
        <f t="shared" si="178"/>
        <v>46030</v>
      </c>
      <c r="H1449" s="1" t="str">
        <f>IF(Raw!D1449="","",Raw!D1449)</f>
        <v>P-O</v>
      </c>
      <c r="I1449" s="1" t="str">
        <f>IFERROR(IF(EXACT(H1449,INDEX(Guide!$A$7:$A$9,MATCH(SUBSTITUTE(SUBSTITUTE(SUBSTITUTE(H1449,"~","~~"),"*","~*"),"?","~?"),Guide!$A$7:$A$9,0))),INDEX(Guide!$B$7:$B$9,MATCH(SUBSTITUTE(SUBSTITUTE(SUBSTITUTE(H1449,"~","~~"),"*","~*"),"?","~?"),Guide!$A$7:$A$9,0)),""),"")</f>
        <v>Office</v>
      </c>
      <c r="J1449" s="1" t="str">
        <f>IF(TRIM(Raw!E1449)="",I1449,IF(UPPER(TRIM(Raw!E1449))=UPPER(I1449),I1449,""))</f>
        <v>Office</v>
      </c>
      <c r="K1449" s="1" t="str">
        <f>IF(Raw!F1449="","",Raw!F1449)</f>
        <v>sale</v>
      </c>
      <c r="L1449" s="1" t="str">
        <f>IF(LEFT(TRIM(Raw!G1449),2)="-$","-"&amp;MID(TRIM(Raw!G1449),3,99),IF(LEFT(TRIM(Raw!G1449),1)="$",MID(TRIM(Raw!G1449),2,99),TRIM(Raw!G1449)))</f>
        <v>292.65</v>
      </c>
      <c r="M1449" s="1">
        <f t="shared" si="179"/>
        <v>292.64999999999998</v>
      </c>
      <c r="N1449" s="10">
        <f t="shared" si="180"/>
        <v>29265</v>
      </c>
      <c r="O1449" s="1" t="b">
        <f>IFERROR(IF(ISNUMBER(Raw!G1449),TRUE,OR(EXACT(L1449,TEXT(M1449,"0.00")),EXACT(L1449,TEXT(M1449,"#,##0.00")))),FALSE)</f>
        <v>1</v>
      </c>
      <c r="P1449" s="1" t="str">
        <f>LEN(IF(Raw!A1449="","",Raw!A1449))&amp;":"&amp;IF(Raw!A1449="","",Raw!A1449)&amp;"|"&amp;LEN(IF(Raw!B1449="","",Raw!B1449))&amp;":"&amp;IF(Raw!B1449="","",Raw!B1449)&amp;"|"&amp;LEN(IF(Raw!C1449="","",Raw!C1449))&amp;":"&amp;IF(Raw!C1449="","",Raw!C1449)&amp;"|"&amp;LEN(IF(Raw!D1449="","",Raw!D1449))&amp;":"&amp;IF(Raw!D1449="","",Raw!D1449)&amp;"|"&amp;LEN(IF(Raw!E1449="","",Raw!E1449))&amp;":"&amp;IF(Raw!E1449="","",Raw!E1449)&amp;"|"&amp;LEN(IF(Raw!F1449="","",Raw!F1449))&amp;":"&amp;IF(Raw!F1449="","",Raw!F1449)&amp;"|"&amp;LEN(IF(Raw!G1449="","",Raw!G1449))&amp;":"&amp;IF(Raw!G1449="","",Raw!G1449)</f>
        <v>6:L01443|6:T00722|10:2026-01-08|3:P-O|6:Office|4:sale|6:292.65</v>
      </c>
      <c r="Q1449" s="1">
        <f>1</f>
        <v>1</v>
      </c>
      <c r="R1449" s="1" t="b">
        <f>FALSE</f>
        <v>0</v>
      </c>
      <c r="S1449" s="1">
        <f>1</f>
        <v>1</v>
      </c>
      <c r="T1449" s="1" t="str">
        <f>IF(AND(Raw!A1449="",Raw!B1449="",Raw!C1449="",Raw!D1449="",Raw!E1449="",Raw!F1449="",Raw!G1449=""),"UNUSED",IF(A1449="","missing line ID",IF(B1449="","missing transaction ID",IF(G1449="",IF(C1449="","missing date","invalid date"),IF(I1449="","unknown product",IF(J1449="","conflicting category",IF(NOT(OR(EXACT(K1449,"sale"),EXACT(K1449,"refund"))),"unknown event",IF(OR(N1449="",NOT(O1449)),"invalid amount",IF(OR(AND(K1449="sale",N1449&lt;=0),AND(K1449="refund",N1449&gt;=0)),"invalid sign","")))))))))</f>
        <v/>
      </c>
      <c r="U1449" s="1" t="str">
        <f t="shared" si="181"/>
        <v>INCLUDED</v>
      </c>
      <c r="V1449" s="1" t="str">
        <f t="shared" si="182"/>
        <v>2026-01</v>
      </c>
      <c r="W1449" s="1">
        <f>IF(AND(U1449="INCLUDED",X1449&gt;0,EXACT(A1449,'AI output'!A1449)),1,0)</f>
        <v>1</v>
      </c>
      <c r="X1449" s="1">
        <f>1449</f>
        <v>1449</v>
      </c>
      <c r="Y1449" s="1">
        <f>IF(AND(U1449="INCLUDED",W1449=1),--(NOT(EXACT(A1449,'AI output'!A1449)))+--(NOT(EXACT(B1449,'AI output'!B1449)))+--(NOT(EXACT(TEXT(G1449,"yyyy-mm-dd"),'AI output'!C1449)))+--(NOT(EXACT(H1449,'AI output'!D1449)))+--(NOT(EXACT(J1449,'AI output'!E1449)))+--(NOT(EXACT(K1449,'AI output'!F1449)))+--(N1449&lt;&gt;'AI output'!L1449)+--(NOT('AI output'!M1449)),0)</f>
        <v>0</v>
      </c>
      <c r="Z1449" s="1">
        <f t="shared" si="183"/>
        <v>0</v>
      </c>
      <c r="AA1449" s="1">
        <f>--EXACT(A1449,"L01443")</f>
        <v>1</v>
      </c>
    </row>
    <row r="1450" spans="1:27" ht="18.95" customHeight="1">
      <c r="A1450" s="1" t="str">
        <f>IF(Raw!A1450="","",Raw!A1450)</f>
        <v>L01444</v>
      </c>
      <c r="B1450" s="1" t="str">
        <f>IF(Raw!B1450="","",Raw!B1450)</f>
        <v>T00722</v>
      </c>
      <c r="C1450" s="1" t="str">
        <f>IF(Raw!C1450="","",Raw!C1450)</f>
        <v>2026-01-08</v>
      </c>
      <c r="D1450" s="1">
        <f t="shared" si="176"/>
        <v>2026</v>
      </c>
      <c r="E1450" s="1">
        <f>IFERROR(IF(AND(LEN(C1450)=10,MID(C1450,5,1)="-",MID(C1450,8,1)="-"),VALUE(MID(C1450,6,2)),IF(AND(LEN(C1450)=11,MID(C1450,3,1)="-",MID(C1450,7,1)="-"),MATCH(UPPER(MID(C1450,4,3)),Guide!$D$7:$D$18,0),0)),0)</f>
        <v>1</v>
      </c>
      <c r="F1450" s="1">
        <f t="shared" si="177"/>
        <v>8</v>
      </c>
      <c r="G1450" s="9">
        <f t="shared" si="178"/>
        <v>46030</v>
      </c>
      <c r="H1450" s="1" t="str">
        <f>IF(Raw!D1450="","",Raw!D1450)</f>
        <v>P-A</v>
      </c>
      <c r="I1450" s="1" t="str">
        <f>IFERROR(IF(EXACT(H1450,INDEX(Guide!$A$7:$A$9,MATCH(SUBSTITUTE(SUBSTITUTE(SUBSTITUTE(H1450,"~","~~"),"*","~*"),"?","~?"),Guide!$A$7:$A$9,0))),INDEX(Guide!$B$7:$B$9,MATCH(SUBSTITUTE(SUBSTITUTE(SUBSTITUTE(H1450,"~","~~"),"*","~*"),"?","~?"),Guide!$A$7:$A$9,0)),""),"")</f>
        <v>Accessories</v>
      </c>
      <c r="J1450" s="1" t="str">
        <f>IF(TRIM(Raw!E1450)="",I1450,IF(UPPER(TRIM(Raw!E1450))=UPPER(I1450),I1450,""))</f>
        <v>Accessories</v>
      </c>
      <c r="K1450" s="1" t="str">
        <f>IF(Raw!F1450="","",Raw!F1450)</f>
        <v>sale</v>
      </c>
      <c r="L1450" s="1" t="str">
        <f>IF(LEFT(TRIM(Raw!G1450),2)="-$","-"&amp;MID(TRIM(Raw!G1450),3,99),IF(LEFT(TRIM(Raw!G1450),1)="$",MID(TRIM(Raw!G1450),2,99),TRIM(Raw!G1450)))</f>
        <v>117.80</v>
      </c>
      <c r="M1450" s="1">
        <f t="shared" si="179"/>
        <v>117.8</v>
      </c>
      <c r="N1450" s="10">
        <f t="shared" si="180"/>
        <v>11780</v>
      </c>
      <c r="O1450" s="1" t="b">
        <f>IFERROR(IF(ISNUMBER(Raw!G1450),TRUE,OR(EXACT(L1450,TEXT(M1450,"0.00")),EXACT(L1450,TEXT(M1450,"#,##0.00")))),FALSE)</f>
        <v>1</v>
      </c>
      <c r="P1450" s="1" t="str">
        <f>LEN(IF(Raw!A1450="","",Raw!A1450))&amp;":"&amp;IF(Raw!A1450="","",Raw!A1450)&amp;"|"&amp;LEN(IF(Raw!B1450="","",Raw!B1450))&amp;":"&amp;IF(Raw!B1450="","",Raw!B1450)&amp;"|"&amp;LEN(IF(Raw!C1450="","",Raw!C1450))&amp;":"&amp;IF(Raw!C1450="","",Raw!C1450)&amp;"|"&amp;LEN(IF(Raw!D1450="","",Raw!D1450))&amp;":"&amp;IF(Raw!D1450="","",Raw!D1450)&amp;"|"&amp;LEN(IF(Raw!E1450="","",Raw!E1450))&amp;":"&amp;IF(Raw!E1450="","",Raw!E1450)&amp;"|"&amp;LEN(IF(Raw!F1450="","",Raw!F1450))&amp;":"&amp;IF(Raw!F1450="","",Raw!F1450)&amp;"|"&amp;LEN(IF(Raw!G1450="","",Raw!G1450))&amp;":"&amp;IF(Raw!G1450="","",Raw!G1450)</f>
        <v>6:L01444|6:T00722|10:2026-01-08|3:P-A|11:Accessories|4:sale|6:117.80</v>
      </c>
      <c r="Q1450" s="1">
        <f>1</f>
        <v>1</v>
      </c>
      <c r="R1450" s="1" t="b">
        <f>FALSE</f>
        <v>0</v>
      </c>
      <c r="S1450" s="1">
        <f>1</f>
        <v>1</v>
      </c>
      <c r="T1450" s="1" t="str">
        <f>IF(AND(Raw!A1450="",Raw!B1450="",Raw!C1450="",Raw!D1450="",Raw!E1450="",Raw!F1450="",Raw!G1450=""),"UNUSED",IF(A1450="","missing line ID",IF(B1450="","missing transaction ID",IF(G1450="",IF(C1450="","missing date","invalid date"),IF(I1450="","unknown product",IF(J1450="","conflicting category",IF(NOT(OR(EXACT(K1450,"sale"),EXACT(K1450,"refund"))),"unknown event",IF(OR(N1450="",NOT(O1450)),"invalid amount",IF(OR(AND(K1450="sale",N1450&lt;=0),AND(K1450="refund",N1450&gt;=0)),"invalid sign","")))))))))</f>
        <v/>
      </c>
      <c r="U1450" s="1" t="str">
        <f t="shared" si="181"/>
        <v>INCLUDED</v>
      </c>
      <c r="V1450" s="1" t="str">
        <f t="shared" si="182"/>
        <v>2026-01</v>
      </c>
      <c r="W1450" s="1">
        <f>IF(AND(U1450="INCLUDED",X1450&gt;0,EXACT(A1450,'AI output'!A1450)),1,0)</f>
        <v>1</v>
      </c>
      <c r="X1450" s="1">
        <f>1450</f>
        <v>1450</v>
      </c>
      <c r="Y1450" s="1">
        <f>IF(AND(U1450="INCLUDED",W1450=1),--(NOT(EXACT(A1450,'AI output'!A1450)))+--(NOT(EXACT(B1450,'AI output'!B1450)))+--(NOT(EXACT(TEXT(G1450,"yyyy-mm-dd"),'AI output'!C1450)))+--(NOT(EXACT(H1450,'AI output'!D1450)))+--(NOT(EXACT(J1450,'AI output'!E1450)))+--(NOT(EXACT(K1450,'AI output'!F1450)))+--(N1450&lt;&gt;'AI output'!L1450)+--(NOT('AI output'!M1450)),0)</f>
        <v>0</v>
      </c>
      <c r="Z1450" s="1">
        <f t="shared" si="183"/>
        <v>0</v>
      </c>
      <c r="AA1450" s="1">
        <f>--EXACT(A1450,"L01444")</f>
        <v>1</v>
      </c>
    </row>
    <row r="1451" spans="1:27" ht="18.95" customHeight="1">
      <c r="A1451" s="1" t="str">
        <f>IF(Raw!A1451="","",Raw!A1451)</f>
        <v>L01445</v>
      </c>
      <c r="B1451" s="1" t="str">
        <f>IF(Raw!B1451="","",Raw!B1451)</f>
        <v>T00723</v>
      </c>
      <c r="C1451" s="1" t="str">
        <f>IF(Raw!C1451="","",Raw!C1451)</f>
        <v>2026-01-15</v>
      </c>
      <c r="D1451" s="1">
        <f t="shared" si="176"/>
        <v>2026</v>
      </c>
      <c r="E1451" s="1">
        <f>IFERROR(IF(AND(LEN(C1451)=10,MID(C1451,5,1)="-",MID(C1451,8,1)="-"),VALUE(MID(C1451,6,2)),IF(AND(LEN(C1451)=11,MID(C1451,3,1)="-",MID(C1451,7,1)="-"),MATCH(UPPER(MID(C1451,4,3)),Guide!$D$7:$D$18,0),0)),0)</f>
        <v>1</v>
      </c>
      <c r="F1451" s="1">
        <f t="shared" si="177"/>
        <v>15</v>
      </c>
      <c r="G1451" s="9">
        <f t="shared" si="178"/>
        <v>46037</v>
      </c>
      <c r="H1451" s="1" t="str">
        <f>IF(Raw!D1451="","",Raw!D1451)</f>
        <v>P-H</v>
      </c>
      <c r="I1451" s="1" t="str">
        <f>IFERROR(IF(EXACT(H1451,INDEX(Guide!$A$7:$A$9,MATCH(SUBSTITUTE(SUBSTITUTE(SUBSTITUTE(H1451,"~","~~"),"*","~*"),"?","~?"),Guide!$A$7:$A$9,0))),INDEX(Guide!$B$7:$B$9,MATCH(SUBSTITUTE(SUBSTITUTE(SUBSTITUTE(H1451,"~","~~"),"*","~*"),"?","~?"),Guide!$A$7:$A$9,0)),""),"")</f>
        <v>Home</v>
      </c>
      <c r="J1451" s="1" t="str">
        <f>IF(TRIM(Raw!E1451)="",I1451,IF(UPPER(TRIM(Raw!E1451))=UPPER(I1451),I1451,""))</f>
        <v>Home</v>
      </c>
      <c r="K1451" s="1" t="str">
        <f>IF(Raw!F1451="","",Raw!F1451)</f>
        <v>sale</v>
      </c>
      <c r="L1451" s="1" t="str">
        <f>IF(LEFT(TRIM(Raw!G1451),2)="-$","-"&amp;MID(TRIM(Raw!G1451),3,99),IF(LEFT(TRIM(Raw!G1451),1)="$",MID(TRIM(Raw!G1451),2,99),TRIM(Raw!G1451)))</f>
        <v>237.08</v>
      </c>
      <c r="M1451" s="1">
        <f t="shared" si="179"/>
        <v>237.08</v>
      </c>
      <c r="N1451" s="10">
        <f t="shared" si="180"/>
        <v>23708</v>
      </c>
      <c r="O1451" s="1" t="b">
        <f>IFERROR(IF(ISNUMBER(Raw!G1451),TRUE,OR(EXACT(L1451,TEXT(M1451,"0.00")),EXACT(L1451,TEXT(M1451,"#,##0.00")))),FALSE)</f>
        <v>1</v>
      </c>
      <c r="P1451" s="1" t="str">
        <f>LEN(IF(Raw!A1451="","",Raw!A1451))&amp;":"&amp;IF(Raw!A1451="","",Raw!A1451)&amp;"|"&amp;LEN(IF(Raw!B1451="","",Raw!B1451))&amp;":"&amp;IF(Raw!B1451="","",Raw!B1451)&amp;"|"&amp;LEN(IF(Raw!C1451="","",Raw!C1451))&amp;":"&amp;IF(Raw!C1451="","",Raw!C1451)&amp;"|"&amp;LEN(IF(Raw!D1451="","",Raw!D1451))&amp;":"&amp;IF(Raw!D1451="","",Raw!D1451)&amp;"|"&amp;LEN(IF(Raw!E1451="","",Raw!E1451))&amp;":"&amp;IF(Raw!E1451="","",Raw!E1451)&amp;"|"&amp;LEN(IF(Raw!F1451="","",Raw!F1451))&amp;":"&amp;IF(Raw!F1451="","",Raw!F1451)&amp;"|"&amp;LEN(IF(Raw!G1451="","",Raw!G1451))&amp;":"&amp;IF(Raw!G1451="","",Raw!G1451)</f>
        <v>6:L01445|6:T00723|10:2026-01-15|3:P-H|4:Home|4:sale|6:237.08</v>
      </c>
      <c r="Q1451" s="1">
        <f>1</f>
        <v>1</v>
      </c>
      <c r="R1451" s="1" t="b">
        <f>FALSE</f>
        <v>0</v>
      </c>
      <c r="S1451" s="1">
        <f>1</f>
        <v>1</v>
      </c>
      <c r="T1451" s="1" t="str">
        <f>IF(AND(Raw!A1451="",Raw!B1451="",Raw!C1451="",Raw!D1451="",Raw!E1451="",Raw!F1451="",Raw!G1451=""),"UNUSED",IF(A1451="","missing line ID",IF(B1451="","missing transaction ID",IF(G1451="",IF(C1451="","missing date","invalid date"),IF(I1451="","unknown product",IF(J1451="","conflicting category",IF(NOT(OR(EXACT(K1451,"sale"),EXACT(K1451,"refund"))),"unknown event",IF(OR(N1451="",NOT(O1451)),"invalid amount",IF(OR(AND(K1451="sale",N1451&lt;=0),AND(K1451="refund",N1451&gt;=0)),"invalid sign","")))))))))</f>
        <v/>
      </c>
      <c r="U1451" s="1" t="str">
        <f t="shared" si="181"/>
        <v>INCLUDED</v>
      </c>
      <c r="V1451" s="1" t="str">
        <f t="shared" si="182"/>
        <v>2026-01</v>
      </c>
      <c r="W1451" s="1">
        <f>IF(AND(U1451="INCLUDED",X1451&gt;0,EXACT(A1451,'AI output'!A1451)),1,0)</f>
        <v>1</v>
      </c>
      <c r="X1451" s="1">
        <f>1451</f>
        <v>1451</v>
      </c>
      <c r="Y1451" s="1">
        <f>IF(AND(U1451="INCLUDED",W1451=1),--(NOT(EXACT(A1451,'AI output'!A1451)))+--(NOT(EXACT(B1451,'AI output'!B1451)))+--(NOT(EXACT(TEXT(G1451,"yyyy-mm-dd"),'AI output'!C1451)))+--(NOT(EXACT(H1451,'AI output'!D1451)))+--(NOT(EXACT(J1451,'AI output'!E1451)))+--(NOT(EXACT(K1451,'AI output'!F1451)))+--(N1451&lt;&gt;'AI output'!L1451)+--(NOT('AI output'!M1451)),0)</f>
        <v>0</v>
      </c>
      <c r="Z1451" s="1">
        <f t="shared" si="183"/>
        <v>0</v>
      </c>
      <c r="AA1451" s="1">
        <f>--EXACT(A1451,"L01445")</f>
        <v>1</v>
      </c>
    </row>
    <row r="1452" spans="1:27" ht="18.95" customHeight="1">
      <c r="A1452" s="1" t="str">
        <f>IF(Raw!A1452="","",Raw!A1452)</f>
        <v>L01446</v>
      </c>
      <c r="B1452" s="1" t="str">
        <f>IF(Raw!B1452="","",Raw!B1452)</f>
        <v>T00723</v>
      </c>
      <c r="C1452" s="1" t="str">
        <f>IF(Raw!C1452="","",Raw!C1452)</f>
        <v>2026-01-15</v>
      </c>
      <c r="D1452" s="1">
        <f t="shared" si="176"/>
        <v>2026</v>
      </c>
      <c r="E1452" s="1">
        <f>IFERROR(IF(AND(LEN(C1452)=10,MID(C1452,5,1)="-",MID(C1452,8,1)="-"),VALUE(MID(C1452,6,2)),IF(AND(LEN(C1452)=11,MID(C1452,3,1)="-",MID(C1452,7,1)="-"),MATCH(UPPER(MID(C1452,4,3)),Guide!$D$7:$D$18,0),0)),0)</f>
        <v>1</v>
      </c>
      <c r="F1452" s="1">
        <f t="shared" si="177"/>
        <v>15</v>
      </c>
      <c r="G1452" s="9">
        <f t="shared" si="178"/>
        <v>46037</v>
      </c>
      <c r="H1452" s="1" t="str">
        <f>IF(Raw!D1452="","",Raw!D1452)</f>
        <v>P-O</v>
      </c>
      <c r="I1452" s="1" t="str">
        <f>IFERROR(IF(EXACT(H1452,INDEX(Guide!$A$7:$A$9,MATCH(SUBSTITUTE(SUBSTITUTE(SUBSTITUTE(H1452,"~","~~"),"*","~*"),"?","~?"),Guide!$A$7:$A$9,0))),INDEX(Guide!$B$7:$B$9,MATCH(SUBSTITUTE(SUBSTITUTE(SUBSTITUTE(H1452,"~","~~"),"*","~*"),"?","~?"),Guide!$A$7:$A$9,0)),""),"")</f>
        <v>Office</v>
      </c>
      <c r="J1452" s="1" t="str">
        <f>IF(TRIM(Raw!E1452)="",I1452,IF(UPPER(TRIM(Raw!E1452))=UPPER(I1452),I1452,""))</f>
        <v>Office</v>
      </c>
      <c r="K1452" s="1" t="str">
        <f>IF(Raw!F1452="","",Raw!F1452)</f>
        <v>sale</v>
      </c>
      <c r="L1452" s="1" t="str">
        <f>IF(LEFT(TRIM(Raw!G1452),2)="-$","-"&amp;MID(TRIM(Raw!G1452),3,99),IF(LEFT(TRIM(Raw!G1452),1)="$",MID(TRIM(Raw!G1452),2,99),TRIM(Raw!G1452)))</f>
        <v>59.64</v>
      </c>
      <c r="M1452" s="1">
        <f t="shared" si="179"/>
        <v>59.64</v>
      </c>
      <c r="N1452" s="10">
        <f t="shared" si="180"/>
        <v>5964</v>
      </c>
      <c r="O1452" s="1" t="b">
        <f>IFERROR(IF(ISNUMBER(Raw!G1452),TRUE,OR(EXACT(L1452,TEXT(M1452,"0.00")),EXACT(L1452,TEXT(M1452,"#,##0.00")))),FALSE)</f>
        <v>1</v>
      </c>
      <c r="P1452" s="1" t="str">
        <f>LEN(IF(Raw!A1452="","",Raw!A1452))&amp;":"&amp;IF(Raw!A1452="","",Raw!A1452)&amp;"|"&amp;LEN(IF(Raw!B1452="","",Raw!B1452))&amp;":"&amp;IF(Raw!B1452="","",Raw!B1452)&amp;"|"&amp;LEN(IF(Raw!C1452="","",Raw!C1452))&amp;":"&amp;IF(Raw!C1452="","",Raw!C1452)&amp;"|"&amp;LEN(IF(Raw!D1452="","",Raw!D1452))&amp;":"&amp;IF(Raw!D1452="","",Raw!D1452)&amp;"|"&amp;LEN(IF(Raw!E1452="","",Raw!E1452))&amp;":"&amp;IF(Raw!E1452="","",Raw!E1452)&amp;"|"&amp;LEN(IF(Raw!F1452="","",Raw!F1452))&amp;":"&amp;IF(Raw!F1452="","",Raw!F1452)&amp;"|"&amp;LEN(IF(Raw!G1452="","",Raw!G1452))&amp;":"&amp;IF(Raw!G1452="","",Raw!G1452)</f>
        <v>6:L01446|6:T00723|10:2026-01-15|3:P-O|6:Office|4:sale|5:59.64</v>
      </c>
      <c r="Q1452" s="1">
        <f>1</f>
        <v>1</v>
      </c>
      <c r="R1452" s="1" t="b">
        <f>FALSE</f>
        <v>0</v>
      </c>
      <c r="S1452" s="1">
        <f>1</f>
        <v>1</v>
      </c>
      <c r="T1452" s="1" t="str">
        <f>IF(AND(Raw!A1452="",Raw!B1452="",Raw!C1452="",Raw!D1452="",Raw!E1452="",Raw!F1452="",Raw!G1452=""),"UNUSED",IF(A1452="","missing line ID",IF(B1452="","missing transaction ID",IF(G1452="",IF(C1452="","missing date","invalid date"),IF(I1452="","unknown product",IF(J1452="","conflicting category",IF(NOT(OR(EXACT(K1452,"sale"),EXACT(K1452,"refund"))),"unknown event",IF(OR(N1452="",NOT(O1452)),"invalid amount",IF(OR(AND(K1452="sale",N1452&lt;=0),AND(K1452="refund",N1452&gt;=0)),"invalid sign","")))))))))</f>
        <v/>
      </c>
      <c r="U1452" s="1" t="str">
        <f t="shared" si="181"/>
        <v>INCLUDED</v>
      </c>
      <c r="V1452" s="1" t="str">
        <f t="shared" si="182"/>
        <v>2026-01</v>
      </c>
      <c r="W1452" s="1">
        <f>IF(AND(U1452="INCLUDED",X1452&gt;0,EXACT(A1452,'AI output'!A1452)),1,0)</f>
        <v>1</v>
      </c>
      <c r="X1452" s="1">
        <f>1452</f>
        <v>1452</v>
      </c>
      <c r="Y1452" s="1">
        <f>IF(AND(U1452="INCLUDED",W1452=1),--(NOT(EXACT(A1452,'AI output'!A1452)))+--(NOT(EXACT(B1452,'AI output'!B1452)))+--(NOT(EXACT(TEXT(G1452,"yyyy-mm-dd"),'AI output'!C1452)))+--(NOT(EXACT(H1452,'AI output'!D1452)))+--(NOT(EXACT(J1452,'AI output'!E1452)))+--(NOT(EXACT(K1452,'AI output'!F1452)))+--(N1452&lt;&gt;'AI output'!L1452)+--(NOT('AI output'!M1452)),0)</f>
        <v>0</v>
      </c>
      <c r="Z1452" s="1">
        <f t="shared" si="183"/>
        <v>0</v>
      </c>
      <c r="AA1452" s="1">
        <f>--EXACT(A1452,"L01446")</f>
        <v>1</v>
      </c>
    </row>
    <row r="1453" spans="1:27" ht="18.95" customHeight="1">
      <c r="A1453" s="1" t="str">
        <f>IF(Raw!A1453="","",Raw!A1453)</f>
        <v>L01447</v>
      </c>
      <c r="B1453" s="1" t="str">
        <f>IF(Raw!B1453="","",Raw!B1453)</f>
        <v>T00724</v>
      </c>
      <c r="C1453" s="1" t="str">
        <f>IF(Raw!C1453="","",Raw!C1453)</f>
        <v>2026-01-22</v>
      </c>
      <c r="D1453" s="1">
        <f t="shared" si="176"/>
        <v>2026</v>
      </c>
      <c r="E1453" s="1">
        <f>IFERROR(IF(AND(LEN(C1453)=10,MID(C1453,5,1)="-",MID(C1453,8,1)="-"),VALUE(MID(C1453,6,2)),IF(AND(LEN(C1453)=11,MID(C1453,3,1)="-",MID(C1453,7,1)="-"),MATCH(UPPER(MID(C1453,4,3)),Guide!$D$7:$D$18,0),0)),0)</f>
        <v>1</v>
      </c>
      <c r="F1453" s="1">
        <f t="shared" si="177"/>
        <v>22</v>
      </c>
      <c r="G1453" s="9">
        <f t="shared" si="178"/>
        <v>46044</v>
      </c>
      <c r="H1453" s="1" t="str">
        <f>IF(Raw!D1453="","",Raw!D1453)</f>
        <v>P-A</v>
      </c>
      <c r="I1453" s="1" t="str">
        <f>IFERROR(IF(EXACT(H1453,INDEX(Guide!$A$7:$A$9,MATCH(SUBSTITUTE(SUBSTITUTE(SUBSTITUTE(H1453,"~","~~"),"*","~*"),"?","~?"),Guide!$A$7:$A$9,0))),INDEX(Guide!$B$7:$B$9,MATCH(SUBSTITUTE(SUBSTITUTE(SUBSTITUTE(H1453,"~","~~"),"*","~*"),"?","~?"),Guide!$A$7:$A$9,0)),""),"")</f>
        <v>Accessories</v>
      </c>
      <c r="J1453" s="1" t="str">
        <f>IF(TRIM(Raw!E1453)="",I1453,IF(UPPER(TRIM(Raw!E1453))=UPPER(I1453),I1453,""))</f>
        <v>Accessories</v>
      </c>
      <c r="K1453" s="1" t="str">
        <f>IF(Raw!F1453="","",Raw!F1453)</f>
        <v>sale</v>
      </c>
      <c r="L1453" s="1" t="str">
        <f>IF(LEFT(TRIM(Raw!G1453),2)="-$","-"&amp;MID(TRIM(Raw!G1453),3,99),IF(LEFT(TRIM(Raw!G1453),1)="$",MID(TRIM(Raw!G1453),2,99),TRIM(Raw!G1453)))</f>
        <v>180.03</v>
      </c>
      <c r="M1453" s="1">
        <f t="shared" si="179"/>
        <v>180.03</v>
      </c>
      <c r="N1453" s="10">
        <f t="shared" si="180"/>
        <v>18003</v>
      </c>
      <c r="O1453" s="1" t="b">
        <f>IFERROR(IF(ISNUMBER(Raw!G1453),TRUE,OR(EXACT(L1453,TEXT(M1453,"0.00")),EXACT(L1453,TEXT(M1453,"#,##0.00")))),FALSE)</f>
        <v>1</v>
      </c>
      <c r="P1453" s="1" t="str">
        <f>LEN(IF(Raw!A1453="","",Raw!A1453))&amp;":"&amp;IF(Raw!A1453="","",Raw!A1453)&amp;"|"&amp;LEN(IF(Raw!B1453="","",Raw!B1453))&amp;":"&amp;IF(Raw!B1453="","",Raw!B1453)&amp;"|"&amp;LEN(IF(Raw!C1453="","",Raw!C1453))&amp;":"&amp;IF(Raw!C1453="","",Raw!C1453)&amp;"|"&amp;LEN(IF(Raw!D1453="","",Raw!D1453))&amp;":"&amp;IF(Raw!D1453="","",Raw!D1453)&amp;"|"&amp;LEN(IF(Raw!E1453="","",Raw!E1453))&amp;":"&amp;IF(Raw!E1453="","",Raw!E1453)&amp;"|"&amp;LEN(IF(Raw!F1453="","",Raw!F1453))&amp;":"&amp;IF(Raw!F1453="","",Raw!F1453)&amp;"|"&amp;LEN(IF(Raw!G1453="","",Raw!G1453))&amp;":"&amp;IF(Raw!G1453="","",Raw!G1453)</f>
        <v>6:L01447|6:T00724|10:2026-01-22|3:P-A|11:Accessories|4:sale|6:180.03</v>
      </c>
      <c r="Q1453" s="1">
        <f>1</f>
        <v>1</v>
      </c>
      <c r="R1453" s="1" t="b">
        <f>FALSE</f>
        <v>0</v>
      </c>
      <c r="S1453" s="1">
        <f>1</f>
        <v>1</v>
      </c>
      <c r="T1453" s="1" t="str">
        <f>IF(AND(Raw!A1453="",Raw!B1453="",Raw!C1453="",Raw!D1453="",Raw!E1453="",Raw!F1453="",Raw!G1453=""),"UNUSED",IF(A1453="","missing line ID",IF(B1453="","missing transaction ID",IF(G1453="",IF(C1453="","missing date","invalid date"),IF(I1453="","unknown product",IF(J1453="","conflicting category",IF(NOT(OR(EXACT(K1453,"sale"),EXACT(K1453,"refund"))),"unknown event",IF(OR(N1453="",NOT(O1453)),"invalid amount",IF(OR(AND(K1453="sale",N1453&lt;=0),AND(K1453="refund",N1453&gt;=0)),"invalid sign","")))))))))</f>
        <v/>
      </c>
      <c r="U1453" s="1" t="str">
        <f t="shared" si="181"/>
        <v>INCLUDED</v>
      </c>
      <c r="V1453" s="1" t="str">
        <f t="shared" si="182"/>
        <v>2026-01</v>
      </c>
      <c r="W1453" s="1">
        <f>IF(AND(U1453="INCLUDED",X1453&gt;0,EXACT(A1453,'AI output'!A1453)),1,0)</f>
        <v>1</v>
      </c>
      <c r="X1453" s="1">
        <f>1453</f>
        <v>1453</v>
      </c>
      <c r="Y1453" s="1">
        <f>IF(AND(U1453="INCLUDED",W1453=1),--(NOT(EXACT(A1453,'AI output'!A1453)))+--(NOT(EXACT(B1453,'AI output'!B1453)))+--(NOT(EXACT(TEXT(G1453,"yyyy-mm-dd"),'AI output'!C1453)))+--(NOT(EXACT(H1453,'AI output'!D1453)))+--(NOT(EXACT(J1453,'AI output'!E1453)))+--(NOT(EXACT(K1453,'AI output'!F1453)))+--(N1453&lt;&gt;'AI output'!L1453)+--(NOT('AI output'!M1453)),0)</f>
        <v>0</v>
      </c>
      <c r="Z1453" s="1">
        <f t="shared" si="183"/>
        <v>0</v>
      </c>
      <c r="AA1453" s="1">
        <f>--EXACT(A1453,"L01447")</f>
        <v>1</v>
      </c>
    </row>
    <row r="1454" spans="1:27" ht="18.95" customHeight="1">
      <c r="A1454" s="1" t="str">
        <f>IF(Raw!A1454="","",Raw!A1454)</f>
        <v>L01448</v>
      </c>
      <c r="B1454" s="1" t="str">
        <f>IF(Raw!B1454="","",Raw!B1454)</f>
        <v>T00724</v>
      </c>
      <c r="C1454" s="1" t="str">
        <f>IF(Raw!C1454="","",Raw!C1454)</f>
        <v>2026-01-22</v>
      </c>
      <c r="D1454" s="1">
        <f t="shared" si="176"/>
        <v>2026</v>
      </c>
      <c r="E1454" s="1">
        <f>IFERROR(IF(AND(LEN(C1454)=10,MID(C1454,5,1)="-",MID(C1454,8,1)="-"),VALUE(MID(C1454,6,2)),IF(AND(LEN(C1454)=11,MID(C1454,3,1)="-",MID(C1454,7,1)="-"),MATCH(UPPER(MID(C1454,4,3)),Guide!$D$7:$D$18,0),0)),0)</f>
        <v>1</v>
      </c>
      <c r="F1454" s="1">
        <f t="shared" si="177"/>
        <v>22</v>
      </c>
      <c r="G1454" s="9">
        <f t="shared" si="178"/>
        <v>46044</v>
      </c>
      <c r="H1454" s="1" t="str">
        <f>IF(Raw!D1454="","",Raw!D1454)</f>
        <v>P-H</v>
      </c>
      <c r="I1454" s="1" t="str">
        <f>IFERROR(IF(EXACT(H1454,INDEX(Guide!$A$7:$A$9,MATCH(SUBSTITUTE(SUBSTITUTE(SUBSTITUTE(H1454,"~","~~"),"*","~*"),"?","~?"),Guide!$A$7:$A$9,0))),INDEX(Guide!$B$7:$B$9,MATCH(SUBSTITUTE(SUBSTITUTE(SUBSTITUTE(H1454,"~","~~"),"*","~*"),"?","~?"),Guide!$A$7:$A$9,0)),""),"")</f>
        <v>Home</v>
      </c>
      <c r="J1454" s="1" t="str">
        <f>IF(TRIM(Raw!E1454)="",I1454,IF(UPPER(TRIM(Raw!E1454))=UPPER(I1454),I1454,""))</f>
        <v>Home</v>
      </c>
      <c r="K1454" s="1" t="str">
        <f>IF(Raw!F1454="","",Raw!F1454)</f>
        <v>sale</v>
      </c>
      <c r="L1454" s="1" t="str">
        <f>IF(LEFT(TRIM(Raw!G1454),2)="-$","-"&amp;MID(TRIM(Raw!G1454),3,99),IF(LEFT(TRIM(Raw!G1454),1)="$",MID(TRIM(Raw!G1454),2,99),TRIM(Raw!G1454)))</f>
        <v>301.90</v>
      </c>
      <c r="M1454" s="1">
        <f t="shared" si="179"/>
        <v>301.89999999999998</v>
      </c>
      <c r="N1454" s="10">
        <f t="shared" si="180"/>
        <v>30190</v>
      </c>
      <c r="O1454" s="1" t="b">
        <f>IFERROR(IF(ISNUMBER(Raw!G1454),TRUE,OR(EXACT(L1454,TEXT(M1454,"0.00")),EXACT(L1454,TEXT(M1454,"#,##0.00")))),FALSE)</f>
        <v>1</v>
      </c>
      <c r="P1454" s="1" t="str">
        <f>LEN(IF(Raw!A1454="","",Raw!A1454))&amp;":"&amp;IF(Raw!A1454="","",Raw!A1454)&amp;"|"&amp;LEN(IF(Raw!B1454="","",Raw!B1454))&amp;":"&amp;IF(Raw!B1454="","",Raw!B1454)&amp;"|"&amp;LEN(IF(Raw!C1454="","",Raw!C1454))&amp;":"&amp;IF(Raw!C1454="","",Raw!C1454)&amp;"|"&amp;LEN(IF(Raw!D1454="","",Raw!D1454))&amp;":"&amp;IF(Raw!D1454="","",Raw!D1454)&amp;"|"&amp;LEN(IF(Raw!E1454="","",Raw!E1454))&amp;":"&amp;IF(Raw!E1454="","",Raw!E1454)&amp;"|"&amp;LEN(IF(Raw!F1454="","",Raw!F1454))&amp;":"&amp;IF(Raw!F1454="","",Raw!F1454)&amp;"|"&amp;LEN(IF(Raw!G1454="","",Raw!G1454))&amp;":"&amp;IF(Raw!G1454="","",Raw!G1454)</f>
        <v>6:L01448|6:T00724|10:2026-01-22|3:P-H|4:Home|4:sale|6:301.90</v>
      </c>
      <c r="Q1454" s="1">
        <f>1</f>
        <v>1</v>
      </c>
      <c r="R1454" s="1" t="b">
        <f>FALSE</f>
        <v>0</v>
      </c>
      <c r="S1454" s="1">
        <f>1</f>
        <v>1</v>
      </c>
      <c r="T1454" s="1" t="str">
        <f>IF(AND(Raw!A1454="",Raw!B1454="",Raw!C1454="",Raw!D1454="",Raw!E1454="",Raw!F1454="",Raw!G1454=""),"UNUSED",IF(A1454="","missing line ID",IF(B1454="","missing transaction ID",IF(G1454="",IF(C1454="","missing date","invalid date"),IF(I1454="","unknown product",IF(J1454="","conflicting category",IF(NOT(OR(EXACT(K1454,"sale"),EXACT(K1454,"refund"))),"unknown event",IF(OR(N1454="",NOT(O1454)),"invalid amount",IF(OR(AND(K1454="sale",N1454&lt;=0),AND(K1454="refund",N1454&gt;=0)),"invalid sign","")))))))))</f>
        <v/>
      </c>
      <c r="U1454" s="1" t="str">
        <f t="shared" si="181"/>
        <v>INCLUDED</v>
      </c>
      <c r="V1454" s="1" t="str">
        <f t="shared" si="182"/>
        <v>2026-01</v>
      </c>
      <c r="W1454" s="1">
        <f>IF(AND(U1454="INCLUDED",X1454&gt;0,EXACT(A1454,'AI output'!A1454)),1,0)</f>
        <v>1</v>
      </c>
      <c r="X1454" s="1">
        <f>1454</f>
        <v>1454</v>
      </c>
      <c r="Y1454" s="1">
        <f>IF(AND(U1454="INCLUDED",W1454=1),--(NOT(EXACT(A1454,'AI output'!A1454)))+--(NOT(EXACT(B1454,'AI output'!B1454)))+--(NOT(EXACT(TEXT(G1454,"yyyy-mm-dd"),'AI output'!C1454)))+--(NOT(EXACT(H1454,'AI output'!D1454)))+--(NOT(EXACT(J1454,'AI output'!E1454)))+--(NOT(EXACT(K1454,'AI output'!F1454)))+--(N1454&lt;&gt;'AI output'!L1454)+--(NOT('AI output'!M1454)),0)</f>
        <v>0</v>
      </c>
      <c r="Z1454" s="1">
        <f t="shared" si="183"/>
        <v>0</v>
      </c>
      <c r="AA1454" s="1">
        <f>--EXACT(A1454,"L01448")</f>
        <v>1</v>
      </c>
    </row>
    <row r="1455" spans="1:27" ht="18.95" customHeight="1">
      <c r="A1455" s="1" t="str">
        <f>IF(Raw!A1455="","",Raw!A1455)</f>
        <v>L01449</v>
      </c>
      <c r="B1455" s="1" t="str">
        <f>IF(Raw!B1455="","",Raw!B1455)</f>
        <v>T00725</v>
      </c>
      <c r="C1455" s="1" t="str">
        <f>IF(Raw!C1455="","",Raw!C1455)</f>
        <v>2026-01-29</v>
      </c>
      <c r="D1455" s="1">
        <f t="shared" si="176"/>
        <v>2026</v>
      </c>
      <c r="E1455" s="1">
        <f>IFERROR(IF(AND(LEN(C1455)=10,MID(C1455,5,1)="-",MID(C1455,8,1)="-"),VALUE(MID(C1455,6,2)),IF(AND(LEN(C1455)=11,MID(C1455,3,1)="-",MID(C1455,7,1)="-"),MATCH(UPPER(MID(C1455,4,3)),Guide!$D$7:$D$18,0),0)),0)</f>
        <v>1</v>
      </c>
      <c r="F1455" s="1">
        <f t="shared" si="177"/>
        <v>29</v>
      </c>
      <c r="G1455" s="9">
        <f t="shared" si="178"/>
        <v>46051</v>
      </c>
      <c r="H1455" s="1" t="str">
        <f>IF(Raw!D1455="","",Raw!D1455)</f>
        <v>P-O</v>
      </c>
      <c r="I1455" s="1" t="str">
        <f>IFERROR(IF(EXACT(H1455,INDEX(Guide!$A$7:$A$9,MATCH(SUBSTITUTE(SUBSTITUTE(SUBSTITUTE(H1455,"~","~~"),"*","~*"),"?","~?"),Guide!$A$7:$A$9,0))),INDEX(Guide!$B$7:$B$9,MATCH(SUBSTITUTE(SUBSTITUTE(SUBSTITUTE(H1455,"~","~~"),"*","~*"),"?","~?"),Guide!$A$7:$A$9,0)),""),"")</f>
        <v>Office</v>
      </c>
      <c r="J1455" s="1" t="str">
        <f>IF(TRIM(Raw!E1455)="",I1455,IF(UPPER(TRIM(Raw!E1455))=UPPER(I1455),I1455,""))</f>
        <v>Office</v>
      </c>
      <c r="K1455" s="1" t="str">
        <f>IF(Raw!F1455="","",Raw!F1455)</f>
        <v>sale</v>
      </c>
      <c r="L1455" s="1" t="str">
        <f>IF(LEFT(TRIM(Raw!G1455),2)="-$","-"&amp;MID(TRIM(Raw!G1455),3,99),IF(LEFT(TRIM(Raw!G1455),1)="$",MID(TRIM(Raw!G1455),2,99),TRIM(Raw!G1455)))</f>
        <v>121.50</v>
      </c>
      <c r="M1455" s="1">
        <f t="shared" si="179"/>
        <v>121.5</v>
      </c>
      <c r="N1455" s="10">
        <f t="shared" si="180"/>
        <v>12150</v>
      </c>
      <c r="O1455" s="1" t="b">
        <f>IFERROR(IF(ISNUMBER(Raw!G1455),TRUE,OR(EXACT(L1455,TEXT(M1455,"0.00")),EXACT(L1455,TEXT(M1455,"#,##0.00")))),FALSE)</f>
        <v>1</v>
      </c>
      <c r="P1455" s="1" t="str">
        <f>LEN(IF(Raw!A1455="","",Raw!A1455))&amp;":"&amp;IF(Raw!A1455="","",Raw!A1455)&amp;"|"&amp;LEN(IF(Raw!B1455="","",Raw!B1455))&amp;":"&amp;IF(Raw!B1455="","",Raw!B1455)&amp;"|"&amp;LEN(IF(Raw!C1455="","",Raw!C1455))&amp;":"&amp;IF(Raw!C1455="","",Raw!C1455)&amp;"|"&amp;LEN(IF(Raw!D1455="","",Raw!D1455))&amp;":"&amp;IF(Raw!D1455="","",Raw!D1455)&amp;"|"&amp;LEN(IF(Raw!E1455="","",Raw!E1455))&amp;":"&amp;IF(Raw!E1455="","",Raw!E1455)&amp;"|"&amp;LEN(IF(Raw!F1455="","",Raw!F1455))&amp;":"&amp;IF(Raw!F1455="","",Raw!F1455)&amp;"|"&amp;LEN(IF(Raw!G1455="","",Raw!G1455))&amp;":"&amp;IF(Raw!G1455="","",Raw!G1455)</f>
        <v>6:L01449|6:T00725|10:2026-01-29|3:P-O|6:Office|4:sale|6:121.50</v>
      </c>
      <c r="Q1455" s="1">
        <f>1</f>
        <v>1</v>
      </c>
      <c r="R1455" s="1" t="b">
        <f>FALSE</f>
        <v>0</v>
      </c>
      <c r="S1455" s="1">
        <f>1</f>
        <v>1</v>
      </c>
      <c r="T1455" s="1" t="str">
        <f>IF(AND(Raw!A1455="",Raw!B1455="",Raw!C1455="",Raw!D1455="",Raw!E1455="",Raw!F1455="",Raw!G1455=""),"UNUSED",IF(A1455="","missing line ID",IF(B1455="","missing transaction ID",IF(G1455="",IF(C1455="","missing date","invalid date"),IF(I1455="","unknown product",IF(J1455="","conflicting category",IF(NOT(OR(EXACT(K1455,"sale"),EXACT(K1455,"refund"))),"unknown event",IF(OR(N1455="",NOT(O1455)),"invalid amount",IF(OR(AND(K1455="sale",N1455&lt;=0),AND(K1455="refund",N1455&gt;=0)),"invalid sign","")))))))))</f>
        <v/>
      </c>
      <c r="U1455" s="1" t="str">
        <f t="shared" si="181"/>
        <v>INCLUDED</v>
      </c>
      <c r="V1455" s="1" t="str">
        <f t="shared" si="182"/>
        <v>2026-01</v>
      </c>
      <c r="W1455" s="1">
        <f>IF(AND(U1455="INCLUDED",X1455&gt;0,EXACT(A1455,'AI output'!A1455)),1,0)</f>
        <v>1</v>
      </c>
      <c r="X1455" s="1">
        <f>1455</f>
        <v>1455</v>
      </c>
      <c r="Y1455" s="1">
        <f>IF(AND(U1455="INCLUDED",W1455=1),--(NOT(EXACT(A1455,'AI output'!A1455)))+--(NOT(EXACT(B1455,'AI output'!B1455)))+--(NOT(EXACT(TEXT(G1455,"yyyy-mm-dd"),'AI output'!C1455)))+--(NOT(EXACT(H1455,'AI output'!D1455)))+--(NOT(EXACT(J1455,'AI output'!E1455)))+--(NOT(EXACT(K1455,'AI output'!F1455)))+--(N1455&lt;&gt;'AI output'!L1455)+--(NOT('AI output'!M1455)),0)</f>
        <v>0</v>
      </c>
      <c r="Z1455" s="1">
        <f t="shared" si="183"/>
        <v>0</v>
      </c>
      <c r="AA1455" s="1">
        <f>--EXACT(A1455,"L01449")</f>
        <v>1</v>
      </c>
    </row>
    <row r="1456" spans="1:27" ht="18.95" customHeight="1">
      <c r="A1456" s="1" t="str">
        <f>IF(Raw!A1456="","",Raw!A1456)</f>
        <v>L01450</v>
      </c>
      <c r="B1456" s="1" t="str">
        <f>IF(Raw!B1456="","",Raw!B1456)</f>
        <v>T00725</v>
      </c>
      <c r="C1456" s="1" t="str">
        <f>IF(Raw!C1456="","",Raw!C1456)</f>
        <v>2026-01-29</v>
      </c>
      <c r="D1456" s="1">
        <f t="shared" si="176"/>
        <v>2026</v>
      </c>
      <c r="E1456" s="1">
        <f>IFERROR(IF(AND(LEN(C1456)=10,MID(C1456,5,1)="-",MID(C1456,8,1)="-"),VALUE(MID(C1456,6,2)),IF(AND(LEN(C1456)=11,MID(C1456,3,1)="-",MID(C1456,7,1)="-"),MATCH(UPPER(MID(C1456,4,3)),Guide!$D$7:$D$18,0),0)),0)</f>
        <v>1</v>
      </c>
      <c r="F1456" s="1">
        <f t="shared" si="177"/>
        <v>29</v>
      </c>
      <c r="G1456" s="9">
        <f t="shared" si="178"/>
        <v>46051</v>
      </c>
      <c r="H1456" s="1" t="str">
        <f>IF(Raw!D1456="","",Raw!D1456)</f>
        <v>P-A</v>
      </c>
      <c r="I1456" s="1" t="str">
        <f>IFERROR(IF(EXACT(H1456,INDEX(Guide!$A$7:$A$9,MATCH(SUBSTITUTE(SUBSTITUTE(SUBSTITUTE(H1456,"~","~~"),"*","~*"),"?","~?"),Guide!$A$7:$A$9,0))),INDEX(Guide!$B$7:$B$9,MATCH(SUBSTITUTE(SUBSTITUTE(SUBSTITUTE(H1456,"~","~~"),"*","~*"),"?","~?"),Guide!$A$7:$A$9,0)),""),"")</f>
        <v>Accessories</v>
      </c>
      <c r="J1456" s="1" t="str">
        <f>IF(TRIM(Raw!E1456)="",I1456,IF(UPPER(TRIM(Raw!E1456))=UPPER(I1456),I1456,""))</f>
        <v>Accessories</v>
      </c>
      <c r="K1456" s="1" t="str">
        <f>IF(Raw!F1456="","",Raw!F1456)</f>
        <v>refund</v>
      </c>
      <c r="L1456" s="1" t="str">
        <f>IF(LEFT(TRIM(Raw!G1456),2)="-$","-"&amp;MID(TRIM(Raw!G1456),3,99),IF(LEFT(TRIM(Raw!G1456),1)="$",MID(TRIM(Raw!G1456),2,99),TRIM(Raw!G1456)))</f>
        <v>-244.48</v>
      </c>
      <c r="M1456" s="1">
        <f t="shared" si="179"/>
        <v>-244.48</v>
      </c>
      <c r="N1456" s="10">
        <f t="shared" si="180"/>
        <v>-24448</v>
      </c>
      <c r="O1456" s="1" t="b">
        <f>IFERROR(IF(ISNUMBER(Raw!G1456),TRUE,OR(EXACT(L1456,TEXT(M1456,"0.00")),EXACT(L1456,TEXT(M1456,"#,##0.00")))),FALSE)</f>
        <v>1</v>
      </c>
      <c r="P1456" s="1" t="str">
        <f>LEN(IF(Raw!A1456="","",Raw!A1456))&amp;":"&amp;IF(Raw!A1456="","",Raw!A1456)&amp;"|"&amp;LEN(IF(Raw!B1456="","",Raw!B1456))&amp;":"&amp;IF(Raw!B1456="","",Raw!B1456)&amp;"|"&amp;LEN(IF(Raw!C1456="","",Raw!C1456))&amp;":"&amp;IF(Raw!C1456="","",Raw!C1456)&amp;"|"&amp;LEN(IF(Raw!D1456="","",Raw!D1456))&amp;":"&amp;IF(Raw!D1456="","",Raw!D1456)&amp;"|"&amp;LEN(IF(Raw!E1456="","",Raw!E1456))&amp;":"&amp;IF(Raw!E1456="","",Raw!E1456)&amp;"|"&amp;LEN(IF(Raw!F1456="","",Raw!F1456))&amp;":"&amp;IF(Raw!F1456="","",Raw!F1456)&amp;"|"&amp;LEN(IF(Raw!G1456="","",Raw!G1456))&amp;":"&amp;IF(Raw!G1456="","",Raw!G1456)</f>
        <v>6:L01450|6:T00725|10:2026-01-29|3:P-A|11:Accessories|6:refund|7:-244.48</v>
      </c>
      <c r="Q1456" s="1">
        <f>1</f>
        <v>1</v>
      </c>
      <c r="R1456" s="1" t="b">
        <f>FALSE</f>
        <v>0</v>
      </c>
      <c r="S1456" s="1">
        <f>1</f>
        <v>1</v>
      </c>
      <c r="T1456" s="1" t="str">
        <f>IF(AND(Raw!A1456="",Raw!B1456="",Raw!C1456="",Raw!D1456="",Raw!E1456="",Raw!F1456="",Raw!G1456=""),"UNUSED",IF(A1456="","missing line ID",IF(B1456="","missing transaction ID",IF(G1456="",IF(C1456="","missing date","invalid date"),IF(I1456="","unknown product",IF(J1456="","conflicting category",IF(NOT(OR(EXACT(K1456,"sale"),EXACT(K1456,"refund"))),"unknown event",IF(OR(N1456="",NOT(O1456)),"invalid amount",IF(OR(AND(K1456="sale",N1456&lt;=0),AND(K1456="refund",N1456&gt;=0)),"invalid sign","")))))))))</f>
        <v/>
      </c>
      <c r="U1456" s="1" t="str">
        <f t="shared" si="181"/>
        <v>INCLUDED</v>
      </c>
      <c r="V1456" s="1" t="str">
        <f t="shared" si="182"/>
        <v>2026-01</v>
      </c>
      <c r="W1456" s="1">
        <f>IF(AND(U1456="INCLUDED",X1456&gt;0,EXACT(A1456,'AI output'!A1456)),1,0)</f>
        <v>1</v>
      </c>
      <c r="X1456" s="1">
        <f>1456</f>
        <v>1456</v>
      </c>
      <c r="Y1456" s="1">
        <f>IF(AND(U1456="INCLUDED",W1456=1),--(NOT(EXACT(A1456,'AI output'!A1456)))+--(NOT(EXACT(B1456,'AI output'!B1456)))+--(NOT(EXACT(TEXT(G1456,"yyyy-mm-dd"),'AI output'!C1456)))+--(NOT(EXACT(H1456,'AI output'!D1456)))+--(NOT(EXACT(J1456,'AI output'!E1456)))+--(NOT(EXACT(K1456,'AI output'!F1456)))+--(N1456&lt;&gt;'AI output'!L1456)+--(NOT('AI output'!M1456)),0)</f>
        <v>0</v>
      </c>
      <c r="Z1456" s="1">
        <f t="shared" si="183"/>
        <v>0</v>
      </c>
      <c r="AA1456" s="1">
        <f>--EXACT(A1456,"L01450")</f>
        <v>1</v>
      </c>
    </row>
    <row r="1457" spans="1:27" ht="18.95" customHeight="1">
      <c r="A1457" s="1" t="str">
        <f>IF(Raw!A1457="","",Raw!A1457)</f>
        <v>L01451</v>
      </c>
      <c r="B1457" s="1" t="str">
        <f>IF(Raw!B1457="","",Raw!B1457)</f>
        <v>T00726</v>
      </c>
      <c r="C1457" s="1" t="str">
        <f>IF(Raw!C1457="","",Raw!C1457)</f>
        <v>2026-02-05</v>
      </c>
      <c r="D1457" s="1">
        <f t="shared" si="176"/>
        <v>2026</v>
      </c>
      <c r="E1457" s="1">
        <f>IFERROR(IF(AND(LEN(C1457)=10,MID(C1457,5,1)="-",MID(C1457,8,1)="-"),VALUE(MID(C1457,6,2)),IF(AND(LEN(C1457)=11,MID(C1457,3,1)="-",MID(C1457,7,1)="-"),MATCH(UPPER(MID(C1457,4,3)),Guide!$D$7:$D$18,0),0)),0)</f>
        <v>2</v>
      </c>
      <c r="F1457" s="1">
        <f t="shared" si="177"/>
        <v>5</v>
      </c>
      <c r="G1457" s="9">
        <f t="shared" si="178"/>
        <v>46058</v>
      </c>
      <c r="H1457" s="1" t="str">
        <f>IF(Raw!D1457="","",Raw!D1457)</f>
        <v>P-H</v>
      </c>
      <c r="I1457" s="1" t="str">
        <f>IFERROR(IF(EXACT(H1457,INDEX(Guide!$A$7:$A$9,MATCH(SUBSTITUTE(SUBSTITUTE(SUBSTITUTE(H1457,"~","~~"),"*","~*"),"?","~?"),Guide!$A$7:$A$9,0))),INDEX(Guide!$B$7:$B$9,MATCH(SUBSTITUTE(SUBSTITUTE(SUBSTITUTE(H1457,"~","~~"),"*","~*"),"?","~?"),Guide!$A$7:$A$9,0)),""),"")</f>
        <v>Home</v>
      </c>
      <c r="J1457" s="1" t="str">
        <f>IF(TRIM(Raw!E1457)="",I1457,IF(UPPER(TRIM(Raw!E1457))=UPPER(I1457),I1457,""))</f>
        <v>Home</v>
      </c>
      <c r="K1457" s="1" t="str">
        <f>IF(Raw!F1457="","",Raw!F1457)</f>
        <v>sale</v>
      </c>
      <c r="L1457" s="1" t="str">
        <f>IF(LEFT(TRIM(Raw!G1457),2)="-$","-"&amp;MID(TRIM(Raw!G1457),3,99),IF(LEFT(TRIM(Raw!G1457),1)="$",MID(TRIM(Raw!G1457),2,99),TRIM(Raw!G1457)))</f>
        <v>61.49</v>
      </c>
      <c r="M1457" s="1">
        <f t="shared" si="179"/>
        <v>61.49</v>
      </c>
      <c r="N1457" s="10">
        <f t="shared" si="180"/>
        <v>6149</v>
      </c>
      <c r="O1457" s="1" t="b">
        <f>IFERROR(IF(ISNUMBER(Raw!G1457),TRUE,OR(EXACT(L1457,TEXT(M1457,"0.00")),EXACT(L1457,TEXT(M1457,"#,##0.00")))),FALSE)</f>
        <v>1</v>
      </c>
      <c r="P1457" s="1" t="str">
        <f>LEN(IF(Raw!A1457="","",Raw!A1457))&amp;":"&amp;IF(Raw!A1457="","",Raw!A1457)&amp;"|"&amp;LEN(IF(Raw!B1457="","",Raw!B1457))&amp;":"&amp;IF(Raw!B1457="","",Raw!B1457)&amp;"|"&amp;LEN(IF(Raw!C1457="","",Raw!C1457))&amp;":"&amp;IF(Raw!C1457="","",Raw!C1457)&amp;"|"&amp;LEN(IF(Raw!D1457="","",Raw!D1457))&amp;":"&amp;IF(Raw!D1457="","",Raw!D1457)&amp;"|"&amp;LEN(IF(Raw!E1457="","",Raw!E1457))&amp;":"&amp;IF(Raw!E1457="","",Raw!E1457)&amp;"|"&amp;LEN(IF(Raw!F1457="","",Raw!F1457))&amp;":"&amp;IF(Raw!F1457="","",Raw!F1457)&amp;"|"&amp;LEN(IF(Raw!G1457="","",Raw!G1457))&amp;":"&amp;IF(Raw!G1457="","",Raw!G1457)</f>
        <v>6:L01451|6:T00726|10:2026-02-05|3:P-H|4:Home|4:sale|5:61.49</v>
      </c>
      <c r="Q1457" s="1">
        <f>1</f>
        <v>1</v>
      </c>
      <c r="R1457" s="1" t="b">
        <f>FALSE</f>
        <v>0</v>
      </c>
      <c r="S1457" s="1">
        <f>1</f>
        <v>1</v>
      </c>
      <c r="T1457" s="1" t="str">
        <f>IF(AND(Raw!A1457="",Raw!B1457="",Raw!C1457="",Raw!D1457="",Raw!E1457="",Raw!F1457="",Raw!G1457=""),"UNUSED",IF(A1457="","missing line ID",IF(B1457="","missing transaction ID",IF(G1457="",IF(C1457="","missing date","invalid date"),IF(I1457="","unknown product",IF(J1457="","conflicting category",IF(NOT(OR(EXACT(K1457,"sale"),EXACT(K1457,"refund"))),"unknown event",IF(OR(N1457="",NOT(O1457)),"invalid amount",IF(OR(AND(K1457="sale",N1457&lt;=0),AND(K1457="refund",N1457&gt;=0)),"invalid sign","")))))))))</f>
        <v/>
      </c>
      <c r="U1457" s="1" t="str">
        <f t="shared" si="181"/>
        <v>INCLUDED</v>
      </c>
      <c r="V1457" s="1" t="str">
        <f t="shared" si="182"/>
        <v>2026-02</v>
      </c>
      <c r="W1457" s="1">
        <f>IF(AND(U1457="INCLUDED",X1457&gt;0,EXACT(A1457,'AI output'!A1457)),1,0)</f>
        <v>1</v>
      </c>
      <c r="X1457" s="1">
        <f>1457</f>
        <v>1457</v>
      </c>
      <c r="Y1457" s="1">
        <f>IF(AND(U1457="INCLUDED",W1457=1),--(NOT(EXACT(A1457,'AI output'!A1457)))+--(NOT(EXACT(B1457,'AI output'!B1457)))+--(NOT(EXACT(TEXT(G1457,"yyyy-mm-dd"),'AI output'!C1457)))+--(NOT(EXACT(H1457,'AI output'!D1457)))+--(NOT(EXACT(J1457,'AI output'!E1457)))+--(NOT(EXACT(K1457,'AI output'!F1457)))+--(N1457&lt;&gt;'AI output'!L1457)+--(NOT('AI output'!M1457)),0)</f>
        <v>0</v>
      </c>
      <c r="Z1457" s="1">
        <f t="shared" si="183"/>
        <v>0</v>
      </c>
      <c r="AA1457" s="1">
        <f>--EXACT(A1457,"L01451")</f>
        <v>1</v>
      </c>
    </row>
    <row r="1458" spans="1:27" ht="18.95" customHeight="1">
      <c r="A1458" s="1" t="str">
        <f>IF(Raw!A1458="","",Raw!A1458)</f>
        <v>L01452</v>
      </c>
      <c r="B1458" s="1" t="str">
        <f>IF(Raw!B1458="","",Raw!B1458)</f>
        <v>T00726</v>
      </c>
      <c r="C1458" s="1" t="str">
        <f>IF(Raw!C1458="","",Raw!C1458)</f>
        <v>2026-02-05</v>
      </c>
      <c r="D1458" s="1">
        <f t="shared" si="176"/>
        <v>2026</v>
      </c>
      <c r="E1458" s="1">
        <f>IFERROR(IF(AND(LEN(C1458)=10,MID(C1458,5,1)="-",MID(C1458,8,1)="-"),VALUE(MID(C1458,6,2)),IF(AND(LEN(C1458)=11,MID(C1458,3,1)="-",MID(C1458,7,1)="-"),MATCH(UPPER(MID(C1458,4,3)),Guide!$D$7:$D$18,0),0)),0)</f>
        <v>2</v>
      </c>
      <c r="F1458" s="1">
        <f t="shared" si="177"/>
        <v>5</v>
      </c>
      <c r="G1458" s="9">
        <f t="shared" si="178"/>
        <v>46058</v>
      </c>
      <c r="H1458" s="1" t="str">
        <f>IF(Raw!D1458="","",Raw!D1458)</f>
        <v>P-O</v>
      </c>
      <c r="I1458" s="1" t="str">
        <f>IFERROR(IF(EXACT(H1458,INDEX(Guide!$A$7:$A$9,MATCH(SUBSTITUTE(SUBSTITUTE(SUBSTITUTE(H1458,"~","~~"),"*","~*"),"?","~?"),Guide!$A$7:$A$9,0))),INDEX(Guide!$B$7:$B$9,MATCH(SUBSTITUTE(SUBSTITUTE(SUBSTITUTE(H1458,"~","~~"),"*","~*"),"?","~?"),Guide!$A$7:$A$9,0)),""),"")</f>
        <v>Office</v>
      </c>
      <c r="J1458" s="1" t="str">
        <f>IF(TRIM(Raw!E1458)="",I1458,IF(UPPER(TRIM(Raw!E1458))=UPPER(I1458),I1458,""))</f>
        <v>Office</v>
      </c>
      <c r="K1458" s="1" t="str">
        <f>IF(Raw!F1458="","",Raw!F1458)</f>
        <v>sale</v>
      </c>
      <c r="L1458" s="1" t="str">
        <f>IF(LEFT(TRIM(Raw!G1458),2)="-$","-"&amp;MID(TRIM(Raw!G1458),3,99),IF(LEFT(TRIM(Raw!G1458),1)="$",MID(TRIM(Raw!G1458),2,99),TRIM(Raw!G1458)))</f>
        <v>185.58</v>
      </c>
      <c r="M1458" s="1">
        <f t="shared" si="179"/>
        <v>185.58</v>
      </c>
      <c r="N1458" s="10">
        <f t="shared" si="180"/>
        <v>18558</v>
      </c>
      <c r="O1458" s="1" t="b">
        <f>IFERROR(IF(ISNUMBER(Raw!G1458),TRUE,OR(EXACT(L1458,TEXT(M1458,"0.00")),EXACT(L1458,TEXT(M1458,"#,##0.00")))),FALSE)</f>
        <v>1</v>
      </c>
      <c r="P1458" s="1" t="str">
        <f>LEN(IF(Raw!A1458="","",Raw!A1458))&amp;":"&amp;IF(Raw!A1458="","",Raw!A1458)&amp;"|"&amp;LEN(IF(Raw!B1458="","",Raw!B1458))&amp;":"&amp;IF(Raw!B1458="","",Raw!B1458)&amp;"|"&amp;LEN(IF(Raw!C1458="","",Raw!C1458))&amp;":"&amp;IF(Raw!C1458="","",Raw!C1458)&amp;"|"&amp;LEN(IF(Raw!D1458="","",Raw!D1458))&amp;":"&amp;IF(Raw!D1458="","",Raw!D1458)&amp;"|"&amp;LEN(IF(Raw!E1458="","",Raw!E1458))&amp;":"&amp;IF(Raw!E1458="","",Raw!E1458)&amp;"|"&amp;LEN(IF(Raw!F1458="","",Raw!F1458))&amp;":"&amp;IF(Raw!F1458="","",Raw!F1458)&amp;"|"&amp;LEN(IF(Raw!G1458="","",Raw!G1458))&amp;":"&amp;IF(Raw!G1458="","",Raw!G1458)</f>
        <v>6:L01452|6:T00726|10:2026-02-05|3:P-O|6:Office|4:sale|6:185.58</v>
      </c>
      <c r="Q1458" s="1">
        <f>1</f>
        <v>1</v>
      </c>
      <c r="R1458" s="1" t="b">
        <f>FALSE</f>
        <v>0</v>
      </c>
      <c r="S1458" s="1">
        <f>1</f>
        <v>1</v>
      </c>
      <c r="T1458" s="1" t="str">
        <f>IF(AND(Raw!A1458="",Raw!B1458="",Raw!C1458="",Raw!D1458="",Raw!E1458="",Raw!F1458="",Raw!G1458=""),"UNUSED",IF(A1458="","missing line ID",IF(B1458="","missing transaction ID",IF(G1458="",IF(C1458="","missing date","invalid date"),IF(I1458="","unknown product",IF(J1458="","conflicting category",IF(NOT(OR(EXACT(K1458,"sale"),EXACT(K1458,"refund"))),"unknown event",IF(OR(N1458="",NOT(O1458)),"invalid amount",IF(OR(AND(K1458="sale",N1458&lt;=0),AND(K1458="refund",N1458&gt;=0)),"invalid sign","")))))))))</f>
        <v/>
      </c>
      <c r="U1458" s="1" t="str">
        <f t="shared" si="181"/>
        <v>INCLUDED</v>
      </c>
      <c r="V1458" s="1" t="str">
        <f t="shared" si="182"/>
        <v>2026-02</v>
      </c>
      <c r="W1458" s="1">
        <f>IF(AND(U1458="INCLUDED",X1458&gt;0,EXACT(A1458,'AI output'!A1458)),1,0)</f>
        <v>1</v>
      </c>
      <c r="X1458" s="1">
        <f>1458</f>
        <v>1458</v>
      </c>
      <c r="Y1458" s="1">
        <f>IF(AND(U1458="INCLUDED",W1458=1),--(NOT(EXACT(A1458,'AI output'!A1458)))+--(NOT(EXACT(B1458,'AI output'!B1458)))+--(NOT(EXACT(TEXT(G1458,"yyyy-mm-dd"),'AI output'!C1458)))+--(NOT(EXACT(H1458,'AI output'!D1458)))+--(NOT(EXACT(J1458,'AI output'!E1458)))+--(NOT(EXACT(K1458,'AI output'!F1458)))+--(N1458&lt;&gt;'AI output'!L1458)+--(NOT('AI output'!M1458)),0)</f>
        <v>0</v>
      </c>
      <c r="Z1458" s="1">
        <f t="shared" si="183"/>
        <v>0</v>
      </c>
      <c r="AA1458" s="1">
        <f>--EXACT(A1458,"L01452")</f>
        <v>1</v>
      </c>
    </row>
    <row r="1459" spans="1:27" ht="18.95" customHeight="1">
      <c r="A1459" s="1" t="str">
        <f>IF(Raw!A1459="","",Raw!A1459)</f>
        <v>L01453</v>
      </c>
      <c r="B1459" s="1" t="str">
        <f>IF(Raw!B1459="","",Raw!B1459)</f>
        <v>T00727</v>
      </c>
      <c r="C1459" s="1" t="str">
        <f>IF(Raw!C1459="","",Raw!C1459)</f>
        <v>2026-02-12</v>
      </c>
      <c r="D1459" s="1">
        <f t="shared" si="176"/>
        <v>2026</v>
      </c>
      <c r="E1459" s="1">
        <f>IFERROR(IF(AND(LEN(C1459)=10,MID(C1459,5,1)="-",MID(C1459,8,1)="-"),VALUE(MID(C1459,6,2)),IF(AND(LEN(C1459)=11,MID(C1459,3,1)="-",MID(C1459,7,1)="-"),MATCH(UPPER(MID(C1459,4,3)),Guide!$D$7:$D$18,0),0)),0)</f>
        <v>2</v>
      </c>
      <c r="F1459" s="1">
        <f t="shared" si="177"/>
        <v>12</v>
      </c>
      <c r="G1459" s="9">
        <f t="shared" si="178"/>
        <v>46065</v>
      </c>
      <c r="H1459" s="1" t="str">
        <f>IF(Raw!D1459="","",Raw!D1459)</f>
        <v>P-A</v>
      </c>
      <c r="I1459" s="1" t="str">
        <f>IFERROR(IF(EXACT(H1459,INDEX(Guide!$A$7:$A$9,MATCH(SUBSTITUTE(SUBSTITUTE(SUBSTITUTE(H1459,"~","~~"),"*","~*"),"?","~?"),Guide!$A$7:$A$9,0))),INDEX(Guide!$B$7:$B$9,MATCH(SUBSTITUTE(SUBSTITUTE(SUBSTITUTE(H1459,"~","~~"),"*","~*"),"?","~?"),Guide!$A$7:$A$9,0)),""),"")</f>
        <v>Accessories</v>
      </c>
      <c r="J1459" s="1" t="str">
        <f>IF(TRIM(Raw!E1459)="",I1459,IF(UPPER(TRIM(Raw!E1459))=UPPER(I1459),I1459,""))</f>
        <v>Accessories</v>
      </c>
      <c r="K1459" s="1" t="str">
        <f>IF(Raw!F1459="","",Raw!F1459)</f>
        <v>sale</v>
      </c>
      <c r="L1459" s="1" t="str">
        <f>IF(LEFT(TRIM(Raw!G1459),2)="-$","-"&amp;MID(TRIM(Raw!G1459),3,99),IF(LEFT(TRIM(Raw!G1459),1)="$",MID(TRIM(Raw!G1459),2,99),TRIM(Raw!G1459)))</f>
        <v>311.15</v>
      </c>
      <c r="M1459" s="1">
        <f t="shared" si="179"/>
        <v>311.14999999999998</v>
      </c>
      <c r="N1459" s="10">
        <f t="shared" si="180"/>
        <v>31115</v>
      </c>
      <c r="O1459" s="1" t="b">
        <f>IFERROR(IF(ISNUMBER(Raw!G1459),TRUE,OR(EXACT(L1459,TEXT(M1459,"0.00")),EXACT(L1459,TEXT(M1459,"#,##0.00")))),FALSE)</f>
        <v>1</v>
      </c>
      <c r="P1459" s="1" t="str">
        <f>LEN(IF(Raw!A1459="","",Raw!A1459))&amp;":"&amp;IF(Raw!A1459="","",Raw!A1459)&amp;"|"&amp;LEN(IF(Raw!B1459="","",Raw!B1459))&amp;":"&amp;IF(Raw!B1459="","",Raw!B1459)&amp;"|"&amp;LEN(IF(Raw!C1459="","",Raw!C1459))&amp;":"&amp;IF(Raw!C1459="","",Raw!C1459)&amp;"|"&amp;LEN(IF(Raw!D1459="","",Raw!D1459))&amp;":"&amp;IF(Raw!D1459="","",Raw!D1459)&amp;"|"&amp;LEN(IF(Raw!E1459="","",Raw!E1459))&amp;":"&amp;IF(Raw!E1459="","",Raw!E1459)&amp;"|"&amp;LEN(IF(Raw!F1459="","",Raw!F1459))&amp;":"&amp;IF(Raw!F1459="","",Raw!F1459)&amp;"|"&amp;LEN(IF(Raw!G1459="","",Raw!G1459))&amp;":"&amp;IF(Raw!G1459="","",Raw!G1459)</f>
        <v>6:L01453|6:T00727|10:2026-02-12|3:P-A|11:Accessories|4:sale|6:311.15</v>
      </c>
      <c r="Q1459" s="1">
        <f>1</f>
        <v>1</v>
      </c>
      <c r="R1459" s="1" t="b">
        <f>FALSE</f>
        <v>0</v>
      </c>
      <c r="S1459" s="1">
        <f>1</f>
        <v>1</v>
      </c>
      <c r="T1459" s="1" t="str">
        <f>IF(AND(Raw!A1459="",Raw!B1459="",Raw!C1459="",Raw!D1459="",Raw!E1459="",Raw!F1459="",Raw!G1459=""),"UNUSED",IF(A1459="","missing line ID",IF(B1459="","missing transaction ID",IF(G1459="",IF(C1459="","missing date","invalid date"),IF(I1459="","unknown product",IF(J1459="","conflicting category",IF(NOT(OR(EXACT(K1459,"sale"),EXACT(K1459,"refund"))),"unknown event",IF(OR(N1459="",NOT(O1459)),"invalid amount",IF(OR(AND(K1459="sale",N1459&lt;=0),AND(K1459="refund",N1459&gt;=0)),"invalid sign","")))))))))</f>
        <v/>
      </c>
      <c r="U1459" s="1" t="str">
        <f t="shared" si="181"/>
        <v>INCLUDED</v>
      </c>
      <c r="V1459" s="1" t="str">
        <f t="shared" si="182"/>
        <v>2026-02</v>
      </c>
      <c r="W1459" s="1">
        <f>IF(AND(U1459="INCLUDED",X1459&gt;0,EXACT(A1459,'AI output'!A1459)),1,0)</f>
        <v>1</v>
      </c>
      <c r="X1459" s="1">
        <f>1459</f>
        <v>1459</v>
      </c>
      <c r="Y1459" s="1">
        <f>IF(AND(U1459="INCLUDED",W1459=1),--(NOT(EXACT(A1459,'AI output'!A1459)))+--(NOT(EXACT(B1459,'AI output'!B1459)))+--(NOT(EXACT(TEXT(G1459,"yyyy-mm-dd"),'AI output'!C1459)))+--(NOT(EXACT(H1459,'AI output'!D1459)))+--(NOT(EXACT(J1459,'AI output'!E1459)))+--(NOT(EXACT(K1459,'AI output'!F1459)))+--(N1459&lt;&gt;'AI output'!L1459)+--(NOT('AI output'!M1459)),0)</f>
        <v>0</v>
      </c>
      <c r="Z1459" s="1">
        <f t="shared" si="183"/>
        <v>0</v>
      </c>
      <c r="AA1459" s="1">
        <f>--EXACT(A1459,"L01453")</f>
        <v>1</v>
      </c>
    </row>
    <row r="1460" spans="1:27" ht="18.95" customHeight="1">
      <c r="A1460" s="1" t="str">
        <f>IF(Raw!A1460="","",Raw!A1460)</f>
        <v>L01454</v>
      </c>
      <c r="B1460" s="1" t="str">
        <f>IF(Raw!B1460="","",Raw!B1460)</f>
        <v>T00727</v>
      </c>
      <c r="C1460" s="1" t="str">
        <f>IF(Raw!C1460="","",Raw!C1460)</f>
        <v>2026-02-12</v>
      </c>
      <c r="D1460" s="1">
        <f t="shared" si="176"/>
        <v>2026</v>
      </c>
      <c r="E1460" s="1">
        <f>IFERROR(IF(AND(LEN(C1460)=10,MID(C1460,5,1)="-",MID(C1460,8,1)="-"),VALUE(MID(C1460,6,2)),IF(AND(LEN(C1460)=11,MID(C1460,3,1)="-",MID(C1460,7,1)="-"),MATCH(UPPER(MID(C1460,4,3)),Guide!$D$7:$D$18,0),0)),0)</f>
        <v>2</v>
      </c>
      <c r="F1460" s="1">
        <f t="shared" si="177"/>
        <v>12</v>
      </c>
      <c r="G1460" s="9">
        <f t="shared" si="178"/>
        <v>46065</v>
      </c>
      <c r="H1460" s="1" t="str">
        <f>IF(Raw!D1460="","",Raw!D1460)</f>
        <v>P-H</v>
      </c>
      <c r="I1460" s="1" t="str">
        <f>IFERROR(IF(EXACT(H1460,INDEX(Guide!$A$7:$A$9,MATCH(SUBSTITUTE(SUBSTITUTE(SUBSTITUTE(H1460,"~","~~"),"*","~*"),"?","~?"),Guide!$A$7:$A$9,0))),INDEX(Guide!$B$7:$B$9,MATCH(SUBSTITUTE(SUBSTITUTE(SUBSTITUTE(H1460,"~","~~"),"*","~*"),"?","~?"),Guide!$A$7:$A$9,0)),""),"")</f>
        <v>Home</v>
      </c>
      <c r="J1460" s="1" t="str">
        <f>IF(TRIM(Raw!E1460)="",I1460,IF(UPPER(TRIM(Raw!E1460))=UPPER(I1460),I1460,""))</f>
        <v>Home</v>
      </c>
      <c r="K1460" s="1" t="str">
        <f>IF(Raw!F1460="","",Raw!F1460)</f>
        <v>sale</v>
      </c>
      <c r="L1460" s="1" t="str">
        <f>IF(LEFT(TRIM(Raw!G1460),2)="-$","-"&amp;MID(TRIM(Raw!G1460),3,99),IF(LEFT(TRIM(Raw!G1460),1)="$",MID(TRIM(Raw!G1460),2,99),TRIM(Raw!G1460)))</f>
        <v>125.20</v>
      </c>
      <c r="M1460" s="1">
        <f t="shared" si="179"/>
        <v>125.2</v>
      </c>
      <c r="N1460" s="10">
        <f t="shared" si="180"/>
        <v>12520</v>
      </c>
      <c r="O1460" s="1" t="b">
        <f>IFERROR(IF(ISNUMBER(Raw!G1460),TRUE,OR(EXACT(L1460,TEXT(M1460,"0.00")),EXACT(L1460,TEXT(M1460,"#,##0.00")))),FALSE)</f>
        <v>1</v>
      </c>
      <c r="P1460" s="1" t="str">
        <f>LEN(IF(Raw!A1460="","",Raw!A1460))&amp;":"&amp;IF(Raw!A1460="","",Raw!A1460)&amp;"|"&amp;LEN(IF(Raw!B1460="","",Raw!B1460))&amp;":"&amp;IF(Raw!B1460="","",Raw!B1460)&amp;"|"&amp;LEN(IF(Raw!C1460="","",Raw!C1460))&amp;":"&amp;IF(Raw!C1460="","",Raw!C1460)&amp;"|"&amp;LEN(IF(Raw!D1460="","",Raw!D1460))&amp;":"&amp;IF(Raw!D1460="","",Raw!D1460)&amp;"|"&amp;LEN(IF(Raw!E1460="","",Raw!E1460))&amp;":"&amp;IF(Raw!E1460="","",Raw!E1460)&amp;"|"&amp;LEN(IF(Raw!F1460="","",Raw!F1460))&amp;":"&amp;IF(Raw!F1460="","",Raw!F1460)&amp;"|"&amp;LEN(IF(Raw!G1460="","",Raw!G1460))&amp;":"&amp;IF(Raw!G1460="","",Raw!G1460)</f>
        <v>6:L01454|6:T00727|10:2026-02-12|3:P-H|4:Home|4:sale|6:125.20</v>
      </c>
      <c r="Q1460" s="1">
        <f>1</f>
        <v>1</v>
      </c>
      <c r="R1460" s="1" t="b">
        <f>FALSE</f>
        <v>0</v>
      </c>
      <c r="S1460" s="1">
        <f>1</f>
        <v>1</v>
      </c>
      <c r="T1460" s="1" t="str">
        <f>IF(AND(Raw!A1460="",Raw!B1460="",Raw!C1460="",Raw!D1460="",Raw!E1460="",Raw!F1460="",Raw!G1460=""),"UNUSED",IF(A1460="","missing line ID",IF(B1460="","missing transaction ID",IF(G1460="",IF(C1460="","missing date","invalid date"),IF(I1460="","unknown product",IF(J1460="","conflicting category",IF(NOT(OR(EXACT(K1460,"sale"),EXACT(K1460,"refund"))),"unknown event",IF(OR(N1460="",NOT(O1460)),"invalid amount",IF(OR(AND(K1460="sale",N1460&lt;=0),AND(K1460="refund",N1460&gt;=0)),"invalid sign","")))))))))</f>
        <v/>
      </c>
      <c r="U1460" s="1" t="str">
        <f t="shared" si="181"/>
        <v>INCLUDED</v>
      </c>
      <c r="V1460" s="1" t="str">
        <f t="shared" si="182"/>
        <v>2026-02</v>
      </c>
      <c r="W1460" s="1">
        <f>IF(AND(U1460="INCLUDED",X1460&gt;0,EXACT(A1460,'AI output'!A1460)),1,0)</f>
        <v>1</v>
      </c>
      <c r="X1460" s="1">
        <f>1460</f>
        <v>1460</v>
      </c>
      <c r="Y1460" s="1">
        <f>IF(AND(U1460="INCLUDED",W1460=1),--(NOT(EXACT(A1460,'AI output'!A1460)))+--(NOT(EXACT(B1460,'AI output'!B1460)))+--(NOT(EXACT(TEXT(G1460,"yyyy-mm-dd"),'AI output'!C1460)))+--(NOT(EXACT(H1460,'AI output'!D1460)))+--(NOT(EXACT(J1460,'AI output'!E1460)))+--(NOT(EXACT(K1460,'AI output'!F1460)))+--(N1460&lt;&gt;'AI output'!L1460)+--(NOT('AI output'!M1460)),0)</f>
        <v>0</v>
      </c>
      <c r="Z1460" s="1">
        <f t="shared" si="183"/>
        <v>0</v>
      </c>
      <c r="AA1460" s="1">
        <f>--EXACT(A1460,"L01454")</f>
        <v>1</v>
      </c>
    </row>
    <row r="1461" spans="1:27" ht="18.95" customHeight="1">
      <c r="A1461" s="1" t="str">
        <f>IF(Raw!A1461="","",Raw!A1461)</f>
        <v>L01455</v>
      </c>
      <c r="B1461" s="1" t="str">
        <f>IF(Raw!B1461="","",Raw!B1461)</f>
        <v>T00728</v>
      </c>
      <c r="C1461" s="1" t="str">
        <f>IF(Raw!C1461="","",Raw!C1461)</f>
        <v>2026-02-19</v>
      </c>
      <c r="D1461" s="1">
        <f t="shared" si="176"/>
        <v>2026</v>
      </c>
      <c r="E1461" s="1">
        <f>IFERROR(IF(AND(LEN(C1461)=10,MID(C1461,5,1)="-",MID(C1461,8,1)="-"),VALUE(MID(C1461,6,2)),IF(AND(LEN(C1461)=11,MID(C1461,3,1)="-",MID(C1461,7,1)="-"),MATCH(UPPER(MID(C1461,4,3)),Guide!$D$7:$D$18,0),0)),0)</f>
        <v>2</v>
      </c>
      <c r="F1461" s="1">
        <f t="shared" si="177"/>
        <v>19</v>
      </c>
      <c r="G1461" s="9">
        <f t="shared" si="178"/>
        <v>46072</v>
      </c>
      <c r="H1461" s="1" t="str">
        <f>IF(Raw!D1461="","",Raw!D1461)</f>
        <v>P-O</v>
      </c>
      <c r="I1461" s="1" t="str">
        <f>IFERROR(IF(EXACT(H1461,INDEX(Guide!$A$7:$A$9,MATCH(SUBSTITUTE(SUBSTITUTE(SUBSTITUTE(H1461,"~","~~"),"*","~*"),"?","~?"),Guide!$A$7:$A$9,0))),INDEX(Guide!$B$7:$B$9,MATCH(SUBSTITUTE(SUBSTITUTE(SUBSTITUTE(H1461,"~","~~"),"*","~*"),"?","~?"),Guide!$A$7:$A$9,0)),""),"")</f>
        <v>Office</v>
      </c>
      <c r="J1461" s="1" t="str">
        <f>IF(TRIM(Raw!E1461)="",I1461,IF(UPPER(TRIM(Raw!E1461))=UPPER(I1461),I1461,""))</f>
        <v>Office</v>
      </c>
      <c r="K1461" s="1" t="str">
        <f>IF(Raw!F1461="","",Raw!F1461)</f>
        <v>sale</v>
      </c>
      <c r="L1461" s="1" t="str">
        <f>IF(LEFT(TRIM(Raw!G1461),2)="-$","-"&amp;MID(TRIM(Raw!G1461),3,99),IF(LEFT(TRIM(Raw!G1461),1)="$",MID(TRIM(Raw!G1461),2,99),TRIM(Raw!G1461)))</f>
        <v>251.88</v>
      </c>
      <c r="M1461" s="1">
        <f t="shared" si="179"/>
        <v>251.88</v>
      </c>
      <c r="N1461" s="10">
        <f t="shared" si="180"/>
        <v>25188</v>
      </c>
      <c r="O1461" s="1" t="b">
        <f>IFERROR(IF(ISNUMBER(Raw!G1461),TRUE,OR(EXACT(L1461,TEXT(M1461,"0.00")),EXACT(L1461,TEXT(M1461,"#,##0.00")))),FALSE)</f>
        <v>1</v>
      </c>
      <c r="P1461" s="1" t="str">
        <f>LEN(IF(Raw!A1461="","",Raw!A1461))&amp;":"&amp;IF(Raw!A1461="","",Raw!A1461)&amp;"|"&amp;LEN(IF(Raw!B1461="","",Raw!B1461))&amp;":"&amp;IF(Raw!B1461="","",Raw!B1461)&amp;"|"&amp;LEN(IF(Raw!C1461="","",Raw!C1461))&amp;":"&amp;IF(Raw!C1461="","",Raw!C1461)&amp;"|"&amp;LEN(IF(Raw!D1461="","",Raw!D1461))&amp;":"&amp;IF(Raw!D1461="","",Raw!D1461)&amp;"|"&amp;LEN(IF(Raw!E1461="","",Raw!E1461))&amp;":"&amp;IF(Raw!E1461="","",Raw!E1461)&amp;"|"&amp;LEN(IF(Raw!F1461="","",Raw!F1461))&amp;":"&amp;IF(Raw!F1461="","",Raw!F1461)&amp;"|"&amp;LEN(IF(Raw!G1461="","",Raw!G1461))&amp;":"&amp;IF(Raw!G1461="","",Raw!G1461)</f>
        <v>6:L01455|6:T00728|10:2026-02-19|3:P-O|6:Office|4:sale|6:251.88</v>
      </c>
      <c r="Q1461" s="1">
        <f>1</f>
        <v>1</v>
      </c>
      <c r="R1461" s="1" t="b">
        <f>FALSE</f>
        <v>0</v>
      </c>
      <c r="S1461" s="1">
        <f>1</f>
        <v>1</v>
      </c>
      <c r="T1461" s="1" t="str">
        <f>IF(AND(Raw!A1461="",Raw!B1461="",Raw!C1461="",Raw!D1461="",Raw!E1461="",Raw!F1461="",Raw!G1461=""),"UNUSED",IF(A1461="","missing line ID",IF(B1461="","missing transaction ID",IF(G1461="",IF(C1461="","missing date","invalid date"),IF(I1461="","unknown product",IF(J1461="","conflicting category",IF(NOT(OR(EXACT(K1461,"sale"),EXACT(K1461,"refund"))),"unknown event",IF(OR(N1461="",NOT(O1461)),"invalid amount",IF(OR(AND(K1461="sale",N1461&lt;=0),AND(K1461="refund",N1461&gt;=0)),"invalid sign","")))))))))</f>
        <v/>
      </c>
      <c r="U1461" s="1" t="str">
        <f t="shared" si="181"/>
        <v>INCLUDED</v>
      </c>
      <c r="V1461" s="1" t="str">
        <f t="shared" si="182"/>
        <v>2026-02</v>
      </c>
      <c r="W1461" s="1">
        <f>IF(AND(U1461="INCLUDED",X1461&gt;0,EXACT(A1461,'AI output'!A1461)),1,0)</f>
        <v>1</v>
      </c>
      <c r="X1461" s="1">
        <f>1461</f>
        <v>1461</v>
      </c>
      <c r="Y1461" s="1">
        <f>IF(AND(U1461="INCLUDED",W1461=1),--(NOT(EXACT(A1461,'AI output'!A1461)))+--(NOT(EXACT(B1461,'AI output'!B1461)))+--(NOT(EXACT(TEXT(G1461,"yyyy-mm-dd"),'AI output'!C1461)))+--(NOT(EXACT(H1461,'AI output'!D1461)))+--(NOT(EXACT(J1461,'AI output'!E1461)))+--(NOT(EXACT(K1461,'AI output'!F1461)))+--(N1461&lt;&gt;'AI output'!L1461)+--(NOT('AI output'!M1461)),0)</f>
        <v>0</v>
      </c>
      <c r="Z1461" s="1">
        <f t="shared" si="183"/>
        <v>0</v>
      </c>
      <c r="AA1461" s="1">
        <f>--EXACT(A1461,"L01455")</f>
        <v>1</v>
      </c>
    </row>
    <row r="1462" spans="1:27" ht="18.95" customHeight="1">
      <c r="A1462" s="1" t="str">
        <f>IF(Raw!A1462="","",Raw!A1462)</f>
        <v>L01456</v>
      </c>
      <c r="B1462" s="1" t="str">
        <f>IF(Raw!B1462="","",Raw!B1462)</f>
        <v>T00728</v>
      </c>
      <c r="C1462" s="1" t="str">
        <f>IF(Raw!C1462="","",Raw!C1462)</f>
        <v>2026-02-19</v>
      </c>
      <c r="D1462" s="1">
        <f t="shared" si="176"/>
        <v>2026</v>
      </c>
      <c r="E1462" s="1">
        <f>IFERROR(IF(AND(LEN(C1462)=10,MID(C1462,5,1)="-",MID(C1462,8,1)="-"),VALUE(MID(C1462,6,2)),IF(AND(LEN(C1462)=11,MID(C1462,3,1)="-",MID(C1462,7,1)="-"),MATCH(UPPER(MID(C1462,4,3)),Guide!$D$7:$D$18,0),0)),0)</f>
        <v>2</v>
      </c>
      <c r="F1462" s="1">
        <f t="shared" si="177"/>
        <v>19</v>
      </c>
      <c r="G1462" s="9">
        <f t="shared" si="178"/>
        <v>46072</v>
      </c>
      <c r="H1462" s="1" t="str">
        <f>IF(Raw!D1462="","",Raw!D1462)</f>
        <v>P-A</v>
      </c>
      <c r="I1462" s="1" t="str">
        <f>IFERROR(IF(EXACT(H1462,INDEX(Guide!$A$7:$A$9,MATCH(SUBSTITUTE(SUBSTITUTE(SUBSTITUTE(H1462,"~","~~"),"*","~*"),"?","~?"),Guide!$A$7:$A$9,0))),INDEX(Guide!$B$7:$B$9,MATCH(SUBSTITUTE(SUBSTITUTE(SUBSTITUTE(H1462,"~","~~"),"*","~*"),"?","~?"),Guide!$A$7:$A$9,0)),""),"")</f>
        <v>Accessories</v>
      </c>
      <c r="J1462" s="1" t="str">
        <f>IF(TRIM(Raw!E1462)="",I1462,IF(UPPER(TRIM(Raw!E1462))=UPPER(I1462),I1462,""))</f>
        <v>Accessories</v>
      </c>
      <c r="K1462" s="1" t="str">
        <f>IF(Raw!F1462="","",Raw!F1462)</f>
        <v>sale</v>
      </c>
      <c r="L1462" s="1" t="str">
        <f>IF(LEFT(TRIM(Raw!G1462),2)="-$","-"&amp;MID(TRIM(Raw!G1462),3,99),IF(LEFT(TRIM(Raw!G1462),1)="$",MID(TRIM(Raw!G1462),2,99),TRIM(Raw!G1462)))</f>
        <v>63.34</v>
      </c>
      <c r="M1462" s="1">
        <f t="shared" si="179"/>
        <v>63.34</v>
      </c>
      <c r="N1462" s="10">
        <f t="shared" si="180"/>
        <v>6334</v>
      </c>
      <c r="O1462" s="1" t="b">
        <f>IFERROR(IF(ISNUMBER(Raw!G1462),TRUE,OR(EXACT(L1462,TEXT(M1462,"0.00")),EXACT(L1462,TEXT(M1462,"#,##0.00")))),FALSE)</f>
        <v>1</v>
      </c>
      <c r="P1462" s="1" t="str">
        <f>LEN(IF(Raw!A1462="","",Raw!A1462))&amp;":"&amp;IF(Raw!A1462="","",Raw!A1462)&amp;"|"&amp;LEN(IF(Raw!B1462="","",Raw!B1462))&amp;":"&amp;IF(Raw!B1462="","",Raw!B1462)&amp;"|"&amp;LEN(IF(Raw!C1462="","",Raw!C1462))&amp;":"&amp;IF(Raw!C1462="","",Raw!C1462)&amp;"|"&amp;LEN(IF(Raw!D1462="","",Raw!D1462))&amp;":"&amp;IF(Raw!D1462="","",Raw!D1462)&amp;"|"&amp;LEN(IF(Raw!E1462="","",Raw!E1462))&amp;":"&amp;IF(Raw!E1462="","",Raw!E1462)&amp;"|"&amp;LEN(IF(Raw!F1462="","",Raw!F1462))&amp;":"&amp;IF(Raw!F1462="","",Raw!F1462)&amp;"|"&amp;LEN(IF(Raw!G1462="","",Raw!G1462))&amp;":"&amp;IF(Raw!G1462="","",Raw!G1462)</f>
        <v>6:L01456|6:T00728|10:2026-02-19|3:P-A|11:Accessories|4:sale|5:63.34</v>
      </c>
      <c r="Q1462" s="1">
        <f>1</f>
        <v>1</v>
      </c>
      <c r="R1462" s="1" t="b">
        <f>FALSE</f>
        <v>0</v>
      </c>
      <c r="S1462" s="1">
        <f>1</f>
        <v>1</v>
      </c>
      <c r="T1462" s="1" t="str">
        <f>IF(AND(Raw!A1462="",Raw!B1462="",Raw!C1462="",Raw!D1462="",Raw!E1462="",Raw!F1462="",Raw!G1462=""),"UNUSED",IF(A1462="","missing line ID",IF(B1462="","missing transaction ID",IF(G1462="",IF(C1462="","missing date","invalid date"),IF(I1462="","unknown product",IF(J1462="","conflicting category",IF(NOT(OR(EXACT(K1462,"sale"),EXACT(K1462,"refund"))),"unknown event",IF(OR(N1462="",NOT(O1462)),"invalid amount",IF(OR(AND(K1462="sale",N1462&lt;=0),AND(K1462="refund",N1462&gt;=0)),"invalid sign","")))))))))</f>
        <v/>
      </c>
      <c r="U1462" s="1" t="str">
        <f t="shared" si="181"/>
        <v>INCLUDED</v>
      </c>
      <c r="V1462" s="1" t="str">
        <f t="shared" si="182"/>
        <v>2026-02</v>
      </c>
      <c r="W1462" s="1">
        <f>IF(AND(U1462="INCLUDED",X1462&gt;0,EXACT(A1462,'AI output'!A1462)),1,0)</f>
        <v>1</v>
      </c>
      <c r="X1462" s="1">
        <f>1462</f>
        <v>1462</v>
      </c>
      <c r="Y1462" s="1">
        <f>IF(AND(U1462="INCLUDED",W1462=1),--(NOT(EXACT(A1462,'AI output'!A1462)))+--(NOT(EXACT(B1462,'AI output'!B1462)))+--(NOT(EXACT(TEXT(G1462,"yyyy-mm-dd"),'AI output'!C1462)))+--(NOT(EXACT(H1462,'AI output'!D1462)))+--(NOT(EXACT(J1462,'AI output'!E1462)))+--(NOT(EXACT(K1462,'AI output'!F1462)))+--(N1462&lt;&gt;'AI output'!L1462)+--(NOT('AI output'!M1462)),0)</f>
        <v>0</v>
      </c>
      <c r="Z1462" s="1">
        <f t="shared" si="183"/>
        <v>0</v>
      </c>
      <c r="AA1462" s="1">
        <f>--EXACT(A1462,"L01456")</f>
        <v>1</v>
      </c>
    </row>
    <row r="1463" spans="1:27" ht="18.95" customHeight="1">
      <c r="A1463" s="1" t="str">
        <f>IF(Raw!A1463="","",Raw!A1463)</f>
        <v>L01457</v>
      </c>
      <c r="B1463" s="1" t="str">
        <f>IF(Raw!B1463="","",Raw!B1463)</f>
        <v>T00729</v>
      </c>
      <c r="C1463" s="1" t="str">
        <f>IF(Raw!C1463="","",Raw!C1463)</f>
        <v>2026-02-26</v>
      </c>
      <c r="D1463" s="1">
        <f t="shared" si="176"/>
        <v>2026</v>
      </c>
      <c r="E1463" s="1">
        <f>IFERROR(IF(AND(LEN(C1463)=10,MID(C1463,5,1)="-",MID(C1463,8,1)="-"),VALUE(MID(C1463,6,2)),IF(AND(LEN(C1463)=11,MID(C1463,3,1)="-",MID(C1463,7,1)="-"),MATCH(UPPER(MID(C1463,4,3)),Guide!$D$7:$D$18,0),0)),0)</f>
        <v>2</v>
      </c>
      <c r="F1463" s="1">
        <f t="shared" si="177"/>
        <v>26</v>
      </c>
      <c r="G1463" s="9">
        <f t="shared" si="178"/>
        <v>46079</v>
      </c>
      <c r="H1463" s="1" t="str">
        <f>IF(Raw!D1463="","",Raw!D1463)</f>
        <v>P-H</v>
      </c>
      <c r="I1463" s="1" t="str">
        <f>IFERROR(IF(EXACT(H1463,INDEX(Guide!$A$7:$A$9,MATCH(SUBSTITUTE(SUBSTITUTE(SUBSTITUTE(H1463,"~","~~"),"*","~*"),"?","~?"),Guide!$A$7:$A$9,0))),INDEX(Guide!$B$7:$B$9,MATCH(SUBSTITUTE(SUBSTITUTE(SUBSTITUTE(H1463,"~","~~"),"*","~*"),"?","~?"),Guide!$A$7:$A$9,0)),""),"")</f>
        <v>Home</v>
      </c>
      <c r="J1463" s="1" t="str">
        <f>IF(TRIM(Raw!E1463)="",I1463,IF(UPPER(TRIM(Raw!E1463))=UPPER(I1463),I1463,""))</f>
        <v>Home</v>
      </c>
      <c r="K1463" s="1" t="str">
        <f>IF(Raw!F1463="","",Raw!F1463)</f>
        <v>sale</v>
      </c>
      <c r="L1463" s="1" t="str">
        <f>IF(LEFT(TRIM(Raw!G1463),2)="-$","-"&amp;MID(TRIM(Raw!G1463),3,99),IF(LEFT(TRIM(Raw!G1463),1)="$",MID(TRIM(Raw!G1463),2,99),TRIM(Raw!G1463)))</f>
        <v>191.13</v>
      </c>
      <c r="M1463" s="1">
        <f t="shared" si="179"/>
        <v>191.13</v>
      </c>
      <c r="N1463" s="10">
        <f t="shared" si="180"/>
        <v>19113</v>
      </c>
      <c r="O1463" s="1" t="b">
        <f>IFERROR(IF(ISNUMBER(Raw!G1463),TRUE,OR(EXACT(L1463,TEXT(M1463,"0.00")),EXACT(L1463,TEXT(M1463,"#,##0.00")))),FALSE)</f>
        <v>1</v>
      </c>
      <c r="P1463" s="1" t="str">
        <f>LEN(IF(Raw!A1463="","",Raw!A1463))&amp;":"&amp;IF(Raw!A1463="","",Raw!A1463)&amp;"|"&amp;LEN(IF(Raw!B1463="","",Raw!B1463))&amp;":"&amp;IF(Raw!B1463="","",Raw!B1463)&amp;"|"&amp;LEN(IF(Raw!C1463="","",Raw!C1463))&amp;":"&amp;IF(Raw!C1463="","",Raw!C1463)&amp;"|"&amp;LEN(IF(Raw!D1463="","",Raw!D1463))&amp;":"&amp;IF(Raw!D1463="","",Raw!D1463)&amp;"|"&amp;LEN(IF(Raw!E1463="","",Raw!E1463))&amp;":"&amp;IF(Raw!E1463="","",Raw!E1463)&amp;"|"&amp;LEN(IF(Raw!F1463="","",Raw!F1463))&amp;":"&amp;IF(Raw!F1463="","",Raw!F1463)&amp;"|"&amp;LEN(IF(Raw!G1463="","",Raw!G1463))&amp;":"&amp;IF(Raw!G1463="","",Raw!G1463)</f>
        <v>6:L01457|6:T00729|10:2026-02-26|3:P-H|4:Home|4:sale|6:191.13</v>
      </c>
      <c r="Q1463" s="1">
        <f>1</f>
        <v>1</v>
      </c>
      <c r="R1463" s="1" t="b">
        <f>FALSE</f>
        <v>0</v>
      </c>
      <c r="S1463" s="1">
        <f>1</f>
        <v>1</v>
      </c>
      <c r="T1463" s="1" t="str">
        <f>IF(AND(Raw!A1463="",Raw!B1463="",Raw!C1463="",Raw!D1463="",Raw!E1463="",Raw!F1463="",Raw!G1463=""),"UNUSED",IF(A1463="","missing line ID",IF(B1463="","missing transaction ID",IF(G1463="",IF(C1463="","missing date","invalid date"),IF(I1463="","unknown product",IF(J1463="","conflicting category",IF(NOT(OR(EXACT(K1463,"sale"),EXACT(K1463,"refund"))),"unknown event",IF(OR(N1463="",NOT(O1463)),"invalid amount",IF(OR(AND(K1463="sale",N1463&lt;=0),AND(K1463="refund",N1463&gt;=0)),"invalid sign","")))))))))</f>
        <v/>
      </c>
      <c r="U1463" s="1" t="str">
        <f t="shared" si="181"/>
        <v>INCLUDED</v>
      </c>
      <c r="V1463" s="1" t="str">
        <f t="shared" si="182"/>
        <v>2026-02</v>
      </c>
      <c r="W1463" s="1">
        <f>IF(AND(U1463="INCLUDED",X1463&gt;0,EXACT(A1463,'AI output'!A1463)),1,0)</f>
        <v>1</v>
      </c>
      <c r="X1463" s="1">
        <f>1463</f>
        <v>1463</v>
      </c>
      <c r="Y1463" s="1">
        <f>IF(AND(U1463="INCLUDED",W1463=1),--(NOT(EXACT(A1463,'AI output'!A1463)))+--(NOT(EXACT(B1463,'AI output'!B1463)))+--(NOT(EXACT(TEXT(G1463,"yyyy-mm-dd"),'AI output'!C1463)))+--(NOT(EXACT(H1463,'AI output'!D1463)))+--(NOT(EXACT(J1463,'AI output'!E1463)))+--(NOT(EXACT(K1463,'AI output'!F1463)))+--(N1463&lt;&gt;'AI output'!L1463)+--(NOT('AI output'!M1463)),0)</f>
        <v>0</v>
      </c>
      <c r="Z1463" s="1">
        <f t="shared" si="183"/>
        <v>0</v>
      </c>
      <c r="AA1463" s="1">
        <f>--EXACT(A1463,"L01457")</f>
        <v>1</v>
      </c>
    </row>
    <row r="1464" spans="1:27" ht="18.95" customHeight="1">
      <c r="A1464" s="1" t="str">
        <f>IF(Raw!A1464="","",Raw!A1464)</f>
        <v>L01458</v>
      </c>
      <c r="B1464" s="1" t="str">
        <f>IF(Raw!B1464="","",Raw!B1464)</f>
        <v>T00729</v>
      </c>
      <c r="C1464" s="1" t="str">
        <f>IF(Raw!C1464="","",Raw!C1464)</f>
        <v>2026-02-26</v>
      </c>
      <c r="D1464" s="1">
        <f t="shared" si="176"/>
        <v>2026</v>
      </c>
      <c r="E1464" s="1">
        <f>IFERROR(IF(AND(LEN(C1464)=10,MID(C1464,5,1)="-",MID(C1464,8,1)="-"),VALUE(MID(C1464,6,2)),IF(AND(LEN(C1464)=11,MID(C1464,3,1)="-",MID(C1464,7,1)="-"),MATCH(UPPER(MID(C1464,4,3)),Guide!$D$7:$D$18,0),0)),0)</f>
        <v>2</v>
      </c>
      <c r="F1464" s="1">
        <f t="shared" si="177"/>
        <v>26</v>
      </c>
      <c r="G1464" s="9">
        <f t="shared" si="178"/>
        <v>46079</v>
      </c>
      <c r="H1464" s="1" t="str">
        <f>IF(Raw!D1464="","",Raw!D1464)</f>
        <v>P-O</v>
      </c>
      <c r="I1464" s="1" t="str">
        <f>IFERROR(IF(EXACT(H1464,INDEX(Guide!$A$7:$A$9,MATCH(SUBSTITUTE(SUBSTITUTE(SUBSTITUTE(H1464,"~","~~"),"*","~*"),"?","~?"),Guide!$A$7:$A$9,0))),INDEX(Guide!$B$7:$B$9,MATCH(SUBSTITUTE(SUBSTITUTE(SUBSTITUTE(H1464,"~","~~"),"*","~*"),"?","~?"),Guide!$A$7:$A$9,0)),""),"")</f>
        <v>Office</v>
      </c>
      <c r="J1464" s="1" t="str">
        <f>IF(TRIM(Raw!E1464)="",I1464,IF(UPPER(TRIM(Raw!E1464))=UPPER(I1464),I1464,""))</f>
        <v>Office</v>
      </c>
      <c r="K1464" s="1" t="str">
        <f>IF(Raw!F1464="","",Raw!F1464)</f>
        <v>sale</v>
      </c>
      <c r="L1464" s="1" t="str">
        <f>IF(LEFT(TRIM(Raw!G1464),2)="-$","-"&amp;MID(TRIM(Raw!G1464),3,99),IF(LEFT(TRIM(Raw!G1464),1)="$",MID(TRIM(Raw!G1464),2,99),TRIM(Raw!G1464)))</f>
        <v>320.40</v>
      </c>
      <c r="M1464" s="1">
        <f t="shared" si="179"/>
        <v>320.39999999999998</v>
      </c>
      <c r="N1464" s="10">
        <f t="shared" si="180"/>
        <v>32040</v>
      </c>
      <c r="O1464" s="1" t="b">
        <f>IFERROR(IF(ISNUMBER(Raw!G1464),TRUE,OR(EXACT(L1464,TEXT(M1464,"0.00")),EXACT(L1464,TEXT(M1464,"#,##0.00")))),FALSE)</f>
        <v>1</v>
      </c>
      <c r="P1464" s="1" t="str">
        <f>LEN(IF(Raw!A1464="","",Raw!A1464))&amp;":"&amp;IF(Raw!A1464="","",Raw!A1464)&amp;"|"&amp;LEN(IF(Raw!B1464="","",Raw!B1464))&amp;":"&amp;IF(Raw!B1464="","",Raw!B1464)&amp;"|"&amp;LEN(IF(Raw!C1464="","",Raw!C1464))&amp;":"&amp;IF(Raw!C1464="","",Raw!C1464)&amp;"|"&amp;LEN(IF(Raw!D1464="","",Raw!D1464))&amp;":"&amp;IF(Raw!D1464="","",Raw!D1464)&amp;"|"&amp;LEN(IF(Raw!E1464="","",Raw!E1464))&amp;":"&amp;IF(Raw!E1464="","",Raw!E1464)&amp;"|"&amp;LEN(IF(Raw!F1464="","",Raw!F1464))&amp;":"&amp;IF(Raw!F1464="","",Raw!F1464)&amp;"|"&amp;LEN(IF(Raw!G1464="","",Raw!G1464))&amp;":"&amp;IF(Raw!G1464="","",Raw!G1464)</f>
        <v>6:L01458|6:T00729|10:2026-02-26|3:P-O|6:Office|4:sale|6:320.40</v>
      </c>
      <c r="Q1464" s="1">
        <f>1</f>
        <v>1</v>
      </c>
      <c r="R1464" s="1" t="b">
        <f>FALSE</f>
        <v>0</v>
      </c>
      <c r="S1464" s="1">
        <f>1</f>
        <v>1</v>
      </c>
      <c r="T1464" s="1" t="str">
        <f>IF(AND(Raw!A1464="",Raw!B1464="",Raw!C1464="",Raw!D1464="",Raw!E1464="",Raw!F1464="",Raw!G1464=""),"UNUSED",IF(A1464="","missing line ID",IF(B1464="","missing transaction ID",IF(G1464="",IF(C1464="","missing date","invalid date"),IF(I1464="","unknown product",IF(J1464="","conflicting category",IF(NOT(OR(EXACT(K1464,"sale"),EXACT(K1464,"refund"))),"unknown event",IF(OR(N1464="",NOT(O1464)),"invalid amount",IF(OR(AND(K1464="sale",N1464&lt;=0),AND(K1464="refund",N1464&gt;=0)),"invalid sign","")))))))))</f>
        <v/>
      </c>
      <c r="U1464" s="1" t="str">
        <f t="shared" si="181"/>
        <v>INCLUDED</v>
      </c>
      <c r="V1464" s="1" t="str">
        <f t="shared" si="182"/>
        <v>2026-02</v>
      </c>
      <c r="W1464" s="1">
        <f>IF(AND(U1464="INCLUDED",X1464&gt;0,EXACT(A1464,'AI output'!A1464)),1,0)</f>
        <v>1</v>
      </c>
      <c r="X1464" s="1">
        <f>1464</f>
        <v>1464</v>
      </c>
      <c r="Y1464" s="1">
        <f>IF(AND(U1464="INCLUDED",W1464=1),--(NOT(EXACT(A1464,'AI output'!A1464)))+--(NOT(EXACT(B1464,'AI output'!B1464)))+--(NOT(EXACT(TEXT(G1464,"yyyy-mm-dd"),'AI output'!C1464)))+--(NOT(EXACT(H1464,'AI output'!D1464)))+--(NOT(EXACT(J1464,'AI output'!E1464)))+--(NOT(EXACT(K1464,'AI output'!F1464)))+--(N1464&lt;&gt;'AI output'!L1464)+--(NOT('AI output'!M1464)),0)</f>
        <v>0</v>
      </c>
      <c r="Z1464" s="1">
        <f t="shared" si="183"/>
        <v>0</v>
      </c>
      <c r="AA1464" s="1">
        <f>--EXACT(A1464,"L01458")</f>
        <v>1</v>
      </c>
    </row>
    <row r="1465" spans="1:27" ht="18.95" customHeight="1">
      <c r="A1465" s="1" t="str">
        <f>IF(Raw!A1465="","",Raw!A1465)</f>
        <v>L01459</v>
      </c>
      <c r="B1465" s="1" t="str">
        <f>IF(Raw!B1465="","",Raw!B1465)</f>
        <v>T00730</v>
      </c>
      <c r="C1465" s="1" t="str">
        <f>IF(Raw!C1465="","",Raw!C1465)</f>
        <v>2026-03-05</v>
      </c>
      <c r="D1465" s="1">
        <f t="shared" si="176"/>
        <v>2026</v>
      </c>
      <c r="E1465" s="1">
        <f>IFERROR(IF(AND(LEN(C1465)=10,MID(C1465,5,1)="-",MID(C1465,8,1)="-"),VALUE(MID(C1465,6,2)),IF(AND(LEN(C1465)=11,MID(C1465,3,1)="-",MID(C1465,7,1)="-"),MATCH(UPPER(MID(C1465,4,3)),Guide!$D$7:$D$18,0),0)),0)</f>
        <v>3</v>
      </c>
      <c r="F1465" s="1">
        <f t="shared" si="177"/>
        <v>5</v>
      </c>
      <c r="G1465" s="9">
        <f t="shared" si="178"/>
        <v>46086</v>
      </c>
      <c r="H1465" s="1" t="str">
        <f>IF(Raw!D1465="","",Raw!D1465)</f>
        <v>P-A</v>
      </c>
      <c r="I1465" s="1" t="str">
        <f>IFERROR(IF(EXACT(H1465,INDEX(Guide!$A$7:$A$9,MATCH(SUBSTITUTE(SUBSTITUTE(SUBSTITUTE(H1465,"~","~~"),"*","~*"),"?","~?"),Guide!$A$7:$A$9,0))),INDEX(Guide!$B$7:$B$9,MATCH(SUBSTITUTE(SUBSTITUTE(SUBSTITUTE(H1465,"~","~~"),"*","~*"),"?","~?"),Guide!$A$7:$A$9,0)),""),"")</f>
        <v>Accessories</v>
      </c>
      <c r="J1465" s="1" t="str">
        <f>IF(TRIM(Raw!E1465)="",I1465,IF(UPPER(TRIM(Raw!E1465))=UPPER(I1465),I1465,""))</f>
        <v>Accessories</v>
      </c>
      <c r="K1465" s="1" t="str">
        <f>IF(Raw!F1465="","",Raw!F1465)</f>
        <v>sale</v>
      </c>
      <c r="L1465" s="1" t="str">
        <f>IF(LEFT(TRIM(Raw!G1465),2)="-$","-"&amp;MID(TRIM(Raw!G1465),3,99),IF(LEFT(TRIM(Raw!G1465),1)="$",MID(TRIM(Raw!G1465),2,99),TRIM(Raw!G1465)))</f>
        <v>128.90</v>
      </c>
      <c r="M1465" s="1">
        <f t="shared" si="179"/>
        <v>128.9</v>
      </c>
      <c r="N1465" s="10">
        <f t="shared" si="180"/>
        <v>12890</v>
      </c>
      <c r="O1465" s="1" t="b">
        <f>IFERROR(IF(ISNUMBER(Raw!G1465),TRUE,OR(EXACT(L1465,TEXT(M1465,"0.00")),EXACT(L1465,TEXT(M1465,"#,##0.00")))),FALSE)</f>
        <v>1</v>
      </c>
      <c r="P1465" s="1" t="str">
        <f>LEN(IF(Raw!A1465="","",Raw!A1465))&amp;":"&amp;IF(Raw!A1465="","",Raw!A1465)&amp;"|"&amp;LEN(IF(Raw!B1465="","",Raw!B1465))&amp;":"&amp;IF(Raw!B1465="","",Raw!B1465)&amp;"|"&amp;LEN(IF(Raw!C1465="","",Raw!C1465))&amp;":"&amp;IF(Raw!C1465="","",Raw!C1465)&amp;"|"&amp;LEN(IF(Raw!D1465="","",Raw!D1465))&amp;":"&amp;IF(Raw!D1465="","",Raw!D1465)&amp;"|"&amp;LEN(IF(Raw!E1465="","",Raw!E1465))&amp;":"&amp;IF(Raw!E1465="","",Raw!E1465)&amp;"|"&amp;LEN(IF(Raw!F1465="","",Raw!F1465))&amp;":"&amp;IF(Raw!F1465="","",Raw!F1465)&amp;"|"&amp;LEN(IF(Raw!G1465="","",Raw!G1465))&amp;":"&amp;IF(Raw!G1465="","",Raw!G1465)</f>
        <v>6:L01459|6:T00730|10:2026-03-05|3:P-A|11:Accessories|4:sale|6:128.90</v>
      </c>
      <c r="Q1465" s="1">
        <f>1</f>
        <v>1</v>
      </c>
      <c r="R1465" s="1" t="b">
        <f>FALSE</f>
        <v>0</v>
      </c>
      <c r="S1465" s="1">
        <f>1</f>
        <v>1</v>
      </c>
      <c r="T1465" s="1" t="str">
        <f>IF(AND(Raw!A1465="",Raw!B1465="",Raw!C1465="",Raw!D1465="",Raw!E1465="",Raw!F1465="",Raw!G1465=""),"UNUSED",IF(A1465="","missing line ID",IF(B1465="","missing transaction ID",IF(G1465="",IF(C1465="","missing date","invalid date"),IF(I1465="","unknown product",IF(J1465="","conflicting category",IF(NOT(OR(EXACT(K1465,"sale"),EXACT(K1465,"refund"))),"unknown event",IF(OR(N1465="",NOT(O1465)),"invalid amount",IF(OR(AND(K1465="sale",N1465&lt;=0),AND(K1465="refund",N1465&gt;=0)),"invalid sign","")))))))))</f>
        <v/>
      </c>
      <c r="U1465" s="1" t="str">
        <f t="shared" si="181"/>
        <v>INCLUDED</v>
      </c>
      <c r="V1465" s="1" t="str">
        <f t="shared" si="182"/>
        <v>2026-03</v>
      </c>
      <c r="W1465" s="1">
        <f>IF(AND(U1465="INCLUDED",X1465&gt;0,EXACT(A1465,'AI output'!A1465)),1,0)</f>
        <v>1</v>
      </c>
      <c r="X1465" s="1">
        <f>1465</f>
        <v>1465</v>
      </c>
      <c r="Y1465" s="1">
        <f>IF(AND(U1465="INCLUDED",W1465=1),--(NOT(EXACT(A1465,'AI output'!A1465)))+--(NOT(EXACT(B1465,'AI output'!B1465)))+--(NOT(EXACT(TEXT(G1465,"yyyy-mm-dd"),'AI output'!C1465)))+--(NOT(EXACT(H1465,'AI output'!D1465)))+--(NOT(EXACT(J1465,'AI output'!E1465)))+--(NOT(EXACT(K1465,'AI output'!F1465)))+--(N1465&lt;&gt;'AI output'!L1465)+--(NOT('AI output'!M1465)),0)</f>
        <v>0</v>
      </c>
      <c r="Z1465" s="1">
        <f t="shared" si="183"/>
        <v>0</v>
      </c>
      <c r="AA1465" s="1">
        <f>--EXACT(A1465,"L01459")</f>
        <v>1</v>
      </c>
    </row>
    <row r="1466" spans="1:27" ht="18.95" customHeight="1">
      <c r="A1466" s="1" t="str">
        <f>IF(Raw!A1466="","",Raw!A1466)</f>
        <v>L01460</v>
      </c>
      <c r="B1466" s="1" t="str">
        <f>IF(Raw!B1466="","",Raw!B1466)</f>
        <v>T00730</v>
      </c>
      <c r="C1466" s="1" t="str">
        <f>IF(Raw!C1466="","",Raw!C1466)</f>
        <v>2026-03-05</v>
      </c>
      <c r="D1466" s="1">
        <f t="shared" si="176"/>
        <v>2026</v>
      </c>
      <c r="E1466" s="1">
        <f>IFERROR(IF(AND(LEN(C1466)=10,MID(C1466,5,1)="-",MID(C1466,8,1)="-"),VALUE(MID(C1466,6,2)),IF(AND(LEN(C1466)=11,MID(C1466,3,1)="-",MID(C1466,7,1)="-"),MATCH(UPPER(MID(C1466,4,3)),Guide!$D$7:$D$18,0),0)),0)</f>
        <v>3</v>
      </c>
      <c r="F1466" s="1">
        <f t="shared" si="177"/>
        <v>5</v>
      </c>
      <c r="G1466" s="9">
        <f t="shared" si="178"/>
        <v>46086</v>
      </c>
      <c r="H1466" s="1" t="str">
        <f>IF(Raw!D1466="","",Raw!D1466)</f>
        <v>P-H</v>
      </c>
      <c r="I1466" s="1" t="str">
        <f>IFERROR(IF(EXACT(H1466,INDEX(Guide!$A$7:$A$9,MATCH(SUBSTITUTE(SUBSTITUTE(SUBSTITUTE(H1466,"~","~~"),"*","~*"),"?","~?"),Guide!$A$7:$A$9,0))),INDEX(Guide!$B$7:$B$9,MATCH(SUBSTITUTE(SUBSTITUTE(SUBSTITUTE(H1466,"~","~~"),"*","~*"),"?","~?"),Guide!$A$7:$A$9,0)),""),"")</f>
        <v>Home</v>
      </c>
      <c r="J1466" s="1" t="str">
        <f>IF(TRIM(Raw!E1466)="",I1466,IF(UPPER(TRIM(Raw!E1466))=UPPER(I1466),I1466,""))</f>
        <v>Home</v>
      </c>
      <c r="K1466" s="1" t="str">
        <f>IF(Raw!F1466="","",Raw!F1466)</f>
        <v>sale</v>
      </c>
      <c r="L1466" s="1" t="str">
        <f>IF(LEFT(TRIM(Raw!G1466),2)="-$","-"&amp;MID(TRIM(Raw!G1466),3,99),IF(LEFT(TRIM(Raw!G1466),1)="$",MID(TRIM(Raw!G1466),2,99),TRIM(Raw!G1466)))</f>
        <v>259.28</v>
      </c>
      <c r="M1466" s="1">
        <f t="shared" si="179"/>
        <v>259.27999999999997</v>
      </c>
      <c r="N1466" s="10">
        <f t="shared" si="180"/>
        <v>25928</v>
      </c>
      <c r="O1466" s="1" t="b">
        <f>IFERROR(IF(ISNUMBER(Raw!G1466),TRUE,OR(EXACT(L1466,TEXT(M1466,"0.00")),EXACT(L1466,TEXT(M1466,"#,##0.00")))),FALSE)</f>
        <v>1</v>
      </c>
      <c r="P1466" s="1" t="str">
        <f>LEN(IF(Raw!A1466="","",Raw!A1466))&amp;":"&amp;IF(Raw!A1466="","",Raw!A1466)&amp;"|"&amp;LEN(IF(Raw!B1466="","",Raw!B1466))&amp;":"&amp;IF(Raw!B1466="","",Raw!B1466)&amp;"|"&amp;LEN(IF(Raw!C1466="","",Raw!C1466))&amp;":"&amp;IF(Raw!C1466="","",Raw!C1466)&amp;"|"&amp;LEN(IF(Raw!D1466="","",Raw!D1466))&amp;":"&amp;IF(Raw!D1466="","",Raw!D1466)&amp;"|"&amp;LEN(IF(Raw!E1466="","",Raw!E1466))&amp;":"&amp;IF(Raw!E1466="","",Raw!E1466)&amp;"|"&amp;LEN(IF(Raw!F1466="","",Raw!F1466))&amp;":"&amp;IF(Raw!F1466="","",Raw!F1466)&amp;"|"&amp;LEN(IF(Raw!G1466="","",Raw!G1466))&amp;":"&amp;IF(Raw!G1466="","",Raw!G1466)</f>
        <v>6:L01460|6:T00730|10:2026-03-05|3:P-H|4:Home|4:sale|6:259.28</v>
      </c>
      <c r="Q1466" s="1">
        <f>1</f>
        <v>1</v>
      </c>
      <c r="R1466" s="1" t="b">
        <f>FALSE</f>
        <v>0</v>
      </c>
      <c r="S1466" s="1">
        <f>1</f>
        <v>1</v>
      </c>
      <c r="T1466" s="1" t="str">
        <f>IF(AND(Raw!A1466="",Raw!B1466="",Raw!C1466="",Raw!D1466="",Raw!E1466="",Raw!F1466="",Raw!G1466=""),"UNUSED",IF(A1466="","missing line ID",IF(B1466="","missing transaction ID",IF(G1466="",IF(C1466="","missing date","invalid date"),IF(I1466="","unknown product",IF(J1466="","conflicting category",IF(NOT(OR(EXACT(K1466,"sale"),EXACT(K1466,"refund"))),"unknown event",IF(OR(N1466="",NOT(O1466)),"invalid amount",IF(OR(AND(K1466="sale",N1466&lt;=0),AND(K1466="refund",N1466&gt;=0)),"invalid sign","")))))))))</f>
        <v/>
      </c>
      <c r="U1466" s="1" t="str">
        <f t="shared" si="181"/>
        <v>INCLUDED</v>
      </c>
      <c r="V1466" s="1" t="str">
        <f t="shared" si="182"/>
        <v>2026-03</v>
      </c>
      <c r="W1466" s="1">
        <f>IF(AND(U1466="INCLUDED",X1466&gt;0,EXACT(A1466,'AI output'!A1466)),1,0)</f>
        <v>1</v>
      </c>
      <c r="X1466" s="1">
        <f>1466</f>
        <v>1466</v>
      </c>
      <c r="Y1466" s="1">
        <f>IF(AND(U1466="INCLUDED",W1466=1),--(NOT(EXACT(A1466,'AI output'!A1466)))+--(NOT(EXACT(B1466,'AI output'!B1466)))+--(NOT(EXACT(TEXT(G1466,"yyyy-mm-dd"),'AI output'!C1466)))+--(NOT(EXACT(H1466,'AI output'!D1466)))+--(NOT(EXACT(J1466,'AI output'!E1466)))+--(NOT(EXACT(K1466,'AI output'!F1466)))+--(N1466&lt;&gt;'AI output'!L1466)+--(NOT('AI output'!M1466)),0)</f>
        <v>0</v>
      </c>
      <c r="Z1466" s="1">
        <f t="shared" si="183"/>
        <v>0</v>
      </c>
      <c r="AA1466" s="1">
        <f>--EXACT(A1466,"L01460")</f>
        <v>1</v>
      </c>
    </row>
    <row r="1467" spans="1:27" ht="18.95" customHeight="1">
      <c r="A1467" s="1" t="str">
        <f>IF(Raw!A1467="","",Raw!A1467)</f>
        <v>L01461</v>
      </c>
      <c r="B1467" s="1" t="str">
        <f>IF(Raw!B1467="","",Raw!B1467)</f>
        <v>T00731</v>
      </c>
      <c r="C1467" s="1" t="str">
        <f>IF(Raw!C1467="","",Raw!C1467)</f>
        <v>2026-03-12</v>
      </c>
      <c r="D1467" s="1">
        <f t="shared" si="176"/>
        <v>2026</v>
      </c>
      <c r="E1467" s="1">
        <f>IFERROR(IF(AND(LEN(C1467)=10,MID(C1467,5,1)="-",MID(C1467,8,1)="-"),VALUE(MID(C1467,6,2)),IF(AND(LEN(C1467)=11,MID(C1467,3,1)="-",MID(C1467,7,1)="-"),MATCH(UPPER(MID(C1467,4,3)),Guide!$D$7:$D$18,0),0)),0)</f>
        <v>3</v>
      </c>
      <c r="F1467" s="1">
        <f t="shared" si="177"/>
        <v>12</v>
      </c>
      <c r="G1467" s="9">
        <f t="shared" si="178"/>
        <v>46093</v>
      </c>
      <c r="H1467" s="1" t="str">
        <f>IF(Raw!D1467="","",Raw!D1467)</f>
        <v>P-O</v>
      </c>
      <c r="I1467" s="1" t="str">
        <f>IFERROR(IF(EXACT(H1467,INDEX(Guide!$A$7:$A$9,MATCH(SUBSTITUTE(SUBSTITUTE(SUBSTITUTE(H1467,"~","~~"),"*","~*"),"?","~?"),Guide!$A$7:$A$9,0))),INDEX(Guide!$B$7:$B$9,MATCH(SUBSTITUTE(SUBSTITUTE(SUBSTITUTE(H1467,"~","~~"),"*","~*"),"?","~?"),Guide!$A$7:$A$9,0)),""),"")</f>
        <v>Office</v>
      </c>
      <c r="J1467" s="1" t="str">
        <f>IF(TRIM(Raw!E1467)="",I1467,IF(UPPER(TRIM(Raw!E1467))=UPPER(I1467),I1467,""))</f>
        <v>Office</v>
      </c>
      <c r="K1467" s="1" t="str">
        <f>IF(Raw!F1467="","",Raw!F1467)</f>
        <v>sale</v>
      </c>
      <c r="L1467" s="1" t="str">
        <f>IF(LEFT(TRIM(Raw!G1467),2)="-$","-"&amp;MID(TRIM(Raw!G1467),3,99),IF(LEFT(TRIM(Raw!G1467),1)="$",MID(TRIM(Raw!G1467),2,99),TRIM(Raw!G1467)))</f>
        <v>65.19</v>
      </c>
      <c r="M1467" s="1">
        <f t="shared" si="179"/>
        <v>65.19</v>
      </c>
      <c r="N1467" s="10">
        <f t="shared" si="180"/>
        <v>6519</v>
      </c>
      <c r="O1467" s="1" t="b">
        <f>IFERROR(IF(ISNUMBER(Raw!G1467),TRUE,OR(EXACT(L1467,TEXT(M1467,"0.00")),EXACT(L1467,TEXT(M1467,"#,##0.00")))),FALSE)</f>
        <v>1</v>
      </c>
      <c r="P1467" s="1" t="str">
        <f>LEN(IF(Raw!A1467="","",Raw!A1467))&amp;":"&amp;IF(Raw!A1467="","",Raw!A1467)&amp;"|"&amp;LEN(IF(Raw!B1467="","",Raw!B1467))&amp;":"&amp;IF(Raw!B1467="","",Raw!B1467)&amp;"|"&amp;LEN(IF(Raw!C1467="","",Raw!C1467))&amp;":"&amp;IF(Raw!C1467="","",Raw!C1467)&amp;"|"&amp;LEN(IF(Raw!D1467="","",Raw!D1467))&amp;":"&amp;IF(Raw!D1467="","",Raw!D1467)&amp;"|"&amp;LEN(IF(Raw!E1467="","",Raw!E1467))&amp;":"&amp;IF(Raw!E1467="","",Raw!E1467)&amp;"|"&amp;LEN(IF(Raw!F1467="","",Raw!F1467))&amp;":"&amp;IF(Raw!F1467="","",Raw!F1467)&amp;"|"&amp;LEN(IF(Raw!G1467="","",Raw!G1467))&amp;":"&amp;IF(Raw!G1467="","",Raw!G1467)</f>
        <v>6:L01461|6:T00731|10:2026-03-12|3:P-O|6:Office|4:sale|5:65.19</v>
      </c>
      <c r="Q1467" s="1">
        <f>1</f>
        <v>1</v>
      </c>
      <c r="R1467" s="1" t="b">
        <f>FALSE</f>
        <v>0</v>
      </c>
      <c r="S1467" s="1">
        <f>1</f>
        <v>1</v>
      </c>
      <c r="T1467" s="1" t="str">
        <f>IF(AND(Raw!A1467="",Raw!B1467="",Raw!C1467="",Raw!D1467="",Raw!E1467="",Raw!F1467="",Raw!G1467=""),"UNUSED",IF(A1467="","missing line ID",IF(B1467="","missing transaction ID",IF(G1467="",IF(C1467="","missing date","invalid date"),IF(I1467="","unknown product",IF(J1467="","conflicting category",IF(NOT(OR(EXACT(K1467,"sale"),EXACT(K1467,"refund"))),"unknown event",IF(OR(N1467="",NOT(O1467)),"invalid amount",IF(OR(AND(K1467="sale",N1467&lt;=0),AND(K1467="refund",N1467&gt;=0)),"invalid sign","")))))))))</f>
        <v/>
      </c>
      <c r="U1467" s="1" t="str">
        <f t="shared" si="181"/>
        <v>INCLUDED</v>
      </c>
      <c r="V1467" s="1" t="str">
        <f t="shared" si="182"/>
        <v>2026-03</v>
      </c>
      <c r="W1467" s="1">
        <f>IF(AND(U1467="INCLUDED",X1467&gt;0,EXACT(A1467,'AI output'!A1467)),1,0)</f>
        <v>1</v>
      </c>
      <c r="X1467" s="1">
        <f>1467</f>
        <v>1467</v>
      </c>
      <c r="Y1467" s="1">
        <f>IF(AND(U1467="INCLUDED",W1467=1),--(NOT(EXACT(A1467,'AI output'!A1467)))+--(NOT(EXACT(B1467,'AI output'!B1467)))+--(NOT(EXACT(TEXT(G1467,"yyyy-mm-dd"),'AI output'!C1467)))+--(NOT(EXACT(H1467,'AI output'!D1467)))+--(NOT(EXACT(J1467,'AI output'!E1467)))+--(NOT(EXACT(K1467,'AI output'!F1467)))+--(N1467&lt;&gt;'AI output'!L1467)+--(NOT('AI output'!M1467)),0)</f>
        <v>0</v>
      </c>
      <c r="Z1467" s="1">
        <f t="shared" si="183"/>
        <v>0</v>
      </c>
      <c r="AA1467" s="1">
        <f>--EXACT(A1467,"L01461")</f>
        <v>1</v>
      </c>
    </row>
    <row r="1468" spans="1:27" ht="18.95" customHeight="1">
      <c r="A1468" s="1" t="str">
        <f>IF(Raw!A1468="","",Raw!A1468)</f>
        <v>L01462</v>
      </c>
      <c r="B1468" s="1" t="str">
        <f>IF(Raw!B1468="","",Raw!B1468)</f>
        <v>T00731</v>
      </c>
      <c r="C1468" s="1" t="str">
        <f>IF(Raw!C1468="","",Raw!C1468)</f>
        <v>2026-03-12</v>
      </c>
      <c r="D1468" s="1">
        <f t="shared" si="176"/>
        <v>2026</v>
      </c>
      <c r="E1468" s="1">
        <f>IFERROR(IF(AND(LEN(C1468)=10,MID(C1468,5,1)="-",MID(C1468,8,1)="-"),VALUE(MID(C1468,6,2)),IF(AND(LEN(C1468)=11,MID(C1468,3,1)="-",MID(C1468,7,1)="-"),MATCH(UPPER(MID(C1468,4,3)),Guide!$D$7:$D$18,0),0)),0)</f>
        <v>3</v>
      </c>
      <c r="F1468" s="1">
        <f t="shared" si="177"/>
        <v>12</v>
      </c>
      <c r="G1468" s="9">
        <f t="shared" si="178"/>
        <v>46093</v>
      </c>
      <c r="H1468" s="1" t="str">
        <f>IF(Raw!D1468="","",Raw!D1468)</f>
        <v>P-A</v>
      </c>
      <c r="I1468" s="1" t="str">
        <f>IFERROR(IF(EXACT(H1468,INDEX(Guide!$A$7:$A$9,MATCH(SUBSTITUTE(SUBSTITUTE(SUBSTITUTE(H1468,"~","~~"),"*","~*"),"?","~?"),Guide!$A$7:$A$9,0))),INDEX(Guide!$B$7:$B$9,MATCH(SUBSTITUTE(SUBSTITUTE(SUBSTITUTE(H1468,"~","~~"),"*","~*"),"?","~?"),Guide!$A$7:$A$9,0)),""),"")</f>
        <v>Accessories</v>
      </c>
      <c r="J1468" s="1" t="str">
        <f>IF(TRIM(Raw!E1468)="",I1468,IF(UPPER(TRIM(Raw!E1468))=UPPER(I1468),I1468,""))</f>
        <v>Accessories</v>
      </c>
      <c r="K1468" s="1" t="str">
        <f>IF(Raw!F1468="","",Raw!F1468)</f>
        <v>sale</v>
      </c>
      <c r="L1468" s="1" t="str">
        <f>IF(LEFT(TRIM(Raw!G1468),2)="-$","-"&amp;MID(TRIM(Raw!G1468),3,99),IF(LEFT(TRIM(Raw!G1468),1)="$",MID(TRIM(Raw!G1468),2,99),TRIM(Raw!G1468)))</f>
        <v>196.68</v>
      </c>
      <c r="M1468" s="1">
        <f t="shared" si="179"/>
        <v>196.68</v>
      </c>
      <c r="N1468" s="10">
        <f t="shared" si="180"/>
        <v>19668</v>
      </c>
      <c r="O1468" s="1" t="b">
        <f>IFERROR(IF(ISNUMBER(Raw!G1468),TRUE,OR(EXACT(L1468,TEXT(M1468,"0.00")),EXACT(L1468,TEXT(M1468,"#,##0.00")))),FALSE)</f>
        <v>1</v>
      </c>
      <c r="P1468" s="1" t="str">
        <f>LEN(IF(Raw!A1468="","",Raw!A1468))&amp;":"&amp;IF(Raw!A1468="","",Raw!A1468)&amp;"|"&amp;LEN(IF(Raw!B1468="","",Raw!B1468))&amp;":"&amp;IF(Raw!B1468="","",Raw!B1468)&amp;"|"&amp;LEN(IF(Raw!C1468="","",Raw!C1468))&amp;":"&amp;IF(Raw!C1468="","",Raw!C1468)&amp;"|"&amp;LEN(IF(Raw!D1468="","",Raw!D1468))&amp;":"&amp;IF(Raw!D1468="","",Raw!D1468)&amp;"|"&amp;LEN(IF(Raw!E1468="","",Raw!E1468))&amp;":"&amp;IF(Raw!E1468="","",Raw!E1468)&amp;"|"&amp;LEN(IF(Raw!F1468="","",Raw!F1468))&amp;":"&amp;IF(Raw!F1468="","",Raw!F1468)&amp;"|"&amp;LEN(IF(Raw!G1468="","",Raw!G1468))&amp;":"&amp;IF(Raw!G1468="","",Raw!G1468)</f>
        <v>6:L01462|6:T00731|10:2026-03-12|3:P-A|11:Accessories|4:sale|6:196.68</v>
      </c>
      <c r="Q1468" s="1">
        <f>1</f>
        <v>1</v>
      </c>
      <c r="R1468" s="1" t="b">
        <f>FALSE</f>
        <v>0</v>
      </c>
      <c r="S1468" s="1">
        <f>1</f>
        <v>1</v>
      </c>
      <c r="T1468" s="1" t="str">
        <f>IF(AND(Raw!A1468="",Raw!B1468="",Raw!C1468="",Raw!D1468="",Raw!E1468="",Raw!F1468="",Raw!G1468=""),"UNUSED",IF(A1468="","missing line ID",IF(B1468="","missing transaction ID",IF(G1468="",IF(C1468="","missing date","invalid date"),IF(I1468="","unknown product",IF(J1468="","conflicting category",IF(NOT(OR(EXACT(K1468,"sale"),EXACT(K1468,"refund"))),"unknown event",IF(OR(N1468="",NOT(O1468)),"invalid amount",IF(OR(AND(K1468="sale",N1468&lt;=0),AND(K1468="refund",N1468&gt;=0)),"invalid sign","")))))))))</f>
        <v/>
      </c>
      <c r="U1468" s="1" t="str">
        <f t="shared" si="181"/>
        <v>INCLUDED</v>
      </c>
      <c r="V1468" s="1" t="str">
        <f t="shared" si="182"/>
        <v>2026-03</v>
      </c>
      <c r="W1468" s="1">
        <f>IF(AND(U1468="INCLUDED",X1468&gt;0,EXACT(A1468,'AI output'!A1468)),1,0)</f>
        <v>1</v>
      </c>
      <c r="X1468" s="1">
        <f>1468</f>
        <v>1468</v>
      </c>
      <c r="Y1468" s="1">
        <f>IF(AND(U1468="INCLUDED",W1468=1),--(NOT(EXACT(A1468,'AI output'!A1468)))+--(NOT(EXACT(B1468,'AI output'!B1468)))+--(NOT(EXACT(TEXT(G1468,"yyyy-mm-dd"),'AI output'!C1468)))+--(NOT(EXACT(H1468,'AI output'!D1468)))+--(NOT(EXACT(J1468,'AI output'!E1468)))+--(NOT(EXACT(K1468,'AI output'!F1468)))+--(N1468&lt;&gt;'AI output'!L1468)+--(NOT('AI output'!M1468)),0)</f>
        <v>0</v>
      </c>
      <c r="Z1468" s="1">
        <f t="shared" si="183"/>
        <v>0</v>
      </c>
      <c r="AA1468" s="1">
        <f>--EXACT(A1468,"L01462")</f>
        <v>1</v>
      </c>
    </row>
    <row r="1469" spans="1:27" ht="18.95" customHeight="1">
      <c r="A1469" s="1" t="str">
        <f>IF(Raw!A1469="","",Raw!A1469)</f>
        <v>L01463</v>
      </c>
      <c r="B1469" s="1" t="str">
        <f>IF(Raw!B1469="","",Raw!B1469)</f>
        <v>T00732</v>
      </c>
      <c r="C1469" s="1" t="str">
        <f>IF(Raw!C1469="","",Raw!C1469)</f>
        <v>2026-03-19</v>
      </c>
      <c r="D1469" s="1">
        <f t="shared" si="176"/>
        <v>2026</v>
      </c>
      <c r="E1469" s="1">
        <f>IFERROR(IF(AND(LEN(C1469)=10,MID(C1469,5,1)="-",MID(C1469,8,1)="-"),VALUE(MID(C1469,6,2)),IF(AND(LEN(C1469)=11,MID(C1469,3,1)="-",MID(C1469,7,1)="-"),MATCH(UPPER(MID(C1469,4,3)),Guide!$D$7:$D$18,0),0)),0)</f>
        <v>3</v>
      </c>
      <c r="F1469" s="1">
        <f t="shared" si="177"/>
        <v>19</v>
      </c>
      <c r="G1469" s="9">
        <f t="shared" si="178"/>
        <v>46100</v>
      </c>
      <c r="H1469" s="1" t="str">
        <f>IF(Raw!D1469="","",Raw!D1469)</f>
        <v>P-H</v>
      </c>
      <c r="I1469" s="1" t="str">
        <f>IFERROR(IF(EXACT(H1469,INDEX(Guide!$A$7:$A$9,MATCH(SUBSTITUTE(SUBSTITUTE(SUBSTITUTE(H1469,"~","~~"),"*","~*"),"?","~?"),Guide!$A$7:$A$9,0))),INDEX(Guide!$B$7:$B$9,MATCH(SUBSTITUTE(SUBSTITUTE(SUBSTITUTE(H1469,"~","~~"),"*","~*"),"?","~?"),Guide!$A$7:$A$9,0)),""),"")</f>
        <v>Home</v>
      </c>
      <c r="J1469" s="1" t="str">
        <f>IF(TRIM(Raw!E1469)="",I1469,IF(UPPER(TRIM(Raw!E1469))=UPPER(I1469),I1469,""))</f>
        <v>Home</v>
      </c>
      <c r="K1469" s="1" t="str">
        <f>IF(Raw!F1469="","",Raw!F1469)</f>
        <v>sale</v>
      </c>
      <c r="L1469" s="1" t="str">
        <f>IF(LEFT(TRIM(Raw!G1469),2)="-$","-"&amp;MID(TRIM(Raw!G1469),3,99),IF(LEFT(TRIM(Raw!G1469),1)="$",MID(TRIM(Raw!G1469),2,99),TRIM(Raw!G1469)))</f>
        <v>329.65</v>
      </c>
      <c r="M1469" s="1">
        <f t="shared" si="179"/>
        <v>329.65</v>
      </c>
      <c r="N1469" s="10">
        <f t="shared" si="180"/>
        <v>32965</v>
      </c>
      <c r="O1469" s="1" t="b">
        <f>IFERROR(IF(ISNUMBER(Raw!G1469),TRUE,OR(EXACT(L1469,TEXT(M1469,"0.00")),EXACT(L1469,TEXT(M1469,"#,##0.00")))),FALSE)</f>
        <v>1</v>
      </c>
      <c r="P1469" s="1" t="str">
        <f>LEN(IF(Raw!A1469="","",Raw!A1469))&amp;":"&amp;IF(Raw!A1469="","",Raw!A1469)&amp;"|"&amp;LEN(IF(Raw!B1469="","",Raw!B1469))&amp;":"&amp;IF(Raw!B1469="","",Raw!B1469)&amp;"|"&amp;LEN(IF(Raw!C1469="","",Raw!C1469))&amp;":"&amp;IF(Raw!C1469="","",Raw!C1469)&amp;"|"&amp;LEN(IF(Raw!D1469="","",Raw!D1469))&amp;":"&amp;IF(Raw!D1469="","",Raw!D1469)&amp;"|"&amp;LEN(IF(Raw!E1469="","",Raw!E1469))&amp;":"&amp;IF(Raw!E1469="","",Raw!E1469)&amp;"|"&amp;LEN(IF(Raw!F1469="","",Raw!F1469))&amp;":"&amp;IF(Raw!F1469="","",Raw!F1469)&amp;"|"&amp;LEN(IF(Raw!G1469="","",Raw!G1469))&amp;":"&amp;IF(Raw!G1469="","",Raw!G1469)</f>
        <v>6:L01463|6:T00732|10:2026-03-19|3:P-H|4:Home|4:sale|6:329.65</v>
      </c>
      <c r="Q1469" s="1">
        <f>1</f>
        <v>1</v>
      </c>
      <c r="R1469" s="1" t="b">
        <f>FALSE</f>
        <v>0</v>
      </c>
      <c r="S1469" s="1">
        <f>1</f>
        <v>1</v>
      </c>
      <c r="T1469" s="1" t="str">
        <f>IF(AND(Raw!A1469="",Raw!B1469="",Raw!C1469="",Raw!D1469="",Raw!E1469="",Raw!F1469="",Raw!G1469=""),"UNUSED",IF(A1469="","missing line ID",IF(B1469="","missing transaction ID",IF(G1469="",IF(C1469="","missing date","invalid date"),IF(I1469="","unknown product",IF(J1469="","conflicting category",IF(NOT(OR(EXACT(K1469,"sale"),EXACT(K1469,"refund"))),"unknown event",IF(OR(N1469="",NOT(O1469)),"invalid amount",IF(OR(AND(K1469="sale",N1469&lt;=0),AND(K1469="refund",N1469&gt;=0)),"invalid sign","")))))))))</f>
        <v/>
      </c>
      <c r="U1469" s="1" t="str">
        <f t="shared" si="181"/>
        <v>INCLUDED</v>
      </c>
      <c r="V1469" s="1" t="str">
        <f t="shared" si="182"/>
        <v>2026-03</v>
      </c>
      <c r="W1469" s="1">
        <f>IF(AND(U1469="INCLUDED",X1469&gt;0,EXACT(A1469,'AI output'!A1469)),1,0)</f>
        <v>1</v>
      </c>
      <c r="X1469" s="1">
        <f>1469</f>
        <v>1469</v>
      </c>
      <c r="Y1469" s="1">
        <f>IF(AND(U1469="INCLUDED",W1469=1),--(NOT(EXACT(A1469,'AI output'!A1469)))+--(NOT(EXACT(B1469,'AI output'!B1469)))+--(NOT(EXACT(TEXT(G1469,"yyyy-mm-dd"),'AI output'!C1469)))+--(NOT(EXACT(H1469,'AI output'!D1469)))+--(NOT(EXACT(J1469,'AI output'!E1469)))+--(NOT(EXACT(K1469,'AI output'!F1469)))+--(N1469&lt;&gt;'AI output'!L1469)+--(NOT('AI output'!M1469)),0)</f>
        <v>0</v>
      </c>
      <c r="Z1469" s="1">
        <f t="shared" si="183"/>
        <v>0</v>
      </c>
      <c r="AA1469" s="1">
        <f>--EXACT(A1469,"L01463")</f>
        <v>1</v>
      </c>
    </row>
    <row r="1470" spans="1:27" ht="18.95" customHeight="1">
      <c r="A1470" s="1" t="str">
        <f>IF(Raw!A1470="","",Raw!A1470)</f>
        <v>L01464</v>
      </c>
      <c r="B1470" s="1" t="str">
        <f>IF(Raw!B1470="","",Raw!B1470)</f>
        <v>T00732</v>
      </c>
      <c r="C1470" s="1" t="str">
        <f>IF(Raw!C1470="","",Raw!C1470)</f>
        <v>2026-03-19</v>
      </c>
      <c r="D1470" s="1">
        <f t="shared" si="176"/>
        <v>2026</v>
      </c>
      <c r="E1470" s="1">
        <f>IFERROR(IF(AND(LEN(C1470)=10,MID(C1470,5,1)="-",MID(C1470,8,1)="-"),VALUE(MID(C1470,6,2)),IF(AND(LEN(C1470)=11,MID(C1470,3,1)="-",MID(C1470,7,1)="-"),MATCH(UPPER(MID(C1470,4,3)),Guide!$D$7:$D$18,0),0)),0)</f>
        <v>3</v>
      </c>
      <c r="F1470" s="1">
        <f t="shared" si="177"/>
        <v>19</v>
      </c>
      <c r="G1470" s="9">
        <f t="shared" si="178"/>
        <v>46100</v>
      </c>
      <c r="H1470" s="1" t="str">
        <f>IF(Raw!D1470="","",Raw!D1470)</f>
        <v>P-O</v>
      </c>
      <c r="I1470" s="1" t="str">
        <f>IFERROR(IF(EXACT(H1470,INDEX(Guide!$A$7:$A$9,MATCH(SUBSTITUTE(SUBSTITUTE(SUBSTITUTE(H1470,"~","~~"),"*","~*"),"?","~?"),Guide!$A$7:$A$9,0))),INDEX(Guide!$B$7:$B$9,MATCH(SUBSTITUTE(SUBSTITUTE(SUBSTITUTE(H1470,"~","~~"),"*","~*"),"?","~?"),Guide!$A$7:$A$9,0)),""),"")</f>
        <v>Office</v>
      </c>
      <c r="J1470" s="1" t="str">
        <f>IF(TRIM(Raw!E1470)="",I1470,IF(UPPER(TRIM(Raw!E1470))=UPPER(I1470),I1470,""))</f>
        <v>Office</v>
      </c>
      <c r="K1470" s="1" t="str">
        <f>IF(Raw!F1470="","",Raw!F1470)</f>
        <v>sale</v>
      </c>
      <c r="L1470" s="1" t="str">
        <f>IF(LEFT(TRIM(Raw!G1470),2)="-$","-"&amp;MID(TRIM(Raw!G1470),3,99),IF(LEFT(TRIM(Raw!G1470),1)="$",MID(TRIM(Raw!G1470),2,99),TRIM(Raw!G1470)))</f>
        <v>132.60</v>
      </c>
      <c r="M1470" s="1">
        <f t="shared" si="179"/>
        <v>132.6</v>
      </c>
      <c r="N1470" s="10">
        <f t="shared" si="180"/>
        <v>13260</v>
      </c>
      <c r="O1470" s="1" t="b">
        <f>IFERROR(IF(ISNUMBER(Raw!G1470),TRUE,OR(EXACT(L1470,TEXT(M1470,"0.00")),EXACT(L1470,TEXT(M1470,"#,##0.00")))),FALSE)</f>
        <v>1</v>
      </c>
      <c r="P1470" s="1" t="str">
        <f>LEN(IF(Raw!A1470="","",Raw!A1470))&amp;":"&amp;IF(Raw!A1470="","",Raw!A1470)&amp;"|"&amp;LEN(IF(Raw!B1470="","",Raw!B1470))&amp;":"&amp;IF(Raw!B1470="","",Raw!B1470)&amp;"|"&amp;LEN(IF(Raw!C1470="","",Raw!C1470))&amp;":"&amp;IF(Raw!C1470="","",Raw!C1470)&amp;"|"&amp;LEN(IF(Raw!D1470="","",Raw!D1470))&amp;":"&amp;IF(Raw!D1470="","",Raw!D1470)&amp;"|"&amp;LEN(IF(Raw!E1470="","",Raw!E1470))&amp;":"&amp;IF(Raw!E1470="","",Raw!E1470)&amp;"|"&amp;LEN(IF(Raw!F1470="","",Raw!F1470))&amp;":"&amp;IF(Raw!F1470="","",Raw!F1470)&amp;"|"&amp;LEN(IF(Raw!G1470="","",Raw!G1470))&amp;":"&amp;IF(Raw!G1470="","",Raw!G1470)</f>
        <v>6:L01464|6:T00732|10:2026-03-19|3:P-O|6:Office|4:sale|6:132.60</v>
      </c>
      <c r="Q1470" s="1">
        <f>1</f>
        <v>1</v>
      </c>
      <c r="R1470" s="1" t="b">
        <f>FALSE</f>
        <v>0</v>
      </c>
      <c r="S1470" s="1">
        <f>1</f>
        <v>1</v>
      </c>
      <c r="T1470" s="1" t="str">
        <f>IF(AND(Raw!A1470="",Raw!B1470="",Raw!C1470="",Raw!D1470="",Raw!E1470="",Raw!F1470="",Raw!G1470=""),"UNUSED",IF(A1470="","missing line ID",IF(B1470="","missing transaction ID",IF(G1470="",IF(C1470="","missing date","invalid date"),IF(I1470="","unknown product",IF(J1470="","conflicting category",IF(NOT(OR(EXACT(K1470,"sale"),EXACT(K1470,"refund"))),"unknown event",IF(OR(N1470="",NOT(O1470)),"invalid amount",IF(OR(AND(K1470="sale",N1470&lt;=0),AND(K1470="refund",N1470&gt;=0)),"invalid sign","")))))))))</f>
        <v/>
      </c>
      <c r="U1470" s="1" t="str">
        <f t="shared" si="181"/>
        <v>INCLUDED</v>
      </c>
      <c r="V1470" s="1" t="str">
        <f t="shared" si="182"/>
        <v>2026-03</v>
      </c>
      <c r="W1470" s="1">
        <f>IF(AND(U1470="INCLUDED",X1470&gt;0,EXACT(A1470,'AI output'!A1470)),1,0)</f>
        <v>1</v>
      </c>
      <c r="X1470" s="1">
        <f>1470</f>
        <v>1470</v>
      </c>
      <c r="Y1470" s="1">
        <f>IF(AND(U1470="INCLUDED",W1470=1),--(NOT(EXACT(A1470,'AI output'!A1470)))+--(NOT(EXACT(B1470,'AI output'!B1470)))+--(NOT(EXACT(TEXT(G1470,"yyyy-mm-dd"),'AI output'!C1470)))+--(NOT(EXACT(H1470,'AI output'!D1470)))+--(NOT(EXACT(J1470,'AI output'!E1470)))+--(NOT(EXACT(K1470,'AI output'!F1470)))+--(N1470&lt;&gt;'AI output'!L1470)+--(NOT('AI output'!M1470)),0)</f>
        <v>0</v>
      </c>
      <c r="Z1470" s="1">
        <f t="shared" si="183"/>
        <v>0</v>
      </c>
      <c r="AA1470" s="1">
        <f>--EXACT(A1470,"L01464")</f>
        <v>1</v>
      </c>
    </row>
    <row r="1471" spans="1:27" ht="18.95" customHeight="1">
      <c r="A1471" s="1" t="str">
        <f>IF(Raw!A1471="","",Raw!A1471)</f>
        <v>L01465</v>
      </c>
      <c r="B1471" s="1" t="str">
        <f>IF(Raw!B1471="","",Raw!B1471)</f>
        <v>T00733</v>
      </c>
      <c r="C1471" s="1" t="str">
        <f>IF(Raw!C1471="","",Raw!C1471)</f>
        <v>2026-03-26</v>
      </c>
      <c r="D1471" s="1">
        <f t="shared" si="176"/>
        <v>2026</v>
      </c>
      <c r="E1471" s="1">
        <f>IFERROR(IF(AND(LEN(C1471)=10,MID(C1471,5,1)="-",MID(C1471,8,1)="-"),VALUE(MID(C1471,6,2)),IF(AND(LEN(C1471)=11,MID(C1471,3,1)="-",MID(C1471,7,1)="-"),MATCH(UPPER(MID(C1471,4,3)),Guide!$D$7:$D$18,0),0)),0)</f>
        <v>3</v>
      </c>
      <c r="F1471" s="1">
        <f t="shared" si="177"/>
        <v>26</v>
      </c>
      <c r="G1471" s="9">
        <f t="shared" si="178"/>
        <v>46107</v>
      </c>
      <c r="H1471" s="1" t="str">
        <f>IF(Raw!D1471="","",Raw!D1471)</f>
        <v>P-A</v>
      </c>
      <c r="I1471" s="1" t="str">
        <f>IFERROR(IF(EXACT(H1471,INDEX(Guide!$A$7:$A$9,MATCH(SUBSTITUTE(SUBSTITUTE(SUBSTITUTE(H1471,"~","~~"),"*","~*"),"?","~?"),Guide!$A$7:$A$9,0))),INDEX(Guide!$B$7:$B$9,MATCH(SUBSTITUTE(SUBSTITUTE(SUBSTITUTE(H1471,"~","~~"),"*","~*"),"?","~?"),Guide!$A$7:$A$9,0)),""),"")</f>
        <v>Accessories</v>
      </c>
      <c r="J1471" s="1" t="str">
        <f>IF(TRIM(Raw!E1471)="",I1471,IF(UPPER(TRIM(Raw!E1471))=UPPER(I1471),I1471,""))</f>
        <v>Accessories</v>
      </c>
      <c r="K1471" s="1" t="str">
        <f>IF(Raw!F1471="","",Raw!F1471)</f>
        <v>sale</v>
      </c>
      <c r="L1471" s="1" t="str">
        <f>IF(LEFT(TRIM(Raw!G1471),2)="-$","-"&amp;MID(TRIM(Raw!G1471),3,99),IF(LEFT(TRIM(Raw!G1471),1)="$",MID(TRIM(Raw!G1471),2,99),TRIM(Raw!G1471)))</f>
        <v>266.68</v>
      </c>
      <c r="M1471" s="1">
        <f t="shared" si="179"/>
        <v>266.68</v>
      </c>
      <c r="N1471" s="10">
        <f t="shared" si="180"/>
        <v>26668</v>
      </c>
      <c r="O1471" s="1" t="b">
        <f>IFERROR(IF(ISNUMBER(Raw!G1471),TRUE,OR(EXACT(L1471,TEXT(M1471,"0.00")),EXACT(L1471,TEXT(M1471,"#,##0.00")))),FALSE)</f>
        <v>1</v>
      </c>
      <c r="P1471" s="1" t="str">
        <f>LEN(IF(Raw!A1471="","",Raw!A1471))&amp;":"&amp;IF(Raw!A1471="","",Raw!A1471)&amp;"|"&amp;LEN(IF(Raw!B1471="","",Raw!B1471))&amp;":"&amp;IF(Raw!B1471="","",Raw!B1471)&amp;"|"&amp;LEN(IF(Raw!C1471="","",Raw!C1471))&amp;":"&amp;IF(Raw!C1471="","",Raw!C1471)&amp;"|"&amp;LEN(IF(Raw!D1471="","",Raw!D1471))&amp;":"&amp;IF(Raw!D1471="","",Raw!D1471)&amp;"|"&amp;LEN(IF(Raw!E1471="","",Raw!E1471))&amp;":"&amp;IF(Raw!E1471="","",Raw!E1471)&amp;"|"&amp;LEN(IF(Raw!F1471="","",Raw!F1471))&amp;":"&amp;IF(Raw!F1471="","",Raw!F1471)&amp;"|"&amp;LEN(IF(Raw!G1471="","",Raw!G1471))&amp;":"&amp;IF(Raw!G1471="","",Raw!G1471)</f>
        <v>6:L01465|6:T00733|10:2026-03-26|3:P-A|11:Accessories|4:sale|7:$266.68</v>
      </c>
      <c r="Q1471" s="1">
        <f>1</f>
        <v>1</v>
      </c>
      <c r="R1471" s="1" t="b">
        <f>FALSE</f>
        <v>0</v>
      </c>
      <c r="S1471" s="1">
        <f>1</f>
        <v>1</v>
      </c>
      <c r="T1471" s="1" t="str">
        <f>IF(AND(Raw!A1471="",Raw!B1471="",Raw!C1471="",Raw!D1471="",Raw!E1471="",Raw!F1471="",Raw!G1471=""),"UNUSED",IF(A1471="","missing line ID",IF(B1471="","missing transaction ID",IF(G1471="",IF(C1471="","missing date","invalid date"),IF(I1471="","unknown product",IF(J1471="","conflicting category",IF(NOT(OR(EXACT(K1471,"sale"),EXACT(K1471,"refund"))),"unknown event",IF(OR(N1471="",NOT(O1471)),"invalid amount",IF(OR(AND(K1471="sale",N1471&lt;=0),AND(K1471="refund",N1471&gt;=0)),"invalid sign","")))))))))</f>
        <v/>
      </c>
      <c r="U1471" s="1" t="str">
        <f t="shared" si="181"/>
        <v>INCLUDED</v>
      </c>
      <c r="V1471" s="1" t="str">
        <f t="shared" si="182"/>
        <v>2026-03</v>
      </c>
      <c r="W1471" s="1">
        <f>IF(AND(U1471="INCLUDED",X1471&gt;0,EXACT(A1471,'AI output'!A1471)),1,0)</f>
        <v>1</v>
      </c>
      <c r="X1471" s="1">
        <f>1471</f>
        <v>1471</v>
      </c>
      <c r="Y1471" s="1">
        <f>IF(AND(U1471="INCLUDED",W1471=1),--(NOT(EXACT(A1471,'AI output'!A1471)))+--(NOT(EXACT(B1471,'AI output'!B1471)))+--(NOT(EXACT(TEXT(G1471,"yyyy-mm-dd"),'AI output'!C1471)))+--(NOT(EXACT(H1471,'AI output'!D1471)))+--(NOT(EXACT(J1471,'AI output'!E1471)))+--(NOT(EXACT(K1471,'AI output'!F1471)))+--(N1471&lt;&gt;'AI output'!L1471)+--(NOT('AI output'!M1471)),0)</f>
        <v>0</v>
      </c>
      <c r="Z1471" s="1">
        <f t="shared" si="183"/>
        <v>0</v>
      </c>
      <c r="AA1471" s="1">
        <f>--EXACT(A1471,"L01465")</f>
        <v>1</v>
      </c>
    </row>
    <row r="1472" spans="1:27" ht="18.95" customHeight="1">
      <c r="A1472" s="1" t="str">
        <f>IF(Raw!A1472="","",Raw!A1472)</f>
        <v>L01466</v>
      </c>
      <c r="B1472" s="1" t="str">
        <f>IF(Raw!B1472="","",Raw!B1472)</f>
        <v>T00733</v>
      </c>
      <c r="C1472" s="1" t="str">
        <f>IF(Raw!C1472="","",Raw!C1472)</f>
        <v>2026-03-26</v>
      </c>
      <c r="D1472" s="1">
        <f t="shared" si="176"/>
        <v>2026</v>
      </c>
      <c r="E1472" s="1">
        <f>IFERROR(IF(AND(LEN(C1472)=10,MID(C1472,5,1)="-",MID(C1472,8,1)="-"),VALUE(MID(C1472,6,2)),IF(AND(LEN(C1472)=11,MID(C1472,3,1)="-",MID(C1472,7,1)="-"),MATCH(UPPER(MID(C1472,4,3)),Guide!$D$7:$D$18,0),0)),0)</f>
        <v>3</v>
      </c>
      <c r="F1472" s="1">
        <f t="shared" si="177"/>
        <v>26</v>
      </c>
      <c r="G1472" s="9">
        <f t="shared" si="178"/>
        <v>46107</v>
      </c>
      <c r="H1472" s="1" t="str">
        <f>IF(Raw!D1472="","",Raw!D1472)</f>
        <v>P-H</v>
      </c>
      <c r="I1472" s="1" t="str">
        <f>IFERROR(IF(EXACT(H1472,INDEX(Guide!$A$7:$A$9,MATCH(SUBSTITUTE(SUBSTITUTE(SUBSTITUTE(H1472,"~","~~"),"*","~*"),"?","~?"),Guide!$A$7:$A$9,0))),INDEX(Guide!$B$7:$B$9,MATCH(SUBSTITUTE(SUBSTITUTE(SUBSTITUTE(H1472,"~","~~"),"*","~*"),"?","~?"),Guide!$A$7:$A$9,0)),""),"")</f>
        <v>Home</v>
      </c>
      <c r="J1472" s="1" t="str">
        <f>IF(TRIM(Raw!E1472)="",I1472,IF(UPPER(TRIM(Raw!E1472))=UPPER(I1472),I1472,""))</f>
        <v>Home</v>
      </c>
      <c r="K1472" s="1" t="str">
        <f>IF(Raw!F1472="","",Raw!F1472)</f>
        <v>sale</v>
      </c>
      <c r="L1472" s="1" t="str">
        <f>IF(LEFT(TRIM(Raw!G1472),2)="-$","-"&amp;MID(TRIM(Raw!G1472),3,99),IF(LEFT(TRIM(Raw!G1472),1)="$",MID(TRIM(Raw!G1472),2,99),TRIM(Raw!G1472)))</f>
        <v>67.04</v>
      </c>
      <c r="M1472" s="1">
        <f t="shared" si="179"/>
        <v>67.040000000000006</v>
      </c>
      <c r="N1472" s="10">
        <f t="shared" si="180"/>
        <v>6704</v>
      </c>
      <c r="O1472" s="1" t="b">
        <f>IFERROR(IF(ISNUMBER(Raw!G1472),TRUE,OR(EXACT(L1472,TEXT(M1472,"0.00")),EXACT(L1472,TEXT(M1472,"#,##0.00")))),FALSE)</f>
        <v>1</v>
      </c>
      <c r="P1472" s="1" t="str">
        <f>LEN(IF(Raw!A1472="","",Raw!A1472))&amp;":"&amp;IF(Raw!A1472="","",Raw!A1472)&amp;"|"&amp;LEN(IF(Raw!B1472="","",Raw!B1472))&amp;":"&amp;IF(Raw!B1472="","",Raw!B1472)&amp;"|"&amp;LEN(IF(Raw!C1472="","",Raw!C1472))&amp;":"&amp;IF(Raw!C1472="","",Raw!C1472)&amp;"|"&amp;LEN(IF(Raw!D1472="","",Raw!D1472))&amp;":"&amp;IF(Raw!D1472="","",Raw!D1472)&amp;"|"&amp;LEN(IF(Raw!E1472="","",Raw!E1472))&amp;":"&amp;IF(Raw!E1472="","",Raw!E1472)&amp;"|"&amp;LEN(IF(Raw!F1472="","",Raw!F1472))&amp;":"&amp;IF(Raw!F1472="","",Raw!F1472)&amp;"|"&amp;LEN(IF(Raw!G1472="","",Raw!G1472))&amp;":"&amp;IF(Raw!G1472="","",Raw!G1472)</f>
        <v>6:L01466|6:T00733|10:2026-03-26|3:P-H|4:Home|4:sale|5:67.04</v>
      </c>
      <c r="Q1472" s="1">
        <f>1</f>
        <v>1</v>
      </c>
      <c r="R1472" s="1" t="b">
        <f>FALSE</f>
        <v>0</v>
      </c>
      <c r="S1472" s="1">
        <f>1</f>
        <v>1</v>
      </c>
      <c r="T1472" s="1" t="str">
        <f>IF(AND(Raw!A1472="",Raw!B1472="",Raw!C1472="",Raw!D1472="",Raw!E1472="",Raw!F1472="",Raw!G1472=""),"UNUSED",IF(A1472="","missing line ID",IF(B1472="","missing transaction ID",IF(G1472="",IF(C1472="","missing date","invalid date"),IF(I1472="","unknown product",IF(J1472="","conflicting category",IF(NOT(OR(EXACT(K1472,"sale"),EXACT(K1472,"refund"))),"unknown event",IF(OR(N1472="",NOT(O1472)),"invalid amount",IF(OR(AND(K1472="sale",N1472&lt;=0),AND(K1472="refund",N1472&gt;=0)),"invalid sign","")))))))))</f>
        <v/>
      </c>
      <c r="U1472" s="1" t="str">
        <f t="shared" si="181"/>
        <v>INCLUDED</v>
      </c>
      <c r="V1472" s="1" t="str">
        <f t="shared" si="182"/>
        <v>2026-03</v>
      </c>
      <c r="W1472" s="1">
        <f>IF(AND(U1472="INCLUDED",X1472&gt;0,EXACT(A1472,'AI output'!A1472)),1,0)</f>
        <v>1</v>
      </c>
      <c r="X1472" s="1">
        <f>1472</f>
        <v>1472</v>
      </c>
      <c r="Y1472" s="1">
        <f>IF(AND(U1472="INCLUDED",W1472=1),--(NOT(EXACT(A1472,'AI output'!A1472)))+--(NOT(EXACT(B1472,'AI output'!B1472)))+--(NOT(EXACT(TEXT(G1472,"yyyy-mm-dd"),'AI output'!C1472)))+--(NOT(EXACT(H1472,'AI output'!D1472)))+--(NOT(EXACT(J1472,'AI output'!E1472)))+--(NOT(EXACT(K1472,'AI output'!F1472)))+--(N1472&lt;&gt;'AI output'!L1472)+--(NOT('AI output'!M1472)),0)</f>
        <v>0</v>
      </c>
      <c r="Z1472" s="1">
        <f t="shared" si="183"/>
        <v>0</v>
      </c>
      <c r="AA1472" s="1">
        <f>--EXACT(A1472,"L01466")</f>
        <v>1</v>
      </c>
    </row>
    <row r="1473" spans="1:27" ht="18.95" customHeight="1">
      <c r="A1473" s="1" t="str">
        <f>IF(Raw!A1473="","",Raw!A1473)</f>
        <v>L01467</v>
      </c>
      <c r="B1473" s="1" t="str">
        <f>IF(Raw!B1473="","",Raw!B1473)</f>
        <v>T00734</v>
      </c>
      <c r="C1473" s="1" t="str">
        <f>IF(Raw!C1473="","",Raw!C1473)</f>
        <v>2026-01-02</v>
      </c>
      <c r="D1473" s="1">
        <f t="shared" si="176"/>
        <v>2026</v>
      </c>
      <c r="E1473" s="1">
        <f>IFERROR(IF(AND(LEN(C1473)=10,MID(C1473,5,1)="-",MID(C1473,8,1)="-"),VALUE(MID(C1473,6,2)),IF(AND(LEN(C1473)=11,MID(C1473,3,1)="-",MID(C1473,7,1)="-"),MATCH(UPPER(MID(C1473,4,3)),Guide!$D$7:$D$18,0),0)),0)</f>
        <v>1</v>
      </c>
      <c r="F1473" s="1">
        <f t="shared" si="177"/>
        <v>2</v>
      </c>
      <c r="G1473" s="9">
        <f t="shared" si="178"/>
        <v>46024</v>
      </c>
      <c r="H1473" s="1" t="str">
        <f>IF(Raw!D1473="","",Raw!D1473)</f>
        <v>P-O</v>
      </c>
      <c r="I1473" s="1" t="str">
        <f>IFERROR(IF(EXACT(H1473,INDEX(Guide!$A$7:$A$9,MATCH(SUBSTITUTE(SUBSTITUTE(SUBSTITUTE(H1473,"~","~~"),"*","~*"),"?","~?"),Guide!$A$7:$A$9,0))),INDEX(Guide!$B$7:$B$9,MATCH(SUBSTITUTE(SUBSTITUTE(SUBSTITUTE(H1473,"~","~~"),"*","~*"),"?","~?"),Guide!$A$7:$A$9,0)),""),"")</f>
        <v>Office</v>
      </c>
      <c r="J1473" s="1" t="str">
        <f>IF(TRIM(Raw!E1473)="",I1473,IF(UPPER(TRIM(Raw!E1473))=UPPER(I1473),I1473,""))</f>
        <v>Office</v>
      </c>
      <c r="K1473" s="1" t="str">
        <f>IF(Raw!F1473="","",Raw!F1473)</f>
        <v>sale</v>
      </c>
      <c r="L1473" s="1" t="str">
        <f>IF(LEFT(TRIM(Raw!G1473),2)="-$","-"&amp;MID(TRIM(Raw!G1473),3,99),IF(LEFT(TRIM(Raw!G1473),1)="$",MID(TRIM(Raw!G1473),2,99),TRIM(Raw!G1473)))</f>
        <v>202.23</v>
      </c>
      <c r="M1473" s="1">
        <f t="shared" si="179"/>
        <v>202.23</v>
      </c>
      <c r="N1473" s="10">
        <f t="shared" si="180"/>
        <v>20223</v>
      </c>
      <c r="O1473" s="1" t="b">
        <f>IFERROR(IF(ISNUMBER(Raw!G1473),TRUE,OR(EXACT(L1473,TEXT(M1473,"0.00")),EXACT(L1473,TEXT(M1473,"#,##0.00")))),FALSE)</f>
        <v>1</v>
      </c>
      <c r="P1473" s="1" t="str">
        <f>LEN(IF(Raw!A1473="","",Raw!A1473))&amp;":"&amp;IF(Raw!A1473="","",Raw!A1473)&amp;"|"&amp;LEN(IF(Raw!B1473="","",Raw!B1473))&amp;":"&amp;IF(Raw!B1473="","",Raw!B1473)&amp;"|"&amp;LEN(IF(Raw!C1473="","",Raw!C1473))&amp;":"&amp;IF(Raw!C1473="","",Raw!C1473)&amp;"|"&amp;LEN(IF(Raw!D1473="","",Raw!D1473))&amp;":"&amp;IF(Raw!D1473="","",Raw!D1473)&amp;"|"&amp;LEN(IF(Raw!E1473="","",Raw!E1473))&amp;":"&amp;IF(Raw!E1473="","",Raw!E1473)&amp;"|"&amp;LEN(IF(Raw!F1473="","",Raw!F1473))&amp;":"&amp;IF(Raw!F1473="","",Raw!F1473)&amp;"|"&amp;LEN(IF(Raw!G1473="","",Raw!G1473))&amp;":"&amp;IF(Raw!G1473="","",Raw!G1473)</f>
        <v>6:L01467|6:T00734|10:2026-01-02|3:P-O|6:Office|4:sale|6:202.23</v>
      </c>
      <c r="Q1473" s="1">
        <f>1</f>
        <v>1</v>
      </c>
      <c r="R1473" s="1" t="b">
        <f>FALSE</f>
        <v>0</v>
      </c>
      <c r="S1473" s="1">
        <f>1</f>
        <v>1</v>
      </c>
      <c r="T1473" s="1" t="str">
        <f>IF(AND(Raw!A1473="",Raw!B1473="",Raw!C1473="",Raw!D1473="",Raw!E1473="",Raw!F1473="",Raw!G1473=""),"UNUSED",IF(A1473="","missing line ID",IF(B1473="","missing transaction ID",IF(G1473="",IF(C1473="","missing date","invalid date"),IF(I1473="","unknown product",IF(J1473="","conflicting category",IF(NOT(OR(EXACT(K1473,"sale"),EXACT(K1473,"refund"))),"unknown event",IF(OR(N1473="",NOT(O1473)),"invalid amount",IF(OR(AND(K1473="sale",N1473&lt;=0),AND(K1473="refund",N1473&gt;=0)),"invalid sign","")))))))))</f>
        <v/>
      </c>
      <c r="U1473" s="1" t="str">
        <f t="shared" si="181"/>
        <v>INCLUDED</v>
      </c>
      <c r="V1473" s="1" t="str">
        <f t="shared" si="182"/>
        <v>2026-01</v>
      </c>
      <c r="W1473" s="1">
        <f>IF(AND(U1473="INCLUDED",X1473&gt;0,EXACT(A1473,'AI output'!A1473)),1,0)</f>
        <v>1</v>
      </c>
      <c r="X1473" s="1">
        <f>1473</f>
        <v>1473</v>
      </c>
      <c r="Y1473" s="1">
        <f>IF(AND(U1473="INCLUDED",W1473=1),--(NOT(EXACT(A1473,'AI output'!A1473)))+--(NOT(EXACT(B1473,'AI output'!B1473)))+--(NOT(EXACT(TEXT(G1473,"yyyy-mm-dd"),'AI output'!C1473)))+--(NOT(EXACT(H1473,'AI output'!D1473)))+--(NOT(EXACT(J1473,'AI output'!E1473)))+--(NOT(EXACT(K1473,'AI output'!F1473)))+--(N1473&lt;&gt;'AI output'!L1473)+--(NOT('AI output'!M1473)),0)</f>
        <v>0</v>
      </c>
      <c r="Z1473" s="1">
        <f t="shared" si="183"/>
        <v>0</v>
      </c>
      <c r="AA1473" s="1">
        <f>--EXACT(A1473,"L01467")</f>
        <v>1</v>
      </c>
    </row>
    <row r="1474" spans="1:27" ht="18.95" customHeight="1">
      <c r="A1474" s="1" t="str">
        <f>IF(Raw!A1474="","",Raw!A1474)</f>
        <v>L01468</v>
      </c>
      <c r="B1474" s="1" t="str">
        <f>IF(Raw!B1474="","",Raw!B1474)</f>
        <v>T00734</v>
      </c>
      <c r="C1474" s="1" t="str">
        <f>IF(Raw!C1474="","",Raw!C1474)</f>
        <v>2026-01-02</v>
      </c>
      <c r="D1474" s="1">
        <f t="shared" si="176"/>
        <v>2026</v>
      </c>
      <c r="E1474" s="1">
        <f>IFERROR(IF(AND(LEN(C1474)=10,MID(C1474,5,1)="-",MID(C1474,8,1)="-"),VALUE(MID(C1474,6,2)),IF(AND(LEN(C1474)=11,MID(C1474,3,1)="-",MID(C1474,7,1)="-"),MATCH(UPPER(MID(C1474,4,3)),Guide!$D$7:$D$18,0),0)),0)</f>
        <v>1</v>
      </c>
      <c r="F1474" s="1">
        <f t="shared" si="177"/>
        <v>2</v>
      </c>
      <c r="G1474" s="9">
        <f t="shared" si="178"/>
        <v>46024</v>
      </c>
      <c r="H1474" s="1" t="str">
        <f>IF(Raw!D1474="","",Raw!D1474)</f>
        <v>P-A</v>
      </c>
      <c r="I1474" s="1" t="str">
        <f>IFERROR(IF(EXACT(H1474,INDEX(Guide!$A$7:$A$9,MATCH(SUBSTITUTE(SUBSTITUTE(SUBSTITUTE(H1474,"~","~~"),"*","~*"),"?","~?"),Guide!$A$7:$A$9,0))),INDEX(Guide!$B$7:$B$9,MATCH(SUBSTITUTE(SUBSTITUTE(SUBSTITUTE(H1474,"~","~~"),"*","~*"),"?","~?"),Guide!$A$7:$A$9,0)),""),"")</f>
        <v>Accessories</v>
      </c>
      <c r="J1474" s="1" t="str">
        <f>IF(TRIM(Raw!E1474)="",I1474,IF(UPPER(TRIM(Raw!E1474))=UPPER(I1474),I1474,""))</f>
        <v>Accessories</v>
      </c>
      <c r="K1474" s="1" t="str">
        <f>IF(Raw!F1474="","",Raw!F1474)</f>
        <v>sale</v>
      </c>
      <c r="L1474" s="1" t="str">
        <f>IF(LEFT(TRIM(Raw!G1474),2)="-$","-"&amp;MID(TRIM(Raw!G1474),3,99),IF(LEFT(TRIM(Raw!G1474),1)="$",MID(TRIM(Raw!G1474),2,99),TRIM(Raw!G1474)))</f>
        <v>338.90</v>
      </c>
      <c r="M1474" s="1">
        <f t="shared" si="179"/>
        <v>338.9</v>
      </c>
      <c r="N1474" s="10">
        <f t="shared" si="180"/>
        <v>33890</v>
      </c>
      <c r="O1474" s="1" t="b">
        <f>IFERROR(IF(ISNUMBER(Raw!G1474),TRUE,OR(EXACT(L1474,TEXT(M1474,"0.00")),EXACT(L1474,TEXT(M1474,"#,##0.00")))),FALSE)</f>
        <v>1</v>
      </c>
      <c r="P1474" s="1" t="str">
        <f>LEN(IF(Raw!A1474="","",Raw!A1474))&amp;":"&amp;IF(Raw!A1474="","",Raw!A1474)&amp;"|"&amp;LEN(IF(Raw!B1474="","",Raw!B1474))&amp;":"&amp;IF(Raw!B1474="","",Raw!B1474)&amp;"|"&amp;LEN(IF(Raw!C1474="","",Raw!C1474))&amp;":"&amp;IF(Raw!C1474="","",Raw!C1474)&amp;"|"&amp;LEN(IF(Raw!D1474="","",Raw!D1474))&amp;":"&amp;IF(Raw!D1474="","",Raw!D1474)&amp;"|"&amp;LEN(IF(Raw!E1474="","",Raw!E1474))&amp;":"&amp;IF(Raw!E1474="","",Raw!E1474)&amp;"|"&amp;LEN(IF(Raw!F1474="","",Raw!F1474))&amp;":"&amp;IF(Raw!F1474="","",Raw!F1474)&amp;"|"&amp;LEN(IF(Raw!G1474="","",Raw!G1474))&amp;":"&amp;IF(Raw!G1474="","",Raw!G1474)</f>
        <v>6:L01468|6:T00734|10:2026-01-02|3:P-A|11:Accessories|4:sale|6:338.90</v>
      </c>
      <c r="Q1474" s="1">
        <f>1</f>
        <v>1</v>
      </c>
      <c r="R1474" s="1" t="b">
        <f>FALSE</f>
        <v>0</v>
      </c>
      <c r="S1474" s="1">
        <f>1</f>
        <v>1</v>
      </c>
      <c r="T1474" s="1" t="str">
        <f>IF(AND(Raw!A1474="",Raw!B1474="",Raw!C1474="",Raw!D1474="",Raw!E1474="",Raw!F1474="",Raw!G1474=""),"UNUSED",IF(A1474="","missing line ID",IF(B1474="","missing transaction ID",IF(G1474="",IF(C1474="","missing date","invalid date"),IF(I1474="","unknown product",IF(J1474="","conflicting category",IF(NOT(OR(EXACT(K1474,"sale"),EXACT(K1474,"refund"))),"unknown event",IF(OR(N1474="",NOT(O1474)),"invalid amount",IF(OR(AND(K1474="sale",N1474&lt;=0),AND(K1474="refund",N1474&gt;=0)),"invalid sign","")))))))))</f>
        <v/>
      </c>
      <c r="U1474" s="1" t="str">
        <f t="shared" si="181"/>
        <v>INCLUDED</v>
      </c>
      <c r="V1474" s="1" t="str">
        <f t="shared" si="182"/>
        <v>2026-01</v>
      </c>
      <c r="W1474" s="1">
        <f>IF(AND(U1474="INCLUDED",X1474&gt;0,EXACT(A1474,'AI output'!A1474)),1,0)</f>
        <v>1</v>
      </c>
      <c r="X1474" s="1">
        <f>1474</f>
        <v>1474</v>
      </c>
      <c r="Y1474" s="1">
        <f>IF(AND(U1474="INCLUDED",W1474=1),--(NOT(EXACT(A1474,'AI output'!A1474)))+--(NOT(EXACT(B1474,'AI output'!B1474)))+--(NOT(EXACT(TEXT(G1474,"yyyy-mm-dd"),'AI output'!C1474)))+--(NOT(EXACT(H1474,'AI output'!D1474)))+--(NOT(EXACT(J1474,'AI output'!E1474)))+--(NOT(EXACT(K1474,'AI output'!F1474)))+--(N1474&lt;&gt;'AI output'!L1474)+--(NOT('AI output'!M1474)),0)</f>
        <v>0</v>
      </c>
      <c r="Z1474" s="1">
        <f t="shared" si="183"/>
        <v>0</v>
      </c>
      <c r="AA1474" s="1">
        <f>--EXACT(A1474,"L01468")</f>
        <v>1</v>
      </c>
    </row>
    <row r="1475" spans="1:27" ht="18.95" customHeight="1">
      <c r="A1475" s="1" t="str">
        <f>IF(Raw!A1475="","",Raw!A1475)</f>
        <v>L01469</v>
      </c>
      <c r="B1475" s="1" t="str">
        <f>IF(Raw!B1475="","",Raw!B1475)</f>
        <v>T00735</v>
      </c>
      <c r="C1475" s="1" t="str">
        <f>IF(Raw!C1475="","",Raw!C1475)</f>
        <v>2026-01-09</v>
      </c>
      <c r="D1475" s="1">
        <f t="shared" si="176"/>
        <v>2026</v>
      </c>
      <c r="E1475" s="1">
        <f>IFERROR(IF(AND(LEN(C1475)=10,MID(C1475,5,1)="-",MID(C1475,8,1)="-"),VALUE(MID(C1475,6,2)),IF(AND(LEN(C1475)=11,MID(C1475,3,1)="-",MID(C1475,7,1)="-"),MATCH(UPPER(MID(C1475,4,3)),Guide!$D$7:$D$18,0),0)),0)</f>
        <v>1</v>
      </c>
      <c r="F1475" s="1">
        <f t="shared" si="177"/>
        <v>9</v>
      </c>
      <c r="G1475" s="9">
        <f t="shared" si="178"/>
        <v>46031</v>
      </c>
      <c r="H1475" s="1" t="str">
        <f>IF(Raw!D1475="","",Raw!D1475)</f>
        <v>P-H</v>
      </c>
      <c r="I1475" s="1" t="str">
        <f>IFERROR(IF(EXACT(H1475,INDEX(Guide!$A$7:$A$9,MATCH(SUBSTITUTE(SUBSTITUTE(SUBSTITUTE(H1475,"~","~~"),"*","~*"),"?","~?"),Guide!$A$7:$A$9,0))),INDEX(Guide!$B$7:$B$9,MATCH(SUBSTITUTE(SUBSTITUTE(SUBSTITUTE(H1475,"~","~~"),"*","~*"),"?","~?"),Guide!$A$7:$A$9,0)),""),"")</f>
        <v>Home</v>
      </c>
      <c r="J1475" s="1" t="str">
        <f>IF(TRIM(Raw!E1475)="",I1475,IF(UPPER(TRIM(Raw!E1475))=UPPER(I1475),I1475,""))</f>
        <v>Home</v>
      </c>
      <c r="K1475" s="1" t="str">
        <f>IF(Raw!F1475="","",Raw!F1475)</f>
        <v>sale</v>
      </c>
      <c r="L1475" s="1" t="str">
        <f>IF(LEFT(TRIM(Raw!G1475),2)="-$","-"&amp;MID(TRIM(Raw!G1475),3,99),IF(LEFT(TRIM(Raw!G1475),1)="$",MID(TRIM(Raw!G1475),2,99),TRIM(Raw!G1475)))</f>
        <v>136.30</v>
      </c>
      <c r="M1475" s="1">
        <f t="shared" si="179"/>
        <v>136.30000000000001</v>
      </c>
      <c r="N1475" s="10">
        <f t="shared" si="180"/>
        <v>13630</v>
      </c>
      <c r="O1475" s="1" t="b">
        <f>IFERROR(IF(ISNUMBER(Raw!G1475),TRUE,OR(EXACT(L1475,TEXT(M1475,"0.00")),EXACT(L1475,TEXT(M1475,"#,##0.00")))),FALSE)</f>
        <v>1</v>
      </c>
      <c r="P1475" s="1" t="str">
        <f>LEN(IF(Raw!A1475="","",Raw!A1475))&amp;":"&amp;IF(Raw!A1475="","",Raw!A1475)&amp;"|"&amp;LEN(IF(Raw!B1475="","",Raw!B1475))&amp;":"&amp;IF(Raw!B1475="","",Raw!B1475)&amp;"|"&amp;LEN(IF(Raw!C1475="","",Raw!C1475))&amp;":"&amp;IF(Raw!C1475="","",Raw!C1475)&amp;"|"&amp;LEN(IF(Raw!D1475="","",Raw!D1475))&amp;":"&amp;IF(Raw!D1475="","",Raw!D1475)&amp;"|"&amp;LEN(IF(Raw!E1475="","",Raw!E1475))&amp;":"&amp;IF(Raw!E1475="","",Raw!E1475)&amp;"|"&amp;LEN(IF(Raw!F1475="","",Raw!F1475))&amp;":"&amp;IF(Raw!F1475="","",Raw!F1475)&amp;"|"&amp;LEN(IF(Raw!G1475="","",Raw!G1475))&amp;":"&amp;IF(Raw!G1475="","",Raw!G1475)</f>
        <v>6:L01469|6:T00735|10:2026-01-09|3:P-H|4:Home|4:sale|6:136.30</v>
      </c>
      <c r="Q1475" s="1">
        <f>1</f>
        <v>1</v>
      </c>
      <c r="R1475" s="1" t="b">
        <f>FALSE</f>
        <v>0</v>
      </c>
      <c r="S1475" s="1">
        <f>1</f>
        <v>1</v>
      </c>
      <c r="T1475" s="1" t="str">
        <f>IF(AND(Raw!A1475="",Raw!B1475="",Raw!C1475="",Raw!D1475="",Raw!E1475="",Raw!F1475="",Raw!G1475=""),"UNUSED",IF(A1475="","missing line ID",IF(B1475="","missing transaction ID",IF(G1475="",IF(C1475="","missing date","invalid date"),IF(I1475="","unknown product",IF(J1475="","conflicting category",IF(NOT(OR(EXACT(K1475,"sale"),EXACT(K1475,"refund"))),"unknown event",IF(OR(N1475="",NOT(O1475)),"invalid amount",IF(OR(AND(K1475="sale",N1475&lt;=0),AND(K1475="refund",N1475&gt;=0)),"invalid sign","")))))))))</f>
        <v/>
      </c>
      <c r="U1475" s="1" t="str">
        <f t="shared" si="181"/>
        <v>INCLUDED</v>
      </c>
      <c r="V1475" s="1" t="str">
        <f t="shared" si="182"/>
        <v>2026-01</v>
      </c>
      <c r="W1475" s="1">
        <f>IF(AND(U1475="INCLUDED",X1475&gt;0,EXACT(A1475,'AI output'!A1475)),1,0)</f>
        <v>1</v>
      </c>
      <c r="X1475" s="1">
        <f>1475</f>
        <v>1475</v>
      </c>
      <c r="Y1475" s="1">
        <f>IF(AND(U1475="INCLUDED",W1475=1),--(NOT(EXACT(A1475,'AI output'!A1475)))+--(NOT(EXACT(B1475,'AI output'!B1475)))+--(NOT(EXACT(TEXT(G1475,"yyyy-mm-dd"),'AI output'!C1475)))+--(NOT(EXACT(H1475,'AI output'!D1475)))+--(NOT(EXACT(J1475,'AI output'!E1475)))+--(NOT(EXACT(K1475,'AI output'!F1475)))+--(N1475&lt;&gt;'AI output'!L1475)+--(NOT('AI output'!M1475)),0)</f>
        <v>0</v>
      </c>
      <c r="Z1475" s="1">
        <f t="shared" si="183"/>
        <v>0</v>
      </c>
      <c r="AA1475" s="1">
        <f>--EXACT(A1475,"L01469")</f>
        <v>1</v>
      </c>
    </row>
    <row r="1476" spans="1:27" ht="18.95" customHeight="1">
      <c r="A1476" s="1" t="str">
        <f>IF(Raw!A1476="","",Raw!A1476)</f>
        <v>L01470</v>
      </c>
      <c r="B1476" s="1" t="str">
        <f>IF(Raw!B1476="","",Raw!B1476)</f>
        <v>T00735</v>
      </c>
      <c r="C1476" s="1" t="str">
        <f>IF(Raw!C1476="","",Raw!C1476)</f>
        <v>2026-01-09</v>
      </c>
      <c r="D1476" s="1">
        <f t="shared" si="176"/>
        <v>2026</v>
      </c>
      <c r="E1476" s="1">
        <f>IFERROR(IF(AND(LEN(C1476)=10,MID(C1476,5,1)="-",MID(C1476,8,1)="-"),VALUE(MID(C1476,6,2)),IF(AND(LEN(C1476)=11,MID(C1476,3,1)="-",MID(C1476,7,1)="-"),MATCH(UPPER(MID(C1476,4,3)),Guide!$D$7:$D$18,0),0)),0)</f>
        <v>1</v>
      </c>
      <c r="F1476" s="1">
        <f t="shared" si="177"/>
        <v>9</v>
      </c>
      <c r="G1476" s="9">
        <f t="shared" si="178"/>
        <v>46031</v>
      </c>
      <c r="H1476" s="1" t="str">
        <f>IF(Raw!D1476="","",Raw!D1476)</f>
        <v>P-O</v>
      </c>
      <c r="I1476" s="1" t="str">
        <f>IFERROR(IF(EXACT(H1476,INDEX(Guide!$A$7:$A$9,MATCH(SUBSTITUTE(SUBSTITUTE(SUBSTITUTE(H1476,"~","~~"),"*","~*"),"?","~?"),Guide!$A$7:$A$9,0))),INDEX(Guide!$B$7:$B$9,MATCH(SUBSTITUTE(SUBSTITUTE(SUBSTITUTE(H1476,"~","~~"),"*","~*"),"?","~?"),Guide!$A$7:$A$9,0)),""),"")</f>
        <v>Office</v>
      </c>
      <c r="J1476" s="1" t="str">
        <f>IF(TRIM(Raw!E1476)="",I1476,IF(UPPER(TRIM(Raw!E1476))=UPPER(I1476),I1476,""))</f>
        <v>Office</v>
      </c>
      <c r="K1476" s="1" t="str">
        <f>IF(Raw!F1476="","",Raw!F1476)</f>
        <v>sale</v>
      </c>
      <c r="L1476" s="1" t="str">
        <f>IF(LEFT(TRIM(Raw!G1476),2)="-$","-"&amp;MID(TRIM(Raw!G1476),3,99),IF(LEFT(TRIM(Raw!G1476),1)="$",MID(TRIM(Raw!G1476),2,99),TRIM(Raw!G1476)))</f>
        <v>274.08</v>
      </c>
      <c r="M1476" s="1">
        <f t="shared" si="179"/>
        <v>274.08</v>
      </c>
      <c r="N1476" s="10">
        <f t="shared" si="180"/>
        <v>27408</v>
      </c>
      <c r="O1476" s="1" t="b">
        <f>IFERROR(IF(ISNUMBER(Raw!G1476),TRUE,OR(EXACT(L1476,TEXT(M1476,"0.00")),EXACT(L1476,TEXT(M1476,"#,##0.00")))),FALSE)</f>
        <v>1</v>
      </c>
      <c r="P1476" s="1" t="str">
        <f>LEN(IF(Raw!A1476="","",Raw!A1476))&amp;":"&amp;IF(Raw!A1476="","",Raw!A1476)&amp;"|"&amp;LEN(IF(Raw!B1476="","",Raw!B1476))&amp;":"&amp;IF(Raw!B1476="","",Raw!B1476)&amp;"|"&amp;LEN(IF(Raw!C1476="","",Raw!C1476))&amp;":"&amp;IF(Raw!C1476="","",Raw!C1476)&amp;"|"&amp;LEN(IF(Raw!D1476="","",Raw!D1476))&amp;":"&amp;IF(Raw!D1476="","",Raw!D1476)&amp;"|"&amp;LEN(IF(Raw!E1476="","",Raw!E1476))&amp;":"&amp;IF(Raw!E1476="","",Raw!E1476)&amp;"|"&amp;LEN(IF(Raw!F1476="","",Raw!F1476))&amp;":"&amp;IF(Raw!F1476="","",Raw!F1476)&amp;"|"&amp;LEN(IF(Raw!G1476="","",Raw!G1476))&amp;":"&amp;IF(Raw!G1476="","",Raw!G1476)</f>
        <v>6:L01470|6:T00735|10:2026-01-09|3:P-O|6:Office|4:sale|6:274.08</v>
      </c>
      <c r="Q1476" s="1">
        <f>1</f>
        <v>1</v>
      </c>
      <c r="R1476" s="1" t="b">
        <f>FALSE</f>
        <v>0</v>
      </c>
      <c r="S1476" s="1">
        <f>1</f>
        <v>1</v>
      </c>
      <c r="T1476" s="1" t="str">
        <f>IF(AND(Raw!A1476="",Raw!B1476="",Raw!C1476="",Raw!D1476="",Raw!E1476="",Raw!F1476="",Raw!G1476=""),"UNUSED",IF(A1476="","missing line ID",IF(B1476="","missing transaction ID",IF(G1476="",IF(C1476="","missing date","invalid date"),IF(I1476="","unknown product",IF(J1476="","conflicting category",IF(NOT(OR(EXACT(K1476,"sale"),EXACT(K1476,"refund"))),"unknown event",IF(OR(N1476="",NOT(O1476)),"invalid amount",IF(OR(AND(K1476="sale",N1476&lt;=0),AND(K1476="refund",N1476&gt;=0)),"invalid sign","")))))))))</f>
        <v/>
      </c>
      <c r="U1476" s="1" t="str">
        <f t="shared" si="181"/>
        <v>INCLUDED</v>
      </c>
      <c r="V1476" s="1" t="str">
        <f t="shared" si="182"/>
        <v>2026-01</v>
      </c>
      <c r="W1476" s="1">
        <f>IF(AND(U1476="INCLUDED",X1476&gt;0,EXACT(A1476,'AI output'!A1476)),1,0)</f>
        <v>1</v>
      </c>
      <c r="X1476" s="1">
        <f>1476</f>
        <v>1476</v>
      </c>
      <c r="Y1476" s="1">
        <f>IF(AND(U1476="INCLUDED",W1476=1),--(NOT(EXACT(A1476,'AI output'!A1476)))+--(NOT(EXACT(B1476,'AI output'!B1476)))+--(NOT(EXACT(TEXT(G1476,"yyyy-mm-dd"),'AI output'!C1476)))+--(NOT(EXACT(H1476,'AI output'!D1476)))+--(NOT(EXACT(J1476,'AI output'!E1476)))+--(NOT(EXACT(K1476,'AI output'!F1476)))+--(N1476&lt;&gt;'AI output'!L1476)+--(NOT('AI output'!M1476)),0)</f>
        <v>0</v>
      </c>
      <c r="Z1476" s="1">
        <f t="shared" si="183"/>
        <v>0</v>
      </c>
      <c r="AA1476" s="1">
        <f>--EXACT(A1476,"L01470")</f>
        <v>1</v>
      </c>
    </row>
    <row r="1477" spans="1:27" ht="18.95" customHeight="1">
      <c r="A1477" s="1" t="str">
        <f>IF(Raw!A1477="","",Raw!A1477)</f>
        <v>L01471</v>
      </c>
      <c r="B1477" s="1" t="str">
        <f>IF(Raw!B1477="","",Raw!B1477)</f>
        <v>T00736</v>
      </c>
      <c r="C1477" s="1" t="str">
        <f>IF(Raw!C1477="","",Raw!C1477)</f>
        <v>2026-01-16</v>
      </c>
      <c r="D1477" s="1">
        <f t="shared" si="176"/>
        <v>2026</v>
      </c>
      <c r="E1477" s="1">
        <f>IFERROR(IF(AND(LEN(C1477)=10,MID(C1477,5,1)="-",MID(C1477,8,1)="-"),VALUE(MID(C1477,6,2)),IF(AND(LEN(C1477)=11,MID(C1477,3,1)="-",MID(C1477,7,1)="-"),MATCH(UPPER(MID(C1477,4,3)),Guide!$D$7:$D$18,0),0)),0)</f>
        <v>1</v>
      </c>
      <c r="F1477" s="1">
        <f t="shared" si="177"/>
        <v>16</v>
      </c>
      <c r="G1477" s="9">
        <f t="shared" si="178"/>
        <v>46038</v>
      </c>
      <c r="H1477" s="1" t="str">
        <f>IF(Raw!D1477="","",Raw!D1477)</f>
        <v>P-A</v>
      </c>
      <c r="I1477" s="1" t="str">
        <f>IFERROR(IF(EXACT(H1477,INDEX(Guide!$A$7:$A$9,MATCH(SUBSTITUTE(SUBSTITUTE(SUBSTITUTE(H1477,"~","~~"),"*","~*"),"?","~?"),Guide!$A$7:$A$9,0))),INDEX(Guide!$B$7:$B$9,MATCH(SUBSTITUTE(SUBSTITUTE(SUBSTITUTE(H1477,"~","~~"),"*","~*"),"?","~?"),Guide!$A$7:$A$9,0)),""),"")</f>
        <v>Accessories</v>
      </c>
      <c r="J1477" s="1" t="str">
        <f>IF(TRIM(Raw!E1477)="",I1477,IF(UPPER(TRIM(Raw!E1477))=UPPER(I1477),I1477,""))</f>
        <v>Accessories</v>
      </c>
      <c r="K1477" s="1" t="str">
        <f>IF(Raw!F1477="","",Raw!F1477)</f>
        <v>sale</v>
      </c>
      <c r="L1477" s="1" t="str">
        <f>IF(LEFT(TRIM(Raw!G1477),2)="-$","-"&amp;MID(TRIM(Raw!G1477),3,99),IF(LEFT(TRIM(Raw!G1477),1)="$",MID(TRIM(Raw!G1477),2,99),TRIM(Raw!G1477)))</f>
        <v>68.89</v>
      </c>
      <c r="M1477" s="1">
        <f t="shared" si="179"/>
        <v>68.89</v>
      </c>
      <c r="N1477" s="10">
        <f t="shared" si="180"/>
        <v>6889</v>
      </c>
      <c r="O1477" s="1" t="b">
        <f>IFERROR(IF(ISNUMBER(Raw!G1477),TRUE,OR(EXACT(L1477,TEXT(M1477,"0.00")),EXACT(L1477,TEXT(M1477,"#,##0.00")))),FALSE)</f>
        <v>1</v>
      </c>
      <c r="P1477" s="1" t="str">
        <f>LEN(IF(Raw!A1477="","",Raw!A1477))&amp;":"&amp;IF(Raw!A1477="","",Raw!A1477)&amp;"|"&amp;LEN(IF(Raw!B1477="","",Raw!B1477))&amp;":"&amp;IF(Raw!B1477="","",Raw!B1477)&amp;"|"&amp;LEN(IF(Raw!C1477="","",Raw!C1477))&amp;":"&amp;IF(Raw!C1477="","",Raw!C1477)&amp;"|"&amp;LEN(IF(Raw!D1477="","",Raw!D1477))&amp;":"&amp;IF(Raw!D1477="","",Raw!D1477)&amp;"|"&amp;LEN(IF(Raw!E1477="","",Raw!E1477))&amp;":"&amp;IF(Raw!E1477="","",Raw!E1477)&amp;"|"&amp;LEN(IF(Raw!F1477="","",Raw!F1477))&amp;":"&amp;IF(Raw!F1477="","",Raw!F1477)&amp;"|"&amp;LEN(IF(Raw!G1477="","",Raw!G1477))&amp;":"&amp;IF(Raw!G1477="","",Raw!G1477)</f>
        <v>6:L01471|6:T00736|10:2026-01-16|3:P-A|11:Accessories|4:sale|5:68.89</v>
      </c>
      <c r="Q1477" s="1">
        <f>1</f>
        <v>1</v>
      </c>
      <c r="R1477" s="1" t="b">
        <f>FALSE</f>
        <v>0</v>
      </c>
      <c r="S1477" s="1">
        <f>1</f>
        <v>1</v>
      </c>
      <c r="T1477" s="1" t="str">
        <f>IF(AND(Raw!A1477="",Raw!B1477="",Raw!C1477="",Raw!D1477="",Raw!E1477="",Raw!F1477="",Raw!G1477=""),"UNUSED",IF(A1477="","missing line ID",IF(B1477="","missing transaction ID",IF(G1477="",IF(C1477="","missing date","invalid date"),IF(I1477="","unknown product",IF(J1477="","conflicting category",IF(NOT(OR(EXACT(K1477,"sale"),EXACT(K1477,"refund"))),"unknown event",IF(OR(N1477="",NOT(O1477)),"invalid amount",IF(OR(AND(K1477="sale",N1477&lt;=0),AND(K1477="refund",N1477&gt;=0)),"invalid sign","")))))))))</f>
        <v/>
      </c>
      <c r="U1477" s="1" t="str">
        <f t="shared" si="181"/>
        <v>INCLUDED</v>
      </c>
      <c r="V1477" s="1" t="str">
        <f t="shared" si="182"/>
        <v>2026-01</v>
      </c>
      <c r="W1477" s="1">
        <f>IF(AND(U1477="INCLUDED",X1477&gt;0,EXACT(A1477,'AI output'!A1477)),1,0)</f>
        <v>1</v>
      </c>
      <c r="X1477" s="1">
        <f>1477</f>
        <v>1477</v>
      </c>
      <c r="Y1477" s="1">
        <f>IF(AND(U1477="INCLUDED",W1477=1),--(NOT(EXACT(A1477,'AI output'!A1477)))+--(NOT(EXACT(B1477,'AI output'!B1477)))+--(NOT(EXACT(TEXT(G1477,"yyyy-mm-dd"),'AI output'!C1477)))+--(NOT(EXACT(H1477,'AI output'!D1477)))+--(NOT(EXACT(J1477,'AI output'!E1477)))+--(NOT(EXACT(K1477,'AI output'!F1477)))+--(N1477&lt;&gt;'AI output'!L1477)+--(NOT('AI output'!M1477)),0)</f>
        <v>0</v>
      </c>
      <c r="Z1477" s="1">
        <f t="shared" si="183"/>
        <v>0</v>
      </c>
      <c r="AA1477" s="1">
        <f>--EXACT(A1477,"L01471")</f>
        <v>1</v>
      </c>
    </row>
    <row r="1478" spans="1:27" ht="18.95" customHeight="1">
      <c r="A1478" s="1" t="str">
        <f>IF(Raw!A1478="","",Raw!A1478)</f>
        <v>L01472</v>
      </c>
      <c r="B1478" s="1" t="str">
        <f>IF(Raw!B1478="","",Raw!B1478)</f>
        <v>T00736</v>
      </c>
      <c r="C1478" s="1" t="str">
        <f>IF(Raw!C1478="","",Raw!C1478)</f>
        <v>2026-01-16</v>
      </c>
      <c r="D1478" s="1">
        <f t="shared" si="176"/>
        <v>2026</v>
      </c>
      <c r="E1478" s="1">
        <f>IFERROR(IF(AND(LEN(C1478)=10,MID(C1478,5,1)="-",MID(C1478,8,1)="-"),VALUE(MID(C1478,6,2)),IF(AND(LEN(C1478)=11,MID(C1478,3,1)="-",MID(C1478,7,1)="-"),MATCH(UPPER(MID(C1478,4,3)),Guide!$D$7:$D$18,0),0)),0)</f>
        <v>1</v>
      </c>
      <c r="F1478" s="1">
        <f t="shared" si="177"/>
        <v>16</v>
      </c>
      <c r="G1478" s="9">
        <f t="shared" si="178"/>
        <v>46038</v>
      </c>
      <c r="H1478" s="1" t="str">
        <f>IF(Raw!D1478="","",Raw!D1478)</f>
        <v>P-H</v>
      </c>
      <c r="I1478" s="1" t="str">
        <f>IFERROR(IF(EXACT(H1478,INDEX(Guide!$A$7:$A$9,MATCH(SUBSTITUTE(SUBSTITUTE(SUBSTITUTE(H1478,"~","~~"),"*","~*"),"?","~?"),Guide!$A$7:$A$9,0))),INDEX(Guide!$B$7:$B$9,MATCH(SUBSTITUTE(SUBSTITUTE(SUBSTITUTE(H1478,"~","~~"),"*","~*"),"?","~?"),Guide!$A$7:$A$9,0)),""),"")</f>
        <v>Home</v>
      </c>
      <c r="J1478" s="1" t="str">
        <f>IF(TRIM(Raw!E1478)="",I1478,IF(UPPER(TRIM(Raw!E1478))=UPPER(I1478),I1478,""))</f>
        <v>Home</v>
      </c>
      <c r="K1478" s="1" t="str">
        <f>IF(Raw!F1478="","",Raw!F1478)</f>
        <v>sale</v>
      </c>
      <c r="L1478" s="1" t="str">
        <f>IF(LEFT(TRIM(Raw!G1478),2)="-$","-"&amp;MID(TRIM(Raw!G1478),3,99),IF(LEFT(TRIM(Raw!G1478),1)="$",MID(TRIM(Raw!G1478),2,99),TRIM(Raw!G1478)))</f>
        <v>207.78</v>
      </c>
      <c r="M1478" s="1">
        <f t="shared" si="179"/>
        <v>207.78</v>
      </c>
      <c r="N1478" s="10">
        <f t="shared" si="180"/>
        <v>20778</v>
      </c>
      <c r="O1478" s="1" t="b">
        <f>IFERROR(IF(ISNUMBER(Raw!G1478),TRUE,OR(EXACT(L1478,TEXT(M1478,"0.00")),EXACT(L1478,TEXT(M1478,"#,##0.00")))),FALSE)</f>
        <v>1</v>
      </c>
      <c r="P1478" s="1" t="str">
        <f>LEN(IF(Raw!A1478="","",Raw!A1478))&amp;":"&amp;IF(Raw!A1478="","",Raw!A1478)&amp;"|"&amp;LEN(IF(Raw!B1478="","",Raw!B1478))&amp;":"&amp;IF(Raw!B1478="","",Raw!B1478)&amp;"|"&amp;LEN(IF(Raw!C1478="","",Raw!C1478))&amp;":"&amp;IF(Raw!C1478="","",Raw!C1478)&amp;"|"&amp;LEN(IF(Raw!D1478="","",Raw!D1478))&amp;":"&amp;IF(Raw!D1478="","",Raw!D1478)&amp;"|"&amp;LEN(IF(Raw!E1478="","",Raw!E1478))&amp;":"&amp;IF(Raw!E1478="","",Raw!E1478)&amp;"|"&amp;LEN(IF(Raw!F1478="","",Raw!F1478))&amp;":"&amp;IF(Raw!F1478="","",Raw!F1478)&amp;"|"&amp;LEN(IF(Raw!G1478="","",Raw!G1478))&amp;":"&amp;IF(Raw!G1478="","",Raw!G1478)</f>
        <v>6:L01472|6:T00736|10:2026-01-16|3:P-H|4:Home|4:sale|6:207.78</v>
      </c>
      <c r="Q1478" s="1">
        <f>1</f>
        <v>1</v>
      </c>
      <c r="R1478" s="1" t="b">
        <f>FALSE</f>
        <v>0</v>
      </c>
      <c r="S1478" s="1">
        <f>1</f>
        <v>1</v>
      </c>
      <c r="T1478" s="1" t="str">
        <f>IF(AND(Raw!A1478="",Raw!B1478="",Raw!C1478="",Raw!D1478="",Raw!E1478="",Raw!F1478="",Raw!G1478=""),"UNUSED",IF(A1478="","missing line ID",IF(B1478="","missing transaction ID",IF(G1478="",IF(C1478="","missing date","invalid date"),IF(I1478="","unknown product",IF(J1478="","conflicting category",IF(NOT(OR(EXACT(K1478,"sale"),EXACT(K1478,"refund"))),"unknown event",IF(OR(N1478="",NOT(O1478)),"invalid amount",IF(OR(AND(K1478="sale",N1478&lt;=0),AND(K1478="refund",N1478&gt;=0)),"invalid sign","")))))))))</f>
        <v/>
      </c>
      <c r="U1478" s="1" t="str">
        <f t="shared" si="181"/>
        <v>INCLUDED</v>
      </c>
      <c r="V1478" s="1" t="str">
        <f t="shared" si="182"/>
        <v>2026-01</v>
      </c>
      <c r="W1478" s="1">
        <f>IF(AND(U1478="INCLUDED",X1478&gt;0,EXACT(A1478,'AI output'!A1478)),1,0)</f>
        <v>1</v>
      </c>
      <c r="X1478" s="1">
        <f>1478</f>
        <v>1478</v>
      </c>
      <c r="Y1478" s="1">
        <f>IF(AND(U1478="INCLUDED",W1478=1),--(NOT(EXACT(A1478,'AI output'!A1478)))+--(NOT(EXACT(B1478,'AI output'!B1478)))+--(NOT(EXACT(TEXT(G1478,"yyyy-mm-dd"),'AI output'!C1478)))+--(NOT(EXACT(H1478,'AI output'!D1478)))+--(NOT(EXACT(J1478,'AI output'!E1478)))+--(NOT(EXACT(K1478,'AI output'!F1478)))+--(N1478&lt;&gt;'AI output'!L1478)+--(NOT('AI output'!M1478)),0)</f>
        <v>0</v>
      </c>
      <c r="Z1478" s="1">
        <f t="shared" si="183"/>
        <v>0</v>
      </c>
      <c r="AA1478" s="1">
        <f>--EXACT(A1478,"L01472")</f>
        <v>1</v>
      </c>
    </row>
    <row r="1479" spans="1:27" ht="18.95" customHeight="1">
      <c r="A1479" s="1" t="str">
        <f>IF(Raw!A1479="","",Raw!A1479)</f>
        <v>L01473</v>
      </c>
      <c r="B1479" s="1" t="str">
        <f>IF(Raw!B1479="","",Raw!B1479)</f>
        <v>T00737</v>
      </c>
      <c r="C1479" s="1" t="str">
        <f>IF(Raw!C1479="","",Raw!C1479)</f>
        <v>2026-01-23</v>
      </c>
      <c r="D1479" s="1">
        <f t="shared" ref="D1479:D1542" si="184">IFERROR(IF(AND(LEN(C1479)=10,MID(C1479,5,1)="-",MID(C1479,8,1)="-"),VALUE(LEFT(C1479,4)),IF(AND(LEN(C1479)=11,MID(C1479,3,1)="-",MID(C1479,7,1)="-"),VALUE(RIGHT(C1479,4)),0)),0)</f>
        <v>2026</v>
      </c>
      <c r="E1479" s="1">
        <f>IFERROR(IF(AND(LEN(C1479)=10,MID(C1479,5,1)="-",MID(C1479,8,1)="-"),VALUE(MID(C1479,6,2)),IF(AND(LEN(C1479)=11,MID(C1479,3,1)="-",MID(C1479,7,1)="-"),MATCH(UPPER(MID(C1479,4,3)),Guide!$D$7:$D$18,0),0)),0)</f>
        <v>1</v>
      </c>
      <c r="F1479" s="1">
        <f t="shared" ref="F1479:F1542" si="185">IFERROR(IF(AND(LEN(C1479)=10,MID(C1479,5,1)="-",MID(C1479,8,1)="-"),VALUE(RIGHT(C1479,2)),IF(AND(LEN(C1479)=11,MID(C1479,3,1)="-",MID(C1479,7,1)="-"),VALUE(LEFT(C1479,2)),0)),0)</f>
        <v>23</v>
      </c>
      <c r="G1479" s="9">
        <f t="shared" ref="G1479:G1542" si="186">IFERROR(IF(AND(D1479&gt;=1900,D1479&lt;=9999,YEAR(DATE(D1479,E1479,F1479))=D1479,MONTH(DATE(D1479,E1479,F1479))=E1479,DAY(DATE(D1479,E1479,F1479))=F1479),DATE(D1479,E1479,F1479),""),"")</f>
        <v>46045</v>
      </c>
      <c r="H1479" s="1" t="str">
        <f>IF(Raw!D1479="","",Raw!D1479)</f>
        <v>P-O</v>
      </c>
      <c r="I1479" s="1" t="str">
        <f>IFERROR(IF(EXACT(H1479,INDEX(Guide!$A$7:$A$9,MATCH(SUBSTITUTE(SUBSTITUTE(SUBSTITUTE(H1479,"~","~~"),"*","~*"),"?","~?"),Guide!$A$7:$A$9,0))),INDEX(Guide!$B$7:$B$9,MATCH(SUBSTITUTE(SUBSTITUTE(SUBSTITUTE(H1479,"~","~~"),"*","~*"),"?","~?"),Guide!$A$7:$A$9,0)),""),"")</f>
        <v>Office</v>
      </c>
      <c r="J1479" s="1" t="str">
        <f>IF(TRIM(Raw!E1479)="",I1479,IF(UPPER(TRIM(Raw!E1479))=UPPER(I1479),I1479,""))</f>
        <v>Office</v>
      </c>
      <c r="K1479" s="1" t="str">
        <f>IF(Raw!F1479="","",Raw!F1479)</f>
        <v>refund</v>
      </c>
      <c r="L1479" s="1" t="str">
        <f>IF(LEFT(TRIM(Raw!G1479),2)="-$","-"&amp;MID(TRIM(Raw!G1479),3,99),IF(LEFT(TRIM(Raw!G1479),1)="$",MID(TRIM(Raw!G1479),2,99),TRIM(Raw!G1479)))</f>
        <v>-348.15</v>
      </c>
      <c r="M1479" s="1">
        <f t="shared" ref="M1479:M1542" si="187">IFERROR(VALUE(L1479),"")</f>
        <v>-348.15</v>
      </c>
      <c r="N1479" s="10">
        <f t="shared" ref="N1479:N1542" si="188">IF(AND(ISNUMBER(M1479),ABS(M1479*100-ROUND(M1479*100,0))&lt;0.0000001),ROUND(M1479*100,0),"")</f>
        <v>-34815</v>
      </c>
      <c r="O1479" s="1" t="b">
        <f>IFERROR(IF(ISNUMBER(Raw!G1479),TRUE,OR(EXACT(L1479,TEXT(M1479,"0.00")),EXACT(L1479,TEXT(M1479,"#,##0.00")))),FALSE)</f>
        <v>1</v>
      </c>
      <c r="P1479" s="1" t="str">
        <f>LEN(IF(Raw!A1479="","",Raw!A1479))&amp;":"&amp;IF(Raw!A1479="","",Raw!A1479)&amp;"|"&amp;LEN(IF(Raw!B1479="","",Raw!B1479))&amp;":"&amp;IF(Raw!B1479="","",Raw!B1479)&amp;"|"&amp;LEN(IF(Raw!C1479="","",Raw!C1479))&amp;":"&amp;IF(Raw!C1479="","",Raw!C1479)&amp;"|"&amp;LEN(IF(Raw!D1479="","",Raw!D1479))&amp;":"&amp;IF(Raw!D1479="","",Raw!D1479)&amp;"|"&amp;LEN(IF(Raw!E1479="","",Raw!E1479))&amp;":"&amp;IF(Raw!E1479="","",Raw!E1479)&amp;"|"&amp;LEN(IF(Raw!F1479="","",Raw!F1479))&amp;":"&amp;IF(Raw!F1479="","",Raw!F1479)&amp;"|"&amp;LEN(IF(Raw!G1479="","",Raw!G1479))&amp;":"&amp;IF(Raw!G1479="","",Raw!G1479)</f>
        <v>6:L01473|6:T00737|10:2026-01-23|3:P-O|6:Office|6:refund|7:-348.15</v>
      </c>
      <c r="Q1479" s="1">
        <f>1</f>
        <v>1</v>
      </c>
      <c r="R1479" s="1" t="b">
        <f>FALSE</f>
        <v>0</v>
      </c>
      <c r="S1479" s="1">
        <f>1</f>
        <v>1</v>
      </c>
      <c r="T1479" s="1" t="str">
        <f>IF(AND(Raw!A1479="",Raw!B1479="",Raw!C1479="",Raw!D1479="",Raw!E1479="",Raw!F1479="",Raw!G1479=""),"UNUSED",IF(A1479="","missing line ID",IF(B1479="","missing transaction ID",IF(G1479="",IF(C1479="","missing date","invalid date"),IF(I1479="","unknown product",IF(J1479="","conflicting category",IF(NOT(OR(EXACT(K1479,"sale"),EXACT(K1479,"refund"))),"unknown event",IF(OR(N1479="",NOT(O1479)),"invalid amount",IF(OR(AND(K1479="sale",N1479&lt;=0),AND(K1479="refund",N1479&gt;=0)),"invalid sign","")))))))))</f>
        <v/>
      </c>
      <c r="U1479" s="1" t="str">
        <f t="shared" ref="U1479:U1542" si="189">IF(T1479="UNUSED","UNUSED",IF(R1479,"QUARANTINE",IF(S1479&gt;1,"DUPLICATE",IF(T1479&lt;&gt;"","QUARANTINE","INCLUDED"))))</f>
        <v>INCLUDED</v>
      </c>
      <c r="V1479" s="1" t="str">
        <f t="shared" ref="V1479:V1542" si="190">IF(G1479="","",TEXT(G1479,"yyyy-mm"))</f>
        <v>2026-01</v>
      </c>
      <c r="W1479" s="1">
        <f>IF(AND(U1479="INCLUDED",X1479&gt;0,EXACT(A1479,'AI output'!A1479)),1,0)</f>
        <v>1</v>
      </c>
      <c r="X1479" s="1">
        <f>1479</f>
        <v>1479</v>
      </c>
      <c r="Y1479" s="1">
        <f>IF(AND(U1479="INCLUDED",W1479=1),--(NOT(EXACT(A1479,'AI output'!A1479)))+--(NOT(EXACT(B1479,'AI output'!B1479)))+--(NOT(EXACT(TEXT(G1479,"yyyy-mm-dd"),'AI output'!C1479)))+--(NOT(EXACT(H1479,'AI output'!D1479)))+--(NOT(EXACT(J1479,'AI output'!E1479)))+--(NOT(EXACT(K1479,'AI output'!F1479)))+--(N1479&lt;&gt;'AI output'!L1479)+--(NOT('AI output'!M1479)),0)</f>
        <v>0</v>
      </c>
      <c r="Z1479" s="1">
        <f t="shared" ref="Z1479:Z1542" si="191">IF(U1479="INCLUDED",IF(OR(W1479&lt;&gt;1,Y1479&lt;&gt;0),1,0),0)</f>
        <v>0</v>
      </c>
      <c r="AA1479" s="1">
        <f>--EXACT(A1479,"L01473")</f>
        <v>1</v>
      </c>
    </row>
    <row r="1480" spans="1:27" ht="18.95" customHeight="1">
      <c r="A1480" s="1" t="str">
        <f>IF(Raw!A1480="","",Raw!A1480)</f>
        <v>L01474</v>
      </c>
      <c r="B1480" s="1" t="str">
        <f>IF(Raw!B1480="","",Raw!B1480)</f>
        <v>T00737</v>
      </c>
      <c r="C1480" s="1" t="str">
        <f>IF(Raw!C1480="","",Raw!C1480)</f>
        <v>2026-01-23</v>
      </c>
      <c r="D1480" s="1">
        <f t="shared" si="184"/>
        <v>2026</v>
      </c>
      <c r="E1480" s="1">
        <f>IFERROR(IF(AND(LEN(C1480)=10,MID(C1480,5,1)="-",MID(C1480,8,1)="-"),VALUE(MID(C1480,6,2)),IF(AND(LEN(C1480)=11,MID(C1480,3,1)="-",MID(C1480,7,1)="-"),MATCH(UPPER(MID(C1480,4,3)),Guide!$D$7:$D$18,0),0)),0)</f>
        <v>1</v>
      </c>
      <c r="F1480" s="1">
        <f t="shared" si="185"/>
        <v>23</v>
      </c>
      <c r="G1480" s="9">
        <f t="shared" si="186"/>
        <v>46045</v>
      </c>
      <c r="H1480" s="1" t="str">
        <f>IF(Raw!D1480="","",Raw!D1480)</f>
        <v>P-A</v>
      </c>
      <c r="I1480" s="1" t="str">
        <f>IFERROR(IF(EXACT(H1480,INDEX(Guide!$A$7:$A$9,MATCH(SUBSTITUTE(SUBSTITUTE(SUBSTITUTE(H1480,"~","~~"),"*","~*"),"?","~?"),Guide!$A$7:$A$9,0))),INDEX(Guide!$B$7:$B$9,MATCH(SUBSTITUTE(SUBSTITUTE(SUBSTITUTE(H1480,"~","~~"),"*","~*"),"?","~?"),Guide!$A$7:$A$9,0)),""),"")</f>
        <v>Accessories</v>
      </c>
      <c r="J1480" s="1" t="str">
        <f>IF(TRIM(Raw!E1480)="",I1480,IF(UPPER(TRIM(Raw!E1480))=UPPER(I1480),I1480,""))</f>
        <v>Accessories</v>
      </c>
      <c r="K1480" s="1" t="str">
        <f>IF(Raw!F1480="","",Raw!F1480)</f>
        <v>sale</v>
      </c>
      <c r="L1480" s="1" t="str">
        <f>IF(LEFT(TRIM(Raw!G1480),2)="-$","-"&amp;MID(TRIM(Raw!G1480),3,99),IF(LEFT(TRIM(Raw!G1480),1)="$",MID(TRIM(Raw!G1480),2,99),TRIM(Raw!G1480)))</f>
        <v>140.00</v>
      </c>
      <c r="M1480" s="1">
        <f t="shared" si="187"/>
        <v>140</v>
      </c>
      <c r="N1480" s="10">
        <f t="shared" si="188"/>
        <v>14000</v>
      </c>
      <c r="O1480" s="1" t="b">
        <f>IFERROR(IF(ISNUMBER(Raw!G1480),TRUE,OR(EXACT(L1480,TEXT(M1480,"0.00")),EXACT(L1480,TEXT(M1480,"#,##0.00")))),FALSE)</f>
        <v>1</v>
      </c>
      <c r="P1480" s="1" t="str">
        <f>LEN(IF(Raw!A1480="","",Raw!A1480))&amp;":"&amp;IF(Raw!A1480="","",Raw!A1480)&amp;"|"&amp;LEN(IF(Raw!B1480="","",Raw!B1480))&amp;":"&amp;IF(Raw!B1480="","",Raw!B1480)&amp;"|"&amp;LEN(IF(Raw!C1480="","",Raw!C1480))&amp;":"&amp;IF(Raw!C1480="","",Raw!C1480)&amp;"|"&amp;LEN(IF(Raw!D1480="","",Raw!D1480))&amp;":"&amp;IF(Raw!D1480="","",Raw!D1480)&amp;"|"&amp;LEN(IF(Raw!E1480="","",Raw!E1480))&amp;":"&amp;IF(Raw!E1480="","",Raw!E1480)&amp;"|"&amp;LEN(IF(Raw!F1480="","",Raw!F1480))&amp;":"&amp;IF(Raw!F1480="","",Raw!F1480)&amp;"|"&amp;LEN(IF(Raw!G1480="","",Raw!G1480))&amp;":"&amp;IF(Raw!G1480="","",Raw!G1480)</f>
        <v>6:L01474|6:T00737|10:2026-01-23|3:P-A|11:Accessories|4:sale|6:140.00</v>
      </c>
      <c r="Q1480" s="1">
        <f>1</f>
        <v>1</v>
      </c>
      <c r="R1480" s="1" t="b">
        <f>FALSE</f>
        <v>0</v>
      </c>
      <c r="S1480" s="1">
        <f>1</f>
        <v>1</v>
      </c>
      <c r="T1480" s="1" t="str">
        <f>IF(AND(Raw!A1480="",Raw!B1480="",Raw!C1480="",Raw!D1480="",Raw!E1480="",Raw!F1480="",Raw!G1480=""),"UNUSED",IF(A1480="","missing line ID",IF(B1480="","missing transaction ID",IF(G1480="",IF(C1480="","missing date","invalid date"),IF(I1480="","unknown product",IF(J1480="","conflicting category",IF(NOT(OR(EXACT(K1480,"sale"),EXACT(K1480,"refund"))),"unknown event",IF(OR(N1480="",NOT(O1480)),"invalid amount",IF(OR(AND(K1480="sale",N1480&lt;=0),AND(K1480="refund",N1480&gt;=0)),"invalid sign","")))))))))</f>
        <v/>
      </c>
      <c r="U1480" s="1" t="str">
        <f t="shared" si="189"/>
        <v>INCLUDED</v>
      </c>
      <c r="V1480" s="1" t="str">
        <f t="shared" si="190"/>
        <v>2026-01</v>
      </c>
      <c r="W1480" s="1">
        <f>IF(AND(U1480="INCLUDED",X1480&gt;0,EXACT(A1480,'AI output'!A1480)),1,0)</f>
        <v>1</v>
      </c>
      <c r="X1480" s="1">
        <f>1480</f>
        <v>1480</v>
      </c>
      <c r="Y1480" s="1">
        <f>IF(AND(U1480="INCLUDED",W1480=1),--(NOT(EXACT(A1480,'AI output'!A1480)))+--(NOT(EXACT(B1480,'AI output'!B1480)))+--(NOT(EXACT(TEXT(G1480,"yyyy-mm-dd"),'AI output'!C1480)))+--(NOT(EXACT(H1480,'AI output'!D1480)))+--(NOT(EXACT(J1480,'AI output'!E1480)))+--(NOT(EXACT(K1480,'AI output'!F1480)))+--(N1480&lt;&gt;'AI output'!L1480)+--(NOT('AI output'!M1480)),0)</f>
        <v>0</v>
      </c>
      <c r="Z1480" s="1">
        <f t="shared" si="191"/>
        <v>0</v>
      </c>
      <c r="AA1480" s="1">
        <f>--EXACT(A1480,"L01474")</f>
        <v>1</v>
      </c>
    </row>
    <row r="1481" spans="1:27" ht="18.95" customHeight="1">
      <c r="A1481" s="1" t="str">
        <f>IF(Raw!A1481="","",Raw!A1481)</f>
        <v>L01475</v>
      </c>
      <c r="B1481" s="1" t="str">
        <f>IF(Raw!B1481="","",Raw!B1481)</f>
        <v>T00738</v>
      </c>
      <c r="C1481" s="1" t="str">
        <f>IF(Raw!C1481="","",Raw!C1481)</f>
        <v>2026-01-30</v>
      </c>
      <c r="D1481" s="1">
        <f t="shared" si="184"/>
        <v>2026</v>
      </c>
      <c r="E1481" s="1">
        <f>IFERROR(IF(AND(LEN(C1481)=10,MID(C1481,5,1)="-",MID(C1481,8,1)="-"),VALUE(MID(C1481,6,2)),IF(AND(LEN(C1481)=11,MID(C1481,3,1)="-",MID(C1481,7,1)="-"),MATCH(UPPER(MID(C1481,4,3)),Guide!$D$7:$D$18,0),0)),0)</f>
        <v>1</v>
      </c>
      <c r="F1481" s="1">
        <f t="shared" si="185"/>
        <v>30</v>
      </c>
      <c r="G1481" s="9">
        <f t="shared" si="186"/>
        <v>46052</v>
      </c>
      <c r="H1481" s="1" t="str">
        <f>IF(Raw!D1481="","",Raw!D1481)</f>
        <v>P-H</v>
      </c>
      <c r="I1481" s="1" t="str">
        <f>IFERROR(IF(EXACT(H1481,INDEX(Guide!$A$7:$A$9,MATCH(SUBSTITUTE(SUBSTITUTE(SUBSTITUTE(H1481,"~","~~"),"*","~*"),"?","~?"),Guide!$A$7:$A$9,0))),INDEX(Guide!$B$7:$B$9,MATCH(SUBSTITUTE(SUBSTITUTE(SUBSTITUTE(H1481,"~","~~"),"*","~*"),"?","~?"),Guide!$A$7:$A$9,0)),""),"")</f>
        <v>Home</v>
      </c>
      <c r="J1481" s="1" t="str">
        <f>IF(TRIM(Raw!E1481)="",I1481,IF(UPPER(TRIM(Raw!E1481))=UPPER(I1481),I1481,""))</f>
        <v>Home</v>
      </c>
      <c r="K1481" s="1" t="str">
        <f>IF(Raw!F1481="","",Raw!F1481)</f>
        <v>sale</v>
      </c>
      <c r="L1481" s="1" t="str">
        <f>IF(LEFT(TRIM(Raw!G1481),2)="-$","-"&amp;MID(TRIM(Raw!G1481),3,99),IF(LEFT(TRIM(Raw!G1481),1)="$",MID(TRIM(Raw!G1481),2,99),TRIM(Raw!G1481)))</f>
        <v>281.48</v>
      </c>
      <c r="M1481" s="1">
        <f t="shared" si="187"/>
        <v>281.48</v>
      </c>
      <c r="N1481" s="10">
        <f t="shared" si="188"/>
        <v>28148</v>
      </c>
      <c r="O1481" s="1" t="b">
        <f>IFERROR(IF(ISNUMBER(Raw!G1481),TRUE,OR(EXACT(L1481,TEXT(M1481,"0.00")),EXACT(L1481,TEXT(M1481,"#,##0.00")))),FALSE)</f>
        <v>1</v>
      </c>
      <c r="P1481" s="1" t="str">
        <f>LEN(IF(Raw!A1481="","",Raw!A1481))&amp;":"&amp;IF(Raw!A1481="","",Raw!A1481)&amp;"|"&amp;LEN(IF(Raw!B1481="","",Raw!B1481))&amp;":"&amp;IF(Raw!B1481="","",Raw!B1481)&amp;"|"&amp;LEN(IF(Raw!C1481="","",Raw!C1481))&amp;":"&amp;IF(Raw!C1481="","",Raw!C1481)&amp;"|"&amp;LEN(IF(Raw!D1481="","",Raw!D1481))&amp;":"&amp;IF(Raw!D1481="","",Raw!D1481)&amp;"|"&amp;LEN(IF(Raw!E1481="","",Raw!E1481))&amp;":"&amp;IF(Raw!E1481="","",Raw!E1481)&amp;"|"&amp;LEN(IF(Raw!F1481="","",Raw!F1481))&amp;":"&amp;IF(Raw!F1481="","",Raw!F1481)&amp;"|"&amp;LEN(IF(Raw!G1481="","",Raw!G1481))&amp;":"&amp;IF(Raw!G1481="","",Raw!G1481)</f>
        <v>6:L01475|6:T00738|10:2026-01-30|3:P-H|4:Home|4:sale|6:281.48</v>
      </c>
      <c r="Q1481" s="1">
        <f>1</f>
        <v>1</v>
      </c>
      <c r="R1481" s="1" t="b">
        <f>FALSE</f>
        <v>0</v>
      </c>
      <c r="S1481" s="1">
        <f>1</f>
        <v>1</v>
      </c>
      <c r="T1481" s="1" t="str">
        <f>IF(AND(Raw!A1481="",Raw!B1481="",Raw!C1481="",Raw!D1481="",Raw!E1481="",Raw!F1481="",Raw!G1481=""),"UNUSED",IF(A1481="","missing line ID",IF(B1481="","missing transaction ID",IF(G1481="",IF(C1481="","missing date","invalid date"),IF(I1481="","unknown product",IF(J1481="","conflicting category",IF(NOT(OR(EXACT(K1481,"sale"),EXACT(K1481,"refund"))),"unknown event",IF(OR(N1481="",NOT(O1481)),"invalid amount",IF(OR(AND(K1481="sale",N1481&lt;=0),AND(K1481="refund",N1481&gt;=0)),"invalid sign","")))))))))</f>
        <v/>
      </c>
      <c r="U1481" s="1" t="str">
        <f t="shared" si="189"/>
        <v>INCLUDED</v>
      </c>
      <c r="V1481" s="1" t="str">
        <f t="shared" si="190"/>
        <v>2026-01</v>
      </c>
      <c r="W1481" s="1">
        <f>IF(AND(U1481="INCLUDED",X1481&gt;0,EXACT(A1481,'AI output'!A1481)),1,0)</f>
        <v>1</v>
      </c>
      <c r="X1481" s="1">
        <f>1481</f>
        <v>1481</v>
      </c>
      <c r="Y1481" s="1">
        <f>IF(AND(U1481="INCLUDED",W1481=1),--(NOT(EXACT(A1481,'AI output'!A1481)))+--(NOT(EXACT(B1481,'AI output'!B1481)))+--(NOT(EXACT(TEXT(G1481,"yyyy-mm-dd"),'AI output'!C1481)))+--(NOT(EXACT(H1481,'AI output'!D1481)))+--(NOT(EXACT(J1481,'AI output'!E1481)))+--(NOT(EXACT(K1481,'AI output'!F1481)))+--(N1481&lt;&gt;'AI output'!L1481)+--(NOT('AI output'!M1481)),0)</f>
        <v>0</v>
      </c>
      <c r="Z1481" s="1">
        <f t="shared" si="191"/>
        <v>0</v>
      </c>
      <c r="AA1481" s="1">
        <f>--EXACT(A1481,"L01475")</f>
        <v>1</v>
      </c>
    </row>
    <row r="1482" spans="1:27" ht="18.95" customHeight="1">
      <c r="A1482" s="1" t="str">
        <f>IF(Raw!A1482="","",Raw!A1482)</f>
        <v>L01476</v>
      </c>
      <c r="B1482" s="1" t="str">
        <f>IF(Raw!B1482="","",Raw!B1482)</f>
        <v>T00738</v>
      </c>
      <c r="C1482" s="1" t="str">
        <f>IF(Raw!C1482="","",Raw!C1482)</f>
        <v>2026-01-30</v>
      </c>
      <c r="D1482" s="1">
        <f t="shared" si="184"/>
        <v>2026</v>
      </c>
      <c r="E1482" s="1">
        <f>IFERROR(IF(AND(LEN(C1482)=10,MID(C1482,5,1)="-",MID(C1482,8,1)="-"),VALUE(MID(C1482,6,2)),IF(AND(LEN(C1482)=11,MID(C1482,3,1)="-",MID(C1482,7,1)="-"),MATCH(UPPER(MID(C1482,4,3)),Guide!$D$7:$D$18,0),0)),0)</f>
        <v>1</v>
      </c>
      <c r="F1482" s="1">
        <f t="shared" si="185"/>
        <v>30</v>
      </c>
      <c r="G1482" s="9">
        <f t="shared" si="186"/>
        <v>46052</v>
      </c>
      <c r="H1482" s="1" t="str">
        <f>IF(Raw!D1482="","",Raw!D1482)</f>
        <v>P-O</v>
      </c>
      <c r="I1482" s="1" t="str">
        <f>IFERROR(IF(EXACT(H1482,INDEX(Guide!$A$7:$A$9,MATCH(SUBSTITUTE(SUBSTITUTE(SUBSTITUTE(H1482,"~","~~"),"*","~*"),"?","~?"),Guide!$A$7:$A$9,0))),INDEX(Guide!$B$7:$B$9,MATCH(SUBSTITUTE(SUBSTITUTE(SUBSTITUTE(H1482,"~","~~"),"*","~*"),"?","~?"),Guide!$A$7:$A$9,0)),""),"")</f>
        <v>Office</v>
      </c>
      <c r="J1482" s="1" t="str">
        <f>IF(TRIM(Raw!E1482)="",I1482,IF(UPPER(TRIM(Raw!E1482))=UPPER(I1482),I1482,""))</f>
        <v>Office</v>
      </c>
      <c r="K1482" s="1" t="str">
        <f>IF(Raw!F1482="","",Raw!F1482)</f>
        <v>sale</v>
      </c>
      <c r="L1482" s="1" t="str">
        <f>IF(LEFT(TRIM(Raw!G1482),2)="-$","-"&amp;MID(TRIM(Raw!G1482),3,99),IF(LEFT(TRIM(Raw!G1482),1)="$",MID(TRIM(Raw!G1482),2,99),TRIM(Raw!G1482)))</f>
        <v>70.74</v>
      </c>
      <c r="M1482" s="1">
        <f t="shared" si="187"/>
        <v>70.739999999999995</v>
      </c>
      <c r="N1482" s="10">
        <f t="shared" si="188"/>
        <v>7074</v>
      </c>
      <c r="O1482" s="1" t="b">
        <f>IFERROR(IF(ISNUMBER(Raw!G1482),TRUE,OR(EXACT(L1482,TEXT(M1482,"0.00")),EXACT(L1482,TEXT(M1482,"#,##0.00")))),FALSE)</f>
        <v>1</v>
      </c>
      <c r="P1482" s="1" t="str">
        <f>LEN(IF(Raw!A1482="","",Raw!A1482))&amp;":"&amp;IF(Raw!A1482="","",Raw!A1482)&amp;"|"&amp;LEN(IF(Raw!B1482="","",Raw!B1482))&amp;":"&amp;IF(Raw!B1482="","",Raw!B1482)&amp;"|"&amp;LEN(IF(Raw!C1482="","",Raw!C1482))&amp;":"&amp;IF(Raw!C1482="","",Raw!C1482)&amp;"|"&amp;LEN(IF(Raw!D1482="","",Raw!D1482))&amp;":"&amp;IF(Raw!D1482="","",Raw!D1482)&amp;"|"&amp;LEN(IF(Raw!E1482="","",Raw!E1482))&amp;":"&amp;IF(Raw!E1482="","",Raw!E1482)&amp;"|"&amp;LEN(IF(Raw!F1482="","",Raw!F1482))&amp;":"&amp;IF(Raw!F1482="","",Raw!F1482)&amp;"|"&amp;LEN(IF(Raw!G1482="","",Raw!G1482))&amp;":"&amp;IF(Raw!G1482="","",Raw!G1482)</f>
        <v>6:L01476|6:T00738|10:2026-01-30|3:P-O|6:Office|4:sale|5:70.74</v>
      </c>
      <c r="Q1482" s="1">
        <f>1</f>
        <v>1</v>
      </c>
      <c r="R1482" s="1" t="b">
        <f>FALSE</f>
        <v>0</v>
      </c>
      <c r="S1482" s="1">
        <f>1</f>
        <v>1</v>
      </c>
      <c r="T1482" s="1" t="str">
        <f>IF(AND(Raw!A1482="",Raw!B1482="",Raw!C1482="",Raw!D1482="",Raw!E1482="",Raw!F1482="",Raw!G1482=""),"UNUSED",IF(A1482="","missing line ID",IF(B1482="","missing transaction ID",IF(G1482="",IF(C1482="","missing date","invalid date"),IF(I1482="","unknown product",IF(J1482="","conflicting category",IF(NOT(OR(EXACT(K1482,"sale"),EXACT(K1482,"refund"))),"unknown event",IF(OR(N1482="",NOT(O1482)),"invalid amount",IF(OR(AND(K1482="sale",N1482&lt;=0),AND(K1482="refund",N1482&gt;=0)),"invalid sign","")))))))))</f>
        <v/>
      </c>
      <c r="U1482" s="1" t="str">
        <f t="shared" si="189"/>
        <v>INCLUDED</v>
      </c>
      <c r="V1482" s="1" t="str">
        <f t="shared" si="190"/>
        <v>2026-01</v>
      </c>
      <c r="W1482" s="1">
        <f>IF(AND(U1482="INCLUDED",X1482&gt;0,EXACT(A1482,'AI output'!A1482)),1,0)</f>
        <v>1</v>
      </c>
      <c r="X1482" s="1">
        <f>1482</f>
        <v>1482</v>
      </c>
      <c r="Y1482" s="1">
        <f>IF(AND(U1482="INCLUDED",W1482=1),--(NOT(EXACT(A1482,'AI output'!A1482)))+--(NOT(EXACT(B1482,'AI output'!B1482)))+--(NOT(EXACT(TEXT(G1482,"yyyy-mm-dd"),'AI output'!C1482)))+--(NOT(EXACT(H1482,'AI output'!D1482)))+--(NOT(EXACT(J1482,'AI output'!E1482)))+--(NOT(EXACT(K1482,'AI output'!F1482)))+--(N1482&lt;&gt;'AI output'!L1482)+--(NOT('AI output'!M1482)),0)</f>
        <v>0</v>
      </c>
      <c r="Z1482" s="1">
        <f t="shared" si="191"/>
        <v>0</v>
      </c>
      <c r="AA1482" s="1">
        <f>--EXACT(A1482,"L01476")</f>
        <v>1</v>
      </c>
    </row>
    <row r="1483" spans="1:27" ht="18.95" customHeight="1">
      <c r="A1483" s="1" t="str">
        <f>IF(Raw!A1483="","",Raw!A1483)</f>
        <v>L01477</v>
      </c>
      <c r="B1483" s="1" t="str">
        <f>IF(Raw!B1483="","",Raw!B1483)</f>
        <v>T00739</v>
      </c>
      <c r="C1483" s="1" t="str">
        <f>IF(Raw!C1483="","",Raw!C1483)</f>
        <v>2026-02-06</v>
      </c>
      <c r="D1483" s="1">
        <f t="shared" si="184"/>
        <v>2026</v>
      </c>
      <c r="E1483" s="1">
        <f>IFERROR(IF(AND(LEN(C1483)=10,MID(C1483,5,1)="-",MID(C1483,8,1)="-"),VALUE(MID(C1483,6,2)),IF(AND(LEN(C1483)=11,MID(C1483,3,1)="-",MID(C1483,7,1)="-"),MATCH(UPPER(MID(C1483,4,3)),Guide!$D$7:$D$18,0),0)),0)</f>
        <v>2</v>
      </c>
      <c r="F1483" s="1">
        <f t="shared" si="185"/>
        <v>6</v>
      </c>
      <c r="G1483" s="9">
        <f t="shared" si="186"/>
        <v>46059</v>
      </c>
      <c r="H1483" s="1" t="str">
        <f>IF(Raw!D1483="","",Raw!D1483)</f>
        <v>P-A</v>
      </c>
      <c r="I1483" s="1" t="str">
        <f>IFERROR(IF(EXACT(H1483,INDEX(Guide!$A$7:$A$9,MATCH(SUBSTITUTE(SUBSTITUTE(SUBSTITUTE(H1483,"~","~~"),"*","~*"),"?","~?"),Guide!$A$7:$A$9,0))),INDEX(Guide!$B$7:$B$9,MATCH(SUBSTITUTE(SUBSTITUTE(SUBSTITUTE(H1483,"~","~~"),"*","~*"),"?","~?"),Guide!$A$7:$A$9,0)),""),"")</f>
        <v>Accessories</v>
      </c>
      <c r="J1483" s="1" t="str">
        <f>IF(TRIM(Raw!E1483)="",I1483,IF(UPPER(TRIM(Raw!E1483))=UPPER(I1483),I1483,""))</f>
        <v>Accessories</v>
      </c>
      <c r="K1483" s="1" t="str">
        <f>IF(Raw!F1483="","",Raw!F1483)</f>
        <v>sale</v>
      </c>
      <c r="L1483" s="1" t="str">
        <f>IF(LEFT(TRIM(Raw!G1483),2)="-$","-"&amp;MID(TRIM(Raw!G1483),3,99),IF(LEFT(TRIM(Raw!G1483),1)="$",MID(TRIM(Raw!G1483),2,99),TRIM(Raw!G1483)))</f>
        <v>213.33</v>
      </c>
      <c r="M1483" s="1">
        <f t="shared" si="187"/>
        <v>213.33</v>
      </c>
      <c r="N1483" s="10">
        <f t="shared" si="188"/>
        <v>21333</v>
      </c>
      <c r="O1483" s="1" t="b">
        <f>IFERROR(IF(ISNUMBER(Raw!G1483),TRUE,OR(EXACT(L1483,TEXT(M1483,"0.00")),EXACT(L1483,TEXT(M1483,"#,##0.00")))),FALSE)</f>
        <v>1</v>
      </c>
      <c r="P1483" s="1" t="str">
        <f>LEN(IF(Raw!A1483="","",Raw!A1483))&amp;":"&amp;IF(Raw!A1483="","",Raw!A1483)&amp;"|"&amp;LEN(IF(Raw!B1483="","",Raw!B1483))&amp;":"&amp;IF(Raw!B1483="","",Raw!B1483)&amp;"|"&amp;LEN(IF(Raw!C1483="","",Raw!C1483))&amp;":"&amp;IF(Raw!C1483="","",Raw!C1483)&amp;"|"&amp;LEN(IF(Raw!D1483="","",Raw!D1483))&amp;":"&amp;IF(Raw!D1483="","",Raw!D1483)&amp;"|"&amp;LEN(IF(Raw!E1483="","",Raw!E1483))&amp;":"&amp;IF(Raw!E1483="","",Raw!E1483)&amp;"|"&amp;LEN(IF(Raw!F1483="","",Raw!F1483))&amp;":"&amp;IF(Raw!F1483="","",Raw!F1483)&amp;"|"&amp;LEN(IF(Raw!G1483="","",Raw!G1483))&amp;":"&amp;IF(Raw!G1483="","",Raw!G1483)</f>
        <v>6:L01477|6:T00739|10:2026-02-06|3:P-A|11:Accessories|4:sale|6:213.33</v>
      </c>
      <c r="Q1483" s="1">
        <f>1</f>
        <v>1</v>
      </c>
      <c r="R1483" s="1" t="b">
        <f>FALSE</f>
        <v>0</v>
      </c>
      <c r="S1483" s="1">
        <f>1</f>
        <v>1</v>
      </c>
      <c r="T1483" s="1" t="str">
        <f>IF(AND(Raw!A1483="",Raw!B1483="",Raw!C1483="",Raw!D1483="",Raw!E1483="",Raw!F1483="",Raw!G1483=""),"UNUSED",IF(A1483="","missing line ID",IF(B1483="","missing transaction ID",IF(G1483="",IF(C1483="","missing date","invalid date"),IF(I1483="","unknown product",IF(J1483="","conflicting category",IF(NOT(OR(EXACT(K1483,"sale"),EXACT(K1483,"refund"))),"unknown event",IF(OR(N1483="",NOT(O1483)),"invalid amount",IF(OR(AND(K1483="sale",N1483&lt;=0),AND(K1483="refund",N1483&gt;=0)),"invalid sign","")))))))))</f>
        <v/>
      </c>
      <c r="U1483" s="1" t="str">
        <f t="shared" si="189"/>
        <v>INCLUDED</v>
      </c>
      <c r="V1483" s="1" t="str">
        <f t="shared" si="190"/>
        <v>2026-02</v>
      </c>
      <c r="W1483" s="1">
        <f>IF(AND(U1483="INCLUDED",X1483&gt;0,EXACT(A1483,'AI output'!A1483)),1,0)</f>
        <v>1</v>
      </c>
      <c r="X1483" s="1">
        <f>1483</f>
        <v>1483</v>
      </c>
      <c r="Y1483" s="1">
        <f>IF(AND(U1483="INCLUDED",W1483=1),--(NOT(EXACT(A1483,'AI output'!A1483)))+--(NOT(EXACT(B1483,'AI output'!B1483)))+--(NOT(EXACT(TEXT(G1483,"yyyy-mm-dd"),'AI output'!C1483)))+--(NOT(EXACT(H1483,'AI output'!D1483)))+--(NOT(EXACT(J1483,'AI output'!E1483)))+--(NOT(EXACT(K1483,'AI output'!F1483)))+--(N1483&lt;&gt;'AI output'!L1483)+--(NOT('AI output'!M1483)),0)</f>
        <v>0</v>
      </c>
      <c r="Z1483" s="1">
        <f t="shared" si="191"/>
        <v>0</v>
      </c>
      <c r="AA1483" s="1">
        <f>--EXACT(A1483,"L01477")</f>
        <v>1</v>
      </c>
    </row>
    <row r="1484" spans="1:27" ht="18.95" customHeight="1">
      <c r="A1484" s="1" t="str">
        <f>IF(Raw!A1484="","",Raw!A1484)</f>
        <v>L01478</v>
      </c>
      <c r="B1484" s="1" t="str">
        <f>IF(Raw!B1484="","",Raw!B1484)</f>
        <v>T00739</v>
      </c>
      <c r="C1484" s="1" t="str">
        <f>IF(Raw!C1484="","",Raw!C1484)</f>
        <v>2026-02-06</v>
      </c>
      <c r="D1484" s="1">
        <f t="shared" si="184"/>
        <v>2026</v>
      </c>
      <c r="E1484" s="1">
        <f>IFERROR(IF(AND(LEN(C1484)=10,MID(C1484,5,1)="-",MID(C1484,8,1)="-"),VALUE(MID(C1484,6,2)),IF(AND(LEN(C1484)=11,MID(C1484,3,1)="-",MID(C1484,7,1)="-"),MATCH(UPPER(MID(C1484,4,3)),Guide!$D$7:$D$18,0),0)),0)</f>
        <v>2</v>
      </c>
      <c r="F1484" s="1">
        <f t="shared" si="185"/>
        <v>6</v>
      </c>
      <c r="G1484" s="9">
        <f t="shared" si="186"/>
        <v>46059</v>
      </c>
      <c r="H1484" s="1" t="str">
        <f>IF(Raw!D1484="","",Raw!D1484)</f>
        <v>P-H</v>
      </c>
      <c r="I1484" s="1" t="str">
        <f>IFERROR(IF(EXACT(H1484,INDEX(Guide!$A$7:$A$9,MATCH(SUBSTITUTE(SUBSTITUTE(SUBSTITUTE(H1484,"~","~~"),"*","~*"),"?","~?"),Guide!$A$7:$A$9,0))),INDEX(Guide!$B$7:$B$9,MATCH(SUBSTITUTE(SUBSTITUTE(SUBSTITUTE(H1484,"~","~~"),"*","~*"),"?","~?"),Guide!$A$7:$A$9,0)),""),"")</f>
        <v>Home</v>
      </c>
      <c r="J1484" s="1" t="str">
        <f>IF(TRIM(Raw!E1484)="",I1484,IF(UPPER(TRIM(Raw!E1484))=UPPER(I1484),I1484,""))</f>
        <v>Home</v>
      </c>
      <c r="K1484" s="1" t="str">
        <f>IF(Raw!F1484="","",Raw!F1484)</f>
        <v>sale</v>
      </c>
      <c r="L1484" s="1" t="str">
        <f>IF(LEFT(TRIM(Raw!G1484),2)="-$","-"&amp;MID(TRIM(Raw!G1484),3,99),IF(LEFT(TRIM(Raw!G1484),1)="$",MID(TRIM(Raw!G1484),2,99),TRIM(Raw!G1484)))</f>
        <v>357.40</v>
      </c>
      <c r="M1484" s="1">
        <f t="shared" si="187"/>
        <v>357.4</v>
      </c>
      <c r="N1484" s="10">
        <f t="shared" si="188"/>
        <v>35740</v>
      </c>
      <c r="O1484" s="1" t="b">
        <f>IFERROR(IF(ISNUMBER(Raw!G1484),TRUE,OR(EXACT(L1484,TEXT(M1484,"0.00")),EXACT(L1484,TEXT(M1484,"#,##0.00")))),FALSE)</f>
        <v>1</v>
      </c>
      <c r="P1484" s="1" t="str">
        <f>LEN(IF(Raw!A1484="","",Raw!A1484))&amp;":"&amp;IF(Raw!A1484="","",Raw!A1484)&amp;"|"&amp;LEN(IF(Raw!B1484="","",Raw!B1484))&amp;":"&amp;IF(Raw!B1484="","",Raw!B1484)&amp;"|"&amp;LEN(IF(Raw!C1484="","",Raw!C1484))&amp;":"&amp;IF(Raw!C1484="","",Raw!C1484)&amp;"|"&amp;LEN(IF(Raw!D1484="","",Raw!D1484))&amp;":"&amp;IF(Raw!D1484="","",Raw!D1484)&amp;"|"&amp;LEN(IF(Raw!E1484="","",Raw!E1484))&amp;":"&amp;IF(Raw!E1484="","",Raw!E1484)&amp;"|"&amp;LEN(IF(Raw!F1484="","",Raw!F1484))&amp;":"&amp;IF(Raw!F1484="","",Raw!F1484)&amp;"|"&amp;LEN(IF(Raw!G1484="","",Raw!G1484))&amp;":"&amp;IF(Raw!G1484="","",Raw!G1484)</f>
        <v>6:L01478|6:T00739|10:2026-02-06|3:P-H|4:Home|4:sale|6:357.40</v>
      </c>
      <c r="Q1484" s="1">
        <f>1</f>
        <v>1</v>
      </c>
      <c r="R1484" s="1" t="b">
        <f>FALSE</f>
        <v>0</v>
      </c>
      <c r="S1484" s="1">
        <f>1</f>
        <v>1</v>
      </c>
      <c r="T1484" s="1" t="str">
        <f>IF(AND(Raw!A1484="",Raw!B1484="",Raw!C1484="",Raw!D1484="",Raw!E1484="",Raw!F1484="",Raw!G1484=""),"UNUSED",IF(A1484="","missing line ID",IF(B1484="","missing transaction ID",IF(G1484="",IF(C1484="","missing date","invalid date"),IF(I1484="","unknown product",IF(J1484="","conflicting category",IF(NOT(OR(EXACT(K1484,"sale"),EXACT(K1484,"refund"))),"unknown event",IF(OR(N1484="",NOT(O1484)),"invalid amount",IF(OR(AND(K1484="sale",N1484&lt;=0),AND(K1484="refund",N1484&gt;=0)),"invalid sign","")))))))))</f>
        <v/>
      </c>
      <c r="U1484" s="1" t="str">
        <f t="shared" si="189"/>
        <v>INCLUDED</v>
      </c>
      <c r="V1484" s="1" t="str">
        <f t="shared" si="190"/>
        <v>2026-02</v>
      </c>
      <c r="W1484" s="1">
        <f>IF(AND(U1484="INCLUDED",X1484&gt;0,EXACT(A1484,'AI output'!A1484)),1,0)</f>
        <v>1</v>
      </c>
      <c r="X1484" s="1">
        <f>1484</f>
        <v>1484</v>
      </c>
      <c r="Y1484" s="1">
        <f>IF(AND(U1484="INCLUDED",W1484=1),--(NOT(EXACT(A1484,'AI output'!A1484)))+--(NOT(EXACT(B1484,'AI output'!B1484)))+--(NOT(EXACT(TEXT(G1484,"yyyy-mm-dd"),'AI output'!C1484)))+--(NOT(EXACT(H1484,'AI output'!D1484)))+--(NOT(EXACT(J1484,'AI output'!E1484)))+--(NOT(EXACT(K1484,'AI output'!F1484)))+--(N1484&lt;&gt;'AI output'!L1484)+--(NOT('AI output'!M1484)),0)</f>
        <v>0</v>
      </c>
      <c r="Z1484" s="1">
        <f t="shared" si="191"/>
        <v>0</v>
      </c>
      <c r="AA1484" s="1">
        <f>--EXACT(A1484,"L01478")</f>
        <v>1</v>
      </c>
    </row>
    <row r="1485" spans="1:27" ht="18.95" customHeight="1">
      <c r="A1485" s="1" t="str">
        <f>IF(Raw!A1485="","",Raw!A1485)</f>
        <v>L01479</v>
      </c>
      <c r="B1485" s="1" t="str">
        <f>IF(Raw!B1485="","",Raw!B1485)</f>
        <v>T00740</v>
      </c>
      <c r="C1485" s="1" t="str">
        <f>IF(Raw!C1485="","",Raw!C1485)</f>
        <v>2026-02-13</v>
      </c>
      <c r="D1485" s="1">
        <f t="shared" si="184"/>
        <v>2026</v>
      </c>
      <c r="E1485" s="1">
        <f>IFERROR(IF(AND(LEN(C1485)=10,MID(C1485,5,1)="-",MID(C1485,8,1)="-"),VALUE(MID(C1485,6,2)),IF(AND(LEN(C1485)=11,MID(C1485,3,1)="-",MID(C1485,7,1)="-"),MATCH(UPPER(MID(C1485,4,3)),Guide!$D$7:$D$18,0),0)),0)</f>
        <v>2</v>
      </c>
      <c r="F1485" s="1">
        <f t="shared" si="185"/>
        <v>13</v>
      </c>
      <c r="G1485" s="9">
        <f t="shared" si="186"/>
        <v>46066</v>
      </c>
      <c r="H1485" s="1" t="str">
        <f>IF(Raw!D1485="","",Raw!D1485)</f>
        <v>P-O</v>
      </c>
      <c r="I1485" s="1" t="str">
        <f>IFERROR(IF(EXACT(H1485,INDEX(Guide!$A$7:$A$9,MATCH(SUBSTITUTE(SUBSTITUTE(SUBSTITUTE(H1485,"~","~~"),"*","~*"),"?","~?"),Guide!$A$7:$A$9,0))),INDEX(Guide!$B$7:$B$9,MATCH(SUBSTITUTE(SUBSTITUTE(SUBSTITUTE(H1485,"~","~~"),"*","~*"),"?","~?"),Guide!$A$7:$A$9,0)),""),"")</f>
        <v>Office</v>
      </c>
      <c r="J1485" s="1" t="str">
        <f>IF(TRIM(Raw!E1485)="",I1485,IF(UPPER(TRIM(Raw!E1485))=UPPER(I1485),I1485,""))</f>
        <v>Office</v>
      </c>
      <c r="K1485" s="1" t="str">
        <f>IF(Raw!F1485="","",Raw!F1485)</f>
        <v>sale</v>
      </c>
      <c r="L1485" s="1" t="str">
        <f>IF(LEFT(TRIM(Raw!G1485),2)="-$","-"&amp;MID(TRIM(Raw!G1485),3,99),IF(LEFT(TRIM(Raw!G1485),1)="$",MID(TRIM(Raw!G1485),2,99),TRIM(Raw!G1485)))</f>
        <v>143.70</v>
      </c>
      <c r="M1485" s="1">
        <f t="shared" si="187"/>
        <v>143.69999999999999</v>
      </c>
      <c r="N1485" s="10">
        <f t="shared" si="188"/>
        <v>14370</v>
      </c>
      <c r="O1485" s="1" t="b">
        <f>IFERROR(IF(ISNUMBER(Raw!G1485),TRUE,OR(EXACT(L1485,TEXT(M1485,"0.00")),EXACT(L1485,TEXT(M1485,"#,##0.00")))),FALSE)</f>
        <v>1</v>
      </c>
      <c r="P1485" s="1" t="str">
        <f>LEN(IF(Raw!A1485="","",Raw!A1485))&amp;":"&amp;IF(Raw!A1485="","",Raw!A1485)&amp;"|"&amp;LEN(IF(Raw!B1485="","",Raw!B1485))&amp;":"&amp;IF(Raw!B1485="","",Raw!B1485)&amp;"|"&amp;LEN(IF(Raw!C1485="","",Raw!C1485))&amp;":"&amp;IF(Raw!C1485="","",Raw!C1485)&amp;"|"&amp;LEN(IF(Raw!D1485="","",Raw!D1485))&amp;":"&amp;IF(Raw!D1485="","",Raw!D1485)&amp;"|"&amp;LEN(IF(Raw!E1485="","",Raw!E1485))&amp;":"&amp;IF(Raw!E1485="","",Raw!E1485)&amp;"|"&amp;LEN(IF(Raw!F1485="","",Raw!F1485))&amp;":"&amp;IF(Raw!F1485="","",Raw!F1485)&amp;"|"&amp;LEN(IF(Raw!G1485="","",Raw!G1485))&amp;":"&amp;IF(Raw!G1485="","",Raw!G1485)</f>
        <v>6:L01479|6:T00740|10:2026-02-13|3:P-O|6:Office|4:sale|6:143.70</v>
      </c>
      <c r="Q1485" s="1">
        <f>1</f>
        <v>1</v>
      </c>
      <c r="R1485" s="1" t="b">
        <f>FALSE</f>
        <v>0</v>
      </c>
      <c r="S1485" s="1">
        <f>1</f>
        <v>1</v>
      </c>
      <c r="T1485" s="1" t="str">
        <f>IF(AND(Raw!A1485="",Raw!B1485="",Raw!C1485="",Raw!D1485="",Raw!E1485="",Raw!F1485="",Raw!G1485=""),"UNUSED",IF(A1485="","missing line ID",IF(B1485="","missing transaction ID",IF(G1485="",IF(C1485="","missing date","invalid date"),IF(I1485="","unknown product",IF(J1485="","conflicting category",IF(NOT(OR(EXACT(K1485,"sale"),EXACT(K1485,"refund"))),"unknown event",IF(OR(N1485="",NOT(O1485)),"invalid amount",IF(OR(AND(K1485="sale",N1485&lt;=0),AND(K1485="refund",N1485&gt;=0)),"invalid sign","")))))))))</f>
        <v/>
      </c>
      <c r="U1485" s="1" t="str">
        <f t="shared" si="189"/>
        <v>INCLUDED</v>
      </c>
      <c r="V1485" s="1" t="str">
        <f t="shared" si="190"/>
        <v>2026-02</v>
      </c>
      <c r="W1485" s="1">
        <f>IF(AND(U1485="INCLUDED",X1485&gt;0,EXACT(A1485,'AI output'!A1485)),1,0)</f>
        <v>1</v>
      </c>
      <c r="X1485" s="1">
        <f>1485</f>
        <v>1485</v>
      </c>
      <c r="Y1485" s="1">
        <f>IF(AND(U1485="INCLUDED",W1485=1),--(NOT(EXACT(A1485,'AI output'!A1485)))+--(NOT(EXACT(B1485,'AI output'!B1485)))+--(NOT(EXACT(TEXT(G1485,"yyyy-mm-dd"),'AI output'!C1485)))+--(NOT(EXACT(H1485,'AI output'!D1485)))+--(NOT(EXACT(J1485,'AI output'!E1485)))+--(NOT(EXACT(K1485,'AI output'!F1485)))+--(N1485&lt;&gt;'AI output'!L1485)+--(NOT('AI output'!M1485)),0)</f>
        <v>0</v>
      </c>
      <c r="Z1485" s="1">
        <f t="shared" si="191"/>
        <v>0</v>
      </c>
      <c r="AA1485" s="1">
        <f>--EXACT(A1485,"L01479")</f>
        <v>1</v>
      </c>
    </row>
    <row r="1486" spans="1:27" ht="18.95" customHeight="1">
      <c r="A1486" s="1" t="str">
        <f>IF(Raw!A1486="","",Raw!A1486)</f>
        <v>L01480</v>
      </c>
      <c r="B1486" s="1" t="str">
        <f>IF(Raw!B1486="","",Raw!B1486)</f>
        <v>T00740</v>
      </c>
      <c r="C1486" s="1" t="str">
        <f>IF(Raw!C1486="","",Raw!C1486)</f>
        <v>2026-02-13</v>
      </c>
      <c r="D1486" s="1">
        <f t="shared" si="184"/>
        <v>2026</v>
      </c>
      <c r="E1486" s="1">
        <f>IFERROR(IF(AND(LEN(C1486)=10,MID(C1486,5,1)="-",MID(C1486,8,1)="-"),VALUE(MID(C1486,6,2)),IF(AND(LEN(C1486)=11,MID(C1486,3,1)="-",MID(C1486,7,1)="-"),MATCH(UPPER(MID(C1486,4,3)),Guide!$D$7:$D$18,0),0)),0)</f>
        <v>2</v>
      </c>
      <c r="F1486" s="1">
        <f t="shared" si="185"/>
        <v>13</v>
      </c>
      <c r="G1486" s="9">
        <f t="shared" si="186"/>
        <v>46066</v>
      </c>
      <c r="H1486" s="1" t="str">
        <f>IF(Raw!D1486="","",Raw!D1486)</f>
        <v>P-A</v>
      </c>
      <c r="I1486" s="1" t="str">
        <f>IFERROR(IF(EXACT(H1486,INDEX(Guide!$A$7:$A$9,MATCH(SUBSTITUTE(SUBSTITUTE(SUBSTITUTE(H1486,"~","~~"),"*","~*"),"?","~?"),Guide!$A$7:$A$9,0))),INDEX(Guide!$B$7:$B$9,MATCH(SUBSTITUTE(SUBSTITUTE(SUBSTITUTE(H1486,"~","~~"),"*","~*"),"?","~?"),Guide!$A$7:$A$9,0)),""),"")</f>
        <v>Accessories</v>
      </c>
      <c r="J1486" s="1" t="str">
        <f>IF(TRIM(Raw!E1486)="",I1486,IF(UPPER(TRIM(Raw!E1486))=UPPER(I1486),I1486,""))</f>
        <v>Accessories</v>
      </c>
      <c r="K1486" s="1" t="str">
        <f>IF(Raw!F1486="","",Raw!F1486)</f>
        <v>sale</v>
      </c>
      <c r="L1486" s="1" t="str">
        <f>IF(LEFT(TRIM(Raw!G1486),2)="-$","-"&amp;MID(TRIM(Raw!G1486),3,99),IF(LEFT(TRIM(Raw!G1486),1)="$",MID(TRIM(Raw!G1486),2,99),TRIM(Raw!G1486)))</f>
        <v>288.88</v>
      </c>
      <c r="M1486" s="1">
        <f t="shared" si="187"/>
        <v>288.88</v>
      </c>
      <c r="N1486" s="10">
        <f t="shared" si="188"/>
        <v>28888</v>
      </c>
      <c r="O1486" s="1" t="b">
        <f>IFERROR(IF(ISNUMBER(Raw!G1486),TRUE,OR(EXACT(L1486,TEXT(M1486,"0.00")),EXACT(L1486,TEXT(M1486,"#,##0.00")))),FALSE)</f>
        <v>1</v>
      </c>
      <c r="P1486" s="1" t="str">
        <f>LEN(IF(Raw!A1486="","",Raw!A1486))&amp;":"&amp;IF(Raw!A1486="","",Raw!A1486)&amp;"|"&amp;LEN(IF(Raw!B1486="","",Raw!B1486))&amp;":"&amp;IF(Raw!B1486="","",Raw!B1486)&amp;"|"&amp;LEN(IF(Raw!C1486="","",Raw!C1486))&amp;":"&amp;IF(Raw!C1486="","",Raw!C1486)&amp;"|"&amp;LEN(IF(Raw!D1486="","",Raw!D1486))&amp;":"&amp;IF(Raw!D1486="","",Raw!D1486)&amp;"|"&amp;LEN(IF(Raw!E1486="","",Raw!E1486))&amp;":"&amp;IF(Raw!E1486="","",Raw!E1486)&amp;"|"&amp;LEN(IF(Raw!F1486="","",Raw!F1486))&amp;":"&amp;IF(Raw!F1486="","",Raw!F1486)&amp;"|"&amp;LEN(IF(Raw!G1486="","",Raw!G1486))&amp;":"&amp;IF(Raw!G1486="","",Raw!G1486)</f>
        <v>6:L01480|6:T00740|10:2026-02-13|3:P-A|11:Accessories|4:sale|6:288.88</v>
      </c>
      <c r="Q1486" s="1">
        <f>1</f>
        <v>1</v>
      </c>
      <c r="R1486" s="1" t="b">
        <f>FALSE</f>
        <v>0</v>
      </c>
      <c r="S1486" s="1">
        <f>1</f>
        <v>1</v>
      </c>
      <c r="T1486" s="1" t="str">
        <f>IF(AND(Raw!A1486="",Raw!B1486="",Raw!C1486="",Raw!D1486="",Raw!E1486="",Raw!F1486="",Raw!G1486=""),"UNUSED",IF(A1486="","missing line ID",IF(B1486="","missing transaction ID",IF(G1486="",IF(C1486="","missing date","invalid date"),IF(I1486="","unknown product",IF(J1486="","conflicting category",IF(NOT(OR(EXACT(K1486,"sale"),EXACT(K1486,"refund"))),"unknown event",IF(OR(N1486="",NOT(O1486)),"invalid amount",IF(OR(AND(K1486="sale",N1486&lt;=0),AND(K1486="refund",N1486&gt;=0)),"invalid sign","")))))))))</f>
        <v/>
      </c>
      <c r="U1486" s="1" t="str">
        <f t="shared" si="189"/>
        <v>INCLUDED</v>
      </c>
      <c r="V1486" s="1" t="str">
        <f t="shared" si="190"/>
        <v>2026-02</v>
      </c>
      <c r="W1486" s="1">
        <f>IF(AND(U1486="INCLUDED",X1486&gt;0,EXACT(A1486,'AI output'!A1486)),1,0)</f>
        <v>1</v>
      </c>
      <c r="X1486" s="1">
        <f>1486</f>
        <v>1486</v>
      </c>
      <c r="Y1486" s="1">
        <f>IF(AND(U1486="INCLUDED",W1486=1),--(NOT(EXACT(A1486,'AI output'!A1486)))+--(NOT(EXACT(B1486,'AI output'!B1486)))+--(NOT(EXACT(TEXT(G1486,"yyyy-mm-dd"),'AI output'!C1486)))+--(NOT(EXACT(H1486,'AI output'!D1486)))+--(NOT(EXACT(J1486,'AI output'!E1486)))+--(NOT(EXACT(K1486,'AI output'!F1486)))+--(N1486&lt;&gt;'AI output'!L1486)+--(NOT('AI output'!M1486)),0)</f>
        <v>0</v>
      </c>
      <c r="Z1486" s="1">
        <f t="shared" si="191"/>
        <v>0</v>
      </c>
      <c r="AA1486" s="1">
        <f>--EXACT(A1486,"L01480")</f>
        <v>1</v>
      </c>
    </row>
    <row r="1487" spans="1:27" ht="18.95" customHeight="1">
      <c r="A1487" s="1" t="str">
        <f>IF(Raw!A1487="","",Raw!A1487)</f>
        <v>L01481</v>
      </c>
      <c r="B1487" s="1" t="str">
        <f>IF(Raw!B1487="","",Raw!B1487)</f>
        <v>T00741</v>
      </c>
      <c r="C1487" s="1" t="str">
        <f>IF(Raw!C1487="","",Raw!C1487)</f>
        <v>2026-02-20</v>
      </c>
      <c r="D1487" s="1">
        <f t="shared" si="184"/>
        <v>2026</v>
      </c>
      <c r="E1487" s="1">
        <f>IFERROR(IF(AND(LEN(C1487)=10,MID(C1487,5,1)="-",MID(C1487,8,1)="-"),VALUE(MID(C1487,6,2)),IF(AND(LEN(C1487)=11,MID(C1487,3,1)="-",MID(C1487,7,1)="-"),MATCH(UPPER(MID(C1487,4,3)),Guide!$D$7:$D$18,0),0)),0)</f>
        <v>2</v>
      </c>
      <c r="F1487" s="1">
        <f t="shared" si="185"/>
        <v>20</v>
      </c>
      <c r="G1487" s="9">
        <f t="shared" si="186"/>
        <v>46073</v>
      </c>
      <c r="H1487" s="1" t="str">
        <f>IF(Raw!D1487="","",Raw!D1487)</f>
        <v>P-H</v>
      </c>
      <c r="I1487" s="1" t="str">
        <f>IFERROR(IF(EXACT(H1487,INDEX(Guide!$A$7:$A$9,MATCH(SUBSTITUTE(SUBSTITUTE(SUBSTITUTE(H1487,"~","~~"),"*","~*"),"?","~?"),Guide!$A$7:$A$9,0))),INDEX(Guide!$B$7:$B$9,MATCH(SUBSTITUTE(SUBSTITUTE(SUBSTITUTE(H1487,"~","~~"),"*","~*"),"?","~?"),Guide!$A$7:$A$9,0)),""),"")</f>
        <v>Home</v>
      </c>
      <c r="J1487" s="1" t="str">
        <f>IF(TRIM(Raw!E1487)="",I1487,IF(UPPER(TRIM(Raw!E1487))=UPPER(I1487),I1487,""))</f>
        <v>Home</v>
      </c>
      <c r="K1487" s="1" t="str">
        <f>IF(Raw!F1487="","",Raw!F1487)</f>
        <v>sale</v>
      </c>
      <c r="L1487" s="1" t="str">
        <f>IF(LEFT(TRIM(Raw!G1487),2)="-$","-"&amp;MID(TRIM(Raw!G1487),3,99),IF(LEFT(TRIM(Raw!G1487),1)="$",MID(TRIM(Raw!G1487),2,99),TRIM(Raw!G1487)))</f>
        <v>72.59</v>
      </c>
      <c r="M1487" s="1">
        <f t="shared" si="187"/>
        <v>72.59</v>
      </c>
      <c r="N1487" s="10">
        <f t="shared" si="188"/>
        <v>7259</v>
      </c>
      <c r="O1487" s="1" t="b">
        <f>IFERROR(IF(ISNUMBER(Raw!G1487),TRUE,OR(EXACT(L1487,TEXT(M1487,"0.00")),EXACT(L1487,TEXT(M1487,"#,##0.00")))),FALSE)</f>
        <v>1</v>
      </c>
      <c r="P1487" s="1" t="str">
        <f>LEN(IF(Raw!A1487="","",Raw!A1487))&amp;":"&amp;IF(Raw!A1487="","",Raw!A1487)&amp;"|"&amp;LEN(IF(Raw!B1487="","",Raw!B1487))&amp;":"&amp;IF(Raw!B1487="","",Raw!B1487)&amp;"|"&amp;LEN(IF(Raw!C1487="","",Raw!C1487))&amp;":"&amp;IF(Raw!C1487="","",Raw!C1487)&amp;"|"&amp;LEN(IF(Raw!D1487="","",Raw!D1487))&amp;":"&amp;IF(Raw!D1487="","",Raw!D1487)&amp;"|"&amp;LEN(IF(Raw!E1487="","",Raw!E1487))&amp;":"&amp;IF(Raw!E1487="","",Raw!E1487)&amp;"|"&amp;LEN(IF(Raw!F1487="","",Raw!F1487))&amp;":"&amp;IF(Raw!F1487="","",Raw!F1487)&amp;"|"&amp;LEN(IF(Raw!G1487="","",Raw!G1487))&amp;":"&amp;IF(Raw!G1487="","",Raw!G1487)</f>
        <v>6:L01481|6:T00741|10:2026-02-20|3:P-H|4:Home|4:sale|5:72.59</v>
      </c>
      <c r="Q1487" s="1">
        <f>1</f>
        <v>1</v>
      </c>
      <c r="R1487" s="1" t="b">
        <f>FALSE</f>
        <v>0</v>
      </c>
      <c r="S1487" s="1">
        <f>1</f>
        <v>1</v>
      </c>
      <c r="T1487" s="1" t="str">
        <f>IF(AND(Raw!A1487="",Raw!B1487="",Raw!C1487="",Raw!D1487="",Raw!E1487="",Raw!F1487="",Raw!G1487=""),"UNUSED",IF(A1487="","missing line ID",IF(B1487="","missing transaction ID",IF(G1487="",IF(C1487="","missing date","invalid date"),IF(I1487="","unknown product",IF(J1487="","conflicting category",IF(NOT(OR(EXACT(K1487,"sale"),EXACT(K1487,"refund"))),"unknown event",IF(OR(N1487="",NOT(O1487)),"invalid amount",IF(OR(AND(K1487="sale",N1487&lt;=0),AND(K1487="refund",N1487&gt;=0)),"invalid sign","")))))))))</f>
        <v/>
      </c>
      <c r="U1487" s="1" t="str">
        <f t="shared" si="189"/>
        <v>INCLUDED</v>
      </c>
      <c r="V1487" s="1" t="str">
        <f t="shared" si="190"/>
        <v>2026-02</v>
      </c>
      <c r="W1487" s="1">
        <f>IF(AND(U1487="INCLUDED",X1487&gt;0,EXACT(A1487,'AI output'!A1487)),1,0)</f>
        <v>1</v>
      </c>
      <c r="X1487" s="1">
        <f>1487</f>
        <v>1487</v>
      </c>
      <c r="Y1487" s="1">
        <f>IF(AND(U1487="INCLUDED",W1487=1),--(NOT(EXACT(A1487,'AI output'!A1487)))+--(NOT(EXACT(B1487,'AI output'!B1487)))+--(NOT(EXACT(TEXT(G1487,"yyyy-mm-dd"),'AI output'!C1487)))+--(NOT(EXACT(H1487,'AI output'!D1487)))+--(NOT(EXACT(J1487,'AI output'!E1487)))+--(NOT(EXACT(K1487,'AI output'!F1487)))+--(N1487&lt;&gt;'AI output'!L1487)+--(NOT('AI output'!M1487)),0)</f>
        <v>0</v>
      </c>
      <c r="Z1487" s="1">
        <f t="shared" si="191"/>
        <v>0</v>
      </c>
      <c r="AA1487" s="1">
        <f>--EXACT(A1487,"L01481")</f>
        <v>1</v>
      </c>
    </row>
    <row r="1488" spans="1:27" ht="18.95" customHeight="1">
      <c r="A1488" s="1" t="str">
        <f>IF(Raw!A1488="","",Raw!A1488)</f>
        <v>L01482</v>
      </c>
      <c r="B1488" s="1" t="str">
        <f>IF(Raw!B1488="","",Raw!B1488)</f>
        <v>T00741</v>
      </c>
      <c r="C1488" s="1" t="str">
        <f>IF(Raw!C1488="","",Raw!C1488)</f>
        <v>2026-02-20</v>
      </c>
      <c r="D1488" s="1">
        <f t="shared" si="184"/>
        <v>2026</v>
      </c>
      <c r="E1488" s="1">
        <f>IFERROR(IF(AND(LEN(C1488)=10,MID(C1488,5,1)="-",MID(C1488,8,1)="-"),VALUE(MID(C1488,6,2)),IF(AND(LEN(C1488)=11,MID(C1488,3,1)="-",MID(C1488,7,1)="-"),MATCH(UPPER(MID(C1488,4,3)),Guide!$D$7:$D$18,0),0)),0)</f>
        <v>2</v>
      </c>
      <c r="F1488" s="1">
        <f t="shared" si="185"/>
        <v>20</v>
      </c>
      <c r="G1488" s="9">
        <f t="shared" si="186"/>
        <v>46073</v>
      </c>
      <c r="H1488" s="1" t="str">
        <f>IF(Raw!D1488="","",Raw!D1488)</f>
        <v>P-O</v>
      </c>
      <c r="I1488" s="1" t="str">
        <f>IFERROR(IF(EXACT(H1488,INDEX(Guide!$A$7:$A$9,MATCH(SUBSTITUTE(SUBSTITUTE(SUBSTITUTE(H1488,"~","~~"),"*","~*"),"?","~?"),Guide!$A$7:$A$9,0))),INDEX(Guide!$B$7:$B$9,MATCH(SUBSTITUTE(SUBSTITUTE(SUBSTITUTE(H1488,"~","~~"),"*","~*"),"?","~?"),Guide!$A$7:$A$9,0)),""),"")</f>
        <v>Office</v>
      </c>
      <c r="J1488" s="1" t="str">
        <f>IF(TRIM(Raw!E1488)="",I1488,IF(UPPER(TRIM(Raw!E1488))=UPPER(I1488),I1488,""))</f>
        <v>Office</v>
      </c>
      <c r="K1488" s="1" t="str">
        <f>IF(Raw!F1488="","",Raw!F1488)</f>
        <v>sale</v>
      </c>
      <c r="L1488" s="1" t="str">
        <f>IF(LEFT(TRIM(Raw!G1488),2)="-$","-"&amp;MID(TRIM(Raw!G1488),3,99),IF(LEFT(TRIM(Raw!G1488),1)="$",MID(TRIM(Raw!G1488),2,99),TRIM(Raw!G1488)))</f>
        <v>218.88</v>
      </c>
      <c r="M1488" s="1">
        <f t="shared" si="187"/>
        <v>218.88</v>
      </c>
      <c r="N1488" s="10">
        <f t="shared" si="188"/>
        <v>21888</v>
      </c>
      <c r="O1488" s="1" t="b">
        <f>IFERROR(IF(ISNUMBER(Raw!G1488),TRUE,OR(EXACT(L1488,TEXT(M1488,"0.00")),EXACT(L1488,TEXT(M1488,"#,##0.00")))),FALSE)</f>
        <v>1</v>
      </c>
      <c r="P1488" s="1" t="str">
        <f>LEN(IF(Raw!A1488="","",Raw!A1488))&amp;":"&amp;IF(Raw!A1488="","",Raw!A1488)&amp;"|"&amp;LEN(IF(Raw!B1488="","",Raw!B1488))&amp;":"&amp;IF(Raw!B1488="","",Raw!B1488)&amp;"|"&amp;LEN(IF(Raw!C1488="","",Raw!C1488))&amp;":"&amp;IF(Raw!C1488="","",Raw!C1488)&amp;"|"&amp;LEN(IF(Raw!D1488="","",Raw!D1488))&amp;":"&amp;IF(Raw!D1488="","",Raw!D1488)&amp;"|"&amp;LEN(IF(Raw!E1488="","",Raw!E1488))&amp;":"&amp;IF(Raw!E1488="","",Raw!E1488)&amp;"|"&amp;LEN(IF(Raw!F1488="","",Raw!F1488))&amp;":"&amp;IF(Raw!F1488="","",Raw!F1488)&amp;"|"&amp;LEN(IF(Raw!G1488="","",Raw!G1488))&amp;":"&amp;IF(Raw!G1488="","",Raw!G1488)</f>
        <v>6:L01482|6:T00741|10:2026-02-20|3:P-O|6:Office|4:sale|6:218.88</v>
      </c>
      <c r="Q1488" s="1">
        <f>1</f>
        <v>1</v>
      </c>
      <c r="R1488" s="1" t="b">
        <f>FALSE</f>
        <v>0</v>
      </c>
      <c r="S1488" s="1">
        <f>1</f>
        <v>1</v>
      </c>
      <c r="T1488" s="1" t="str">
        <f>IF(AND(Raw!A1488="",Raw!B1488="",Raw!C1488="",Raw!D1488="",Raw!E1488="",Raw!F1488="",Raw!G1488=""),"UNUSED",IF(A1488="","missing line ID",IF(B1488="","missing transaction ID",IF(G1488="",IF(C1488="","missing date","invalid date"),IF(I1488="","unknown product",IF(J1488="","conflicting category",IF(NOT(OR(EXACT(K1488,"sale"),EXACT(K1488,"refund"))),"unknown event",IF(OR(N1488="",NOT(O1488)),"invalid amount",IF(OR(AND(K1488="sale",N1488&lt;=0),AND(K1488="refund",N1488&gt;=0)),"invalid sign","")))))))))</f>
        <v/>
      </c>
      <c r="U1488" s="1" t="str">
        <f t="shared" si="189"/>
        <v>INCLUDED</v>
      </c>
      <c r="V1488" s="1" t="str">
        <f t="shared" si="190"/>
        <v>2026-02</v>
      </c>
      <c r="W1488" s="1">
        <f>IF(AND(U1488="INCLUDED",X1488&gt;0,EXACT(A1488,'AI output'!A1488)),1,0)</f>
        <v>1</v>
      </c>
      <c r="X1488" s="1">
        <f>1488</f>
        <v>1488</v>
      </c>
      <c r="Y1488" s="1">
        <f>IF(AND(U1488="INCLUDED",W1488=1),--(NOT(EXACT(A1488,'AI output'!A1488)))+--(NOT(EXACT(B1488,'AI output'!B1488)))+--(NOT(EXACT(TEXT(G1488,"yyyy-mm-dd"),'AI output'!C1488)))+--(NOT(EXACT(H1488,'AI output'!D1488)))+--(NOT(EXACT(J1488,'AI output'!E1488)))+--(NOT(EXACT(K1488,'AI output'!F1488)))+--(N1488&lt;&gt;'AI output'!L1488)+--(NOT('AI output'!M1488)),0)</f>
        <v>0</v>
      </c>
      <c r="Z1488" s="1">
        <f t="shared" si="191"/>
        <v>0</v>
      </c>
      <c r="AA1488" s="1">
        <f>--EXACT(A1488,"L01482")</f>
        <v>1</v>
      </c>
    </row>
    <row r="1489" spans="1:27" ht="18.95" customHeight="1">
      <c r="A1489" s="1" t="str">
        <f>IF(Raw!A1489="","",Raw!A1489)</f>
        <v>L01483</v>
      </c>
      <c r="B1489" s="1" t="str">
        <f>IF(Raw!B1489="","",Raw!B1489)</f>
        <v>T00742</v>
      </c>
      <c r="C1489" s="1" t="str">
        <f>IF(Raw!C1489="","",Raw!C1489)</f>
        <v>2026-02-27</v>
      </c>
      <c r="D1489" s="1">
        <f t="shared" si="184"/>
        <v>2026</v>
      </c>
      <c r="E1489" s="1">
        <f>IFERROR(IF(AND(LEN(C1489)=10,MID(C1489,5,1)="-",MID(C1489,8,1)="-"),VALUE(MID(C1489,6,2)),IF(AND(LEN(C1489)=11,MID(C1489,3,1)="-",MID(C1489,7,1)="-"),MATCH(UPPER(MID(C1489,4,3)),Guide!$D$7:$D$18,0),0)),0)</f>
        <v>2</v>
      </c>
      <c r="F1489" s="1">
        <f t="shared" si="185"/>
        <v>27</v>
      </c>
      <c r="G1489" s="9">
        <f t="shared" si="186"/>
        <v>46080</v>
      </c>
      <c r="H1489" s="1" t="str">
        <f>IF(Raw!D1489="","",Raw!D1489)</f>
        <v>P-A</v>
      </c>
      <c r="I1489" s="1" t="str">
        <f>IFERROR(IF(EXACT(H1489,INDEX(Guide!$A$7:$A$9,MATCH(SUBSTITUTE(SUBSTITUTE(SUBSTITUTE(H1489,"~","~~"),"*","~*"),"?","~?"),Guide!$A$7:$A$9,0))),INDEX(Guide!$B$7:$B$9,MATCH(SUBSTITUTE(SUBSTITUTE(SUBSTITUTE(H1489,"~","~~"),"*","~*"),"?","~?"),Guide!$A$7:$A$9,0)),""),"")</f>
        <v>Accessories</v>
      </c>
      <c r="J1489" s="1" t="str">
        <f>IF(TRIM(Raw!E1489)="",I1489,IF(UPPER(TRIM(Raw!E1489))=UPPER(I1489),I1489,""))</f>
        <v>Accessories</v>
      </c>
      <c r="K1489" s="1" t="str">
        <f>IF(Raw!F1489="","",Raw!F1489)</f>
        <v>sale</v>
      </c>
      <c r="L1489" s="1" t="str">
        <f>IF(LEFT(TRIM(Raw!G1489),2)="-$","-"&amp;MID(TRIM(Raw!G1489),3,99),IF(LEFT(TRIM(Raw!G1489),1)="$",MID(TRIM(Raw!G1489),2,99),TRIM(Raw!G1489)))</f>
        <v>366.65</v>
      </c>
      <c r="M1489" s="1">
        <f t="shared" si="187"/>
        <v>366.65</v>
      </c>
      <c r="N1489" s="10">
        <f t="shared" si="188"/>
        <v>36665</v>
      </c>
      <c r="O1489" s="1" t="b">
        <f>IFERROR(IF(ISNUMBER(Raw!G1489),TRUE,OR(EXACT(L1489,TEXT(M1489,"0.00")),EXACT(L1489,TEXT(M1489,"#,##0.00")))),FALSE)</f>
        <v>1</v>
      </c>
      <c r="P1489" s="1" t="str">
        <f>LEN(IF(Raw!A1489="","",Raw!A1489))&amp;":"&amp;IF(Raw!A1489="","",Raw!A1489)&amp;"|"&amp;LEN(IF(Raw!B1489="","",Raw!B1489))&amp;":"&amp;IF(Raw!B1489="","",Raw!B1489)&amp;"|"&amp;LEN(IF(Raw!C1489="","",Raw!C1489))&amp;":"&amp;IF(Raw!C1489="","",Raw!C1489)&amp;"|"&amp;LEN(IF(Raw!D1489="","",Raw!D1489))&amp;":"&amp;IF(Raw!D1489="","",Raw!D1489)&amp;"|"&amp;LEN(IF(Raw!E1489="","",Raw!E1489))&amp;":"&amp;IF(Raw!E1489="","",Raw!E1489)&amp;"|"&amp;LEN(IF(Raw!F1489="","",Raw!F1489))&amp;":"&amp;IF(Raw!F1489="","",Raw!F1489)&amp;"|"&amp;LEN(IF(Raw!G1489="","",Raw!G1489))&amp;":"&amp;IF(Raw!G1489="","",Raw!G1489)</f>
        <v>6:L01483|6:T00742|10:2026-02-27|3:P-A|11:Accessories|4:sale|6:366.65</v>
      </c>
      <c r="Q1489" s="1">
        <f>1</f>
        <v>1</v>
      </c>
      <c r="R1489" s="1" t="b">
        <f>FALSE</f>
        <v>0</v>
      </c>
      <c r="S1489" s="1">
        <f>1</f>
        <v>1</v>
      </c>
      <c r="T1489" s="1" t="str">
        <f>IF(AND(Raw!A1489="",Raw!B1489="",Raw!C1489="",Raw!D1489="",Raw!E1489="",Raw!F1489="",Raw!G1489=""),"UNUSED",IF(A1489="","missing line ID",IF(B1489="","missing transaction ID",IF(G1489="",IF(C1489="","missing date","invalid date"),IF(I1489="","unknown product",IF(J1489="","conflicting category",IF(NOT(OR(EXACT(K1489,"sale"),EXACT(K1489,"refund"))),"unknown event",IF(OR(N1489="",NOT(O1489)),"invalid amount",IF(OR(AND(K1489="sale",N1489&lt;=0),AND(K1489="refund",N1489&gt;=0)),"invalid sign","")))))))))</f>
        <v/>
      </c>
      <c r="U1489" s="1" t="str">
        <f t="shared" si="189"/>
        <v>INCLUDED</v>
      </c>
      <c r="V1489" s="1" t="str">
        <f t="shared" si="190"/>
        <v>2026-02</v>
      </c>
      <c r="W1489" s="1">
        <f>IF(AND(U1489="INCLUDED",X1489&gt;0,EXACT(A1489,'AI output'!A1489)),1,0)</f>
        <v>1</v>
      </c>
      <c r="X1489" s="1">
        <f>1489</f>
        <v>1489</v>
      </c>
      <c r="Y1489" s="1">
        <f>IF(AND(U1489="INCLUDED",W1489=1),--(NOT(EXACT(A1489,'AI output'!A1489)))+--(NOT(EXACT(B1489,'AI output'!B1489)))+--(NOT(EXACT(TEXT(G1489,"yyyy-mm-dd"),'AI output'!C1489)))+--(NOT(EXACT(H1489,'AI output'!D1489)))+--(NOT(EXACT(J1489,'AI output'!E1489)))+--(NOT(EXACT(K1489,'AI output'!F1489)))+--(N1489&lt;&gt;'AI output'!L1489)+--(NOT('AI output'!M1489)),0)</f>
        <v>0</v>
      </c>
      <c r="Z1489" s="1">
        <f t="shared" si="191"/>
        <v>0</v>
      </c>
      <c r="AA1489" s="1">
        <f>--EXACT(A1489,"L01483")</f>
        <v>1</v>
      </c>
    </row>
    <row r="1490" spans="1:27" ht="18.95" customHeight="1">
      <c r="A1490" s="1" t="str">
        <f>IF(Raw!A1490="","",Raw!A1490)</f>
        <v>L01484</v>
      </c>
      <c r="B1490" s="1" t="str">
        <f>IF(Raw!B1490="","",Raw!B1490)</f>
        <v>T00742</v>
      </c>
      <c r="C1490" s="1" t="str">
        <f>IF(Raw!C1490="","",Raw!C1490)</f>
        <v>2026-02-27</v>
      </c>
      <c r="D1490" s="1">
        <f t="shared" si="184"/>
        <v>2026</v>
      </c>
      <c r="E1490" s="1">
        <f>IFERROR(IF(AND(LEN(C1490)=10,MID(C1490,5,1)="-",MID(C1490,8,1)="-"),VALUE(MID(C1490,6,2)),IF(AND(LEN(C1490)=11,MID(C1490,3,1)="-",MID(C1490,7,1)="-"),MATCH(UPPER(MID(C1490,4,3)),Guide!$D$7:$D$18,0),0)),0)</f>
        <v>2</v>
      </c>
      <c r="F1490" s="1">
        <f t="shared" si="185"/>
        <v>27</v>
      </c>
      <c r="G1490" s="9">
        <f t="shared" si="186"/>
        <v>46080</v>
      </c>
      <c r="H1490" s="1" t="str">
        <f>IF(Raw!D1490="","",Raw!D1490)</f>
        <v>P-H</v>
      </c>
      <c r="I1490" s="1" t="str">
        <f>IFERROR(IF(EXACT(H1490,INDEX(Guide!$A$7:$A$9,MATCH(SUBSTITUTE(SUBSTITUTE(SUBSTITUTE(H1490,"~","~~"),"*","~*"),"?","~?"),Guide!$A$7:$A$9,0))),INDEX(Guide!$B$7:$B$9,MATCH(SUBSTITUTE(SUBSTITUTE(SUBSTITUTE(H1490,"~","~~"),"*","~*"),"?","~?"),Guide!$A$7:$A$9,0)),""),"")</f>
        <v>Home</v>
      </c>
      <c r="J1490" s="1" t="str">
        <f>IF(TRIM(Raw!E1490)="",I1490,IF(UPPER(TRIM(Raw!E1490))=UPPER(I1490),I1490,""))</f>
        <v>Home</v>
      </c>
      <c r="K1490" s="1" t="str">
        <f>IF(Raw!F1490="","",Raw!F1490)</f>
        <v>sale</v>
      </c>
      <c r="L1490" s="1" t="str">
        <f>IF(LEFT(TRIM(Raw!G1490),2)="-$","-"&amp;MID(TRIM(Raw!G1490),3,99),IF(LEFT(TRIM(Raw!G1490),1)="$",MID(TRIM(Raw!G1490),2,99),TRIM(Raw!G1490)))</f>
        <v>147.40</v>
      </c>
      <c r="M1490" s="1">
        <f t="shared" si="187"/>
        <v>147.4</v>
      </c>
      <c r="N1490" s="10">
        <f t="shared" si="188"/>
        <v>14740</v>
      </c>
      <c r="O1490" s="1" t="b">
        <f>IFERROR(IF(ISNUMBER(Raw!G1490),TRUE,OR(EXACT(L1490,TEXT(M1490,"0.00")),EXACT(L1490,TEXT(M1490,"#,##0.00")))),FALSE)</f>
        <v>1</v>
      </c>
      <c r="P1490" s="1" t="str">
        <f>LEN(IF(Raw!A1490="","",Raw!A1490))&amp;":"&amp;IF(Raw!A1490="","",Raw!A1490)&amp;"|"&amp;LEN(IF(Raw!B1490="","",Raw!B1490))&amp;":"&amp;IF(Raw!B1490="","",Raw!B1490)&amp;"|"&amp;LEN(IF(Raw!C1490="","",Raw!C1490))&amp;":"&amp;IF(Raw!C1490="","",Raw!C1490)&amp;"|"&amp;LEN(IF(Raw!D1490="","",Raw!D1490))&amp;":"&amp;IF(Raw!D1490="","",Raw!D1490)&amp;"|"&amp;LEN(IF(Raw!E1490="","",Raw!E1490))&amp;":"&amp;IF(Raw!E1490="","",Raw!E1490)&amp;"|"&amp;LEN(IF(Raw!F1490="","",Raw!F1490))&amp;":"&amp;IF(Raw!F1490="","",Raw!F1490)&amp;"|"&amp;LEN(IF(Raw!G1490="","",Raw!G1490))&amp;":"&amp;IF(Raw!G1490="","",Raw!G1490)</f>
        <v>6:L01484|6:T00742|10:2026-02-27|3:P-H|4:Home|4:sale|6:147.40</v>
      </c>
      <c r="Q1490" s="1">
        <f>1</f>
        <v>1</v>
      </c>
      <c r="R1490" s="1" t="b">
        <f>FALSE</f>
        <v>0</v>
      </c>
      <c r="S1490" s="1">
        <f>1</f>
        <v>1</v>
      </c>
      <c r="T1490" s="1" t="str">
        <f>IF(AND(Raw!A1490="",Raw!B1490="",Raw!C1490="",Raw!D1490="",Raw!E1490="",Raw!F1490="",Raw!G1490=""),"UNUSED",IF(A1490="","missing line ID",IF(B1490="","missing transaction ID",IF(G1490="",IF(C1490="","missing date","invalid date"),IF(I1490="","unknown product",IF(J1490="","conflicting category",IF(NOT(OR(EXACT(K1490,"sale"),EXACT(K1490,"refund"))),"unknown event",IF(OR(N1490="",NOT(O1490)),"invalid amount",IF(OR(AND(K1490="sale",N1490&lt;=0),AND(K1490="refund",N1490&gt;=0)),"invalid sign","")))))))))</f>
        <v/>
      </c>
      <c r="U1490" s="1" t="str">
        <f t="shared" si="189"/>
        <v>INCLUDED</v>
      </c>
      <c r="V1490" s="1" t="str">
        <f t="shared" si="190"/>
        <v>2026-02</v>
      </c>
      <c r="W1490" s="1">
        <f>IF(AND(U1490="INCLUDED",X1490&gt;0,EXACT(A1490,'AI output'!A1490)),1,0)</f>
        <v>1</v>
      </c>
      <c r="X1490" s="1">
        <f>1490</f>
        <v>1490</v>
      </c>
      <c r="Y1490" s="1">
        <f>IF(AND(U1490="INCLUDED",W1490=1),--(NOT(EXACT(A1490,'AI output'!A1490)))+--(NOT(EXACT(B1490,'AI output'!B1490)))+--(NOT(EXACT(TEXT(G1490,"yyyy-mm-dd"),'AI output'!C1490)))+--(NOT(EXACT(H1490,'AI output'!D1490)))+--(NOT(EXACT(J1490,'AI output'!E1490)))+--(NOT(EXACT(K1490,'AI output'!F1490)))+--(N1490&lt;&gt;'AI output'!L1490)+--(NOT('AI output'!M1490)),0)</f>
        <v>0</v>
      </c>
      <c r="Z1490" s="1">
        <f t="shared" si="191"/>
        <v>0</v>
      </c>
      <c r="AA1490" s="1">
        <f>--EXACT(A1490,"L01484")</f>
        <v>1</v>
      </c>
    </row>
    <row r="1491" spans="1:27" ht="18.95" customHeight="1">
      <c r="A1491" s="1" t="str">
        <f>IF(Raw!A1491="","",Raw!A1491)</f>
        <v>L01485</v>
      </c>
      <c r="B1491" s="1" t="str">
        <f>IF(Raw!B1491="","",Raw!B1491)</f>
        <v>T00743</v>
      </c>
      <c r="C1491" s="1" t="str">
        <f>IF(Raw!C1491="","",Raw!C1491)</f>
        <v>2026-03-06</v>
      </c>
      <c r="D1491" s="1">
        <f t="shared" si="184"/>
        <v>2026</v>
      </c>
      <c r="E1491" s="1">
        <f>IFERROR(IF(AND(LEN(C1491)=10,MID(C1491,5,1)="-",MID(C1491,8,1)="-"),VALUE(MID(C1491,6,2)),IF(AND(LEN(C1491)=11,MID(C1491,3,1)="-",MID(C1491,7,1)="-"),MATCH(UPPER(MID(C1491,4,3)),Guide!$D$7:$D$18,0),0)),0)</f>
        <v>3</v>
      </c>
      <c r="F1491" s="1">
        <f t="shared" si="185"/>
        <v>6</v>
      </c>
      <c r="G1491" s="9">
        <f t="shared" si="186"/>
        <v>46087</v>
      </c>
      <c r="H1491" s="1" t="str">
        <f>IF(Raw!D1491="","",Raw!D1491)</f>
        <v>P-O</v>
      </c>
      <c r="I1491" s="1" t="str">
        <f>IFERROR(IF(EXACT(H1491,INDEX(Guide!$A$7:$A$9,MATCH(SUBSTITUTE(SUBSTITUTE(SUBSTITUTE(H1491,"~","~~"),"*","~*"),"?","~?"),Guide!$A$7:$A$9,0))),INDEX(Guide!$B$7:$B$9,MATCH(SUBSTITUTE(SUBSTITUTE(SUBSTITUTE(H1491,"~","~~"),"*","~*"),"?","~?"),Guide!$A$7:$A$9,0)),""),"")</f>
        <v>Office</v>
      </c>
      <c r="J1491" s="1" t="str">
        <f>IF(TRIM(Raw!E1491)="",I1491,IF(UPPER(TRIM(Raw!E1491))=UPPER(I1491),I1491,""))</f>
        <v>Office</v>
      </c>
      <c r="K1491" s="1" t="str">
        <f>IF(Raw!F1491="","",Raw!F1491)</f>
        <v>sale</v>
      </c>
      <c r="L1491" s="1" t="str">
        <f>IF(LEFT(TRIM(Raw!G1491),2)="-$","-"&amp;MID(TRIM(Raw!G1491),3,99),IF(LEFT(TRIM(Raw!G1491),1)="$",MID(TRIM(Raw!G1491),2,99),TRIM(Raw!G1491)))</f>
        <v>296.28</v>
      </c>
      <c r="M1491" s="1">
        <f t="shared" si="187"/>
        <v>296.27999999999997</v>
      </c>
      <c r="N1491" s="10">
        <f t="shared" si="188"/>
        <v>29628</v>
      </c>
      <c r="O1491" s="1" t="b">
        <f>IFERROR(IF(ISNUMBER(Raw!G1491),TRUE,OR(EXACT(L1491,TEXT(M1491,"0.00")),EXACT(L1491,TEXT(M1491,"#,##0.00")))),FALSE)</f>
        <v>1</v>
      </c>
      <c r="P1491" s="1" t="str">
        <f>LEN(IF(Raw!A1491="","",Raw!A1491))&amp;":"&amp;IF(Raw!A1491="","",Raw!A1491)&amp;"|"&amp;LEN(IF(Raw!B1491="","",Raw!B1491))&amp;":"&amp;IF(Raw!B1491="","",Raw!B1491)&amp;"|"&amp;LEN(IF(Raw!C1491="","",Raw!C1491))&amp;":"&amp;IF(Raw!C1491="","",Raw!C1491)&amp;"|"&amp;LEN(IF(Raw!D1491="","",Raw!D1491))&amp;":"&amp;IF(Raw!D1491="","",Raw!D1491)&amp;"|"&amp;LEN(IF(Raw!E1491="","",Raw!E1491))&amp;":"&amp;IF(Raw!E1491="","",Raw!E1491)&amp;"|"&amp;LEN(IF(Raw!F1491="","",Raw!F1491))&amp;":"&amp;IF(Raw!F1491="","",Raw!F1491)&amp;"|"&amp;LEN(IF(Raw!G1491="","",Raw!G1491))&amp;":"&amp;IF(Raw!G1491="","",Raw!G1491)</f>
        <v>6:L01485|6:T00743|10:2026-03-06|3:P-O|6:Office|4:sale|6:296.28</v>
      </c>
      <c r="Q1491" s="1">
        <f>1</f>
        <v>1</v>
      </c>
      <c r="R1491" s="1" t="b">
        <f>FALSE</f>
        <v>0</v>
      </c>
      <c r="S1491" s="1">
        <f>1</f>
        <v>1</v>
      </c>
      <c r="T1491" s="1" t="str">
        <f>IF(AND(Raw!A1491="",Raw!B1491="",Raw!C1491="",Raw!D1491="",Raw!E1491="",Raw!F1491="",Raw!G1491=""),"UNUSED",IF(A1491="","missing line ID",IF(B1491="","missing transaction ID",IF(G1491="",IF(C1491="","missing date","invalid date"),IF(I1491="","unknown product",IF(J1491="","conflicting category",IF(NOT(OR(EXACT(K1491,"sale"),EXACT(K1491,"refund"))),"unknown event",IF(OR(N1491="",NOT(O1491)),"invalid amount",IF(OR(AND(K1491="sale",N1491&lt;=0),AND(K1491="refund",N1491&gt;=0)),"invalid sign","")))))))))</f>
        <v/>
      </c>
      <c r="U1491" s="1" t="str">
        <f t="shared" si="189"/>
        <v>INCLUDED</v>
      </c>
      <c r="V1491" s="1" t="str">
        <f t="shared" si="190"/>
        <v>2026-03</v>
      </c>
      <c r="W1491" s="1">
        <f>IF(AND(U1491="INCLUDED",X1491&gt;0,EXACT(A1491,'AI output'!A1491)),1,0)</f>
        <v>1</v>
      </c>
      <c r="X1491" s="1">
        <f>1491</f>
        <v>1491</v>
      </c>
      <c r="Y1491" s="1">
        <f>IF(AND(U1491="INCLUDED",W1491=1),--(NOT(EXACT(A1491,'AI output'!A1491)))+--(NOT(EXACT(B1491,'AI output'!B1491)))+--(NOT(EXACT(TEXT(G1491,"yyyy-mm-dd"),'AI output'!C1491)))+--(NOT(EXACT(H1491,'AI output'!D1491)))+--(NOT(EXACT(J1491,'AI output'!E1491)))+--(NOT(EXACT(K1491,'AI output'!F1491)))+--(N1491&lt;&gt;'AI output'!L1491)+--(NOT('AI output'!M1491)),0)</f>
        <v>0</v>
      </c>
      <c r="Z1491" s="1">
        <f t="shared" si="191"/>
        <v>0</v>
      </c>
      <c r="AA1491" s="1">
        <f>--EXACT(A1491,"L01485")</f>
        <v>1</v>
      </c>
    </row>
    <row r="1492" spans="1:27" ht="18.95" customHeight="1">
      <c r="A1492" s="1" t="str">
        <f>IF(Raw!A1492="","",Raw!A1492)</f>
        <v>L01486</v>
      </c>
      <c r="B1492" s="1" t="str">
        <f>IF(Raw!B1492="","",Raw!B1492)</f>
        <v>T00743</v>
      </c>
      <c r="C1492" s="1" t="str">
        <f>IF(Raw!C1492="","",Raw!C1492)</f>
        <v>2026-03-06</v>
      </c>
      <c r="D1492" s="1">
        <f t="shared" si="184"/>
        <v>2026</v>
      </c>
      <c r="E1492" s="1">
        <f>IFERROR(IF(AND(LEN(C1492)=10,MID(C1492,5,1)="-",MID(C1492,8,1)="-"),VALUE(MID(C1492,6,2)),IF(AND(LEN(C1492)=11,MID(C1492,3,1)="-",MID(C1492,7,1)="-"),MATCH(UPPER(MID(C1492,4,3)),Guide!$D$7:$D$18,0),0)),0)</f>
        <v>3</v>
      </c>
      <c r="F1492" s="1">
        <f t="shared" si="185"/>
        <v>6</v>
      </c>
      <c r="G1492" s="9">
        <f t="shared" si="186"/>
        <v>46087</v>
      </c>
      <c r="H1492" s="1" t="str">
        <f>IF(Raw!D1492="","",Raw!D1492)</f>
        <v>P-A</v>
      </c>
      <c r="I1492" s="1" t="str">
        <f>IFERROR(IF(EXACT(H1492,INDEX(Guide!$A$7:$A$9,MATCH(SUBSTITUTE(SUBSTITUTE(SUBSTITUTE(H1492,"~","~~"),"*","~*"),"?","~?"),Guide!$A$7:$A$9,0))),INDEX(Guide!$B$7:$B$9,MATCH(SUBSTITUTE(SUBSTITUTE(SUBSTITUTE(H1492,"~","~~"),"*","~*"),"?","~?"),Guide!$A$7:$A$9,0)),""),"")</f>
        <v>Accessories</v>
      </c>
      <c r="J1492" s="1" t="str">
        <f>IF(TRIM(Raw!E1492)="",I1492,IF(UPPER(TRIM(Raw!E1492))=UPPER(I1492),I1492,""))</f>
        <v>Accessories</v>
      </c>
      <c r="K1492" s="1" t="str">
        <f>IF(Raw!F1492="","",Raw!F1492)</f>
        <v>sale</v>
      </c>
      <c r="L1492" s="1" t="str">
        <f>IF(LEFT(TRIM(Raw!G1492),2)="-$","-"&amp;MID(TRIM(Raw!G1492),3,99),IF(LEFT(TRIM(Raw!G1492),1)="$",MID(TRIM(Raw!G1492),2,99),TRIM(Raw!G1492)))</f>
        <v>74.44</v>
      </c>
      <c r="M1492" s="1">
        <f t="shared" si="187"/>
        <v>74.44</v>
      </c>
      <c r="N1492" s="10">
        <f t="shared" si="188"/>
        <v>7444</v>
      </c>
      <c r="O1492" s="1" t="b">
        <f>IFERROR(IF(ISNUMBER(Raw!G1492),TRUE,OR(EXACT(L1492,TEXT(M1492,"0.00")),EXACT(L1492,TEXT(M1492,"#,##0.00")))),FALSE)</f>
        <v>1</v>
      </c>
      <c r="P1492" s="1" t="str">
        <f>LEN(IF(Raw!A1492="","",Raw!A1492))&amp;":"&amp;IF(Raw!A1492="","",Raw!A1492)&amp;"|"&amp;LEN(IF(Raw!B1492="","",Raw!B1492))&amp;":"&amp;IF(Raw!B1492="","",Raw!B1492)&amp;"|"&amp;LEN(IF(Raw!C1492="","",Raw!C1492))&amp;":"&amp;IF(Raw!C1492="","",Raw!C1492)&amp;"|"&amp;LEN(IF(Raw!D1492="","",Raw!D1492))&amp;":"&amp;IF(Raw!D1492="","",Raw!D1492)&amp;"|"&amp;LEN(IF(Raw!E1492="","",Raw!E1492))&amp;":"&amp;IF(Raw!E1492="","",Raw!E1492)&amp;"|"&amp;LEN(IF(Raw!F1492="","",Raw!F1492))&amp;":"&amp;IF(Raw!F1492="","",Raw!F1492)&amp;"|"&amp;LEN(IF(Raw!G1492="","",Raw!G1492))&amp;":"&amp;IF(Raw!G1492="","",Raw!G1492)</f>
        <v>6:L01486|6:T00743|10:2026-03-06|3:P-A|11:Accessories|4:sale|5:74.44</v>
      </c>
      <c r="Q1492" s="1">
        <f>1</f>
        <v>1</v>
      </c>
      <c r="R1492" s="1" t="b">
        <f>FALSE</f>
        <v>0</v>
      </c>
      <c r="S1492" s="1">
        <f>1</f>
        <v>1</v>
      </c>
      <c r="T1492" s="1" t="str">
        <f>IF(AND(Raw!A1492="",Raw!B1492="",Raw!C1492="",Raw!D1492="",Raw!E1492="",Raw!F1492="",Raw!G1492=""),"UNUSED",IF(A1492="","missing line ID",IF(B1492="","missing transaction ID",IF(G1492="",IF(C1492="","missing date","invalid date"),IF(I1492="","unknown product",IF(J1492="","conflicting category",IF(NOT(OR(EXACT(K1492,"sale"),EXACT(K1492,"refund"))),"unknown event",IF(OR(N1492="",NOT(O1492)),"invalid amount",IF(OR(AND(K1492="sale",N1492&lt;=0),AND(K1492="refund",N1492&gt;=0)),"invalid sign","")))))))))</f>
        <v/>
      </c>
      <c r="U1492" s="1" t="str">
        <f t="shared" si="189"/>
        <v>INCLUDED</v>
      </c>
      <c r="V1492" s="1" t="str">
        <f t="shared" si="190"/>
        <v>2026-03</v>
      </c>
      <c r="W1492" s="1">
        <f>IF(AND(U1492="INCLUDED",X1492&gt;0,EXACT(A1492,'AI output'!A1492)),1,0)</f>
        <v>1</v>
      </c>
      <c r="X1492" s="1">
        <f>1492</f>
        <v>1492</v>
      </c>
      <c r="Y1492" s="1">
        <f>IF(AND(U1492="INCLUDED",W1492=1),--(NOT(EXACT(A1492,'AI output'!A1492)))+--(NOT(EXACT(B1492,'AI output'!B1492)))+--(NOT(EXACT(TEXT(G1492,"yyyy-mm-dd"),'AI output'!C1492)))+--(NOT(EXACT(H1492,'AI output'!D1492)))+--(NOT(EXACT(J1492,'AI output'!E1492)))+--(NOT(EXACT(K1492,'AI output'!F1492)))+--(N1492&lt;&gt;'AI output'!L1492)+--(NOT('AI output'!M1492)),0)</f>
        <v>0</v>
      </c>
      <c r="Z1492" s="1">
        <f t="shared" si="191"/>
        <v>0</v>
      </c>
      <c r="AA1492" s="1">
        <f>--EXACT(A1492,"L01486")</f>
        <v>1</v>
      </c>
    </row>
    <row r="1493" spans="1:27" ht="18.95" customHeight="1">
      <c r="A1493" s="1" t="str">
        <f>IF(Raw!A1493="","",Raw!A1493)</f>
        <v>L01487</v>
      </c>
      <c r="B1493" s="1" t="str">
        <f>IF(Raw!B1493="","",Raw!B1493)</f>
        <v>T00744</v>
      </c>
      <c r="C1493" s="1" t="str">
        <f>IF(Raw!C1493="","",Raw!C1493)</f>
        <v>2026-03-13</v>
      </c>
      <c r="D1493" s="1">
        <f t="shared" si="184"/>
        <v>2026</v>
      </c>
      <c r="E1493" s="1">
        <f>IFERROR(IF(AND(LEN(C1493)=10,MID(C1493,5,1)="-",MID(C1493,8,1)="-"),VALUE(MID(C1493,6,2)),IF(AND(LEN(C1493)=11,MID(C1493,3,1)="-",MID(C1493,7,1)="-"),MATCH(UPPER(MID(C1493,4,3)),Guide!$D$7:$D$18,0),0)),0)</f>
        <v>3</v>
      </c>
      <c r="F1493" s="1">
        <f t="shared" si="185"/>
        <v>13</v>
      </c>
      <c r="G1493" s="9">
        <f t="shared" si="186"/>
        <v>46094</v>
      </c>
      <c r="H1493" s="1" t="str">
        <f>IF(Raw!D1493="","",Raw!D1493)</f>
        <v>P-H</v>
      </c>
      <c r="I1493" s="1" t="str">
        <f>IFERROR(IF(EXACT(H1493,INDEX(Guide!$A$7:$A$9,MATCH(SUBSTITUTE(SUBSTITUTE(SUBSTITUTE(H1493,"~","~~"),"*","~*"),"?","~?"),Guide!$A$7:$A$9,0))),INDEX(Guide!$B$7:$B$9,MATCH(SUBSTITUTE(SUBSTITUTE(SUBSTITUTE(H1493,"~","~~"),"*","~*"),"?","~?"),Guide!$A$7:$A$9,0)),""),"")</f>
        <v>Home</v>
      </c>
      <c r="J1493" s="1" t="str">
        <f>IF(TRIM(Raw!E1493)="",I1493,IF(UPPER(TRIM(Raw!E1493))=UPPER(I1493),I1493,""))</f>
        <v>Home</v>
      </c>
      <c r="K1493" s="1" t="str">
        <f>IF(Raw!F1493="","",Raw!F1493)</f>
        <v>sale</v>
      </c>
      <c r="L1493" s="1" t="str">
        <f>IF(LEFT(TRIM(Raw!G1493),2)="-$","-"&amp;MID(TRIM(Raw!G1493),3,99),IF(LEFT(TRIM(Raw!G1493),1)="$",MID(TRIM(Raw!G1493),2,99),TRIM(Raw!G1493)))</f>
        <v>224.43</v>
      </c>
      <c r="M1493" s="1">
        <f t="shared" si="187"/>
        <v>224.43</v>
      </c>
      <c r="N1493" s="10">
        <f t="shared" si="188"/>
        <v>22443</v>
      </c>
      <c r="O1493" s="1" t="b">
        <f>IFERROR(IF(ISNUMBER(Raw!G1493),TRUE,OR(EXACT(L1493,TEXT(M1493,"0.00")),EXACT(L1493,TEXT(M1493,"#,##0.00")))),FALSE)</f>
        <v>1</v>
      </c>
      <c r="P1493" s="1" t="str">
        <f>LEN(IF(Raw!A1493="","",Raw!A1493))&amp;":"&amp;IF(Raw!A1493="","",Raw!A1493)&amp;"|"&amp;LEN(IF(Raw!B1493="","",Raw!B1493))&amp;":"&amp;IF(Raw!B1493="","",Raw!B1493)&amp;"|"&amp;LEN(IF(Raw!C1493="","",Raw!C1493))&amp;":"&amp;IF(Raw!C1493="","",Raw!C1493)&amp;"|"&amp;LEN(IF(Raw!D1493="","",Raw!D1493))&amp;":"&amp;IF(Raw!D1493="","",Raw!D1493)&amp;"|"&amp;LEN(IF(Raw!E1493="","",Raw!E1493))&amp;":"&amp;IF(Raw!E1493="","",Raw!E1493)&amp;"|"&amp;LEN(IF(Raw!F1493="","",Raw!F1493))&amp;":"&amp;IF(Raw!F1493="","",Raw!F1493)&amp;"|"&amp;LEN(IF(Raw!G1493="","",Raw!G1493))&amp;":"&amp;IF(Raw!G1493="","",Raw!G1493)</f>
        <v>6:L01487|6:T00744|10:2026-03-13|3:P-H|4:Home|4:sale|6:224.43</v>
      </c>
      <c r="Q1493" s="1">
        <f>1</f>
        <v>1</v>
      </c>
      <c r="R1493" s="1" t="b">
        <f>FALSE</f>
        <v>0</v>
      </c>
      <c r="S1493" s="1">
        <f>1</f>
        <v>1</v>
      </c>
      <c r="T1493" s="1" t="str">
        <f>IF(AND(Raw!A1493="",Raw!B1493="",Raw!C1493="",Raw!D1493="",Raw!E1493="",Raw!F1493="",Raw!G1493=""),"UNUSED",IF(A1493="","missing line ID",IF(B1493="","missing transaction ID",IF(G1493="",IF(C1493="","missing date","invalid date"),IF(I1493="","unknown product",IF(J1493="","conflicting category",IF(NOT(OR(EXACT(K1493,"sale"),EXACT(K1493,"refund"))),"unknown event",IF(OR(N1493="",NOT(O1493)),"invalid amount",IF(OR(AND(K1493="sale",N1493&lt;=0),AND(K1493="refund",N1493&gt;=0)),"invalid sign","")))))))))</f>
        <v/>
      </c>
      <c r="U1493" s="1" t="str">
        <f t="shared" si="189"/>
        <v>INCLUDED</v>
      </c>
      <c r="V1493" s="1" t="str">
        <f t="shared" si="190"/>
        <v>2026-03</v>
      </c>
      <c r="W1493" s="1">
        <f>IF(AND(U1493="INCLUDED",X1493&gt;0,EXACT(A1493,'AI output'!A1493)),1,0)</f>
        <v>1</v>
      </c>
      <c r="X1493" s="1">
        <f>1493</f>
        <v>1493</v>
      </c>
      <c r="Y1493" s="1">
        <f>IF(AND(U1493="INCLUDED",W1493=1),--(NOT(EXACT(A1493,'AI output'!A1493)))+--(NOT(EXACT(B1493,'AI output'!B1493)))+--(NOT(EXACT(TEXT(G1493,"yyyy-mm-dd"),'AI output'!C1493)))+--(NOT(EXACT(H1493,'AI output'!D1493)))+--(NOT(EXACT(J1493,'AI output'!E1493)))+--(NOT(EXACT(K1493,'AI output'!F1493)))+--(N1493&lt;&gt;'AI output'!L1493)+--(NOT('AI output'!M1493)),0)</f>
        <v>0</v>
      </c>
      <c r="Z1493" s="1">
        <f t="shared" si="191"/>
        <v>0</v>
      </c>
      <c r="AA1493" s="1">
        <f>--EXACT(A1493,"L01487")</f>
        <v>1</v>
      </c>
    </row>
    <row r="1494" spans="1:27" ht="18.95" customHeight="1">
      <c r="A1494" s="1" t="str">
        <f>IF(Raw!A1494="","",Raw!A1494)</f>
        <v>L01488</v>
      </c>
      <c r="B1494" s="1" t="str">
        <f>IF(Raw!B1494="","",Raw!B1494)</f>
        <v>T00744</v>
      </c>
      <c r="C1494" s="1" t="str">
        <f>IF(Raw!C1494="","",Raw!C1494)</f>
        <v>2026-03-13</v>
      </c>
      <c r="D1494" s="1">
        <f t="shared" si="184"/>
        <v>2026</v>
      </c>
      <c r="E1494" s="1">
        <f>IFERROR(IF(AND(LEN(C1494)=10,MID(C1494,5,1)="-",MID(C1494,8,1)="-"),VALUE(MID(C1494,6,2)),IF(AND(LEN(C1494)=11,MID(C1494,3,1)="-",MID(C1494,7,1)="-"),MATCH(UPPER(MID(C1494,4,3)),Guide!$D$7:$D$18,0),0)),0)</f>
        <v>3</v>
      </c>
      <c r="F1494" s="1">
        <f t="shared" si="185"/>
        <v>13</v>
      </c>
      <c r="G1494" s="9">
        <f t="shared" si="186"/>
        <v>46094</v>
      </c>
      <c r="H1494" s="1" t="str">
        <f>IF(Raw!D1494="","",Raw!D1494)</f>
        <v>P-O</v>
      </c>
      <c r="I1494" s="1" t="str">
        <f>IFERROR(IF(EXACT(H1494,INDEX(Guide!$A$7:$A$9,MATCH(SUBSTITUTE(SUBSTITUTE(SUBSTITUTE(H1494,"~","~~"),"*","~*"),"?","~?"),Guide!$A$7:$A$9,0))),INDEX(Guide!$B$7:$B$9,MATCH(SUBSTITUTE(SUBSTITUTE(SUBSTITUTE(H1494,"~","~~"),"*","~*"),"?","~?"),Guide!$A$7:$A$9,0)),""),"")</f>
        <v>Office</v>
      </c>
      <c r="J1494" s="1" t="str">
        <f>IF(TRIM(Raw!E1494)="",I1494,IF(UPPER(TRIM(Raw!E1494))=UPPER(I1494),I1494,""))</f>
        <v>Office</v>
      </c>
      <c r="K1494" s="1" t="str">
        <f>IF(Raw!F1494="","",Raw!F1494)</f>
        <v>sale</v>
      </c>
      <c r="L1494" s="1" t="str">
        <f>IF(LEFT(TRIM(Raw!G1494),2)="-$","-"&amp;MID(TRIM(Raw!G1494),3,99),IF(LEFT(TRIM(Raw!G1494),1)="$",MID(TRIM(Raw!G1494),2,99),TRIM(Raw!G1494)))</f>
        <v>375.90</v>
      </c>
      <c r="M1494" s="1">
        <f t="shared" si="187"/>
        <v>375.9</v>
      </c>
      <c r="N1494" s="10">
        <f t="shared" si="188"/>
        <v>37590</v>
      </c>
      <c r="O1494" s="1" t="b">
        <f>IFERROR(IF(ISNUMBER(Raw!G1494),TRUE,OR(EXACT(L1494,TEXT(M1494,"0.00")),EXACT(L1494,TEXT(M1494,"#,##0.00")))),FALSE)</f>
        <v>1</v>
      </c>
      <c r="P1494" s="1" t="str">
        <f>LEN(IF(Raw!A1494="","",Raw!A1494))&amp;":"&amp;IF(Raw!A1494="","",Raw!A1494)&amp;"|"&amp;LEN(IF(Raw!B1494="","",Raw!B1494))&amp;":"&amp;IF(Raw!B1494="","",Raw!B1494)&amp;"|"&amp;LEN(IF(Raw!C1494="","",Raw!C1494))&amp;":"&amp;IF(Raw!C1494="","",Raw!C1494)&amp;"|"&amp;LEN(IF(Raw!D1494="","",Raw!D1494))&amp;":"&amp;IF(Raw!D1494="","",Raw!D1494)&amp;"|"&amp;LEN(IF(Raw!E1494="","",Raw!E1494))&amp;":"&amp;IF(Raw!E1494="","",Raw!E1494)&amp;"|"&amp;LEN(IF(Raw!F1494="","",Raw!F1494))&amp;":"&amp;IF(Raw!F1494="","",Raw!F1494)&amp;"|"&amp;LEN(IF(Raw!G1494="","",Raw!G1494))&amp;":"&amp;IF(Raw!G1494="","",Raw!G1494)</f>
        <v>6:L01488|6:T00744|10:2026-03-13|3:P-O|6:Office|4:sale|6:375.90</v>
      </c>
      <c r="Q1494" s="1">
        <f>1</f>
        <v>1</v>
      </c>
      <c r="R1494" s="1" t="b">
        <f>FALSE</f>
        <v>0</v>
      </c>
      <c r="S1494" s="1">
        <f>1</f>
        <v>1</v>
      </c>
      <c r="T1494" s="1" t="str">
        <f>IF(AND(Raw!A1494="",Raw!B1494="",Raw!C1494="",Raw!D1494="",Raw!E1494="",Raw!F1494="",Raw!G1494=""),"UNUSED",IF(A1494="","missing line ID",IF(B1494="","missing transaction ID",IF(G1494="",IF(C1494="","missing date","invalid date"),IF(I1494="","unknown product",IF(J1494="","conflicting category",IF(NOT(OR(EXACT(K1494,"sale"),EXACT(K1494,"refund"))),"unknown event",IF(OR(N1494="",NOT(O1494)),"invalid amount",IF(OR(AND(K1494="sale",N1494&lt;=0),AND(K1494="refund",N1494&gt;=0)),"invalid sign","")))))))))</f>
        <v/>
      </c>
      <c r="U1494" s="1" t="str">
        <f t="shared" si="189"/>
        <v>INCLUDED</v>
      </c>
      <c r="V1494" s="1" t="str">
        <f t="shared" si="190"/>
        <v>2026-03</v>
      </c>
      <c r="W1494" s="1">
        <f>IF(AND(U1494="INCLUDED",X1494&gt;0,EXACT(A1494,'AI output'!A1494)),1,0)</f>
        <v>1</v>
      </c>
      <c r="X1494" s="1">
        <f>1494</f>
        <v>1494</v>
      </c>
      <c r="Y1494" s="1">
        <f>IF(AND(U1494="INCLUDED",W1494=1),--(NOT(EXACT(A1494,'AI output'!A1494)))+--(NOT(EXACT(B1494,'AI output'!B1494)))+--(NOT(EXACT(TEXT(G1494,"yyyy-mm-dd"),'AI output'!C1494)))+--(NOT(EXACT(H1494,'AI output'!D1494)))+--(NOT(EXACT(J1494,'AI output'!E1494)))+--(NOT(EXACT(K1494,'AI output'!F1494)))+--(N1494&lt;&gt;'AI output'!L1494)+--(NOT('AI output'!M1494)),0)</f>
        <v>0</v>
      </c>
      <c r="Z1494" s="1">
        <f t="shared" si="191"/>
        <v>0</v>
      </c>
      <c r="AA1494" s="1">
        <f>--EXACT(A1494,"L01488")</f>
        <v>1</v>
      </c>
    </row>
    <row r="1495" spans="1:27" ht="18.95" customHeight="1">
      <c r="A1495" s="1" t="str">
        <f>IF(Raw!A1495="","",Raw!A1495)</f>
        <v>L01489</v>
      </c>
      <c r="B1495" s="1" t="str">
        <f>IF(Raw!B1495="","",Raw!B1495)</f>
        <v>T00745</v>
      </c>
      <c r="C1495" s="1" t="str">
        <f>IF(Raw!C1495="","",Raw!C1495)</f>
        <v>2026-03-20</v>
      </c>
      <c r="D1495" s="1">
        <f t="shared" si="184"/>
        <v>2026</v>
      </c>
      <c r="E1495" s="1">
        <f>IFERROR(IF(AND(LEN(C1495)=10,MID(C1495,5,1)="-",MID(C1495,8,1)="-"),VALUE(MID(C1495,6,2)),IF(AND(LEN(C1495)=11,MID(C1495,3,1)="-",MID(C1495,7,1)="-"),MATCH(UPPER(MID(C1495,4,3)),Guide!$D$7:$D$18,0),0)),0)</f>
        <v>3</v>
      </c>
      <c r="F1495" s="1">
        <f t="shared" si="185"/>
        <v>20</v>
      </c>
      <c r="G1495" s="9">
        <f t="shared" si="186"/>
        <v>46101</v>
      </c>
      <c r="H1495" s="1" t="str">
        <f>IF(Raw!D1495="","",Raw!D1495)</f>
        <v>P-A</v>
      </c>
      <c r="I1495" s="1" t="str">
        <f>IFERROR(IF(EXACT(H1495,INDEX(Guide!$A$7:$A$9,MATCH(SUBSTITUTE(SUBSTITUTE(SUBSTITUTE(H1495,"~","~~"),"*","~*"),"?","~?"),Guide!$A$7:$A$9,0))),INDEX(Guide!$B$7:$B$9,MATCH(SUBSTITUTE(SUBSTITUTE(SUBSTITUTE(H1495,"~","~~"),"*","~*"),"?","~?"),Guide!$A$7:$A$9,0)),""),"")</f>
        <v>Accessories</v>
      </c>
      <c r="J1495" s="1" t="str">
        <f>IF(TRIM(Raw!E1495)="",I1495,IF(UPPER(TRIM(Raw!E1495))=UPPER(I1495),I1495,""))</f>
        <v>Accessories</v>
      </c>
      <c r="K1495" s="1" t="str">
        <f>IF(Raw!F1495="","",Raw!F1495)</f>
        <v>sale</v>
      </c>
      <c r="L1495" s="1" t="str">
        <f>IF(LEFT(TRIM(Raw!G1495),2)="-$","-"&amp;MID(TRIM(Raw!G1495),3,99),IF(LEFT(TRIM(Raw!G1495),1)="$",MID(TRIM(Raw!G1495),2,99),TRIM(Raw!G1495)))</f>
        <v>151.10</v>
      </c>
      <c r="M1495" s="1">
        <f t="shared" si="187"/>
        <v>151.1</v>
      </c>
      <c r="N1495" s="10">
        <f t="shared" si="188"/>
        <v>15110</v>
      </c>
      <c r="O1495" s="1" t="b">
        <f>IFERROR(IF(ISNUMBER(Raw!G1495),TRUE,OR(EXACT(L1495,TEXT(M1495,"0.00")),EXACT(L1495,TEXT(M1495,"#,##0.00")))),FALSE)</f>
        <v>1</v>
      </c>
      <c r="P1495" s="1" t="str">
        <f>LEN(IF(Raw!A1495="","",Raw!A1495))&amp;":"&amp;IF(Raw!A1495="","",Raw!A1495)&amp;"|"&amp;LEN(IF(Raw!B1495="","",Raw!B1495))&amp;":"&amp;IF(Raw!B1495="","",Raw!B1495)&amp;"|"&amp;LEN(IF(Raw!C1495="","",Raw!C1495))&amp;":"&amp;IF(Raw!C1495="","",Raw!C1495)&amp;"|"&amp;LEN(IF(Raw!D1495="","",Raw!D1495))&amp;":"&amp;IF(Raw!D1495="","",Raw!D1495)&amp;"|"&amp;LEN(IF(Raw!E1495="","",Raw!E1495))&amp;":"&amp;IF(Raw!E1495="","",Raw!E1495)&amp;"|"&amp;LEN(IF(Raw!F1495="","",Raw!F1495))&amp;":"&amp;IF(Raw!F1495="","",Raw!F1495)&amp;"|"&amp;LEN(IF(Raw!G1495="","",Raw!G1495))&amp;":"&amp;IF(Raw!G1495="","",Raw!G1495)</f>
        <v>6:L01489|6:T00745|10:2026-03-20|3:P-A|11:Accessories|4:sale|6:151.10</v>
      </c>
      <c r="Q1495" s="1">
        <f>1</f>
        <v>1</v>
      </c>
      <c r="R1495" s="1" t="b">
        <f>FALSE</f>
        <v>0</v>
      </c>
      <c r="S1495" s="1">
        <f>1</f>
        <v>1</v>
      </c>
      <c r="T1495" s="1" t="str">
        <f>IF(AND(Raw!A1495="",Raw!B1495="",Raw!C1495="",Raw!D1495="",Raw!E1495="",Raw!F1495="",Raw!G1495=""),"UNUSED",IF(A1495="","missing line ID",IF(B1495="","missing transaction ID",IF(G1495="",IF(C1495="","missing date","invalid date"),IF(I1495="","unknown product",IF(J1495="","conflicting category",IF(NOT(OR(EXACT(K1495,"sale"),EXACT(K1495,"refund"))),"unknown event",IF(OR(N1495="",NOT(O1495)),"invalid amount",IF(OR(AND(K1495="sale",N1495&lt;=0),AND(K1495="refund",N1495&gt;=0)),"invalid sign","")))))))))</f>
        <v/>
      </c>
      <c r="U1495" s="1" t="str">
        <f t="shared" si="189"/>
        <v>INCLUDED</v>
      </c>
      <c r="V1495" s="1" t="str">
        <f t="shared" si="190"/>
        <v>2026-03</v>
      </c>
      <c r="W1495" s="1">
        <f>IF(AND(U1495="INCLUDED",X1495&gt;0,EXACT(A1495,'AI output'!A1495)),1,0)</f>
        <v>1</v>
      </c>
      <c r="X1495" s="1">
        <f>1495</f>
        <v>1495</v>
      </c>
      <c r="Y1495" s="1">
        <f>IF(AND(U1495="INCLUDED",W1495=1),--(NOT(EXACT(A1495,'AI output'!A1495)))+--(NOT(EXACT(B1495,'AI output'!B1495)))+--(NOT(EXACT(TEXT(G1495,"yyyy-mm-dd"),'AI output'!C1495)))+--(NOT(EXACT(H1495,'AI output'!D1495)))+--(NOT(EXACT(J1495,'AI output'!E1495)))+--(NOT(EXACT(K1495,'AI output'!F1495)))+--(N1495&lt;&gt;'AI output'!L1495)+--(NOT('AI output'!M1495)),0)</f>
        <v>0</v>
      </c>
      <c r="Z1495" s="1">
        <f t="shared" si="191"/>
        <v>0</v>
      </c>
      <c r="AA1495" s="1">
        <f>--EXACT(A1495,"L01489")</f>
        <v>1</v>
      </c>
    </row>
    <row r="1496" spans="1:27" ht="18.95" customHeight="1">
      <c r="A1496" s="1" t="str">
        <f>IF(Raw!A1496="","",Raw!A1496)</f>
        <v>L01490</v>
      </c>
      <c r="B1496" s="1" t="str">
        <f>IF(Raw!B1496="","",Raw!B1496)</f>
        <v>T00745</v>
      </c>
      <c r="C1496" s="1" t="str">
        <f>IF(Raw!C1496="","",Raw!C1496)</f>
        <v>2026-03-20</v>
      </c>
      <c r="D1496" s="1">
        <f t="shared" si="184"/>
        <v>2026</v>
      </c>
      <c r="E1496" s="1">
        <f>IFERROR(IF(AND(LEN(C1496)=10,MID(C1496,5,1)="-",MID(C1496,8,1)="-"),VALUE(MID(C1496,6,2)),IF(AND(LEN(C1496)=11,MID(C1496,3,1)="-",MID(C1496,7,1)="-"),MATCH(UPPER(MID(C1496,4,3)),Guide!$D$7:$D$18,0),0)),0)</f>
        <v>3</v>
      </c>
      <c r="F1496" s="1">
        <f t="shared" si="185"/>
        <v>20</v>
      </c>
      <c r="G1496" s="9">
        <f t="shared" si="186"/>
        <v>46101</v>
      </c>
      <c r="H1496" s="1" t="str">
        <f>IF(Raw!D1496="","",Raw!D1496)</f>
        <v>P-H</v>
      </c>
      <c r="I1496" s="1" t="str">
        <f>IFERROR(IF(EXACT(H1496,INDEX(Guide!$A$7:$A$9,MATCH(SUBSTITUTE(SUBSTITUTE(SUBSTITUTE(H1496,"~","~~"),"*","~*"),"?","~?"),Guide!$A$7:$A$9,0))),INDEX(Guide!$B$7:$B$9,MATCH(SUBSTITUTE(SUBSTITUTE(SUBSTITUTE(H1496,"~","~~"),"*","~*"),"?","~?"),Guide!$A$7:$A$9,0)),""),"")</f>
        <v>Home</v>
      </c>
      <c r="J1496" s="1" t="str">
        <f>IF(TRIM(Raw!E1496)="",I1496,IF(UPPER(TRIM(Raw!E1496))=UPPER(I1496),I1496,""))</f>
        <v>Home</v>
      </c>
      <c r="K1496" s="1" t="str">
        <f>IF(Raw!F1496="","",Raw!F1496)</f>
        <v>sale</v>
      </c>
      <c r="L1496" s="1" t="str">
        <f>IF(LEFT(TRIM(Raw!G1496),2)="-$","-"&amp;MID(TRIM(Raw!G1496),3,99),IF(LEFT(TRIM(Raw!G1496),1)="$",MID(TRIM(Raw!G1496),2,99),TRIM(Raw!G1496)))</f>
        <v>303.68</v>
      </c>
      <c r="M1496" s="1">
        <f t="shared" si="187"/>
        <v>303.68</v>
      </c>
      <c r="N1496" s="10">
        <f t="shared" si="188"/>
        <v>30368</v>
      </c>
      <c r="O1496" s="1" t="b">
        <f>IFERROR(IF(ISNUMBER(Raw!G1496),TRUE,OR(EXACT(L1496,TEXT(M1496,"0.00")),EXACT(L1496,TEXT(M1496,"#,##0.00")))),FALSE)</f>
        <v>1</v>
      </c>
      <c r="P1496" s="1" t="str">
        <f>LEN(IF(Raw!A1496="","",Raw!A1496))&amp;":"&amp;IF(Raw!A1496="","",Raw!A1496)&amp;"|"&amp;LEN(IF(Raw!B1496="","",Raw!B1496))&amp;":"&amp;IF(Raw!B1496="","",Raw!B1496)&amp;"|"&amp;LEN(IF(Raw!C1496="","",Raw!C1496))&amp;":"&amp;IF(Raw!C1496="","",Raw!C1496)&amp;"|"&amp;LEN(IF(Raw!D1496="","",Raw!D1496))&amp;":"&amp;IF(Raw!D1496="","",Raw!D1496)&amp;"|"&amp;LEN(IF(Raw!E1496="","",Raw!E1496))&amp;":"&amp;IF(Raw!E1496="","",Raw!E1496)&amp;"|"&amp;LEN(IF(Raw!F1496="","",Raw!F1496))&amp;":"&amp;IF(Raw!F1496="","",Raw!F1496)&amp;"|"&amp;LEN(IF(Raw!G1496="","",Raw!G1496))&amp;":"&amp;IF(Raw!G1496="","",Raw!G1496)</f>
        <v>6:L01490|6:T00745|10:2026-03-20|3:P-H|4:Home|4:sale|6:303.68</v>
      </c>
      <c r="Q1496" s="1">
        <f>1</f>
        <v>1</v>
      </c>
      <c r="R1496" s="1" t="b">
        <f>FALSE</f>
        <v>0</v>
      </c>
      <c r="S1496" s="1">
        <f>1</f>
        <v>1</v>
      </c>
      <c r="T1496" s="1" t="str">
        <f>IF(AND(Raw!A1496="",Raw!B1496="",Raw!C1496="",Raw!D1496="",Raw!E1496="",Raw!F1496="",Raw!G1496=""),"UNUSED",IF(A1496="","missing line ID",IF(B1496="","missing transaction ID",IF(G1496="",IF(C1496="","missing date","invalid date"),IF(I1496="","unknown product",IF(J1496="","conflicting category",IF(NOT(OR(EXACT(K1496,"sale"),EXACT(K1496,"refund"))),"unknown event",IF(OR(N1496="",NOT(O1496)),"invalid amount",IF(OR(AND(K1496="sale",N1496&lt;=0),AND(K1496="refund",N1496&gt;=0)),"invalid sign","")))))))))</f>
        <v/>
      </c>
      <c r="U1496" s="1" t="str">
        <f t="shared" si="189"/>
        <v>INCLUDED</v>
      </c>
      <c r="V1496" s="1" t="str">
        <f t="shared" si="190"/>
        <v>2026-03</v>
      </c>
      <c r="W1496" s="1">
        <f>IF(AND(U1496="INCLUDED",X1496&gt;0,EXACT(A1496,'AI output'!A1496)),1,0)</f>
        <v>1</v>
      </c>
      <c r="X1496" s="1">
        <f>1496</f>
        <v>1496</v>
      </c>
      <c r="Y1496" s="1">
        <f>IF(AND(U1496="INCLUDED",W1496=1),--(NOT(EXACT(A1496,'AI output'!A1496)))+--(NOT(EXACT(B1496,'AI output'!B1496)))+--(NOT(EXACT(TEXT(G1496,"yyyy-mm-dd"),'AI output'!C1496)))+--(NOT(EXACT(H1496,'AI output'!D1496)))+--(NOT(EXACT(J1496,'AI output'!E1496)))+--(NOT(EXACT(K1496,'AI output'!F1496)))+--(N1496&lt;&gt;'AI output'!L1496)+--(NOT('AI output'!M1496)),0)</f>
        <v>0</v>
      </c>
      <c r="Z1496" s="1">
        <f t="shared" si="191"/>
        <v>0</v>
      </c>
      <c r="AA1496" s="1">
        <f>--EXACT(A1496,"L01490")</f>
        <v>1</v>
      </c>
    </row>
    <row r="1497" spans="1:27" ht="18.95" customHeight="1">
      <c r="A1497" s="1" t="str">
        <f>IF(Raw!A1497="","",Raw!A1497)</f>
        <v>L01491</v>
      </c>
      <c r="B1497" s="1" t="str">
        <f>IF(Raw!B1497="","",Raw!B1497)</f>
        <v>T00746</v>
      </c>
      <c r="C1497" s="1" t="str">
        <f>IF(Raw!C1497="","",Raw!C1497)</f>
        <v>2026-03-27</v>
      </c>
      <c r="D1497" s="1">
        <f t="shared" si="184"/>
        <v>2026</v>
      </c>
      <c r="E1497" s="1">
        <f>IFERROR(IF(AND(LEN(C1497)=10,MID(C1497,5,1)="-",MID(C1497,8,1)="-"),VALUE(MID(C1497,6,2)),IF(AND(LEN(C1497)=11,MID(C1497,3,1)="-",MID(C1497,7,1)="-"),MATCH(UPPER(MID(C1497,4,3)),Guide!$D$7:$D$18,0),0)),0)</f>
        <v>3</v>
      </c>
      <c r="F1497" s="1">
        <f t="shared" si="185"/>
        <v>27</v>
      </c>
      <c r="G1497" s="9">
        <f t="shared" si="186"/>
        <v>46108</v>
      </c>
      <c r="H1497" s="1" t="str">
        <f>IF(Raw!D1497="","",Raw!D1497)</f>
        <v>P-O</v>
      </c>
      <c r="I1497" s="1" t="str">
        <f>IFERROR(IF(EXACT(H1497,INDEX(Guide!$A$7:$A$9,MATCH(SUBSTITUTE(SUBSTITUTE(SUBSTITUTE(H1497,"~","~~"),"*","~*"),"?","~?"),Guide!$A$7:$A$9,0))),INDEX(Guide!$B$7:$B$9,MATCH(SUBSTITUTE(SUBSTITUTE(SUBSTITUTE(H1497,"~","~~"),"*","~*"),"?","~?"),Guide!$A$7:$A$9,0)),""),"")</f>
        <v>Office</v>
      </c>
      <c r="J1497" s="1" t="str">
        <f>IF(TRIM(Raw!E1497)="",I1497,IF(UPPER(TRIM(Raw!E1497))=UPPER(I1497),I1497,""))</f>
        <v>Office</v>
      </c>
      <c r="K1497" s="1" t="str">
        <f>IF(Raw!F1497="","",Raw!F1497)</f>
        <v>sale</v>
      </c>
      <c r="L1497" s="1" t="str">
        <f>IF(LEFT(TRIM(Raw!G1497),2)="-$","-"&amp;MID(TRIM(Raw!G1497),3,99),IF(LEFT(TRIM(Raw!G1497),1)="$",MID(TRIM(Raw!G1497),2,99),TRIM(Raw!G1497)))</f>
        <v>76.29</v>
      </c>
      <c r="M1497" s="1">
        <f t="shared" si="187"/>
        <v>76.290000000000006</v>
      </c>
      <c r="N1497" s="10">
        <f t="shared" si="188"/>
        <v>7629</v>
      </c>
      <c r="O1497" s="1" t="b">
        <f>IFERROR(IF(ISNUMBER(Raw!G1497),TRUE,OR(EXACT(L1497,TEXT(M1497,"0.00")),EXACT(L1497,TEXT(M1497,"#,##0.00")))),FALSE)</f>
        <v>1</v>
      </c>
      <c r="P1497" s="1" t="str">
        <f>LEN(IF(Raw!A1497="","",Raw!A1497))&amp;":"&amp;IF(Raw!A1497="","",Raw!A1497)&amp;"|"&amp;LEN(IF(Raw!B1497="","",Raw!B1497))&amp;":"&amp;IF(Raw!B1497="","",Raw!B1497)&amp;"|"&amp;LEN(IF(Raw!C1497="","",Raw!C1497))&amp;":"&amp;IF(Raw!C1497="","",Raw!C1497)&amp;"|"&amp;LEN(IF(Raw!D1497="","",Raw!D1497))&amp;":"&amp;IF(Raw!D1497="","",Raw!D1497)&amp;"|"&amp;LEN(IF(Raw!E1497="","",Raw!E1497))&amp;":"&amp;IF(Raw!E1497="","",Raw!E1497)&amp;"|"&amp;LEN(IF(Raw!F1497="","",Raw!F1497))&amp;":"&amp;IF(Raw!F1497="","",Raw!F1497)&amp;"|"&amp;LEN(IF(Raw!G1497="","",Raw!G1497))&amp;":"&amp;IF(Raw!G1497="","",Raw!G1497)</f>
        <v>6:L01491|6:T00746|10:2026-03-27|3:P-O|6:Office|4:sale|5:76.29</v>
      </c>
      <c r="Q1497" s="1">
        <f>2</f>
        <v>2</v>
      </c>
      <c r="R1497" s="1" t="b">
        <f>OR(NOT(EXACT(P1497,P2004)))</f>
        <v>0</v>
      </c>
      <c r="S1497" s="1">
        <f>1</f>
        <v>1</v>
      </c>
      <c r="T1497" s="1" t="str">
        <f>IF(AND(Raw!A1497="",Raw!B1497="",Raw!C1497="",Raw!D1497="",Raw!E1497="",Raw!F1497="",Raw!G1497=""),"UNUSED",IF(A1497="","missing line ID",IF(B1497="","missing transaction ID",IF(G1497="",IF(C1497="","missing date","invalid date"),IF(I1497="","unknown product",IF(J1497="","conflicting category",IF(NOT(OR(EXACT(K1497,"sale"),EXACT(K1497,"refund"))),"unknown event",IF(OR(N1497="",NOT(O1497)),"invalid amount",IF(OR(AND(K1497="sale",N1497&lt;=0),AND(K1497="refund",N1497&gt;=0)),"invalid sign","")))))))))</f>
        <v/>
      </c>
      <c r="U1497" s="1" t="str">
        <f t="shared" si="189"/>
        <v>INCLUDED</v>
      </c>
      <c r="V1497" s="1" t="str">
        <f t="shared" si="190"/>
        <v>2026-03</v>
      </c>
      <c r="W1497" s="1">
        <f>IF(AND(U1497="INCLUDED",X1497&gt;0,EXACT(A1497,'AI output'!A1497)),1,0)</f>
        <v>1</v>
      </c>
      <c r="X1497" s="1">
        <f>1497</f>
        <v>1497</v>
      </c>
      <c r="Y1497" s="1">
        <f>IF(AND(U1497="INCLUDED",W1497=1),--(NOT(EXACT(A1497,'AI output'!A1497)))+--(NOT(EXACT(B1497,'AI output'!B1497)))+--(NOT(EXACT(TEXT(G1497,"yyyy-mm-dd"),'AI output'!C1497)))+--(NOT(EXACT(H1497,'AI output'!D1497)))+--(NOT(EXACT(J1497,'AI output'!E1497)))+--(NOT(EXACT(K1497,'AI output'!F1497)))+--(N1497&lt;&gt;'AI output'!L1497)+--(NOT('AI output'!M1497)),0)</f>
        <v>0</v>
      </c>
      <c r="Z1497" s="1">
        <f t="shared" si="191"/>
        <v>0</v>
      </c>
      <c r="AA1497" s="1">
        <f>--EXACT(A1497,"L01491")</f>
        <v>1</v>
      </c>
    </row>
    <row r="1498" spans="1:27" ht="18.95" customHeight="1">
      <c r="A1498" s="1" t="str">
        <f>IF(Raw!A1498="","",Raw!A1498)</f>
        <v>L01492</v>
      </c>
      <c r="B1498" s="1" t="str">
        <f>IF(Raw!B1498="","",Raw!B1498)</f>
        <v>T00746</v>
      </c>
      <c r="C1498" s="1" t="str">
        <f>IF(Raw!C1498="","",Raw!C1498)</f>
        <v>2026-03-27</v>
      </c>
      <c r="D1498" s="1">
        <f t="shared" si="184"/>
        <v>2026</v>
      </c>
      <c r="E1498" s="1">
        <f>IFERROR(IF(AND(LEN(C1498)=10,MID(C1498,5,1)="-",MID(C1498,8,1)="-"),VALUE(MID(C1498,6,2)),IF(AND(LEN(C1498)=11,MID(C1498,3,1)="-",MID(C1498,7,1)="-"),MATCH(UPPER(MID(C1498,4,3)),Guide!$D$7:$D$18,0),0)),0)</f>
        <v>3</v>
      </c>
      <c r="F1498" s="1">
        <f t="shared" si="185"/>
        <v>27</v>
      </c>
      <c r="G1498" s="9">
        <f t="shared" si="186"/>
        <v>46108</v>
      </c>
      <c r="H1498" s="1" t="str">
        <f>IF(Raw!D1498="","",Raw!D1498)</f>
        <v>P-A</v>
      </c>
      <c r="I1498" s="1" t="str">
        <f>IFERROR(IF(EXACT(H1498,INDEX(Guide!$A$7:$A$9,MATCH(SUBSTITUTE(SUBSTITUTE(SUBSTITUTE(H1498,"~","~~"),"*","~*"),"?","~?"),Guide!$A$7:$A$9,0))),INDEX(Guide!$B$7:$B$9,MATCH(SUBSTITUTE(SUBSTITUTE(SUBSTITUTE(H1498,"~","~~"),"*","~*"),"?","~?"),Guide!$A$7:$A$9,0)),""),"")</f>
        <v>Accessories</v>
      </c>
      <c r="J1498" s="1" t="str">
        <f>IF(TRIM(Raw!E1498)="",I1498,IF(UPPER(TRIM(Raw!E1498))=UPPER(I1498),I1498,""))</f>
        <v>Accessories</v>
      </c>
      <c r="K1498" s="1" t="str">
        <f>IF(Raw!F1498="","",Raw!F1498)</f>
        <v>sale</v>
      </c>
      <c r="L1498" s="1" t="str">
        <f>IF(LEFT(TRIM(Raw!G1498),2)="-$","-"&amp;MID(TRIM(Raw!G1498),3,99),IF(LEFT(TRIM(Raw!G1498),1)="$",MID(TRIM(Raw!G1498),2,99),TRIM(Raw!G1498)))</f>
        <v>229.98</v>
      </c>
      <c r="M1498" s="1">
        <f t="shared" si="187"/>
        <v>229.98</v>
      </c>
      <c r="N1498" s="10">
        <f t="shared" si="188"/>
        <v>22998</v>
      </c>
      <c r="O1498" s="1" t="b">
        <f>IFERROR(IF(ISNUMBER(Raw!G1498),TRUE,OR(EXACT(L1498,TEXT(M1498,"0.00")),EXACT(L1498,TEXT(M1498,"#,##0.00")))),FALSE)</f>
        <v>1</v>
      </c>
      <c r="P1498" s="1" t="str">
        <f>LEN(IF(Raw!A1498="","",Raw!A1498))&amp;":"&amp;IF(Raw!A1498="","",Raw!A1498)&amp;"|"&amp;LEN(IF(Raw!B1498="","",Raw!B1498))&amp;":"&amp;IF(Raw!B1498="","",Raw!B1498)&amp;"|"&amp;LEN(IF(Raw!C1498="","",Raw!C1498))&amp;":"&amp;IF(Raw!C1498="","",Raw!C1498)&amp;"|"&amp;LEN(IF(Raw!D1498="","",Raw!D1498))&amp;":"&amp;IF(Raw!D1498="","",Raw!D1498)&amp;"|"&amp;LEN(IF(Raw!E1498="","",Raw!E1498))&amp;":"&amp;IF(Raw!E1498="","",Raw!E1498)&amp;"|"&amp;LEN(IF(Raw!F1498="","",Raw!F1498))&amp;":"&amp;IF(Raw!F1498="","",Raw!F1498)&amp;"|"&amp;LEN(IF(Raw!G1498="","",Raw!G1498))&amp;":"&amp;IF(Raw!G1498="","",Raw!G1498)</f>
        <v>6:L01492|6:T00746|10:2026-03-27|3:P-A|11:Accessories|4:sale|6:229.98</v>
      </c>
      <c r="Q1498" s="1">
        <f>1</f>
        <v>1</v>
      </c>
      <c r="R1498" s="1" t="b">
        <f>FALSE</f>
        <v>0</v>
      </c>
      <c r="S1498" s="1">
        <f>1</f>
        <v>1</v>
      </c>
      <c r="T1498" s="1" t="str">
        <f>IF(AND(Raw!A1498="",Raw!B1498="",Raw!C1498="",Raw!D1498="",Raw!E1498="",Raw!F1498="",Raw!G1498=""),"UNUSED",IF(A1498="","missing line ID",IF(B1498="","missing transaction ID",IF(G1498="",IF(C1498="","missing date","invalid date"),IF(I1498="","unknown product",IF(J1498="","conflicting category",IF(NOT(OR(EXACT(K1498,"sale"),EXACT(K1498,"refund"))),"unknown event",IF(OR(N1498="",NOT(O1498)),"invalid amount",IF(OR(AND(K1498="sale",N1498&lt;=0),AND(K1498="refund",N1498&gt;=0)),"invalid sign","")))))))))</f>
        <v/>
      </c>
      <c r="U1498" s="1" t="str">
        <f t="shared" si="189"/>
        <v>INCLUDED</v>
      </c>
      <c r="V1498" s="1" t="str">
        <f t="shared" si="190"/>
        <v>2026-03</v>
      </c>
      <c r="W1498" s="1">
        <f>IF(AND(U1498="INCLUDED",X1498&gt;0,EXACT(A1498,'AI output'!A1498)),1,0)</f>
        <v>1</v>
      </c>
      <c r="X1498" s="1">
        <f>1498</f>
        <v>1498</v>
      </c>
      <c r="Y1498" s="1">
        <f>IF(AND(U1498="INCLUDED",W1498=1),--(NOT(EXACT(A1498,'AI output'!A1498)))+--(NOT(EXACT(B1498,'AI output'!B1498)))+--(NOT(EXACT(TEXT(G1498,"yyyy-mm-dd"),'AI output'!C1498)))+--(NOT(EXACT(H1498,'AI output'!D1498)))+--(NOT(EXACT(J1498,'AI output'!E1498)))+--(NOT(EXACT(K1498,'AI output'!F1498)))+--(N1498&lt;&gt;'AI output'!L1498)+--(NOT('AI output'!M1498)),0)</f>
        <v>0</v>
      </c>
      <c r="Z1498" s="1">
        <f t="shared" si="191"/>
        <v>0</v>
      </c>
      <c r="AA1498" s="1">
        <f>--EXACT(A1498,"L01492")</f>
        <v>1</v>
      </c>
    </row>
    <row r="1499" spans="1:27" ht="18.95" customHeight="1">
      <c r="A1499" s="1" t="str">
        <f>IF(Raw!A1499="","",Raw!A1499)</f>
        <v>L01493</v>
      </c>
      <c r="B1499" s="1" t="str">
        <f>IF(Raw!B1499="","",Raw!B1499)</f>
        <v>T00747</v>
      </c>
      <c r="C1499" s="1" t="str">
        <f>IF(Raw!C1499="","",Raw!C1499)</f>
        <v>2026-01-03</v>
      </c>
      <c r="D1499" s="1">
        <f t="shared" si="184"/>
        <v>2026</v>
      </c>
      <c r="E1499" s="1">
        <f>IFERROR(IF(AND(LEN(C1499)=10,MID(C1499,5,1)="-",MID(C1499,8,1)="-"),VALUE(MID(C1499,6,2)),IF(AND(LEN(C1499)=11,MID(C1499,3,1)="-",MID(C1499,7,1)="-"),MATCH(UPPER(MID(C1499,4,3)),Guide!$D$7:$D$18,0),0)),0)</f>
        <v>1</v>
      </c>
      <c r="F1499" s="1">
        <f t="shared" si="185"/>
        <v>3</v>
      </c>
      <c r="G1499" s="9">
        <f t="shared" si="186"/>
        <v>46025</v>
      </c>
      <c r="H1499" s="1" t="str">
        <f>IF(Raw!D1499="","",Raw!D1499)</f>
        <v>P-H</v>
      </c>
      <c r="I1499" s="1" t="str">
        <f>IFERROR(IF(EXACT(H1499,INDEX(Guide!$A$7:$A$9,MATCH(SUBSTITUTE(SUBSTITUTE(SUBSTITUTE(H1499,"~","~~"),"*","~*"),"?","~?"),Guide!$A$7:$A$9,0))),INDEX(Guide!$B$7:$B$9,MATCH(SUBSTITUTE(SUBSTITUTE(SUBSTITUTE(H1499,"~","~~"),"*","~*"),"?","~?"),Guide!$A$7:$A$9,0)),""),"")</f>
        <v>Home</v>
      </c>
      <c r="J1499" s="1" t="str">
        <f>IF(TRIM(Raw!E1499)="",I1499,IF(UPPER(TRIM(Raw!E1499))=UPPER(I1499),I1499,""))</f>
        <v>Home</v>
      </c>
      <c r="K1499" s="1" t="str">
        <f>IF(Raw!F1499="","",Raw!F1499)</f>
        <v>sale</v>
      </c>
      <c r="L1499" s="1" t="str">
        <f>IF(LEFT(TRIM(Raw!G1499),2)="-$","-"&amp;MID(TRIM(Raw!G1499),3,99),IF(LEFT(TRIM(Raw!G1499),1)="$",MID(TRIM(Raw!G1499),2,99),TRIM(Raw!G1499)))</f>
        <v>385.15</v>
      </c>
      <c r="M1499" s="1">
        <f t="shared" si="187"/>
        <v>385.15</v>
      </c>
      <c r="N1499" s="10">
        <f t="shared" si="188"/>
        <v>38515</v>
      </c>
      <c r="O1499" s="1" t="b">
        <f>IFERROR(IF(ISNUMBER(Raw!G1499),TRUE,OR(EXACT(L1499,TEXT(M1499,"0.00")),EXACT(L1499,TEXT(M1499,"#,##0.00")))),FALSE)</f>
        <v>1</v>
      </c>
      <c r="P1499" s="1" t="str">
        <f>LEN(IF(Raw!A1499="","",Raw!A1499))&amp;":"&amp;IF(Raw!A1499="","",Raw!A1499)&amp;"|"&amp;LEN(IF(Raw!B1499="","",Raw!B1499))&amp;":"&amp;IF(Raw!B1499="","",Raw!B1499)&amp;"|"&amp;LEN(IF(Raw!C1499="","",Raw!C1499))&amp;":"&amp;IF(Raw!C1499="","",Raw!C1499)&amp;"|"&amp;LEN(IF(Raw!D1499="","",Raw!D1499))&amp;":"&amp;IF(Raw!D1499="","",Raw!D1499)&amp;"|"&amp;LEN(IF(Raw!E1499="","",Raw!E1499))&amp;":"&amp;IF(Raw!E1499="","",Raw!E1499)&amp;"|"&amp;LEN(IF(Raw!F1499="","",Raw!F1499))&amp;":"&amp;IF(Raw!F1499="","",Raw!F1499)&amp;"|"&amp;LEN(IF(Raw!G1499="","",Raw!G1499))&amp;":"&amp;IF(Raw!G1499="","",Raw!G1499)</f>
        <v>6:L01493|6:T00747|10:2026-01-03|3:P-H|4:Home|4:sale|6:385.15</v>
      </c>
      <c r="Q1499" s="1">
        <f>1</f>
        <v>1</v>
      </c>
      <c r="R1499" s="1" t="b">
        <f>FALSE</f>
        <v>0</v>
      </c>
      <c r="S1499" s="1">
        <f>1</f>
        <v>1</v>
      </c>
      <c r="T1499" s="1" t="str">
        <f>IF(AND(Raw!A1499="",Raw!B1499="",Raw!C1499="",Raw!D1499="",Raw!E1499="",Raw!F1499="",Raw!G1499=""),"UNUSED",IF(A1499="","missing line ID",IF(B1499="","missing transaction ID",IF(G1499="",IF(C1499="","missing date","invalid date"),IF(I1499="","unknown product",IF(J1499="","conflicting category",IF(NOT(OR(EXACT(K1499,"sale"),EXACT(K1499,"refund"))),"unknown event",IF(OR(N1499="",NOT(O1499)),"invalid amount",IF(OR(AND(K1499="sale",N1499&lt;=0),AND(K1499="refund",N1499&gt;=0)),"invalid sign","")))))))))</f>
        <v/>
      </c>
      <c r="U1499" s="1" t="str">
        <f t="shared" si="189"/>
        <v>INCLUDED</v>
      </c>
      <c r="V1499" s="1" t="str">
        <f t="shared" si="190"/>
        <v>2026-01</v>
      </c>
      <c r="W1499" s="1">
        <f>IF(AND(U1499="INCLUDED",X1499&gt;0,EXACT(A1499,'AI output'!A1499)),1,0)</f>
        <v>1</v>
      </c>
      <c r="X1499" s="1">
        <f>1499</f>
        <v>1499</v>
      </c>
      <c r="Y1499" s="1">
        <f>IF(AND(U1499="INCLUDED",W1499=1),--(NOT(EXACT(A1499,'AI output'!A1499)))+--(NOT(EXACT(B1499,'AI output'!B1499)))+--(NOT(EXACT(TEXT(G1499,"yyyy-mm-dd"),'AI output'!C1499)))+--(NOT(EXACT(H1499,'AI output'!D1499)))+--(NOT(EXACT(J1499,'AI output'!E1499)))+--(NOT(EXACT(K1499,'AI output'!F1499)))+--(N1499&lt;&gt;'AI output'!L1499)+--(NOT('AI output'!M1499)),0)</f>
        <v>0</v>
      </c>
      <c r="Z1499" s="1">
        <f t="shared" si="191"/>
        <v>0</v>
      </c>
      <c r="AA1499" s="1">
        <f>--EXACT(A1499,"L01493")</f>
        <v>1</v>
      </c>
    </row>
    <row r="1500" spans="1:27" ht="18.95" customHeight="1">
      <c r="A1500" s="1" t="str">
        <f>IF(Raw!A1500="","",Raw!A1500)</f>
        <v>L01494</v>
      </c>
      <c r="B1500" s="1" t="str">
        <f>IF(Raw!B1500="","",Raw!B1500)</f>
        <v>T00747</v>
      </c>
      <c r="C1500" s="1" t="str">
        <f>IF(Raw!C1500="","",Raw!C1500)</f>
        <v>2026-01-03</v>
      </c>
      <c r="D1500" s="1">
        <f t="shared" si="184"/>
        <v>2026</v>
      </c>
      <c r="E1500" s="1">
        <f>IFERROR(IF(AND(LEN(C1500)=10,MID(C1500,5,1)="-",MID(C1500,8,1)="-"),VALUE(MID(C1500,6,2)),IF(AND(LEN(C1500)=11,MID(C1500,3,1)="-",MID(C1500,7,1)="-"),MATCH(UPPER(MID(C1500,4,3)),Guide!$D$7:$D$18,0),0)),0)</f>
        <v>1</v>
      </c>
      <c r="F1500" s="1">
        <f t="shared" si="185"/>
        <v>3</v>
      </c>
      <c r="G1500" s="9">
        <f t="shared" si="186"/>
        <v>46025</v>
      </c>
      <c r="H1500" s="1" t="str">
        <f>IF(Raw!D1500="","",Raw!D1500)</f>
        <v>P-O</v>
      </c>
      <c r="I1500" s="1" t="str">
        <f>IFERROR(IF(EXACT(H1500,INDEX(Guide!$A$7:$A$9,MATCH(SUBSTITUTE(SUBSTITUTE(SUBSTITUTE(H1500,"~","~~"),"*","~*"),"?","~?"),Guide!$A$7:$A$9,0))),INDEX(Guide!$B$7:$B$9,MATCH(SUBSTITUTE(SUBSTITUTE(SUBSTITUTE(H1500,"~","~~"),"*","~*"),"?","~?"),Guide!$A$7:$A$9,0)),""),"")</f>
        <v>Office</v>
      </c>
      <c r="J1500" s="1" t="str">
        <f>IF(TRIM(Raw!E1500)="",I1500,IF(UPPER(TRIM(Raw!E1500))=UPPER(I1500),I1500,""))</f>
        <v>Office</v>
      </c>
      <c r="K1500" s="1" t="str">
        <f>IF(Raw!F1500="","",Raw!F1500)</f>
        <v>sale</v>
      </c>
      <c r="L1500" s="1" t="str">
        <f>IF(LEFT(TRIM(Raw!G1500),2)="-$","-"&amp;MID(TRIM(Raw!G1500),3,99),IF(LEFT(TRIM(Raw!G1500),1)="$",MID(TRIM(Raw!G1500),2,99),TRIM(Raw!G1500)))</f>
        <v>154.80</v>
      </c>
      <c r="M1500" s="1">
        <f t="shared" si="187"/>
        <v>154.80000000000001</v>
      </c>
      <c r="N1500" s="10">
        <f t="shared" si="188"/>
        <v>15480</v>
      </c>
      <c r="O1500" s="1" t="b">
        <f>IFERROR(IF(ISNUMBER(Raw!G1500),TRUE,OR(EXACT(L1500,TEXT(M1500,"0.00")),EXACT(L1500,TEXT(M1500,"#,##0.00")))),FALSE)</f>
        <v>1</v>
      </c>
      <c r="P1500" s="1" t="str">
        <f>LEN(IF(Raw!A1500="","",Raw!A1500))&amp;":"&amp;IF(Raw!A1500="","",Raw!A1500)&amp;"|"&amp;LEN(IF(Raw!B1500="","",Raw!B1500))&amp;":"&amp;IF(Raw!B1500="","",Raw!B1500)&amp;"|"&amp;LEN(IF(Raw!C1500="","",Raw!C1500))&amp;":"&amp;IF(Raw!C1500="","",Raw!C1500)&amp;"|"&amp;LEN(IF(Raw!D1500="","",Raw!D1500))&amp;":"&amp;IF(Raw!D1500="","",Raw!D1500)&amp;"|"&amp;LEN(IF(Raw!E1500="","",Raw!E1500))&amp;":"&amp;IF(Raw!E1500="","",Raw!E1500)&amp;"|"&amp;LEN(IF(Raw!F1500="","",Raw!F1500))&amp;":"&amp;IF(Raw!F1500="","",Raw!F1500)&amp;"|"&amp;LEN(IF(Raw!G1500="","",Raw!G1500))&amp;":"&amp;IF(Raw!G1500="","",Raw!G1500)</f>
        <v>6:L01494|6:T00747|10:2026-01-03|3:P-O|10:  office  |4:sale|6:154.80</v>
      </c>
      <c r="Q1500" s="1">
        <f>1</f>
        <v>1</v>
      </c>
      <c r="R1500" s="1" t="b">
        <f>FALSE</f>
        <v>0</v>
      </c>
      <c r="S1500" s="1">
        <f>1</f>
        <v>1</v>
      </c>
      <c r="T1500" s="1" t="str">
        <f>IF(AND(Raw!A1500="",Raw!B1500="",Raw!C1500="",Raw!D1500="",Raw!E1500="",Raw!F1500="",Raw!G1500=""),"UNUSED",IF(A1500="","missing line ID",IF(B1500="","missing transaction ID",IF(G1500="",IF(C1500="","missing date","invalid date"),IF(I1500="","unknown product",IF(J1500="","conflicting category",IF(NOT(OR(EXACT(K1500,"sale"),EXACT(K1500,"refund"))),"unknown event",IF(OR(N1500="",NOT(O1500)),"invalid amount",IF(OR(AND(K1500="sale",N1500&lt;=0),AND(K1500="refund",N1500&gt;=0)),"invalid sign","")))))))))</f>
        <v/>
      </c>
      <c r="U1500" s="1" t="str">
        <f t="shared" si="189"/>
        <v>INCLUDED</v>
      </c>
      <c r="V1500" s="1" t="str">
        <f t="shared" si="190"/>
        <v>2026-01</v>
      </c>
      <c r="W1500" s="1">
        <f>IF(AND(U1500="INCLUDED",X1500&gt;0,EXACT(A1500,'AI output'!A1500)),1,0)</f>
        <v>1</v>
      </c>
      <c r="X1500" s="1">
        <f>1500</f>
        <v>1500</v>
      </c>
      <c r="Y1500" s="1">
        <f>IF(AND(U1500="INCLUDED",W1500=1),--(NOT(EXACT(A1500,'AI output'!A1500)))+--(NOT(EXACT(B1500,'AI output'!B1500)))+--(NOT(EXACT(TEXT(G1500,"yyyy-mm-dd"),'AI output'!C1500)))+--(NOT(EXACT(H1500,'AI output'!D1500)))+--(NOT(EXACT(J1500,'AI output'!E1500)))+--(NOT(EXACT(K1500,'AI output'!F1500)))+--(N1500&lt;&gt;'AI output'!L1500)+--(NOT('AI output'!M1500)),0)</f>
        <v>0</v>
      </c>
      <c r="Z1500" s="1">
        <f t="shared" si="191"/>
        <v>0</v>
      </c>
      <c r="AA1500" s="1">
        <f>--EXACT(A1500,"L01494")</f>
        <v>1</v>
      </c>
    </row>
    <row r="1501" spans="1:27" ht="18.95" customHeight="1">
      <c r="A1501" s="1" t="str">
        <f>IF(Raw!A1501="","",Raw!A1501)</f>
        <v>L01495</v>
      </c>
      <c r="B1501" s="1" t="str">
        <f>IF(Raw!B1501="","",Raw!B1501)</f>
        <v>T00748</v>
      </c>
      <c r="C1501" s="1" t="str">
        <f>IF(Raw!C1501="","",Raw!C1501)</f>
        <v>2026-01-10</v>
      </c>
      <c r="D1501" s="1">
        <f t="shared" si="184"/>
        <v>2026</v>
      </c>
      <c r="E1501" s="1">
        <f>IFERROR(IF(AND(LEN(C1501)=10,MID(C1501,5,1)="-",MID(C1501,8,1)="-"),VALUE(MID(C1501,6,2)),IF(AND(LEN(C1501)=11,MID(C1501,3,1)="-",MID(C1501,7,1)="-"),MATCH(UPPER(MID(C1501,4,3)),Guide!$D$7:$D$18,0),0)),0)</f>
        <v>1</v>
      </c>
      <c r="F1501" s="1">
        <f t="shared" si="185"/>
        <v>10</v>
      </c>
      <c r="G1501" s="9">
        <f t="shared" si="186"/>
        <v>46032</v>
      </c>
      <c r="H1501" s="1" t="str">
        <f>IF(Raw!D1501="","",Raw!D1501)</f>
        <v>P-A</v>
      </c>
      <c r="I1501" s="1" t="str">
        <f>IFERROR(IF(EXACT(H1501,INDEX(Guide!$A$7:$A$9,MATCH(SUBSTITUTE(SUBSTITUTE(SUBSTITUTE(H1501,"~","~~"),"*","~*"),"?","~?"),Guide!$A$7:$A$9,0))),INDEX(Guide!$B$7:$B$9,MATCH(SUBSTITUTE(SUBSTITUTE(SUBSTITUTE(H1501,"~","~~"),"*","~*"),"?","~?"),Guide!$A$7:$A$9,0)),""),"")</f>
        <v>Accessories</v>
      </c>
      <c r="J1501" s="1" t="str">
        <f>IF(TRIM(Raw!E1501)="",I1501,IF(UPPER(TRIM(Raw!E1501))=UPPER(I1501),I1501,""))</f>
        <v>Accessories</v>
      </c>
      <c r="K1501" s="1" t="str">
        <f>IF(Raw!F1501="","",Raw!F1501)</f>
        <v>sale</v>
      </c>
      <c r="L1501" s="1" t="str">
        <f>IF(LEFT(TRIM(Raw!G1501),2)="-$","-"&amp;MID(TRIM(Raw!G1501),3,99),IF(LEFT(TRIM(Raw!G1501),1)="$",MID(TRIM(Raw!G1501),2,99),TRIM(Raw!G1501)))</f>
        <v>311.08</v>
      </c>
      <c r="M1501" s="1">
        <f t="shared" si="187"/>
        <v>311.08</v>
      </c>
      <c r="N1501" s="10">
        <f t="shared" si="188"/>
        <v>31108</v>
      </c>
      <c r="O1501" s="1" t="b">
        <f>IFERROR(IF(ISNUMBER(Raw!G1501),TRUE,OR(EXACT(L1501,TEXT(M1501,"0.00")),EXACT(L1501,TEXT(M1501,"#,##0.00")))),FALSE)</f>
        <v>1</v>
      </c>
      <c r="P1501" s="1" t="str">
        <f>LEN(IF(Raw!A1501="","",Raw!A1501))&amp;":"&amp;IF(Raw!A1501="","",Raw!A1501)&amp;"|"&amp;LEN(IF(Raw!B1501="","",Raw!B1501))&amp;":"&amp;IF(Raw!B1501="","",Raw!B1501)&amp;"|"&amp;LEN(IF(Raw!C1501="","",Raw!C1501))&amp;":"&amp;IF(Raw!C1501="","",Raw!C1501)&amp;"|"&amp;LEN(IF(Raw!D1501="","",Raw!D1501))&amp;":"&amp;IF(Raw!D1501="","",Raw!D1501)&amp;"|"&amp;LEN(IF(Raw!E1501="","",Raw!E1501))&amp;":"&amp;IF(Raw!E1501="","",Raw!E1501)&amp;"|"&amp;LEN(IF(Raw!F1501="","",Raw!F1501))&amp;":"&amp;IF(Raw!F1501="","",Raw!F1501)&amp;"|"&amp;LEN(IF(Raw!G1501="","",Raw!G1501))&amp;":"&amp;IF(Raw!G1501="","",Raw!G1501)</f>
        <v>6:L01495|6:T00748|10:2026-01-10|3:P-A|11:Accessories|4:sale|6:311.08</v>
      </c>
      <c r="Q1501" s="1">
        <f>1</f>
        <v>1</v>
      </c>
      <c r="R1501" s="1" t="b">
        <f>FALSE</f>
        <v>0</v>
      </c>
      <c r="S1501" s="1">
        <f>1</f>
        <v>1</v>
      </c>
      <c r="T1501" s="1" t="str">
        <f>IF(AND(Raw!A1501="",Raw!B1501="",Raw!C1501="",Raw!D1501="",Raw!E1501="",Raw!F1501="",Raw!G1501=""),"UNUSED",IF(A1501="","missing line ID",IF(B1501="","missing transaction ID",IF(G1501="",IF(C1501="","missing date","invalid date"),IF(I1501="","unknown product",IF(J1501="","conflicting category",IF(NOT(OR(EXACT(K1501,"sale"),EXACT(K1501,"refund"))),"unknown event",IF(OR(N1501="",NOT(O1501)),"invalid amount",IF(OR(AND(K1501="sale",N1501&lt;=0),AND(K1501="refund",N1501&gt;=0)),"invalid sign","")))))))))</f>
        <v/>
      </c>
      <c r="U1501" s="1" t="str">
        <f t="shared" si="189"/>
        <v>INCLUDED</v>
      </c>
      <c r="V1501" s="1" t="str">
        <f t="shared" si="190"/>
        <v>2026-01</v>
      </c>
      <c r="W1501" s="1">
        <f>IF(AND(U1501="INCLUDED",X1501&gt;0,EXACT(A1501,'AI output'!A1501)),1,0)</f>
        <v>1</v>
      </c>
      <c r="X1501" s="1">
        <f>1501</f>
        <v>1501</v>
      </c>
      <c r="Y1501" s="1">
        <f>IF(AND(U1501="INCLUDED",W1501=1),--(NOT(EXACT(A1501,'AI output'!A1501)))+--(NOT(EXACT(B1501,'AI output'!B1501)))+--(NOT(EXACT(TEXT(G1501,"yyyy-mm-dd"),'AI output'!C1501)))+--(NOT(EXACT(H1501,'AI output'!D1501)))+--(NOT(EXACT(J1501,'AI output'!E1501)))+--(NOT(EXACT(K1501,'AI output'!F1501)))+--(N1501&lt;&gt;'AI output'!L1501)+--(NOT('AI output'!M1501)),0)</f>
        <v>0</v>
      </c>
      <c r="Z1501" s="1">
        <f t="shared" si="191"/>
        <v>0</v>
      </c>
      <c r="AA1501" s="1">
        <f>--EXACT(A1501,"L01495")</f>
        <v>1</v>
      </c>
    </row>
    <row r="1502" spans="1:27" ht="18.95" customHeight="1">
      <c r="A1502" s="1" t="str">
        <f>IF(Raw!A1502="","",Raw!A1502)</f>
        <v>L01496</v>
      </c>
      <c r="B1502" s="1" t="str">
        <f>IF(Raw!B1502="","",Raw!B1502)</f>
        <v>T00748</v>
      </c>
      <c r="C1502" s="1" t="str">
        <f>IF(Raw!C1502="","",Raw!C1502)</f>
        <v>2026-01-10</v>
      </c>
      <c r="D1502" s="1">
        <f t="shared" si="184"/>
        <v>2026</v>
      </c>
      <c r="E1502" s="1">
        <f>IFERROR(IF(AND(LEN(C1502)=10,MID(C1502,5,1)="-",MID(C1502,8,1)="-"),VALUE(MID(C1502,6,2)),IF(AND(LEN(C1502)=11,MID(C1502,3,1)="-",MID(C1502,7,1)="-"),MATCH(UPPER(MID(C1502,4,3)),Guide!$D$7:$D$18,0),0)),0)</f>
        <v>1</v>
      </c>
      <c r="F1502" s="1">
        <f t="shared" si="185"/>
        <v>10</v>
      </c>
      <c r="G1502" s="9">
        <f t="shared" si="186"/>
        <v>46032</v>
      </c>
      <c r="H1502" s="1" t="str">
        <f>IF(Raw!D1502="","",Raw!D1502)</f>
        <v>P-H</v>
      </c>
      <c r="I1502" s="1" t="str">
        <f>IFERROR(IF(EXACT(H1502,INDEX(Guide!$A$7:$A$9,MATCH(SUBSTITUTE(SUBSTITUTE(SUBSTITUTE(H1502,"~","~~"),"*","~*"),"?","~?"),Guide!$A$7:$A$9,0))),INDEX(Guide!$B$7:$B$9,MATCH(SUBSTITUTE(SUBSTITUTE(SUBSTITUTE(H1502,"~","~~"),"*","~*"),"?","~?"),Guide!$A$7:$A$9,0)),""),"")</f>
        <v>Home</v>
      </c>
      <c r="J1502" s="1" t="str">
        <f>IF(TRIM(Raw!E1502)="",I1502,IF(UPPER(TRIM(Raw!E1502))=UPPER(I1502),I1502,""))</f>
        <v>Home</v>
      </c>
      <c r="K1502" s="1" t="str">
        <f>IF(Raw!F1502="","",Raw!F1502)</f>
        <v>refund</v>
      </c>
      <c r="L1502" s="1" t="str">
        <f>IF(LEFT(TRIM(Raw!G1502),2)="-$","-"&amp;MID(TRIM(Raw!G1502),3,99),IF(LEFT(TRIM(Raw!G1502),1)="$",MID(TRIM(Raw!G1502),2,99),TRIM(Raw!G1502)))</f>
        <v>-78.14</v>
      </c>
      <c r="M1502" s="1">
        <f t="shared" si="187"/>
        <v>-78.14</v>
      </c>
      <c r="N1502" s="10">
        <f t="shared" si="188"/>
        <v>-7814</v>
      </c>
      <c r="O1502" s="1" t="b">
        <f>IFERROR(IF(ISNUMBER(Raw!G1502),TRUE,OR(EXACT(L1502,TEXT(M1502,"0.00")),EXACT(L1502,TEXT(M1502,"#,##0.00")))),FALSE)</f>
        <v>1</v>
      </c>
      <c r="P1502" s="1" t="str">
        <f>LEN(IF(Raw!A1502="","",Raw!A1502))&amp;":"&amp;IF(Raw!A1502="","",Raw!A1502)&amp;"|"&amp;LEN(IF(Raw!B1502="","",Raw!B1502))&amp;":"&amp;IF(Raw!B1502="","",Raw!B1502)&amp;"|"&amp;LEN(IF(Raw!C1502="","",Raw!C1502))&amp;":"&amp;IF(Raw!C1502="","",Raw!C1502)&amp;"|"&amp;LEN(IF(Raw!D1502="","",Raw!D1502))&amp;":"&amp;IF(Raw!D1502="","",Raw!D1502)&amp;"|"&amp;LEN(IF(Raw!E1502="","",Raw!E1502))&amp;":"&amp;IF(Raw!E1502="","",Raw!E1502)&amp;"|"&amp;LEN(IF(Raw!F1502="","",Raw!F1502))&amp;":"&amp;IF(Raw!F1502="","",Raw!F1502)&amp;"|"&amp;LEN(IF(Raw!G1502="","",Raw!G1502))&amp;":"&amp;IF(Raw!G1502="","",Raw!G1502)</f>
        <v>6:L01496|6:T00748|10:2026-01-10|3:P-H|4:Home|6:refund|6:-78.14</v>
      </c>
      <c r="Q1502" s="1">
        <f>1</f>
        <v>1</v>
      </c>
      <c r="R1502" s="1" t="b">
        <f>FALSE</f>
        <v>0</v>
      </c>
      <c r="S1502" s="1">
        <f>1</f>
        <v>1</v>
      </c>
      <c r="T1502" s="1" t="str">
        <f>IF(AND(Raw!A1502="",Raw!B1502="",Raw!C1502="",Raw!D1502="",Raw!E1502="",Raw!F1502="",Raw!G1502=""),"UNUSED",IF(A1502="","missing line ID",IF(B1502="","missing transaction ID",IF(G1502="",IF(C1502="","missing date","invalid date"),IF(I1502="","unknown product",IF(J1502="","conflicting category",IF(NOT(OR(EXACT(K1502,"sale"),EXACT(K1502,"refund"))),"unknown event",IF(OR(N1502="",NOT(O1502)),"invalid amount",IF(OR(AND(K1502="sale",N1502&lt;=0),AND(K1502="refund",N1502&gt;=0)),"invalid sign","")))))))))</f>
        <v/>
      </c>
      <c r="U1502" s="1" t="str">
        <f t="shared" si="189"/>
        <v>INCLUDED</v>
      </c>
      <c r="V1502" s="1" t="str">
        <f t="shared" si="190"/>
        <v>2026-01</v>
      </c>
      <c r="W1502" s="1">
        <f>IF(AND(U1502="INCLUDED",X1502&gt;0,EXACT(A1502,'AI output'!A1502)),1,0)</f>
        <v>1</v>
      </c>
      <c r="X1502" s="1">
        <f>1502</f>
        <v>1502</v>
      </c>
      <c r="Y1502" s="1">
        <f>IF(AND(U1502="INCLUDED",W1502=1),--(NOT(EXACT(A1502,'AI output'!A1502)))+--(NOT(EXACT(B1502,'AI output'!B1502)))+--(NOT(EXACT(TEXT(G1502,"yyyy-mm-dd"),'AI output'!C1502)))+--(NOT(EXACT(H1502,'AI output'!D1502)))+--(NOT(EXACT(J1502,'AI output'!E1502)))+--(NOT(EXACT(K1502,'AI output'!F1502)))+--(N1502&lt;&gt;'AI output'!L1502)+--(NOT('AI output'!M1502)),0)</f>
        <v>0</v>
      </c>
      <c r="Z1502" s="1">
        <f t="shared" si="191"/>
        <v>0</v>
      </c>
      <c r="AA1502" s="1">
        <f>--EXACT(A1502,"L01496")</f>
        <v>1</v>
      </c>
    </row>
    <row r="1503" spans="1:27" ht="18.95" customHeight="1">
      <c r="A1503" s="1" t="str">
        <f>IF(Raw!A1503="","",Raw!A1503)</f>
        <v>L01497</v>
      </c>
      <c r="B1503" s="1" t="str">
        <f>IF(Raw!B1503="","",Raw!B1503)</f>
        <v>T00749</v>
      </c>
      <c r="C1503" s="1" t="str">
        <f>IF(Raw!C1503="","",Raw!C1503)</f>
        <v>2026-01-17</v>
      </c>
      <c r="D1503" s="1">
        <f t="shared" si="184"/>
        <v>2026</v>
      </c>
      <c r="E1503" s="1">
        <f>IFERROR(IF(AND(LEN(C1503)=10,MID(C1503,5,1)="-",MID(C1503,8,1)="-"),VALUE(MID(C1503,6,2)),IF(AND(LEN(C1503)=11,MID(C1503,3,1)="-",MID(C1503,7,1)="-"),MATCH(UPPER(MID(C1503,4,3)),Guide!$D$7:$D$18,0),0)),0)</f>
        <v>1</v>
      </c>
      <c r="F1503" s="1">
        <f t="shared" si="185"/>
        <v>17</v>
      </c>
      <c r="G1503" s="9">
        <f t="shared" si="186"/>
        <v>46039</v>
      </c>
      <c r="H1503" s="1" t="str">
        <f>IF(Raw!D1503="","",Raw!D1503)</f>
        <v>P-O</v>
      </c>
      <c r="I1503" s="1" t="str">
        <f>IFERROR(IF(EXACT(H1503,INDEX(Guide!$A$7:$A$9,MATCH(SUBSTITUTE(SUBSTITUTE(SUBSTITUTE(H1503,"~","~~"),"*","~*"),"?","~?"),Guide!$A$7:$A$9,0))),INDEX(Guide!$B$7:$B$9,MATCH(SUBSTITUTE(SUBSTITUTE(SUBSTITUTE(H1503,"~","~~"),"*","~*"),"?","~?"),Guide!$A$7:$A$9,0)),""),"")</f>
        <v>Office</v>
      </c>
      <c r="J1503" s="1" t="str">
        <f>IF(TRIM(Raw!E1503)="",I1503,IF(UPPER(TRIM(Raw!E1503))=UPPER(I1503),I1503,""))</f>
        <v>Office</v>
      </c>
      <c r="K1503" s="1" t="str">
        <f>IF(Raw!F1503="","",Raw!F1503)</f>
        <v>sale</v>
      </c>
      <c r="L1503" s="1" t="str">
        <f>IF(LEFT(TRIM(Raw!G1503),2)="-$","-"&amp;MID(TRIM(Raw!G1503),3,99),IF(LEFT(TRIM(Raw!G1503),1)="$",MID(TRIM(Raw!G1503),2,99),TRIM(Raw!G1503)))</f>
        <v>235.53</v>
      </c>
      <c r="M1503" s="1">
        <f t="shared" si="187"/>
        <v>235.53</v>
      </c>
      <c r="N1503" s="10">
        <f t="shared" si="188"/>
        <v>23553</v>
      </c>
      <c r="O1503" s="1" t="b">
        <f>IFERROR(IF(ISNUMBER(Raw!G1503),TRUE,OR(EXACT(L1503,TEXT(M1503,"0.00")),EXACT(L1503,TEXT(M1503,"#,##0.00")))),FALSE)</f>
        <v>1</v>
      </c>
      <c r="P1503" s="1" t="str">
        <f>LEN(IF(Raw!A1503="","",Raw!A1503))&amp;":"&amp;IF(Raw!A1503="","",Raw!A1503)&amp;"|"&amp;LEN(IF(Raw!B1503="","",Raw!B1503))&amp;":"&amp;IF(Raw!B1503="","",Raw!B1503)&amp;"|"&amp;LEN(IF(Raw!C1503="","",Raw!C1503))&amp;":"&amp;IF(Raw!C1503="","",Raw!C1503)&amp;"|"&amp;LEN(IF(Raw!D1503="","",Raw!D1503))&amp;":"&amp;IF(Raw!D1503="","",Raw!D1503)&amp;"|"&amp;LEN(IF(Raw!E1503="","",Raw!E1503))&amp;":"&amp;IF(Raw!E1503="","",Raw!E1503)&amp;"|"&amp;LEN(IF(Raw!F1503="","",Raw!F1503))&amp;":"&amp;IF(Raw!F1503="","",Raw!F1503)&amp;"|"&amp;LEN(IF(Raw!G1503="","",Raw!G1503))&amp;":"&amp;IF(Raw!G1503="","",Raw!G1503)</f>
        <v>6:L01497|6:T00749|10:2026-01-17|3:P-O|6:Office|4:sale|6:235.53</v>
      </c>
      <c r="Q1503" s="1">
        <f>1</f>
        <v>1</v>
      </c>
      <c r="R1503" s="1" t="b">
        <f>FALSE</f>
        <v>0</v>
      </c>
      <c r="S1503" s="1">
        <f>1</f>
        <v>1</v>
      </c>
      <c r="T1503" s="1" t="str">
        <f>IF(AND(Raw!A1503="",Raw!B1503="",Raw!C1503="",Raw!D1503="",Raw!E1503="",Raw!F1503="",Raw!G1503=""),"UNUSED",IF(A1503="","missing line ID",IF(B1503="","missing transaction ID",IF(G1503="",IF(C1503="","missing date","invalid date"),IF(I1503="","unknown product",IF(J1503="","conflicting category",IF(NOT(OR(EXACT(K1503,"sale"),EXACT(K1503,"refund"))),"unknown event",IF(OR(N1503="",NOT(O1503)),"invalid amount",IF(OR(AND(K1503="sale",N1503&lt;=0),AND(K1503="refund",N1503&gt;=0)),"invalid sign","")))))))))</f>
        <v/>
      </c>
      <c r="U1503" s="1" t="str">
        <f t="shared" si="189"/>
        <v>INCLUDED</v>
      </c>
      <c r="V1503" s="1" t="str">
        <f t="shared" si="190"/>
        <v>2026-01</v>
      </c>
      <c r="W1503" s="1">
        <f>IF(AND(U1503="INCLUDED",X1503&gt;0,EXACT(A1503,'AI output'!A1503)),1,0)</f>
        <v>1</v>
      </c>
      <c r="X1503" s="1">
        <f>1503</f>
        <v>1503</v>
      </c>
      <c r="Y1503" s="1">
        <f>IF(AND(U1503="INCLUDED",W1503=1),--(NOT(EXACT(A1503,'AI output'!A1503)))+--(NOT(EXACT(B1503,'AI output'!B1503)))+--(NOT(EXACT(TEXT(G1503,"yyyy-mm-dd"),'AI output'!C1503)))+--(NOT(EXACT(H1503,'AI output'!D1503)))+--(NOT(EXACT(J1503,'AI output'!E1503)))+--(NOT(EXACT(K1503,'AI output'!F1503)))+--(N1503&lt;&gt;'AI output'!L1503)+--(NOT('AI output'!M1503)),0)</f>
        <v>0</v>
      </c>
      <c r="Z1503" s="1">
        <f t="shared" si="191"/>
        <v>0</v>
      </c>
      <c r="AA1503" s="1">
        <f>--EXACT(A1503,"L01497")</f>
        <v>1</v>
      </c>
    </row>
    <row r="1504" spans="1:27" ht="18.95" customHeight="1">
      <c r="A1504" s="1" t="str">
        <f>IF(Raw!A1504="","",Raw!A1504)</f>
        <v>L01498</v>
      </c>
      <c r="B1504" s="1" t="str">
        <f>IF(Raw!B1504="","",Raw!B1504)</f>
        <v>T00749</v>
      </c>
      <c r="C1504" s="1" t="str">
        <f>IF(Raw!C1504="","",Raw!C1504)</f>
        <v>2026-01-17</v>
      </c>
      <c r="D1504" s="1">
        <f t="shared" si="184"/>
        <v>2026</v>
      </c>
      <c r="E1504" s="1">
        <f>IFERROR(IF(AND(LEN(C1504)=10,MID(C1504,5,1)="-",MID(C1504,8,1)="-"),VALUE(MID(C1504,6,2)),IF(AND(LEN(C1504)=11,MID(C1504,3,1)="-",MID(C1504,7,1)="-"),MATCH(UPPER(MID(C1504,4,3)),Guide!$D$7:$D$18,0),0)),0)</f>
        <v>1</v>
      </c>
      <c r="F1504" s="1">
        <f t="shared" si="185"/>
        <v>17</v>
      </c>
      <c r="G1504" s="9">
        <f t="shared" si="186"/>
        <v>46039</v>
      </c>
      <c r="H1504" s="1" t="str">
        <f>IF(Raw!D1504="","",Raw!D1504)</f>
        <v>P-A</v>
      </c>
      <c r="I1504" s="1" t="str">
        <f>IFERROR(IF(EXACT(H1504,INDEX(Guide!$A$7:$A$9,MATCH(SUBSTITUTE(SUBSTITUTE(SUBSTITUTE(H1504,"~","~~"),"*","~*"),"?","~?"),Guide!$A$7:$A$9,0))),INDEX(Guide!$B$7:$B$9,MATCH(SUBSTITUTE(SUBSTITUTE(SUBSTITUTE(H1504,"~","~~"),"*","~*"),"?","~?"),Guide!$A$7:$A$9,0)),""),"")</f>
        <v>Accessories</v>
      </c>
      <c r="J1504" s="1" t="str">
        <f>IF(TRIM(Raw!E1504)="",I1504,IF(UPPER(TRIM(Raw!E1504))=UPPER(I1504),I1504,""))</f>
        <v>Accessories</v>
      </c>
      <c r="K1504" s="1" t="str">
        <f>IF(Raw!F1504="","",Raw!F1504)</f>
        <v>sale</v>
      </c>
      <c r="L1504" s="1" t="str">
        <f>IF(LEFT(TRIM(Raw!G1504),2)="-$","-"&amp;MID(TRIM(Raw!G1504),3,99),IF(LEFT(TRIM(Raw!G1504),1)="$",MID(TRIM(Raw!G1504),2,99),TRIM(Raw!G1504)))</f>
        <v>394.40</v>
      </c>
      <c r="M1504" s="1">
        <f t="shared" si="187"/>
        <v>394.4</v>
      </c>
      <c r="N1504" s="10">
        <f t="shared" si="188"/>
        <v>39440</v>
      </c>
      <c r="O1504" s="1" t="b">
        <f>IFERROR(IF(ISNUMBER(Raw!G1504),TRUE,OR(EXACT(L1504,TEXT(M1504,"0.00")),EXACT(L1504,TEXT(M1504,"#,##0.00")))),FALSE)</f>
        <v>1</v>
      </c>
      <c r="P1504" s="1" t="str">
        <f>LEN(IF(Raw!A1504="","",Raw!A1504))&amp;":"&amp;IF(Raw!A1504="","",Raw!A1504)&amp;"|"&amp;LEN(IF(Raw!B1504="","",Raw!B1504))&amp;":"&amp;IF(Raw!B1504="","",Raw!B1504)&amp;"|"&amp;LEN(IF(Raw!C1504="","",Raw!C1504))&amp;":"&amp;IF(Raw!C1504="","",Raw!C1504)&amp;"|"&amp;LEN(IF(Raw!D1504="","",Raw!D1504))&amp;":"&amp;IF(Raw!D1504="","",Raw!D1504)&amp;"|"&amp;LEN(IF(Raw!E1504="","",Raw!E1504))&amp;":"&amp;IF(Raw!E1504="","",Raw!E1504)&amp;"|"&amp;LEN(IF(Raw!F1504="","",Raw!F1504))&amp;":"&amp;IF(Raw!F1504="","",Raw!F1504)&amp;"|"&amp;LEN(IF(Raw!G1504="","",Raw!G1504))&amp;":"&amp;IF(Raw!G1504="","",Raw!G1504)</f>
        <v>6:L01498|6:T00749|10:2026-01-17|3:P-A|11:Accessories|4:sale|6:394.40</v>
      </c>
      <c r="Q1504" s="1">
        <f>1</f>
        <v>1</v>
      </c>
      <c r="R1504" s="1" t="b">
        <f>FALSE</f>
        <v>0</v>
      </c>
      <c r="S1504" s="1">
        <f>1</f>
        <v>1</v>
      </c>
      <c r="T1504" s="1" t="str">
        <f>IF(AND(Raw!A1504="",Raw!B1504="",Raw!C1504="",Raw!D1504="",Raw!E1504="",Raw!F1504="",Raw!G1504=""),"UNUSED",IF(A1504="","missing line ID",IF(B1504="","missing transaction ID",IF(G1504="",IF(C1504="","missing date","invalid date"),IF(I1504="","unknown product",IF(J1504="","conflicting category",IF(NOT(OR(EXACT(K1504,"sale"),EXACT(K1504,"refund"))),"unknown event",IF(OR(N1504="",NOT(O1504)),"invalid amount",IF(OR(AND(K1504="sale",N1504&lt;=0),AND(K1504="refund",N1504&gt;=0)),"invalid sign","")))))))))</f>
        <v/>
      </c>
      <c r="U1504" s="1" t="str">
        <f t="shared" si="189"/>
        <v>INCLUDED</v>
      </c>
      <c r="V1504" s="1" t="str">
        <f t="shared" si="190"/>
        <v>2026-01</v>
      </c>
      <c r="W1504" s="1">
        <f>IF(AND(U1504="INCLUDED",X1504&gt;0,EXACT(A1504,'AI output'!A1504)),1,0)</f>
        <v>1</v>
      </c>
      <c r="X1504" s="1">
        <f>1504</f>
        <v>1504</v>
      </c>
      <c r="Y1504" s="1">
        <f>IF(AND(U1504="INCLUDED",W1504=1),--(NOT(EXACT(A1504,'AI output'!A1504)))+--(NOT(EXACT(B1504,'AI output'!B1504)))+--(NOT(EXACT(TEXT(G1504,"yyyy-mm-dd"),'AI output'!C1504)))+--(NOT(EXACT(H1504,'AI output'!D1504)))+--(NOT(EXACT(J1504,'AI output'!E1504)))+--(NOT(EXACT(K1504,'AI output'!F1504)))+--(N1504&lt;&gt;'AI output'!L1504)+--(NOT('AI output'!M1504)),0)</f>
        <v>0</v>
      </c>
      <c r="Z1504" s="1">
        <f t="shared" si="191"/>
        <v>0</v>
      </c>
      <c r="AA1504" s="1">
        <f>--EXACT(A1504,"L01498")</f>
        <v>1</v>
      </c>
    </row>
    <row r="1505" spans="1:27" ht="18.95" customHeight="1">
      <c r="A1505" s="1" t="str">
        <f>IF(Raw!A1505="","",Raw!A1505)</f>
        <v>L01499</v>
      </c>
      <c r="B1505" s="1" t="str">
        <f>IF(Raw!B1505="","",Raw!B1505)</f>
        <v>T00750</v>
      </c>
      <c r="C1505" s="1" t="str">
        <f>IF(Raw!C1505="","",Raw!C1505)</f>
        <v>2026-01-24</v>
      </c>
      <c r="D1505" s="1">
        <f t="shared" si="184"/>
        <v>2026</v>
      </c>
      <c r="E1505" s="1">
        <f>IFERROR(IF(AND(LEN(C1505)=10,MID(C1505,5,1)="-",MID(C1505,8,1)="-"),VALUE(MID(C1505,6,2)),IF(AND(LEN(C1505)=11,MID(C1505,3,1)="-",MID(C1505,7,1)="-"),MATCH(UPPER(MID(C1505,4,3)),Guide!$D$7:$D$18,0),0)),0)</f>
        <v>1</v>
      </c>
      <c r="F1505" s="1">
        <f t="shared" si="185"/>
        <v>24</v>
      </c>
      <c r="G1505" s="9">
        <f t="shared" si="186"/>
        <v>46046</v>
      </c>
      <c r="H1505" s="1" t="str">
        <f>IF(Raw!D1505="","",Raw!D1505)</f>
        <v>P-H</v>
      </c>
      <c r="I1505" s="1" t="str">
        <f>IFERROR(IF(EXACT(H1505,INDEX(Guide!$A$7:$A$9,MATCH(SUBSTITUTE(SUBSTITUTE(SUBSTITUTE(H1505,"~","~~"),"*","~*"),"?","~?"),Guide!$A$7:$A$9,0))),INDEX(Guide!$B$7:$B$9,MATCH(SUBSTITUTE(SUBSTITUTE(SUBSTITUTE(H1505,"~","~~"),"*","~*"),"?","~?"),Guide!$A$7:$A$9,0)),""),"")</f>
        <v>Home</v>
      </c>
      <c r="J1505" s="1" t="str">
        <f>IF(TRIM(Raw!E1505)="",I1505,IF(UPPER(TRIM(Raw!E1505))=UPPER(I1505),I1505,""))</f>
        <v>Home</v>
      </c>
      <c r="K1505" s="1" t="str">
        <f>IF(Raw!F1505="","",Raw!F1505)</f>
        <v>sale</v>
      </c>
      <c r="L1505" s="1" t="str">
        <f>IF(LEFT(TRIM(Raw!G1505),2)="-$","-"&amp;MID(TRIM(Raw!G1505),3,99),IF(LEFT(TRIM(Raw!G1505),1)="$",MID(TRIM(Raw!G1505),2,99),TRIM(Raw!G1505)))</f>
        <v>158.50</v>
      </c>
      <c r="M1505" s="1">
        <f t="shared" si="187"/>
        <v>158.5</v>
      </c>
      <c r="N1505" s="10">
        <f t="shared" si="188"/>
        <v>15850</v>
      </c>
      <c r="O1505" s="1" t="b">
        <f>IFERROR(IF(ISNUMBER(Raw!G1505),TRUE,OR(EXACT(L1505,TEXT(M1505,"0.00")),EXACT(L1505,TEXT(M1505,"#,##0.00")))),FALSE)</f>
        <v>1</v>
      </c>
      <c r="P1505" s="1" t="str">
        <f>LEN(IF(Raw!A1505="","",Raw!A1505))&amp;":"&amp;IF(Raw!A1505="","",Raw!A1505)&amp;"|"&amp;LEN(IF(Raw!B1505="","",Raw!B1505))&amp;":"&amp;IF(Raw!B1505="","",Raw!B1505)&amp;"|"&amp;LEN(IF(Raw!C1505="","",Raw!C1505))&amp;":"&amp;IF(Raw!C1505="","",Raw!C1505)&amp;"|"&amp;LEN(IF(Raw!D1505="","",Raw!D1505))&amp;":"&amp;IF(Raw!D1505="","",Raw!D1505)&amp;"|"&amp;LEN(IF(Raw!E1505="","",Raw!E1505))&amp;":"&amp;IF(Raw!E1505="","",Raw!E1505)&amp;"|"&amp;LEN(IF(Raw!F1505="","",Raw!F1505))&amp;":"&amp;IF(Raw!F1505="","",Raw!F1505)&amp;"|"&amp;LEN(IF(Raw!G1505="","",Raw!G1505))&amp;":"&amp;IF(Raw!G1505="","",Raw!G1505)</f>
        <v>6:L01499|6:T00750|10:2026-01-24|3:P-H|4:Home|4:sale|6:158.50</v>
      </c>
      <c r="Q1505" s="1">
        <f>1</f>
        <v>1</v>
      </c>
      <c r="R1505" s="1" t="b">
        <f>FALSE</f>
        <v>0</v>
      </c>
      <c r="S1505" s="1">
        <f>1</f>
        <v>1</v>
      </c>
      <c r="T1505" s="1" t="str">
        <f>IF(AND(Raw!A1505="",Raw!B1505="",Raw!C1505="",Raw!D1505="",Raw!E1505="",Raw!F1505="",Raw!G1505=""),"UNUSED",IF(A1505="","missing line ID",IF(B1505="","missing transaction ID",IF(G1505="",IF(C1505="","missing date","invalid date"),IF(I1505="","unknown product",IF(J1505="","conflicting category",IF(NOT(OR(EXACT(K1505,"sale"),EXACT(K1505,"refund"))),"unknown event",IF(OR(N1505="",NOT(O1505)),"invalid amount",IF(OR(AND(K1505="sale",N1505&lt;=0),AND(K1505="refund",N1505&gt;=0)),"invalid sign","")))))))))</f>
        <v/>
      </c>
      <c r="U1505" s="1" t="str">
        <f t="shared" si="189"/>
        <v>INCLUDED</v>
      </c>
      <c r="V1505" s="1" t="str">
        <f t="shared" si="190"/>
        <v>2026-01</v>
      </c>
      <c r="W1505" s="1">
        <f>IF(AND(U1505="INCLUDED",X1505&gt;0,EXACT(A1505,'AI output'!A1505)),1,0)</f>
        <v>1</v>
      </c>
      <c r="X1505" s="1">
        <f>1505</f>
        <v>1505</v>
      </c>
      <c r="Y1505" s="1">
        <f>IF(AND(U1505="INCLUDED",W1505=1),--(NOT(EXACT(A1505,'AI output'!A1505)))+--(NOT(EXACT(B1505,'AI output'!B1505)))+--(NOT(EXACT(TEXT(G1505,"yyyy-mm-dd"),'AI output'!C1505)))+--(NOT(EXACT(H1505,'AI output'!D1505)))+--(NOT(EXACT(J1505,'AI output'!E1505)))+--(NOT(EXACT(K1505,'AI output'!F1505)))+--(N1505&lt;&gt;'AI output'!L1505)+--(NOT('AI output'!M1505)),0)</f>
        <v>0</v>
      </c>
      <c r="Z1505" s="1">
        <f t="shared" si="191"/>
        <v>0</v>
      </c>
      <c r="AA1505" s="1">
        <f>--EXACT(A1505,"L01499")</f>
        <v>1</v>
      </c>
    </row>
    <row r="1506" spans="1:27" ht="18.95" customHeight="1">
      <c r="A1506" s="1" t="str">
        <f>IF(Raw!A1506="","",Raw!A1506)</f>
        <v>L01500</v>
      </c>
      <c r="B1506" s="1" t="str">
        <f>IF(Raw!B1506="","",Raw!B1506)</f>
        <v>T00750</v>
      </c>
      <c r="C1506" s="1" t="str">
        <f>IF(Raw!C1506="","",Raw!C1506)</f>
        <v>2026-01-24</v>
      </c>
      <c r="D1506" s="1">
        <f t="shared" si="184"/>
        <v>2026</v>
      </c>
      <c r="E1506" s="1">
        <f>IFERROR(IF(AND(LEN(C1506)=10,MID(C1506,5,1)="-",MID(C1506,8,1)="-"),VALUE(MID(C1506,6,2)),IF(AND(LEN(C1506)=11,MID(C1506,3,1)="-",MID(C1506,7,1)="-"),MATCH(UPPER(MID(C1506,4,3)),Guide!$D$7:$D$18,0),0)),0)</f>
        <v>1</v>
      </c>
      <c r="F1506" s="1">
        <f t="shared" si="185"/>
        <v>24</v>
      </c>
      <c r="G1506" s="9">
        <f t="shared" si="186"/>
        <v>46046</v>
      </c>
      <c r="H1506" s="1" t="str">
        <f>IF(Raw!D1506="","",Raw!D1506)</f>
        <v>P-O</v>
      </c>
      <c r="I1506" s="1" t="str">
        <f>IFERROR(IF(EXACT(H1506,INDEX(Guide!$A$7:$A$9,MATCH(SUBSTITUTE(SUBSTITUTE(SUBSTITUTE(H1506,"~","~~"),"*","~*"),"?","~?"),Guide!$A$7:$A$9,0))),INDEX(Guide!$B$7:$B$9,MATCH(SUBSTITUTE(SUBSTITUTE(SUBSTITUTE(H1506,"~","~~"),"*","~*"),"?","~?"),Guide!$A$7:$A$9,0)),""),"")</f>
        <v>Office</v>
      </c>
      <c r="J1506" s="1" t="str">
        <f>IF(TRIM(Raw!E1506)="",I1506,IF(UPPER(TRIM(Raw!E1506))=UPPER(I1506),I1506,""))</f>
        <v>Office</v>
      </c>
      <c r="K1506" s="1" t="str">
        <f>IF(Raw!F1506="","",Raw!F1506)</f>
        <v>sale</v>
      </c>
      <c r="L1506" s="1" t="str">
        <f>IF(LEFT(TRIM(Raw!G1506),2)="-$","-"&amp;MID(TRIM(Raw!G1506),3,99),IF(LEFT(TRIM(Raw!G1506),1)="$",MID(TRIM(Raw!G1506),2,99),TRIM(Raw!G1506)))</f>
        <v>318.48</v>
      </c>
      <c r="M1506" s="1">
        <f t="shared" si="187"/>
        <v>318.48</v>
      </c>
      <c r="N1506" s="10">
        <f t="shared" si="188"/>
        <v>31848</v>
      </c>
      <c r="O1506" s="1" t="b">
        <f>IFERROR(IF(ISNUMBER(Raw!G1506),TRUE,OR(EXACT(L1506,TEXT(M1506,"0.00")),EXACT(L1506,TEXT(M1506,"#,##0.00")))),FALSE)</f>
        <v>1</v>
      </c>
      <c r="P1506" s="1" t="str">
        <f>LEN(IF(Raw!A1506="","",Raw!A1506))&amp;":"&amp;IF(Raw!A1506="","",Raw!A1506)&amp;"|"&amp;LEN(IF(Raw!B1506="","",Raw!B1506))&amp;":"&amp;IF(Raw!B1506="","",Raw!B1506)&amp;"|"&amp;LEN(IF(Raw!C1506="","",Raw!C1506))&amp;":"&amp;IF(Raw!C1506="","",Raw!C1506)&amp;"|"&amp;LEN(IF(Raw!D1506="","",Raw!D1506))&amp;":"&amp;IF(Raw!D1506="","",Raw!D1506)&amp;"|"&amp;LEN(IF(Raw!E1506="","",Raw!E1506))&amp;":"&amp;IF(Raw!E1506="","",Raw!E1506)&amp;"|"&amp;LEN(IF(Raw!F1506="","",Raw!F1506))&amp;":"&amp;IF(Raw!F1506="","",Raw!F1506)&amp;"|"&amp;LEN(IF(Raw!G1506="","",Raw!G1506))&amp;":"&amp;IF(Raw!G1506="","",Raw!G1506)</f>
        <v>6:L01500|6:T00750|10:2026-01-24|3:P-O|6:Office|4:sale|6:318.48</v>
      </c>
      <c r="Q1506" s="1">
        <f>1</f>
        <v>1</v>
      </c>
      <c r="R1506" s="1" t="b">
        <f>FALSE</f>
        <v>0</v>
      </c>
      <c r="S1506" s="1">
        <f>1</f>
        <v>1</v>
      </c>
      <c r="T1506" s="1" t="str">
        <f>IF(AND(Raw!A1506="",Raw!B1506="",Raw!C1506="",Raw!D1506="",Raw!E1506="",Raw!F1506="",Raw!G1506=""),"UNUSED",IF(A1506="","missing line ID",IF(B1506="","missing transaction ID",IF(G1506="",IF(C1506="","missing date","invalid date"),IF(I1506="","unknown product",IF(J1506="","conflicting category",IF(NOT(OR(EXACT(K1506,"sale"),EXACT(K1506,"refund"))),"unknown event",IF(OR(N1506="",NOT(O1506)),"invalid amount",IF(OR(AND(K1506="sale",N1506&lt;=0),AND(K1506="refund",N1506&gt;=0)),"invalid sign","")))))))))</f>
        <v/>
      </c>
      <c r="U1506" s="1" t="str">
        <f t="shared" si="189"/>
        <v>INCLUDED</v>
      </c>
      <c r="V1506" s="1" t="str">
        <f t="shared" si="190"/>
        <v>2026-01</v>
      </c>
      <c r="W1506" s="1">
        <f>IF(AND(U1506="INCLUDED",X1506&gt;0,EXACT(A1506,'AI output'!A1506)),1,0)</f>
        <v>1</v>
      </c>
      <c r="X1506" s="1">
        <f>1506</f>
        <v>1506</v>
      </c>
      <c r="Y1506" s="1">
        <f>IF(AND(U1506="INCLUDED",W1506=1),--(NOT(EXACT(A1506,'AI output'!A1506)))+--(NOT(EXACT(B1506,'AI output'!B1506)))+--(NOT(EXACT(TEXT(G1506,"yyyy-mm-dd"),'AI output'!C1506)))+--(NOT(EXACT(H1506,'AI output'!D1506)))+--(NOT(EXACT(J1506,'AI output'!E1506)))+--(NOT(EXACT(K1506,'AI output'!F1506)))+--(N1506&lt;&gt;'AI output'!L1506)+--(NOT('AI output'!M1506)),0)</f>
        <v>0</v>
      </c>
      <c r="Z1506" s="1">
        <f t="shared" si="191"/>
        <v>0</v>
      </c>
      <c r="AA1506" s="1">
        <f>--EXACT(A1506,"L01500")</f>
        <v>1</v>
      </c>
    </row>
    <row r="1507" spans="1:27" ht="18.95" customHeight="1">
      <c r="A1507" s="1" t="str">
        <f>IF(Raw!A1507="","",Raw!A1507)</f>
        <v>L01501</v>
      </c>
      <c r="B1507" s="1" t="str">
        <f>IF(Raw!B1507="","",Raw!B1507)</f>
        <v>T00751</v>
      </c>
      <c r="C1507" s="1" t="str">
        <f>IF(Raw!C1507="","",Raw!C1507)</f>
        <v>2026-01-31</v>
      </c>
      <c r="D1507" s="1">
        <f t="shared" si="184"/>
        <v>2026</v>
      </c>
      <c r="E1507" s="1">
        <f>IFERROR(IF(AND(LEN(C1507)=10,MID(C1507,5,1)="-",MID(C1507,8,1)="-"),VALUE(MID(C1507,6,2)),IF(AND(LEN(C1507)=11,MID(C1507,3,1)="-",MID(C1507,7,1)="-"),MATCH(UPPER(MID(C1507,4,3)),Guide!$D$7:$D$18,0),0)),0)</f>
        <v>1</v>
      </c>
      <c r="F1507" s="1">
        <f t="shared" si="185"/>
        <v>31</v>
      </c>
      <c r="G1507" s="9">
        <f t="shared" si="186"/>
        <v>46053</v>
      </c>
      <c r="H1507" s="1" t="str">
        <f>IF(Raw!D1507="","",Raw!D1507)</f>
        <v>P-A</v>
      </c>
      <c r="I1507" s="1" t="str">
        <f>IFERROR(IF(EXACT(H1507,INDEX(Guide!$A$7:$A$9,MATCH(SUBSTITUTE(SUBSTITUTE(SUBSTITUTE(H1507,"~","~~"),"*","~*"),"?","~?"),Guide!$A$7:$A$9,0))),INDEX(Guide!$B$7:$B$9,MATCH(SUBSTITUTE(SUBSTITUTE(SUBSTITUTE(H1507,"~","~~"),"*","~*"),"?","~?"),Guide!$A$7:$A$9,0)),""),"")</f>
        <v>Accessories</v>
      </c>
      <c r="J1507" s="1" t="str">
        <f>IF(TRIM(Raw!E1507)="",I1507,IF(UPPER(TRIM(Raw!E1507))=UPPER(I1507),I1507,""))</f>
        <v>Accessories</v>
      </c>
      <c r="K1507" s="1" t="str">
        <f>IF(Raw!F1507="","",Raw!F1507)</f>
        <v>sale</v>
      </c>
      <c r="L1507" s="1" t="str">
        <f>IF(LEFT(TRIM(Raw!G1507),2)="-$","-"&amp;MID(TRIM(Raw!G1507),3,99),IF(LEFT(TRIM(Raw!G1507),1)="$",MID(TRIM(Raw!G1507),2,99),TRIM(Raw!G1507)))</f>
        <v>79.99</v>
      </c>
      <c r="M1507" s="1">
        <f t="shared" si="187"/>
        <v>79.989999999999995</v>
      </c>
      <c r="N1507" s="10">
        <f t="shared" si="188"/>
        <v>7999</v>
      </c>
      <c r="O1507" s="1" t="b">
        <f>IFERROR(IF(ISNUMBER(Raw!G1507),TRUE,OR(EXACT(L1507,TEXT(M1507,"0.00")),EXACT(L1507,TEXT(M1507,"#,##0.00")))),FALSE)</f>
        <v>1</v>
      </c>
      <c r="P1507" s="1" t="str">
        <f>LEN(IF(Raw!A1507="","",Raw!A1507))&amp;":"&amp;IF(Raw!A1507="","",Raw!A1507)&amp;"|"&amp;LEN(IF(Raw!B1507="","",Raw!B1507))&amp;":"&amp;IF(Raw!B1507="","",Raw!B1507)&amp;"|"&amp;LEN(IF(Raw!C1507="","",Raw!C1507))&amp;":"&amp;IF(Raw!C1507="","",Raw!C1507)&amp;"|"&amp;LEN(IF(Raw!D1507="","",Raw!D1507))&amp;":"&amp;IF(Raw!D1507="","",Raw!D1507)&amp;"|"&amp;LEN(IF(Raw!E1507="","",Raw!E1507))&amp;":"&amp;IF(Raw!E1507="","",Raw!E1507)&amp;"|"&amp;LEN(IF(Raw!F1507="","",Raw!F1507))&amp;":"&amp;IF(Raw!F1507="","",Raw!F1507)&amp;"|"&amp;LEN(IF(Raw!G1507="","",Raw!G1507))&amp;":"&amp;IF(Raw!G1507="","",Raw!G1507)</f>
        <v>6:L01501|6:T00751|10:2026-01-31|3:P-A|11:Accessories|4:sale|5:79.99</v>
      </c>
      <c r="Q1507" s="1">
        <f>1</f>
        <v>1</v>
      </c>
      <c r="R1507" s="1" t="b">
        <f>FALSE</f>
        <v>0</v>
      </c>
      <c r="S1507" s="1">
        <f>1</f>
        <v>1</v>
      </c>
      <c r="T1507" s="1" t="str">
        <f>IF(AND(Raw!A1507="",Raw!B1507="",Raw!C1507="",Raw!D1507="",Raw!E1507="",Raw!F1507="",Raw!G1507=""),"UNUSED",IF(A1507="","missing line ID",IF(B1507="","missing transaction ID",IF(G1507="",IF(C1507="","missing date","invalid date"),IF(I1507="","unknown product",IF(J1507="","conflicting category",IF(NOT(OR(EXACT(K1507,"sale"),EXACT(K1507,"refund"))),"unknown event",IF(OR(N1507="",NOT(O1507)),"invalid amount",IF(OR(AND(K1507="sale",N1507&lt;=0),AND(K1507="refund",N1507&gt;=0)),"invalid sign","")))))))))</f>
        <v/>
      </c>
      <c r="U1507" s="1" t="str">
        <f t="shared" si="189"/>
        <v>INCLUDED</v>
      </c>
      <c r="V1507" s="1" t="str">
        <f t="shared" si="190"/>
        <v>2026-01</v>
      </c>
      <c r="W1507" s="1">
        <f>IF(AND(U1507="INCLUDED",X1507&gt;0,EXACT(A1507,'AI output'!A1507)),1,0)</f>
        <v>1</v>
      </c>
      <c r="X1507" s="1">
        <f>1507</f>
        <v>1507</v>
      </c>
      <c r="Y1507" s="1">
        <f>IF(AND(U1507="INCLUDED",W1507=1),--(NOT(EXACT(A1507,'AI output'!A1507)))+--(NOT(EXACT(B1507,'AI output'!B1507)))+--(NOT(EXACT(TEXT(G1507,"yyyy-mm-dd"),'AI output'!C1507)))+--(NOT(EXACT(H1507,'AI output'!D1507)))+--(NOT(EXACT(J1507,'AI output'!E1507)))+--(NOT(EXACT(K1507,'AI output'!F1507)))+--(N1507&lt;&gt;'AI output'!L1507)+--(NOT('AI output'!M1507)),0)</f>
        <v>0</v>
      </c>
      <c r="Z1507" s="1">
        <f t="shared" si="191"/>
        <v>0</v>
      </c>
      <c r="AA1507" s="1">
        <f>--EXACT(A1507,"L01501")</f>
        <v>1</v>
      </c>
    </row>
    <row r="1508" spans="1:27" ht="18.95" customHeight="1">
      <c r="A1508" s="1" t="str">
        <f>IF(Raw!A1508="","",Raw!A1508)</f>
        <v>L01502</v>
      </c>
      <c r="B1508" s="1" t="str">
        <f>IF(Raw!B1508="","",Raw!B1508)</f>
        <v>T00751</v>
      </c>
      <c r="C1508" s="1" t="str">
        <f>IF(Raw!C1508="","",Raw!C1508)</f>
        <v>2026-01-31</v>
      </c>
      <c r="D1508" s="1">
        <f t="shared" si="184"/>
        <v>2026</v>
      </c>
      <c r="E1508" s="1">
        <f>IFERROR(IF(AND(LEN(C1508)=10,MID(C1508,5,1)="-",MID(C1508,8,1)="-"),VALUE(MID(C1508,6,2)),IF(AND(LEN(C1508)=11,MID(C1508,3,1)="-",MID(C1508,7,1)="-"),MATCH(UPPER(MID(C1508,4,3)),Guide!$D$7:$D$18,0),0)),0)</f>
        <v>1</v>
      </c>
      <c r="F1508" s="1">
        <f t="shared" si="185"/>
        <v>31</v>
      </c>
      <c r="G1508" s="9">
        <f t="shared" si="186"/>
        <v>46053</v>
      </c>
      <c r="H1508" s="1" t="str">
        <f>IF(Raw!D1508="","",Raw!D1508)</f>
        <v>P-H</v>
      </c>
      <c r="I1508" s="1" t="str">
        <f>IFERROR(IF(EXACT(H1508,INDEX(Guide!$A$7:$A$9,MATCH(SUBSTITUTE(SUBSTITUTE(SUBSTITUTE(H1508,"~","~~"),"*","~*"),"?","~?"),Guide!$A$7:$A$9,0))),INDEX(Guide!$B$7:$B$9,MATCH(SUBSTITUTE(SUBSTITUTE(SUBSTITUTE(H1508,"~","~~"),"*","~*"),"?","~?"),Guide!$A$7:$A$9,0)),""),"")</f>
        <v>Home</v>
      </c>
      <c r="J1508" s="1" t="str">
        <f>IF(TRIM(Raw!E1508)="",I1508,IF(UPPER(TRIM(Raw!E1508))=UPPER(I1508),I1508,""))</f>
        <v>Home</v>
      </c>
      <c r="K1508" s="1" t="str">
        <f>IF(Raw!F1508="","",Raw!F1508)</f>
        <v>sale</v>
      </c>
      <c r="L1508" s="1" t="str">
        <f>IF(LEFT(TRIM(Raw!G1508),2)="-$","-"&amp;MID(TRIM(Raw!G1508),3,99),IF(LEFT(TRIM(Raw!G1508),1)="$",MID(TRIM(Raw!G1508),2,99),TRIM(Raw!G1508)))</f>
        <v>241.08</v>
      </c>
      <c r="M1508" s="1">
        <f t="shared" si="187"/>
        <v>241.08</v>
      </c>
      <c r="N1508" s="10">
        <f t="shared" si="188"/>
        <v>24108</v>
      </c>
      <c r="O1508" s="1" t="b">
        <f>IFERROR(IF(ISNUMBER(Raw!G1508),TRUE,OR(EXACT(L1508,TEXT(M1508,"0.00")),EXACT(L1508,TEXT(M1508,"#,##0.00")))),FALSE)</f>
        <v>1</v>
      </c>
      <c r="P1508" s="1" t="str">
        <f>LEN(IF(Raw!A1508="","",Raw!A1508))&amp;":"&amp;IF(Raw!A1508="","",Raw!A1508)&amp;"|"&amp;LEN(IF(Raw!B1508="","",Raw!B1508))&amp;":"&amp;IF(Raw!B1508="","",Raw!B1508)&amp;"|"&amp;LEN(IF(Raw!C1508="","",Raw!C1508))&amp;":"&amp;IF(Raw!C1508="","",Raw!C1508)&amp;"|"&amp;LEN(IF(Raw!D1508="","",Raw!D1508))&amp;":"&amp;IF(Raw!D1508="","",Raw!D1508)&amp;"|"&amp;LEN(IF(Raw!E1508="","",Raw!E1508))&amp;":"&amp;IF(Raw!E1508="","",Raw!E1508)&amp;"|"&amp;LEN(IF(Raw!F1508="","",Raw!F1508))&amp;":"&amp;IF(Raw!F1508="","",Raw!F1508)&amp;"|"&amp;LEN(IF(Raw!G1508="","",Raw!G1508))&amp;":"&amp;IF(Raw!G1508="","",Raw!G1508)</f>
        <v>6:L01502|6:T00751|10:2026-01-31|3:P-H|4:Home|4:sale|6:241.08</v>
      </c>
      <c r="Q1508" s="1">
        <f>1</f>
        <v>1</v>
      </c>
      <c r="R1508" s="1" t="b">
        <f>FALSE</f>
        <v>0</v>
      </c>
      <c r="S1508" s="1">
        <f>1</f>
        <v>1</v>
      </c>
      <c r="T1508" s="1" t="str">
        <f>IF(AND(Raw!A1508="",Raw!B1508="",Raw!C1508="",Raw!D1508="",Raw!E1508="",Raw!F1508="",Raw!G1508=""),"UNUSED",IF(A1508="","missing line ID",IF(B1508="","missing transaction ID",IF(G1508="",IF(C1508="","missing date","invalid date"),IF(I1508="","unknown product",IF(J1508="","conflicting category",IF(NOT(OR(EXACT(K1508,"sale"),EXACT(K1508,"refund"))),"unknown event",IF(OR(N1508="",NOT(O1508)),"invalid amount",IF(OR(AND(K1508="sale",N1508&lt;=0),AND(K1508="refund",N1508&gt;=0)),"invalid sign","")))))))))</f>
        <v/>
      </c>
      <c r="U1508" s="1" t="str">
        <f t="shared" si="189"/>
        <v>INCLUDED</v>
      </c>
      <c r="V1508" s="1" t="str">
        <f t="shared" si="190"/>
        <v>2026-01</v>
      </c>
      <c r="W1508" s="1">
        <f>IF(AND(U1508="INCLUDED",X1508&gt;0,EXACT(A1508,'AI output'!A1508)),1,0)</f>
        <v>1</v>
      </c>
      <c r="X1508" s="1">
        <f>1508</f>
        <v>1508</v>
      </c>
      <c r="Y1508" s="1">
        <f>IF(AND(U1508="INCLUDED",W1508=1),--(NOT(EXACT(A1508,'AI output'!A1508)))+--(NOT(EXACT(B1508,'AI output'!B1508)))+--(NOT(EXACT(TEXT(G1508,"yyyy-mm-dd"),'AI output'!C1508)))+--(NOT(EXACT(H1508,'AI output'!D1508)))+--(NOT(EXACT(J1508,'AI output'!E1508)))+--(NOT(EXACT(K1508,'AI output'!F1508)))+--(N1508&lt;&gt;'AI output'!L1508)+--(NOT('AI output'!M1508)),0)</f>
        <v>0</v>
      </c>
      <c r="Z1508" s="1">
        <f t="shared" si="191"/>
        <v>0</v>
      </c>
      <c r="AA1508" s="1">
        <f>--EXACT(A1508,"L01502")</f>
        <v>1</v>
      </c>
    </row>
    <row r="1509" spans="1:27" ht="18.95" customHeight="1">
      <c r="A1509" s="1" t="str">
        <f>IF(Raw!A1509="","",Raw!A1509)</f>
        <v>L01503</v>
      </c>
      <c r="B1509" s="1" t="str">
        <f>IF(Raw!B1509="","",Raw!B1509)</f>
        <v>T00752</v>
      </c>
      <c r="C1509" s="1" t="str">
        <f>IF(Raw!C1509="","",Raw!C1509)</f>
        <v>2026-02-07</v>
      </c>
      <c r="D1509" s="1">
        <f t="shared" si="184"/>
        <v>2026</v>
      </c>
      <c r="E1509" s="1">
        <f>IFERROR(IF(AND(LEN(C1509)=10,MID(C1509,5,1)="-",MID(C1509,8,1)="-"),VALUE(MID(C1509,6,2)),IF(AND(LEN(C1509)=11,MID(C1509,3,1)="-",MID(C1509,7,1)="-"),MATCH(UPPER(MID(C1509,4,3)),Guide!$D$7:$D$18,0),0)),0)</f>
        <v>2</v>
      </c>
      <c r="F1509" s="1">
        <f t="shared" si="185"/>
        <v>7</v>
      </c>
      <c r="G1509" s="9">
        <f t="shared" si="186"/>
        <v>46060</v>
      </c>
      <c r="H1509" s="1" t="str">
        <f>IF(Raw!D1509="","",Raw!D1509)</f>
        <v>P-O</v>
      </c>
      <c r="I1509" s="1" t="str">
        <f>IFERROR(IF(EXACT(H1509,INDEX(Guide!$A$7:$A$9,MATCH(SUBSTITUTE(SUBSTITUTE(SUBSTITUTE(H1509,"~","~~"),"*","~*"),"?","~?"),Guide!$A$7:$A$9,0))),INDEX(Guide!$B$7:$B$9,MATCH(SUBSTITUTE(SUBSTITUTE(SUBSTITUTE(H1509,"~","~~"),"*","~*"),"?","~?"),Guide!$A$7:$A$9,0)),""),"")</f>
        <v>Office</v>
      </c>
      <c r="J1509" s="1" t="str">
        <f>IF(TRIM(Raw!E1509)="",I1509,IF(UPPER(TRIM(Raw!E1509))=UPPER(I1509),I1509,""))</f>
        <v>Office</v>
      </c>
      <c r="K1509" s="1" t="str">
        <f>IF(Raw!F1509="","",Raw!F1509)</f>
        <v>sale</v>
      </c>
      <c r="L1509" s="1" t="str">
        <f>IF(LEFT(TRIM(Raw!G1509),2)="-$","-"&amp;MID(TRIM(Raw!G1509),3,99),IF(LEFT(TRIM(Raw!G1509),1)="$",MID(TRIM(Raw!G1509),2,99),TRIM(Raw!G1509)))</f>
        <v>403.65</v>
      </c>
      <c r="M1509" s="1">
        <f t="shared" si="187"/>
        <v>403.65</v>
      </c>
      <c r="N1509" s="10">
        <f t="shared" si="188"/>
        <v>40365</v>
      </c>
      <c r="O1509" s="1" t="b">
        <f>IFERROR(IF(ISNUMBER(Raw!G1509),TRUE,OR(EXACT(L1509,TEXT(M1509,"0.00")),EXACT(L1509,TEXT(M1509,"#,##0.00")))),FALSE)</f>
        <v>1</v>
      </c>
      <c r="P1509" s="1" t="str">
        <f>LEN(IF(Raw!A1509="","",Raw!A1509))&amp;":"&amp;IF(Raw!A1509="","",Raw!A1509)&amp;"|"&amp;LEN(IF(Raw!B1509="","",Raw!B1509))&amp;":"&amp;IF(Raw!B1509="","",Raw!B1509)&amp;"|"&amp;LEN(IF(Raw!C1509="","",Raw!C1509))&amp;":"&amp;IF(Raw!C1509="","",Raw!C1509)&amp;"|"&amp;LEN(IF(Raw!D1509="","",Raw!D1509))&amp;":"&amp;IF(Raw!D1509="","",Raw!D1509)&amp;"|"&amp;LEN(IF(Raw!E1509="","",Raw!E1509))&amp;":"&amp;IF(Raw!E1509="","",Raw!E1509)&amp;"|"&amp;LEN(IF(Raw!F1509="","",Raw!F1509))&amp;":"&amp;IF(Raw!F1509="","",Raw!F1509)&amp;"|"&amp;LEN(IF(Raw!G1509="","",Raw!G1509))&amp;":"&amp;IF(Raw!G1509="","",Raw!G1509)</f>
        <v>6:L01503|6:T00752|10:2026-02-07|3:P-O|6:Office|4:sale|6:403.65</v>
      </c>
      <c r="Q1509" s="1">
        <f>1</f>
        <v>1</v>
      </c>
      <c r="R1509" s="1" t="b">
        <f>FALSE</f>
        <v>0</v>
      </c>
      <c r="S1509" s="1">
        <f>1</f>
        <v>1</v>
      </c>
      <c r="T1509" s="1" t="str">
        <f>IF(AND(Raw!A1509="",Raw!B1509="",Raw!C1509="",Raw!D1509="",Raw!E1509="",Raw!F1509="",Raw!G1509=""),"UNUSED",IF(A1509="","missing line ID",IF(B1509="","missing transaction ID",IF(G1509="",IF(C1509="","missing date","invalid date"),IF(I1509="","unknown product",IF(J1509="","conflicting category",IF(NOT(OR(EXACT(K1509,"sale"),EXACT(K1509,"refund"))),"unknown event",IF(OR(N1509="",NOT(O1509)),"invalid amount",IF(OR(AND(K1509="sale",N1509&lt;=0),AND(K1509="refund",N1509&gt;=0)),"invalid sign","")))))))))</f>
        <v/>
      </c>
      <c r="U1509" s="1" t="str">
        <f t="shared" si="189"/>
        <v>INCLUDED</v>
      </c>
      <c r="V1509" s="1" t="str">
        <f t="shared" si="190"/>
        <v>2026-02</v>
      </c>
      <c r="W1509" s="1">
        <f>IF(AND(U1509="INCLUDED",X1509&gt;0,EXACT(A1509,'AI output'!A1509)),1,0)</f>
        <v>1</v>
      </c>
      <c r="X1509" s="1">
        <f>1509</f>
        <v>1509</v>
      </c>
      <c r="Y1509" s="1">
        <f>IF(AND(U1509="INCLUDED",W1509=1),--(NOT(EXACT(A1509,'AI output'!A1509)))+--(NOT(EXACT(B1509,'AI output'!B1509)))+--(NOT(EXACT(TEXT(G1509,"yyyy-mm-dd"),'AI output'!C1509)))+--(NOT(EXACT(H1509,'AI output'!D1509)))+--(NOT(EXACT(J1509,'AI output'!E1509)))+--(NOT(EXACT(K1509,'AI output'!F1509)))+--(N1509&lt;&gt;'AI output'!L1509)+--(NOT('AI output'!M1509)),0)</f>
        <v>0</v>
      </c>
      <c r="Z1509" s="1">
        <f t="shared" si="191"/>
        <v>0</v>
      </c>
      <c r="AA1509" s="1">
        <f>--EXACT(A1509,"L01503")</f>
        <v>1</v>
      </c>
    </row>
    <row r="1510" spans="1:27" ht="18.95" customHeight="1">
      <c r="A1510" s="1" t="str">
        <f>IF(Raw!A1510="","",Raw!A1510)</f>
        <v>L01504</v>
      </c>
      <c r="B1510" s="1" t="str">
        <f>IF(Raw!B1510="","",Raw!B1510)</f>
        <v>T00752</v>
      </c>
      <c r="C1510" s="1" t="str">
        <f>IF(Raw!C1510="","",Raw!C1510)</f>
        <v>2026-02-07</v>
      </c>
      <c r="D1510" s="1">
        <f t="shared" si="184"/>
        <v>2026</v>
      </c>
      <c r="E1510" s="1">
        <f>IFERROR(IF(AND(LEN(C1510)=10,MID(C1510,5,1)="-",MID(C1510,8,1)="-"),VALUE(MID(C1510,6,2)),IF(AND(LEN(C1510)=11,MID(C1510,3,1)="-",MID(C1510,7,1)="-"),MATCH(UPPER(MID(C1510,4,3)),Guide!$D$7:$D$18,0),0)),0)</f>
        <v>2</v>
      </c>
      <c r="F1510" s="1">
        <f t="shared" si="185"/>
        <v>7</v>
      </c>
      <c r="G1510" s="9">
        <f t="shared" si="186"/>
        <v>46060</v>
      </c>
      <c r="H1510" s="1" t="str">
        <f>IF(Raw!D1510="","",Raw!D1510)</f>
        <v>P-A</v>
      </c>
      <c r="I1510" s="1" t="str">
        <f>IFERROR(IF(EXACT(H1510,INDEX(Guide!$A$7:$A$9,MATCH(SUBSTITUTE(SUBSTITUTE(SUBSTITUTE(H1510,"~","~~"),"*","~*"),"?","~?"),Guide!$A$7:$A$9,0))),INDEX(Guide!$B$7:$B$9,MATCH(SUBSTITUTE(SUBSTITUTE(SUBSTITUTE(H1510,"~","~~"),"*","~*"),"?","~?"),Guide!$A$7:$A$9,0)),""),"")</f>
        <v>Accessories</v>
      </c>
      <c r="J1510" s="1" t="str">
        <f>IF(TRIM(Raw!E1510)="",I1510,IF(UPPER(TRIM(Raw!E1510))=UPPER(I1510),I1510,""))</f>
        <v>Accessories</v>
      </c>
      <c r="K1510" s="1" t="str">
        <f>IF(Raw!F1510="","",Raw!F1510)</f>
        <v>sale</v>
      </c>
      <c r="L1510" s="1" t="str">
        <f>IF(LEFT(TRIM(Raw!G1510),2)="-$","-"&amp;MID(TRIM(Raw!G1510),3,99),IF(LEFT(TRIM(Raw!G1510),1)="$",MID(TRIM(Raw!G1510),2,99),TRIM(Raw!G1510)))</f>
        <v>162.20</v>
      </c>
      <c r="M1510" s="1">
        <f t="shared" si="187"/>
        <v>162.19999999999999</v>
      </c>
      <c r="N1510" s="10">
        <f t="shared" si="188"/>
        <v>16220</v>
      </c>
      <c r="O1510" s="1" t="b">
        <f>IFERROR(IF(ISNUMBER(Raw!G1510),TRUE,OR(EXACT(L1510,TEXT(M1510,"0.00")),EXACT(L1510,TEXT(M1510,"#,##0.00")))),FALSE)</f>
        <v>1</v>
      </c>
      <c r="P1510" s="1" t="str">
        <f>LEN(IF(Raw!A1510="","",Raw!A1510))&amp;":"&amp;IF(Raw!A1510="","",Raw!A1510)&amp;"|"&amp;LEN(IF(Raw!B1510="","",Raw!B1510))&amp;":"&amp;IF(Raw!B1510="","",Raw!B1510)&amp;"|"&amp;LEN(IF(Raw!C1510="","",Raw!C1510))&amp;":"&amp;IF(Raw!C1510="","",Raw!C1510)&amp;"|"&amp;LEN(IF(Raw!D1510="","",Raw!D1510))&amp;":"&amp;IF(Raw!D1510="","",Raw!D1510)&amp;"|"&amp;LEN(IF(Raw!E1510="","",Raw!E1510))&amp;":"&amp;IF(Raw!E1510="","",Raw!E1510)&amp;"|"&amp;LEN(IF(Raw!F1510="","",Raw!F1510))&amp;":"&amp;IF(Raw!F1510="","",Raw!F1510)&amp;"|"&amp;LEN(IF(Raw!G1510="","",Raw!G1510))&amp;":"&amp;IF(Raw!G1510="","",Raw!G1510)</f>
        <v>6:L01504|6:T00752|10:2026-02-07|3:P-A|11:Accessories|4:sale|6:162.20</v>
      </c>
      <c r="Q1510" s="1">
        <f>1</f>
        <v>1</v>
      </c>
      <c r="R1510" s="1" t="b">
        <f>FALSE</f>
        <v>0</v>
      </c>
      <c r="S1510" s="1">
        <f>1</f>
        <v>1</v>
      </c>
      <c r="T1510" s="1" t="str">
        <f>IF(AND(Raw!A1510="",Raw!B1510="",Raw!C1510="",Raw!D1510="",Raw!E1510="",Raw!F1510="",Raw!G1510=""),"UNUSED",IF(A1510="","missing line ID",IF(B1510="","missing transaction ID",IF(G1510="",IF(C1510="","missing date","invalid date"),IF(I1510="","unknown product",IF(J1510="","conflicting category",IF(NOT(OR(EXACT(K1510,"sale"),EXACT(K1510,"refund"))),"unknown event",IF(OR(N1510="",NOT(O1510)),"invalid amount",IF(OR(AND(K1510="sale",N1510&lt;=0),AND(K1510="refund",N1510&gt;=0)),"invalid sign","")))))))))</f>
        <v/>
      </c>
      <c r="U1510" s="1" t="str">
        <f t="shared" si="189"/>
        <v>INCLUDED</v>
      </c>
      <c r="V1510" s="1" t="str">
        <f t="shared" si="190"/>
        <v>2026-02</v>
      </c>
      <c r="W1510" s="1">
        <f>IF(AND(U1510="INCLUDED",X1510&gt;0,EXACT(A1510,'AI output'!A1510)),1,0)</f>
        <v>1</v>
      </c>
      <c r="X1510" s="1">
        <f>1510</f>
        <v>1510</v>
      </c>
      <c r="Y1510" s="1">
        <f>IF(AND(U1510="INCLUDED",W1510=1),--(NOT(EXACT(A1510,'AI output'!A1510)))+--(NOT(EXACT(B1510,'AI output'!B1510)))+--(NOT(EXACT(TEXT(G1510,"yyyy-mm-dd"),'AI output'!C1510)))+--(NOT(EXACT(H1510,'AI output'!D1510)))+--(NOT(EXACT(J1510,'AI output'!E1510)))+--(NOT(EXACT(K1510,'AI output'!F1510)))+--(N1510&lt;&gt;'AI output'!L1510)+--(NOT('AI output'!M1510)),0)</f>
        <v>0</v>
      </c>
      <c r="Z1510" s="1">
        <f t="shared" si="191"/>
        <v>0</v>
      </c>
      <c r="AA1510" s="1">
        <f>--EXACT(A1510,"L01504")</f>
        <v>1</v>
      </c>
    </row>
    <row r="1511" spans="1:27" ht="18.95" customHeight="1">
      <c r="A1511" s="1" t="str">
        <f>IF(Raw!A1511="","",Raw!A1511)</f>
        <v>L01505</v>
      </c>
      <c r="B1511" s="1" t="str">
        <f>IF(Raw!B1511="","",Raw!B1511)</f>
        <v>T00753</v>
      </c>
      <c r="C1511" s="1" t="str">
        <f>IF(Raw!C1511="","",Raw!C1511)</f>
        <v>2026-02-14</v>
      </c>
      <c r="D1511" s="1">
        <f t="shared" si="184"/>
        <v>2026</v>
      </c>
      <c r="E1511" s="1">
        <f>IFERROR(IF(AND(LEN(C1511)=10,MID(C1511,5,1)="-",MID(C1511,8,1)="-"),VALUE(MID(C1511,6,2)),IF(AND(LEN(C1511)=11,MID(C1511,3,1)="-",MID(C1511,7,1)="-"),MATCH(UPPER(MID(C1511,4,3)),Guide!$D$7:$D$18,0),0)),0)</f>
        <v>2</v>
      </c>
      <c r="F1511" s="1">
        <f t="shared" si="185"/>
        <v>14</v>
      </c>
      <c r="G1511" s="9">
        <f t="shared" si="186"/>
        <v>46067</v>
      </c>
      <c r="H1511" s="1" t="str">
        <f>IF(Raw!D1511="","",Raw!D1511)</f>
        <v>P-H</v>
      </c>
      <c r="I1511" s="1" t="str">
        <f>IFERROR(IF(EXACT(H1511,INDEX(Guide!$A$7:$A$9,MATCH(SUBSTITUTE(SUBSTITUTE(SUBSTITUTE(H1511,"~","~~"),"*","~*"),"?","~?"),Guide!$A$7:$A$9,0))),INDEX(Guide!$B$7:$B$9,MATCH(SUBSTITUTE(SUBSTITUTE(SUBSTITUTE(H1511,"~","~~"),"*","~*"),"?","~?"),Guide!$A$7:$A$9,0)),""),"")</f>
        <v>Home</v>
      </c>
      <c r="J1511" s="1" t="str">
        <f>IF(TRIM(Raw!E1511)="",I1511,IF(UPPER(TRIM(Raw!E1511))=UPPER(I1511),I1511,""))</f>
        <v>Home</v>
      </c>
      <c r="K1511" s="1" t="str">
        <f>IF(Raw!F1511="","",Raw!F1511)</f>
        <v>sale</v>
      </c>
      <c r="L1511" s="1" t="str">
        <f>IF(LEFT(TRIM(Raw!G1511),2)="-$","-"&amp;MID(TRIM(Raw!G1511),3,99),IF(LEFT(TRIM(Raw!G1511),1)="$",MID(TRIM(Raw!G1511),2,99),TRIM(Raw!G1511)))</f>
        <v>325.88</v>
      </c>
      <c r="M1511" s="1">
        <f t="shared" si="187"/>
        <v>325.88</v>
      </c>
      <c r="N1511" s="10">
        <f t="shared" si="188"/>
        <v>32588</v>
      </c>
      <c r="O1511" s="1" t="b">
        <f>IFERROR(IF(ISNUMBER(Raw!G1511),TRUE,OR(EXACT(L1511,TEXT(M1511,"0.00")),EXACT(L1511,TEXT(M1511,"#,##0.00")))),FALSE)</f>
        <v>1</v>
      </c>
      <c r="P1511" s="1" t="str">
        <f>LEN(IF(Raw!A1511="","",Raw!A1511))&amp;":"&amp;IF(Raw!A1511="","",Raw!A1511)&amp;"|"&amp;LEN(IF(Raw!B1511="","",Raw!B1511))&amp;":"&amp;IF(Raw!B1511="","",Raw!B1511)&amp;"|"&amp;LEN(IF(Raw!C1511="","",Raw!C1511))&amp;":"&amp;IF(Raw!C1511="","",Raw!C1511)&amp;"|"&amp;LEN(IF(Raw!D1511="","",Raw!D1511))&amp;":"&amp;IF(Raw!D1511="","",Raw!D1511)&amp;"|"&amp;LEN(IF(Raw!E1511="","",Raw!E1511))&amp;":"&amp;IF(Raw!E1511="","",Raw!E1511)&amp;"|"&amp;LEN(IF(Raw!F1511="","",Raw!F1511))&amp;":"&amp;IF(Raw!F1511="","",Raw!F1511)&amp;"|"&amp;LEN(IF(Raw!G1511="","",Raw!G1511))&amp;":"&amp;IF(Raw!G1511="","",Raw!G1511)</f>
        <v>6:L01505|6:T00753|10:2026-02-14|3:P-H|4:Home|4:sale|6:325.88</v>
      </c>
      <c r="Q1511" s="1">
        <f>1</f>
        <v>1</v>
      </c>
      <c r="R1511" s="1" t="b">
        <f>FALSE</f>
        <v>0</v>
      </c>
      <c r="S1511" s="1">
        <f>1</f>
        <v>1</v>
      </c>
      <c r="T1511" s="1" t="str">
        <f>IF(AND(Raw!A1511="",Raw!B1511="",Raw!C1511="",Raw!D1511="",Raw!E1511="",Raw!F1511="",Raw!G1511=""),"UNUSED",IF(A1511="","missing line ID",IF(B1511="","missing transaction ID",IF(G1511="",IF(C1511="","missing date","invalid date"),IF(I1511="","unknown product",IF(J1511="","conflicting category",IF(NOT(OR(EXACT(K1511,"sale"),EXACT(K1511,"refund"))),"unknown event",IF(OR(N1511="",NOT(O1511)),"invalid amount",IF(OR(AND(K1511="sale",N1511&lt;=0),AND(K1511="refund",N1511&gt;=0)),"invalid sign","")))))))))</f>
        <v/>
      </c>
      <c r="U1511" s="1" t="str">
        <f t="shared" si="189"/>
        <v>INCLUDED</v>
      </c>
      <c r="V1511" s="1" t="str">
        <f t="shared" si="190"/>
        <v>2026-02</v>
      </c>
      <c r="W1511" s="1">
        <f>IF(AND(U1511="INCLUDED",X1511&gt;0,EXACT(A1511,'AI output'!A1511)),1,0)</f>
        <v>1</v>
      </c>
      <c r="X1511" s="1">
        <f>1511</f>
        <v>1511</v>
      </c>
      <c r="Y1511" s="1">
        <f>IF(AND(U1511="INCLUDED",W1511=1),--(NOT(EXACT(A1511,'AI output'!A1511)))+--(NOT(EXACT(B1511,'AI output'!B1511)))+--(NOT(EXACT(TEXT(G1511,"yyyy-mm-dd"),'AI output'!C1511)))+--(NOT(EXACT(H1511,'AI output'!D1511)))+--(NOT(EXACT(J1511,'AI output'!E1511)))+--(NOT(EXACT(K1511,'AI output'!F1511)))+--(N1511&lt;&gt;'AI output'!L1511)+--(NOT('AI output'!M1511)),0)</f>
        <v>0</v>
      </c>
      <c r="Z1511" s="1">
        <f t="shared" si="191"/>
        <v>0</v>
      </c>
      <c r="AA1511" s="1">
        <f>--EXACT(A1511,"L01505")</f>
        <v>1</v>
      </c>
    </row>
    <row r="1512" spans="1:27" ht="18.95" customHeight="1">
      <c r="A1512" s="1" t="str">
        <f>IF(Raw!A1512="","",Raw!A1512)</f>
        <v>L01506</v>
      </c>
      <c r="B1512" s="1" t="str">
        <f>IF(Raw!B1512="","",Raw!B1512)</f>
        <v>T00753</v>
      </c>
      <c r="C1512" s="1" t="str">
        <f>IF(Raw!C1512="","",Raw!C1512)</f>
        <v>2026-02-14</v>
      </c>
      <c r="D1512" s="1">
        <f t="shared" si="184"/>
        <v>2026</v>
      </c>
      <c r="E1512" s="1">
        <f>IFERROR(IF(AND(LEN(C1512)=10,MID(C1512,5,1)="-",MID(C1512,8,1)="-"),VALUE(MID(C1512,6,2)),IF(AND(LEN(C1512)=11,MID(C1512,3,1)="-",MID(C1512,7,1)="-"),MATCH(UPPER(MID(C1512,4,3)),Guide!$D$7:$D$18,0),0)),0)</f>
        <v>2</v>
      </c>
      <c r="F1512" s="1">
        <f t="shared" si="185"/>
        <v>14</v>
      </c>
      <c r="G1512" s="9">
        <f t="shared" si="186"/>
        <v>46067</v>
      </c>
      <c r="H1512" s="1" t="str">
        <f>IF(Raw!D1512="","",Raw!D1512)</f>
        <v>P-O</v>
      </c>
      <c r="I1512" s="1" t="str">
        <f>IFERROR(IF(EXACT(H1512,INDEX(Guide!$A$7:$A$9,MATCH(SUBSTITUTE(SUBSTITUTE(SUBSTITUTE(H1512,"~","~~"),"*","~*"),"?","~?"),Guide!$A$7:$A$9,0))),INDEX(Guide!$B$7:$B$9,MATCH(SUBSTITUTE(SUBSTITUTE(SUBSTITUTE(H1512,"~","~~"),"*","~*"),"?","~?"),Guide!$A$7:$A$9,0)),""),"")</f>
        <v>Office</v>
      </c>
      <c r="J1512" s="1" t="str">
        <f>IF(TRIM(Raw!E1512)="",I1512,IF(UPPER(TRIM(Raw!E1512))=UPPER(I1512),I1512,""))</f>
        <v>Office</v>
      </c>
      <c r="K1512" s="1" t="str">
        <f>IF(Raw!F1512="","",Raw!F1512)</f>
        <v>sale</v>
      </c>
      <c r="L1512" s="1" t="str">
        <f>IF(LEFT(TRIM(Raw!G1512),2)="-$","-"&amp;MID(TRIM(Raw!G1512),3,99),IF(LEFT(TRIM(Raw!G1512),1)="$",MID(TRIM(Raw!G1512),2,99),TRIM(Raw!G1512)))</f>
        <v>81.84</v>
      </c>
      <c r="M1512" s="1">
        <f t="shared" si="187"/>
        <v>81.84</v>
      </c>
      <c r="N1512" s="10">
        <f t="shared" si="188"/>
        <v>8184</v>
      </c>
      <c r="O1512" s="1" t="b">
        <f>IFERROR(IF(ISNUMBER(Raw!G1512),TRUE,OR(EXACT(L1512,TEXT(M1512,"0.00")),EXACT(L1512,TEXT(M1512,"#,##0.00")))),FALSE)</f>
        <v>1</v>
      </c>
      <c r="P1512" s="1" t="str">
        <f>LEN(IF(Raw!A1512="","",Raw!A1512))&amp;":"&amp;IF(Raw!A1512="","",Raw!A1512)&amp;"|"&amp;LEN(IF(Raw!B1512="","",Raw!B1512))&amp;":"&amp;IF(Raw!B1512="","",Raw!B1512)&amp;"|"&amp;LEN(IF(Raw!C1512="","",Raw!C1512))&amp;":"&amp;IF(Raw!C1512="","",Raw!C1512)&amp;"|"&amp;LEN(IF(Raw!D1512="","",Raw!D1512))&amp;":"&amp;IF(Raw!D1512="","",Raw!D1512)&amp;"|"&amp;LEN(IF(Raw!E1512="","",Raw!E1512))&amp;":"&amp;IF(Raw!E1512="","",Raw!E1512)&amp;"|"&amp;LEN(IF(Raw!F1512="","",Raw!F1512))&amp;":"&amp;IF(Raw!F1512="","",Raw!F1512)&amp;"|"&amp;LEN(IF(Raw!G1512="","",Raw!G1512))&amp;":"&amp;IF(Raw!G1512="","",Raw!G1512)</f>
        <v>6:L01506|6:T00753|10:2026-02-14|3:P-O|6:Office|4:sale|5:81.84</v>
      </c>
      <c r="Q1512" s="1">
        <f>1</f>
        <v>1</v>
      </c>
      <c r="R1512" s="1" t="b">
        <f>FALSE</f>
        <v>0</v>
      </c>
      <c r="S1512" s="1">
        <f>1</f>
        <v>1</v>
      </c>
      <c r="T1512" s="1" t="str">
        <f>IF(AND(Raw!A1512="",Raw!B1512="",Raw!C1512="",Raw!D1512="",Raw!E1512="",Raw!F1512="",Raw!G1512=""),"UNUSED",IF(A1512="","missing line ID",IF(B1512="","missing transaction ID",IF(G1512="",IF(C1512="","missing date","invalid date"),IF(I1512="","unknown product",IF(J1512="","conflicting category",IF(NOT(OR(EXACT(K1512,"sale"),EXACT(K1512,"refund"))),"unknown event",IF(OR(N1512="",NOT(O1512)),"invalid amount",IF(OR(AND(K1512="sale",N1512&lt;=0),AND(K1512="refund",N1512&gt;=0)),"invalid sign","")))))))))</f>
        <v/>
      </c>
      <c r="U1512" s="1" t="str">
        <f t="shared" si="189"/>
        <v>INCLUDED</v>
      </c>
      <c r="V1512" s="1" t="str">
        <f t="shared" si="190"/>
        <v>2026-02</v>
      </c>
      <c r="W1512" s="1">
        <f>IF(AND(U1512="INCLUDED",X1512&gt;0,EXACT(A1512,'AI output'!A1512)),1,0)</f>
        <v>1</v>
      </c>
      <c r="X1512" s="1">
        <f>1512</f>
        <v>1512</v>
      </c>
      <c r="Y1512" s="1">
        <f>IF(AND(U1512="INCLUDED",W1512=1),--(NOT(EXACT(A1512,'AI output'!A1512)))+--(NOT(EXACT(B1512,'AI output'!B1512)))+--(NOT(EXACT(TEXT(G1512,"yyyy-mm-dd"),'AI output'!C1512)))+--(NOT(EXACT(H1512,'AI output'!D1512)))+--(NOT(EXACT(J1512,'AI output'!E1512)))+--(NOT(EXACT(K1512,'AI output'!F1512)))+--(N1512&lt;&gt;'AI output'!L1512)+--(NOT('AI output'!M1512)),0)</f>
        <v>0</v>
      </c>
      <c r="Z1512" s="1">
        <f t="shared" si="191"/>
        <v>0</v>
      </c>
      <c r="AA1512" s="1">
        <f>--EXACT(A1512,"L01506")</f>
        <v>1</v>
      </c>
    </row>
    <row r="1513" spans="1:27" ht="18.95" customHeight="1">
      <c r="A1513" s="1" t="str">
        <f>IF(Raw!A1513="","",Raw!A1513)</f>
        <v>L01507</v>
      </c>
      <c r="B1513" s="1" t="str">
        <f>IF(Raw!B1513="","",Raw!B1513)</f>
        <v>T00754</v>
      </c>
      <c r="C1513" s="1" t="str">
        <f>IF(Raw!C1513="","",Raw!C1513)</f>
        <v>2026-02-21</v>
      </c>
      <c r="D1513" s="1">
        <f t="shared" si="184"/>
        <v>2026</v>
      </c>
      <c r="E1513" s="1">
        <f>IFERROR(IF(AND(LEN(C1513)=10,MID(C1513,5,1)="-",MID(C1513,8,1)="-"),VALUE(MID(C1513,6,2)),IF(AND(LEN(C1513)=11,MID(C1513,3,1)="-",MID(C1513,7,1)="-"),MATCH(UPPER(MID(C1513,4,3)),Guide!$D$7:$D$18,0),0)),0)</f>
        <v>2</v>
      </c>
      <c r="F1513" s="1">
        <f t="shared" si="185"/>
        <v>21</v>
      </c>
      <c r="G1513" s="9">
        <f t="shared" si="186"/>
        <v>46074</v>
      </c>
      <c r="H1513" s="1" t="str">
        <f>IF(Raw!D1513="","",Raw!D1513)</f>
        <v>P-A</v>
      </c>
      <c r="I1513" s="1" t="str">
        <f>IFERROR(IF(EXACT(H1513,INDEX(Guide!$A$7:$A$9,MATCH(SUBSTITUTE(SUBSTITUTE(SUBSTITUTE(H1513,"~","~~"),"*","~*"),"?","~?"),Guide!$A$7:$A$9,0))),INDEX(Guide!$B$7:$B$9,MATCH(SUBSTITUTE(SUBSTITUTE(SUBSTITUTE(H1513,"~","~~"),"*","~*"),"?","~?"),Guide!$A$7:$A$9,0)),""),"")</f>
        <v>Accessories</v>
      </c>
      <c r="J1513" s="1" t="str">
        <f>IF(TRIM(Raw!E1513)="",I1513,IF(UPPER(TRIM(Raw!E1513))=UPPER(I1513),I1513,""))</f>
        <v>Accessories</v>
      </c>
      <c r="K1513" s="1" t="str">
        <f>IF(Raw!F1513="","",Raw!F1513)</f>
        <v>sale</v>
      </c>
      <c r="L1513" s="1" t="str">
        <f>IF(LEFT(TRIM(Raw!G1513),2)="-$","-"&amp;MID(TRIM(Raw!G1513),3,99),IF(LEFT(TRIM(Raw!G1513),1)="$",MID(TRIM(Raw!G1513),2,99),TRIM(Raw!G1513)))</f>
        <v>246.63</v>
      </c>
      <c r="M1513" s="1">
        <f t="shared" si="187"/>
        <v>246.63</v>
      </c>
      <c r="N1513" s="10">
        <f t="shared" si="188"/>
        <v>24663</v>
      </c>
      <c r="O1513" s="1" t="b">
        <f>IFERROR(IF(ISNUMBER(Raw!G1513),TRUE,OR(EXACT(L1513,TEXT(M1513,"0.00")),EXACT(L1513,TEXT(M1513,"#,##0.00")))),FALSE)</f>
        <v>1</v>
      </c>
      <c r="P1513" s="1" t="str">
        <f>LEN(IF(Raw!A1513="","",Raw!A1513))&amp;":"&amp;IF(Raw!A1513="","",Raw!A1513)&amp;"|"&amp;LEN(IF(Raw!B1513="","",Raw!B1513))&amp;":"&amp;IF(Raw!B1513="","",Raw!B1513)&amp;"|"&amp;LEN(IF(Raw!C1513="","",Raw!C1513))&amp;":"&amp;IF(Raw!C1513="","",Raw!C1513)&amp;"|"&amp;LEN(IF(Raw!D1513="","",Raw!D1513))&amp;":"&amp;IF(Raw!D1513="","",Raw!D1513)&amp;"|"&amp;LEN(IF(Raw!E1513="","",Raw!E1513))&amp;":"&amp;IF(Raw!E1513="","",Raw!E1513)&amp;"|"&amp;LEN(IF(Raw!F1513="","",Raw!F1513))&amp;":"&amp;IF(Raw!F1513="","",Raw!F1513)&amp;"|"&amp;LEN(IF(Raw!G1513="","",Raw!G1513))&amp;":"&amp;IF(Raw!G1513="","",Raw!G1513)</f>
        <v>6:L01507|6:T00754|10:2026-02-21|3:P-A|11:Accessories|4:sale|6:246.63</v>
      </c>
      <c r="Q1513" s="1">
        <f>1</f>
        <v>1</v>
      </c>
      <c r="R1513" s="1" t="b">
        <f>FALSE</f>
        <v>0</v>
      </c>
      <c r="S1513" s="1">
        <f>1</f>
        <v>1</v>
      </c>
      <c r="T1513" s="1" t="str">
        <f>IF(AND(Raw!A1513="",Raw!B1513="",Raw!C1513="",Raw!D1513="",Raw!E1513="",Raw!F1513="",Raw!G1513=""),"UNUSED",IF(A1513="","missing line ID",IF(B1513="","missing transaction ID",IF(G1513="",IF(C1513="","missing date","invalid date"),IF(I1513="","unknown product",IF(J1513="","conflicting category",IF(NOT(OR(EXACT(K1513,"sale"),EXACT(K1513,"refund"))),"unknown event",IF(OR(N1513="",NOT(O1513)),"invalid amount",IF(OR(AND(K1513="sale",N1513&lt;=0),AND(K1513="refund",N1513&gt;=0)),"invalid sign","")))))))))</f>
        <v/>
      </c>
      <c r="U1513" s="1" t="str">
        <f t="shared" si="189"/>
        <v>INCLUDED</v>
      </c>
      <c r="V1513" s="1" t="str">
        <f t="shared" si="190"/>
        <v>2026-02</v>
      </c>
      <c r="W1513" s="1">
        <f>IF(AND(U1513="INCLUDED",X1513&gt;0,EXACT(A1513,'AI output'!A1513)),1,0)</f>
        <v>1</v>
      </c>
      <c r="X1513" s="1">
        <f>1513</f>
        <v>1513</v>
      </c>
      <c r="Y1513" s="1">
        <f>IF(AND(U1513="INCLUDED",W1513=1),--(NOT(EXACT(A1513,'AI output'!A1513)))+--(NOT(EXACT(B1513,'AI output'!B1513)))+--(NOT(EXACT(TEXT(G1513,"yyyy-mm-dd"),'AI output'!C1513)))+--(NOT(EXACT(H1513,'AI output'!D1513)))+--(NOT(EXACT(J1513,'AI output'!E1513)))+--(NOT(EXACT(K1513,'AI output'!F1513)))+--(N1513&lt;&gt;'AI output'!L1513)+--(NOT('AI output'!M1513)),0)</f>
        <v>0</v>
      </c>
      <c r="Z1513" s="1">
        <f t="shared" si="191"/>
        <v>0</v>
      </c>
      <c r="AA1513" s="1">
        <f>--EXACT(A1513,"L01507")</f>
        <v>1</v>
      </c>
    </row>
    <row r="1514" spans="1:27" ht="18.95" customHeight="1">
      <c r="A1514" s="1" t="str">
        <f>IF(Raw!A1514="","",Raw!A1514)</f>
        <v>L01508</v>
      </c>
      <c r="B1514" s="1" t="str">
        <f>IF(Raw!B1514="","",Raw!B1514)</f>
        <v>T00754</v>
      </c>
      <c r="C1514" s="1" t="str">
        <f>IF(Raw!C1514="","",Raw!C1514)</f>
        <v>2026-02-21</v>
      </c>
      <c r="D1514" s="1">
        <f t="shared" si="184"/>
        <v>2026</v>
      </c>
      <c r="E1514" s="1">
        <f>IFERROR(IF(AND(LEN(C1514)=10,MID(C1514,5,1)="-",MID(C1514,8,1)="-"),VALUE(MID(C1514,6,2)),IF(AND(LEN(C1514)=11,MID(C1514,3,1)="-",MID(C1514,7,1)="-"),MATCH(UPPER(MID(C1514,4,3)),Guide!$D$7:$D$18,0),0)),0)</f>
        <v>2</v>
      </c>
      <c r="F1514" s="1">
        <f t="shared" si="185"/>
        <v>21</v>
      </c>
      <c r="G1514" s="9">
        <f t="shared" si="186"/>
        <v>46074</v>
      </c>
      <c r="H1514" s="1" t="str">
        <f>IF(Raw!D1514="","",Raw!D1514)</f>
        <v>P-H</v>
      </c>
      <c r="I1514" s="1" t="str">
        <f>IFERROR(IF(EXACT(H1514,INDEX(Guide!$A$7:$A$9,MATCH(SUBSTITUTE(SUBSTITUTE(SUBSTITUTE(H1514,"~","~~"),"*","~*"),"?","~?"),Guide!$A$7:$A$9,0))),INDEX(Guide!$B$7:$B$9,MATCH(SUBSTITUTE(SUBSTITUTE(SUBSTITUTE(H1514,"~","~~"),"*","~*"),"?","~?"),Guide!$A$7:$A$9,0)),""),"")</f>
        <v>Home</v>
      </c>
      <c r="J1514" s="1" t="str">
        <f>IF(TRIM(Raw!E1514)="",I1514,IF(UPPER(TRIM(Raw!E1514))=UPPER(I1514),I1514,""))</f>
        <v>Home</v>
      </c>
      <c r="K1514" s="1" t="str">
        <f>IF(Raw!F1514="","",Raw!F1514)</f>
        <v>sale</v>
      </c>
      <c r="L1514" s="1" t="str">
        <f>IF(LEFT(TRIM(Raw!G1514),2)="-$","-"&amp;MID(TRIM(Raw!G1514),3,99),IF(LEFT(TRIM(Raw!G1514),1)="$",MID(TRIM(Raw!G1514),2,99),TRIM(Raw!G1514)))</f>
        <v>412.90</v>
      </c>
      <c r="M1514" s="1">
        <f t="shared" si="187"/>
        <v>412.9</v>
      </c>
      <c r="N1514" s="10">
        <f t="shared" si="188"/>
        <v>41290</v>
      </c>
      <c r="O1514" s="1" t="b">
        <f>IFERROR(IF(ISNUMBER(Raw!G1514),TRUE,OR(EXACT(L1514,TEXT(M1514,"0.00")),EXACT(L1514,TEXT(M1514,"#,##0.00")))),FALSE)</f>
        <v>1</v>
      </c>
      <c r="P1514" s="1" t="str">
        <f>LEN(IF(Raw!A1514="","",Raw!A1514))&amp;":"&amp;IF(Raw!A1514="","",Raw!A1514)&amp;"|"&amp;LEN(IF(Raw!B1514="","",Raw!B1514))&amp;":"&amp;IF(Raw!B1514="","",Raw!B1514)&amp;"|"&amp;LEN(IF(Raw!C1514="","",Raw!C1514))&amp;":"&amp;IF(Raw!C1514="","",Raw!C1514)&amp;"|"&amp;LEN(IF(Raw!D1514="","",Raw!D1514))&amp;":"&amp;IF(Raw!D1514="","",Raw!D1514)&amp;"|"&amp;LEN(IF(Raw!E1514="","",Raw!E1514))&amp;":"&amp;IF(Raw!E1514="","",Raw!E1514)&amp;"|"&amp;LEN(IF(Raw!F1514="","",Raw!F1514))&amp;":"&amp;IF(Raw!F1514="","",Raw!F1514)&amp;"|"&amp;LEN(IF(Raw!G1514="","",Raw!G1514))&amp;":"&amp;IF(Raw!G1514="","",Raw!G1514)</f>
        <v>6:L01508|6:T00754|10:2026-02-21|3:P-H|4:Home|4:sale|6:412.90</v>
      </c>
      <c r="Q1514" s="1">
        <f>1</f>
        <v>1</v>
      </c>
      <c r="R1514" s="1" t="b">
        <f>FALSE</f>
        <v>0</v>
      </c>
      <c r="S1514" s="1">
        <f>1</f>
        <v>1</v>
      </c>
      <c r="T1514" s="1" t="str">
        <f>IF(AND(Raw!A1514="",Raw!B1514="",Raw!C1514="",Raw!D1514="",Raw!E1514="",Raw!F1514="",Raw!G1514=""),"UNUSED",IF(A1514="","missing line ID",IF(B1514="","missing transaction ID",IF(G1514="",IF(C1514="","missing date","invalid date"),IF(I1514="","unknown product",IF(J1514="","conflicting category",IF(NOT(OR(EXACT(K1514,"sale"),EXACT(K1514,"refund"))),"unknown event",IF(OR(N1514="",NOT(O1514)),"invalid amount",IF(OR(AND(K1514="sale",N1514&lt;=0),AND(K1514="refund",N1514&gt;=0)),"invalid sign","")))))))))</f>
        <v/>
      </c>
      <c r="U1514" s="1" t="str">
        <f t="shared" si="189"/>
        <v>INCLUDED</v>
      </c>
      <c r="V1514" s="1" t="str">
        <f t="shared" si="190"/>
        <v>2026-02</v>
      </c>
      <c r="W1514" s="1">
        <f>IF(AND(U1514="INCLUDED",X1514&gt;0,EXACT(A1514,'AI output'!A1514)),1,0)</f>
        <v>1</v>
      </c>
      <c r="X1514" s="1">
        <f>1514</f>
        <v>1514</v>
      </c>
      <c r="Y1514" s="1">
        <f>IF(AND(U1514="INCLUDED",W1514=1),--(NOT(EXACT(A1514,'AI output'!A1514)))+--(NOT(EXACT(B1514,'AI output'!B1514)))+--(NOT(EXACT(TEXT(G1514,"yyyy-mm-dd"),'AI output'!C1514)))+--(NOT(EXACT(H1514,'AI output'!D1514)))+--(NOT(EXACT(J1514,'AI output'!E1514)))+--(NOT(EXACT(K1514,'AI output'!F1514)))+--(N1514&lt;&gt;'AI output'!L1514)+--(NOT('AI output'!M1514)),0)</f>
        <v>0</v>
      </c>
      <c r="Z1514" s="1">
        <f t="shared" si="191"/>
        <v>0</v>
      </c>
      <c r="AA1514" s="1">
        <f>--EXACT(A1514,"L01508")</f>
        <v>1</v>
      </c>
    </row>
    <row r="1515" spans="1:27" ht="18.95" customHeight="1">
      <c r="A1515" s="1" t="str">
        <f>IF(Raw!A1515="","",Raw!A1515)</f>
        <v>L01509</v>
      </c>
      <c r="B1515" s="1" t="str">
        <f>IF(Raw!B1515="","",Raw!B1515)</f>
        <v>T00755</v>
      </c>
      <c r="C1515" s="1" t="str">
        <f>IF(Raw!C1515="","",Raw!C1515)</f>
        <v>2026-02-28</v>
      </c>
      <c r="D1515" s="1">
        <f t="shared" si="184"/>
        <v>2026</v>
      </c>
      <c r="E1515" s="1">
        <f>IFERROR(IF(AND(LEN(C1515)=10,MID(C1515,5,1)="-",MID(C1515,8,1)="-"),VALUE(MID(C1515,6,2)),IF(AND(LEN(C1515)=11,MID(C1515,3,1)="-",MID(C1515,7,1)="-"),MATCH(UPPER(MID(C1515,4,3)),Guide!$D$7:$D$18,0),0)),0)</f>
        <v>2</v>
      </c>
      <c r="F1515" s="1">
        <f t="shared" si="185"/>
        <v>28</v>
      </c>
      <c r="G1515" s="9">
        <f t="shared" si="186"/>
        <v>46081</v>
      </c>
      <c r="H1515" s="1" t="str">
        <f>IF(Raw!D1515="","",Raw!D1515)</f>
        <v>P-O</v>
      </c>
      <c r="I1515" s="1" t="str">
        <f>IFERROR(IF(EXACT(H1515,INDEX(Guide!$A$7:$A$9,MATCH(SUBSTITUTE(SUBSTITUTE(SUBSTITUTE(H1515,"~","~~"),"*","~*"),"?","~?"),Guide!$A$7:$A$9,0))),INDEX(Guide!$B$7:$B$9,MATCH(SUBSTITUTE(SUBSTITUTE(SUBSTITUTE(H1515,"~","~~"),"*","~*"),"?","~?"),Guide!$A$7:$A$9,0)),""),"")</f>
        <v>Office</v>
      </c>
      <c r="J1515" s="1" t="str">
        <f>IF(TRIM(Raw!E1515)="",I1515,IF(UPPER(TRIM(Raw!E1515))=UPPER(I1515),I1515,""))</f>
        <v>Office</v>
      </c>
      <c r="K1515" s="1" t="str">
        <f>IF(Raw!F1515="","",Raw!F1515)</f>
        <v>sale</v>
      </c>
      <c r="L1515" s="1" t="str">
        <f>IF(LEFT(TRIM(Raw!G1515),2)="-$","-"&amp;MID(TRIM(Raw!G1515),3,99),IF(LEFT(TRIM(Raw!G1515),1)="$",MID(TRIM(Raw!G1515),2,99),TRIM(Raw!G1515)))</f>
        <v>165.90</v>
      </c>
      <c r="M1515" s="1">
        <f t="shared" si="187"/>
        <v>165.9</v>
      </c>
      <c r="N1515" s="10">
        <f t="shared" si="188"/>
        <v>16590</v>
      </c>
      <c r="O1515" s="1" t="b">
        <f>IFERROR(IF(ISNUMBER(Raw!G1515),TRUE,OR(EXACT(L1515,TEXT(M1515,"0.00")),EXACT(L1515,TEXT(M1515,"#,##0.00")))),FALSE)</f>
        <v>1</v>
      </c>
      <c r="P1515" s="1" t="str">
        <f>LEN(IF(Raw!A1515="","",Raw!A1515))&amp;":"&amp;IF(Raw!A1515="","",Raw!A1515)&amp;"|"&amp;LEN(IF(Raw!B1515="","",Raw!B1515))&amp;":"&amp;IF(Raw!B1515="","",Raw!B1515)&amp;"|"&amp;LEN(IF(Raw!C1515="","",Raw!C1515))&amp;":"&amp;IF(Raw!C1515="","",Raw!C1515)&amp;"|"&amp;LEN(IF(Raw!D1515="","",Raw!D1515))&amp;":"&amp;IF(Raw!D1515="","",Raw!D1515)&amp;"|"&amp;LEN(IF(Raw!E1515="","",Raw!E1515))&amp;":"&amp;IF(Raw!E1515="","",Raw!E1515)&amp;"|"&amp;LEN(IF(Raw!F1515="","",Raw!F1515))&amp;":"&amp;IF(Raw!F1515="","",Raw!F1515)&amp;"|"&amp;LEN(IF(Raw!G1515="","",Raw!G1515))&amp;":"&amp;IF(Raw!G1515="","",Raw!G1515)</f>
        <v>6:L01509|6:T00755|10:2026-02-28|3:P-O|6:Office|4:sale|6:165.90</v>
      </c>
      <c r="Q1515" s="1">
        <f>1</f>
        <v>1</v>
      </c>
      <c r="R1515" s="1" t="b">
        <f>FALSE</f>
        <v>0</v>
      </c>
      <c r="S1515" s="1">
        <f>1</f>
        <v>1</v>
      </c>
      <c r="T1515" s="1" t="str">
        <f>IF(AND(Raw!A1515="",Raw!B1515="",Raw!C1515="",Raw!D1515="",Raw!E1515="",Raw!F1515="",Raw!G1515=""),"UNUSED",IF(A1515="","missing line ID",IF(B1515="","missing transaction ID",IF(G1515="",IF(C1515="","missing date","invalid date"),IF(I1515="","unknown product",IF(J1515="","conflicting category",IF(NOT(OR(EXACT(K1515,"sale"),EXACT(K1515,"refund"))),"unknown event",IF(OR(N1515="",NOT(O1515)),"invalid amount",IF(OR(AND(K1515="sale",N1515&lt;=0),AND(K1515="refund",N1515&gt;=0)),"invalid sign","")))))))))</f>
        <v/>
      </c>
      <c r="U1515" s="1" t="str">
        <f t="shared" si="189"/>
        <v>INCLUDED</v>
      </c>
      <c r="V1515" s="1" t="str">
        <f t="shared" si="190"/>
        <v>2026-02</v>
      </c>
      <c r="W1515" s="1">
        <f>IF(AND(U1515="INCLUDED",X1515&gt;0,EXACT(A1515,'AI output'!A1515)),1,0)</f>
        <v>1</v>
      </c>
      <c r="X1515" s="1">
        <f>1515</f>
        <v>1515</v>
      </c>
      <c r="Y1515" s="1">
        <f>IF(AND(U1515="INCLUDED",W1515=1),--(NOT(EXACT(A1515,'AI output'!A1515)))+--(NOT(EXACT(B1515,'AI output'!B1515)))+--(NOT(EXACT(TEXT(G1515,"yyyy-mm-dd"),'AI output'!C1515)))+--(NOT(EXACT(H1515,'AI output'!D1515)))+--(NOT(EXACT(J1515,'AI output'!E1515)))+--(NOT(EXACT(K1515,'AI output'!F1515)))+--(N1515&lt;&gt;'AI output'!L1515)+--(NOT('AI output'!M1515)),0)</f>
        <v>0</v>
      </c>
      <c r="Z1515" s="1">
        <f t="shared" si="191"/>
        <v>0</v>
      </c>
      <c r="AA1515" s="1">
        <f>--EXACT(A1515,"L01509")</f>
        <v>1</v>
      </c>
    </row>
    <row r="1516" spans="1:27" ht="18.95" customHeight="1">
      <c r="A1516" s="1" t="str">
        <f>IF(Raw!A1516="","",Raw!A1516)</f>
        <v>L01510</v>
      </c>
      <c r="B1516" s="1" t="str">
        <f>IF(Raw!B1516="","",Raw!B1516)</f>
        <v>T00755</v>
      </c>
      <c r="C1516" s="1" t="str">
        <f>IF(Raw!C1516="","",Raw!C1516)</f>
        <v>2026-02-28</v>
      </c>
      <c r="D1516" s="1">
        <f t="shared" si="184"/>
        <v>2026</v>
      </c>
      <c r="E1516" s="1">
        <f>IFERROR(IF(AND(LEN(C1516)=10,MID(C1516,5,1)="-",MID(C1516,8,1)="-"),VALUE(MID(C1516,6,2)),IF(AND(LEN(C1516)=11,MID(C1516,3,1)="-",MID(C1516,7,1)="-"),MATCH(UPPER(MID(C1516,4,3)),Guide!$D$7:$D$18,0),0)),0)</f>
        <v>2</v>
      </c>
      <c r="F1516" s="1">
        <f t="shared" si="185"/>
        <v>28</v>
      </c>
      <c r="G1516" s="9">
        <f t="shared" si="186"/>
        <v>46081</v>
      </c>
      <c r="H1516" s="1" t="str">
        <f>IF(Raw!D1516="","",Raw!D1516)</f>
        <v>P-A</v>
      </c>
      <c r="I1516" s="1" t="str">
        <f>IFERROR(IF(EXACT(H1516,INDEX(Guide!$A$7:$A$9,MATCH(SUBSTITUTE(SUBSTITUTE(SUBSTITUTE(H1516,"~","~~"),"*","~*"),"?","~?"),Guide!$A$7:$A$9,0))),INDEX(Guide!$B$7:$B$9,MATCH(SUBSTITUTE(SUBSTITUTE(SUBSTITUTE(H1516,"~","~~"),"*","~*"),"?","~?"),Guide!$A$7:$A$9,0)),""),"")</f>
        <v>Accessories</v>
      </c>
      <c r="J1516" s="1" t="str">
        <f>IF(TRIM(Raw!E1516)="",I1516,IF(UPPER(TRIM(Raw!E1516))=UPPER(I1516),I1516,""))</f>
        <v>Accessories</v>
      </c>
      <c r="K1516" s="1" t="str">
        <f>IF(Raw!F1516="","",Raw!F1516)</f>
        <v>sale</v>
      </c>
      <c r="L1516" s="1" t="str">
        <f>IF(LEFT(TRIM(Raw!G1516),2)="-$","-"&amp;MID(TRIM(Raw!G1516),3,99),IF(LEFT(TRIM(Raw!G1516),1)="$",MID(TRIM(Raw!G1516),2,99),TRIM(Raw!G1516)))</f>
        <v>333.28</v>
      </c>
      <c r="M1516" s="1">
        <f t="shared" si="187"/>
        <v>333.28</v>
      </c>
      <c r="N1516" s="10">
        <f t="shared" si="188"/>
        <v>33328</v>
      </c>
      <c r="O1516" s="1" t="b">
        <f>IFERROR(IF(ISNUMBER(Raw!G1516),TRUE,OR(EXACT(L1516,TEXT(M1516,"0.00")),EXACT(L1516,TEXT(M1516,"#,##0.00")))),FALSE)</f>
        <v>1</v>
      </c>
      <c r="P1516" s="1" t="str">
        <f>LEN(IF(Raw!A1516="","",Raw!A1516))&amp;":"&amp;IF(Raw!A1516="","",Raw!A1516)&amp;"|"&amp;LEN(IF(Raw!B1516="","",Raw!B1516))&amp;":"&amp;IF(Raw!B1516="","",Raw!B1516)&amp;"|"&amp;LEN(IF(Raw!C1516="","",Raw!C1516))&amp;":"&amp;IF(Raw!C1516="","",Raw!C1516)&amp;"|"&amp;LEN(IF(Raw!D1516="","",Raw!D1516))&amp;":"&amp;IF(Raw!D1516="","",Raw!D1516)&amp;"|"&amp;LEN(IF(Raw!E1516="","",Raw!E1516))&amp;":"&amp;IF(Raw!E1516="","",Raw!E1516)&amp;"|"&amp;LEN(IF(Raw!F1516="","",Raw!F1516))&amp;":"&amp;IF(Raw!F1516="","",Raw!F1516)&amp;"|"&amp;LEN(IF(Raw!G1516="","",Raw!G1516))&amp;":"&amp;IF(Raw!G1516="","",Raw!G1516)</f>
        <v>6:L01510|6:T00755|10:2026-02-28|3:P-A|11:Accessories|4:sale|6:333.28</v>
      </c>
      <c r="Q1516" s="1">
        <f>1</f>
        <v>1</v>
      </c>
      <c r="R1516" s="1" t="b">
        <f>FALSE</f>
        <v>0</v>
      </c>
      <c r="S1516" s="1">
        <f>1</f>
        <v>1</v>
      </c>
      <c r="T1516" s="1" t="str">
        <f>IF(AND(Raw!A1516="",Raw!B1516="",Raw!C1516="",Raw!D1516="",Raw!E1516="",Raw!F1516="",Raw!G1516=""),"UNUSED",IF(A1516="","missing line ID",IF(B1516="","missing transaction ID",IF(G1516="",IF(C1516="","missing date","invalid date"),IF(I1516="","unknown product",IF(J1516="","conflicting category",IF(NOT(OR(EXACT(K1516,"sale"),EXACT(K1516,"refund"))),"unknown event",IF(OR(N1516="",NOT(O1516)),"invalid amount",IF(OR(AND(K1516="sale",N1516&lt;=0),AND(K1516="refund",N1516&gt;=0)),"invalid sign","")))))))))</f>
        <v/>
      </c>
      <c r="U1516" s="1" t="str">
        <f t="shared" si="189"/>
        <v>INCLUDED</v>
      </c>
      <c r="V1516" s="1" t="str">
        <f t="shared" si="190"/>
        <v>2026-02</v>
      </c>
      <c r="W1516" s="1">
        <f>IF(AND(U1516="INCLUDED",X1516&gt;0,EXACT(A1516,'AI output'!A1516)),1,0)</f>
        <v>1</v>
      </c>
      <c r="X1516" s="1">
        <f>1516</f>
        <v>1516</v>
      </c>
      <c r="Y1516" s="1">
        <f>IF(AND(U1516="INCLUDED",W1516=1),--(NOT(EXACT(A1516,'AI output'!A1516)))+--(NOT(EXACT(B1516,'AI output'!B1516)))+--(NOT(EXACT(TEXT(G1516,"yyyy-mm-dd"),'AI output'!C1516)))+--(NOT(EXACT(H1516,'AI output'!D1516)))+--(NOT(EXACT(J1516,'AI output'!E1516)))+--(NOT(EXACT(K1516,'AI output'!F1516)))+--(N1516&lt;&gt;'AI output'!L1516)+--(NOT('AI output'!M1516)),0)</f>
        <v>0</v>
      </c>
      <c r="Z1516" s="1">
        <f t="shared" si="191"/>
        <v>0</v>
      </c>
      <c r="AA1516" s="1">
        <f>--EXACT(A1516,"L01510")</f>
        <v>1</v>
      </c>
    </row>
    <row r="1517" spans="1:27" ht="18.95" customHeight="1">
      <c r="A1517" s="1" t="str">
        <f>IF(Raw!A1517="","",Raw!A1517)</f>
        <v>L01511</v>
      </c>
      <c r="B1517" s="1" t="str">
        <f>IF(Raw!B1517="","",Raw!B1517)</f>
        <v>T00756</v>
      </c>
      <c r="C1517" s="1" t="str">
        <f>IF(Raw!C1517="","",Raw!C1517)</f>
        <v>2026-03-07</v>
      </c>
      <c r="D1517" s="1">
        <f t="shared" si="184"/>
        <v>2026</v>
      </c>
      <c r="E1517" s="1">
        <f>IFERROR(IF(AND(LEN(C1517)=10,MID(C1517,5,1)="-",MID(C1517,8,1)="-"),VALUE(MID(C1517,6,2)),IF(AND(LEN(C1517)=11,MID(C1517,3,1)="-",MID(C1517,7,1)="-"),MATCH(UPPER(MID(C1517,4,3)),Guide!$D$7:$D$18,0),0)),0)</f>
        <v>3</v>
      </c>
      <c r="F1517" s="1">
        <f t="shared" si="185"/>
        <v>7</v>
      </c>
      <c r="G1517" s="9">
        <f t="shared" si="186"/>
        <v>46088</v>
      </c>
      <c r="H1517" s="1" t="str">
        <f>IF(Raw!D1517="","",Raw!D1517)</f>
        <v>P-H</v>
      </c>
      <c r="I1517" s="1" t="str">
        <f>IFERROR(IF(EXACT(H1517,INDEX(Guide!$A$7:$A$9,MATCH(SUBSTITUTE(SUBSTITUTE(SUBSTITUTE(H1517,"~","~~"),"*","~*"),"?","~?"),Guide!$A$7:$A$9,0))),INDEX(Guide!$B$7:$B$9,MATCH(SUBSTITUTE(SUBSTITUTE(SUBSTITUTE(H1517,"~","~~"),"*","~*"),"?","~?"),Guide!$A$7:$A$9,0)),""),"")</f>
        <v>Home</v>
      </c>
      <c r="J1517" s="1" t="str">
        <f>IF(TRIM(Raw!E1517)="",I1517,IF(UPPER(TRIM(Raw!E1517))=UPPER(I1517),I1517,""))</f>
        <v>Home</v>
      </c>
      <c r="K1517" s="1" t="str">
        <f>IF(Raw!F1517="","",Raw!F1517)</f>
        <v>sale</v>
      </c>
      <c r="L1517" s="1" t="str">
        <f>IF(LEFT(TRIM(Raw!G1517),2)="-$","-"&amp;MID(TRIM(Raw!G1517),3,99),IF(LEFT(TRIM(Raw!G1517),1)="$",MID(TRIM(Raw!G1517),2,99),TRIM(Raw!G1517)))</f>
        <v>83.69</v>
      </c>
      <c r="M1517" s="1">
        <f t="shared" si="187"/>
        <v>83.69</v>
      </c>
      <c r="N1517" s="10">
        <f t="shared" si="188"/>
        <v>8369</v>
      </c>
      <c r="O1517" s="1" t="b">
        <f>IFERROR(IF(ISNUMBER(Raw!G1517),TRUE,OR(EXACT(L1517,TEXT(M1517,"0.00")),EXACT(L1517,TEXT(M1517,"#,##0.00")))),FALSE)</f>
        <v>1</v>
      </c>
      <c r="P1517" s="1" t="str">
        <f>LEN(IF(Raw!A1517="","",Raw!A1517))&amp;":"&amp;IF(Raw!A1517="","",Raw!A1517)&amp;"|"&amp;LEN(IF(Raw!B1517="","",Raw!B1517))&amp;":"&amp;IF(Raw!B1517="","",Raw!B1517)&amp;"|"&amp;LEN(IF(Raw!C1517="","",Raw!C1517))&amp;":"&amp;IF(Raw!C1517="","",Raw!C1517)&amp;"|"&amp;LEN(IF(Raw!D1517="","",Raw!D1517))&amp;":"&amp;IF(Raw!D1517="","",Raw!D1517)&amp;"|"&amp;LEN(IF(Raw!E1517="","",Raw!E1517))&amp;":"&amp;IF(Raw!E1517="","",Raw!E1517)&amp;"|"&amp;LEN(IF(Raw!F1517="","",Raw!F1517))&amp;":"&amp;IF(Raw!F1517="","",Raw!F1517)&amp;"|"&amp;LEN(IF(Raw!G1517="","",Raw!G1517))&amp;":"&amp;IF(Raw!G1517="","",Raw!G1517)</f>
        <v>6:L01511|6:T00756|10:2026-03-07|3:P-H|4:Home|4:sale|5:83.69</v>
      </c>
      <c r="Q1517" s="1">
        <f>1</f>
        <v>1</v>
      </c>
      <c r="R1517" s="1" t="b">
        <f>FALSE</f>
        <v>0</v>
      </c>
      <c r="S1517" s="1">
        <f>1</f>
        <v>1</v>
      </c>
      <c r="T1517" s="1" t="str">
        <f>IF(AND(Raw!A1517="",Raw!B1517="",Raw!C1517="",Raw!D1517="",Raw!E1517="",Raw!F1517="",Raw!G1517=""),"UNUSED",IF(A1517="","missing line ID",IF(B1517="","missing transaction ID",IF(G1517="",IF(C1517="","missing date","invalid date"),IF(I1517="","unknown product",IF(J1517="","conflicting category",IF(NOT(OR(EXACT(K1517,"sale"),EXACT(K1517,"refund"))),"unknown event",IF(OR(N1517="",NOT(O1517)),"invalid amount",IF(OR(AND(K1517="sale",N1517&lt;=0),AND(K1517="refund",N1517&gt;=0)),"invalid sign","")))))))))</f>
        <v/>
      </c>
      <c r="U1517" s="1" t="str">
        <f t="shared" si="189"/>
        <v>INCLUDED</v>
      </c>
      <c r="V1517" s="1" t="str">
        <f t="shared" si="190"/>
        <v>2026-03</v>
      </c>
      <c r="W1517" s="1">
        <f>IF(AND(U1517="INCLUDED",X1517&gt;0,EXACT(A1517,'AI output'!A1517)),1,0)</f>
        <v>1</v>
      </c>
      <c r="X1517" s="1">
        <f>1517</f>
        <v>1517</v>
      </c>
      <c r="Y1517" s="1">
        <f>IF(AND(U1517="INCLUDED",W1517=1),--(NOT(EXACT(A1517,'AI output'!A1517)))+--(NOT(EXACT(B1517,'AI output'!B1517)))+--(NOT(EXACT(TEXT(G1517,"yyyy-mm-dd"),'AI output'!C1517)))+--(NOT(EXACT(H1517,'AI output'!D1517)))+--(NOT(EXACT(J1517,'AI output'!E1517)))+--(NOT(EXACT(K1517,'AI output'!F1517)))+--(N1517&lt;&gt;'AI output'!L1517)+--(NOT('AI output'!M1517)),0)</f>
        <v>0</v>
      </c>
      <c r="Z1517" s="1">
        <f t="shared" si="191"/>
        <v>0</v>
      </c>
      <c r="AA1517" s="1">
        <f>--EXACT(A1517,"L01511")</f>
        <v>1</v>
      </c>
    </row>
    <row r="1518" spans="1:27" ht="18.95" customHeight="1">
      <c r="A1518" s="1" t="str">
        <f>IF(Raw!A1518="","",Raw!A1518)</f>
        <v>L01512</v>
      </c>
      <c r="B1518" s="1" t="str">
        <f>IF(Raw!B1518="","",Raw!B1518)</f>
        <v>T00756</v>
      </c>
      <c r="C1518" s="1" t="str">
        <f>IF(Raw!C1518="","",Raw!C1518)</f>
        <v>2026-03-07</v>
      </c>
      <c r="D1518" s="1">
        <f t="shared" si="184"/>
        <v>2026</v>
      </c>
      <c r="E1518" s="1">
        <f>IFERROR(IF(AND(LEN(C1518)=10,MID(C1518,5,1)="-",MID(C1518,8,1)="-"),VALUE(MID(C1518,6,2)),IF(AND(LEN(C1518)=11,MID(C1518,3,1)="-",MID(C1518,7,1)="-"),MATCH(UPPER(MID(C1518,4,3)),Guide!$D$7:$D$18,0),0)),0)</f>
        <v>3</v>
      </c>
      <c r="F1518" s="1">
        <f t="shared" si="185"/>
        <v>7</v>
      </c>
      <c r="G1518" s="9">
        <f t="shared" si="186"/>
        <v>46088</v>
      </c>
      <c r="H1518" s="1" t="str">
        <f>IF(Raw!D1518="","",Raw!D1518)</f>
        <v>P-O</v>
      </c>
      <c r="I1518" s="1" t="str">
        <f>IFERROR(IF(EXACT(H1518,INDEX(Guide!$A$7:$A$9,MATCH(SUBSTITUTE(SUBSTITUTE(SUBSTITUTE(H1518,"~","~~"),"*","~*"),"?","~?"),Guide!$A$7:$A$9,0))),INDEX(Guide!$B$7:$B$9,MATCH(SUBSTITUTE(SUBSTITUTE(SUBSTITUTE(H1518,"~","~~"),"*","~*"),"?","~?"),Guide!$A$7:$A$9,0)),""),"")</f>
        <v>Office</v>
      </c>
      <c r="J1518" s="1" t="str">
        <f>IF(TRIM(Raw!E1518)="",I1518,IF(UPPER(TRIM(Raw!E1518))=UPPER(I1518),I1518,""))</f>
        <v>Office</v>
      </c>
      <c r="K1518" s="1" t="str">
        <f>IF(Raw!F1518="","",Raw!F1518)</f>
        <v>sale</v>
      </c>
      <c r="L1518" s="1" t="str">
        <f>IF(LEFT(TRIM(Raw!G1518),2)="-$","-"&amp;MID(TRIM(Raw!G1518),3,99),IF(LEFT(TRIM(Raw!G1518),1)="$",MID(TRIM(Raw!G1518),2,99),TRIM(Raw!G1518)))</f>
        <v>252.18</v>
      </c>
      <c r="M1518" s="1">
        <f t="shared" si="187"/>
        <v>252.18</v>
      </c>
      <c r="N1518" s="10">
        <f t="shared" si="188"/>
        <v>25218</v>
      </c>
      <c r="O1518" s="1" t="b">
        <f>IFERROR(IF(ISNUMBER(Raw!G1518),TRUE,OR(EXACT(L1518,TEXT(M1518,"0.00")),EXACT(L1518,TEXT(M1518,"#,##0.00")))),FALSE)</f>
        <v>1</v>
      </c>
      <c r="P1518" s="1" t="str">
        <f>LEN(IF(Raw!A1518="","",Raw!A1518))&amp;":"&amp;IF(Raw!A1518="","",Raw!A1518)&amp;"|"&amp;LEN(IF(Raw!B1518="","",Raw!B1518))&amp;":"&amp;IF(Raw!B1518="","",Raw!B1518)&amp;"|"&amp;LEN(IF(Raw!C1518="","",Raw!C1518))&amp;":"&amp;IF(Raw!C1518="","",Raw!C1518)&amp;"|"&amp;LEN(IF(Raw!D1518="","",Raw!D1518))&amp;":"&amp;IF(Raw!D1518="","",Raw!D1518)&amp;"|"&amp;LEN(IF(Raw!E1518="","",Raw!E1518))&amp;":"&amp;IF(Raw!E1518="","",Raw!E1518)&amp;"|"&amp;LEN(IF(Raw!F1518="","",Raw!F1518))&amp;":"&amp;IF(Raw!F1518="","",Raw!F1518)&amp;"|"&amp;LEN(IF(Raw!G1518="","",Raw!G1518))&amp;":"&amp;IF(Raw!G1518="","",Raw!G1518)</f>
        <v>6:L01512|6:T00756|10:2026-03-07|3:P-O|6:Office|4:sale|6:252.18</v>
      </c>
      <c r="Q1518" s="1">
        <f>1</f>
        <v>1</v>
      </c>
      <c r="R1518" s="1" t="b">
        <f>FALSE</f>
        <v>0</v>
      </c>
      <c r="S1518" s="1">
        <f>1</f>
        <v>1</v>
      </c>
      <c r="T1518" s="1" t="str">
        <f>IF(AND(Raw!A1518="",Raw!B1518="",Raw!C1518="",Raw!D1518="",Raw!E1518="",Raw!F1518="",Raw!G1518=""),"UNUSED",IF(A1518="","missing line ID",IF(B1518="","missing transaction ID",IF(G1518="",IF(C1518="","missing date","invalid date"),IF(I1518="","unknown product",IF(J1518="","conflicting category",IF(NOT(OR(EXACT(K1518,"sale"),EXACT(K1518,"refund"))),"unknown event",IF(OR(N1518="",NOT(O1518)),"invalid amount",IF(OR(AND(K1518="sale",N1518&lt;=0),AND(K1518="refund",N1518&gt;=0)),"invalid sign","")))))))))</f>
        <v/>
      </c>
      <c r="U1518" s="1" t="str">
        <f t="shared" si="189"/>
        <v>INCLUDED</v>
      </c>
      <c r="V1518" s="1" t="str">
        <f t="shared" si="190"/>
        <v>2026-03</v>
      </c>
      <c r="W1518" s="1">
        <f>IF(AND(U1518="INCLUDED",X1518&gt;0,EXACT(A1518,'AI output'!A1518)),1,0)</f>
        <v>1</v>
      </c>
      <c r="X1518" s="1">
        <f>1518</f>
        <v>1518</v>
      </c>
      <c r="Y1518" s="1">
        <f>IF(AND(U1518="INCLUDED",W1518=1),--(NOT(EXACT(A1518,'AI output'!A1518)))+--(NOT(EXACT(B1518,'AI output'!B1518)))+--(NOT(EXACT(TEXT(G1518,"yyyy-mm-dd"),'AI output'!C1518)))+--(NOT(EXACT(H1518,'AI output'!D1518)))+--(NOT(EXACT(J1518,'AI output'!E1518)))+--(NOT(EXACT(K1518,'AI output'!F1518)))+--(N1518&lt;&gt;'AI output'!L1518)+--(NOT('AI output'!M1518)),0)</f>
        <v>0</v>
      </c>
      <c r="Z1518" s="1">
        <f t="shared" si="191"/>
        <v>0</v>
      </c>
      <c r="AA1518" s="1">
        <f>--EXACT(A1518,"L01512")</f>
        <v>1</v>
      </c>
    </row>
    <row r="1519" spans="1:27" ht="18.95" customHeight="1">
      <c r="A1519" s="1" t="str">
        <f>IF(Raw!A1519="","",Raw!A1519)</f>
        <v>L01513</v>
      </c>
      <c r="B1519" s="1" t="str">
        <f>IF(Raw!B1519="","",Raw!B1519)</f>
        <v>T00757</v>
      </c>
      <c r="C1519" s="1" t="str">
        <f>IF(Raw!C1519="","",Raw!C1519)</f>
        <v>2026-03-14</v>
      </c>
      <c r="D1519" s="1">
        <f t="shared" si="184"/>
        <v>2026</v>
      </c>
      <c r="E1519" s="1">
        <f>IFERROR(IF(AND(LEN(C1519)=10,MID(C1519,5,1)="-",MID(C1519,8,1)="-"),VALUE(MID(C1519,6,2)),IF(AND(LEN(C1519)=11,MID(C1519,3,1)="-",MID(C1519,7,1)="-"),MATCH(UPPER(MID(C1519,4,3)),Guide!$D$7:$D$18,0),0)),0)</f>
        <v>3</v>
      </c>
      <c r="F1519" s="1">
        <f t="shared" si="185"/>
        <v>14</v>
      </c>
      <c r="G1519" s="9">
        <f t="shared" si="186"/>
        <v>46095</v>
      </c>
      <c r="H1519" s="1" t="str">
        <f>IF(Raw!D1519="","",Raw!D1519)</f>
        <v>P-A</v>
      </c>
      <c r="I1519" s="1" t="str">
        <f>IFERROR(IF(EXACT(H1519,INDEX(Guide!$A$7:$A$9,MATCH(SUBSTITUTE(SUBSTITUTE(SUBSTITUTE(H1519,"~","~~"),"*","~*"),"?","~?"),Guide!$A$7:$A$9,0))),INDEX(Guide!$B$7:$B$9,MATCH(SUBSTITUTE(SUBSTITUTE(SUBSTITUTE(H1519,"~","~~"),"*","~*"),"?","~?"),Guide!$A$7:$A$9,0)),""),"")</f>
        <v>Accessories</v>
      </c>
      <c r="J1519" s="1" t="str">
        <f>IF(TRIM(Raw!E1519)="",I1519,IF(UPPER(TRIM(Raw!E1519))=UPPER(I1519),I1519,""))</f>
        <v>Accessories</v>
      </c>
      <c r="K1519" s="1" t="str">
        <f>IF(Raw!F1519="","",Raw!F1519)</f>
        <v>sale</v>
      </c>
      <c r="L1519" s="1" t="str">
        <f>IF(LEFT(TRIM(Raw!G1519),2)="-$","-"&amp;MID(TRIM(Raw!G1519),3,99),IF(LEFT(TRIM(Raw!G1519),1)="$",MID(TRIM(Raw!G1519),2,99),TRIM(Raw!G1519)))</f>
        <v>422.15</v>
      </c>
      <c r="M1519" s="1">
        <f t="shared" si="187"/>
        <v>422.15</v>
      </c>
      <c r="N1519" s="10">
        <f t="shared" si="188"/>
        <v>42215</v>
      </c>
      <c r="O1519" s="1" t="b">
        <f>IFERROR(IF(ISNUMBER(Raw!G1519),TRUE,OR(EXACT(L1519,TEXT(M1519,"0.00")),EXACT(L1519,TEXT(M1519,"#,##0.00")))),FALSE)</f>
        <v>1</v>
      </c>
      <c r="P1519" s="1" t="str">
        <f>LEN(IF(Raw!A1519="","",Raw!A1519))&amp;":"&amp;IF(Raw!A1519="","",Raw!A1519)&amp;"|"&amp;LEN(IF(Raw!B1519="","",Raw!B1519))&amp;":"&amp;IF(Raw!B1519="","",Raw!B1519)&amp;"|"&amp;LEN(IF(Raw!C1519="","",Raw!C1519))&amp;":"&amp;IF(Raw!C1519="","",Raw!C1519)&amp;"|"&amp;LEN(IF(Raw!D1519="","",Raw!D1519))&amp;":"&amp;IF(Raw!D1519="","",Raw!D1519)&amp;"|"&amp;LEN(IF(Raw!E1519="","",Raw!E1519))&amp;":"&amp;IF(Raw!E1519="","",Raw!E1519)&amp;"|"&amp;LEN(IF(Raw!F1519="","",Raw!F1519))&amp;":"&amp;IF(Raw!F1519="","",Raw!F1519)&amp;"|"&amp;LEN(IF(Raw!G1519="","",Raw!G1519))&amp;":"&amp;IF(Raw!G1519="","",Raw!G1519)</f>
        <v>6:L01513|6:T00757|10:2026-03-14|3:P-A|11:Accessories|4:sale|6:422.15</v>
      </c>
      <c r="Q1519" s="1">
        <f>1</f>
        <v>1</v>
      </c>
      <c r="R1519" s="1" t="b">
        <f>FALSE</f>
        <v>0</v>
      </c>
      <c r="S1519" s="1">
        <f>1</f>
        <v>1</v>
      </c>
      <c r="T1519" s="1" t="str">
        <f>IF(AND(Raw!A1519="",Raw!B1519="",Raw!C1519="",Raw!D1519="",Raw!E1519="",Raw!F1519="",Raw!G1519=""),"UNUSED",IF(A1519="","missing line ID",IF(B1519="","missing transaction ID",IF(G1519="",IF(C1519="","missing date","invalid date"),IF(I1519="","unknown product",IF(J1519="","conflicting category",IF(NOT(OR(EXACT(K1519,"sale"),EXACT(K1519,"refund"))),"unknown event",IF(OR(N1519="",NOT(O1519)),"invalid amount",IF(OR(AND(K1519="sale",N1519&lt;=0),AND(K1519="refund",N1519&gt;=0)),"invalid sign","")))))))))</f>
        <v/>
      </c>
      <c r="U1519" s="1" t="str">
        <f t="shared" si="189"/>
        <v>INCLUDED</v>
      </c>
      <c r="V1519" s="1" t="str">
        <f t="shared" si="190"/>
        <v>2026-03</v>
      </c>
      <c r="W1519" s="1">
        <f>IF(AND(U1519="INCLUDED",X1519&gt;0,EXACT(A1519,'AI output'!A1519)),1,0)</f>
        <v>1</v>
      </c>
      <c r="X1519" s="1">
        <f>1519</f>
        <v>1519</v>
      </c>
      <c r="Y1519" s="1">
        <f>IF(AND(U1519="INCLUDED",W1519=1),--(NOT(EXACT(A1519,'AI output'!A1519)))+--(NOT(EXACT(B1519,'AI output'!B1519)))+--(NOT(EXACT(TEXT(G1519,"yyyy-mm-dd"),'AI output'!C1519)))+--(NOT(EXACT(H1519,'AI output'!D1519)))+--(NOT(EXACT(J1519,'AI output'!E1519)))+--(NOT(EXACT(K1519,'AI output'!F1519)))+--(N1519&lt;&gt;'AI output'!L1519)+--(NOT('AI output'!M1519)),0)</f>
        <v>0</v>
      </c>
      <c r="Z1519" s="1">
        <f t="shared" si="191"/>
        <v>0</v>
      </c>
      <c r="AA1519" s="1">
        <f>--EXACT(A1519,"L01513")</f>
        <v>1</v>
      </c>
    </row>
    <row r="1520" spans="1:27" ht="18.95" customHeight="1">
      <c r="A1520" s="1" t="str">
        <f>IF(Raw!A1520="","",Raw!A1520)</f>
        <v>L01514</v>
      </c>
      <c r="B1520" s="1" t="str">
        <f>IF(Raw!B1520="","",Raw!B1520)</f>
        <v>T00757</v>
      </c>
      <c r="C1520" s="1" t="str">
        <f>IF(Raw!C1520="","",Raw!C1520)</f>
        <v>2026-03-14</v>
      </c>
      <c r="D1520" s="1">
        <f t="shared" si="184"/>
        <v>2026</v>
      </c>
      <c r="E1520" s="1">
        <f>IFERROR(IF(AND(LEN(C1520)=10,MID(C1520,5,1)="-",MID(C1520,8,1)="-"),VALUE(MID(C1520,6,2)),IF(AND(LEN(C1520)=11,MID(C1520,3,1)="-",MID(C1520,7,1)="-"),MATCH(UPPER(MID(C1520,4,3)),Guide!$D$7:$D$18,0),0)),0)</f>
        <v>3</v>
      </c>
      <c r="F1520" s="1">
        <f t="shared" si="185"/>
        <v>14</v>
      </c>
      <c r="G1520" s="9">
        <f t="shared" si="186"/>
        <v>46095</v>
      </c>
      <c r="H1520" s="1" t="str">
        <f>IF(Raw!D1520="","",Raw!D1520)</f>
        <v>P-H</v>
      </c>
      <c r="I1520" s="1" t="str">
        <f>IFERROR(IF(EXACT(H1520,INDEX(Guide!$A$7:$A$9,MATCH(SUBSTITUTE(SUBSTITUTE(SUBSTITUTE(H1520,"~","~~"),"*","~*"),"?","~?"),Guide!$A$7:$A$9,0))),INDEX(Guide!$B$7:$B$9,MATCH(SUBSTITUTE(SUBSTITUTE(SUBSTITUTE(H1520,"~","~~"),"*","~*"),"?","~?"),Guide!$A$7:$A$9,0)),""),"")</f>
        <v>Home</v>
      </c>
      <c r="J1520" s="1" t="str">
        <f>IF(TRIM(Raw!E1520)="",I1520,IF(UPPER(TRIM(Raw!E1520))=UPPER(I1520),I1520,""))</f>
        <v>Home</v>
      </c>
      <c r="K1520" s="1" t="str">
        <f>IF(Raw!F1520="","",Raw!F1520)</f>
        <v>sale</v>
      </c>
      <c r="L1520" s="1" t="str">
        <f>IF(LEFT(TRIM(Raw!G1520),2)="-$","-"&amp;MID(TRIM(Raw!G1520),3,99),IF(LEFT(TRIM(Raw!G1520),1)="$",MID(TRIM(Raw!G1520),2,99),TRIM(Raw!G1520)))</f>
        <v>169.60</v>
      </c>
      <c r="M1520" s="1">
        <f t="shared" si="187"/>
        <v>169.6</v>
      </c>
      <c r="N1520" s="10">
        <f t="shared" si="188"/>
        <v>16960</v>
      </c>
      <c r="O1520" s="1" t="b">
        <f>IFERROR(IF(ISNUMBER(Raw!G1520),TRUE,OR(EXACT(L1520,TEXT(M1520,"0.00")),EXACT(L1520,TEXT(M1520,"#,##0.00")))),FALSE)</f>
        <v>1</v>
      </c>
      <c r="P1520" s="1" t="str">
        <f>LEN(IF(Raw!A1520="","",Raw!A1520))&amp;":"&amp;IF(Raw!A1520="","",Raw!A1520)&amp;"|"&amp;LEN(IF(Raw!B1520="","",Raw!B1520))&amp;":"&amp;IF(Raw!B1520="","",Raw!B1520)&amp;"|"&amp;LEN(IF(Raw!C1520="","",Raw!C1520))&amp;":"&amp;IF(Raw!C1520="","",Raw!C1520)&amp;"|"&amp;LEN(IF(Raw!D1520="","",Raw!D1520))&amp;":"&amp;IF(Raw!D1520="","",Raw!D1520)&amp;"|"&amp;LEN(IF(Raw!E1520="","",Raw!E1520))&amp;":"&amp;IF(Raw!E1520="","",Raw!E1520)&amp;"|"&amp;LEN(IF(Raw!F1520="","",Raw!F1520))&amp;":"&amp;IF(Raw!F1520="","",Raw!F1520)&amp;"|"&amp;LEN(IF(Raw!G1520="","",Raw!G1520))&amp;":"&amp;IF(Raw!G1520="","",Raw!G1520)</f>
        <v>6:L01514|6:T00757|10:2026-03-14|3:P-H|4:Home|4:sale|6:169.60</v>
      </c>
      <c r="Q1520" s="1">
        <f>1</f>
        <v>1</v>
      </c>
      <c r="R1520" s="1" t="b">
        <f>FALSE</f>
        <v>0</v>
      </c>
      <c r="S1520" s="1">
        <f>1</f>
        <v>1</v>
      </c>
      <c r="T1520" s="1" t="str">
        <f>IF(AND(Raw!A1520="",Raw!B1520="",Raw!C1520="",Raw!D1520="",Raw!E1520="",Raw!F1520="",Raw!G1520=""),"UNUSED",IF(A1520="","missing line ID",IF(B1520="","missing transaction ID",IF(G1520="",IF(C1520="","missing date","invalid date"),IF(I1520="","unknown product",IF(J1520="","conflicting category",IF(NOT(OR(EXACT(K1520,"sale"),EXACT(K1520,"refund"))),"unknown event",IF(OR(N1520="",NOT(O1520)),"invalid amount",IF(OR(AND(K1520="sale",N1520&lt;=0),AND(K1520="refund",N1520&gt;=0)),"invalid sign","")))))))))</f>
        <v/>
      </c>
      <c r="U1520" s="1" t="str">
        <f t="shared" si="189"/>
        <v>INCLUDED</v>
      </c>
      <c r="V1520" s="1" t="str">
        <f t="shared" si="190"/>
        <v>2026-03</v>
      </c>
      <c r="W1520" s="1">
        <f>IF(AND(U1520="INCLUDED",X1520&gt;0,EXACT(A1520,'AI output'!A1520)),1,0)</f>
        <v>1</v>
      </c>
      <c r="X1520" s="1">
        <f>1520</f>
        <v>1520</v>
      </c>
      <c r="Y1520" s="1">
        <f>IF(AND(U1520="INCLUDED",W1520=1),--(NOT(EXACT(A1520,'AI output'!A1520)))+--(NOT(EXACT(B1520,'AI output'!B1520)))+--(NOT(EXACT(TEXT(G1520,"yyyy-mm-dd"),'AI output'!C1520)))+--(NOT(EXACT(H1520,'AI output'!D1520)))+--(NOT(EXACT(J1520,'AI output'!E1520)))+--(NOT(EXACT(K1520,'AI output'!F1520)))+--(N1520&lt;&gt;'AI output'!L1520)+--(NOT('AI output'!M1520)),0)</f>
        <v>0</v>
      </c>
      <c r="Z1520" s="1">
        <f t="shared" si="191"/>
        <v>0</v>
      </c>
      <c r="AA1520" s="1">
        <f>--EXACT(A1520,"L01514")</f>
        <v>1</v>
      </c>
    </row>
    <row r="1521" spans="1:27" ht="18.95" customHeight="1">
      <c r="A1521" s="1" t="str">
        <f>IF(Raw!A1521="","",Raw!A1521)</f>
        <v>L01515</v>
      </c>
      <c r="B1521" s="1" t="str">
        <f>IF(Raw!B1521="","",Raw!B1521)</f>
        <v>T00758</v>
      </c>
      <c r="C1521" s="1" t="str">
        <f>IF(Raw!C1521="","",Raw!C1521)</f>
        <v>2026-03-21</v>
      </c>
      <c r="D1521" s="1">
        <f t="shared" si="184"/>
        <v>2026</v>
      </c>
      <c r="E1521" s="1">
        <f>IFERROR(IF(AND(LEN(C1521)=10,MID(C1521,5,1)="-",MID(C1521,8,1)="-"),VALUE(MID(C1521,6,2)),IF(AND(LEN(C1521)=11,MID(C1521,3,1)="-",MID(C1521,7,1)="-"),MATCH(UPPER(MID(C1521,4,3)),Guide!$D$7:$D$18,0),0)),0)</f>
        <v>3</v>
      </c>
      <c r="F1521" s="1">
        <f t="shared" si="185"/>
        <v>21</v>
      </c>
      <c r="G1521" s="9">
        <f t="shared" si="186"/>
        <v>46102</v>
      </c>
      <c r="H1521" s="1" t="str">
        <f>IF(Raw!D1521="","",Raw!D1521)</f>
        <v>P-O</v>
      </c>
      <c r="I1521" s="1" t="str">
        <f>IFERROR(IF(EXACT(H1521,INDEX(Guide!$A$7:$A$9,MATCH(SUBSTITUTE(SUBSTITUTE(SUBSTITUTE(H1521,"~","~~"),"*","~*"),"?","~?"),Guide!$A$7:$A$9,0))),INDEX(Guide!$B$7:$B$9,MATCH(SUBSTITUTE(SUBSTITUTE(SUBSTITUTE(H1521,"~","~~"),"*","~*"),"?","~?"),Guide!$A$7:$A$9,0)),""),"")</f>
        <v>Office</v>
      </c>
      <c r="J1521" s="1" t="str">
        <f>IF(TRIM(Raw!E1521)="",I1521,IF(UPPER(TRIM(Raw!E1521))=UPPER(I1521),I1521,""))</f>
        <v>Office</v>
      </c>
      <c r="K1521" s="1" t="str">
        <f>IF(Raw!F1521="","",Raw!F1521)</f>
        <v>sale</v>
      </c>
      <c r="L1521" s="1" t="str">
        <f>IF(LEFT(TRIM(Raw!G1521),2)="-$","-"&amp;MID(TRIM(Raw!G1521),3,99),IF(LEFT(TRIM(Raw!G1521),1)="$",MID(TRIM(Raw!G1521),2,99),TRIM(Raw!G1521)))</f>
        <v>340.68</v>
      </c>
      <c r="M1521" s="1">
        <f t="shared" si="187"/>
        <v>340.68</v>
      </c>
      <c r="N1521" s="10">
        <f t="shared" si="188"/>
        <v>34068</v>
      </c>
      <c r="O1521" s="1" t="b">
        <f>IFERROR(IF(ISNUMBER(Raw!G1521),TRUE,OR(EXACT(L1521,TEXT(M1521,"0.00")),EXACT(L1521,TEXT(M1521,"#,##0.00")))),FALSE)</f>
        <v>1</v>
      </c>
      <c r="P1521" s="1" t="str">
        <f>LEN(IF(Raw!A1521="","",Raw!A1521))&amp;":"&amp;IF(Raw!A1521="","",Raw!A1521)&amp;"|"&amp;LEN(IF(Raw!B1521="","",Raw!B1521))&amp;":"&amp;IF(Raw!B1521="","",Raw!B1521)&amp;"|"&amp;LEN(IF(Raw!C1521="","",Raw!C1521))&amp;":"&amp;IF(Raw!C1521="","",Raw!C1521)&amp;"|"&amp;LEN(IF(Raw!D1521="","",Raw!D1521))&amp;":"&amp;IF(Raw!D1521="","",Raw!D1521)&amp;"|"&amp;LEN(IF(Raw!E1521="","",Raw!E1521))&amp;":"&amp;IF(Raw!E1521="","",Raw!E1521)&amp;"|"&amp;LEN(IF(Raw!F1521="","",Raw!F1521))&amp;":"&amp;IF(Raw!F1521="","",Raw!F1521)&amp;"|"&amp;LEN(IF(Raw!G1521="","",Raw!G1521))&amp;":"&amp;IF(Raw!G1521="","",Raw!G1521)</f>
        <v>6:L01515|6:T00758|10:2026-03-21|3:P-O|6:Office|4:sale|6:340.68</v>
      </c>
      <c r="Q1521" s="1">
        <f>1</f>
        <v>1</v>
      </c>
      <c r="R1521" s="1" t="b">
        <f>FALSE</f>
        <v>0</v>
      </c>
      <c r="S1521" s="1">
        <f>1</f>
        <v>1</v>
      </c>
      <c r="T1521" s="1" t="str">
        <f>IF(AND(Raw!A1521="",Raw!B1521="",Raw!C1521="",Raw!D1521="",Raw!E1521="",Raw!F1521="",Raw!G1521=""),"UNUSED",IF(A1521="","missing line ID",IF(B1521="","missing transaction ID",IF(G1521="",IF(C1521="","missing date","invalid date"),IF(I1521="","unknown product",IF(J1521="","conflicting category",IF(NOT(OR(EXACT(K1521,"sale"),EXACT(K1521,"refund"))),"unknown event",IF(OR(N1521="",NOT(O1521)),"invalid amount",IF(OR(AND(K1521="sale",N1521&lt;=0),AND(K1521="refund",N1521&gt;=0)),"invalid sign","")))))))))</f>
        <v/>
      </c>
      <c r="U1521" s="1" t="str">
        <f t="shared" si="189"/>
        <v>INCLUDED</v>
      </c>
      <c r="V1521" s="1" t="str">
        <f t="shared" si="190"/>
        <v>2026-03</v>
      </c>
      <c r="W1521" s="1">
        <f>IF(AND(U1521="INCLUDED",X1521&gt;0,EXACT(A1521,'AI output'!A1521)),1,0)</f>
        <v>1</v>
      </c>
      <c r="X1521" s="1">
        <f>1521</f>
        <v>1521</v>
      </c>
      <c r="Y1521" s="1">
        <f>IF(AND(U1521="INCLUDED",W1521=1),--(NOT(EXACT(A1521,'AI output'!A1521)))+--(NOT(EXACT(B1521,'AI output'!B1521)))+--(NOT(EXACT(TEXT(G1521,"yyyy-mm-dd"),'AI output'!C1521)))+--(NOT(EXACT(H1521,'AI output'!D1521)))+--(NOT(EXACT(J1521,'AI output'!E1521)))+--(NOT(EXACT(K1521,'AI output'!F1521)))+--(N1521&lt;&gt;'AI output'!L1521)+--(NOT('AI output'!M1521)),0)</f>
        <v>0</v>
      </c>
      <c r="Z1521" s="1">
        <f t="shared" si="191"/>
        <v>0</v>
      </c>
      <c r="AA1521" s="1">
        <f>--EXACT(A1521,"L01515")</f>
        <v>1</v>
      </c>
    </row>
    <row r="1522" spans="1:27" ht="18.95" customHeight="1">
      <c r="A1522" s="1" t="str">
        <f>IF(Raw!A1522="","",Raw!A1522)</f>
        <v>L01516</v>
      </c>
      <c r="B1522" s="1" t="str">
        <f>IF(Raw!B1522="","",Raw!B1522)</f>
        <v>T00758</v>
      </c>
      <c r="C1522" s="1" t="str">
        <f>IF(Raw!C1522="","",Raw!C1522)</f>
        <v>2026-03-21</v>
      </c>
      <c r="D1522" s="1">
        <f t="shared" si="184"/>
        <v>2026</v>
      </c>
      <c r="E1522" s="1">
        <f>IFERROR(IF(AND(LEN(C1522)=10,MID(C1522,5,1)="-",MID(C1522,8,1)="-"),VALUE(MID(C1522,6,2)),IF(AND(LEN(C1522)=11,MID(C1522,3,1)="-",MID(C1522,7,1)="-"),MATCH(UPPER(MID(C1522,4,3)),Guide!$D$7:$D$18,0),0)),0)</f>
        <v>3</v>
      </c>
      <c r="F1522" s="1">
        <f t="shared" si="185"/>
        <v>21</v>
      </c>
      <c r="G1522" s="9">
        <f t="shared" si="186"/>
        <v>46102</v>
      </c>
      <c r="H1522" s="1" t="str">
        <f>IF(Raw!D1522="","",Raw!D1522)</f>
        <v>P-A</v>
      </c>
      <c r="I1522" s="1" t="str">
        <f>IFERROR(IF(EXACT(H1522,INDEX(Guide!$A$7:$A$9,MATCH(SUBSTITUTE(SUBSTITUTE(SUBSTITUTE(H1522,"~","~~"),"*","~*"),"?","~?"),Guide!$A$7:$A$9,0))),INDEX(Guide!$B$7:$B$9,MATCH(SUBSTITUTE(SUBSTITUTE(SUBSTITUTE(H1522,"~","~~"),"*","~*"),"?","~?"),Guide!$A$7:$A$9,0)),""),"")</f>
        <v>Accessories</v>
      </c>
      <c r="J1522" s="1" t="str">
        <f>IF(TRIM(Raw!E1522)="",I1522,IF(UPPER(TRIM(Raw!E1522))=UPPER(I1522),I1522,""))</f>
        <v>Accessories</v>
      </c>
      <c r="K1522" s="1" t="str">
        <f>IF(Raw!F1522="","",Raw!F1522)</f>
        <v>sale</v>
      </c>
      <c r="L1522" s="1" t="str">
        <f>IF(LEFT(TRIM(Raw!G1522),2)="-$","-"&amp;MID(TRIM(Raw!G1522),3,99),IF(LEFT(TRIM(Raw!G1522),1)="$",MID(TRIM(Raw!G1522),2,99),TRIM(Raw!G1522)))</f>
        <v>85.54</v>
      </c>
      <c r="M1522" s="1">
        <f t="shared" si="187"/>
        <v>85.54</v>
      </c>
      <c r="N1522" s="10">
        <f t="shared" si="188"/>
        <v>8554</v>
      </c>
      <c r="O1522" s="1" t="b">
        <f>IFERROR(IF(ISNUMBER(Raw!G1522),TRUE,OR(EXACT(L1522,TEXT(M1522,"0.00")),EXACT(L1522,TEXT(M1522,"#,##0.00")))),FALSE)</f>
        <v>1</v>
      </c>
      <c r="P1522" s="1" t="str">
        <f>LEN(IF(Raw!A1522="","",Raw!A1522))&amp;":"&amp;IF(Raw!A1522="","",Raw!A1522)&amp;"|"&amp;LEN(IF(Raw!B1522="","",Raw!B1522))&amp;":"&amp;IF(Raw!B1522="","",Raw!B1522)&amp;"|"&amp;LEN(IF(Raw!C1522="","",Raw!C1522))&amp;":"&amp;IF(Raw!C1522="","",Raw!C1522)&amp;"|"&amp;LEN(IF(Raw!D1522="","",Raw!D1522))&amp;":"&amp;IF(Raw!D1522="","",Raw!D1522)&amp;"|"&amp;LEN(IF(Raw!E1522="","",Raw!E1522))&amp;":"&amp;IF(Raw!E1522="","",Raw!E1522)&amp;"|"&amp;LEN(IF(Raw!F1522="","",Raw!F1522))&amp;":"&amp;IF(Raw!F1522="","",Raw!F1522)&amp;"|"&amp;LEN(IF(Raw!G1522="","",Raw!G1522))&amp;":"&amp;IF(Raw!G1522="","",Raw!G1522)</f>
        <v>6:L01516|6:T00758|10:2026-03-21|3:P-A|11:Accessories|4:sale|5:85.54</v>
      </c>
      <c r="Q1522" s="1">
        <f>1</f>
        <v>1</v>
      </c>
      <c r="R1522" s="1" t="b">
        <f>FALSE</f>
        <v>0</v>
      </c>
      <c r="S1522" s="1">
        <f>1</f>
        <v>1</v>
      </c>
      <c r="T1522" s="1" t="str">
        <f>IF(AND(Raw!A1522="",Raw!B1522="",Raw!C1522="",Raw!D1522="",Raw!E1522="",Raw!F1522="",Raw!G1522=""),"UNUSED",IF(A1522="","missing line ID",IF(B1522="","missing transaction ID",IF(G1522="",IF(C1522="","missing date","invalid date"),IF(I1522="","unknown product",IF(J1522="","conflicting category",IF(NOT(OR(EXACT(K1522,"sale"),EXACT(K1522,"refund"))),"unknown event",IF(OR(N1522="",NOT(O1522)),"invalid amount",IF(OR(AND(K1522="sale",N1522&lt;=0),AND(K1522="refund",N1522&gt;=0)),"invalid sign","")))))))))</f>
        <v/>
      </c>
      <c r="U1522" s="1" t="str">
        <f t="shared" si="189"/>
        <v>INCLUDED</v>
      </c>
      <c r="V1522" s="1" t="str">
        <f t="shared" si="190"/>
        <v>2026-03</v>
      </c>
      <c r="W1522" s="1">
        <f>IF(AND(U1522="INCLUDED",X1522&gt;0,EXACT(A1522,'AI output'!A1522)),1,0)</f>
        <v>1</v>
      </c>
      <c r="X1522" s="1">
        <f>1522</f>
        <v>1522</v>
      </c>
      <c r="Y1522" s="1">
        <f>IF(AND(U1522="INCLUDED",W1522=1),--(NOT(EXACT(A1522,'AI output'!A1522)))+--(NOT(EXACT(B1522,'AI output'!B1522)))+--(NOT(EXACT(TEXT(G1522,"yyyy-mm-dd"),'AI output'!C1522)))+--(NOT(EXACT(H1522,'AI output'!D1522)))+--(NOT(EXACT(J1522,'AI output'!E1522)))+--(NOT(EXACT(K1522,'AI output'!F1522)))+--(N1522&lt;&gt;'AI output'!L1522)+--(NOT('AI output'!M1522)),0)</f>
        <v>0</v>
      </c>
      <c r="Z1522" s="1">
        <f t="shared" si="191"/>
        <v>0</v>
      </c>
      <c r="AA1522" s="1">
        <f>--EXACT(A1522,"L01516")</f>
        <v>1</v>
      </c>
    </row>
    <row r="1523" spans="1:27" ht="18.95" customHeight="1">
      <c r="A1523" s="1" t="str">
        <f>IF(Raw!A1523="","",Raw!A1523)</f>
        <v>L01517</v>
      </c>
      <c r="B1523" s="1" t="str">
        <f>IF(Raw!B1523="","",Raw!B1523)</f>
        <v>T00759</v>
      </c>
      <c r="C1523" s="1" t="str">
        <f>IF(Raw!C1523="","",Raw!C1523)</f>
        <v>2026-03-28</v>
      </c>
      <c r="D1523" s="1">
        <f t="shared" si="184"/>
        <v>2026</v>
      </c>
      <c r="E1523" s="1">
        <f>IFERROR(IF(AND(LEN(C1523)=10,MID(C1523,5,1)="-",MID(C1523,8,1)="-"),VALUE(MID(C1523,6,2)),IF(AND(LEN(C1523)=11,MID(C1523,3,1)="-",MID(C1523,7,1)="-"),MATCH(UPPER(MID(C1523,4,3)),Guide!$D$7:$D$18,0),0)),0)</f>
        <v>3</v>
      </c>
      <c r="F1523" s="1">
        <f t="shared" si="185"/>
        <v>28</v>
      </c>
      <c r="G1523" s="9">
        <f t="shared" si="186"/>
        <v>46109</v>
      </c>
      <c r="H1523" s="1" t="str">
        <f>IF(Raw!D1523="","",Raw!D1523)</f>
        <v>P-H</v>
      </c>
      <c r="I1523" s="1" t="str">
        <f>IFERROR(IF(EXACT(H1523,INDEX(Guide!$A$7:$A$9,MATCH(SUBSTITUTE(SUBSTITUTE(SUBSTITUTE(H1523,"~","~~"),"*","~*"),"?","~?"),Guide!$A$7:$A$9,0))),INDEX(Guide!$B$7:$B$9,MATCH(SUBSTITUTE(SUBSTITUTE(SUBSTITUTE(H1523,"~","~~"),"*","~*"),"?","~?"),Guide!$A$7:$A$9,0)),""),"")</f>
        <v>Home</v>
      </c>
      <c r="J1523" s="1" t="str">
        <f>IF(TRIM(Raw!E1523)="",I1523,IF(UPPER(TRIM(Raw!E1523))=UPPER(I1523),I1523,""))</f>
        <v>Home</v>
      </c>
      <c r="K1523" s="1" t="str">
        <f>IF(Raw!F1523="","",Raw!F1523)</f>
        <v>sale</v>
      </c>
      <c r="L1523" s="1" t="str">
        <f>IF(LEFT(TRIM(Raw!G1523),2)="-$","-"&amp;MID(TRIM(Raw!G1523),3,99),IF(LEFT(TRIM(Raw!G1523),1)="$",MID(TRIM(Raw!G1523),2,99),TRIM(Raw!G1523)))</f>
        <v>257.73</v>
      </c>
      <c r="M1523" s="1">
        <f t="shared" si="187"/>
        <v>257.73</v>
      </c>
      <c r="N1523" s="10">
        <f t="shared" si="188"/>
        <v>25773</v>
      </c>
      <c r="O1523" s="1" t="b">
        <f>IFERROR(IF(ISNUMBER(Raw!G1523),TRUE,OR(EXACT(L1523,TEXT(M1523,"0.00")),EXACT(L1523,TEXT(M1523,"#,##0.00")))),FALSE)</f>
        <v>1</v>
      </c>
      <c r="P1523" s="1" t="str">
        <f>LEN(IF(Raw!A1523="","",Raw!A1523))&amp;":"&amp;IF(Raw!A1523="","",Raw!A1523)&amp;"|"&amp;LEN(IF(Raw!B1523="","",Raw!B1523))&amp;":"&amp;IF(Raw!B1523="","",Raw!B1523)&amp;"|"&amp;LEN(IF(Raw!C1523="","",Raw!C1523))&amp;":"&amp;IF(Raw!C1523="","",Raw!C1523)&amp;"|"&amp;LEN(IF(Raw!D1523="","",Raw!D1523))&amp;":"&amp;IF(Raw!D1523="","",Raw!D1523)&amp;"|"&amp;LEN(IF(Raw!E1523="","",Raw!E1523))&amp;":"&amp;IF(Raw!E1523="","",Raw!E1523)&amp;"|"&amp;LEN(IF(Raw!F1523="","",Raw!F1523))&amp;":"&amp;IF(Raw!F1523="","",Raw!F1523)&amp;"|"&amp;LEN(IF(Raw!G1523="","",Raw!G1523))&amp;":"&amp;IF(Raw!G1523="","",Raw!G1523)</f>
        <v>6:L01517|6:T00759|10:2026-03-28|3:P-H|4:Home|4:sale|6:257.73</v>
      </c>
      <c r="Q1523" s="1">
        <f>1</f>
        <v>1</v>
      </c>
      <c r="R1523" s="1" t="b">
        <f>FALSE</f>
        <v>0</v>
      </c>
      <c r="S1523" s="1">
        <f>1</f>
        <v>1</v>
      </c>
      <c r="T1523" s="1" t="str">
        <f>IF(AND(Raw!A1523="",Raw!B1523="",Raw!C1523="",Raw!D1523="",Raw!E1523="",Raw!F1523="",Raw!G1523=""),"UNUSED",IF(A1523="","missing line ID",IF(B1523="","missing transaction ID",IF(G1523="",IF(C1523="","missing date","invalid date"),IF(I1523="","unknown product",IF(J1523="","conflicting category",IF(NOT(OR(EXACT(K1523,"sale"),EXACT(K1523,"refund"))),"unknown event",IF(OR(N1523="",NOT(O1523)),"invalid amount",IF(OR(AND(K1523="sale",N1523&lt;=0),AND(K1523="refund",N1523&gt;=0)),"invalid sign","")))))))))</f>
        <v/>
      </c>
      <c r="U1523" s="1" t="str">
        <f t="shared" si="189"/>
        <v>INCLUDED</v>
      </c>
      <c r="V1523" s="1" t="str">
        <f t="shared" si="190"/>
        <v>2026-03</v>
      </c>
      <c r="W1523" s="1">
        <f>IF(AND(U1523="INCLUDED",X1523&gt;0,EXACT(A1523,'AI output'!A1523)),1,0)</f>
        <v>1</v>
      </c>
      <c r="X1523" s="1">
        <f>1523</f>
        <v>1523</v>
      </c>
      <c r="Y1523" s="1">
        <f>IF(AND(U1523="INCLUDED",W1523=1),--(NOT(EXACT(A1523,'AI output'!A1523)))+--(NOT(EXACT(B1523,'AI output'!B1523)))+--(NOT(EXACT(TEXT(G1523,"yyyy-mm-dd"),'AI output'!C1523)))+--(NOT(EXACT(H1523,'AI output'!D1523)))+--(NOT(EXACT(J1523,'AI output'!E1523)))+--(NOT(EXACT(K1523,'AI output'!F1523)))+--(N1523&lt;&gt;'AI output'!L1523)+--(NOT('AI output'!M1523)),0)</f>
        <v>0</v>
      </c>
      <c r="Z1523" s="1">
        <f t="shared" si="191"/>
        <v>0</v>
      </c>
      <c r="AA1523" s="1">
        <f>--EXACT(A1523,"L01517")</f>
        <v>1</v>
      </c>
    </row>
    <row r="1524" spans="1:27" ht="18.95" customHeight="1">
      <c r="A1524" s="1" t="str">
        <f>IF(Raw!A1524="","",Raw!A1524)</f>
        <v>L01518</v>
      </c>
      <c r="B1524" s="1" t="str">
        <f>IF(Raw!B1524="","",Raw!B1524)</f>
        <v>T00759</v>
      </c>
      <c r="C1524" s="1" t="str">
        <f>IF(Raw!C1524="","",Raw!C1524)</f>
        <v>2026-03-28</v>
      </c>
      <c r="D1524" s="1">
        <f t="shared" si="184"/>
        <v>2026</v>
      </c>
      <c r="E1524" s="1">
        <f>IFERROR(IF(AND(LEN(C1524)=10,MID(C1524,5,1)="-",MID(C1524,8,1)="-"),VALUE(MID(C1524,6,2)),IF(AND(LEN(C1524)=11,MID(C1524,3,1)="-",MID(C1524,7,1)="-"),MATCH(UPPER(MID(C1524,4,3)),Guide!$D$7:$D$18,0),0)),0)</f>
        <v>3</v>
      </c>
      <c r="F1524" s="1">
        <f t="shared" si="185"/>
        <v>28</v>
      </c>
      <c r="G1524" s="9">
        <f t="shared" si="186"/>
        <v>46109</v>
      </c>
      <c r="H1524" s="1" t="str">
        <f>IF(Raw!D1524="","",Raw!D1524)</f>
        <v>P-O</v>
      </c>
      <c r="I1524" s="1" t="str">
        <f>IFERROR(IF(EXACT(H1524,INDEX(Guide!$A$7:$A$9,MATCH(SUBSTITUTE(SUBSTITUTE(SUBSTITUTE(H1524,"~","~~"),"*","~*"),"?","~?"),Guide!$A$7:$A$9,0))),INDEX(Guide!$B$7:$B$9,MATCH(SUBSTITUTE(SUBSTITUTE(SUBSTITUTE(H1524,"~","~~"),"*","~*"),"?","~?"),Guide!$A$7:$A$9,0)),""),"")</f>
        <v>Office</v>
      </c>
      <c r="J1524" s="1" t="str">
        <f>IF(TRIM(Raw!E1524)="",I1524,IF(UPPER(TRIM(Raw!E1524))=UPPER(I1524),I1524,""))</f>
        <v>Office</v>
      </c>
      <c r="K1524" s="1" t="str">
        <f>IF(Raw!F1524="","",Raw!F1524)</f>
        <v>sale</v>
      </c>
      <c r="L1524" s="1" t="str">
        <f>IF(LEFT(TRIM(Raw!G1524),2)="-$","-"&amp;MID(TRIM(Raw!G1524),3,99),IF(LEFT(TRIM(Raw!G1524),1)="$",MID(TRIM(Raw!G1524),2,99),TRIM(Raw!G1524)))</f>
        <v>431.40</v>
      </c>
      <c r="M1524" s="1">
        <f t="shared" si="187"/>
        <v>431.4</v>
      </c>
      <c r="N1524" s="10">
        <f t="shared" si="188"/>
        <v>43140</v>
      </c>
      <c r="O1524" s="1" t="b">
        <f>IFERROR(IF(ISNUMBER(Raw!G1524),TRUE,OR(EXACT(L1524,TEXT(M1524,"0.00")),EXACT(L1524,TEXT(M1524,"#,##0.00")))),FALSE)</f>
        <v>1</v>
      </c>
      <c r="P1524" s="1" t="str">
        <f>LEN(IF(Raw!A1524="","",Raw!A1524))&amp;":"&amp;IF(Raw!A1524="","",Raw!A1524)&amp;"|"&amp;LEN(IF(Raw!B1524="","",Raw!B1524))&amp;":"&amp;IF(Raw!B1524="","",Raw!B1524)&amp;"|"&amp;LEN(IF(Raw!C1524="","",Raw!C1524))&amp;":"&amp;IF(Raw!C1524="","",Raw!C1524)&amp;"|"&amp;LEN(IF(Raw!D1524="","",Raw!D1524))&amp;":"&amp;IF(Raw!D1524="","",Raw!D1524)&amp;"|"&amp;LEN(IF(Raw!E1524="","",Raw!E1524))&amp;":"&amp;IF(Raw!E1524="","",Raw!E1524)&amp;"|"&amp;LEN(IF(Raw!F1524="","",Raw!F1524))&amp;":"&amp;IF(Raw!F1524="","",Raw!F1524)&amp;"|"&amp;LEN(IF(Raw!G1524="","",Raw!G1524))&amp;":"&amp;IF(Raw!G1524="","",Raw!G1524)</f>
        <v>6:L01518|6:T00759|10:2026-03-28|3:P-O|6:Office|4:sale|6:431.40</v>
      </c>
      <c r="Q1524" s="1">
        <f>1</f>
        <v>1</v>
      </c>
      <c r="R1524" s="1" t="b">
        <f>FALSE</f>
        <v>0</v>
      </c>
      <c r="S1524" s="1">
        <f>1</f>
        <v>1</v>
      </c>
      <c r="T1524" s="1" t="str">
        <f>IF(AND(Raw!A1524="",Raw!B1524="",Raw!C1524="",Raw!D1524="",Raw!E1524="",Raw!F1524="",Raw!G1524=""),"UNUSED",IF(A1524="","missing line ID",IF(B1524="","missing transaction ID",IF(G1524="",IF(C1524="","missing date","invalid date"),IF(I1524="","unknown product",IF(J1524="","conflicting category",IF(NOT(OR(EXACT(K1524,"sale"),EXACT(K1524,"refund"))),"unknown event",IF(OR(N1524="",NOT(O1524)),"invalid amount",IF(OR(AND(K1524="sale",N1524&lt;=0),AND(K1524="refund",N1524&gt;=0)),"invalid sign","")))))))))</f>
        <v/>
      </c>
      <c r="U1524" s="1" t="str">
        <f t="shared" si="189"/>
        <v>INCLUDED</v>
      </c>
      <c r="V1524" s="1" t="str">
        <f t="shared" si="190"/>
        <v>2026-03</v>
      </c>
      <c r="W1524" s="1">
        <f>IF(AND(U1524="INCLUDED",X1524&gt;0,EXACT(A1524,'AI output'!A1524)),1,0)</f>
        <v>1</v>
      </c>
      <c r="X1524" s="1">
        <f>1524</f>
        <v>1524</v>
      </c>
      <c r="Y1524" s="1">
        <f>IF(AND(U1524="INCLUDED",W1524=1),--(NOT(EXACT(A1524,'AI output'!A1524)))+--(NOT(EXACT(B1524,'AI output'!B1524)))+--(NOT(EXACT(TEXT(G1524,"yyyy-mm-dd"),'AI output'!C1524)))+--(NOT(EXACT(H1524,'AI output'!D1524)))+--(NOT(EXACT(J1524,'AI output'!E1524)))+--(NOT(EXACT(K1524,'AI output'!F1524)))+--(N1524&lt;&gt;'AI output'!L1524)+--(NOT('AI output'!M1524)),0)</f>
        <v>0</v>
      </c>
      <c r="Z1524" s="1">
        <f t="shared" si="191"/>
        <v>0</v>
      </c>
      <c r="AA1524" s="1">
        <f>--EXACT(A1524,"L01518")</f>
        <v>1</v>
      </c>
    </row>
    <row r="1525" spans="1:27" ht="18.95" customHeight="1">
      <c r="A1525" s="1" t="str">
        <f>IF(Raw!A1525="","",Raw!A1525)</f>
        <v>L01519</v>
      </c>
      <c r="B1525" s="1" t="str">
        <f>IF(Raw!B1525="","",Raw!B1525)</f>
        <v>T00760</v>
      </c>
      <c r="C1525" s="1" t="str">
        <f>IF(Raw!C1525="","",Raw!C1525)</f>
        <v>2026-01-04</v>
      </c>
      <c r="D1525" s="1">
        <f t="shared" si="184"/>
        <v>2026</v>
      </c>
      <c r="E1525" s="1">
        <f>IFERROR(IF(AND(LEN(C1525)=10,MID(C1525,5,1)="-",MID(C1525,8,1)="-"),VALUE(MID(C1525,6,2)),IF(AND(LEN(C1525)=11,MID(C1525,3,1)="-",MID(C1525,7,1)="-"),MATCH(UPPER(MID(C1525,4,3)),Guide!$D$7:$D$18,0),0)),0)</f>
        <v>1</v>
      </c>
      <c r="F1525" s="1">
        <f t="shared" si="185"/>
        <v>4</v>
      </c>
      <c r="G1525" s="9">
        <f t="shared" si="186"/>
        <v>46026</v>
      </c>
      <c r="H1525" s="1" t="str">
        <f>IF(Raw!D1525="","",Raw!D1525)</f>
        <v>P-A</v>
      </c>
      <c r="I1525" s="1" t="str">
        <f>IFERROR(IF(EXACT(H1525,INDEX(Guide!$A$7:$A$9,MATCH(SUBSTITUTE(SUBSTITUTE(SUBSTITUTE(H1525,"~","~~"),"*","~*"),"?","~?"),Guide!$A$7:$A$9,0))),INDEX(Guide!$B$7:$B$9,MATCH(SUBSTITUTE(SUBSTITUTE(SUBSTITUTE(H1525,"~","~~"),"*","~*"),"?","~?"),Guide!$A$7:$A$9,0)),""),"")</f>
        <v>Accessories</v>
      </c>
      <c r="J1525" s="1" t="str">
        <f>IF(TRIM(Raw!E1525)="",I1525,IF(UPPER(TRIM(Raw!E1525))=UPPER(I1525),I1525,""))</f>
        <v>Accessories</v>
      </c>
      <c r="K1525" s="1" t="str">
        <f>IF(Raw!F1525="","",Raw!F1525)</f>
        <v>refund</v>
      </c>
      <c r="L1525" s="1" t="str">
        <f>IF(LEFT(TRIM(Raw!G1525),2)="-$","-"&amp;MID(TRIM(Raw!G1525),3,99),IF(LEFT(TRIM(Raw!G1525),1)="$",MID(TRIM(Raw!G1525),2,99),TRIM(Raw!G1525)))</f>
        <v>-173.30</v>
      </c>
      <c r="M1525" s="1">
        <f t="shared" si="187"/>
        <v>-173.3</v>
      </c>
      <c r="N1525" s="10">
        <f t="shared" si="188"/>
        <v>-17330</v>
      </c>
      <c r="O1525" s="1" t="b">
        <f>IFERROR(IF(ISNUMBER(Raw!G1525),TRUE,OR(EXACT(L1525,TEXT(M1525,"0.00")),EXACT(L1525,TEXT(M1525,"#,##0.00")))),FALSE)</f>
        <v>1</v>
      </c>
      <c r="P1525" s="1" t="str">
        <f>LEN(IF(Raw!A1525="","",Raw!A1525))&amp;":"&amp;IF(Raw!A1525="","",Raw!A1525)&amp;"|"&amp;LEN(IF(Raw!B1525="","",Raw!B1525))&amp;":"&amp;IF(Raw!B1525="","",Raw!B1525)&amp;"|"&amp;LEN(IF(Raw!C1525="","",Raw!C1525))&amp;":"&amp;IF(Raw!C1525="","",Raw!C1525)&amp;"|"&amp;LEN(IF(Raw!D1525="","",Raw!D1525))&amp;":"&amp;IF(Raw!D1525="","",Raw!D1525)&amp;"|"&amp;LEN(IF(Raw!E1525="","",Raw!E1525))&amp;":"&amp;IF(Raw!E1525="","",Raw!E1525)&amp;"|"&amp;LEN(IF(Raw!F1525="","",Raw!F1525))&amp;":"&amp;IF(Raw!F1525="","",Raw!F1525)&amp;"|"&amp;LEN(IF(Raw!G1525="","",Raw!G1525))&amp;":"&amp;IF(Raw!G1525="","",Raw!G1525)</f>
        <v>6:L01519|6:T00760|10:2026-01-04|3:P-A|11:Accessories|6:refund|7:-173.30</v>
      </c>
      <c r="Q1525" s="1">
        <f>1</f>
        <v>1</v>
      </c>
      <c r="R1525" s="1" t="b">
        <f>FALSE</f>
        <v>0</v>
      </c>
      <c r="S1525" s="1">
        <f>1</f>
        <v>1</v>
      </c>
      <c r="T1525" s="1" t="str">
        <f>IF(AND(Raw!A1525="",Raw!B1525="",Raw!C1525="",Raw!D1525="",Raw!E1525="",Raw!F1525="",Raw!G1525=""),"UNUSED",IF(A1525="","missing line ID",IF(B1525="","missing transaction ID",IF(G1525="",IF(C1525="","missing date","invalid date"),IF(I1525="","unknown product",IF(J1525="","conflicting category",IF(NOT(OR(EXACT(K1525,"sale"),EXACT(K1525,"refund"))),"unknown event",IF(OR(N1525="",NOT(O1525)),"invalid amount",IF(OR(AND(K1525="sale",N1525&lt;=0),AND(K1525="refund",N1525&gt;=0)),"invalid sign","")))))))))</f>
        <v/>
      </c>
      <c r="U1525" s="1" t="str">
        <f t="shared" si="189"/>
        <v>INCLUDED</v>
      </c>
      <c r="V1525" s="1" t="str">
        <f t="shared" si="190"/>
        <v>2026-01</v>
      </c>
      <c r="W1525" s="1">
        <f>IF(AND(U1525="INCLUDED",X1525&gt;0,EXACT(A1525,'AI output'!A1525)),1,0)</f>
        <v>1</v>
      </c>
      <c r="X1525" s="1">
        <f>1525</f>
        <v>1525</v>
      </c>
      <c r="Y1525" s="1">
        <f>IF(AND(U1525="INCLUDED",W1525=1),--(NOT(EXACT(A1525,'AI output'!A1525)))+--(NOT(EXACT(B1525,'AI output'!B1525)))+--(NOT(EXACT(TEXT(G1525,"yyyy-mm-dd"),'AI output'!C1525)))+--(NOT(EXACT(H1525,'AI output'!D1525)))+--(NOT(EXACT(J1525,'AI output'!E1525)))+--(NOT(EXACT(K1525,'AI output'!F1525)))+--(N1525&lt;&gt;'AI output'!L1525)+--(NOT('AI output'!M1525)),0)</f>
        <v>0</v>
      </c>
      <c r="Z1525" s="1">
        <f t="shared" si="191"/>
        <v>0</v>
      </c>
      <c r="AA1525" s="1">
        <f>--EXACT(A1525,"L01519")</f>
        <v>1</v>
      </c>
    </row>
    <row r="1526" spans="1:27" ht="18.95" customHeight="1">
      <c r="A1526" s="1" t="str">
        <f>IF(Raw!A1526="","",Raw!A1526)</f>
        <v>L01520</v>
      </c>
      <c r="B1526" s="1" t="str">
        <f>IF(Raw!B1526="","",Raw!B1526)</f>
        <v>T00760</v>
      </c>
      <c r="C1526" s="1" t="str">
        <f>IF(Raw!C1526="","",Raw!C1526)</f>
        <v>2026-01-04</v>
      </c>
      <c r="D1526" s="1">
        <f t="shared" si="184"/>
        <v>2026</v>
      </c>
      <c r="E1526" s="1">
        <f>IFERROR(IF(AND(LEN(C1526)=10,MID(C1526,5,1)="-",MID(C1526,8,1)="-"),VALUE(MID(C1526,6,2)),IF(AND(LEN(C1526)=11,MID(C1526,3,1)="-",MID(C1526,7,1)="-"),MATCH(UPPER(MID(C1526,4,3)),Guide!$D$7:$D$18,0),0)),0)</f>
        <v>1</v>
      </c>
      <c r="F1526" s="1">
        <f t="shared" si="185"/>
        <v>4</v>
      </c>
      <c r="G1526" s="9">
        <f t="shared" si="186"/>
        <v>46026</v>
      </c>
      <c r="H1526" s="1" t="str">
        <f>IF(Raw!D1526="","",Raw!D1526)</f>
        <v>P-H</v>
      </c>
      <c r="I1526" s="1" t="str">
        <f>IFERROR(IF(EXACT(H1526,INDEX(Guide!$A$7:$A$9,MATCH(SUBSTITUTE(SUBSTITUTE(SUBSTITUTE(H1526,"~","~~"),"*","~*"),"?","~?"),Guide!$A$7:$A$9,0))),INDEX(Guide!$B$7:$B$9,MATCH(SUBSTITUTE(SUBSTITUTE(SUBSTITUTE(H1526,"~","~~"),"*","~*"),"?","~?"),Guide!$A$7:$A$9,0)),""),"")</f>
        <v>Home</v>
      </c>
      <c r="J1526" s="1" t="str">
        <f>IF(TRIM(Raw!E1526)="",I1526,IF(UPPER(TRIM(Raw!E1526))=UPPER(I1526),I1526,""))</f>
        <v>Home</v>
      </c>
      <c r="K1526" s="1" t="str">
        <f>IF(Raw!F1526="","",Raw!F1526)</f>
        <v>sale</v>
      </c>
      <c r="L1526" s="1" t="str">
        <f>IF(LEFT(TRIM(Raw!G1526),2)="-$","-"&amp;MID(TRIM(Raw!G1526),3,99),IF(LEFT(TRIM(Raw!G1526),1)="$",MID(TRIM(Raw!G1526),2,99),TRIM(Raw!G1526)))</f>
        <v>348.08</v>
      </c>
      <c r="M1526" s="1">
        <f t="shared" si="187"/>
        <v>348.08</v>
      </c>
      <c r="N1526" s="10">
        <f t="shared" si="188"/>
        <v>34808</v>
      </c>
      <c r="O1526" s="1" t="b">
        <f>IFERROR(IF(ISNUMBER(Raw!G1526),TRUE,OR(EXACT(L1526,TEXT(M1526,"0.00")),EXACT(L1526,TEXT(M1526,"#,##0.00")))),FALSE)</f>
        <v>1</v>
      </c>
      <c r="P1526" s="1" t="str">
        <f>LEN(IF(Raw!A1526="","",Raw!A1526))&amp;":"&amp;IF(Raw!A1526="","",Raw!A1526)&amp;"|"&amp;LEN(IF(Raw!B1526="","",Raw!B1526))&amp;":"&amp;IF(Raw!B1526="","",Raw!B1526)&amp;"|"&amp;LEN(IF(Raw!C1526="","",Raw!C1526))&amp;":"&amp;IF(Raw!C1526="","",Raw!C1526)&amp;"|"&amp;LEN(IF(Raw!D1526="","",Raw!D1526))&amp;":"&amp;IF(Raw!D1526="","",Raw!D1526)&amp;"|"&amp;LEN(IF(Raw!E1526="","",Raw!E1526))&amp;":"&amp;IF(Raw!E1526="","",Raw!E1526)&amp;"|"&amp;LEN(IF(Raw!F1526="","",Raw!F1526))&amp;":"&amp;IF(Raw!F1526="","",Raw!F1526)&amp;"|"&amp;LEN(IF(Raw!G1526="","",Raw!G1526))&amp;":"&amp;IF(Raw!G1526="","",Raw!G1526)</f>
        <v>6:L01520|6:T00760|10:2026-01-04|3:P-H|4:Home|4:sale|6:348.08</v>
      </c>
      <c r="Q1526" s="1">
        <f>1</f>
        <v>1</v>
      </c>
      <c r="R1526" s="1" t="b">
        <f>FALSE</f>
        <v>0</v>
      </c>
      <c r="S1526" s="1">
        <f>1</f>
        <v>1</v>
      </c>
      <c r="T1526" s="1" t="str">
        <f>IF(AND(Raw!A1526="",Raw!B1526="",Raw!C1526="",Raw!D1526="",Raw!E1526="",Raw!F1526="",Raw!G1526=""),"UNUSED",IF(A1526="","missing line ID",IF(B1526="","missing transaction ID",IF(G1526="",IF(C1526="","missing date","invalid date"),IF(I1526="","unknown product",IF(J1526="","conflicting category",IF(NOT(OR(EXACT(K1526,"sale"),EXACT(K1526,"refund"))),"unknown event",IF(OR(N1526="",NOT(O1526)),"invalid amount",IF(OR(AND(K1526="sale",N1526&lt;=0),AND(K1526="refund",N1526&gt;=0)),"invalid sign","")))))))))</f>
        <v/>
      </c>
      <c r="U1526" s="1" t="str">
        <f t="shared" si="189"/>
        <v>INCLUDED</v>
      </c>
      <c r="V1526" s="1" t="str">
        <f t="shared" si="190"/>
        <v>2026-01</v>
      </c>
      <c r="W1526" s="1">
        <f>IF(AND(U1526="INCLUDED",X1526&gt;0,EXACT(A1526,'AI output'!A1526)),1,0)</f>
        <v>1</v>
      </c>
      <c r="X1526" s="1">
        <f>1526</f>
        <v>1526</v>
      </c>
      <c r="Y1526" s="1">
        <f>IF(AND(U1526="INCLUDED",W1526=1),--(NOT(EXACT(A1526,'AI output'!A1526)))+--(NOT(EXACT(B1526,'AI output'!B1526)))+--(NOT(EXACT(TEXT(G1526,"yyyy-mm-dd"),'AI output'!C1526)))+--(NOT(EXACT(H1526,'AI output'!D1526)))+--(NOT(EXACT(J1526,'AI output'!E1526)))+--(NOT(EXACT(K1526,'AI output'!F1526)))+--(N1526&lt;&gt;'AI output'!L1526)+--(NOT('AI output'!M1526)),0)</f>
        <v>0</v>
      </c>
      <c r="Z1526" s="1">
        <f t="shared" si="191"/>
        <v>0</v>
      </c>
      <c r="AA1526" s="1">
        <f>--EXACT(A1526,"L01520")</f>
        <v>1</v>
      </c>
    </row>
    <row r="1527" spans="1:27" ht="18.95" customHeight="1">
      <c r="A1527" s="1" t="str">
        <f>IF(Raw!A1527="","",Raw!A1527)</f>
        <v>L01521</v>
      </c>
      <c r="B1527" s="1" t="str">
        <f>IF(Raw!B1527="","",Raw!B1527)</f>
        <v>T00761</v>
      </c>
      <c r="C1527" s="1" t="str">
        <f>IF(Raw!C1527="","",Raw!C1527)</f>
        <v>2026-01-11</v>
      </c>
      <c r="D1527" s="1">
        <f t="shared" si="184"/>
        <v>2026</v>
      </c>
      <c r="E1527" s="1">
        <f>IFERROR(IF(AND(LEN(C1527)=10,MID(C1527,5,1)="-",MID(C1527,8,1)="-"),VALUE(MID(C1527,6,2)),IF(AND(LEN(C1527)=11,MID(C1527,3,1)="-",MID(C1527,7,1)="-"),MATCH(UPPER(MID(C1527,4,3)),Guide!$D$7:$D$18,0),0)),0)</f>
        <v>1</v>
      </c>
      <c r="F1527" s="1">
        <f t="shared" si="185"/>
        <v>11</v>
      </c>
      <c r="G1527" s="9">
        <f t="shared" si="186"/>
        <v>46033</v>
      </c>
      <c r="H1527" s="1" t="str">
        <f>IF(Raw!D1527="","",Raw!D1527)</f>
        <v>P-O</v>
      </c>
      <c r="I1527" s="1" t="str">
        <f>IFERROR(IF(EXACT(H1527,INDEX(Guide!$A$7:$A$9,MATCH(SUBSTITUTE(SUBSTITUTE(SUBSTITUTE(H1527,"~","~~"),"*","~*"),"?","~?"),Guide!$A$7:$A$9,0))),INDEX(Guide!$B$7:$B$9,MATCH(SUBSTITUTE(SUBSTITUTE(SUBSTITUTE(H1527,"~","~~"),"*","~*"),"?","~?"),Guide!$A$7:$A$9,0)),""),"")</f>
        <v>Office</v>
      </c>
      <c r="J1527" s="1" t="str">
        <f>IF(TRIM(Raw!E1527)="",I1527,IF(UPPER(TRIM(Raw!E1527))=UPPER(I1527),I1527,""))</f>
        <v>Office</v>
      </c>
      <c r="K1527" s="1" t="str">
        <f>IF(Raw!F1527="","",Raw!F1527)</f>
        <v>sale</v>
      </c>
      <c r="L1527" s="1" t="str">
        <f>IF(LEFT(TRIM(Raw!G1527),2)="-$","-"&amp;MID(TRIM(Raw!G1527),3,99),IF(LEFT(TRIM(Raw!G1527),1)="$",MID(TRIM(Raw!G1527),2,99),TRIM(Raw!G1527)))</f>
        <v>87.39</v>
      </c>
      <c r="M1527" s="1">
        <f t="shared" si="187"/>
        <v>87.39</v>
      </c>
      <c r="N1527" s="10">
        <f t="shared" si="188"/>
        <v>8739</v>
      </c>
      <c r="O1527" s="1" t="b">
        <f>IFERROR(IF(ISNUMBER(Raw!G1527),TRUE,OR(EXACT(L1527,TEXT(M1527,"0.00")),EXACT(L1527,TEXT(M1527,"#,##0.00")))),FALSE)</f>
        <v>1</v>
      </c>
      <c r="P1527" s="1" t="str">
        <f>LEN(IF(Raw!A1527="","",Raw!A1527))&amp;":"&amp;IF(Raw!A1527="","",Raw!A1527)&amp;"|"&amp;LEN(IF(Raw!B1527="","",Raw!B1527))&amp;":"&amp;IF(Raw!B1527="","",Raw!B1527)&amp;"|"&amp;LEN(IF(Raw!C1527="","",Raw!C1527))&amp;":"&amp;IF(Raw!C1527="","",Raw!C1527)&amp;"|"&amp;LEN(IF(Raw!D1527="","",Raw!D1527))&amp;":"&amp;IF(Raw!D1527="","",Raw!D1527)&amp;"|"&amp;LEN(IF(Raw!E1527="","",Raw!E1527))&amp;":"&amp;IF(Raw!E1527="","",Raw!E1527)&amp;"|"&amp;LEN(IF(Raw!F1527="","",Raw!F1527))&amp;":"&amp;IF(Raw!F1527="","",Raw!F1527)&amp;"|"&amp;LEN(IF(Raw!G1527="","",Raw!G1527))&amp;":"&amp;IF(Raw!G1527="","",Raw!G1527)</f>
        <v>6:L01521|6:T00761|10:2026-01-11|3:P-O|6:Office|4:sale|5:87.39</v>
      </c>
      <c r="Q1527" s="1">
        <f>1</f>
        <v>1</v>
      </c>
      <c r="R1527" s="1" t="b">
        <f>FALSE</f>
        <v>0</v>
      </c>
      <c r="S1527" s="1">
        <f>1</f>
        <v>1</v>
      </c>
      <c r="T1527" s="1" t="str">
        <f>IF(AND(Raw!A1527="",Raw!B1527="",Raw!C1527="",Raw!D1527="",Raw!E1527="",Raw!F1527="",Raw!G1527=""),"UNUSED",IF(A1527="","missing line ID",IF(B1527="","missing transaction ID",IF(G1527="",IF(C1527="","missing date","invalid date"),IF(I1527="","unknown product",IF(J1527="","conflicting category",IF(NOT(OR(EXACT(K1527,"sale"),EXACT(K1527,"refund"))),"unknown event",IF(OR(N1527="",NOT(O1527)),"invalid amount",IF(OR(AND(K1527="sale",N1527&lt;=0),AND(K1527="refund",N1527&gt;=0)),"invalid sign","")))))))))</f>
        <v/>
      </c>
      <c r="U1527" s="1" t="str">
        <f t="shared" si="189"/>
        <v>INCLUDED</v>
      </c>
      <c r="V1527" s="1" t="str">
        <f t="shared" si="190"/>
        <v>2026-01</v>
      </c>
      <c r="W1527" s="1">
        <f>IF(AND(U1527="INCLUDED",X1527&gt;0,EXACT(A1527,'AI output'!A1527)),1,0)</f>
        <v>1</v>
      </c>
      <c r="X1527" s="1">
        <f>1527</f>
        <v>1527</v>
      </c>
      <c r="Y1527" s="1">
        <f>IF(AND(U1527="INCLUDED",W1527=1),--(NOT(EXACT(A1527,'AI output'!A1527)))+--(NOT(EXACT(B1527,'AI output'!B1527)))+--(NOT(EXACT(TEXT(G1527,"yyyy-mm-dd"),'AI output'!C1527)))+--(NOT(EXACT(H1527,'AI output'!D1527)))+--(NOT(EXACT(J1527,'AI output'!E1527)))+--(NOT(EXACT(K1527,'AI output'!F1527)))+--(N1527&lt;&gt;'AI output'!L1527)+--(NOT('AI output'!M1527)),0)</f>
        <v>0</v>
      </c>
      <c r="Z1527" s="1">
        <f t="shared" si="191"/>
        <v>0</v>
      </c>
      <c r="AA1527" s="1">
        <f>--EXACT(A1527,"L01521")</f>
        <v>1</v>
      </c>
    </row>
    <row r="1528" spans="1:27" ht="18.95" customHeight="1">
      <c r="A1528" s="1" t="str">
        <f>IF(Raw!A1528="","",Raw!A1528)</f>
        <v>L01522</v>
      </c>
      <c r="B1528" s="1" t="str">
        <f>IF(Raw!B1528="","",Raw!B1528)</f>
        <v>T00761</v>
      </c>
      <c r="C1528" s="1" t="str">
        <f>IF(Raw!C1528="","",Raw!C1528)</f>
        <v>2026-01-11</v>
      </c>
      <c r="D1528" s="1">
        <f t="shared" si="184"/>
        <v>2026</v>
      </c>
      <c r="E1528" s="1">
        <f>IFERROR(IF(AND(LEN(C1528)=10,MID(C1528,5,1)="-",MID(C1528,8,1)="-"),VALUE(MID(C1528,6,2)),IF(AND(LEN(C1528)=11,MID(C1528,3,1)="-",MID(C1528,7,1)="-"),MATCH(UPPER(MID(C1528,4,3)),Guide!$D$7:$D$18,0),0)),0)</f>
        <v>1</v>
      </c>
      <c r="F1528" s="1">
        <f t="shared" si="185"/>
        <v>11</v>
      </c>
      <c r="G1528" s="9">
        <f t="shared" si="186"/>
        <v>46033</v>
      </c>
      <c r="H1528" s="1" t="str">
        <f>IF(Raw!D1528="","",Raw!D1528)</f>
        <v>P-A</v>
      </c>
      <c r="I1528" s="1" t="str">
        <f>IFERROR(IF(EXACT(H1528,INDEX(Guide!$A$7:$A$9,MATCH(SUBSTITUTE(SUBSTITUTE(SUBSTITUTE(H1528,"~","~~"),"*","~*"),"?","~?"),Guide!$A$7:$A$9,0))),INDEX(Guide!$B$7:$B$9,MATCH(SUBSTITUTE(SUBSTITUTE(SUBSTITUTE(H1528,"~","~~"),"*","~*"),"?","~?"),Guide!$A$7:$A$9,0)),""),"")</f>
        <v>Accessories</v>
      </c>
      <c r="J1528" s="1" t="str">
        <f>IF(TRIM(Raw!E1528)="",I1528,IF(UPPER(TRIM(Raw!E1528))=UPPER(I1528),I1528,""))</f>
        <v>Accessories</v>
      </c>
      <c r="K1528" s="1" t="str">
        <f>IF(Raw!F1528="","",Raw!F1528)</f>
        <v>sale</v>
      </c>
      <c r="L1528" s="1" t="str">
        <f>IF(LEFT(TRIM(Raw!G1528),2)="-$","-"&amp;MID(TRIM(Raw!G1528),3,99),IF(LEFT(TRIM(Raw!G1528),1)="$",MID(TRIM(Raw!G1528),2,99),TRIM(Raw!G1528)))</f>
        <v>263.28</v>
      </c>
      <c r="M1528" s="1">
        <f t="shared" si="187"/>
        <v>263.27999999999997</v>
      </c>
      <c r="N1528" s="10">
        <f t="shared" si="188"/>
        <v>26328</v>
      </c>
      <c r="O1528" s="1" t="b">
        <f>IFERROR(IF(ISNUMBER(Raw!G1528),TRUE,OR(EXACT(L1528,TEXT(M1528,"0.00")),EXACT(L1528,TEXT(M1528,"#,##0.00")))),FALSE)</f>
        <v>1</v>
      </c>
      <c r="P1528" s="1" t="str">
        <f>LEN(IF(Raw!A1528="","",Raw!A1528))&amp;":"&amp;IF(Raw!A1528="","",Raw!A1528)&amp;"|"&amp;LEN(IF(Raw!B1528="","",Raw!B1528))&amp;":"&amp;IF(Raw!B1528="","",Raw!B1528)&amp;"|"&amp;LEN(IF(Raw!C1528="","",Raw!C1528))&amp;":"&amp;IF(Raw!C1528="","",Raw!C1528)&amp;"|"&amp;LEN(IF(Raw!D1528="","",Raw!D1528))&amp;":"&amp;IF(Raw!D1528="","",Raw!D1528)&amp;"|"&amp;LEN(IF(Raw!E1528="","",Raw!E1528))&amp;":"&amp;IF(Raw!E1528="","",Raw!E1528)&amp;"|"&amp;LEN(IF(Raw!F1528="","",Raw!F1528))&amp;":"&amp;IF(Raw!F1528="","",Raw!F1528)&amp;"|"&amp;LEN(IF(Raw!G1528="","",Raw!G1528))&amp;":"&amp;IF(Raw!G1528="","",Raw!G1528)</f>
        <v>6:L01522|6:T00761|10:2026-01-11|3:P-A|11:Accessories|4:sale|6:263.28</v>
      </c>
      <c r="Q1528" s="1">
        <f>1</f>
        <v>1</v>
      </c>
      <c r="R1528" s="1" t="b">
        <f>FALSE</f>
        <v>0</v>
      </c>
      <c r="S1528" s="1">
        <f>1</f>
        <v>1</v>
      </c>
      <c r="T1528" s="1" t="str">
        <f>IF(AND(Raw!A1528="",Raw!B1528="",Raw!C1528="",Raw!D1528="",Raw!E1528="",Raw!F1528="",Raw!G1528=""),"UNUSED",IF(A1528="","missing line ID",IF(B1528="","missing transaction ID",IF(G1528="",IF(C1528="","missing date","invalid date"),IF(I1528="","unknown product",IF(J1528="","conflicting category",IF(NOT(OR(EXACT(K1528,"sale"),EXACT(K1528,"refund"))),"unknown event",IF(OR(N1528="",NOT(O1528)),"invalid amount",IF(OR(AND(K1528="sale",N1528&lt;=0),AND(K1528="refund",N1528&gt;=0)),"invalid sign","")))))))))</f>
        <v/>
      </c>
      <c r="U1528" s="1" t="str">
        <f t="shared" si="189"/>
        <v>INCLUDED</v>
      </c>
      <c r="V1528" s="1" t="str">
        <f t="shared" si="190"/>
        <v>2026-01</v>
      </c>
      <c r="W1528" s="1">
        <f>IF(AND(U1528="INCLUDED",X1528&gt;0,EXACT(A1528,'AI output'!A1528)),1,0)</f>
        <v>1</v>
      </c>
      <c r="X1528" s="1">
        <f>1528</f>
        <v>1528</v>
      </c>
      <c r="Y1528" s="1">
        <f>IF(AND(U1528="INCLUDED",W1528=1),--(NOT(EXACT(A1528,'AI output'!A1528)))+--(NOT(EXACT(B1528,'AI output'!B1528)))+--(NOT(EXACT(TEXT(G1528,"yyyy-mm-dd"),'AI output'!C1528)))+--(NOT(EXACT(H1528,'AI output'!D1528)))+--(NOT(EXACT(J1528,'AI output'!E1528)))+--(NOT(EXACT(K1528,'AI output'!F1528)))+--(N1528&lt;&gt;'AI output'!L1528)+--(NOT('AI output'!M1528)),0)</f>
        <v>0</v>
      </c>
      <c r="Z1528" s="1">
        <f t="shared" si="191"/>
        <v>0</v>
      </c>
      <c r="AA1528" s="1">
        <f>--EXACT(A1528,"L01522")</f>
        <v>1</v>
      </c>
    </row>
    <row r="1529" spans="1:27" ht="18.95" customHeight="1">
      <c r="A1529" s="1" t="str">
        <f>IF(Raw!A1529="","",Raw!A1529)</f>
        <v>L01523</v>
      </c>
      <c r="B1529" s="1" t="str">
        <f>IF(Raw!B1529="","",Raw!B1529)</f>
        <v>T00762</v>
      </c>
      <c r="C1529" s="1" t="str">
        <f>IF(Raw!C1529="","",Raw!C1529)</f>
        <v>2026-01-18</v>
      </c>
      <c r="D1529" s="1">
        <f t="shared" si="184"/>
        <v>2026</v>
      </c>
      <c r="E1529" s="1">
        <f>IFERROR(IF(AND(LEN(C1529)=10,MID(C1529,5,1)="-",MID(C1529,8,1)="-"),VALUE(MID(C1529,6,2)),IF(AND(LEN(C1529)=11,MID(C1529,3,1)="-",MID(C1529,7,1)="-"),MATCH(UPPER(MID(C1529,4,3)),Guide!$D$7:$D$18,0),0)),0)</f>
        <v>1</v>
      </c>
      <c r="F1529" s="1">
        <f t="shared" si="185"/>
        <v>18</v>
      </c>
      <c r="G1529" s="9">
        <f t="shared" si="186"/>
        <v>46040</v>
      </c>
      <c r="H1529" s="1" t="str">
        <f>IF(Raw!D1529="","",Raw!D1529)</f>
        <v>P-H</v>
      </c>
      <c r="I1529" s="1" t="str">
        <f>IFERROR(IF(EXACT(H1529,INDEX(Guide!$A$7:$A$9,MATCH(SUBSTITUTE(SUBSTITUTE(SUBSTITUTE(H1529,"~","~~"),"*","~*"),"?","~?"),Guide!$A$7:$A$9,0))),INDEX(Guide!$B$7:$B$9,MATCH(SUBSTITUTE(SUBSTITUTE(SUBSTITUTE(H1529,"~","~~"),"*","~*"),"?","~?"),Guide!$A$7:$A$9,0)),""),"")</f>
        <v>Home</v>
      </c>
      <c r="J1529" s="1" t="str">
        <f>IF(TRIM(Raw!E1529)="",I1529,IF(UPPER(TRIM(Raw!E1529))=UPPER(I1529),I1529,""))</f>
        <v>Home</v>
      </c>
      <c r="K1529" s="1" t="str">
        <f>IF(Raw!F1529="","",Raw!F1529)</f>
        <v>sale</v>
      </c>
      <c r="L1529" s="1" t="str">
        <f>IF(LEFT(TRIM(Raw!G1529),2)="-$","-"&amp;MID(TRIM(Raw!G1529),3,99),IF(LEFT(TRIM(Raw!G1529),1)="$",MID(TRIM(Raw!G1529),2,99),TRIM(Raw!G1529)))</f>
        <v>440.65</v>
      </c>
      <c r="M1529" s="1">
        <f t="shared" si="187"/>
        <v>440.65</v>
      </c>
      <c r="N1529" s="10">
        <f t="shared" si="188"/>
        <v>44065</v>
      </c>
      <c r="O1529" s="1" t="b">
        <f>IFERROR(IF(ISNUMBER(Raw!G1529),TRUE,OR(EXACT(L1529,TEXT(M1529,"0.00")),EXACT(L1529,TEXT(M1529,"#,##0.00")))),FALSE)</f>
        <v>1</v>
      </c>
      <c r="P1529" s="1" t="str">
        <f>LEN(IF(Raw!A1529="","",Raw!A1529))&amp;":"&amp;IF(Raw!A1529="","",Raw!A1529)&amp;"|"&amp;LEN(IF(Raw!B1529="","",Raw!B1529))&amp;":"&amp;IF(Raw!B1529="","",Raw!B1529)&amp;"|"&amp;LEN(IF(Raw!C1529="","",Raw!C1529))&amp;":"&amp;IF(Raw!C1529="","",Raw!C1529)&amp;"|"&amp;LEN(IF(Raw!D1529="","",Raw!D1529))&amp;":"&amp;IF(Raw!D1529="","",Raw!D1529)&amp;"|"&amp;LEN(IF(Raw!E1529="","",Raw!E1529))&amp;":"&amp;IF(Raw!E1529="","",Raw!E1529)&amp;"|"&amp;LEN(IF(Raw!F1529="","",Raw!F1529))&amp;":"&amp;IF(Raw!F1529="","",Raw!F1529)&amp;"|"&amp;LEN(IF(Raw!G1529="","",Raw!G1529))&amp;":"&amp;IF(Raw!G1529="","",Raw!G1529)</f>
        <v>6:L01523|6:T00762|10:2026-01-18|3:P-H|4:Home|4:sale|6:440.65</v>
      </c>
      <c r="Q1529" s="1">
        <f>1</f>
        <v>1</v>
      </c>
      <c r="R1529" s="1" t="b">
        <f>FALSE</f>
        <v>0</v>
      </c>
      <c r="S1529" s="1">
        <f>1</f>
        <v>1</v>
      </c>
      <c r="T1529" s="1" t="str">
        <f>IF(AND(Raw!A1529="",Raw!B1529="",Raw!C1529="",Raw!D1529="",Raw!E1529="",Raw!F1529="",Raw!G1529=""),"UNUSED",IF(A1529="","missing line ID",IF(B1529="","missing transaction ID",IF(G1529="",IF(C1529="","missing date","invalid date"),IF(I1529="","unknown product",IF(J1529="","conflicting category",IF(NOT(OR(EXACT(K1529,"sale"),EXACT(K1529,"refund"))),"unknown event",IF(OR(N1529="",NOT(O1529)),"invalid amount",IF(OR(AND(K1529="sale",N1529&lt;=0),AND(K1529="refund",N1529&gt;=0)),"invalid sign","")))))))))</f>
        <v/>
      </c>
      <c r="U1529" s="1" t="str">
        <f t="shared" si="189"/>
        <v>INCLUDED</v>
      </c>
      <c r="V1529" s="1" t="str">
        <f t="shared" si="190"/>
        <v>2026-01</v>
      </c>
      <c r="W1529" s="1">
        <f>IF(AND(U1529="INCLUDED",X1529&gt;0,EXACT(A1529,'AI output'!A1529)),1,0)</f>
        <v>1</v>
      </c>
      <c r="X1529" s="1">
        <f>1529</f>
        <v>1529</v>
      </c>
      <c r="Y1529" s="1">
        <f>IF(AND(U1529="INCLUDED",W1529=1),--(NOT(EXACT(A1529,'AI output'!A1529)))+--(NOT(EXACT(B1529,'AI output'!B1529)))+--(NOT(EXACT(TEXT(G1529,"yyyy-mm-dd"),'AI output'!C1529)))+--(NOT(EXACT(H1529,'AI output'!D1529)))+--(NOT(EXACT(J1529,'AI output'!E1529)))+--(NOT(EXACT(K1529,'AI output'!F1529)))+--(N1529&lt;&gt;'AI output'!L1529)+--(NOT('AI output'!M1529)),0)</f>
        <v>0</v>
      </c>
      <c r="Z1529" s="1">
        <f t="shared" si="191"/>
        <v>0</v>
      </c>
      <c r="AA1529" s="1">
        <f>--EXACT(A1529,"L01523")</f>
        <v>1</v>
      </c>
    </row>
    <row r="1530" spans="1:27" ht="18.95" customHeight="1">
      <c r="A1530" s="1" t="str">
        <f>IF(Raw!A1530="","",Raw!A1530)</f>
        <v>L01524</v>
      </c>
      <c r="B1530" s="1" t="str">
        <f>IF(Raw!B1530="","",Raw!B1530)</f>
        <v>T00762</v>
      </c>
      <c r="C1530" s="1" t="str">
        <f>IF(Raw!C1530="","",Raw!C1530)</f>
        <v>2026-01-18</v>
      </c>
      <c r="D1530" s="1">
        <f t="shared" si="184"/>
        <v>2026</v>
      </c>
      <c r="E1530" s="1">
        <f>IFERROR(IF(AND(LEN(C1530)=10,MID(C1530,5,1)="-",MID(C1530,8,1)="-"),VALUE(MID(C1530,6,2)),IF(AND(LEN(C1530)=11,MID(C1530,3,1)="-",MID(C1530,7,1)="-"),MATCH(UPPER(MID(C1530,4,3)),Guide!$D$7:$D$18,0),0)),0)</f>
        <v>1</v>
      </c>
      <c r="F1530" s="1">
        <f t="shared" si="185"/>
        <v>18</v>
      </c>
      <c r="G1530" s="9">
        <f t="shared" si="186"/>
        <v>46040</v>
      </c>
      <c r="H1530" s="1" t="str">
        <f>IF(Raw!D1530="","",Raw!D1530)</f>
        <v>P-O</v>
      </c>
      <c r="I1530" s="1" t="str">
        <f>IFERROR(IF(EXACT(H1530,INDEX(Guide!$A$7:$A$9,MATCH(SUBSTITUTE(SUBSTITUTE(SUBSTITUTE(H1530,"~","~~"),"*","~*"),"?","~?"),Guide!$A$7:$A$9,0))),INDEX(Guide!$B$7:$B$9,MATCH(SUBSTITUTE(SUBSTITUTE(SUBSTITUTE(H1530,"~","~~"),"*","~*"),"?","~?"),Guide!$A$7:$A$9,0)),""),"")</f>
        <v>Office</v>
      </c>
      <c r="J1530" s="1" t="str">
        <f>IF(TRIM(Raw!E1530)="",I1530,IF(UPPER(TRIM(Raw!E1530))=UPPER(I1530),I1530,""))</f>
        <v>Office</v>
      </c>
      <c r="K1530" s="1" t="str">
        <f>IF(Raw!F1530="","",Raw!F1530)</f>
        <v>sale</v>
      </c>
      <c r="L1530" s="1" t="str">
        <f>IF(LEFT(TRIM(Raw!G1530),2)="-$","-"&amp;MID(TRIM(Raw!G1530),3,99),IF(LEFT(TRIM(Raw!G1530),1)="$",MID(TRIM(Raw!G1530),2,99),TRIM(Raw!G1530)))</f>
        <v>177.00</v>
      </c>
      <c r="M1530" s="1">
        <f t="shared" si="187"/>
        <v>177</v>
      </c>
      <c r="N1530" s="10">
        <f t="shared" si="188"/>
        <v>17700</v>
      </c>
      <c r="O1530" s="1" t="b">
        <f>IFERROR(IF(ISNUMBER(Raw!G1530),TRUE,OR(EXACT(L1530,TEXT(M1530,"0.00")),EXACT(L1530,TEXT(M1530,"#,##0.00")))),FALSE)</f>
        <v>1</v>
      </c>
      <c r="P1530" s="1" t="str">
        <f>LEN(IF(Raw!A1530="","",Raw!A1530))&amp;":"&amp;IF(Raw!A1530="","",Raw!A1530)&amp;"|"&amp;LEN(IF(Raw!B1530="","",Raw!B1530))&amp;":"&amp;IF(Raw!B1530="","",Raw!B1530)&amp;"|"&amp;LEN(IF(Raw!C1530="","",Raw!C1530))&amp;":"&amp;IF(Raw!C1530="","",Raw!C1530)&amp;"|"&amp;LEN(IF(Raw!D1530="","",Raw!D1530))&amp;":"&amp;IF(Raw!D1530="","",Raw!D1530)&amp;"|"&amp;LEN(IF(Raw!E1530="","",Raw!E1530))&amp;":"&amp;IF(Raw!E1530="","",Raw!E1530)&amp;"|"&amp;LEN(IF(Raw!F1530="","",Raw!F1530))&amp;":"&amp;IF(Raw!F1530="","",Raw!F1530)&amp;"|"&amp;LEN(IF(Raw!G1530="","",Raw!G1530))&amp;":"&amp;IF(Raw!G1530="","",Raw!G1530)</f>
        <v>6:L01524|6:T00762|10:2026-01-18|3:P-O|6:Office|4:sale|6:177.00</v>
      </c>
      <c r="Q1530" s="1">
        <f>1</f>
        <v>1</v>
      </c>
      <c r="R1530" s="1" t="b">
        <f>FALSE</f>
        <v>0</v>
      </c>
      <c r="S1530" s="1">
        <f>1</f>
        <v>1</v>
      </c>
      <c r="T1530" s="1" t="str">
        <f>IF(AND(Raw!A1530="",Raw!B1530="",Raw!C1530="",Raw!D1530="",Raw!E1530="",Raw!F1530="",Raw!G1530=""),"UNUSED",IF(A1530="","missing line ID",IF(B1530="","missing transaction ID",IF(G1530="",IF(C1530="","missing date","invalid date"),IF(I1530="","unknown product",IF(J1530="","conflicting category",IF(NOT(OR(EXACT(K1530,"sale"),EXACT(K1530,"refund"))),"unknown event",IF(OR(N1530="",NOT(O1530)),"invalid amount",IF(OR(AND(K1530="sale",N1530&lt;=0),AND(K1530="refund",N1530&gt;=0)),"invalid sign","")))))))))</f>
        <v/>
      </c>
      <c r="U1530" s="1" t="str">
        <f t="shared" si="189"/>
        <v>INCLUDED</v>
      </c>
      <c r="V1530" s="1" t="str">
        <f t="shared" si="190"/>
        <v>2026-01</v>
      </c>
      <c r="W1530" s="1">
        <f>IF(AND(U1530="INCLUDED",X1530&gt;0,EXACT(A1530,'AI output'!A1530)),1,0)</f>
        <v>1</v>
      </c>
      <c r="X1530" s="1">
        <f>1530</f>
        <v>1530</v>
      </c>
      <c r="Y1530" s="1">
        <f>IF(AND(U1530="INCLUDED",W1530=1),--(NOT(EXACT(A1530,'AI output'!A1530)))+--(NOT(EXACT(B1530,'AI output'!B1530)))+--(NOT(EXACT(TEXT(G1530,"yyyy-mm-dd"),'AI output'!C1530)))+--(NOT(EXACT(H1530,'AI output'!D1530)))+--(NOT(EXACT(J1530,'AI output'!E1530)))+--(NOT(EXACT(K1530,'AI output'!F1530)))+--(N1530&lt;&gt;'AI output'!L1530)+--(NOT('AI output'!M1530)),0)</f>
        <v>0</v>
      </c>
      <c r="Z1530" s="1">
        <f t="shared" si="191"/>
        <v>0</v>
      </c>
      <c r="AA1530" s="1">
        <f>--EXACT(A1530,"L01524")</f>
        <v>1</v>
      </c>
    </row>
    <row r="1531" spans="1:27" ht="18.95" customHeight="1">
      <c r="A1531" s="1" t="str">
        <f>IF(Raw!A1531="","",Raw!A1531)</f>
        <v>L01525</v>
      </c>
      <c r="B1531" s="1" t="str">
        <f>IF(Raw!B1531="","",Raw!B1531)</f>
        <v>T00763</v>
      </c>
      <c r="C1531" s="1" t="str">
        <f>IF(Raw!C1531="","",Raw!C1531)</f>
        <v>2026-01-25</v>
      </c>
      <c r="D1531" s="1">
        <f t="shared" si="184"/>
        <v>2026</v>
      </c>
      <c r="E1531" s="1">
        <f>IFERROR(IF(AND(LEN(C1531)=10,MID(C1531,5,1)="-",MID(C1531,8,1)="-"),VALUE(MID(C1531,6,2)),IF(AND(LEN(C1531)=11,MID(C1531,3,1)="-",MID(C1531,7,1)="-"),MATCH(UPPER(MID(C1531,4,3)),Guide!$D$7:$D$18,0),0)),0)</f>
        <v>1</v>
      </c>
      <c r="F1531" s="1">
        <f t="shared" si="185"/>
        <v>25</v>
      </c>
      <c r="G1531" s="9">
        <f t="shared" si="186"/>
        <v>46047</v>
      </c>
      <c r="H1531" s="1" t="str">
        <f>IF(Raw!D1531="","",Raw!D1531)</f>
        <v>P-A</v>
      </c>
      <c r="I1531" s="1" t="str">
        <f>IFERROR(IF(EXACT(H1531,INDEX(Guide!$A$7:$A$9,MATCH(SUBSTITUTE(SUBSTITUTE(SUBSTITUTE(H1531,"~","~~"),"*","~*"),"?","~?"),Guide!$A$7:$A$9,0))),INDEX(Guide!$B$7:$B$9,MATCH(SUBSTITUTE(SUBSTITUTE(SUBSTITUTE(H1531,"~","~~"),"*","~*"),"?","~?"),Guide!$A$7:$A$9,0)),""),"")</f>
        <v>Accessories</v>
      </c>
      <c r="J1531" s="1" t="str">
        <f>IF(TRIM(Raw!E1531)="",I1531,IF(UPPER(TRIM(Raw!E1531))=UPPER(I1531),I1531,""))</f>
        <v>Accessories</v>
      </c>
      <c r="K1531" s="1" t="str">
        <f>IF(Raw!F1531="","",Raw!F1531)</f>
        <v>sale</v>
      </c>
      <c r="L1531" s="1" t="str">
        <f>IF(LEFT(TRIM(Raw!G1531),2)="-$","-"&amp;MID(TRIM(Raw!G1531),3,99),IF(LEFT(TRIM(Raw!G1531),1)="$",MID(TRIM(Raw!G1531),2,99),TRIM(Raw!G1531)))</f>
        <v>355.48</v>
      </c>
      <c r="M1531" s="1">
        <f t="shared" si="187"/>
        <v>355.48</v>
      </c>
      <c r="N1531" s="10">
        <f t="shared" si="188"/>
        <v>35548</v>
      </c>
      <c r="O1531" s="1" t="b">
        <f>IFERROR(IF(ISNUMBER(Raw!G1531),TRUE,OR(EXACT(L1531,TEXT(M1531,"0.00")),EXACT(L1531,TEXT(M1531,"#,##0.00")))),FALSE)</f>
        <v>1</v>
      </c>
      <c r="P1531" s="1" t="str">
        <f>LEN(IF(Raw!A1531="","",Raw!A1531))&amp;":"&amp;IF(Raw!A1531="","",Raw!A1531)&amp;"|"&amp;LEN(IF(Raw!B1531="","",Raw!B1531))&amp;":"&amp;IF(Raw!B1531="","",Raw!B1531)&amp;"|"&amp;LEN(IF(Raw!C1531="","",Raw!C1531))&amp;":"&amp;IF(Raw!C1531="","",Raw!C1531)&amp;"|"&amp;LEN(IF(Raw!D1531="","",Raw!D1531))&amp;":"&amp;IF(Raw!D1531="","",Raw!D1531)&amp;"|"&amp;LEN(IF(Raw!E1531="","",Raw!E1531))&amp;":"&amp;IF(Raw!E1531="","",Raw!E1531)&amp;"|"&amp;LEN(IF(Raw!F1531="","",Raw!F1531))&amp;":"&amp;IF(Raw!F1531="","",Raw!F1531)&amp;"|"&amp;LEN(IF(Raw!G1531="","",Raw!G1531))&amp;":"&amp;IF(Raw!G1531="","",Raw!G1531)</f>
        <v>6:L01525|6:T00763|10:2026-01-25|3:P-A|11:Accessories|4:sale|6:355.48</v>
      </c>
      <c r="Q1531" s="1">
        <f>1</f>
        <v>1</v>
      </c>
      <c r="R1531" s="1" t="b">
        <f>FALSE</f>
        <v>0</v>
      </c>
      <c r="S1531" s="1">
        <f>1</f>
        <v>1</v>
      </c>
      <c r="T1531" s="1" t="str">
        <f>IF(AND(Raw!A1531="",Raw!B1531="",Raw!C1531="",Raw!D1531="",Raw!E1531="",Raw!F1531="",Raw!G1531=""),"UNUSED",IF(A1531="","missing line ID",IF(B1531="","missing transaction ID",IF(G1531="",IF(C1531="","missing date","invalid date"),IF(I1531="","unknown product",IF(J1531="","conflicting category",IF(NOT(OR(EXACT(K1531,"sale"),EXACT(K1531,"refund"))),"unknown event",IF(OR(N1531="",NOT(O1531)),"invalid amount",IF(OR(AND(K1531="sale",N1531&lt;=0),AND(K1531="refund",N1531&gt;=0)),"invalid sign","")))))))))</f>
        <v/>
      </c>
      <c r="U1531" s="1" t="str">
        <f t="shared" si="189"/>
        <v>INCLUDED</v>
      </c>
      <c r="V1531" s="1" t="str">
        <f t="shared" si="190"/>
        <v>2026-01</v>
      </c>
      <c r="W1531" s="1">
        <f>IF(AND(U1531="INCLUDED",X1531&gt;0,EXACT(A1531,'AI output'!A1531)),1,0)</f>
        <v>1</v>
      </c>
      <c r="X1531" s="1">
        <f>1531</f>
        <v>1531</v>
      </c>
      <c r="Y1531" s="1">
        <f>IF(AND(U1531="INCLUDED",W1531=1),--(NOT(EXACT(A1531,'AI output'!A1531)))+--(NOT(EXACT(B1531,'AI output'!B1531)))+--(NOT(EXACT(TEXT(G1531,"yyyy-mm-dd"),'AI output'!C1531)))+--(NOT(EXACT(H1531,'AI output'!D1531)))+--(NOT(EXACT(J1531,'AI output'!E1531)))+--(NOT(EXACT(K1531,'AI output'!F1531)))+--(N1531&lt;&gt;'AI output'!L1531)+--(NOT('AI output'!M1531)),0)</f>
        <v>0</v>
      </c>
      <c r="Z1531" s="1">
        <f t="shared" si="191"/>
        <v>0</v>
      </c>
      <c r="AA1531" s="1">
        <f>--EXACT(A1531,"L01525")</f>
        <v>1</v>
      </c>
    </row>
    <row r="1532" spans="1:27" ht="18.95" customHeight="1">
      <c r="A1532" s="1" t="str">
        <f>IF(Raw!A1532="","",Raw!A1532)</f>
        <v>L01526</v>
      </c>
      <c r="B1532" s="1" t="str">
        <f>IF(Raw!B1532="","",Raw!B1532)</f>
        <v>T00763</v>
      </c>
      <c r="C1532" s="1" t="str">
        <f>IF(Raw!C1532="","",Raw!C1532)</f>
        <v>2026-01-25</v>
      </c>
      <c r="D1532" s="1">
        <f t="shared" si="184"/>
        <v>2026</v>
      </c>
      <c r="E1532" s="1">
        <f>IFERROR(IF(AND(LEN(C1532)=10,MID(C1532,5,1)="-",MID(C1532,8,1)="-"),VALUE(MID(C1532,6,2)),IF(AND(LEN(C1532)=11,MID(C1532,3,1)="-",MID(C1532,7,1)="-"),MATCH(UPPER(MID(C1532,4,3)),Guide!$D$7:$D$18,0),0)),0)</f>
        <v>1</v>
      </c>
      <c r="F1532" s="1">
        <f t="shared" si="185"/>
        <v>25</v>
      </c>
      <c r="G1532" s="9">
        <f t="shared" si="186"/>
        <v>46047</v>
      </c>
      <c r="H1532" s="1" t="str">
        <f>IF(Raw!D1532="","",Raw!D1532)</f>
        <v>P-H</v>
      </c>
      <c r="I1532" s="1" t="str">
        <f>IFERROR(IF(EXACT(H1532,INDEX(Guide!$A$7:$A$9,MATCH(SUBSTITUTE(SUBSTITUTE(SUBSTITUTE(H1532,"~","~~"),"*","~*"),"?","~?"),Guide!$A$7:$A$9,0))),INDEX(Guide!$B$7:$B$9,MATCH(SUBSTITUTE(SUBSTITUTE(SUBSTITUTE(H1532,"~","~~"),"*","~*"),"?","~?"),Guide!$A$7:$A$9,0)),""),"")</f>
        <v>Home</v>
      </c>
      <c r="J1532" s="1" t="str">
        <f>IF(TRIM(Raw!E1532)="",I1532,IF(UPPER(TRIM(Raw!E1532))=UPPER(I1532),I1532,""))</f>
        <v>Home</v>
      </c>
      <c r="K1532" s="1" t="str">
        <f>IF(Raw!F1532="","",Raw!F1532)</f>
        <v>sale</v>
      </c>
      <c r="L1532" s="1" t="str">
        <f>IF(LEFT(TRIM(Raw!G1532),2)="-$","-"&amp;MID(TRIM(Raw!G1532),3,99),IF(LEFT(TRIM(Raw!G1532),1)="$",MID(TRIM(Raw!G1532),2,99),TRIM(Raw!G1532)))</f>
        <v>89.24</v>
      </c>
      <c r="M1532" s="1">
        <f t="shared" si="187"/>
        <v>89.24</v>
      </c>
      <c r="N1532" s="10">
        <f t="shared" si="188"/>
        <v>8924</v>
      </c>
      <c r="O1532" s="1" t="b">
        <f>IFERROR(IF(ISNUMBER(Raw!G1532),TRUE,OR(EXACT(L1532,TEXT(M1532,"0.00")),EXACT(L1532,TEXT(M1532,"#,##0.00")))),FALSE)</f>
        <v>1</v>
      </c>
      <c r="P1532" s="1" t="str">
        <f>LEN(IF(Raw!A1532="","",Raw!A1532))&amp;":"&amp;IF(Raw!A1532="","",Raw!A1532)&amp;"|"&amp;LEN(IF(Raw!B1532="","",Raw!B1532))&amp;":"&amp;IF(Raw!B1532="","",Raw!B1532)&amp;"|"&amp;LEN(IF(Raw!C1532="","",Raw!C1532))&amp;":"&amp;IF(Raw!C1532="","",Raw!C1532)&amp;"|"&amp;LEN(IF(Raw!D1532="","",Raw!D1532))&amp;":"&amp;IF(Raw!D1532="","",Raw!D1532)&amp;"|"&amp;LEN(IF(Raw!E1532="","",Raw!E1532))&amp;":"&amp;IF(Raw!E1532="","",Raw!E1532)&amp;"|"&amp;LEN(IF(Raw!F1532="","",Raw!F1532))&amp;":"&amp;IF(Raw!F1532="","",Raw!F1532)&amp;"|"&amp;LEN(IF(Raw!G1532="","",Raw!G1532))&amp;":"&amp;IF(Raw!G1532="","",Raw!G1532)</f>
        <v>6:L01526|6:T00763|10:2026-01-25|3:P-H|4:Home|4:sale|5:89.24</v>
      </c>
      <c r="Q1532" s="1">
        <f>1</f>
        <v>1</v>
      </c>
      <c r="R1532" s="1" t="b">
        <f>FALSE</f>
        <v>0</v>
      </c>
      <c r="S1532" s="1">
        <f>1</f>
        <v>1</v>
      </c>
      <c r="T1532" s="1" t="str">
        <f>IF(AND(Raw!A1532="",Raw!B1532="",Raw!C1532="",Raw!D1532="",Raw!E1532="",Raw!F1532="",Raw!G1532=""),"UNUSED",IF(A1532="","missing line ID",IF(B1532="","missing transaction ID",IF(G1532="",IF(C1532="","missing date","invalid date"),IF(I1532="","unknown product",IF(J1532="","conflicting category",IF(NOT(OR(EXACT(K1532,"sale"),EXACT(K1532,"refund"))),"unknown event",IF(OR(N1532="",NOT(O1532)),"invalid amount",IF(OR(AND(K1532="sale",N1532&lt;=0),AND(K1532="refund",N1532&gt;=0)),"invalid sign","")))))))))</f>
        <v/>
      </c>
      <c r="U1532" s="1" t="str">
        <f t="shared" si="189"/>
        <v>INCLUDED</v>
      </c>
      <c r="V1532" s="1" t="str">
        <f t="shared" si="190"/>
        <v>2026-01</v>
      </c>
      <c r="W1532" s="1">
        <f>IF(AND(U1532="INCLUDED",X1532&gt;0,EXACT(A1532,'AI output'!A1532)),1,0)</f>
        <v>1</v>
      </c>
      <c r="X1532" s="1">
        <f>1532</f>
        <v>1532</v>
      </c>
      <c r="Y1532" s="1">
        <f>IF(AND(U1532="INCLUDED",W1532=1),--(NOT(EXACT(A1532,'AI output'!A1532)))+--(NOT(EXACT(B1532,'AI output'!B1532)))+--(NOT(EXACT(TEXT(G1532,"yyyy-mm-dd"),'AI output'!C1532)))+--(NOT(EXACT(H1532,'AI output'!D1532)))+--(NOT(EXACT(J1532,'AI output'!E1532)))+--(NOT(EXACT(K1532,'AI output'!F1532)))+--(N1532&lt;&gt;'AI output'!L1532)+--(NOT('AI output'!M1532)),0)</f>
        <v>0</v>
      </c>
      <c r="Z1532" s="1">
        <f t="shared" si="191"/>
        <v>0</v>
      </c>
      <c r="AA1532" s="1">
        <f>--EXACT(A1532,"L01526")</f>
        <v>1</v>
      </c>
    </row>
    <row r="1533" spans="1:27" ht="18.95" customHeight="1">
      <c r="A1533" s="1" t="str">
        <f>IF(Raw!A1533="","",Raw!A1533)</f>
        <v>L01527</v>
      </c>
      <c r="B1533" s="1" t="str">
        <f>IF(Raw!B1533="","",Raw!B1533)</f>
        <v>T00764</v>
      </c>
      <c r="C1533" s="1" t="str">
        <f>IF(Raw!C1533="","",Raw!C1533)</f>
        <v>2026-02-01</v>
      </c>
      <c r="D1533" s="1">
        <f t="shared" si="184"/>
        <v>2026</v>
      </c>
      <c r="E1533" s="1">
        <f>IFERROR(IF(AND(LEN(C1533)=10,MID(C1533,5,1)="-",MID(C1533,8,1)="-"),VALUE(MID(C1533,6,2)),IF(AND(LEN(C1533)=11,MID(C1533,3,1)="-",MID(C1533,7,1)="-"),MATCH(UPPER(MID(C1533,4,3)),Guide!$D$7:$D$18,0),0)),0)</f>
        <v>2</v>
      </c>
      <c r="F1533" s="1">
        <f t="shared" si="185"/>
        <v>1</v>
      </c>
      <c r="G1533" s="9">
        <f t="shared" si="186"/>
        <v>46054</v>
      </c>
      <c r="H1533" s="1" t="str">
        <f>IF(Raw!D1533="","",Raw!D1533)</f>
        <v>P-O</v>
      </c>
      <c r="I1533" s="1" t="str">
        <f>IFERROR(IF(EXACT(H1533,INDEX(Guide!$A$7:$A$9,MATCH(SUBSTITUTE(SUBSTITUTE(SUBSTITUTE(H1533,"~","~~"),"*","~*"),"?","~?"),Guide!$A$7:$A$9,0))),INDEX(Guide!$B$7:$B$9,MATCH(SUBSTITUTE(SUBSTITUTE(SUBSTITUTE(H1533,"~","~~"),"*","~*"),"?","~?"),Guide!$A$7:$A$9,0)),""),"")</f>
        <v>Office</v>
      </c>
      <c r="J1533" s="1" t="str">
        <f>IF(TRIM(Raw!E1533)="",I1533,IF(UPPER(TRIM(Raw!E1533))=UPPER(I1533),I1533,""))</f>
        <v>Office</v>
      </c>
      <c r="K1533" s="1" t="str">
        <f>IF(Raw!F1533="","",Raw!F1533)</f>
        <v>sale</v>
      </c>
      <c r="L1533" s="1" t="str">
        <f>IF(LEFT(TRIM(Raw!G1533),2)="-$","-"&amp;MID(TRIM(Raw!G1533),3,99),IF(LEFT(TRIM(Raw!G1533),1)="$",MID(TRIM(Raw!G1533),2,99),TRIM(Raw!G1533)))</f>
        <v>268.83</v>
      </c>
      <c r="M1533" s="1">
        <f t="shared" si="187"/>
        <v>268.83</v>
      </c>
      <c r="N1533" s="10">
        <f t="shared" si="188"/>
        <v>26883</v>
      </c>
      <c r="O1533" s="1" t="b">
        <f>IFERROR(IF(ISNUMBER(Raw!G1533),TRUE,OR(EXACT(L1533,TEXT(M1533,"0.00")),EXACT(L1533,TEXT(M1533,"#,##0.00")))),FALSE)</f>
        <v>1</v>
      </c>
      <c r="P1533" s="1" t="str">
        <f>LEN(IF(Raw!A1533="","",Raw!A1533))&amp;":"&amp;IF(Raw!A1533="","",Raw!A1533)&amp;"|"&amp;LEN(IF(Raw!B1533="","",Raw!B1533))&amp;":"&amp;IF(Raw!B1533="","",Raw!B1533)&amp;"|"&amp;LEN(IF(Raw!C1533="","",Raw!C1533))&amp;":"&amp;IF(Raw!C1533="","",Raw!C1533)&amp;"|"&amp;LEN(IF(Raw!D1533="","",Raw!D1533))&amp;":"&amp;IF(Raw!D1533="","",Raw!D1533)&amp;"|"&amp;LEN(IF(Raw!E1533="","",Raw!E1533))&amp;":"&amp;IF(Raw!E1533="","",Raw!E1533)&amp;"|"&amp;LEN(IF(Raw!F1533="","",Raw!F1533))&amp;":"&amp;IF(Raw!F1533="","",Raw!F1533)&amp;"|"&amp;LEN(IF(Raw!G1533="","",Raw!G1533))&amp;":"&amp;IF(Raw!G1533="","",Raw!G1533)</f>
        <v>6:L01527|6:T00764|10:2026-02-01|3:P-O|6:Office|4:sale|6:268.83</v>
      </c>
      <c r="Q1533" s="1">
        <f>1</f>
        <v>1</v>
      </c>
      <c r="R1533" s="1" t="b">
        <f>FALSE</f>
        <v>0</v>
      </c>
      <c r="S1533" s="1">
        <f>1</f>
        <v>1</v>
      </c>
      <c r="T1533" s="1" t="str">
        <f>IF(AND(Raw!A1533="",Raw!B1533="",Raw!C1533="",Raw!D1533="",Raw!E1533="",Raw!F1533="",Raw!G1533=""),"UNUSED",IF(A1533="","missing line ID",IF(B1533="","missing transaction ID",IF(G1533="",IF(C1533="","missing date","invalid date"),IF(I1533="","unknown product",IF(J1533="","conflicting category",IF(NOT(OR(EXACT(K1533,"sale"),EXACT(K1533,"refund"))),"unknown event",IF(OR(N1533="",NOT(O1533)),"invalid amount",IF(OR(AND(K1533="sale",N1533&lt;=0),AND(K1533="refund",N1533&gt;=0)),"invalid sign","")))))))))</f>
        <v/>
      </c>
      <c r="U1533" s="1" t="str">
        <f t="shared" si="189"/>
        <v>INCLUDED</v>
      </c>
      <c r="V1533" s="1" t="str">
        <f t="shared" si="190"/>
        <v>2026-02</v>
      </c>
      <c r="W1533" s="1">
        <f>IF(AND(U1533="INCLUDED",X1533&gt;0,EXACT(A1533,'AI output'!A1533)),1,0)</f>
        <v>1</v>
      </c>
      <c r="X1533" s="1">
        <f>1533</f>
        <v>1533</v>
      </c>
      <c r="Y1533" s="1">
        <f>IF(AND(U1533="INCLUDED",W1533=1),--(NOT(EXACT(A1533,'AI output'!A1533)))+--(NOT(EXACT(B1533,'AI output'!B1533)))+--(NOT(EXACT(TEXT(G1533,"yyyy-mm-dd"),'AI output'!C1533)))+--(NOT(EXACT(H1533,'AI output'!D1533)))+--(NOT(EXACT(J1533,'AI output'!E1533)))+--(NOT(EXACT(K1533,'AI output'!F1533)))+--(N1533&lt;&gt;'AI output'!L1533)+--(NOT('AI output'!M1533)),0)</f>
        <v>0</v>
      </c>
      <c r="Z1533" s="1">
        <f t="shared" si="191"/>
        <v>0</v>
      </c>
      <c r="AA1533" s="1">
        <f>--EXACT(A1533,"L01527")</f>
        <v>1</v>
      </c>
    </row>
    <row r="1534" spans="1:27" ht="18.95" customHeight="1">
      <c r="A1534" s="1" t="str">
        <f>IF(Raw!A1534="","",Raw!A1534)</f>
        <v>L01528</v>
      </c>
      <c r="B1534" s="1" t="str">
        <f>IF(Raw!B1534="","",Raw!B1534)</f>
        <v>T00764</v>
      </c>
      <c r="C1534" s="1" t="str">
        <f>IF(Raw!C1534="","",Raw!C1534)</f>
        <v>2026-02-01</v>
      </c>
      <c r="D1534" s="1">
        <f t="shared" si="184"/>
        <v>2026</v>
      </c>
      <c r="E1534" s="1">
        <f>IFERROR(IF(AND(LEN(C1534)=10,MID(C1534,5,1)="-",MID(C1534,8,1)="-"),VALUE(MID(C1534,6,2)),IF(AND(LEN(C1534)=11,MID(C1534,3,1)="-",MID(C1534,7,1)="-"),MATCH(UPPER(MID(C1534,4,3)),Guide!$D$7:$D$18,0),0)),0)</f>
        <v>2</v>
      </c>
      <c r="F1534" s="1">
        <f t="shared" si="185"/>
        <v>1</v>
      </c>
      <c r="G1534" s="9">
        <f t="shared" si="186"/>
        <v>46054</v>
      </c>
      <c r="H1534" s="1" t="str">
        <f>IF(Raw!D1534="","",Raw!D1534)</f>
        <v>P-A</v>
      </c>
      <c r="I1534" s="1" t="str">
        <f>IFERROR(IF(EXACT(H1534,INDEX(Guide!$A$7:$A$9,MATCH(SUBSTITUTE(SUBSTITUTE(SUBSTITUTE(H1534,"~","~~"),"*","~*"),"?","~?"),Guide!$A$7:$A$9,0))),INDEX(Guide!$B$7:$B$9,MATCH(SUBSTITUTE(SUBSTITUTE(SUBSTITUTE(H1534,"~","~~"),"*","~*"),"?","~?"),Guide!$A$7:$A$9,0)),""),"")</f>
        <v>Accessories</v>
      </c>
      <c r="J1534" s="1" t="str">
        <f>IF(TRIM(Raw!E1534)="",I1534,IF(UPPER(TRIM(Raw!E1534))=UPPER(I1534),I1534,""))</f>
        <v>Accessories</v>
      </c>
      <c r="K1534" s="1" t="str">
        <f>IF(Raw!F1534="","",Raw!F1534)</f>
        <v>sale</v>
      </c>
      <c r="L1534" s="1" t="str">
        <f>IF(LEFT(TRIM(Raw!G1534),2)="-$","-"&amp;MID(TRIM(Raw!G1534),3,99),IF(LEFT(TRIM(Raw!G1534),1)="$",MID(TRIM(Raw!G1534),2,99),TRIM(Raw!G1534)))</f>
        <v>449.90</v>
      </c>
      <c r="M1534" s="1">
        <f t="shared" si="187"/>
        <v>449.9</v>
      </c>
      <c r="N1534" s="10">
        <f t="shared" si="188"/>
        <v>44990</v>
      </c>
      <c r="O1534" s="1" t="b">
        <f>IFERROR(IF(ISNUMBER(Raw!G1534),TRUE,OR(EXACT(L1534,TEXT(M1534,"0.00")),EXACT(L1534,TEXT(M1534,"#,##0.00")))),FALSE)</f>
        <v>1</v>
      </c>
      <c r="P1534" s="1" t="str">
        <f>LEN(IF(Raw!A1534="","",Raw!A1534))&amp;":"&amp;IF(Raw!A1534="","",Raw!A1534)&amp;"|"&amp;LEN(IF(Raw!B1534="","",Raw!B1534))&amp;":"&amp;IF(Raw!B1534="","",Raw!B1534)&amp;"|"&amp;LEN(IF(Raw!C1534="","",Raw!C1534))&amp;":"&amp;IF(Raw!C1534="","",Raw!C1534)&amp;"|"&amp;LEN(IF(Raw!D1534="","",Raw!D1534))&amp;":"&amp;IF(Raw!D1534="","",Raw!D1534)&amp;"|"&amp;LEN(IF(Raw!E1534="","",Raw!E1534))&amp;":"&amp;IF(Raw!E1534="","",Raw!E1534)&amp;"|"&amp;LEN(IF(Raw!F1534="","",Raw!F1534))&amp;":"&amp;IF(Raw!F1534="","",Raw!F1534)&amp;"|"&amp;LEN(IF(Raw!G1534="","",Raw!G1534))&amp;":"&amp;IF(Raw!G1534="","",Raw!G1534)</f>
        <v>6:L01528|6:T00764|10:2026-02-01|3:P-A|11:Accessories|4:sale|6:449.90</v>
      </c>
      <c r="Q1534" s="1">
        <f>1</f>
        <v>1</v>
      </c>
      <c r="R1534" s="1" t="b">
        <f>FALSE</f>
        <v>0</v>
      </c>
      <c r="S1534" s="1">
        <f>1</f>
        <v>1</v>
      </c>
      <c r="T1534" s="1" t="str">
        <f>IF(AND(Raw!A1534="",Raw!B1534="",Raw!C1534="",Raw!D1534="",Raw!E1534="",Raw!F1534="",Raw!G1534=""),"UNUSED",IF(A1534="","missing line ID",IF(B1534="","missing transaction ID",IF(G1534="",IF(C1534="","missing date","invalid date"),IF(I1534="","unknown product",IF(J1534="","conflicting category",IF(NOT(OR(EXACT(K1534,"sale"),EXACT(K1534,"refund"))),"unknown event",IF(OR(N1534="",NOT(O1534)),"invalid amount",IF(OR(AND(K1534="sale",N1534&lt;=0),AND(K1534="refund",N1534&gt;=0)),"invalid sign","")))))))))</f>
        <v/>
      </c>
      <c r="U1534" s="1" t="str">
        <f t="shared" si="189"/>
        <v>INCLUDED</v>
      </c>
      <c r="V1534" s="1" t="str">
        <f t="shared" si="190"/>
        <v>2026-02</v>
      </c>
      <c r="W1534" s="1">
        <f>IF(AND(U1534="INCLUDED",X1534&gt;0,EXACT(A1534,'AI output'!A1534)),1,0)</f>
        <v>1</v>
      </c>
      <c r="X1534" s="1">
        <f>1534</f>
        <v>1534</v>
      </c>
      <c r="Y1534" s="1">
        <f>IF(AND(U1534="INCLUDED",W1534=1),--(NOT(EXACT(A1534,'AI output'!A1534)))+--(NOT(EXACT(B1534,'AI output'!B1534)))+--(NOT(EXACT(TEXT(G1534,"yyyy-mm-dd"),'AI output'!C1534)))+--(NOT(EXACT(H1534,'AI output'!D1534)))+--(NOT(EXACT(J1534,'AI output'!E1534)))+--(NOT(EXACT(K1534,'AI output'!F1534)))+--(N1534&lt;&gt;'AI output'!L1534)+--(NOT('AI output'!M1534)),0)</f>
        <v>0</v>
      </c>
      <c r="Z1534" s="1">
        <f t="shared" si="191"/>
        <v>0</v>
      </c>
      <c r="AA1534" s="1">
        <f>--EXACT(A1534,"L01528")</f>
        <v>1</v>
      </c>
    </row>
    <row r="1535" spans="1:27" ht="18.95" customHeight="1">
      <c r="A1535" s="1" t="str">
        <f>IF(Raw!A1535="","",Raw!A1535)</f>
        <v>L01529</v>
      </c>
      <c r="B1535" s="1" t="str">
        <f>IF(Raw!B1535="","",Raw!B1535)</f>
        <v>T00765</v>
      </c>
      <c r="C1535" s="1" t="str">
        <f>IF(Raw!C1535="","",Raw!C1535)</f>
        <v>2026-02-08</v>
      </c>
      <c r="D1535" s="1">
        <f t="shared" si="184"/>
        <v>2026</v>
      </c>
      <c r="E1535" s="1">
        <f>IFERROR(IF(AND(LEN(C1535)=10,MID(C1535,5,1)="-",MID(C1535,8,1)="-"),VALUE(MID(C1535,6,2)),IF(AND(LEN(C1535)=11,MID(C1535,3,1)="-",MID(C1535,7,1)="-"),MATCH(UPPER(MID(C1535,4,3)),Guide!$D$7:$D$18,0),0)),0)</f>
        <v>2</v>
      </c>
      <c r="F1535" s="1">
        <f t="shared" si="185"/>
        <v>8</v>
      </c>
      <c r="G1535" s="9">
        <f t="shared" si="186"/>
        <v>46061</v>
      </c>
      <c r="H1535" s="1" t="str">
        <f>IF(Raw!D1535="","",Raw!D1535)</f>
        <v>P-H</v>
      </c>
      <c r="I1535" s="1" t="str">
        <f>IFERROR(IF(EXACT(H1535,INDEX(Guide!$A$7:$A$9,MATCH(SUBSTITUTE(SUBSTITUTE(SUBSTITUTE(H1535,"~","~~"),"*","~*"),"?","~?"),Guide!$A$7:$A$9,0))),INDEX(Guide!$B$7:$B$9,MATCH(SUBSTITUTE(SUBSTITUTE(SUBSTITUTE(H1535,"~","~~"),"*","~*"),"?","~?"),Guide!$A$7:$A$9,0)),""),"")</f>
        <v>Home</v>
      </c>
      <c r="J1535" s="1" t="str">
        <f>IF(TRIM(Raw!E1535)="",I1535,IF(UPPER(TRIM(Raw!E1535))=UPPER(I1535),I1535,""))</f>
        <v>Home</v>
      </c>
      <c r="K1535" s="1" t="str">
        <f>IF(Raw!F1535="","",Raw!F1535)</f>
        <v>sale</v>
      </c>
      <c r="L1535" s="1" t="str">
        <f>IF(LEFT(TRIM(Raw!G1535),2)="-$","-"&amp;MID(TRIM(Raw!G1535),3,99),IF(LEFT(TRIM(Raw!G1535),1)="$",MID(TRIM(Raw!G1535),2,99),TRIM(Raw!G1535)))</f>
        <v>180.70</v>
      </c>
      <c r="M1535" s="1">
        <f t="shared" si="187"/>
        <v>180.7</v>
      </c>
      <c r="N1535" s="10">
        <f t="shared" si="188"/>
        <v>18070</v>
      </c>
      <c r="O1535" s="1" t="b">
        <f>IFERROR(IF(ISNUMBER(Raw!G1535),TRUE,OR(EXACT(L1535,TEXT(M1535,"0.00")),EXACT(L1535,TEXT(M1535,"#,##0.00")))),FALSE)</f>
        <v>1</v>
      </c>
      <c r="P1535" s="1" t="str">
        <f>LEN(IF(Raw!A1535="","",Raw!A1535))&amp;":"&amp;IF(Raw!A1535="","",Raw!A1535)&amp;"|"&amp;LEN(IF(Raw!B1535="","",Raw!B1535))&amp;":"&amp;IF(Raw!B1535="","",Raw!B1535)&amp;"|"&amp;LEN(IF(Raw!C1535="","",Raw!C1535))&amp;":"&amp;IF(Raw!C1535="","",Raw!C1535)&amp;"|"&amp;LEN(IF(Raw!D1535="","",Raw!D1535))&amp;":"&amp;IF(Raw!D1535="","",Raw!D1535)&amp;"|"&amp;LEN(IF(Raw!E1535="","",Raw!E1535))&amp;":"&amp;IF(Raw!E1535="","",Raw!E1535)&amp;"|"&amp;LEN(IF(Raw!F1535="","",Raw!F1535))&amp;":"&amp;IF(Raw!F1535="","",Raw!F1535)&amp;"|"&amp;LEN(IF(Raw!G1535="","",Raw!G1535))&amp;":"&amp;IF(Raw!G1535="","",Raw!G1535)</f>
        <v>6:L01529|6:T00765|10:2026-02-08|3:P-H|4:Home|4:sale|6:180.70</v>
      </c>
      <c r="Q1535" s="1">
        <f>1</f>
        <v>1</v>
      </c>
      <c r="R1535" s="1" t="b">
        <f>FALSE</f>
        <v>0</v>
      </c>
      <c r="S1535" s="1">
        <f>1</f>
        <v>1</v>
      </c>
      <c r="T1535" s="1" t="str">
        <f>IF(AND(Raw!A1535="",Raw!B1535="",Raw!C1535="",Raw!D1535="",Raw!E1535="",Raw!F1535="",Raw!G1535=""),"UNUSED",IF(A1535="","missing line ID",IF(B1535="","missing transaction ID",IF(G1535="",IF(C1535="","missing date","invalid date"),IF(I1535="","unknown product",IF(J1535="","conflicting category",IF(NOT(OR(EXACT(K1535,"sale"),EXACT(K1535,"refund"))),"unknown event",IF(OR(N1535="",NOT(O1535)),"invalid amount",IF(OR(AND(K1535="sale",N1535&lt;=0),AND(K1535="refund",N1535&gt;=0)),"invalid sign","")))))))))</f>
        <v/>
      </c>
      <c r="U1535" s="1" t="str">
        <f t="shared" si="189"/>
        <v>INCLUDED</v>
      </c>
      <c r="V1535" s="1" t="str">
        <f t="shared" si="190"/>
        <v>2026-02</v>
      </c>
      <c r="W1535" s="1">
        <f>IF(AND(U1535="INCLUDED",X1535&gt;0,EXACT(A1535,'AI output'!A1535)),1,0)</f>
        <v>1</v>
      </c>
      <c r="X1535" s="1">
        <f>1535</f>
        <v>1535</v>
      </c>
      <c r="Y1535" s="1">
        <f>IF(AND(U1535="INCLUDED",W1535=1),--(NOT(EXACT(A1535,'AI output'!A1535)))+--(NOT(EXACT(B1535,'AI output'!B1535)))+--(NOT(EXACT(TEXT(G1535,"yyyy-mm-dd"),'AI output'!C1535)))+--(NOT(EXACT(H1535,'AI output'!D1535)))+--(NOT(EXACT(J1535,'AI output'!E1535)))+--(NOT(EXACT(K1535,'AI output'!F1535)))+--(N1535&lt;&gt;'AI output'!L1535)+--(NOT('AI output'!M1535)),0)</f>
        <v>0</v>
      </c>
      <c r="Z1535" s="1">
        <f t="shared" si="191"/>
        <v>0</v>
      </c>
      <c r="AA1535" s="1">
        <f>--EXACT(A1535,"L01529")</f>
        <v>1</v>
      </c>
    </row>
    <row r="1536" spans="1:27" ht="18.95" customHeight="1">
      <c r="A1536" s="1" t="str">
        <f>IF(Raw!A1536="","",Raw!A1536)</f>
        <v>L01530</v>
      </c>
      <c r="B1536" s="1" t="str">
        <f>IF(Raw!B1536="","",Raw!B1536)</f>
        <v>T00765</v>
      </c>
      <c r="C1536" s="1" t="str">
        <f>IF(Raw!C1536="","",Raw!C1536)</f>
        <v>2026-02-08</v>
      </c>
      <c r="D1536" s="1">
        <f t="shared" si="184"/>
        <v>2026</v>
      </c>
      <c r="E1536" s="1">
        <f>IFERROR(IF(AND(LEN(C1536)=10,MID(C1536,5,1)="-",MID(C1536,8,1)="-"),VALUE(MID(C1536,6,2)),IF(AND(LEN(C1536)=11,MID(C1536,3,1)="-",MID(C1536,7,1)="-"),MATCH(UPPER(MID(C1536,4,3)),Guide!$D$7:$D$18,0),0)),0)</f>
        <v>2</v>
      </c>
      <c r="F1536" s="1">
        <f t="shared" si="185"/>
        <v>8</v>
      </c>
      <c r="G1536" s="9">
        <f t="shared" si="186"/>
        <v>46061</v>
      </c>
      <c r="H1536" s="1" t="str">
        <f>IF(Raw!D1536="","",Raw!D1536)</f>
        <v>P-O</v>
      </c>
      <c r="I1536" s="1" t="str">
        <f>IFERROR(IF(EXACT(H1536,INDEX(Guide!$A$7:$A$9,MATCH(SUBSTITUTE(SUBSTITUTE(SUBSTITUTE(H1536,"~","~~"),"*","~*"),"?","~?"),Guide!$A$7:$A$9,0))),INDEX(Guide!$B$7:$B$9,MATCH(SUBSTITUTE(SUBSTITUTE(SUBSTITUTE(H1536,"~","~~"),"*","~*"),"?","~?"),Guide!$A$7:$A$9,0)),""),"")</f>
        <v>Office</v>
      </c>
      <c r="J1536" s="1" t="str">
        <f>IF(TRIM(Raw!E1536)="",I1536,IF(UPPER(TRIM(Raw!E1536))=UPPER(I1536),I1536,""))</f>
        <v>Office</v>
      </c>
      <c r="K1536" s="1" t="str">
        <f>IF(Raw!F1536="","",Raw!F1536)</f>
        <v>sale</v>
      </c>
      <c r="L1536" s="1" t="str">
        <f>IF(LEFT(TRIM(Raw!G1536),2)="-$","-"&amp;MID(TRIM(Raw!G1536),3,99),IF(LEFT(TRIM(Raw!G1536),1)="$",MID(TRIM(Raw!G1536),2,99),TRIM(Raw!G1536)))</f>
        <v>362.88</v>
      </c>
      <c r="M1536" s="1">
        <f t="shared" si="187"/>
        <v>362.88</v>
      </c>
      <c r="N1536" s="10">
        <f t="shared" si="188"/>
        <v>36288</v>
      </c>
      <c r="O1536" s="1" t="b">
        <f>IFERROR(IF(ISNUMBER(Raw!G1536),TRUE,OR(EXACT(L1536,TEXT(M1536,"0.00")),EXACT(L1536,TEXT(M1536,"#,##0.00")))),FALSE)</f>
        <v>1</v>
      </c>
      <c r="P1536" s="1" t="str">
        <f>LEN(IF(Raw!A1536="","",Raw!A1536))&amp;":"&amp;IF(Raw!A1536="","",Raw!A1536)&amp;"|"&amp;LEN(IF(Raw!B1536="","",Raw!B1536))&amp;":"&amp;IF(Raw!B1536="","",Raw!B1536)&amp;"|"&amp;LEN(IF(Raw!C1536="","",Raw!C1536))&amp;":"&amp;IF(Raw!C1536="","",Raw!C1536)&amp;"|"&amp;LEN(IF(Raw!D1536="","",Raw!D1536))&amp;":"&amp;IF(Raw!D1536="","",Raw!D1536)&amp;"|"&amp;LEN(IF(Raw!E1536="","",Raw!E1536))&amp;":"&amp;IF(Raw!E1536="","",Raw!E1536)&amp;"|"&amp;LEN(IF(Raw!F1536="","",Raw!F1536))&amp;":"&amp;IF(Raw!F1536="","",Raw!F1536)&amp;"|"&amp;LEN(IF(Raw!G1536="","",Raw!G1536))&amp;":"&amp;IF(Raw!G1536="","",Raw!G1536)</f>
        <v>6:L01530|6:T00765|10:2026-02-08|3:P-O|6:Office|4:sale|6:362.88</v>
      </c>
      <c r="Q1536" s="1">
        <f>1</f>
        <v>1</v>
      </c>
      <c r="R1536" s="1" t="b">
        <f>FALSE</f>
        <v>0</v>
      </c>
      <c r="S1536" s="1">
        <f>1</f>
        <v>1</v>
      </c>
      <c r="T1536" s="1" t="str">
        <f>IF(AND(Raw!A1536="",Raw!B1536="",Raw!C1536="",Raw!D1536="",Raw!E1536="",Raw!F1536="",Raw!G1536=""),"UNUSED",IF(A1536="","missing line ID",IF(B1536="","missing transaction ID",IF(G1536="",IF(C1536="","missing date","invalid date"),IF(I1536="","unknown product",IF(J1536="","conflicting category",IF(NOT(OR(EXACT(K1536,"sale"),EXACT(K1536,"refund"))),"unknown event",IF(OR(N1536="",NOT(O1536)),"invalid amount",IF(OR(AND(K1536="sale",N1536&lt;=0),AND(K1536="refund",N1536&gt;=0)),"invalid sign","")))))))))</f>
        <v/>
      </c>
      <c r="U1536" s="1" t="str">
        <f t="shared" si="189"/>
        <v>INCLUDED</v>
      </c>
      <c r="V1536" s="1" t="str">
        <f t="shared" si="190"/>
        <v>2026-02</v>
      </c>
      <c r="W1536" s="1">
        <f>IF(AND(U1536="INCLUDED",X1536&gt;0,EXACT(A1536,'AI output'!A1536)),1,0)</f>
        <v>1</v>
      </c>
      <c r="X1536" s="1">
        <f>1536</f>
        <v>1536</v>
      </c>
      <c r="Y1536" s="1">
        <f>IF(AND(U1536="INCLUDED",W1536=1),--(NOT(EXACT(A1536,'AI output'!A1536)))+--(NOT(EXACT(B1536,'AI output'!B1536)))+--(NOT(EXACT(TEXT(G1536,"yyyy-mm-dd"),'AI output'!C1536)))+--(NOT(EXACT(H1536,'AI output'!D1536)))+--(NOT(EXACT(J1536,'AI output'!E1536)))+--(NOT(EXACT(K1536,'AI output'!F1536)))+--(N1536&lt;&gt;'AI output'!L1536)+--(NOT('AI output'!M1536)),0)</f>
        <v>0</v>
      </c>
      <c r="Z1536" s="1">
        <f t="shared" si="191"/>
        <v>0</v>
      </c>
      <c r="AA1536" s="1">
        <f>--EXACT(A1536,"L01530")</f>
        <v>1</v>
      </c>
    </row>
    <row r="1537" spans="1:27" ht="18.95" customHeight="1">
      <c r="A1537" s="1" t="str">
        <f>IF(Raw!A1537="","",Raw!A1537)</f>
        <v>L01531</v>
      </c>
      <c r="B1537" s="1" t="str">
        <f>IF(Raw!B1537="","",Raw!B1537)</f>
        <v>T00766</v>
      </c>
      <c r="C1537" s="1" t="str">
        <f>IF(Raw!C1537="","",Raw!C1537)</f>
        <v>2026-02-15</v>
      </c>
      <c r="D1537" s="1">
        <f t="shared" si="184"/>
        <v>2026</v>
      </c>
      <c r="E1537" s="1">
        <f>IFERROR(IF(AND(LEN(C1537)=10,MID(C1537,5,1)="-",MID(C1537,8,1)="-"),VALUE(MID(C1537,6,2)),IF(AND(LEN(C1537)=11,MID(C1537,3,1)="-",MID(C1537,7,1)="-"),MATCH(UPPER(MID(C1537,4,3)),Guide!$D$7:$D$18,0),0)),0)</f>
        <v>2</v>
      </c>
      <c r="F1537" s="1">
        <f t="shared" si="185"/>
        <v>15</v>
      </c>
      <c r="G1537" s="9">
        <f t="shared" si="186"/>
        <v>46068</v>
      </c>
      <c r="H1537" s="1" t="str">
        <f>IF(Raw!D1537="","",Raw!D1537)</f>
        <v>P-A</v>
      </c>
      <c r="I1537" s="1" t="str">
        <f>IFERROR(IF(EXACT(H1537,INDEX(Guide!$A$7:$A$9,MATCH(SUBSTITUTE(SUBSTITUTE(SUBSTITUTE(H1537,"~","~~"),"*","~*"),"?","~?"),Guide!$A$7:$A$9,0))),INDEX(Guide!$B$7:$B$9,MATCH(SUBSTITUTE(SUBSTITUTE(SUBSTITUTE(H1537,"~","~~"),"*","~*"),"?","~?"),Guide!$A$7:$A$9,0)),""),"")</f>
        <v>Accessories</v>
      </c>
      <c r="J1537" s="1" t="str">
        <f>IF(TRIM(Raw!E1537)="",I1537,IF(UPPER(TRIM(Raw!E1537))=UPPER(I1537),I1537,""))</f>
        <v>Accessories</v>
      </c>
      <c r="K1537" s="1" t="str">
        <f>IF(Raw!F1537="","",Raw!F1537)</f>
        <v>sale</v>
      </c>
      <c r="L1537" s="1" t="str">
        <f>IF(LEFT(TRIM(Raw!G1537),2)="-$","-"&amp;MID(TRIM(Raw!G1537),3,99),IF(LEFT(TRIM(Raw!G1537),1)="$",MID(TRIM(Raw!G1537),2,99),TRIM(Raw!G1537)))</f>
        <v>91.09</v>
      </c>
      <c r="M1537" s="1">
        <f t="shared" si="187"/>
        <v>91.09</v>
      </c>
      <c r="N1537" s="10">
        <f t="shared" si="188"/>
        <v>9109</v>
      </c>
      <c r="O1537" s="1" t="b">
        <f>IFERROR(IF(ISNUMBER(Raw!G1537),TRUE,OR(EXACT(L1537,TEXT(M1537,"0.00")),EXACT(L1537,TEXT(M1537,"#,##0.00")))),FALSE)</f>
        <v>1</v>
      </c>
      <c r="P1537" s="1" t="str">
        <f>LEN(IF(Raw!A1537="","",Raw!A1537))&amp;":"&amp;IF(Raw!A1537="","",Raw!A1537)&amp;"|"&amp;LEN(IF(Raw!B1537="","",Raw!B1537))&amp;":"&amp;IF(Raw!B1537="","",Raw!B1537)&amp;"|"&amp;LEN(IF(Raw!C1537="","",Raw!C1537))&amp;":"&amp;IF(Raw!C1537="","",Raw!C1537)&amp;"|"&amp;LEN(IF(Raw!D1537="","",Raw!D1537))&amp;":"&amp;IF(Raw!D1537="","",Raw!D1537)&amp;"|"&amp;LEN(IF(Raw!E1537="","",Raw!E1537))&amp;":"&amp;IF(Raw!E1537="","",Raw!E1537)&amp;"|"&amp;LEN(IF(Raw!F1537="","",Raw!F1537))&amp;":"&amp;IF(Raw!F1537="","",Raw!F1537)&amp;"|"&amp;LEN(IF(Raw!G1537="","",Raw!G1537))&amp;":"&amp;IF(Raw!G1537="","",Raw!G1537)</f>
        <v>6:L01531|6:T00766|10:2026-02-15|3:P-A|11:Accessories|4:sale|5:91.09</v>
      </c>
      <c r="Q1537" s="1">
        <f>1</f>
        <v>1</v>
      </c>
      <c r="R1537" s="1" t="b">
        <f>FALSE</f>
        <v>0</v>
      </c>
      <c r="S1537" s="1">
        <f>1</f>
        <v>1</v>
      </c>
      <c r="T1537" s="1" t="str">
        <f>IF(AND(Raw!A1537="",Raw!B1537="",Raw!C1537="",Raw!D1537="",Raw!E1537="",Raw!F1537="",Raw!G1537=""),"UNUSED",IF(A1537="","missing line ID",IF(B1537="","missing transaction ID",IF(G1537="",IF(C1537="","missing date","invalid date"),IF(I1537="","unknown product",IF(J1537="","conflicting category",IF(NOT(OR(EXACT(K1537,"sale"),EXACT(K1537,"refund"))),"unknown event",IF(OR(N1537="",NOT(O1537)),"invalid amount",IF(OR(AND(K1537="sale",N1537&lt;=0),AND(K1537="refund",N1537&gt;=0)),"invalid sign","")))))))))</f>
        <v/>
      </c>
      <c r="U1537" s="1" t="str">
        <f t="shared" si="189"/>
        <v>INCLUDED</v>
      </c>
      <c r="V1537" s="1" t="str">
        <f t="shared" si="190"/>
        <v>2026-02</v>
      </c>
      <c r="W1537" s="1">
        <f>IF(AND(U1537="INCLUDED",X1537&gt;0,EXACT(A1537,'AI output'!A1537)),1,0)</f>
        <v>1</v>
      </c>
      <c r="X1537" s="1">
        <f>1537</f>
        <v>1537</v>
      </c>
      <c r="Y1537" s="1">
        <f>IF(AND(U1537="INCLUDED",W1537=1),--(NOT(EXACT(A1537,'AI output'!A1537)))+--(NOT(EXACT(B1537,'AI output'!B1537)))+--(NOT(EXACT(TEXT(G1537,"yyyy-mm-dd"),'AI output'!C1537)))+--(NOT(EXACT(H1537,'AI output'!D1537)))+--(NOT(EXACT(J1537,'AI output'!E1537)))+--(NOT(EXACT(K1537,'AI output'!F1537)))+--(N1537&lt;&gt;'AI output'!L1537)+--(NOT('AI output'!M1537)),0)</f>
        <v>0</v>
      </c>
      <c r="Z1537" s="1">
        <f t="shared" si="191"/>
        <v>0</v>
      </c>
      <c r="AA1537" s="1">
        <f>--EXACT(A1537,"L01531")</f>
        <v>1</v>
      </c>
    </row>
    <row r="1538" spans="1:27" ht="18.95" customHeight="1">
      <c r="A1538" s="1" t="str">
        <f>IF(Raw!A1538="","",Raw!A1538)</f>
        <v>L01532</v>
      </c>
      <c r="B1538" s="1" t="str">
        <f>IF(Raw!B1538="","",Raw!B1538)</f>
        <v>T00766</v>
      </c>
      <c r="C1538" s="1" t="str">
        <f>IF(Raw!C1538="","",Raw!C1538)</f>
        <v>2026-02-15</v>
      </c>
      <c r="D1538" s="1">
        <f t="shared" si="184"/>
        <v>2026</v>
      </c>
      <c r="E1538" s="1">
        <f>IFERROR(IF(AND(LEN(C1538)=10,MID(C1538,5,1)="-",MID(C1538,8,1)="-"),VALUE(MID(C1538,6,2)),IF(AND(LEN(C1538)=11,MID(C1538,3,1)="-",MID(C1538,7,1)="-"),MATCH(UPPER(MID(C1538,4,3)),Guide!$D$7:$D$18,0),0)),0)</f>
        <v>2</v>
      </c>
      <c r="F1538" s="1">
        <f t="shared" si="185"/>
        <v>15</v>
      </c>
      <c r="G1538" s="9">
        <f t="shared" si="186"/>
        <v>46068</v>
      </c>
      <c r="H1538" s="1" t="str">
        <f>IF(Raw!D1538="","",Raw!D1538)</f>
        <v>P-H</v>
      </c>
      <c r="I1538" s="1" t="str">
        <f>IFERROR(IF(EXACT(H1538,INDEX(Guide!$A$7:$A$9,MATCH(SUBSTITUTE(SUBSTITUTE(SUBSTITUTE(H1538,"~","~~"),"*","~*"),"?","~?"),Guide!$A$7:$A$9,0))),INDEX(Guide!$B$7:$B$9,MATCH(SUBSTITUTE(SUBSTITUTE(SUBSTITUTE(H1538,"~","~~"),"*","~*"),"?","~?"),Guide!$A$7:$A$9,0)),""),"")</f>
        <v>Home</v>
      </c>
      <c r="J1538" s="1" t="str">
        <f>IF(TRIM(Raw!E1538)="",I1538,IF(UPPER(TRIM(Raw!E1538))=UPPER(I1538),I1538,""))</f>
        <v>Home</v>
      </c>
      <c r="K1538" s="1" t="str">
        <f>IF(Raw!F1538="","",Raw!F1538)</f>
        <v>sale</v>
      </c>
      <c r="L1538" s="1" t="str">
        <f>IF(LEFT(TRIM(Raw!G1538),2)="-$","-"&amp;MID(TRIM(Raw!G1538),3,99),IF(LEFT(TRIM(Raw!G1538),1)="$",MID(TRIM(Raw!G1538),2,99),TRIM(Raw!G1538)))</f>
        <v>274.38</v>
      </c>
      <c r="M1538" s="1">
        <f t="shared" si="187"/>
        <v>274.38</v>
      </c>
      <c r="N1538" s="10">
        <f t="shared" si="188"/>
        <v>27438</v>
      </c>
      <c r="O1538" s="1" t="b">
        <f>IFERROR(IF(ISNUMBER(Raw!G1538),TRUE,OR(EXACT(L1538,TEXT(M1538,"0.00")),EXACT(L1538,TEXT(M1538,"#,##0.00")))),FALSE)</f>
        <v>1</v>
      </c>
      <c r="P1538" s="1" t="str">
        <f>LEN(IF(Raw!A1538="","",Raw!A1538))&amp;":"&amp;IF(Raw!A1538="","",Raw!A1538)&amp;"|"&amp;LEN(IF(Raw!B1538="","",Raw!B1538))&amp;":"&amp;IF(Raw!B1538="","",Raw!B1538)&amp;"|"&amp;LEN(IF(Raw!C1538="","",Raw!C1538))&amp;":"&amp;IF(Raw!C1538="","",Raw!C1538)&amp;"|"&amp;LEN(IF(Raw!D1538="","",Raw!D1538))&amp;":"&amp;IF(Raw!D1538="","",Raw!D1538)&amp;"|"&amp;LEN(IF(Raw!E1538="","",Raw!E1538))&amp;":"&amp;IF(Raw!E1538="","",Raw!E1538)&amp;"|"&amp;LEN(IF(Raw!F1538="","",Raw!F1538))&amp;":"&amp;IF(Raw!F1538="","",Raw!F1538)&amp;"|"&amp;LEN(IF(Raw!G1538="","",Raw!G1538))&amp;":"&amp;IF(Raw!G1538="","",Raw!G1538)</f>
        <v>6:L01532|6:T00766|10:2026-02-15|3:P-H|4:Home|4:sale|6:274.38</v>
      </c>
      <c r="Q1538" s="1">
        <f>1</f>
        <v>1</v>
      </c>
      <c r="R1538" s="1" t="b">
        <f>FALSE</f>
        <v>0</v>
      </c>
      <c r="S1538" s="1">
        <f>1</f>
        <v>1</v>
      </c>
      <c r="T1538" s="1" t="str">
        <f>IF(AND(Raw!A1538="",Raw!B1538="",Raw!C1538="",Raw!D1538="",Raw!E1538="",Raw!F1538="",Raw!G1538=""),"UNUSED",IF(A1538="","missing line ID",IF(B1538="","missing transaction ID",IF(G1538="",IF(C1538="","missing date","invalid date"),IF(I1538="","unknown product",IF(J1538="","conflicting category",IF(NOT(OR(EXACT(K1538,"sale"),EXACT(K1538,"refund"))),"unknown event",IF(OR(N1538="",NOT(O1538)),"invalid amount",IF(OR(AND(K1538="sale",N1538&lt;=0),AND(K1538="refund",N1538&gt;=0)),"invalid sign","")))))))))</f>
        <v/>
      </c>
      <c r="U1538" s="1" t="str">
        <f t="shared" si="189"/>
        <v>INCLUDED</v>
      </c>
      <c r="V1538" s="1" t="str">
        <f t="shared" si="190"/>
        <v>2026-02</v>
      </c>
      <c r="W1538" s="1">
        <f>IF(AND(U1538="INCLUDED",X1538&gt;0,EXACT(A1538,'AI output'!A1538)),1,0)</f>
        <v>1</v>
      </c>
      <c r="X1538" s="1">
        <f>1538</f>
        <v>1538</v>
      </c>
      <c r="Y1538" s="1">
        <f>IF(AND(U1538="INCLUDED",W1538=1),--(NOT(EXACT(A1538,'AI output'!A1538)))+--(NOT(EXACT(B1538,'AI output'!B1538)))+--(NOT(EXACT(TEXT(G1538,"yyyy-mm-dd"),'AI output'!C1538)))+--(NOT(EXACT(H1538,'AI output'!D1538)))+--(NOT(EXACT(J1538,'AI output'!E1538)))+--(NOT(EXACT(K1538,'AI output'!F1538)))+--(N1538&lt;&gt;'AI output'!L1538)+--(NOT('AI output'!M1538)),0)</f>
        <v>0</v>
      </c>
      <c r="Z1538" s="1">
        <f t="shared" si="191"/>
        <v>0</v>
      </c>
      <c r="AA1538" s="1">
        <f>--EXACT(A1538,"L01532")</f>
        <v>1</v>
      </c>
    </row>
    <row r="1539" spans="1:27" ht="18.95" customHeight="1">
      <c r="A1539" s="1" t="str">
        <f>IF(Raw!A1539="","",Raw!A1539)</f>
        <v>L01533</v>
      </c>
      <c r="B1539" s="1" t="str">
        <f>IF(Raw!B1539="","",Raw!B1539)</f>
        <v>T00767</v>
      </c>
      <c r="C1539" s="1" t="str">
        <f>IF(Raw!C1539="","",Raw!C1539)</f>
        <v>2026-02-22</v>
      </c>
      <c r="D1539" s="1">
        <f t="shared" si="184"/>
        <v>2026</v>
      </c>
      <c r="E1539" s="1">
        <f>IFERROR(IF(AND(LEN(C1539)=10,MID(C1539,5,1)="-",MID(C1539,8,1)="-"),VALUE(MID(C1539,6,2)),IF(AND(LEN(C1539)=11,MID(C1539,3,1)="-",MID(C1539,7,1)="-"),MATCH(UPPER(MID(C1539,4,3)),Guide!$D$7:$D$18,0),0)),0)</f>
        <v>2</v>
      </c>
      <c r="F1539" s="1">
        <f t="shared" si="185"/>
        <v>22</v>
      </c>
      <c r="G1539" s="9">
        <f t="shared" si="186"/>
        <v>46075</v>
      </c>
      <c r="H1539" s="1" t="str">
        <f>IF(Raw!D1539="","",Raw!D1539)</f>
        <v>P-O</v>
      </c>
      <c r="I1539" s="1" t="str">
        <f>IFERROR(IF(EXACT(H1539,INDEX(Guide!$A$7:$A$9,MATCH(SUBSTITUTE(SUBSTITUTE(SUBSTITUTE(H1539,"~","~~"),"*","~*"),"?","~?"),Guide!$A$7:$A$9,0))),INDEX(Guide!$B$7:$B$9,MATCH(SUBSTITUTE(SUBSTITUTE(SUBSTITUTE(H1539,"~","~~"),"*","~*"),"?","~?"),Guide!$A$7:$A$9,0)),""),"")</f>
        <v>Office</v>
      </c>
      <c r="J1539" s="1" t="str">
        <f>IF(TRIM(Raw!E1539)="",I1539,IF(UPPER(TRIM(Raw!E1539))=UPPER(I1539),I1539,""))</f>
        <v>Office</v>
      </c>
      <c r="K1539" s="1" t="str">
        <f>IF(Raw!F1539="","",Raw!F1539)</f>
        <v>sale</v>
      </c>
      <c r="L1539" s="1" t="str">
        <f>IF(LEFT(TRIM(Raw!G1539),2)="-$","-"&amp;MID(TRIM(Raw!G1539),3,99),IF(LEFT(TRIM(Raw!G1539),1)="$",MID(TRIM(Raw!G1539),2,99),TRIM(Raw!G1539)))</f>
        <v>459.15</v>
      </c>
      <c r="M1539" s="1">
        <f t="shared" si="187"/>
        <v>459.15</v>
      </c>
      <c r="N1539" s="10">
        <f t="shared" si="188"/>
        <v>45915</v>
      </c>
      <c r="O1539" s="1" t="b">
        <f>IFERROR(IF(ISNUMBER(Raw!G1539),TRUE,OR(EXACT(L1539,TEXT(M1539,"0.00")),EXACT(L1539,TEXT(M1539,"#,##0.00")))),FALSE)</f>
        <v>1</v>
      </c>
      <c r="P1539" s="1" t="str">
        <f>LEN(IF(Raw!A1539="","",Raw!A1539))&amp;":"&amp;IF(Raw!A1539="","",Raw!A1539)&amp;"|"&amp;LEN(IF(Raw!B1539="","",Raw!B1539))&amp;":"&amp;IF(Raw!B1539="","",Raw!B1539)&amp;"|"&amp;LEN(IF(Raw!C1539="","",Raw!C1539))&amp;":"&amp;IF(Raw!C1539="","",Raw!C1539)&amp;"|"&amp;LEN(IF(Raw!D1539="","",Raw!D1539))&amp;":"&amp;IF(Raw!D1539="","",Raw!D1539)&amp;"|"&amp;LEN(IF(Raw!E1539="","",Raw!E1539))&amp;":"&amp;IF(Raw!E1539="","",Raw!E1539)&amp;"|"&amp;LEN(IF(Raw!F1539="","",Raw!F1539))&amp;":"&amp;IF(Raw!F1539="","",Raw!F1539)&amp;"|"&amp;LEN(IF(Raw!G1539="","",Raw!G1539))&amp;":"&amp;IF(Raw!G1539="","",Raw!G1539)</f>
        <v>6:L01533|6:T00767|10:2026-02-22|3:P-O|6:Office|4:sale|6:459.15</v>
      </c>
      <c r="Q1539" s="1">
        <f>1</f>
        <v>1</v>
      </c>
      <c r="R1539" s="1" t="b">
        <f>FALSE</f>
        <v>0</v>
      </c>
      <c r="S1539" s="1">
        <f>1</f>
        <v>1</v>
      </c>
      <c r="T1539" s="1" t="str">
        <f>IF(AND(Raw!A1539="",Raw!B1539="",Raw!C1539="",Raw!D1539="",Raw!E1539="",Raw!F1539="",Raw!G1539=""),"UNUSED",IF(A1539="","missing line ID",IF(B1539="","missing transaction ID",IF(G1539="",IF(C1539="","missing date","invalid date"),IF(I1539="","unknown product",IF(J1539="","conflicting category",IF(NOT(OR(EXACT(K1539,"sale"),EXACT(K1539,"refund"))),"unknown event",IF(OR(N1539="",NOT(O1539)),"invalid amount",IF(OR(AND(K1539="sale",N1539&lt;=0),AND(K1539="refund",N1539&gt;=0)),"invalid sign","")))))))))</f>
        <v/>
      </c>
      <c r="U1539" s="1" t="str">
        <f t="shared" si="189"/>
        <v>INCLUDED</v>
      </c>
      <c r="V1539" s="1" t="str">
        <f t="shared" si="190"/>
        <v>2026-02</v>
      </c>
      <c r="W1539" s="1">
        <f>IF(AND(U1539="INCLUDED",X1539&gt;0,EXACT(A1539,'AI output'!A1539)),1,0)</f>
        <v>1</v>
      </c>
      <c r="X1539" s="1">
        <f>1539</f>
        <v>1539</v>
      </c>
      <c r="Y1539" s="1">
        <f>IF(AND(U1539="INCLUDED",W1539=1),--(NOT(EXACT(A1539,'AI output'!A1539)))+--(NOT(EXACT(B1539,'AI output'!B1539)))+--(NOT(EXACT(TEXT(G1539,"yyyy-mm-dd"),'AI output'!C1539)))+--(NOT(EXACT(H1539,'AI output'!D1539)))+--(NOT(EXACT(J1539,'AI output'!E1539)))+--(NOT(EXACT(K1539,'AI output'!F1539)))+--(N1539&lt;&gt;'AI output'!L1539)+--(NOT('AI output'!M1539)),0)</f>
        <v>0</v>
      </c>
      <c r="Z1539" s="1">
        <f t="shared" si="191"/>
        <v>0</v>
      </c>
      <c r="AA1539" s="1">
        <f>--EXACT(A1539,"L01533")</f>
        <v>1</v>
      </c>
    </row>
    <row r="1540" spans="1:27" ht="18.95" customHeight="1">
      <c r="A1540" s="1" t="str">
        <f>IF(Raw!A1540="","",Raw!A1540)</f>
        <v>L01534</v>
      </c>
      <c r="B1540" s="1" t="str">
        <f>IF(Raw!B1540="","",Raw!B1540)</f>
        <v>T00767</v>
      </c>
      <c r="C1540" s="1" t="str">
        <f>IF(Raw!C1540="","",Raw!C1540)</f>
        <v>2026-02-22</v>
      </c>
      <c r="D1540" s="1">
        <f t="shared" si="184"/>
        <v>2026</v>
      </c>
      <c r="E1540" s="1">
        <f>IFERROR(IF(AND(LEN(C1540)=10,MID(C1540,5,1)="-",MID(C1540,8,1)="-"),VALUE(MID(C1540,6,2)),IF(AND(LEN(C1540)=11,MID(C1540,3,1)="-",MID(C1540,7,1)="-"),MATCH(UPPER(MID(C1540,4,3)),Guide!$D$7:$D$18,0),0)),0)</f>
        <v>2</v>
      </c>
      <c r="F1540" s="1">
        <f t="shared" si="185"/>
        <v>22</v>
      </c>
      <c r="G1540" s="9">
        <f t="shared" si="186"/>
        <v>46075</v>
      </c>
      <c r="H1540" s="1" t="str">
        <f>IF(Raw!D1540="","",Raw!D1540)</f>
        <v>P-A</v>
      </c>
      <c r="I1540" s="1" t="str">
        <f>IFERROR(IF(EXACT(H1540,INDEX(Guide!$A$7:$A$9,MATCH(SUBSTITUTE(SUBSTITUTE(SUBSTITUTE(H1540,"~","~~"),"*","~*"),"?","~?"),Guide!$A$7:$A$9,0))),INDEX(Guide!$B$7:$B$9,MATCH(SUBSTITUTE(SUBSTITUTE(SUBSTITUTE(H1540,"~","~~"),"*","~*"),"?","~?"),Guide!$A$7:$A$9,0)),""),"")</f>
        <v>Accessories</v>
      </c>
      <c r="J1540" s="1" t="str">
        <f>IF(TRIM(Raw!E1540)="",I1540,IF(UPPER(TRIM(Raw!E1540))=UPPER(I1540),I1540,""))</f>
        <v>Accessories</v>
      </c>
      <c r="K1540" s="1" t="str">
        <f>IF(Raw!F1540="","",Raw!F1540)</f>
        <v>sale</v>
      </c>
      <c r="L1540" s="1" t="str">
        <f>IF(LEFT(TRIM(Raw!G1540),2)="-$","-"&amp;MID(TRIM(Raw!G1540),3,99),IF(LEFT(TRIM(Raw!G1540),1)="$",MID(TRIM(Raw!G1540),2,99),TRIM(Raw!G1540)))</f>
        <v>184.40</v>
      </c>
      <c r="M1540" s="1">
        <f t="shared" si="187"/>
        <v>184.4</v>
      </c>
      <c r="N1540" s="10">
        <f t="shared" si="188"/>
        <v>18440</v>
      </c>
      <c r="O1540" s="1" t="b">
        <f>IFERROR(IF(ISNUMBER(Raw!G1540),TRUE,OR(EXACT(L1540,TEXT(M1540,"0.00")),EXACT(L1540,TEXT(M1540,"#,##0.00")))),FALSE)</f>
        <v>1</v>
      </c>
      <c r="P1540" s="1" t="str">
        <f>LEN(IF(Raw!A1540="","",Raw!A1540))&amp;":"&amp;IF(Raw!A1540="","",Raw!A1540)&amp;"|"&amp;LEN(IF(Raw!B1540="","",Raw!B1540))&amp;":"&amp;IF(Raw!B1540="","",Raw!B1540)&amp;"|"&amp;LEN(IF(Raw!C1540="","",Raw!C1540))&amp;":"&amp;IF(Raw!C1540="","",Raw!C1540)&amp;"|"&amp;LEN(IF(Raw!D1540="","",Raw!D1540))&amp;":"&amp;IF(Raw!D1540="","",Raw!D1540)&amp;"|"&amp;LEN(IF(Raw!E1540="","",Raw!E1540))&amp;":"&amp;IF(Raw!E1540="","",Raw!E1540)&amp;"|"&amp;LEN(IF(Raw!F1540="","",Raw!F1540))&amp;":"&amp;IF(Raw!F1540="","",Raw!F1540)&amp;"|"&amp;LEN(IF(Raw!G1540="","",Raw!G1540))&amp;":"&amp;IF(Raw!G1540="","",Raw!G1540)</f>
        <v>6:L01534|6:T00767|10:2026-02-22|3:P-A|11:Accessories|4:sale|6:184.40</v>
      </c>
      <c r="Q1540" s="1">
        <f>1</f>
        <v>1</v>
      </c>
      <c r="R1540" s="1" t="b">
        <f>FALSE</f>
        <v>0</v>
      </c>
      <c r="S1540" s="1">
        <f>1</f>
        <v>1</v>
      </c>
      <c r="T1540" s="1" t="str">
        <f>IF(AND(Raw!A1540="",Raw!B1540="",Raw!C1540="",Raw!D1540="",Raw!E1540="",Raw!F1540="",Raw!G1540=""),"UNUSED",IF(A1540="","missing line ID",IF(B1540="","missing transaction ID",IF(G1540="",IF(C1540="","missing date","invalid date"),IF(I1540="","unknown product",IF(J1540="","conflicting category",IF(NOT(OR(EXACT(K1540,"sale"),EXACT(K1540,"refund"))),"unknown event",IF(OR(N1540="",NOT(O1540)),"invalid amount",IF(OR(AND(K1540="sale",N1540&lt;=0),AND(K1540="refund",N1540&gt;=0)),"invalid sign","")))))))))</f>
        <v/>
      </c>
      <c r="U1540" s="1" t="str">
        <f t="shared" si="189"/>
        <v>INCLUDED</v>
      </c>
      <c r="V1540" s="1" t="str">
        <f t="shared" si="190"/>
        <v>2026-02</v>
      </c>
      <c r="W1540" s="1">
        <f>IF(AND(U1540="INCLUDED",X1540&gt;0,EXACT(A1540,'AI output'!A1540)),1,0)</f>
        <v>1</v>
      </c>
      <c r="X1540" s="1">
        <f>1540</f>
        <v>1540</v>
      </c>
      <c r="Y1540" s="1">
        <f>IF(AND(U1540="INCLUDED",W1540=1),--(NOT(EXACT(A1540,'AI output'!A1540)))+--(NOT(EXACT(B1540,'AI output'!B1540)))+--(NOT(EXACT(TEXT(G1540,"yyyy-mm-dd"),'AI output'!C1540)))+--(NOT(EXACT(H1540,'AI output'!D1540)))+--(NOT(EXACT(J1540,'AI output'!E1540)))+--(NOT(EXACT(K1540,'AI output'!F1540)))+--(N1540&lt;&gt;'AI output'!L1540)+--(NOT('AI output'!M1540)),0)</f>
        <v>0</v>
      </c>
      <c r="Z1540" s="1">
        <f t="shared" si="191"/>
        <v>0</v>
      </c>
      <c r="AA1540" s="1">
        <f>--EXACT(A1540,"L01534")</f>
        <v>1</v>
      </c>
    </row>
    <row r="1541" spans="1:27" ht="18.95" customHeight="1">
      <c r="A1541" s="1" t="str">
        <f>IF(Raw!A1541="","",Raw!A1541)</f>
        <v>L01535</v>
      </c>
      <c r="B1541" s="1" t="str">
        <f>IF(Raw!B1541="","",Raw!B1541)</f>
        <v>T00768</v>
      </c>
      <c r="C1541" s="1" t="str">
        <f>IF(Raw!C1541="","",Raw!C1541)</f>
        <v>2026-03-01</v>
      </c>
      <c r="D1541" s="1">
        <f t="shared" si="184"/>
        <v>2026</v>
      </c>
      <c r="E1541" s="1">
        <f>IFERROR(IF(AND(LEN(C1541)=10,MID(C1541,5,1)="-",MID(C1541,8,1)="-"),VALUE(MID(C1541,6,2)),IF(AND(LEN(C1541)=11,MID(C1541,3,1)="-",MID(C1541,7,1)="-"),MATCH(UPPER(MID(C1541,4,3)),Guide!$D$7:$D$18,0),0)),0)</f>
        <v>3</v>
      </c>
      <c r="F1541" s="1">
        <f t="shared" si="185"/>
        <v>1</v>
      </c>
      <c r="G1541" s="9">
        <f t="shared" si="186"/>
        <v>46082</v>
      </c>
      <c r="H1541" s="1" t="str">
        <f>IF(Raw!D1541="","",Raw!D1541)</f>
        <v>P-H</v>
      </c>
      <c r="I1541" s="1" t="str">
        <f>IFERROR(IF(EXACT(H1541,INDEX(Guide!$A$7:$A$9,MATCH(SUBSTITUTE(SUBSTITUTE(SUBSTITUTE(H1541,"~","~~"),"*","~*"),"?","~?"),Guide!$A$7:$A$9,0))),INDEX(Guide!$B$7:$B$9,MATCH(SUBSTITUTE(SUBSTITUTE(SUBSTITUTE(H1541,"~","~~"),"*","~*"),"?","~?"),Guide!$A$7:$A$9,0)),""),"")</f>
        <v>Home</v>
      </c>
      <c r="J1541" s="1" t="str">
        <f>IF(TRIM(Raw!E1541)="",I1541,IF(UPPER(TRIM(Raw!E1541))=UPPER(I1541),I1541,""))</f>
        <v>Home</v>
      </c>
      <c r="K1541" s="1" t="str">
        <f>IF(Raw!F1541="","",Raw!F1541)</f>
        <v>sale</v>
      </c>
      <c r="L1541" s="1" t="str">
        <f>IF(LEFT(TRIM(Raw!G1541),2)="-$","-"&amp;MID(TRIM(Raw!G1541),3,99),IF(LEFT(TRIM(Raw!G1541),1)="$",MID(TRIM(Raw!G1541),2,99),TRIM(Raw!G1541)))</f>
        <v>370.28</v>
      </c>
      <c r="M1541" s="1">
        <f t="shared" si="187"/>
        <v>370.28</v>
      </c>
      <c r="N1541" s="10">
        <f t="shared" si="188"/>
        <v>37028</v>
      </c>
      <c r="O1541" s="1" t="b">
        <f>IFERROR(IF(ISNUMBER(Raw!G1541),TRUE,OR(EXACT(L1541,TEXT(M1541,"0.00")),EXACT(L1541,TEXT(M1541,"#,##0.00")))),FALSE)</f>
        <v>1</v>
      </c>
      <c r="P1541" s="1" t="str">
        <f>LEN(IF(Raw!A1541="","",Raw!A1541))&amp;":"&amp;IF(Raw!A1541="","",Raw!A1541)&amp;"|"&amp;LEN(IF(Raw!B1541="","",Raw!B1541))&amp;":"&amp;IF(Raw!B1541="","",Raw!B1541)&amp;"|"&amp;LEN(IF(Raw!C1541="","",Raw!C1541))&amp;":"&amp;IF(Raw!C1541="","",Raw!C1541)&amp;"|"&amp;LEN(IF(Raw!D1541="","",Raw!D1541))&amp;":"&amp;IF(Raw!D1541="","",Raw!D1541)&amp;"|"&amp;LEN(IF(Raw!E1541="","",Raw!E1541))&amp;":"&amp;IF(Raw!E1541="","",Raw!E1541)&amp;"|"&amp;LEN(IF(Raw!F1541="","",Raw!F1541))&amp;":"&amp;IF(Raw!F1541="","",Raw!F1541)&amp;"|"&amp;LEN(IF(Raw!G1541="","",Raw!G1541))&amp;":"&amp;IF(Raw!G1541="","",Raw!G1541)</f>
        <v>6:L01535|6:T00768|10:2026-03-01|3:P-H|4:Home|4:sale|6:370.28</v>
      </c>
      <c r="Q1541" s="1">
        <f>1</f>
        <v>1</v>
      </c>
      <c r="R1541" s="1" t="b">
        <f>FALSE</f>
        <v>0</v>
      </c>
      <c r="S1541" s="1">
        <f>1</f>
        <v>1</v>
      </c>
      <c r="T1541" s="1" t="str">
        <f>IF(AND(Raw!A1541="",Raw!B1541="",Raw!C1541="",Raw!D1541="",Raw!E1541="",Raw!F1541="",Raw!G1541=""),"UNUSED",IF(A1541="","missing line ID",IF(B1541="","missing transaction ID",IF(G1541="",IF(C1541="","missing date","invalid date"),IF(I1541="","unknown product",IF(J1541="","conflicting category",IF(NOT(OR(EXACT(K1541,"sale"),EXACT(K1541,"refund"))),"unknown event",IF(OR(N1541="",NOT(O1541)),"invalid amount",IF(OR(AND(K1541="sale",N1541&lt;=0),AND(K1541="refund",N1541&gt;=0)),"invalid sign","")))))))))</f>
        <v/>
      </c>
      <c r="U1541" s="1" t="str">
        <f t="shared" si="189"/>
        <v>INCLUDED</v>
      </c>
      <c r="V1541" s="1" t="str">
        <f t="shared" si="190"/>
        <v>2026-03</v>
      </c>
      <c r="W1541" s="1">
        <f>IF(AND(U1541="INCLUDED",X1541&gt;0,EXACT(A1541,'AI output'!A1541)),1,0)</f>
        <v>1</v>
      </c>
      <c r="X1541" s="1">
        <f>1541</f>
        <v>1541</v>
      </c>
      <c r="Y1541" s="1">
        <f>IF(AND(U1541="INCLUDED",W1541=1),--(NOT(EXACT(A1541,'AI output'!A1541)))+--(NOT(EXACT(B1541,'AI output'!B1541)))+--(NOT(EXACT(TEXT(G1541,"yyyy-mm-dd"),'AI output'!C1541)))+--(NOT(EXACT(H1541,'AI output'!D1541)))+--(NOT(EXACT(J1541,'AI output'!E1541)))+--(NOT(EXACT(K1541,'AI output'!F1541)))+--(N1541&lt;&gt;'AI output'!L1541)+--(NOT('AI output'!M1541)),0)</f>
        <v>0</v>
      </c>
      <c r="Z1541" s="1">
        <f t="shared" si="191"/>
        <v>0</v>
      </c>
      <c r="AA1541" s="1">
        <f>--EXACT(A1541,"L01535")</f>
        <v>1</v>
      </c>
    </row>
    <row r="1542" spans="1:27" ht="18.95" customHeight="1">
      <c r="A1542" s="1" t="str">
        <f>IF(Raw!A1542="","",Raw!A1542)</f>
        <v>L01536</v>
      </c>
      <c r="B1542" s="1" t="str">
        <f>IF(Raw!B1542="","",Raw!B1542)</f>
        <v>T00768</v>
      </c>
      <c r="C1542" s="1" t="str">
        <f>IF(Raw!C1542="","",Raw!C1542)</f>
        <v>2026-03-01</v>
      </c>
      <c r="D1542" s="1">
        <f t="shared" si="184"/>
        <v>2026</v>
      </c>
      <c r="E1542" s="1">
        <f>IFERROR(IF(AND(LEN(C1542)=10,MID(C1542,5,1)="-",MID(C1542,8,1)="-"),VALUE(MID(C1542,6,2)),IF(AND(LEN(C1542)=11,MID(C1542,3,1)="-",MID(C1542,7,1)="-"),MATCH(UPPER(MID(C1542,4,3)),Guide!$D$7:$D$18,0),0)),0)</f>
        <v>3</v>
      </c>
      <c r="F1542" s="1">
        <f t="shared" si="185"/>
        <v>1</v>
      </c>
      <c r="G1542" s="9">
        <f t="shared" si="186"/>
        <v>46082</v>
      </c>
      <c r="H1542" s="1" t="str">
        <f>IF(Raw!D1542="","",Raw!D1542)</f>
        <v>P-O</v>
      </c>
      <c r="I1542" s="1" t="str">
        <f>IFERROR(IF(EXACT(H1542,INDEX(Guide!$A$7:$A$9,MATCH(SUBSTITUTE(SUBSTITUTE(SUBSTITUTE(H1542,"~","~~"),"*","~*"),"?","~?"),Guide!$A$7:$A$9,0))),INDEX(Guide!$B$7:$B$9,MATCH(SUBSTITUTE(SUBSTITUTE(SUBSTITUTE(H1542,"~","~~"),"*","~*"),"?","~?"),Guide!$A$7:$A$9,0)),""),"")</f>
        <v>Office</v>
      </c>
      <c r="J1542" s="1" t="str">
        <f>IF(TRIM(Raw!E1542)="",I1542,IF(UPPER(TRIM(Raw!E1542))=UPPER(I1542),I1542,""))</f>
        <v>Office</v>
      </c>
      <c r="K1542" s="1" t="str">
        <f>IF(Raw!F1542="","",Raw!F1542)</f>
        <v>sale</v>
      </c>
      <c r="L1542" s="1" t="str">
        <f>IF(LEFT(TRIM(Raw!G1542),2)="-$","-"&amp;MID(TRIM(Raw!G1542),3,99),IF(LEFT(TRIM(Raw!G1542),1)="$",MID(TRIM(Raw!G1542),2,99),TRIM(Raw!G1542)))</f>
        <v>92.94</v>
      </c>
      <c r="M1542" s="1">
        <f t="shared" si="187"/>
        <v>92.94</v>
      </c>
      <c r="N1542" s="10">
        <f t="shared" si="188"/>
        <v>9294</v>
      </c>
      <c r="O1542" s="1" t="b">
        <f>IFERROR(IF(ISNUMBER(Raw!G1542),TRUE,OR(EXACT(L1542,TEXT(M1542,"0.00")),EXACT(L1542,TEXT(M1542,"#,##0.00")))),FALSE)</f>
        <v>1</v>
      </c>
      <c r="P1542" s="1" t="str">
        <f>LEN(IF(Raw!A1542="","",Raw!A1542))&amp;":"&amp;IF(Raw!A1542="","",Raw!A1542)&amp;"|"&amp;LEN(IF(Raw!B1542="","",Raw!B1542))&amp;":"&amp;IF(Raw!B1542="","",Raw!B1542)&amp;"|"&amp;LEN(IF(Raw!C1542="","",Raw!C1542))&amp;":"&amp;IF(Raw!C1542="","",Raw!C1542)&amp;"|"&amp;LEN(IF(Raw!D1542="","",Raw!D1542))&amp;":"&amp;IF(Raw!D1542="","",Raw!D1542)&amp;"|"&amp;LEN(IF(Raw!E1542="","",Raw!E1542))&amp;":"&amp;IF(Raw!E1542="","",Raw!E1542)&amp;"|"&amp;LEN(IF(Raw!F1542="","",Raw!F1542))&amp;":"&amp;IF(Raw!F1542="","",Raw!F1542)&amp;"|"&amp;LEN(IF(Raw!G1542="","",Raw!G1542))&amp;":"&amp;IF(Raw!G1542="","",Raw!G1542)</f>
        <v>6:L01536|6:T00768|10:2026-03-01|3:P-O|6:Office|4:sale|5:92.94</v>
      </c>
      <c r="Q1542" s="1">
        <f>1</f>
        <v>1</v>
      </c>
      <c r="R1542" s="1" t="b">
        <f>FALSE</f>
        <v>0</v>
      </c>
      <c r="S1542" s="1">
        <f>1</f>
        <v>1</v>
      </c>
      <c r="T1542" s="1" t="str">
        <f>IF(AND(Raw!A1542="",Raw!B1542="",Raw!C1542="",Raw!D1542="",Raw!E1542="",Raw!F1542="",Raw!G1542=""),"UNUSED",IF(A1542="","missing line ID",IF(B1542="","missing transaction ID",IF(G1542="",IF(C1542="","missing date","invalid date"),IF(I1542="","unknown product",IF(J1542="","conflicting category",IF(NOT(OR(EXACT(K1542,"sale"),EXACT(K1542,"refund"))),"unknown event",IF(OR(N1542="",NOT(O1542)),"invalid amount",IF(OR(AND(K1542="sale",N1542&lt;=0),AND(K1542="refund",N1542&gt;=0)),"invalid sign","")))))))))</f>
        <v/>
      </c>
      <c r="U1542" s="1" t="str">
        <f t="shared" si="189"/>
        <v>INCLUDED</v>
      </c>
      <c r="V1542" s="1" t="str">
        <f t="shared" si="190"/>
        <v>2026-03</v>
      </c>
      <c r="W1542" s="1">
        <f>IF(AND(U1542="INCLUDED",X1542&gt;0,EXACT(A1542,'AI output'!A1542)),1,0)</f>
        <v>1</v>
      </c>
      <c r="X1542" s="1">
        <f>1542</f>
        <v>1542</v>
      </c>
      <c r="Y1542" s="1">
        <f>IF(AND(U1542="INCLUDED",W1542=1),--(NOT(EXACT(A1542,'AI output'!A1542)))+--(NOT(EXACT(B1542,'AI output'!B1542)))+--(NOT(EXACT(TEXT(G1542,"yyyy-mm-dd"),'AI output'!C1542)))+--(NOT(EXACT(H1542,'AI output'!D1542)))+--(NOT(EXACT(J1542,'AI output'!E1542)))+--(NOT(EXACT(K1542,'AI output'!F1542)))+--(N1542&lt;&gt;'AI output'!L1542)+--(NOT('AI output'!M1542)),0)</f>
        <v>0</v>
      </c>
      <c r="Z1542" s="1">
        <f t="shared" si="191"/>
        <v>0</v>
      </c>
      <c r="AA1542" s="1">
        <f>--EXACT(A1542,"L01536")</f>
        <v>1</v>
      </c>
    </row>
    <row r="1543" spans="1:27" ht="18.95" customHeight="1">
      <c r="A1543" s="1" t="str">
        <f>IF(Raw!A1543="","",Raw!A1543)</f>
        <v>L01537</v>
      </c>
      <c r="B1543" s="1" t="str">
        <f>IF(Raw!B1543="","",Raw!B1543)</f>
        <v>T00769</v>
      </c>
      <c r="C1543" s="1" t="str">
        <f>IF(Raw!C1543="","",Raw!C1543)</f>
        <v>2026-03-08</v>
      </c>
      <c r="D1543" s="1">
        <f t="shared" ref="D1543:D1606" si="192">IFERROR(IF(AND(LEN(C1543)=10,MID(C1543,5,1)="-",MID(C1543,8,1)="-"),VALUE(LEFT(C1543,4)),IF(AND(LEN(C1543)=11,MID(C1543,3,1)="-",MID(C1543,7,1)="-"),VALUE(RIGHT(C1543,4)),0)),0)</f>
        <v>2026</v>
      </c>
      <c r="E1543" s="1">
        <f>IFERROR(IF(AND(LEN(C1543)=10,MID(C1543,5,1)="-",MID(C1543,8,1)="-"),VALUE(MID(C1543,6,2)),IF(AND(LEN(C1543)=11,MID(C1543,3,1)="-",MID(C1543,7,1)="-"),MATCH(UPPER(MID(C1543,4,3)),Guide!$D$7:$D$18,0),0)),0)</f>
        <v>3</v>
      </c>
      <c r="F1543" s="1">
        <f t="shared" ref="F1543:F1606" si="193">IFERROR(IF(AND(LEN(C1543)=10,MID(C1543,5,1)="-",MID(C1543,8,1)="-"),VALUE(RIGHT(C1543,2)),IF(AND(LEN(C1543)=11,MID(C1543,3,1)="-",MID(C1543,7,1)="-"),VALUE(LEFT(C1543,2)),0)),0)</f>
        <v>8</v>
      </c>
      <c r="G1543" s="9">
        <f t="shared" ref="G1543:G1606" si="194">IFERROR(IF(AND(D1543&gt;=1900,D1543&lt;=9999,YEAR(DATE(D1543,E1543,F1543))=D1543,MONTH(DATE(D1543,E1543,F1543))=E1543,DAY(DATE(D1543,E1543,F1543))=F1543),DATE(D1543,E1543,F1543),""),"")</f>
        <v>46089</v>
      </c>
      <c r="H1543" s="1" t="str">
        <f>IF(Raw!D1543="","",Raw!D1543)</f>
        <v>P-A</v>
      </c>
      <c r="I1543" s="1" t="str">
        <f>IFERROR(IF(EXACT(H1543,INDEX(Guide!$A$7:$A$9,MATCH(SUBSTITUTE(SUBSTITUTE(SUBSTITUTE(H1543,"~","~~"),"*","~*"),"?","~?"),Guide!$A$7:$A$9,0))),INDEX(Guide!$B$7:$B$9,MATCH(SUBSTITUTE(SUBSTITUTE(SUBSTITUTE(H1543,"~","~~"),"*","~*"),"?","~?"),Guide!$A$7:$A$9,0)),""),"")</f>
        <v>Accessories</v>
      </c>
      <c r="J1543" s="1" t="str">
        <f>IF(TRIM(Raw!E1543)="",I1543,IF(UPPER(TRIM(Raw!E1543))=UPPER(I1543),I1543,""))</f>
        <v>Accessories</v>
      </c>
      <c r="K1543" s="1" t="str">
        <f>IF(Raw!F1543="","",Raw!F1543)</f>
        <v>sale</v>
      </c>
      <c r="L1543" s="1" t="str">
        <f>IF(LEFT(TRIM(Raw!G1543),2)="-$","-"&amp;MID(TRIM(Raw!G1543),3,99),IF(LEFT(TRIM(Raw!G1543),1)="$",MID(TRIM(Raw!G1543),2,99),TRIM(Raw!G1543)))</f>
        <v>279.93</v>
      </c>
      <c r="M1543" s="1">
        <f t="shared" ref="M1543:M1606" si="195">IFERROR(VALUE(L1543),"")</f>
        <v>279.93</v>
      </c>
      <c r="N1543" s="10">
        <f t="shared" ref="N1543:N1606" si="196">IF(AND(ISNUMBER(M1543),ABS(M1543*100-ROUND(M1543*100,0))&lt;0.0000001),ROUND(M1543*100,0),"")</f>
        <v>27993</v>
      </c>
      <c r="O1543" s="1" t="b">
        <f>IFERROR(IF(ISNUMBER(Raw!G1543),TRUE,OR(EXACT(L1543,TEXT(M1543,"0.00")),EXACT(L1543,TEXT(M1543,"#,##0.00")))),FALSE)</f>
        <v>1</v>
      </c>
      <c r="P1543" s="1" t="str">
        <f>LEN(IF(Raw!A1543="","",Raw!A1543))&amp;":"&amp;IF(Raw!A1543="","",Raw!A1543)&amp;"|"&amp;LEN(IF(Raw!B1543="","",Raw!B1543))&amp;":"&amp;IF(Raw!B1543="","",Raw!B1543)&amp;"|"&amp;LEN(IF(Raw!C1543="","",Raw!C1543))&amp;":"&amp;IF(Raw!C1543="","",Raw!C1543)&amp;"|"&amp;LEN(IF(Raw!D1543="","",Raw!D1543))&amp;":"&amp;IF(Raw!D1543="","",Raw!D1543)&amp;"|"&amp;LEN(IF(Raw!E1543="","",Raw!E1543))&amp;":"&amp;IF(Raw!E1543="","",Raw!E1543)&amp;"|"&amp;LEN(IF(Raw!F1543="","",Raw!F1543))&amp;":"&amp;IF(Raw!F1543="","",Raw!F1543)&amp;"|"&amp;LEN(IF(Raw!G1543="","",Raw!G1543))&amp;":"&amp;IF(Raw!G1543="","",Raw!G1543)</f>
        <v>6:L01537|6:T00769|10:2026-03-08|3:P-A|11:Accessories|4:sale|6:279.93</v>
      </c>
      <c r="Q1543" s="1">
        <f>1</f>
        <v>1</v>
      </c>
      <c r="R1543" s="1" t="b">
        <f>FALSE</f>
        <v>0</v>
      </c>
      <c r="S1543" s="1">
        <f>1</f>
        <v>1</v>
      </c>
      <c r="T1543" s="1" t="str">
        <f>IF(AND(Raw!A1543="",Raw!B1543="",Raw!C1543="",Raw!D1543="",Raw!E1543="",Raw!F1543="",Raw!G1543=""),"UNUSED",IF(A1543="","missing line ID",IF(B1543="","missing transaction ID",IF(G1543="",IF(C1543="","missing date","invalid date"),IF(I1543="","unknown product",IF(J1543="","conflicting category",IF(NOT(OR(EXACT(K1543,"sale"),EXACT(K1543,"refund"))),"unknown event",IF(OR(N1543="",NOT(O1543)),"invalid amount",IF(OR(AND(K1543="sale",N1543&lt;=0),AND(K1543="refund",N1543&gt;=0)),"invalid sign","")))))))))</f>
        <v/>
      </c>
      <c r="U1543" s="1" t="str">
        <f t="shared" ref="U1543:U1606" si="197">IF(T1543="UNUSED","UNUSED",IF(R1543,"QUARANTINE",IF(S1543&gt;1,"DUPLICATE",IF(T1543&lt;&gt;"","QUARANTINE","INCLUDED"))))</f>
        <v>INCLUDED</v>
      </c>
      <c r="V1543" s="1" t="str">
        <f t="shared" ref="V1543:V1606" si="198">IF(G1543="","",TEXT(G1543,"yyyy-mm"))</f>
        <v>2026-03</v>
      </c>
      <c r="W1543" s="1">
        <f>IF(AND(U1543="INCLUDED",X1543&gt;0,EXACT(A1543,'AI output'!A1543)),1,0)</f>
        <v>1</v>
      </c>
      <c r="X1543" s="1">
        <f>1543</f>
        <v>1543</v>
      </c>
      <c r="Y1543" s="1">
        <f>IF(AND(U1543="INCLUDED",W1543=1),--(NOT(EXACT(A1543,'AI output'!A1543)))+--(NOT(EXACT(B1543,'AI output'!B1543)))+--(NOT(EXACT(TEXT(G1543,"yyyy-mm-dd"),'AI output'!C1543)))+--(NOT(EXACT(H1543,'AI output'!D1543)))+--(NOT(EXACT(J1543,'AI output'!E1543)))+--(NOT(EXACT(K1543,'AI output'!F1543)))+--(N1543&lt;&gt;'AI output'!L1543)+--(NOT('AI output'!M1543)),0)</f>
        <v>0</v>
      </c>
      <c r="Z1543" s="1">
        <f t="shared" ref="Z1543:Z1606" si="199">IF(U1543="INCLUDED",IF(OR(W1543&lt;&gt;1,Y1543&lt;&gt;0),1,0),0)</f>
        <v>0</v>
      </c>
      <c r="AA1543" s="1">
        <f>--EXACT(A1543,"L01537")</f>
        <v>1</v>
      </c>
    </row>
    <row r="1544" spans="1:27" ht="18.95" customHeight="1">
      <c r="A1544" s="1" t="str">
        <f>IF(Raw!A1544="","",Raw!A1544)</f>
        <v>L01538</v>
      </c>
      <c r="B1544" s="1" t="str">
        <f>IF(Raw!B1544="","",Raw!B1544)</f>
        <v>T00769</v>
      </c>
      <c r="C1544" s="1" t="str">
        <f>IF(Raw!C1544="","",Raw!C1544)</f>
        <v>2026-03-08</v>
      </c>
      <c r="D1544" s="1">
        <f t="shared" si="192"/>
        <v>2026</v>
      </c>
      <c r="E1544" s="1">
        <f>IFERROR(IF(AND(LEN(C1544)=10,MID(C1544,5,1)="-",MID(C1544,8,1)="-"),VALUE(MID(C1544,6,2)),IF(AND(LEN(C1544)=11,MID(C1544,3,1)="-",MID(C1544,7,1)="-"),MATCH(UPPER(MID(C1544,4,3)),Guide!$D$7:$D$18,0),0)),0)</f>
        <v>3</v>
      </c>
      <c r="F1544" s="1">
        <f t="shared" si="193"/>
        <v>8</v>
      </c>
      <c r="G1544" s="9">
        <f t="shared" si="194"/>
        <v>46089</v>
      </c>
      <c r="H1544" s="1" t="str">
        <f>IF(Raw!D1544="","",Raw!D1544)</f>
        <v>P-H</v>
      </c>
      <c r="I1544" s="1" t="str">
        <f>IFERROR(IF(EXACT(H1544,INDEX(Guide!$A$7:$A$9,MATCH(SUBSTITUTE(SUBSTITUTE(SUBSTITUTE(H1544,"~","~~"),"*","~*"),"?","~?"),Guide!$A$7:$A$9,0))),INDEX(Guide!$B$7:$B$9,MATCH(SUBSTITUTE(SUBSTITUTE(SUBSTITUTE(H1544,"~","~~"),"*","~*"),"?","~?"),Guide!$A$7:$A$9,0)),""),"")</f>
        <v>Home</v>
      </c>
      <c r="J1544" s="1" t="str">
        <f>IF(TRIM(Raw!E1544)="",I1544,IF(UPPER(TRIM(Raw!E1544))=UPPER(I1544),I1544,""))</f>
        <v>Home</v>
      </c>
      <c r="K1544" s="1" t="str">
        <f>IF(Raw!F1544="","",Raw!F1544)</f>
        <v>sale</v>
      </c>
      <c r="L1544" s="1" t="str">
        <f>IF(LEFT(TRIM(Raw!G1544),2)="-$","-"&amp;MID(TRIM(Raw!G1544),3,99),IF(LEFT(TRIM(Raw!G1544),1)="$",MID(TRIM(Raw!G1544),2,99),TRIM(Raw!G1544)))</f>
        <v>468.40</v>
      </c>
      <c r="M1544" s="1">
        <f t="shared" si="195"/>
        <v>468.4</v>
      </c>
      <c r="N1544" s="10">
        <f t="shared" si="196"/>
        <v>46840</v>
      </c>
      <c r="O1544" s="1" t="b">
        <f>IFERROR(IF(ISNUMBER(Raw!G1544),TRUE,OR(EXACT(L1544,TEXT(M1544,"0.00")),EXACT(L1544,TEXT(M1544,"#,##0.00")))),FALSE)</f>
        <v>1</v>
      </c>
      <c r="P1544" s="1" t="str">
        <f>LEN(IF(Raw!A1544="","",Raw!A1544))&amp;":"&amp;IF(Raw!A1544="","",Raw!A1544)&amp;"|"&amp;LEN(IF(Raw!B1544="","",Raw!B1544))&amp;":"&amp;IF(Raw!B1544="","",Raw!B1544)&amp;"|"&amp;LEN(IF(Raw!C1544="","",Raw!C1544))&amp;":"&amp;IF(Raw!C1544="","",Raw!C1544)&amp;"|"&amp;LEN(IF(Raw!D1544="","",Raw!D1544))&amp;":"&amp;IF(Raw!D1544="","",Raw!D1544)&amp;"|"&amp;LEN(IF(Raw!E1544="","",Raw!E1544))&amp;":"&amp;IF(Raw!E1544="","",Raw!E1544)&amp;"|"&amp;LEN(IF(Raw!F1544="","",Raw!F1544))&amp;":"&amp;IF(Raw!F1544="","",Raw!F1544)&amp;"|"&amp;LEN(IF(Raw!G1544="","",Raw!G1544))&amp;":"&amp;IF(Raw!G1544="","",Raw!G1544)</f>
        <v>6:L01538|6:T00769|10:2026-03-08|3:P-H|4:Home|4:sale|6:468.40</v>
      </c>
      <c r="Q1544" s="1">
        <f>1</f>
        <v>1</v>
      </c>
      <c r="R1544" s="1" t="b">
        <f>FALSE</f>
        <v>0</v>
      </c>
      <c r="S1544" s="1">
        <f>1</f>
        <v>1</v>
      </c>
      <c r="T1544" s="1" t="str">
        <f>IF(AND(Raw!A1544="",Raw!B1544="",Raw!C1544="",Raw!D1544="",Raw!E1544="",Raw!F1544="",Raw!G1544=""),"UNUSED",IF(A1544="","missing line ID",IF(B1544="","missing transaction ID",IF(G1544="",IF(C1544="","missing date","invalid date"),IF(I1544="","unknown product",IF(J1544="","conflicting category",IF(NOT(OR(EXACT(K1544,"sale"),EXACT(K1544,"refund"))),"unknown event",IF(OR(N1544="",NOT(O1544)),"invalid amount",IF(OR(AND(K1544="sale",N1544&lt;=0),AND(K1544="refund",N1544&gt;=0)),"invalid sign","")))))))))</f>
        <v/>
      </c>
      <c r="U1544" s="1" t="str">
        <f t="shared" si="197"/>
        <v>INCLUDED</v>
      </c>
      <c r="V1544" s="1" t="str">
        <f t="shared" si="198"/>
        <v>2026-03</v>
      </c>
      <c r="W1544" s="1">
        <f>IF(AND(U1544="INCLUDED",X1544&gt;0,EXACT(A1544,'AI output'!A1544)),1,0)</f>
        <v>1</v>
      </c>
      <c r="X1544" s="1">
        <f>1544</f>
        <v>1544</v>
      </c>
      <c r="Y1544" s="1">
        <f>IF(AND(U1544="INCLUDED",W1544=1),--(NOT(EXACT(A1544,'AI output'!A1544)))+--(NOT(EXACT(B1544,'AI output'!B1544)))+--(NOT(EXACT(TEXT(G1544,"yyyy-mm-dd"),'AI output'!C1544)))+--(NOT(EXACT(H1544,'AI output'!D1544)))+--(NOT(EXACT(J1544,'AI output'!E1544)))+--(NOT(EXACT(K1544,'AI output'!F1544)))+--(N1544&lt;&gt;'AI output'!L1544)+--(NOT('AI output'!M1544)),0)</f>
        <v>0</v>
      </c>
      <c r="Z1544" s="1">
        <f t="shared" si="199"/>
        <v>0</v>
      </c>
      <c r="AA1544" s="1">
        <f>--EXACT(A1544,"L01538")</f>
        <v>1</v>
      </c>
    </row>
    <row r="1545" spans="1:27" ht="18.95" customHeight="1">
      <c r="A1545" s="1" t="str">
        <f>IF(Raw!A1545="","",Raw!A1545)</f>
        <v>L01539</v>
      </c>
      <c r="B1545" s="1" t="str">
        <f>IF(Raw!B1545="","",Raw!B1545)</f>
        <v>T00770</v>
      </c>
      <c r="C1545" s="1" t="str">
        <f>IF(Raw!C1545="","",Raw!C1545)</f>
        <v>2026-03-15</v>
      </c>
      <c r="D1545" s="1">
        <f t="shared" si="192"/>
        <v>2026</v>
      </c>
      <c r="E1545" s="1">
        <f>IFERROR(IF(AND(LEN(C1545)=10,MID(C1545,5,1)="-",MID(C1545,8,1)="-"),VALUE(MID(C1545,6,2)),IF(AND(LEN(C1545)=11,MID(C1545,3,1)="-",MID(C1545,7,1)="-"),MATCH(UPPER(MID(C1545,4,3)),Guide!$D$7:$D$18,0),0)),0)</f>
        <v>3</v>
      </c>
      <c r="F1545" s="1">
        <f t="shared" si="193"/>
        <v>15</v>
      </c>
      <c r="G1545" s="9">
        <f t="shared" si="194"/>
        <v>46096</v>
      </c>
      <c r="H1545" s="1" t="str">
        <f>IF(Raw!D1545="","",Raw!D1545)</f>
        <v>P-O</v>
      </c>
      <c r="I1545" s="1" t="str">
        <f>IFERROR(IF(EXACT(H1545,INDEX(Guide!$A$7:$A$9,MATCH(SUBSTITUTE(SUBSTITUTE(SUBSTITUTE(H1545,"~","~~"),"*","~*"),"?","~?"),Guide!$A$7:$A$9,0))),INDEX(Guide!$B$7:$B$9,MATCH(SUBSTITUTE(SUBSTITUTE(SUBSTITUTE(H1545,"~","~~"),"*","~*"),"?","~?"),Guide!$A$7:$A$9,0)),""),"")</f>
        <v>Office</v>
      </c>
      <c r="J1545" s="1" t="str">
        <f>IF(TRIM(Raw!E1545)="",I1545,IF(UPPER(TRIM(Raw!E1545))=UPPER(I1545),I1545,""))</f>
        <v>Office</v>
      </c>
      <c r="K1545" s="1" t="str">
        <f>IF(Raw!F1545="","",Raw!F1545)</f>
        <v>sale</v>
      </c>
      <c r="L1545" s="1" t="str">
        <f>IF(LEFT(TRIM(Raw!G1545),2)="-$","-"&amp;MID(TRIM(Raw!G1545),3,99),IF(LEFT(TRIM(Raw!G1545),1)="$",MID(TRIM(Raw!G1545),2,99),TRIM(Raw!G1545)))</f>
        <v>188.10</v>
      </c>
      <c r="M1545" s="1">
        <f t="shared" si="195"/>
        <v>188.1</v>
      </c>
      <c r="N1545" s="10">
        <f t="shared" si="196"/>
        <v>18810</v>
      </c>
      <c r="O1545" s="1" t="b">
        <f>IFERROR(IF(ISNUMBER(Raw!G1545),TRUE,OR(EXACT(L1545,TEXT(M1545,"0.00")),EXACT(L1545,TEXT(M1545,"#,##0.00")))),FALSE)</f>
        <v>1</v>
      </c>
      <c r="P1545" s="1" t="str">
        <f>LEN(IF(Raw!A1545="","",Raw!A1545))&amp;":"&amp;IF(Raw!A1545="","",Raw!A1545)&amp;"|"&amp;LEN(IF(Raw!B1545="","",Raw!B1545))&amp;":"&amp;IF(Raw!B1545="","",Raw!B1545)&amp;"|"&amp;LEN(IF(Raw!C1545="","",Raw!C1545))&amp;":"&amp;IF(Raw!C1545="","",Raw!C1545)&amp;"|"&amp;LEN(IF(Raw!D1545="","",Raw!D1545))&amp;":"&amp;IF(Raw!D1545="","",Raw!D1545)&amp;"|"&amp;LEN(IF(Raw!E1545="","",Raw!E1545))&amp;":"&amp;IF(Raw!E1545="","",Raw!E1545)&amp;"|"&amp;LEN(IF(Raw!F1545="","",Raw!F1545))&amp;":"&amp;IF(Raw!F1545="","",Raw!F1545)&amp;"|"&amp;LEN(IF(Raw!G1545="","",Raw!G1545))&amp;":"&amp;IF(Raw!G1545="","",Raw!G1545)</f>
        <v>6:L01539|6:T00770|10:2026-03-15|3:P-O|6:Office|4:sale|6:188.10</v>
      </c>
      <c r="Q1545" s="1">
        <f>1</f>
        <v>1</v>
      </c>
      <c r="R1545" s="1" t="b">
        <f>FALSE</f>
        <v>0</v>
      </c>
      <c r="S1545" s="1">
        <f>1</f>
        <v>1</v>
      </c>
      <c r="T1545" s="1" t="str">
        <f>IF(AND(Raw!A1545="",Raw!B1545="",Raw!C1545="",Raw!D1545="",Raw!E1545="",Raw!F1545="",Raw!G1545=""),"UNUSED",IF(A1545="","missing line ID",IF(B1545="","missing transaction ID",IF(G1545="",IF(C1545="","missing date","invalid date"),IF(I1545="","unknown product",IF(J1545="","conflicting category",IF(NOT(OR(EXACT(K1545,"sale"),EXACT(K1545,"refund"))),"unknown event",IF(OR(N1545="",NOT(O1545)),"invalid amount",IF(OR(AND(K1545="sale",N1545&lt;=0),AND(K1545="refund",N1545&gt;=0)),"invalid sign","")))))))))</f>
        <v/>
      </c>
      <c r="U1545" s="1" t="str">
        <f t="shared" si="197"/>
        <v>INCLUDED</v>
      </c>
      <c r="V1545" s="1" t="str">
        <f t="shared" si="198"/>
        <v>2026-03</v>
      </c>
      <c r="W1545" s="1">
        <f>IF(AND(U1545="INCLUDED",X1545&gt;0,EXACT(A1545,'AI output'!A1545)),1,0)</f>
        <v>1</v>
      </c>
      <c r="X1545" s="1">
        <f>1545</f>
        <v>1545</v>
      </c>
      <c r="Y1545" s="1">
        <f>IF(AND(U1545="INCLUDED",W1545=1),--(NOT(EXACT(A1545,'AI output'!A1545)))+--(NOT(EXACT(B1545,'AI output'!B1545)))+--(NOT(EXACT(TEXT(G1545,"yyyy-mm-dd"),'AI output'!C1545)))+--(NOT(EXACT(H1545,'AI output'!D1545)))+--(NOT(EXACT(J1545,'AI output'!E1545)))+--(NOT(EXACT(K1545,'AI output'!F1545)))+--(N1545&lt;&gt;'AI output'!L1545)+--(NOT('AI output'!M1545)),0)</f>
        <v>0</v>
      </c>
      <c r="Z1545" s="1">
        <f t="shared" si="199"/>
        <v>0</v>
      </c>
      <c r="AA1545" s="1">
        <f>--EXACT(A1545,"L01539")</f>
        <v>1</v>
      </c>
    </row>
    <row r="1546" spans="1:27" ht="18.95" customHeight="1">
      <c r="A1546" s="1" t="str">
        <f>IF(Raw!A1546="","",Raw!A1546)</f>
        <v>L01540</v>
      </c>
      <c r="B1546" s="1" t="str">
        <f>IF(Raw!B1546="","",Raw!B1546)</f>
        <v>T00770</v>
      </c>
      <c r="C1546" s="1" t="str">
        <f>IF(Raw!C1546="","",Raw!C1546)</f>
        <v>2026-03-15</v>
      </c>
      <c r="D1546" s="1">
        <f t="shared" si="192"/>
        <v>2026</v>
      </c>
      <c r="E1546" s="1">
        <f>IFERROR(IF(AND(LEN(C1546)=10,MID(C1546,5,1)="-",MID(C1546,8,1)="-"),VALUE(MID(C1546,6,2)),IF(AND(LEN(C1546)=11,MID(C1546,3,1)="-",MID(C1546,7,1)="-"),MATCH(UPPER(MID(C1546,4,3)),Guide!$D$7:$D$18,0),0)),0)</f>
        <v>3</v>
      </c>
      <c r="F1546" s="1">
        <f t="shared" si="193"/>
        <v>15</v>
      </c>
      <c r="G1546" s="9">
        <f t="shared" si="194"/>
        <v>46096</v>
      </c>
      <c r="H1546" s="1" t="str">
        <f>IF(Raw!D1546="","",Raw!D1546)</f>
        <v>P-A</v>
      </c>
      <c r="I1546" s="1" t="str">
        <f>IFERROR(IF(EXACT(H1546,INDEX(Guide!$A$7:$A$9,MATCH(SUBSTITUTE(SUBSTITUTE(SUBSTITUTE(H1546,"~","~~"),"*","~*"),"?","~?"),Guide!$A$7:$A$9,0))),INDEX(Guide!$B$7:$B$9,MATCH(SUBSTITUTE(SUBSTITUTE(SUBSTITUTE(H1546,"~","~~"),"*","~*"),"?","~?"),Guide!$A$7:$A$9,0)),""),"")</f>
        <v>Accessories</v>
      </c>
      <c r="J1546" s="1" t="str">
        <f>IF(TRIM(Raw!E1546)="",I1546,IF(UPPER(TRIM(Raw!E1546))=UPPER(I1546),I1546,""))</f>
        <v>Accessories</v>
      </c>
      <c r="K1546" s="1" t="str">
        <f>IF(Raw!F1546="","",Raw!F1546)</f>
        <v>sale</v>
      </c>
      <c r="L1546" s="1" t="str">
        <f>IF(LEFT(TRIM(Raw!G1546),2)="-$","-"&amp;MID(TRIM(Raw!G1546),3,99),IF(LEFT(TRIM(Raw!G1546),1)="$",MID(TRIM(Raw!G1546),2,99),TRIM(Raw!G1546)))</f>
        <v>377.68</v>
      </c>
      <c r="M1546" s="1">
        <f t="shared" si="195"/>
        <v>377.68</v>
      </c>
      <c r="N1546" s="10">
        <f t="shared" si="196"/>
        <v>37768</v>
      </c>
      <c r="O1546" s="1" t="b">
        <f>IFERROR(IF(ISNUMBER(Raw!G1546),TRUE,OR(EXACT(L1546,TEXT(M1546,"0.00")),EXACT(L1546,TEXT(M1546,"#,##0.00")))),FALSE)</f>
        <v>1</v>
      </c>
      <c r="P1546" s="1" t="str">
        <f>LEN(IF(Raw!A1546="","",Raw!A1546))&amp;":"&amp;IF(Raw!A1546="","",Raw!A1546)&amp;"|"&amp;LEN(IF(Raw!B1546="","",Raw!B1546))&amp;":"&amp;IF(Raw!B1546="","",Raw!B1546)&amp;"|"&amp;LEN(IF(Raw!C1546="","",Raw!C1546))&amp;":"&amp;IF(Raw!C1546="","",Raw!C1546)&amp;"|"&amp;LEN(IF(Raw!D1546="","",Raw!D1546))&amp;":"&amp;IF(Raw!D1546="","",Raw!D1546)&amp;"|"&amp;LEN(IF(Raw!E1546="","",Raw!E1546))&amp;":"&amp;IF(Raw!E1546="","",Raw!E1546)&amp;"|"&amp;LEN(IF(Raw!F1546="","",Raw!F1546))&amp;":"&amp;IF(Raw!F1546="","",Raw!F1546)&amp;"|"&amp;LEN(IF(Raw!G1546="","",Raw!G1546))&amp;":"&amp;IF(Raw!G1546="","",Raw!G1546)</f>
        <v>6:L01540|6:T00770|10:2026-03-15|3:P-A|11:Accessories|4:sale|6:377.68</v>
      </c>
      <c r="Q1546" s="1">
        <f>1</f>
        <v>1</v>
      </c>
      <c r="R1546" s="1" t="b">
        <f>FALSE</f>
        <v>0</v>
      </c>
      <c r="S1546" s="1">
        <f>1</f>
        <v>1</v>
      </c>
      <c r="T1546" s="1" t="str">
        <f>IF(AND(Raw!A1546="",Raw!B1546="",Raw!C1546="",Raw!D1546="",Raw!E1546="",Raw!F1546="",Raw!G1546=""),"UNUSED",IF(A1546="","missing line ID",IF(B1546="","missing transaction ID",IF(G1546="",IF(C1546="","missing date","invalid date"),IF(I1546="","unknown product",IF(J1546="","conflicting category",IF(NOT(OR(EXACT(K1546,"sale"),EXACT(K1546,"refund"))),"unknown event",IF(OR(N1546="",NOT(O1546)),"invalid amount",IF(OR(AND(K1546="sale",N1546&lt;=0),AND(K1546="refund",N1546&gt;=0)),"invalid sign","")))))))))</f>
        <v/>
      </c>
      <c r="U1546" s="1" t="str">
        <f t="shared" si="197"/>
        <v>INCLUDED</v>
      </c>
      <c r="V1546" s="1" t="str">
        <f t="shared" si="198"/>
        <v>2026-03</v>
      </c>
      <c r="W1546" s="1">
        <f>IF(AND(U1546="INCLUDED",X1546&gt;0,EXACT(A1546,'AI output'!A1546)),1,0)</f>
        <v>1</v>
      </c>
      <c r="X1546" s="1">
        <f>1546</f>
        <v>1546</v>
      </c>
      <c r="Y1546" s="1">
        <f>IF(AND(U1546="INCLUDED",W1546=1),--(NOT(EXACT(A1546,'AI output'!A1546)))+--(NOT(EXACT(B1546,'AI output'!B1546)))+--(NOT(EXACT(TEXT(G1546,"yyyy-mm-dd"),'AI output'!C1546)))+--(NOT(EXACT(H1546,'AI output'!D1546)))+--(NOT(EXACT(J1546,'AI output'!E1546)))+--(NOT(EXACT(K1546,'AI output'!F1546)))+--(N1546&lt;&gt;'AI output'!L1546)+--(NOT('AI output'!M1546)),0)</f>
        <v>0</v>
      </c>
      <c r="Z1546" s="1">
        <f t="shared" si="199"/>
        <v>0</v>
      </c>
      <c r="AA1546" s="1">
        <f>--EXACT(A1546,"L01540")</f>
        <v>1</v>
      </c>
    </row>
    <row r="1547" spans="1:27" ht="18.95" customHeight="1">
      <c r="A1547" s="1" t="str">
        <f>IF(Raw!A1547="","",Raw!A1547)</f>
        <v>L01541</v>
      </c>
      <c r="B1547" s="1" t="str">
        <f>IF(Raw!B1547="","",Raw!B1547)</f>
        <v>T00771</v>
      </c>
      <c r="C1547" s="1" t="str">
        <f>IF(Raw!C1547="","",Raw!C1547)</f>
        <v>22-Mar-2026</v>
      </c>
      <c r="D1547" s="1">
        <f t="shared" si="192"/>
        <v>2026</v>
      </c>
      <c r="E1547" s="1">
        <f>IFERROR(IF(AND(LEN(C1547)=10,MID(C1547,5,1)="-",MID(C1547,8,1)="-"),VALUE(MID(C1547,6,2)),IF(AND(LEN(C1547)=11,MID(C1547,3,1)="-",MID(C1547,7,1)="-"),MATCH(UPPER(MID(C1547,4,3)),Guide!$D$7:$D$18,0),0)),0)</f>
        <v>3</v>
      </c>
      <c r="F1547" s="1">
        <f t="shared" si="193"/>
        <v>22</v>
      </c>
      <c r="G1547" s="9">
        <f t="shared" si="194"/>
        <v>46103</v>
      </c>
      <c r="H1547" s="1" t="str">
        <f>IF(Raw!D1547="","",Raw!D1547)</f>
        <v>P-H</v>
      </c>
      <c r="I1547" s="1" t="str">
        <f>IFERROR(IF(EXACT(H1547,INDEX(Guide!$A$7:$A$9,MATCH(SUBSTITUTE(SUBSTITUTE(SUBSTITUTE(H1547,"~","~~"),"*","~*"),"?","~?"),Guide!$A$7:$A$9,0))),INDEX(Guide!$B$7:$B$9,MATCH(SUBSTITUTE(SUBSTITUTE(SUBSTITUTE(H1547,"~","~~"),"*","~*"),"?","~?"),Guide!$A$7:$A$9,0)),""),"")</f>
        <v>Home</v>
      </c>
      <c r="J1547" s="1" t="str">
        <f>IF(TRIM(Raw!E1547)="",I1547,IF(UPPER(TRIM(Raw!E1547))=UPPER(I1547),I1547,""))</f>
        <v>Home</v>
      </c>
      <c r="K1547" s="1" t="str">
        <f>IF(Raw!F1547="","",Raw!F1547)</f>
        <v>sale</v>
      </c>
      <c r="L1547" s="1" t="str">
        <f>IF(LEFT(TRIM(Raw!G1547),2)="-$","-"&amp;MID(TRIM(Raw!G1547),3,99),IF(LEFT(TRIM(Raw!G1547),1)="$",MID(TRIM(Raw!G1547),2,99),TRIM(Raw!G1547)))</f>
        <v>94.79</v>
      </c>
      <c r="M1547" s="1">
        <f t="shared" si="195"/>
        <v>94.79</v>
      </c>
      <c r="N1547" s="10">
        <f t="shared" si="196"/>
        <v>9479</v>
      </c>
      <c r="O1547" s="1" t="b">
        <f>IFERROR(IF(ISNUMBER(Raw!G1547),TRUE,OR(EXACT(L1547,TEXT(M1547,"0.00")),EXACT(L1547,TEXT(M1547,"#,##0.00")))),FALSE)</f>
        <v>1</v>
      </c>
      <c r="P1547" s="1" t="str">
        <f>LEN(IF(Raw!A1547="","",Raw!A1547))&amp;":"&amp;IF(Raw!A1547="","",Raw!A1547)&amp;"|"&amp;LEN(IF(Raw!B1547="","",Raw!B1547))&amp;":"&amp;IF(Raw!B1547="","",Raw!B1547)&amp;"|"&amp;LEN(IF(Raw!C1547="","",Raw!C1547))&amp;":"&amp;IF(Raw!C1547="","",Raw!C1547)&amp;"|"&amp;LEN(IF(Raw!D1547="","",Raw!D1547))&amp;":"&amp;IF(Raw!D1547="","",Raw!D1547)&amp;"|"&amp;LEN(IF(Raw!E1547="","",Raw!E1547))&amp;":"&amp;IF(Raw!E1547="","",Raw!E1547)&amp;"|"&amp;LEN(IF(Raw!F1547="","",Raw!F1547))&amp;":"&amp;IF(Raw!F1547="","",Raw!F1547)&amp;"|"&amp;LEN(IF(Raw!G1547="","",Raw!G1547))&amp;":"&amp;IF(Raw!G1547="","",Raw!G1547)</f>
        <v>6:L01541|6:T00771|11:22-Mar-2026|3:P-H|4:Home|4:sale|5:94.79</v>
      </c>
      <c r="Q1547" s="1">
        <f>1</f>
        <v>1</v>
      </c>
      <c r="R1547" s="1" t="b">
        <f>FALSE</f>
        <v>0</v>
      </c>
      <c r="S1547" s="1">
        <f>1</f>
        <v>1</v>
      </c>
      <c r="T1547" s="1" t="str">
        <f>IF(AND(Raw!A1547="",Raw!B1547="",Raw!C1547="",Raw!D1547="",Raw!E1547="",Raw!F1547="",Raw!G1547=""),"UNUSED",IF(A1547="","missing line ID",IF(B1547="","missing transaction ID",IF(G1547="",IF(C1547="","missing date","invalid date"),IF(I1547="","unknown product",IF(J1547="","conflicting category",IF(NOT(OR(EXACT(K1547,"sale"),EXACT(K1547,"refund"))),"unknown event",IF(OR(N1547="",NOT(O1547)),"invalid amount",IF(OR(AND(K1547="sale",N1547&lt;=0),AND(K1547="refund",N1547&gt;=0)),"invalid sign","")))))))))</f>
        <v/>
      </c>
      <c r="U1547" s="1" t="str">
        <f t="shared" si="197"/>
        <v>INCLUDED</v>
      </c>
      <c r="V1547" s="1" t="str">
        <f t="shared" si="198"/>
        <v>2026-03</v>
      </c>
      <c r="W1547" s="1">
        <f>IF(AND(U1547="INCLUDED",X1547&gt;0,EXACT(A1547,'AI output'!A1547)),1,0)</f>
        <v>1</v>
      </c>
      <c r="X1547" s="1">
        <f>1547</f>
        <v>1547</v>
      </c>
      <c r="Y1547" s="1">
        <f>IF(AND(U1547="INCLUDED",W1547=1),--(NOT(EXACT(A1547,'AI output'!A1547)))+--(NOT(EXACT(B1547,'AI output'!B1547)))+--(NOT(EXACT(TEXT(G1547,"yyyy-mm-dd"),'AI output'!C1547)))+--(NOT(EXACT(H1547,'AI output'!D1547)))+--(NOT(EXACT(J1547,'AI output'!E1547)))+--(NOT(EXACT(K1547,'AI output'!F1547)))+--(N1547&lt;&gt;'AI output'!L1547)+--(NOT('AI output'!M1547)),0)</f>
        <v>0</v>
      </c>
      <c r="Z1547" s="1">
        <f t="shared" si="199"/>
        <v>0</v>
      </c>
      <c r="AA1547" s="1">
        <f>--EXACT(A1547,"L01541")</f>
        <v>1</v>
      </c>
    </row>
    <row r="1548" spans="1:27" ht="18.95" customHeight="1">
      <c r="A1548" s="1" t="str">
        <f>IF(Raw!A1548="","",Raw!A1548)</f>
        <v>L01542</v>
      </c>
      <c r="B1548" s="1" t="str">
        <f>IF(Raw!B1548="","",Raw!B1548)</f>
        <v>T00771</v>
      </c>
      <c r="C1548" s="1" t="str">
        <f>IF(Raw!C1548="","",Raw!C1548)</f>
        <v>2026-03-22</v>
      </c>
      <c r="D1548" s="1">
        <f t="shared" si="192"/>
        <v>2026</v>
      </c>
      <c r="E1548" s="1">
        <f>IFERROR(IF(AND(LEN(C1548)=10,MID(C1548,5,1)="-",MID(C1548,8,1)="-"),VALUE(MID(C1548,6,2)),IF(AND(LEN(C1548)=11,MID(C1548,3,1)="-",MID(C1548,7,1)="-"),MATCH(UPPER(MID(C1548,4,3)),Guide!$D$7:$D$18,0),0)),0)</f>
        <v>3</v>
      </c>
      <c r="F1548" s="1">
        <f t="shared" si="193"/>
        <v>22</v>
      </c>
      <c r="G1548" s="9">
        <f t="shared" si="194"/>
        <v>46103</v>
      </c>
      <c r="H1548" s="1" t="str">
        <f>IF(Raw!D1548="","",Raw!D1548)</f>
        <v>P-O</v>
      </c>
      <c r="I1548" s="1" t="str">
        <f>IFERROR(IF(EXACT(H1548,INDEX(Guide!$A$7:$A$9,MATCH(SUBSTITUTE(SUBSTITUTE(SUBSTITUTE(H1548,"~","~~"),"*","~*"),"?","~?"),Guide!$A$7:$A$9,0))),INDEX(Guide!$B$7:$B$9,MATCH(SUBSTITUTE(SUBSTITUTE(SUBSTITUTE(H1548,"~","~~"),"*","~*"),"?","~?"),Guide!$A$7:$A$9,0)),""),"")</f>
        <v>Office</v>
      </c>
      <c r="J1548" s="1" t="str">
        <f>IF(TRIM(Raw!E1548)="",I1548,IF(UPPER(TRIM(Raw!E1548))=UPPER(I1548),I1548,""))</f>
        <v>Office</v>
      </c>
      <c r="K1548" s="1" t="str">
        <f>IF(Raw!F1548="","",Raw!F1548)</f>
        <v>refund</v>
      </c>
      <c r="L1548" s="1" t="str">
        <f>IF(LEFT(TRIM(Raw!G1548),2)="-$","-"&amp;MID(TRIM(Raw!G1548),3,99),IF(LEFT(TRIM(Raw!G1548),1)="$",MID(TRIM(Raw!G1548),2,99),TRIM(Raw!G1548)))</f>
        <v>-285.48</v>
      </c>
      <c r="M1548" s="1">
        <f t="shared" si="195"/>
        <v>-285.48</v>
      </c>
      <c r="N1548" s="10">
        <f t="shared" si="196"/>
        <v>-28548</v>
      </c>
      <c r="O1548" s="1" t="b">
        <f>IFERROR(IF(ISNUMBER(Raw!G1548),TRUE,OR(EXACT(L1548,TEXT(M1548,"0.00")),EXACT(L1548,TEXT(M1548,"#,##0.00")))),FALSE)</f>
        <v>1</v>
      </c>
      <c r="P1548" s="1" t="str">
        <f>LEN(IF(Raw!A1548="","",Raw!A1548))&amp;":"&amp;IF(Raw!A1548="","",Raw!A1548)&amp;"|"&amp;LEN(IF(Raw!B1548="","",Raw!B1548))&amp;":"&amp;IF(Raw!B1548="","",Raw!B1548)&amp;"|"&amp;LEN(IF(Raw!C1548="","",Raw!C1548))&amp;":"&amp;IF(Raw!C1548="","",Raw!C1548)&amp;"|"&amp;LEN(IF(Raw!D1548="","",Raw!D1548))&amp;":"&amp;IF(Raw!D1548="","",Raw!D1548)&amp;"|"&amp;LEN(IF(Raw!E1548="","",Raw!E1548))&amp;":"&amp;IF(Raw!E1548="","",Raw!E1548)&amp;"|"&amp;LEN(IF(Raw!F1548="","",Raw!F1548))&amp;":"&amp;IF(Raw!F1548="","",Raw!F1548)&amp;"|"&amp;LEN(IF(Raw!G1548="","",Raw!G1548))&amp;":"&amp;IF(Raw!G1548="","",Raw!G1548)</f>
        <v>6:L01542|6:T00771|10:2026-03-22|3:P-O|6:Office|6:refund|7:-285.48</v>
      </c>
      <c r="Q1548" s="1">
        <f>1</f>
        <v>1</v>
      </c>
      <c r="R1548" s="1" t="b">
        <f>FALSE</f>
        <v>0</v>
      </c>
      <c r="S1548" s="1">
        <f>1</f>
        <v>1</v>
      </c>
      <c r="T1548" s="1" t="str">
        <f>IF(AND(Raw!A1548="",Raw!B1548="",Raw!C1548="",Raw!D1548="",Raw!E1548="",Raw!F1548="",Raw!G1548=""),"UNUSED",IF(A1548="","missing line ID",IF(B1548="","missing transaction ID",IF(G1548="",IF(C1548="","missing date","invalid date"),IF(I1548="","unknown product",IF(J1548="","conflicting category",IF(NOT(OR(EXACT(K1548,"sale"),EXACT(K1548,"refund"))),"unknown event",IF(OR(N1548="",NOT(O1548)),"invalid amount",IF(OR(AND(K1548="sale",N1548&lt;=0),AND(K1548="refund",N1548&gt;=0)),"invalid sign","")))))))))</f>
        <v/>
      </c>
      <c r="U1548" s="1" t="str">
        <f t="shared" si="197"/>
        <v>INCLUDED</v>
      </c>
      <c r="V1548" s="1" t="str">
        <f t="shared" si="198"/>
        <v>2026-03</v>
      </c>
      <c r="W1548" s="1">
        <f>IF(AND(U1548="INCLUDED",X1548&gt;0,EXACT(A1548,'AI output'!A1548)),1,0)</f>
        <v>1</v>
      </c>
      <c r="X1548" s="1">
        <f>1548</f>
        <v>1548</v>
      </c>
      <c r="Y1548" s="1">
        <f>IF(AND(U1548="INCLUDED",W1548=1),--(NOT(EXACT(A1548,'AI output'!A1548)))+--(NOT(EXACT(B1548,'AI output'!B1548)))+--(NOT(EXACT(TEXT(G1548,"yyyy-mm-dd"),'AI output'!C1548)))+--(NOT(EXACT(H1548,'AI output'!D1548)))+--(NOT(EXACT(J1548,'AI output'!E1548)))+--(NOT(EXACT(K1548,'AI output'!F1548)))+--(N1548&lt;&gt;'AI output'!L1548)+--(NOT('AI output'!M1548)),0)</f>
        <v>0</v>
      </c>
      <c r="Z1548" s="1">
        <f t="shared" si="199"/>
        <v>0</v>
      </c>
      <c r="AA1548" s="1">
        <f>--EXACT(A1548,"L01542")</f>
        <v>1</v>
      </c>
    </row>
    <row r="1549" spans="1:27" ht="18.95" customHeight="1">
      <c r="A1549" s="1" t="str">
        <f>IF(Raw!A1549="","",Raw!A1549)</f>
        <v>L01543</v>
      </c>
      <c r="B1549" s="1" t="str">
        <f>IF(Raw!B1549="","",Raw!B1549)</f>
        <v>T00772</v>
      </c>
      <c r="C1549" s="1" t="str">
        <f>IF(Raw!C1549="","",Raw!C1549)</f>
        <v>2026-03-29</v>
      </c>
      <c r="D1549" s="1">
        <f t="shared" si="192"/>
        <v>2026</v>
      </c>
      <c r="E1549" s="1">
        <f>IFERROR(IF(AND(LEN(C1549)=10,MID(C1549,5,1)="-",MID(C1549,8,1)="-"),VALUE(MID(C1549,6,2)),IF(AND(LEN(C1549)=11,MID(C1549,3,1)="-",MID(C1549,7,1)="-"),MATCH(UPPER(MID(C1549,4,3)),Guide!$D$7:$D$18,0),0)),0)</f>
        <v>3</v>
      </c>
      <c r="F1549" s="1">
        <f t="shared" si="193"/>
        <v>29</v>
      </c>
      <c r="G1549" s="9">
        <f t="shared" si="194"/>
        <v>46110</v>
      </c>
      <c r="H1549" s="1" t="str">
        <f>IF(Raw!D1549="","",Raw!D1549)</f>
        <v>P-A</v>
      </c>
      <c r="I1549" s="1" t="str">
        <f>IFERROR(IF(EXACT(H1549,INDEX(Guide!$A$7:$A$9,MATCH(SUBSTITUTE(SUBSTITUTE(SUBSTITUTE(H1549,"~","~~"),"*","~*"),"?","~?"),Guide!$A$7:$A$9,0))),INDEX(Guide!$B$7:$B$9,MATCH(SUBSTITUTE(SUBSTITUTE(SUBSTITUTE(H1549,"~","~~"),"*","~*"),"?","~?"),Guide!$A$7:$A$9,0)),""),"")</f>
        <v>Accessories</v>
      </c>
      <c r="J1549" s="1" t="str">
        <f>IF(TRIM(Raw!E1549)="",I1549,IF(UPPER(TRIM(Raw!E1549))=UPPER(I1549),I1549,""))</f>
        <v>Accessories</v>
      </c>
      <c r="K1549" s="1" t="str">
        <f>IF(Raw!F1549="","",Raw!F1549)</f>
        <v>sale</v>
      </c>
      <c r="L1549" s="1" t="str">
        <f>IF(LEFT(TRIM(Raw!G1549),2)="-$","-"&amp;MID(TRIM(Raw!G1549),3,99),IF(LEFT(TRIM(Raw!G1549),1)="$",MID(TRIM(Raw!G1549),2,99),TRIM(Raw!G1549)))</f>
        <v>477.65</v>
      </c>
      <c r="M1549" s="1">
        <f t="shared" si="195"/>
        <v>477.65</v>
      </c>
      <c r="N1549" s="10">
        <f t="shared" si="196"/>
        <v>47765</v>
      </c>
      <c r="O1549" s="1" t="b">
        <f>IFERROR(IF(ISNUMBER(Raw!G1549),TRUE,OR(EXACT(L1549,TEXT(M1549,"0.00")),EXACT(L1549,TEXT(M1549,"#,##0.00")))),FALSE)</f>
        <v>1</v>
      </c>
      <c r="P1549" s="1" t="str">
        <f>LEN(IF(Raw!A1549="","",Raw!A1549))&amp;":"&amp;IF(Raw!A1549="","",Raw!A1549)&amp;"|"&amp;LEN(IF(Raw!B1549="","",Raw!B1549))&amp;":"&amp;IF(Raw!B1549="","",Raw!B1549)&amp;"|"&amp;LEN(IF(Raw!C1549="","",Raw!C1549))&amp;":"&amp;IF(Raw!C1549="","",Raw!C1549)&amp;"|"&amp;LEN(IF(Raw!D1549="","",Raw!D1549))&amp;":"&amp;IF(Raw!D1549="","",Raw!D1549)&amp;"|"&amp;LEN(IF(Raw!E1549="","",Raw!E1549))&amp;":"&amp;IF(Raw!E1549="","",Raw!E1549)&amp;"|"&amp;LEN(IF(Raw!F1549="","",Raw!F1549))&amp;":"&amp;IF(Raw!F1549="","",Raw!F1549)&amp;"|"&amp;LEN(IF(Raw!G1549="","",Raw!G1549))&amp;":"&amp;IF(Raw!G1549="","",Raw!G1549)</f>
        <v>6:L01543|6:T00772|10:2026-03-29|3:P-A|11:Accessories|4:sale|6:477.65</v>
      </c>
      <c r="Q1549" s="1">
        <f>1</f>
        <v>1</v>
      </c>
      <c r="R1549" s="1" t="b">
        <f>FALSE</f>
        <v>0</v>
      </c>
      <c r="S1549" s="1">
        <f>1</f>
        <v>1</v>
      </c>
      <c r="T1549" s="1" t="str">
        <f>IF(AND(Raw!A1549="",Raw!B1549="",Raw!C1549="",Raw!D1549="",Raw!E1549="",Raw!F1549="",Raw!G1549=""),"UNUSED",IF(A1549="","missing line ID",IF(B1549="","missing transaction ID",IF(G1549="",IF(C1549="","missing date","invalid date"),IF(I1549="","unknown product",IF(J1549="","conflicting category",IF(NOT(OR(EXACT(K1549,"sale"),EXACT(K1549,"refund"))),"unknown event",IF(OR(N1549="",NOT(O1549)),"invalid amount",IF(OR(AND(K1549="sale",N1549&lt;=0),AND(K1549="refund",N1549&gt;=0)),"invalid sign","")))))))))</f>
        <v/>
      </c>
      <c r="U1549" s="1" t="str">
        <f t="shared" si="197"/>
        <v>INCLUDED</v>
      </c>
      <c r="V1549" s="1" t="str">
        <f t="shared" si="198"/>
        <v>2026-03</v>
      </c>
      <c r="W1549" s="1">
        <f>IF(AND(U1549="INCLUDED",X1549&gt;0,EXACT(A1549,'AI output'!A1549)),1,0)</f>
        <v>1</v>
      </c>
      <c r="X1549" s="1">
        <f>1549</f>
        <v>1549</v>
      </c>
      <c r="Y1549" s="1">
        <f>IF(AND(U1549="INCLUDED",W1549=1),--(NOT(EXACT(A1549,'AI output'!A1549)))+--(NOT(EXACT(B1549,'AI output'!B1549)))+--(NOT(EXACT(TEXT(G1549,"yyyy-mm-dd"),'AI output'!C1549)))+--(NOT(EXACT(H1549,'AI output'!D1549)))+--(NOT(EXACT(J1549,'AI output'!E1549)))+--(NOT(EXACT(K1549,'AI output'!F1549)))+--(N1549&lt;&gt;'AI output'!L1549)+--(NOT('AI output'!M1549)),0)</f>
        <v>0</v>
      </c>
      <c r="Z1549" s="1">
        <f t="shared" si="199"/>
        <v>0</v>
      </c>
      <c r="AA1549" s="1">
        <f>--EXACT(A1549,"L01543")</f>
        <v>1</v>
      </c>
    </row>
    <row r="1550" spans="1:27" ht="18.95" customHeight="1">
      <c r="A1550" s="1" t="str">
        <f>IF(Raw!A1550="","",Raw!A1550)</f>
        <v>L01544</v>
      </c>
      <c r="B1550" s="1" t="str">
        <f>IF(Raw!B1550="","",Raw!B1550)</f>
        <v>T00772</v>
      </c>
      <c r="C1550" s="1" t="str">
        <f>IF(Raw!C1550="","",Raw!C1550)</f>
        <v>2026-03-29</v>
      </c>
      <c r="D1550" s="1">
        <f t="shared" si="192"/>
        <v>2026</v>
      </c>
      <c r="E1550" s="1">
        <f>IFERROR(IF(AND(LEN(C1550)=10,MID(C1550,5,1)="-",MID(C1550,8,1)="-"),VALUE(MID(C1550,6,2)),IF(AND(LEN(C1550)=11,MID(C1550,3,1)="-",MID(C1550,7,1)="-"),MATCH(UPPER(MID(C1550,4,3)),Guide!$D$7:$D$18,0),0)),0)</f>
        <v>3</v>
      </c>
      <c r="F1550" s="1">
        <f t="shared" si="193"/>
        <v>29</v>
      </c>
      <c r="G1550" s="9">
        <f t="shared" si="194"/>
        <v>46110</v>
      </c>
      <c r="H1550" s="1" t="str">
        <f>IF(Raw!D1550="","",Raw!D1550)</f>
        <v>P-H</v>
      </c>
      <c r="I1550" s="1" t="str">
        <f>IFERROR(IF(EXACT(H1550,INDEX(Guide!$A$7:$A$9,MATCH(SUBSTITUTE(SUBSTITUTE(SUBSTITUTE(H1550,"~","~~"),"*","~*"),"?","~?"),Guide!$A$7:$A$9,0))),INDEX(Guide!$B$7:$B$9,MATCH(SUBSTITUTE(SUBSTITUTE(SUBSTITUTE(H1550,"~","~~"),"*","~*"),"?","~?"),Guide!$A$7:$A$9,0)),""),"")</f>
        <v>Home</v>
      </c>
      <c r="J1550" s="1" t="str">
        <f>IF(TRIM(Raw!E1550)="",I1550,IF(UPPER(TRIM(Raw!E1550))=UPPER(I1550),I1550,""))</f>
        <v>Home</v>
      </c>
      <c r="K1550" s="1" t="str">
        <f>IF(Raw!F1550="","",Raw!F1550)</f>
        <v>sale</v>
      </c>
      <c r="L1550" s="1" t="str">
        <f>IF(LEFT(TRIM(Raw!G1550),2)="-$","-"&amp;MID(TRIM(Raw!G1550),3,99),IF(LEFT(TRIM(Raw!G1550),1)="$",MID(TRIM(Raw!G1550),2,99),TRIM(Raw!G1550)))</f>
        <v>191.80</v>
      </c>
      <c r="M1550" s="1">
        <f t="shared" si="195"/>
        <v>191.8</v>
      </c>
      <c r="N1550" s="10">
        <f t="shared" si="196"/>
        <v>19180</v>
      </c>
      <c r="O1550" s="1" t="b">
        <f>IFERROR(IF(ISNUMBER(Raw!G1550),TRUE,OR(EXACT(L1550,TEXT(M1550,"0.00")),EXACT(L1550,TEXT(M1550,"#,##0.00")))),FALSE)</f>
        <v>1</v>
      </c>
      <c r="P1550" s="1" t="str">
        <f>LEN(IF(Raw!A1550="","",Raw!A1550))&amp;":"&amp;IF(Raw!A1550="","",Raw!A1550)&amp;"|"&amp;LEN(IF(Raw!B1550="","",Raw!B1550))&amp;":"&amp;IF(Raw!B1550="","",Raw!B1550)&amp;"|"&amp;LEN(IF(Raw!C1550="","",Raw!C1550))&amp;":"&amp;IF(Raw!C1550="","",Raw!C1550)&amp;"|"&amp;LEN(IF(Raw!D1550="","",Raw!D1550))&amp;":"&amp;IF(Raw!D1550="","",Raw!D1550)&amp;"|"&amp;LEN(IF(Raw!E1550="","",Raw!E1550))&amp;":"&amp;IF(Raw!E1550="","",Raw!E1550)&amp;"|"&amp;LEN(IF(Raw!F1550="","",Raw!F1550))&amp;":"&amp;IF(Raw!F1550="","",Raw!F1550)&amp;"|"&amp;LEN(IF(Raw!G1550="","",Raw!G1550))&amp;":"&amp;IF(Raw!G1550="","",Raw!G1550)</f>
        <v>6:L01544|6:T00772|10:2026-03-29|3:P-H|4:Home|4:sale|6:191.80</v>
      </c>
      <c r="Q1550" s="1">
        <f>1</f>
        <v>1</v>
      </c>
      <c r="R1550" s="1" t="b">
        <f>FALSE</f>
        <v>0</v>
      </c>
      <c r="S1550" s="1">
        <f>1</f>
        <v>1</v>
      </c>
      <c r="T1550" s="1" t="str">
        <f>IF(AND(Raw!A1550="",Raw!B1550="",Raw!C1550="",Raw!D1550="",Raw!E1550="",Raw!F1550="",Raw!G1550=""),"UNUSED",IF(A1550="","missing line ID",IF(B1550="","missing transaction ID",IF(G1550="",IF(C1550="","missing date","invalid date"),IF(I1550="","unknown product",IF(J1550="","conflicting category",IF(NOT(OR(EXACT(K1550,"sale"),EXACT(K1550,"refund"))),"unknown event",IF(OR(N1550="",NOT(O1550)),"invalid amount",IF(OR(AND(K1550="sale",N1550&lt;=0),AND(K1550="refund",N1550&gt;=0)),"invalid sign","")))))))))</f>
        <v/>
      </c>
      <c r="U1550" s="1" t="str">
        <f t="shared" si="197"/>
        <v>INCLUDED</v>
      </c>
      <c r="V1550" s="1" t="str">
        <f t="shared" si="198"/>
        <v>2026-03</v>
      </c>
      <c r="W1550" s="1">
        <f>IF(AND(U1550="INCLUDED",X1550&gt;0,EXACT(A1550,'AI output'!A1550)),1,0)</f>
        <v>1</v>
      </c>
      <c r="X1550" s="1">
        <f>1550</f>
        <v>1550</v>
      </c>
      <c r="Y1550" s="1">
        <f>IF(AND(U1550="INCLUDED",W1550=1),--(NOT(EXACT(A1550,'AI output'!A1550)))+--(NOT(EXACT(B1550,'AI output'!B1550)))+--(NOT(EXACT(TEXT(G1550,"yyyy-mm-dd"),'AI output'!C1550)))+--(NOT(EXACT(H1550,'AI output'!D1550)))+--(NOT(EXACT(J1550,'AI output'!E1550)))+--(NOT(EXACT(K1550,'AI output'!F1550)))+--(N1550&lt;&gt;'AI output'!L1550)+--(NOT('AI output'!M1550)),0)</f>
        <v>0</v>
      </c>
      <c r="Z1550" s="1">
        <f t="shared" si="199"/>
        <v>0</v>
      </c>
      <c r="AA1550" s="1">
        <f>--EXACT(A1550,"L01544")</f>
        <v>1</v>
      </c>
    </row>
    <row r="1551" spans="1:27" ht="18.95" customHeight="1">
      <c r="A1551" s="1" t="str">
        <f>IF(Raw!A1551="","",Raw!A1551)</f>
        <v>L01545</v>
      </c>
      <c r="B1551" s="1" t="str">
        <f>IF(Raw!B1551="","",Raw!B1551)</f>
        <v>T00773</v>
      </c>
      <c r="C1551" s="1" t="str">
        <f>IF(Raw!C1551="","",Raw!C1551)</f>
        <v>2026-01-05</v>
      </c>
      <c r="D1551" s="1">
        <f t="shared" si="192"/>
        <v>2026</v>
      </c>
      <c r="E1551" s="1">
        <f>IFERROR(IF(AND(LEN(C1551)=10,MID(C1551,5,1)="-",MID(C1551,8,1)="-"),VALUE(MID(C1551,6,2)),IF(AND(LEN(C1551)=11,MID(C1551,3,1)="-",MID(C1551,7,1)="-"),MATCH(UPPER(MID(C1551,4,3)),Guide!$D$7:$D$18,0),0)),0)</f>
        <v>1</v>
      </c>
      <c r="F1551" s="1">
        <f t="shared" si="193"/>
        <v>5</v>
      </c>
      <c r="G1551" s="9">
        <f t="shared" si="194"/>
        <v>46027</v>
      </c>
      <c r="H1551" s="1" t="str">
        <f>IF(Raw!D1551="","",Raw!D1551)</f>
        <v>P-O</v>
      </c>
      <c r="I1551" s="1" t="str">
        <f>IFERROR(IF(EXACT(H1551,INDEX(Guide!$A$7:$A$9,MATCH(SUBSTITUTE(SUBSTITUTE(SUBSTITUTE(H1551,"~","~~"),"*","~*"),"?","~?"),Guide!$A$7:$A$9,0))),INDEX(Guide!$B$7:$B$9,MATCH(SUBSTITUTE(SUBSTITUTE(SUBSTITUTE(H1551,"~","~~"),"*","~*"),"?","~?"),Guide!$A$7:$A$9,0)),""),"")</f>
        <v>Office</v>
      </c>
      <c r="J1551" s="1" t="str">
        <f>IF(TRIM(Raw!E1551)="",I1551,IF(UPPER(TRIM(Raw!E1551))=UPPER(I1551),I1551,""))</f>
        <v>Office</v>
      </c>
      <c r="K1551" s="1" t="str">
        <f>IF(Raw!F1551="","",Raw!F1551)</f>
        <v>sale</v>
      </c>
      <c r="L1551" s="1" t="str">
        <f>IF(LEFT(TRIM(Raw!G1551),2)="-$","-"&amp;MID(TRIM(Raw!G1551),3,99),IF(LEFT(TRIM(Raw!G1551),1)="$",MID(TRIM(Raw!G1551),2,99),TRIM(Raw!G1551)))</f>
        <v>385.08</v>
      </c>
      <c r="M1551" s="1">
        <f t="shared" si="195"/>
        <v>385.08</v>
      </c>
      <c r="N1551" s="10">
        <f t="shared" si="196"/>
        <v>38508</v>
      </c>
      <c r="O1551" s="1" t="b">
        <f>IFERROR(IF(ISNUMBER(Raw!G1551),TRUE,OR(EXACT(L1551,TEXT(M1551,"0.00")),EXACT(L1551,TEXT(M1551,"#,##0.00")))),FALSE)</f>
        <v>1</v>
      </c>
      <c r="P1551" s="1" t="str">
        <f>LEN(IF(Raw!A1551="","",Raw!A1551))&amp;":"&amp;IF(Raw!A1551="","",Raw!A1551)&amp;"|"&amp;LEN(IF(Raw!B1551="","",Raw!B1551))&amp;":"&amp;IF(Raw!B1551="","",Raw!B1551)&amp;"|"&amp;LEN(IF(Raw!C1551="","",Raw!C1551))&amp;":"&amp;IF(Raw!C1551="","",Raw!C1551)&amp;"|"&amp;LEN(IF(Raw!D1551="","",Raw!D1551))&amp;":"&amp;IF(Raw!D1551="","",Raw!D1551)&amp;"|"&amp;LEN(IF(Raw!E1551="","",Raw!E1551))&amp;":"&amp;IF(Raw!E1551="","",Raw!E1551)&amp;"|"&amp;LEN(IF(Raw!F1551="","",Raw!F1551))&amp;":"&amp;IF(Raw!F1551="","",Raw!F1551)&amp;"|"&amp;LEN(IF(Raw!G1551="","",Raw!G1551))&amp;":"&amp;IF(Raw!G1551="","",Raw!G1551)</f>
        <v>6:L01545|6:T00773|10:2026-01-05|3:P-O|6:Office|4:sale|6:385.08</v>
      </c>
      <c r="Q1551" s="1">
        <f>1</f>
        <v>1</v>
      </c>
      <c r="R1551" s="1" t="b">
        <f>FALSE</f>
        <v>0</v>
      </c>
      <c r="S1551" s="1">
        <f>1</f>
        <v>1</v>
      </c>
      <c r="T1551" s="1" t="str">
        <f>IF(AND(Raw!A1551="",Raw!B1551="",Raw!C1551="",Raw!D1551="",Raw!E1551="",Raw!F1551="",Raw!G1551=""),"UNUSED",IF(A1551="","missing line ID",IF(B1551="","missing transaction ID",IF(G1551="",IF(C1551="","missing date","invalid date"),IF(I1551="","unknown product",IF(J1551="","conflicting category",IF(NOT(OR(EXACT(K1551,"sale"),EXACT(K1551,"refund"))),"unknown event",IF(OR(N1551="",NOT(O1551)),"invalid amount",IF(OR(AND(K1551="sale",N1551&lt;=0),AND(K1551="refund",N1551&gt;=0)),"invalid sign","")))))))))</f>
        <v/>
      </c>
      <c r="U1551" s="1" t="str">
        <f t="shared" si="197"/>
        <v>INCLUDED</v>
      </c>
      <c r="V1551" s="1" t="str">
        <f t="shared" si="198"/>
        <v>2026-01</v>
      </c>
      <c r="W1551" s="1">
        <f>IF(AND(U1551="INCLUDED",X1551&gt;0,EXACT(A1551,'AI output'!A1551)),1,0)</f>
        <v>1</v>
      </c>
      <c r="X1551" s="1">
        <f>1551</f>
        <v>1551</v>
      </c>
      <c r="Y1551" s="1">
        <f>IF(AND(U1551="INCLUDED",W1551=1),--(NOT(EXACT(A1551,'AI output'!A1551)))+--(NOT(EXACT(B1551,'AI output'!B1551)))+--(NOT(EXACT(TEXT(G1551,"yyyy-mm-dd"),'AI output'!C1551)))+--(NOT(EXACT(H1551,'AI output'!D1551)))+--(NOT(EXACT(J1551,'AI output'!E1551)))+--(NOT(EXACT(K1551,'AI output'!F1551)))+--(N1551&lt;&gt;'AI output'!L1551)+--(NOT('AI output'!M1551)),0)</f>
        <v>0</v>
      </c>
      <c r="Z1551" s="1">
        <f t="shared" si="199"/>
        <v>0</v>
      </c>
      <c r="AA1551" s="1">
        <f>--EXACT(A1551,"L01545")</f>
        <v>1</v>
      </c>
    </row>
    <row r="1552" spans="1:27" ht="18.95" customHeight="1">
      <c r="A1552" s="1" t="str">
        <f>IF(Raw!A1552="","",Raw!A1552)</f>
        <v>L01546</v>
      </c>
      <c r="B1552" s="1" t="str">
        <f>IF(Raw!B1552="","",Raw!B1552)</f>
        <v>T00773</v>
      </c>
      <c r="C1552" s="1" t="str">
        <f>IF(Raw!C1552="","",Raw!C1552)</f>
        <v>2026-01-05</v>
      </c>
      <c r="D1552" s="1">
        <f t="shared" si="192"/>
        <v>2026</v>
      </c>
      <c r="E1552" s="1">
        <f>IFERROR(IF(AND(LEN(C1552)=10,MID(C1552,5,1)="-",MID(C1552,8,1)="-"),VALUE(MID(C1552,6,2)),IF(AND(LEN(C1552)=11,MID(C1552,3,1)="-",MID(C1552,7,1)="-"),MATCH(UPPER(MID(C1552,4,3)),Guide!$D$7:$D$18,0),0)),0)</f>
        <v>1</v>
      </c>
      <c r="F1552" s="1">
        <f t="shared" si="193"/>
        <v>5</v>
      </c>
      <c r="G1552" s="9">
        <f t="shared" si="194"/>
        <v>46027</v>
      </c>
      <c r="H1552" s="1" t="str">
        <f>IF(Raw!D1552="","",Raw!D1552)</f>
        <v>P-A</v>
      </c>
      <c r="I1552" s="1" t="str">
        <f>IFERROR(IF(EXACT(H1552,INDEX(Guide!$A$7:$A$9,MATCH(SUBSTITUTE(SUBSTITUTE(SUBSTITUTE(H1552,"~","~~"),"*","~*"),"?","~?"),Guide!$A$7:$A$9,0))),INDEX(Guide!$B$7:$B$9,MATCH(SUBSTITUTE(SUBSTITUTE(SUBSTITUTE(H1552,"~","~~"),"*","~*"),"?","~?"),Guide!$A$7:$A$9,0)),""),"")</f>
        <v>Accessories</v>
      </c>
      <c r="J1552" s="1" t="str">
        <f>IF(TRIM(Raw!E1552)="",I1552,IF(UPPER(TRIM(Raw!E1552))=UPPER(I1552),I1552,""))</f>
        <v>Accessories</v>
      </c>
      <c r="K1552" s="1" t="str">
        <f>IF(Raw!F1552="","",Raw!F1552)</f>
        <v>sale</v>
      </c>
      <c r="L1552" s="1" t="str">
        <f>IF(LEFT(TRIM(Raw!G1552),2)="-$","-"&amp;MID(TRIM(Raw!G1552),3,99),IF(LEFT(TRIM(Raw!G1552),1)="$",MID(TRIM(Raw!G1552),2,99),TRIM(Raw!G1552)))</f>
        <v>96.64</v>
      </c>
      <c r="M1552" s="1">
        <f t="shared" si="195"/>
        <v>96.64</v>
      </c>
      <c r="N1552" s="10">
        <f t="shared" si="196"/>
        <v>9664</v>
      </c>
      <c r="O1552" s="1" t="b">
        <f>IFERROR(IF(ISNUMBER(Raw!G1552),TRUE,OR(EXACT(L1552,TEXT(M1552,"0.00")),EXACT(L1552,TEXT(M1552,"#,##0.00")))),FALSE)</f>
        <v>1</v>
      </c>
      <c r="P1552" s="1" t="str">
        <f>LEN(IF(Raw!A1552="","",Raw!A1552))&amp;":"&amp;IF(Raw!A1552="","",Raw!A1552)&amp;"|"&amp;LEN(IF(Raw!B1552="","",Raw!B1552))&amp;":"&amp;IF(Raw!B1552="","",Raw!B1552)&amp;"|"&amp;LEN(IF(Raw!C1552="","",Raw!C1552))&amp;":"&amp;IF(Raw!C1552="","",Raw!C1552)&amp;"|"&amp;LEN(IF(Raw!D1552="","",Raw!D1552))&amp;":"&amp;IF(Raw!D1552="","",Raw!D1552)&amp;"|"&amp;LEN(IF(Raw!E1552="","",Raw!E1552))&amp;":"&amp;IF(Raw!E1552="","",Raw!E1552)&amp;"|"&amp;LEN(IF(Raw!F1552="","",Raw!F1552))&amp;":"&amp;IF(Raw!F1552="","",Raw!F1552)&amp;"|"&amp;LEN(IF(Raw!G1552="","",Raw!G1552))&amp;":"&amp;IF(Raw!G1552="","",Raw!G1552)</f>
        <v>6:L01546|6:T00773|10:2026-01-05|3:P-A|11:Accessories|4:sale|5:96.64</v>
      </c>
      <c r="Q1552" s="1">
        <f>1</f>
        <v>1</v>
      </c>
      <c r="R1552" s="1" t="b">
        <f>FALSE</f>
        <v>0</v>
      </c>
      <c r="S1552" s="1">
        <f>1</f>
        <v>1</v>
      </c>
      <c r="T1552" s="1" t="str">
        <f>IF(AND(Raw!A1552="",Raw!B1552="",Raw!C1552="",Raw!D1552="",Raw!E1552="",Raw!F1552="",Raw!G1552=""),"UNUSED",IF(A1552="","missing line ID",IF(B1552="","missing transaction ID",IF(G1552="",IF(C1552="","missing date","invalid date"),IF(I1552="","unknown product",IF(J1552="","conflicting category",IF(NOT(OR(EXACT(K1552,"sale"),EXACT(K1552,"refund"))),"unknown event",IF(OR(N1552="",NOT(O1552)),"invalid amount",IF(OR(AND(K1552="sale",N1552&lt;=0),AND(K1552="refund",N1552&gt;=0)),"invalid sign","")))))))))</f>
        <v/>
      </c>
      <c r="U1552" s="1" t="str">
        <f t="shared" si="197"/>
        <v>INCLUDED</v>
      </c>
      <c r="V1552" s="1" t="str">
        <f t="shared" si="198"/>
        <v>2026-01</v>
      </c>
      <c r="W1552" s="1">
        <f>IF(AND(U1552="INCLUDED",X1552&gt;0,EXACT(A1552,'AI output'!A1552)),1,0)</f>
        <v>1</v>
      </c>
      <c r="X1552" s="1">
        <f>1552</f>
        <v>1552</v>
      </c>
      <c r="Y1552" s="1">
        <f>IF(AND(U1552="INCLUDED",W1552=1),--(NOT(EXACT(A1552,'AI output'!A1552)))+--(NOT(EXACT(B1552,'AI output'!B1552)))+--(NOT(EXACT(TEXT(G1552,"yyyy-mm-dd"),'AI output'!C1552)))+--(NOT(EXACT(H1552,'AI output'!D1552)))+--(NOT(EXACT(J1552,'AI output'!E1552)))+--(NOT(EXACT(K1552,'AI output'!F1552)))+--(N1552&lt;&gt;'AI output'!L1552)+--(NOT('AI output'!M1552)),0)</f>
        <v>0</v>
      </c>
      <c r="Z1552" s="1">
        <f t="shared" si="199"/>
        <v>0</v>
      </c>
      <c r="AA1552" s="1">
        <f>--EXACT(A1552,"L01546")</f>
        <v>1</v>
      </c>
    </row>
    <row r="1553" spans="1:27" ht="18.95" customHeight="1">
      <c r="A1553" s="1" t="str">
        <f>IF(Raw!A1553="","",Raw!A1553)</f>
        <v>L01547</v>
      </c>
      <c r="B1553" s="1" t="str">
        <f>IF(Raw!B1553="","",Raw!B1553)</f>
        <v>T00774</v>
      </c>
      <c r="C1553" s="1" t="str">
        <f>IF(Raw!C1553="","",Raw!C1553)</f>
        <v>2026-01-12</v>
      </c>
      <c r="D1553" s="1">
        <f t="shared" si="192"/>
        <v>2026</v>
      </c>
      <c r="E1553" s="1">
        <f>IFERROR(IF(AND(LEN(C1553)=10,MID(C1553,5,1)="-",MID(C1553,8,1)="-"),VALUE(MID(C1553,6,2)),IF(AND(LEN(C1553)=11,MID(C1553,3,1)="-",MID(C1553,7,1)="-"),MATCH(UPPER(MID(C1553,4,3)),Guide!$D$7:$D$18,0),0)),0)</f>
        <v>1</v>
      </c>
      <c r="F1553" s="1">
        <f t="shared" si="193"/>
        <v>12</v>
      </c>
      <c r="G1553" s="9">
        <f t="shared" si="194"/>
        <v>46034</v>
      </c>
      <c r="H1553" s="1" t="str">
        <f>IF(Raw!D1553="","",Raw!D1553)</f>
        <v>P-H</v>
      </c>
      <c r="I1553" s="1" t="str">
        <f>IFERROR(IF(EXACT(H1553,INDEX(Guide!$A$7:$A$9,MATCH(SUBSTITUTE(SUBSTITUTE(SUBSTITUTE(H1553,"~","~~"),"*","~*"),"?","~?"),Guide!$A$7:$A$9,0))),INDEX(Guide!$B$7:$B$9,MATCH(SUBSTITUTE(SUBSTITUTE(SUBSTITUTE(H1553,"~","~~"),"*","~*"),"?","~?"),Guide!$A$7:$A$9,0)),""),"")</f>
        <v>Home</v>
      </c>
      <c r="J1553" s="1" t="str">
        <f>IF(TRIM(Raw!E1553)="",I1553,IF(UPPER(TRIM(Raw!E1553))=UPPER(I1553),I1553,""))</f>
        <v>Home</v>
      </c>
      <c r="K1553" s="1" t="str">
        <f>IF(Raw!F1553="","",Raw!F1553)</f>
        <v>sale</v>
      </c>
      <c r="L1553" s="1" t="str">
        <f>IF(LEFT(TRIM(Raw!G1553),2)="-$","-"&amp;MID(TRIM(Raw!G1553),3,99),IF(LEFT(TRIM(Raw!G1553),1)="$",MID(TRIM(Raw!G1553),2,99),TRIM(Raw!G1553)))</f>
        <v>291.03</v>
      </c>
      <c r="M1553" s="1">
        <f t="shared" si="195"/>
        <v>291.02999999999997</v>
      </c>
      <c r="N1553" s="10">
        <f t="shared" si="196"/>
        <v>29103</v>
      </c>
      <c r="O1553" s="1" t="b">
        <f>IFERROR(IF(ISNUMBER(Raw!G1553),TRUE,OR(EXACT(L1553,TEXT(M1553,"0.00")),EXACT(L1553,TEXT(M1553,"#,##0.00")))),FALSE)</f>
        <v>1</v>
      </c>
      <c r="P1553" s="1" t="str">
        <f>LEN(IF(Raw!A1553="","",Raw!A1553))&amp;":"&amp;IF(Raw!A1553="","",Raw!A1553)&amp;"|"&amp;LEN(IF(Raw!B1553="","",Raw!B1553))&amp;":"&amp;IF(Raw!B1553="","",Raw!B1553)&amp;"|"&amp;LEN(IF(Raw!C1553="","",Raw!C1553))&amp;":"&amp;IF(Raw!C1553="","",Raw!C1553)&amp;"|"&amp;LEN(IF(Raw!D1553="","",Raw!D1553))&amp;":"&amp;IF(Raw!D1553="","",Raw!D1553)&amp;"|"&amp;LEN(IF(Raw!E1553="","",Raw!E1553))&amp;":"&amp;IF(Raw!E1553="","",Raw!E1553)&amp;"|"&amp;LEN(IF(Raw!F1553="","",Raw!F1553))&amp;":"&amp;IF(Raw!F1553="","",Raw!F1553)&amp;"|"&amp;LEN(IF(Raw!G1553="","",Raw!G1553))&amp;":"&amp;IF(Raw!G1553="","",Raw!G1553)</f>
        <v>6:L01547|6:T00774|10:2026-01-12|3:P-H|4:Home|4:sale|6:291.03</v>
      </c>
      <c r="Q1553" s="1">
        <f>1</f>
        <v>1</v>
      </c>
      <c r="R1553" s="1" t="b">
        <f>FALSE</f>
        <v>0</v>
      </c>
      <c r="S1553" s="1">
        <f>1</f>
        <v>1</v>
      </c>
      <c r="T1553" s="1" t="str">
        <f>IF(AND(Raw!A1553="",Raw!B1553="",Raw!C1553="",Raw!D1553="",Raw!E1553="",Raw!F1553="",Raw!G1553=""),"UNUSED",IF(A1553="","missing line ID",IF(B1553="","missing transaction ID",IF(G1553="",IF(C1553="","missing date","invalid date"),IF(I1553="","unknown product",IF(J1553="","conflicting category",IF(NOT(OR(EXACT(K1553,"sale"),EXACT(K1553,"refund"))),"unknown event",IF(OR(N1553="",NOT(O1553)),"invalid amount",IF(OR(AND(K1553="sale",N1553&lt;=0),AND(K1553="refund",N1553&gt;=0)),"invalid sign","")))))))))</f>
        <v/>
      </c>
      <c r="U1553" s="1" t="str">
        <f t="shared" si="197"/>
        <v>INCLUDED</v>
      </c>
      <c r="V1553" s="1" t="str">
        <f t="shared" si="198"/>
        <v>2026-01</v>
      </c>
      <c r="W1553" s="1">
        <f>IF(AND(U1553="INCLUDED",X1553&gt;0,EXACT(A1553,'AI output'!A1553)),1,0)</f>
        <v>1</v>
      </c>
      <c r="X1553" s="1">
        <f>1553</f>
        <v>1553</v>
      </c>
      <c r="Y1553" s="1">
        <f>IF(AND(U1553="INCLUDED",W1553=1),--(NOT(EXACT(A1553,'AI output'!A1553)))+--(NOT(EXACT(B1553,'AI output'!B1553)))+--(NOT(EXACT(TEXT(G1553,"yyyy-mm-dd"),'AI output'!C1553)))+--(NOT(EXACT(H1553,'AI output'!D1553)))+--(NOT(EXACT(J1553,'AI output'!E1553)))+--(NOT(EXACT(K1553,'AI output'!F1553)))+--(N1553&lt;&gt;'AI output'!L1553)+--(NOT('AI output'!M1553)),0)</f>
        <v>0</v>
      </c>
      <c r="Z1553" s="1">
        <f t="shared" si="199"/>
        <v>0</v>
      </c>
      <c r="AA1553" s="1">
        <f>--EXACT(A1553,"L01547")</f>
        <v>1</v>
      </c>
    </row>
    <row r="1554" spans="1:27" ht="18.95" customHeight="1">
      <c r="A1554" s="1" t="str">
        <f>IF(Raw!A1554="","",Raw!A1554)</f>
        <v>L01548</v>
      </c>
      <c r="B1554" s="1" t="str">
        <f>IF(Raw!B1554="","",Raw!B1554)</f>
        <v>T00774</v>
      </c>
      <c r="C1554" s="1" t="str">
        <f>IF(Raw!C1554="","",Raw!C1554)</f>
        <v>2026-01-12</v>
      </c>
      <c r="D1554" s="1">
        <f t="shared" si="192"/>
        <v>2026</v>
      </c>
      <c r="E1554" s="1">
        <f>IFERROR(IF(AND(LEN(C1554)=10,MID(C1554,5,1)="-",MID(C1554,8,1)="-"),VALUE(MID(C1554,6,2)),IF(AND(LEN(C1554)=11,MID(C1554,3,1)="-",MID(C1554,7,1)="-"),MATCH(UPPER(MID(C1554,4,3)),Guide!$D$7:$D$18,0),0)),0)</f>
        <v>1</v>
      </c>
      <c r="F1554" s="1">
        <f t="shared" si="193"/>
        <v>12</v>
      </c>
      <c r="G1554" s="9">
        <f t="shared" si="194"/>
        <v>46034</v>
      </c>
      <c r="H1554" s="1" t="str">
        <f>IF(Raw!D1554="","",Raw!D1554)</f>
        <v>P-O</v>
      </c>
      <c r="I1554" s="1" t="str">
        <f>IFERROR(IF(EXACT(H1554,INDEX(Guide!$A$7:$A$9,MATCH(SUBSTITUTE(SUBSTITUTE(SUBSTITUTE(H1554,"~","~~"),"*","~*"),"?","~?"),Guide!$A$7:$A$9,0))),INDEX(Guide!$B$7:$B$9,MATCH(SUBSTITUTE(SUBSTITUTE(SUBSTITUTE(H1554,"~","~~"),"*","~*"),"?","~?"),Guide!$A$7:$A$9,0)),""),"")</f>
        <v>Office</v>
      </c>
      <c r="J1554" s="1" t="str">
        <f>IF(TRIM(Raw!E1554)="",I1554,IF(UPPER(TRIM(Raw!E1554))=UPPER(I1554),I1554,""))</f>
        <v>Office</v>
      </c>
      <c r="K1554" s="1" t="str">
        <f>IF(Raw!F1554="","",Raw!F1554)</f>
        <v>sale</v>
      </c>
      <c r="L1554" s="1" t="str">
        <f>IF(LEFT(TRIM(Raw!G1554),2)="-$","-"&amp;MID(TRIM(Raw!G1554),3,99),IF(LEFT(TRIM(Raw!G1554),1)="$",MID(TRIM(Raw!G1554),2,99),TRIM(Raw!G1554)))</f>
        <v>486.90</v>
      </c>
      <c r="M1554" s="1">
        <f t="shared" si="195"/>
        <v>486.9</v>
      </c>
      <c r="N1554" s="10">
        <f t="shared" si="196"/>
        <v>48690</v>
      </c>
      <c r="O1554" s="1" t="b">
        <f>IFERROR(IF(ISNUMBER(Raw!G1554),TRUE,OR(EXACT(L1554,TEXT(M1554,"0.00")),EXACT(L1554,TEXT(M1554,"#,##0.00")))),FALSE)</f>
        <v>1</v>
      </c>
      <c r="P1554" s="1" t="str">
        <f>LEN(IF(Raw!A1554="","",Raw!A1554))&amp;":"&amp;IF(Raw!A1554="","",Raw!A1554)&amp;"|"&amp;LEN(IF(Raw!B1554="","",Raw!B1554))&amp;":"&amp;IF(Raw!B1554="","",Raw!B1554)&amp;"|"&amp;LEN(IF(Raw!C1554="","",Raw!C1554))&amp;":"&amp;IF(Raw!C1554="","",Raw!C1554)&amp;"|"&amp;LEN(IF(Raw!D1554="","",Raw!D1554))&amp;":"&amp;IF(Raw!D1554="","",Raw!D1554)&amp;"|"&amp;LEN(IF(Raw!E1554="","",Raw!E1554))&amp;":"&amp;IF(Raw!E1554="","",Raw!E1554)&amp;"|"&amp;LEN(IF(Raw!F1554="","",Raw!F1554))&amp;":"&amp;IF(Raw!F1554="","",Raw!F1554)&amp;"|"&amp;LEN(IF(Raw!G1554="","",Raw!G1554))&amp;":"&amp;IF(Raw!G1554="","",Raw!G1554)</f>
        <v>6:L01548|6:T00774|10:2026-01-12|3:P-O|6:Office|4:sale|6:486.90</v>
      </c>
      <c r="Q1554" s="1">
        <f>1</f>
        <v>1</v>
      </c>
      <c r="R1554" s="1" t="b">
        <f>FALSE</f>
        <v>0</v>
      </c>
      <c r="S1554" s="1">
        <f>1</f>
        <v>1</v>
      </c>
      <c r="T1554" s="1" t="str">
        <f>IF(AND(Raw!A1554="",Raw!B1554="",Raw!C1554="",Raw!D1554="",Raw!E1554="",Raw!F1554="",Raw!G1554=""),"UNUSED",IF(A1554="","missing line ID",IF(B1554="","missing transaction ID",IF(G1554="",IF(C1554="","missing date","invalid date"),IF(I1554="","unknown product",IF(J1554="","conflicting category",IF(NOT(OR(EXACT(K1554,"sale"),EXACT(K1554,"refund"))),"unknown event",IF(OR(N1554="",NOT(O1554)),"invalid amount",IF(OR(AND(K1554="sale",N1554&lt;=0),AND(K1554="refund",N1554&gt;=0)),"invalid sign","")))))))))</f>
        <v/>
      </c>
      <c r="U1554" s="1" t="str">
        <f t="shared" si="197"/>
        <v>INCLUDED</v>
      </c>
      <c r="V1554" s="1" t="str">
        <f t="shared" si="198"/>
        <v>2026-01</v>
      </c>
      <c r="W1554" s="1">
        <f>IF(AND(U1554="INCLUDED",X1554&gt;0,EXACT(A1554,'AI output'!A1554)),1,0)</f>
        <v>1</v>
      </c>
      <c r="X1554" s="1">
        <f>1554</f>
        <v>1554</v>
      </c>
      <c r="Y1554" s="1">
        <f>IF(AND(U1554="INCLUDED",W1554=1),--(NOT(EXACT(A1554,'AI output'!A1554)))+--(NOT(EXACT(B1554,'AI output'!B1554)))+--(NOT(EXACT(TEXT(G1554,"yyyy-mm-dd"),'AI output'!C1554)))+--(NOT(EXACT(H1554,'AI output'!D1554)))+--(NOT(EXACT(J1554,'AI output'!E1554)))+--(NOT(EXACT(K1554,'AI output'!F1554)))+--(N1554&lt;&gt;'AI output'!L1554)+--(NOT('AI output'!M1554)),0)</f>
        <v>0</v>
      </c>
      <c r="Z1554" s="1">
        <f t="shared" si="199"/>
        <v>0</v>
      </c>
      <c r="AA1554" s="1">
        <f>--EXACT(A1554,"L01548")</f>
        <v>1</v>
      </c>
    </row>
    <row r="1555" spans="1:27" ht="18.95" customHeight="1">
      <c r="A1555" s="1" t="str">
        <f>IF(Raw!A1555="","",Raw!A1555)</f>
        <v>L01549</v>
      </c>
      <c r="B1555" s="1" t="str">
        <f>IF(Raw!B1555="","",Raw!B1555)</f>
        <v>T00775</v>
      </c>
      <c r="C1555" s="1" t="str">
        <f>IF(Raw!C1555="","",Raw!C1555)</f>
        <v>2026-01-19</v>
      </c>
      <c r="D1555" s="1">
        <f t="shared" si="192"/>
        <v>2026</v>
      </c>
      <c r="E1555" s="1">
        <f>IFERROR(IF(AND(LEN(C1555)=10,MID(C1555,5,1)="-",MID(C1555,8,1)="-"),VALUE(MID(C1555,6,2)),IF(AND(LEN(C1555)=11,MID(C1555,3,1)="-",MID(C1555,7,1)="-"),MATCH(UPPER(MID(C1555,4,3)),Guide!$D$7:$D$18,0),0)),0)</f>
        <v>1</v>
      </c>
      <c r="F1555" s="1">
        <f t="shared" si="193"/>
        <v>19</v>
      </c>
      <c r="G1555" s="9">
        <f t="shared" si="194"/>
        <v>46041</v>
      </c>
      <c r="H1555" s="1" t="str">
        <f>IF(Raw!D1555="","",Raw!D1555)</f>
        <v>P-A</v>
      </c>
      <c r="I1555" s="1" t="str">
        <f>IFERROR(IF(EXACT(H1555,INDEX(Guide!$A$7:$A$9,MATCH(SUBSTITUTE(SUBSTITUTE(SUBSTITUTE(H1555,"~","~~"),"*","~*"),"?","~?"),Guide!$A$7:$A$9,0))),INDEX(Guide!$B$7:$B$9,MATCH(SUBSTITUTE(SUBSTITUTE(SUBSTITUTE(H1555,"~","~~"),"*","~*"),"?","~?"),Guide!$A$7:$A$9,0)),""),"")</f>
        <v>Accessories</v>
      </c>
      <c r="J1555" s="1" t="str">
        <f>IF(TRIM(Raw!E1555)="",I1555,IF(UPPER(TRIM(Raw!E1555))=UPPER(I1555),I1555,""))</f>
        <v>Accessories</v>
      </c>
      <c r="K1555" s="1" t="str">
        <f>IF(Raw!F1555="","",Raw!F1555)</f>
        <v>sale</v>
      </c>
      <c r="L1555" s="1" t="str">
        <f>IF(LEFT(TRIM(Raw!G1555),2)="-$","-"&amp;MID(TRIM(Raw!G1555),3,99),IF(LEFT(TRIM(Raw!G1555),1)="$",MID(TRIM(Raw!G1555),2,99),TRIM(Raw!G1555)))</f>
        <v>195.50</v>
      </c>
      <c r="M1555" s="1">
        <f t="shared" si="195"/>
        <v>195.5</v>
      </c>
      <c r="N1555" s="10">
        <f t="shared" si="196"/>
        <v>19550</v>
      </c>
      <c r="O1555" s="1" t="b">
        <f>IFERROR(IF(ISNUMBER(Raw!G1555),TRUE,OR(EXACT(L1555,TEXT(M1555,"0.00")),EXACT(L1555,TEXT(M1555,"#,##0.00")))),FALSE)</f>
        <v>1</v>
      </c>
      <c r="P1555" s="1" t="str">
        <f>LEN(IF(Raw!A1555="","",Raw!A1555))&amp;":"&amp;IF(Raw!A1555="","",Raw!A1555)&amp;"|"&amp;LEN(IF(Raw!B1555="","",Raw!B1555))&amp;":"&amp;IF(Raw!B1555="","",Raw!B1555)&amp;"|"&amp;LEN(IF(Raw!C1555="","",Raw!C1555))&amp;":"&amp;IF(Raw!C1555="","",Raw!C1555)&amp;"|"&amp;LEN(IF(Raw!D1555="","",Raw!D1555))&amp;":"&amp;IF(Raw!D1555="","",Raw!D1555)&amp;"|"&amp;LEN(IF(Raw!E1555="","",Raw!E1555))&amp;":"&amp;IF(Raw!E1555="","",Raw!E1555)&amp;"|"&amp;LEN(IF(Raw!F1555="","",Raw!F1555))&amp;":"&amp;IF(Raw!F1555="","",Raw!F1555)&amp;"|"&amp;LEN(IF(Raw!G1555="","",Raw!G1555))&amp;":"&amp;IF(Raw!G1555="","",Raw!G1555)</f>
        <v>6:L01549|6:T00775|10:2026-01-19|3:P-A|11:Accessories|4:sale|6:195.50</v>
      </c>
      <c r="Q1555" s="1">
        <f>1</f>
        <v>1</v>
      </c>
      <c r="R1555" s="1" t="b">
        <f>FALSE</f>
        <v>0</v>
      </c>
      <c r="S1555" s="1">
        <f>1</f>
        <v>1</v>
      </c>
      <c r="T1555" s="1" t="str">
        <f>IF(AND(Raw!A1555="",Raw!B1555="",Raw!C1555="",Raw!D1555="",Raw!E1555="",Raw!F1555="",Raw!G1555=""),"UNUSED",IF(A1555="","missing line ID",IF(B1555="","missing transaction ID",IF(G1555="",IF(C1555="","missing date","invalid date"),IF(I1555="","unknown product",IF(J1555="","conflicting category",IF(NOT(OR(EXACT(K1555,"sale"),EXACT(K1555,"refund"))),"unknown event",IF(OR(N1555="",NOT(O1555)),"invalid amount",IF(OR(AND(K1555="sale",N1555&lt;=0),AND(K1555="refund",N1555&gt;=0)),"invalid sign","")))))))))</f>
        <v/>
      </c>
      <c r="U1555" s="1" t="str">
        <f t="shared" si="197"/>
        <v>INCLUDED</v>
      </c>
      <c r="V1555" s="1" t="str">
        <f t="shared" si="198"/>
        <v>2026-01</v>
      </c>
      <c r="W1555" s="1">
        <f>IF(AND(U1555="INCLUDED",X1555&gt;0,EXACT(A1555,'AI output'!A1555)),1,0)</f>
        <v>1</v>
      </c>
      <c r="X1555" s="1">
        <f>1555</f>
        <v>1555</v>
      </c>
      <c r="Y1555" s="1">
        <f>IF(AND(U1555="INCLUDED",W1555=1),--(NOT(EXACT(A1555,'AI output'!A1555)))+--(NOT(EXACT(B1555,'AI output'!B1555)))+--(NOT(EXACT(TEXT(G1555,"yyyy-mm-dd"),'AI output'!C1555)))+--(NOT(EXACT(H1555,'AI output'!D1555)))+--(NOT(EXACT(J1555,'AI output'!E1555)))+--(NOT(EXACT(K1555,'AI output'!F1555)))+--(N1555&lt;&gt;'AI output'!L1555)+--(NOT('AI output'!M1555)),0)</f>
        <v>0</v>
      </c>
      <c r="Z1555" s="1">
        <f t="shared" si="199"/>
        <v>0</v>
      </c>
      <c r="AA1555" s="1">
        <f>--EXACT(A1555,"L01549")</f>
        <v>1</v>
      </c>
    </row>
    <row r="1556" spans="1:27" ht="18.95" customHeight="1">
      <c r="A1556" s="1" t="str">
        <f>IF(Raw!A1556="","",Raw!A1556)</f>
        <v>L01550</v>
      </c>
      <c r="B1556" s="1" t="str">
        <f>IF(Raw!B1556="","",Raw!B1556)</f>
        <v>T00775</v>
      </c>
      <c r="C1556" s="1" t="str">
        <f>IF(Raw!C1556="","",Raw!C1556)</f>
        <v>2026-01-19</v>
      </c>
      <c r="D1556" s="1">
        <f t="shared" si="192"/>
        <v>2026</v>
      </c>
      <c r="E1556" s="1">
        <f>IFERROR(IF(AND(LEN(C1556)=10,MID(C1556,5,1)="-",MID(C1556,8,1)="-"),VALUE(MID(C1556,6,2)),IF(AND(LEN(C1556)=11,MID(C1556,3,1)="-",MID(C1556,7,1)="-"),MATCH(UPPER(MID(C1556,4,3)),Guide!$D$7:$D$18,0),0)),0)</f>
        <v>1</v>
      </c>
      <c r="F1556" s="1">
        <f t="shared" si="193"/>
        <v>19</v>
      </c>
      <c r="G1556" s="9">
        <f t="shared" si="194"/>
        <v>46041</v>
      </c>
      <c r="H1556" s="1" t="str">
        <f>IF(Raw!D1556="","",Raw!D1556)</f>
        <v>P-H</v>
      </c>
      <c r="I1556" s="1" t="str">
        <f>IFERROR(IF(EXACT(H1556,INDEX(Guide!$A$7:$A$9,MATCH(SUBSTITUTE(SUBSTITUTE(SUBSTITUTE(H1556,"~","~~"),"*","~*"),"?","~?"),Guide!$A$7:$A$9,0))),INDEX(Guide!$B$7:$B$9,MATCH(SUBSTITUTE(SUBSTITUTE(SUBSTITUTE(H1556,"~","~~"),"*","~*"),"?","~?"),Guide!$A$7:$A$9,0)),""),"")</f>
        <v>Home</v>
      </c>
      <c r="J1556" s="1" t="str">
        <f>IF(TRIM(Raw!E1556)="",I1556,IF(UPPER(TRIM(Raw!E1556))=UPPER(I1556),I1556,""))</f>
        <v>Home</v>
      </c>
      <c r="K1556" s="1" t="str">
        <f>IF(Raw!F1556="","",Raw!F1556)</f>
        <v>sale</v>
      </c>
      <c r="L1556" s="1" t="str">
        <f>IF(LEFT(TRIM(Raw!G1556),2)="-$","-"&amp;MID(TRIM(Raw!G1556),3,99),IF(LEFT(TRIM(Raw!G1556),1)="$",MID(TRIM(Raw!G1556),2,99),TRIM(Raw!G1556)))</f>
        <v>392.48</v>
      </c>
      <c r="M1556" s="1">
        <f t="shared" si="195"/>
        <v>392.48</v>
      </c>
      <c r="N1556" s="10">
        <f t="shared" si="196"/>
        <v>39248</v>
      </c>
      <c r="O1556" s="1" t="b">
        <f>IFERROR(IF(ISNUMBER(Raw!G1556),TRUE,OR(EXACT(L1556,TEXT(M1556,"0.00")),EXACT(L1556,TEXT(M1556,"#,##0.00")))),FALSE)</f>
        <v>1</v>
      </c>
      <c r="P1556" s="1" t="str">
        <f>LEN(IF(Raw!A1556="","",Raw!A1556))&amp;":"&amp;IF(Raw!A1556="","",Raw!A1556)&amp;"|"&amp;LEN(IF(Raw!B1556="","",Raw!B1556))&amp;":"&amp;IF(Raw!B1556="","",Raw!B1556)&amp;"|"&amp;LEN(IF(Raw!C1556="","",Raw!C1556))&amp;":"&amp;IF(Raw!C1556="","",Raw!C1556)&amp;"|"&amp;LEN(IF(Raw!D1556="","",Raw!D1556))&amp;":"&amp;IF(Raw!D1556="","",Raw!D1556)&amp;"|"&amp;LEN(IF(Raw!E1556="","",Raw!E1556))&amp;":"&amp;IF(Raw!E1556="","",Raw!E1556)&amp;"|"&amp;LEN(IF(Raw!F1556="","",Raw!F1556))&amp;":"&amp;IF(Raw!F1556="","",Raw!F1556)&amp;"|"&amp;LEN(IF(Raw!G1556="","",Raw!G1556))&amp;":"&amp;IF(Raw!G1556="","",Raw!G1556)</f>
        <v>6:L01550|6:T00775|10:2026-01-19|3:P-H|4:Home|4:sale|6:392.48</v>
      </c>
      <c r="Q1556" s="1">
        <f>1</f>
        <v>1</v>
      </c>
      <c r="R1556" s="1" t="b">
        <f>FALSE</f>
        <v>0</v>
      </c>
      <c r="S1556" s="1">
        <f>1</f>
        <v>1</v>
      </c>
      <c r="T1556" s="1" t="str">
        <f>IF(AND(Raw!A1556="",Raw!B1556="",Raw!C1556="",Raw!D1556="",Raw!E1556="",Raw!F1556="",Raw!G1556=""),"UNUSED",IF(A1556="","missing line ID",IF(B1556="","missing transaction ID",IF(G1556="",IF(C1556="","missing date","invalid date"),IF(I1556="","unknown product",IF(J1556="","conflicting category",IF(NOT(OR(EXACT(K1556,"sale"),EXACT(K1556,"refund"))),"unknown event",IF(OR(N1556="",NOT(O1556)),"invalid amount",IF(OR(AND(K1556="sale",N1556&lt;=0),AND(K1556="refund",N1556&gt;=0)),"invalid sign","")))))))))</f>
        <v/>
      </c>
      <c r="U1556" s="1" t="str">
        <f t="shared" si="197"/>
        <v>INCLUDED</v>
      </c>
      <c r="V1556" s="1" t="str">
        <f t="shared" si="198"/>
        <v>2026-01</v>
      </c>
      <c r="W1556" s="1">
        <f>IF(AND(U1556="INCLUDED",X1556&gt;0,EXACT(A1556,'AI output'!A1556)),1,0)</f>
        <v>1</v>
      </c>
      <c r="X1556" s="1">
        <f>1556</f>
        <v>1556</v>
      </c>
      <c r="Y1556" s="1">
        <f>IF(AND(U1556="INCLUDED",W1556=1),--(NOT(EXACT(A1556,'AI output'!A1556)))+--(NOT(EXACT(B1556,'AI output'!B1556)))+--(NOT(EXACT(TEXT(G1556,"yyyy-mm-dd"),'AI output'!C1556)))+--(NOT(EXACT(H1556,'AI output'!D1556)))+--(NOT(EXACT(J1556,'AI output'!E1556)))+--(NOT(EXACT(K1556,'AI output'!F1556)))+--(N1556&lt;&gt;'AI output'!L1556)+--(NOT('AI output'!M1556)),0)</f>
        <v>0</v>
      </c>
      <c r="Z1556" s="1">
        <f t="shared" si="199"/>
        <v>0</v>
      </c>
      <c r="AA1556" s="1">
        <f>--EXACT(A1556,"L01550")</f>
        <v>1</v>
      </c>
    </row>
    <row r="1557" spans="1:27" ht="18.95" customHeight="1">
      <c r="A1557" s="1" t="str">
        <f>IF(Raw!A1557="","",Raw!A1557)</f>
        <v>L01551</v>
      </c>
      <c r="B1557" s="1" t="str">
        <f>IF(Raw!B1557="","",Raw!B1557)</f>
        <v>T00776</v>
      </c>
      <c r="C1557" s="1" t="str">
        <f>IF(Raw!C1557="","",Raw!C1557)</f>
        <v>2026-01-26</v>
      </c>
      <c r="D1557" s="1">
        <f t="shared" si="192"/>
        <v>2026</v>
      </c>
      <c r="E1557" s="1">
        <f>IFERROR(IF(AND(LEN(C1557)=10,MID(C1557,5,1)="-",MID(C1557,8,1)="-"),VALUE(MID(C1557,6,2)),IF(AND(LEN(C1557)=11,MID(C1557,3,1)="-",MID(C1557,7,1)="-"),MATCH(UPPER(MID(C1557,4,3)),Guide!$D$7:$D$18,0),0)),0)</f>
        <v>1</v>
      </c>
      <c r="F1557" s="1">
        <f t="shared" si="193"/>
        <v>26</v>
      </c>
      <c r="G1557" s="9">
        <f t="shared" si="194"/>
        <v>46048</v>
      </c>
      <c r="H1557" s="1" t="str">
        <f>IF(Raw!D1557="","",Raw!D1557)</f>
        <v>P-O</v>
      </c>
      <c r="I1557" s="1" t="str">
        <f>IFERROR(IF(EXACT(H1557,INDEX(Guide!$A$7:$A$9,MATCH(SUBSTITUTE(SUBSTITUTE(SUBSTITUTE(H1557,"~","~~"),"*","~*"),"?","~?"),Guide!$A$7:$A$9,0))),INDEX(Guide!$B$7:$B$9,MATCH(SUBSTITUTE(SUBSTITUTE(SUBSTITUTE(H1557,"~","~~"),"*","~*"),"?","~?"),Guide!$A$7:$A$9,0)),""),"")</f>
        <v>Office</v>
      </c>
      <c r="J1557" s="1" t="str">
        <f>IF(TRIM(Raw!E1557)="",I1557,IF(UPPER(TRIM(Raw!E1557))=UPPER(I1557),I1557,""))</f>
        <v>Office</v>
      </c>
      <c r="K1557" s="1" t="str">
        <f>IF(Raw!F1557="","",Raw!F1557)</f>
        <v>sale</v>
      </c>
      <c r="L1557" s="1" t="str">
        <f>IF(LEFT(TRIM(Raw!G1557),2)="-$","-"&amp;MID(TRIM(Raw!G1557),3,99),IF(LEFT(TRIM(Raw!G1557),1)="$",MID(TRIM(Raw!G1557),2,99),TRIM(Raw!G1557)))</f>
        <v>98.49</v>
      </c>
      <c r="M1557" s="1">
        <f t="shared" si="195"/>
        <v>98.49</v>
      </c>
      <c r="N1557" s="10">
        <f t="shared" si="196"/>
        <v>9849</v>
      </c>
      <c r="O1557" s="1" t="b">
        <f>IFERROR(IF(ISNUMBER(Raw!G1557),TRUE,OR(EXACT(L1557,TEXT(M1557,"0.00")),EXACT(L1557,TEXT(M1557,"#,##0.00")))),FALSE)</f>
        <v>1</v>
      </c>
      <c r="P1557" s="1" t="str">
        <f>LEN(IF(Raw!A1557="","",Raw!A1557))&amp;":"&amp;IF(Raw!A1557="","",Raw!A1557)&amp;"|"&amp;LEN(IF(Raw!B1557="","",Raw!B1557))&amp;":"&amp;IF(Raw!B1557="","",Raw!B1557)&amp;"|"&amp;LEN(IF(Raw!C1557="","",Raw!C1557))&amp;":"&amp;IF(Raw!C1557="","",Raw!C1557)&amp;"|"&amp;LEN(IF(Raw!D1557="","",Raw!D1557))&amp;":"&amp;IF(Raw!D1557="","",Raw!D1557)&amp;"|"&amp;LEN(IF(Raw!E1557="","",Raw!E1557))&amp;":"&amp;IF(Raw!E1557="","",Raw!E1557)&amp;"|"&amp;LEN(IF(Raw!F1557="","",Raw!F1557))&amp;":"&amp;IF(Raw!F1557="","",Raw!F1557)&amp;"|"&amp;LEN(IF(Raw!G1557="","",Raw!G1557))&amp;":"&amp;IF(Raw!G1557="","",Raw!G1557)</f>
        <v>6:L01551|6:T00776|10:2026-01-26|3:P-O|6:Office|4:sale|5:98.49</v>
      </c>
      <c r="Q1557" s="1">
        <f>1</f>
        <v>1</v>
      </c>
      <c r="R1557" s="1" t="b">
        <f>FALSE</f>
        <v>0</v>
      </c>
      <c r="S1557" s="1">
        <f>1</f>
        <v>1</v>
      </c>
      <c r="T1557" s="1" t="str">
        <f>IF(AND(Raw!A1557="",Raw!B1557="",Raw!C1557="",Raw!D1557="",Raw!E1557="",Raw!F1557="",Raw!G1557=""),"UNUSED",IF(A1557="","missing line ID",IF(B1557="","missing transaction ID",IF(G1557="",IF(C1557="","missing date","invalid date"),IF(I1557="","unknown product",IF(J1557="","conflicting category",IF(NOT(OR(EXACT(K1557,"sale"),EXACT(K1557,"refund"))),"unknown event",IF(OR(N1557="",NOT(O1557)),"invalid amount",IF(OR(AND(K1557="sale",N1557&lt;=0),AND(K1557="refund",N1557&gt;=0)),"invalid sign","")))))))))</f>
        <v/>
      </c>
      <c r="U1557" s="1" t="str">
        <f t="shared" si="197"/>
        <v>INCLUDED</v>
      </c>
      <c r="V1557" s="1" t="str">
        <f t="shared" si="198"/>
        <v>2026-01</v>
      </c>
      <c r="W1557" s="1">
        <f>IF(AND(U1557="INCLUDED",X1557&gt;0,EXACT(A1557,'AI output'!A1557)),1,0)</f>
        <v>1</v>
      </c>
      <c r="X1557" s="1">
        <f>1557</f>
        <v>1557</v>
      </c>
      <c r="Y1557" s="1">
        <f>IF(AND(U1557="INCLUDED",W1557=1),--(NOT(EXACT(A1557,'AI output'!A1557)))+--(NOT(EXACT(B1557,'AI output'!B1557)))+--(NOT(EXACT(TEXT(G1557,"yyyy-mm-dd"),'AI output'!C1557)))+--(NOT(EXACT(H1557,'AI output'!D1557)))+--(NOT(EXACT(J1557,'AI output'!E1557)))+--(NOT(EXACT(K1557,'AI output'!F1557)))+--(N1557&lt;&gt;'AI output'!L1557)+--(NOT('AI output'!M1557)),0)</f>
        <v>0</v>
      </c>
      <c r="Z1557" s="1">
        <f t="shared" si="199"/>
        <v>0</v>
      </c>
      <c r="AA1557" s="1">
        <f>--EXACT(A1557,"L01551")</f>
        <v>1</v>
      </c>
    </row>
    <row r="1558" spans="1:27" ht="18.95" customHeight="1">
      <c r="A1558" s="1" t="str">
        <f>IF(Raw!A1558="","",Raw!A1558)</f>
        <v>L01552</v>
      </c>
      <c r="B1558" s="1" t="str">
        <f>IF(Raw!B1558="","",Raw!B1558)</f>
        <v>T00776</v>
      </c>
      <c r="C1558" s="1" t="str">
        <f>IF(Raw!C1558="","",Raw!C1558)</f>
        <v>2026-01-26</v>
      </c>
      <c r="D1558" s="1">
        <f t="shared" si="192"/>
        <v>2026</v>
      </c>
      <c r="E1558" s="1">
        <f>IFERROR(IF(AND(LEN(C1558)=10,MID(C1558,5,1)="-",MID(C1558,8,1)="-"),VALUE(MID(C1558,6,2)),IF(AND(LEN(C1558)=11,MID(C1558,3,1)="-",MID(C1558,7,1)="-"),MATCH(UPPER(MID(C1558,4,3)),Guide!$D$7:$D$18,0),0)),0)</f>
        <v>1</v>
      </c>
      <c r="F1558" s="1">
        <f t="shared" si="193"/>
        <v>26</v>
      </c>
      <c r="G1558" s="9">
        <f t="shared" si="194"/>
        <v>46048</v>
      </c>
      <c r="H1558" s="1" t="str">
        <f>IF(Raw!D1558="","",Raw!D1558)</f>
        <v>P-A</v>
      </c>
      <c r="I1558" s="1" t="str">
        <f>IFERROR(IF(EXACT(H1558,INDEX(Guide!$A$7:$A$9,MATCH(SUBSTITUTE(SUBSTITUTE(SUBSTITUTE(H1558,"~","~~"),"*","~*"),"?","~?"),Guide!$A$7:$A$9,0))),INDEX(Guide!$B$7:$B$9,MATCH(SUBSTITUTE(SUBSTITUTE(SUBSTITUTE(H1558,"~","~~"),"*","~*"),"?","~?"),Guide!$A$7:$A$9,0)),""),"")</f>
        <v>Accessories</v>
      </c>
      <c r="J1558" s="1" t="str">
        <f>IF(TRIM(Raw!E1558)="",I1558,IF(UPPER(TRIM(Raw!E1558))=UPPER(I1558),I1558,""))</f>
        <v>Accessories</v>
      </c>
      <c r="K1558" s="1" t="str">
        <f>IF(Raw!F1558="","",Raw!F1558)</f>
        <v>sale</v>
      </c>
      <c r="L1558" s="1" t="str">
        <f>IF(LEFT(TRIM(Raw!G1558),2)="-$","-"&amp;MID(TRIM(Raw!G1558),3,99),IF(LEFT(TRIM(Raw!G1558),1)="$",MID(TRIM(Raw!G1558),2,99),TRIM(Raw!G1558)))</f>
        <v>296.58</v>
      </c>
      <c r="M1558" s="1">
        <f t="shared" si="195"/>
        <v>296.58</v>
      </c>
      <c r="N1558" s="10">
        <f t="shared" si="196"/>
        <v>29658</v>
      </c>
      <c r="O1558" s="1" t="b">
        <f>IFERROR(IF(ISNUMBER(Raw!G1558),TRUE,OR(EXACT(L1558,TEXT(M1558,"0.00")),EXACT(L1558,TEXT(M1558,"#,##0.00")))),FALSE)</f>
        <v>1</v>
      </c>
      <c r="P1558" s="1" t="str">
        <f>LEN(IF(Raw!A1558="","",Raw!A1558))&amp;":"&amp;IF(Raw!A1558="","",Raw!A1558)&amp;"|"&amp;LEN(IF(Raw!B1558="","",Raw!B1558))&amp;":"&amp;IF(Raw!B1558="","",Raw!B1558)&amp;"|"&amp;LEN(IF(Raw!C1558="","",Raw!C1558))&amp;":"&amp;IF(Raw!C1558="","",Raw!C1558)&amp;"|"&amp;LEN(IF(Raw!D1558="","",Raw!D1558))&amp;":"&amp;IF(Raw!D1558="","",Raw!D1558)&amp;"|"&amp;LEN(IF(Raw!E1558="","",Raw!E1558))&amp;":"&amp;IF(Raw!E1558="","",Raw!E1558)&amp;"|"&amp;LEN(IF(Raw!F1558="","",Raw!F1558))&amp;":"&amp;IF(Raw!F1558="","",Raw!F1558)&amp;"|"&amp;LEN(IF(Raw!G1558="","",Raw!G1558))&amp;":"&amp;IF(Raw!G1558="","",Raw!G1558)</f>
        <v>6:L01552|6:T00776|10:2026-01-26|3:P-A|11:Accessories|4:sale|6:296.58</v>
      </c>
      <c r="Q1558" s="1">
        <f>1</f>
        <v>1</v>
      </c>
      <c r="R1558" s="1" t="b">
        <f>FALSE</f>
        <v>0</v>
      </c>
      <c r="S1558" s="1">
        <f>1</f>
        <v>1</v>
      </c>
      <c r="T1558" s="1" t="str">
        <f>IF(AND(Raw!A1558="",Raw!B1558="",Raw!C1558="",Raw!D1558="",Raw!E1558="",Raw!F1558="",Raw!G1558=""),"UNUSED",IF(A1558="","missing line ID",IF(B1558="","missing transaction ID",IF(G1558="",IF(C1558="","missing date","invalid date"),IF(I1558="","unknown product",IF(J1558="","conflicting category",IF(NOT(OR(EXACT(K1558,"sale"),EXACT(K1558,"refund"))),"unknown event",IF(OR(N1558="",NOT(O1558)),"invalid amount",IF(OR(AND(K1558="sale",N1558&lt;=0),AND(K1558="refund",N1558&gt;=0)),"invalid sign","")))))))))</f>
        <v/>
      </c>
      <c r="U1558" s="1" t="str">
        <f t="shared" si="197"/>
        <v>INCLUDED</v>
      </c>
      <c r="V1558" s="1" t="str">
        <f t="shared" si="198"/>
        <v>2026-01</v>
      </c>
      <c r="W1558" s="1">
        <f>IF(AND(U1558="INCLUDED",X1558&gt;0,EXACT(A1558,'AI output'!A1558)),1,0)</f>
        <v>1</v>
      </c>
      <c r="X1558" s="1">
        <f>1558</f>
        <v>1558</v>
      </c>
      <c r="Y1558" s="1">
        <f>IF(AND(U1558="INCLUDED",W1558=1),--(NOT(EXACT(A1558,'AI output'!A1558)))+--(NOT(EXACT(B1558,'AI output'!B1558)))+--(NOT(EXACT(TEXT(G1558,"yyyy-mm-dd"),'AI output'!C1558)))+--(NOT(EXACT(H1558,'AI output'!D1558)))+--(NOT(EXACT(J1558,'AI output'!E1558)))+--(NOT(EXACT(K1558,'AI output'!F1558)))+--(N1558&lt;&gt;'AI output'!L1558)+--(NOT('AI output'!M1558)),0)</f>
        <v>0</v>
      </c>
      <c r="Z1558" s="1">
        <f t="shared" si="199"/>
        <v>0</v>
      </c>
      <c r="AA1558" s="1">
        <f>--EXACT(A1558,"L01552")</f>
        <v>1</v>
      </c>
    </row>
    <row r="1559" spans="1:27" ht="18.95" customHeight="1">
      <c r="A1559" s="1" t="str">
        <f>IF(Raw!A1559="","",Raw!A1559)</f>
        <v>L01553</v>
      </c>
      <c r="B1559" s="1" t="str">
        <f>IF(Raw!B1559="","",Raw!B1559)</f>
        <v>T00777</v>
      </c>
      <c r="C1559" s="1" t="str">
        <f>IF(Raw!C1559="","",Raw!C1559)</f>
        <v>2026-02-02</v>
      </c>
      <c r="D1559" s="1">
        <f t="shared" si="192"/>
        <v>2026</v>
      </c>
      <c r="E1559" s="1">
        <f>IFERROR(IF(AND(LEN(C1559)=10,MID(C1559,5,1)="-",MID(C1559,8,1)="-"),VALUE(MID(C1559,6,2)),IF(AND(LEN(C1559)=11,MID(C1559,3,1)="-",MID(C1559,7,1)="-"),MATCH(UPPER(MID(C1559,4,3)),Guide!$D$7:$D$18,0),0)),0)</f>
        <v>2</v>
      </c>
      <c r="F1559" s="1">
        <f t="shared" si="193"/>
        <v>2</v>
      </c>
      <c r="G1559" s="9">
        <f t="shared" si="194"/>
        <v>46055</v>
      </c>
      <c r="H1559" s="1" t="str">
        <f>IF(Raw!D1559="","",Raw!D1559)</f>
        <v>P-H</v>
      </c>
      <c r="I1559" s="1" t="str">
        <f>IFERROR(IF(EXACT(H1559,INDEX(Guide!$A$7:$A$9,MATCH(SUBSTITUTE(SUBSTITUTE(SUBSTITUTE(H1559,"~","~~"),"*","~*"),"?","~?"),Guide!$A$7:$A$9,0))),INDEX(Guide!$B$7:$B$9,MATCH(SUBSTITUTE(SUBSTITUTE(SUBSTITUTE(H1559,"~","~~"),"*","~*"),"?","~?"),Guide!$A$7:$A$9,0)),""),"")</f>
        <v>Home</v>
      </c>
      <c r="J1559" s="1" t="str">
        <f>IF(TRIM(Raw!E1559)="",I1559,IF(UPPER(TRIM(Raw!E1559))=UPPER(I1559),I1559,""))</f>
        <v>Home</v>
      </c>
      <c r="K1559" s="1" t="str">
        <f>IF(Raw!F1559="","",Raw!F1559)</f>
        <v>sale</v>
      </c>
      <c r="L1559" s="1" t="str">
        <f>IF(LEFT(TRIM(Raw!G1559),2)="-$","-"&amp;MID(TRIM(Raw!G1559),3,99),IF(LEFT(TRIM(Raw!G1559),1)="$",MID(TRIM(Raw!G1559),2,99),TRIM(Raw!G1559)))</f>
        <v>496.15</v>
      </c>
      <c r="M1559" s="1">
        <f t="shared" si="195"/>
        <v>496.15</v>
      </c>
      <c r="N1559" s="10">
        <f t="shared" si="196"/>
        <v>49615</v>
      </c>
      <c r="O1559" s="1" t="b">
        <f>IFERROR(IF(ISNUMBER(Raw!G1559),TRUE,OR(EXACT(L1559,TEXT(M1559,"0.00")),EXACT(L1559,TEXT(M1559,"#,##0.00")))),FALSE)</f>
        <v>1</v>
      </c>
      <c r="P1559" s="1" t="str">
        <f>LEN(IF(Raw!A1559="","",Raw!A1559))&amp;":"&amp;IF(Raw!A1559="","",Raw!A1559)&amp;"|"&amp;LEN(IF(Raw!B1559="","",Raw!B1559))&amp;":"&amp;IF(Raw!B1559="","",Raw!B1559)&amp;"|"&amp;LEN(IF(Raw!C1559="","",Raw!C1559))&amp;":"&amp;IF(Raw!C1559="","",Raw!C1559)&amp;"|"&amp;LEN(IF(Raw!D1559="","",Raw!D1559))&amp;":"&amp;IF(Raw!D1559="","",Raw!D1559)&amp;"|"&amp;LEN(IF(Raw!E1559="","",Raw!E1559))&amp;":"&amp;IF(Raw!E1559="","",Raw!E1559)&amp;"|"&amp;LEN(IF(Raw!F1559="","",Raw!F1559))&amp;":"&amp;IF(Raw!F1559="","",Raw!F1559)&amp;"|"&amp;LEN(IF(Raw!G1559="","",Raw!G1559))&amp;":"&amp;IF(Raw!G1559="","",Raw!G1559)</f>
        <v>6:L01553|6:T00777|10:2026-02-02|3:P-H|4:Home|4:sale|6:496.15</v>
      </c>
      <c r="Q1559" s="1">
        <f>1</f>
        <v>1</v>
      </c>
      <c r="R1559" s="1" t="b">
        <f>FALSE</f>
        <v>0</v>
      </c>
      <c r="S1559" s="1">
        <f>1</f>
        <v>1</v>
      </c>
      <c r="T1559" s="1" t="str">
        <f>IF(AND(Raw!A1559="",Raw!B1559="",Raw!C1559="",Raw!D1559="",Raw!E1559="",Raw!F1559="",Raw!G1559=""),"UNUSED",IF(A1559="","missing line ID",IF(B1559="","missing transaction ID",IF(G1559="",IF(C1559="","missing date","invalid date"),IF(I1559="","unknown product",IF(J1559="","conflicting category",IF(NOT(OR(EXACT(K1559,"sale"),EXACT(K1559,"refund"))),"unknown event",IF(OR(N1559="",NOT(O1559)),"invalid amount",IF(OR(AND(K1559="sale",N1559&lt;=0),AND(K1559="refund",N1559&gt;=0)),"invalid sign","")))))))))</f>
        <v/>
      </c>
      <c r="U1559" s="1" t="str">
        <f t="shared" si="197"/>
        <v>INCLUDED</v>
      </c>
      <c r="V1559" s="1" t="str">
        <f t="shared" si="198"/>
        <v>2026-02</v>
      </c>
      <c r="W1559" s="1">
        <f>IF(AND(U1559="INCLUDED",X1559&gt;0,EXACT(A1559,'AI output'!A1559)),1,0)</f>
        <v>1</v>
      </c>
      <c r="X1559" s="1">
        <f>1559</f>
        <v>1559</v>
      </c>
      <c r="Y1559" s="1">
        <f>IF(AND(U1559="INCLUDED",W1559=1),--(NOT(EXACT(A1559,'AI output'!A1559)))+--(NOT(EXACT(B1559,'AI output'!B1559)))+--(NOT(EXACT(TEXT(G1559,"yyyy-mm-dd"),'AI output'!C1559)))+--(NOT(EXACT(H1559,'AI output'!D1559)))+--(NOT(EXACT(J1559,'AI output'!E1559)))+--(NOT(EXACT(K1559,'AI output'!F1559)))+--(N1559&lt;&gt;'AI output'!L1559)+--(NOT('AI output'!M1559)),0)</f>
        <v>0</v>
      </c>
      <c r="Z1559" s="1">
        <f t="shared" si="199"/>
        <v>0</v>
      </c>
      <c r="AA1559" s="1">
        <f>--EXACT(A1559,"L01553")</f>
        <v>1</v>
      </c>
    </row>
    <row r="1560" spans="1:27" ht="18.95" customHeight="1">
      <c r="A1560" s="1" t="str">
        <f>IF(Raw!A1560="","",Raw!A1560)</f>
        <v>L01554</v>
      </c>
      <c r="B1560" s="1" t="str">
        <f>IF(Raw!B1560="","",Raw!B1560)</f>
        <v>T00777</v>
      </c>
      <c r="C1560" s="1" t="str">
        <f>IF(Raw!C1560="","",Raw!C1560)</f>
        <v>2026-02-02</v>
      </c>
      <c r="D1560" s="1">
        <f t="shared" si="192"/>
        <v>2026</v>
      </c>
      <c r="E1560" s="1">
        <f>IFERROR(IF(AND(LEN(C1560)=10,MID(C1560,5,1)="-",MID(C1560,8,1)="-"),VALUE(MID(C1560,6,2)),IF(AND(LEN(C1560)=11,MID(C1560,3,1)="-",MID(C1560,7,1)="-"),MATCH(UPPER(MID(C1560,4,3)),Guide!$D$7:$D$18,0),0)),0)</f>
        <v>2</v>
      </c>
      <c r="F1560" s="1">
        <f t="shared" si="193"/>
        <v>2</v>
      </c>
      <c r="G1560" s="9">
        <f t="shared" si="194"/>
        <v>46055</v>
      </c>
      <c r="H1560" s="1" t="str">
        <f>IF(Raw!D1560="","",Raw!D1560)</f>
        <v>P-O</v>
      </c>
      <c r="I1560" s="1" t="str">
        <f>IFERROR(IF(EXACT(H1560,INDEX(Guide!$A$7:$A$9,MATCH(SUBSTITUTE(SUBSTITUTE(SUBSTITUTE(H1560,"~","~~"),"*","~*"),"?","~?"),Guide!$A$7:$A$9,0))),INDEX(Guide!$B$7:$B$9,MATCH(SUBSTITUTE(SUBSTITUTE(SUBSTITUTE(H1560,"~","~~"),"*","~*"),"?","~?"),Guide!$A$7:$A$9,0)),""),"")</f>
        <v>Office</v>
      </c>
      <c r="J1560" s="1" t="str">
        <f>IF(TRIM(Raw!E1560)="",I1560,IF(UPPER(TRIM(Raw!E1560))=UPPER(I1560),I1560,""))</f>
        <v>Office</v>
      </c>
      <c r="K1560" s="1" t="str">
        <f>IF(Raw!F1560="","",Raw!F1560)</f>
        <v>sale</v>
      </c>
      <c r="L1560" s="1" t="str">
        <f>IF(LEFT(TRIM(Raw!G1560),2)="-$","-"&amp;MID(TRIM(Raw!G1560),3,99),IF(LEFT(TRIM(Raw!G1560),1)="$",MID(TRIM(Raw!G1560),2,99),TRIM(Raw!G1560)))</f>
        <v>199.20</v>
      </c>
      <c r="M1560" s="1">
        <f t="shared" si="195"/>
        <v>199.2</v>
      </c>
      <c r="N1560" s="10">
        <f t="shared" si="196"/>
        <v>19920</v>
      </c>
      <c r="O1560" s="1" t="b">
        <f>IFERROR(IF(ISNUMBER(Raw!G1560),TRUE,OR(EXACT(L1560,TEXT(M1560,"0.00")),EXACT(L1560,TEXT(M1560,"#,##0.00")))),FALSE)</f>
        <v>1</v>
      </c>
      <c r="P1560" s="1" t="str">
        <f>LEN(IF(Raw!A1560="","",Raw!A1560))&amp;":"&amp;IF(Raw!A1560="","",Raw!A1560)&amp;"|"&amp;LEN(IF(Raw!B1560="","",Raw!B1560))&amp;":"&amp;IF(Raw!B1560="","",Raw!B1560)&amp;"|"&amp;LEN(IF(Raw!C1560="","",Raw!C1560))&amp;":"&amp;IF(Raw!C1560="","",Raw!C1560)&amp;"|"&amp;LEN(IF(Raw!D1560="","",Raw!D1560))&amp;":"&amp;IF(Raw!D1560="","",Raw!D1560)&amp;"|"&amp;LEN(IF(Raw!E1560="","",Raw!E1560))&amp;":"&amp;IF(Raw!E1560="","",Raw!E1560)&amp;"|"&amp;LEN(IF(Raw!F1560="","",Raw!F1560))&amp;":"&amp;IF(Raw!F1560="","",Raw!F1560)&amp;"|"&amp;LEN(IF(Raw!G1560="","",Raw!G1560))&amp;":"&amp;IF(Raw!G1560="","",Raw!G1560)</f>
        <v>6:L01554|6:T00777|10:2026-02-02|3:P-O|6:Office|4:sale|6:199.20</v>
      </c>
      <c r="Q1560" s="1">
        <f>1</f>
        <v>1</v>
      </c>
      <c r="R1560" s="1" t="b">
        <f>FALSE</f>
        <v>0</v>
      </c>
      <c r="S1560" s="1">
        <f>1</f>
        <v>1</v>
      </c>
      <c r="T1560" s="1" t="str">
        <f>IF(AND(Raw!A1560="",Raw!B1560="",Raw!C1560="",Raw!D1560="",Raw!E1560="",Raw!F1560="",Raw!G1560=""),"UNUSED",IF(A1560="","missing line ID",IF(B1560="","missing transaction ID",IF(G1560="",IF(C1560="","missing date","invalid date"),IF(I1560="","unknown product",IF(J1560="","conflicting category",IF(NOT(OR(EXACT(K1560,"sale"),EXACT(K1560,"refund"))),"unknown event",IF(OR(N1560="",NOT(O1560)),"invalid amount",IF(OR(AND(K1560="sale",N1560&lt;=0),AND(K1560="refund",N1560&gt;=0)),"invalid sign","")))))))))</f>
        <v/>
      </c>
      <c r="U1560" s="1" t="str">
        <f t="shared" si="197"/>
        <v>INCLUDED</v>
      </c>
      <c r="V1560" s="1" t="str">
        <f t="shared" si="198"/>
        <v>2026-02</v>
      </c>
      <c r="W1560" s="1">
        <f>IF(AND(U1560="INCLUDED",X1560&gt;0,EXACT(A1560,'AI output'!A1560)),1,0)</f>
        <v>1</v>
      </c>
      <c r="X1560" s="1">
        <f>1560</f>
        <v>1560</v>
      </c>
      <c r="Y1560" s="1">
        <f>IF(AND(U1560="INCLUDED",W1560=1),--(NOT(EXACT(A1560,'AI output'!A1560)))+--(NOT(EXACT(B1560,'AI output'!B1560)))+--(NOT(EXACT(TEXT(G1560,"yyyy-mm-dd"),'AI output'!C1560)))+--(NOT(EXACT(H1560,'AI output'!D1560)))+--(NOT(EXACT(J1560,'AI output'!E1560)))+--(NOT(EXACT(K1560,'AI output'!F1560)))+--(N1560&lt;&gt;'AI output'!L1560)+--(NOT('AI output'!M1560)),0)</f>
        <v>0</v>
      </c>
      <c r="Z1560" s="1">
        <f t="shared" si="199"/>
        <v>0</v>
      </c>
      <c r="AA1560" s="1">
        <f>--EXACT(A1560,"L01554")</f>
        <v>1</v>
      </c>
    </row>
    <row r="1561" spans="1:27" ht="18.95" customHeight="1">
      <c r="A1561" s="1" t="str">
        <f>IF(Raw!A1561="","",Raw!A1561)</f>
        <v>L01555</v>
      </c>
      <c r="B1561" s="1" t="str">
        <f>IF(Raw!B1561="","",Raw!B1561)</f>
        <v>T00778</v>
      </c>
      <c r="C1561" s="1" t="str">
        <f>IF(Raw!C1561="","",Raw!C1561)</f>
        <v>2026-02-09</v>
      </c>
      <c r="D1561" s="1">
        <f t="shared" si="192"/>
        <v>2026</v>
      </c>
      <c r="E1561" s="1">
        <f>IFERROR(IF(AND(LEN(C1561)=10,MID(C1561,5,1)="-",MID(C1561,8,1)="-"),VALUE(MID(C1561,6,2)),IF(AND(LEN(C1561)=11,MID(C1561,3,1)="-",MID(C1561,7,1)="-"),MATCH(UPPER(MID(C1561,4,3)),Guide!$D$7:$D$18,0),0)),0)</f>
        <v>2</v>
      </c>
      <c r="F1561" s="1">
        <f t="shared" si="193"/>
        <v>9</v>
      </c>
      <c r="G1561" s="9">
        <f t="shared" si="194"/>
        <v>46062</v>
      </c>
      <c r="H1561" s="1" t="str">
        <f>IF(Raw!D1561="","",Raw!D1561)</f>
        <v>P-A</v>
      </c>
      <c r="I1561" s="1" t="str">
        <f>IFERROR(IF(EXACT(H1561,INDEX(Guide!$A$7:$A$9,MATCH(SUBSTITUTE(SUBSTITUTE(SUBSTITUTE(H1561,"~","~~"),"*","~*"),"?","~?"),Guide!$A$7:$A$9,0))),INDEX(Guide!$B$7:$B$9,MATCH(SUBSTITUTE(SUBSTITUTE(SUBSTITUTE(H1561,"~","~~"),"*","~*"),"?","~?"),Guide!$A$7:$A$9,0)),""),"")</f>
        <v>Accessories</v>
      </c>
      <c r="J1561" s="1" t="str">
        <f>IF(TRIM(Raw!E1561)="",I1561,IF(UPPER(TRIM(Raw!E1561))=UPPER(I1561),I1561,""))</f>
        <v>Accessories</v>
      </c>
      <c r="K1561" s="1" t="str">
        <f>IF(Raw!F1561="","",Raw!F1561)</f>
        <v>sale</v>
      </c>
      <c r="L1561" s="1" t="str">
        <f>IF(LEFT(TRIM(Raw!G1561),2)="-$","-"&amp;MID(TRIM(Raw!G1561),3,99),IF(LEFT(TRIM(Raw!G1561),1)="$",MID(TRIM(Raw!G1561),2,99),TRIM(Raw!G1561)))</f>
        <v>399.88</v>
      </c>
      <c r="M1561" s="1">
        <f t="shared" si="195"/>
        <v>399.88</v>
      </c>
      <c r="N1561" s="10">
        <f t="shared" si="196"/>
        <v>39988</v>
      </c>
      <c r="O1561" s="1" t="b">
        <f>IFERROR(IF(ISNUMBER(Raw!G1561),TRUE,OR(EXACT(L1561,TEXT(M1561,"0.00")),EXACT(L1561,TEXT(M1561,"#,##0.00")))),FALSE)</f>
        <v>1</v>
      </c>
      <c r="P1561" s="1" t="str">
        <f>LEN(IF(Raw!A1561="","",Raw!A1561))&amp;":"&amp;IF(Raw!A1561="","",Raw!A1561)&amp;"|"&amp;LEN(IF(Raw!B1561="","",Raw!B1561))&amp;":"&amp;IF(Raw!B1561="","",Raw!B1561)&amp;"|"&amp;LEN(IF(Raw!C1561="","",Raw!C1561))&amp;":"&amp;IF(Raw!C1561="","",Raw!C1561)&amp;"|"&amp;LEN(IF(Raw!D1561="","",Raw!D1561))&amp;":"&amp;IF(Raw!D1561="","",Raw!D1561)&amp;"|"&amp;LEN(IF(Raw!E1561="","",Raw!E1561))&amp;":"&amp;IF(Raw!E1561="","",Raw!E1561)&amp;"|"&amp;LEN(IF(Raw!F1561="","",Raw!F1561))&amp;":"&amp;IF(Raw!F1561="","",Raw!F1561)&amp;"|"&amp;LEN(IF(Raw!G1561="","",Raw!G1561))&amp;":"&amp;IF(Raw!G1561="","",Raw!G1561)</f>
        <v>6:L01555|6:T00778|10:2026-02-09|3:P-A|11:Accessories|4:sale|6:399.88</v>
      </c>
      <c r="Q1561" s="1">
        <f>1</f>
        <v>1</v>
      </c>
      <c r="R1561" s="1" t="b">
        <f>FALSE</f>
        <v>0</v>
      </c>
      <c r="S1561" s="1">
        <f>1</f>
        <v>1</v>
      </c>
      <c r="T1561" s="1" t="str">
        <f>IF(AND(Raw!A1561="",Raw!B1561="",Raw!C1561="",Raw!D1561="",Raw!E1561="",Raw!F1561="",Raw!G1561=""),"UNUSED",IF(A1561="","missing line ID",IF(B1561="","missing transaction ID",IF(G1561="",IF(C1561="","missing date","invalid date"),IF(I1561="","unknown product",IF(J1561="","conflicting category",IF(NOT(OR(EXACT(K1561,"sale"),EXACT(K1561,"refund"))),"unknown event",IF(OR(N1561="",NOT(O1561)),"invalid amount",IF(OR(AND(K1561="sale",N1561&lt;=0),AND(K1561="refund",N1561&gt;=0)),"invalid sign","")))))))))</f>
        <v/>
      </c>
      <c r="U1561" s="1" t="str">
        <f t="shared" si="197"/>
        <v>INCLUDED</v>
      </c>
      <c r="V1561" s="1" t="str">
        <f t="shared" si="198"/>
        <v>2026-02</v>
      </c>
      <c r="W1561" s="1">
        <f>IF(AND(U1561="INCLUDED",X1561&gt;0,EXACT(A1561,'AI output'!A1561)),1,0)</f>
        <v>1</v>
      </c>
      <c r="X1561" s="1">
        <f>1561</f>
        <v>1561</v>
      </c>
      <c r="Y1561" s="1">
        <f>IF(AND(U1561="INCLUDED",W1561=1),--(NOT(EXACT(A1561,'AI output'!A1561)))+--(NOT(EXACT(B1561,'AI output'!B1561)))+--(NOT(EXACT(TEXT(G1561,"yyyy-mm-dd"),'AI output'!C1561)))+--(NOT(EXACT(H1561,'AI output'!D1561)))+--(NOT(EXACT(J1561,'AI output'!E1561)))+--(NOT(EXACT(K1561,'AI output'!F1561)))+--(N1561&lt;&gt;'AI output'!L1561)+--(NOT('AI output'!M1561)),0)</f>
        <v>0</v>
      </c>
      <c r="Z1561" s="1">
        <f t="shared" si="199"/>
        <v>0</v>
      </c>
      <c r="AA1561" s="1">
        <f>--EXACT(A1561,"L01555")</f>
        <v>1</v>
      </c>
    </row>
    <row r="1562" spans="1:27" ht="18.95" customHeight="1">
      <c r="A1562" s="1" t="str">
        <f>IF(Raw!A1562="","",Raw!A1562)</f>
        <v>L01556</v>
      </c>
      <c r="B1562" s="1" t="str">
        <f>IF(Raw!B1562="","",Raw!B1562)</f>
        <v>T00778</v>
      </c>
      <c r="C1562" s="1" t="str">
        <f>IF(Raw!C1562="","",Raw!C1562)</f>
        <v>2026-02-09</v>
      </c>
      <c r="D1562" s="1">
        <f t="shared" si="192"/>
        <v>2026</v>
      </c>
      <c r="E1562" s="1">
        <f>IFERROR(IF(AND(LEN(C1562)=10,MID(C1562,5,1)="-",MID(C1562,8,1)="-"),VALUE(MID(C1562,6,2)),IF(AND(LEN(C1562)=11,MID(C1562,3,1)="-",MID(C1562,7,1)="-"),MATCH(UPPER(MID(C1562,4,3)),Guide!$D$7:$D$18,0),0)),0)</f>
        <v>2</v>
      </c>
      <c r="F1562" s="1">
        <f t="shared" si="193"/>
        <v>9</v>
      </c>
      <c r="G1562" s="9">
        <f t="shared" si="194"/>
        <v>46062</v>
      </c>
      <c r="H1562" s="1" t="str">
        <f>IF(Raw!D1562="","",Raw!D1562)</f>
        <v>P-H</v>
      </c>
      <c r="I1562" s="1" t="str">
        <f>IFERROR(IF(EXACT(H1562,INDEX(Guide!$A$7:$A$9,MATCH(SUBSTITUTE(SUBSTITUTE(SUBSTITUTE(H1562,"~","~~"),"*","~*"),"?","~?"),Guide!$A$7:$A$9,0))),INDEX(Guide!$B$7:$B$9,MATCH(SUBSTITUTE(SUBSTITUTE(SUBSTITUTE(H1562,"~","~~"),"*","~*"),"?","~?"),Guide!$A$7:$A$9,0)),""),"")</f>
        <v>Home</v>
      </c>
      <c r="J1562" s="1" t="str">
        <f>IF(TRIM(Raw!E1562)="",I1562,IF(UPPER(TRIM(Raw!E1562))=UPPER(I1562),I1562,""))</f>
        <v>Home</v>
      </c>
      <c r="K1562" s="1" t="str">
        <f>IF(Raw!F1562="","",Raw!F1562)</f>
        <v>sale</v>
      </c>
      <c r="L1562" s="1" t="str">
        <f>IF(LEFT(TRIM(Raw!G1562),2)="-$","-"&amp;MID(TRIM(Raw!G1562),3,99),IF(LEFT(TRIM(Raw!G1562),1)="$",MID(TRIM(Raw!G1562),2,99),TRIM(Raw!G1562)))</f>
        <v>100.34</v>
      </c>
      <c r="M1562" s="1">
        <f t="shared" si="195"/>
        <v>100.34</v>
      </c>
      <c r="N1562" s="10">
        <f t="shared" si="196"/>
        <v>10034</v>
      </c>
      <c r="O1562" s="1" t="b">
        <f>IFERROR(IF(ISNUMBER(Raw!G1562),TRUE,OR(EXACT(L1562,TEXT(M1562,"0.00")),EXACT(L1562,TEXT(M1562,"#,##0.00")))),FALSE)</f>
        <v>1</v>
      </c>
      <c r="P1562" s="1" t="str">
        <f>LEN(IF(Raw!A1562="","",Raw!A1562))&amp;":"&amp;IF(Raw!A1562="","",Raw!A1562)&amp;"|"&amp;LEN(IF(Raw!B1562="","",Raw!B1562))&amp;":"&amp;IF(Raw!B1562="","",Raw!B1562)&amp;"|"&amp;LEN(IF(Raw!C1562="","",Raw!C1562))&amp;":"&amp;IF(Raw!C1562="","",Raw!C1562)&amp;"|"&amp;LEN(IF(Raw!D1562="","",Raw!D1562))&amp;":"&amp;IF(Raw!D1562="","",Raw!D1562)&amp;"|"&amp;LEN(IF(Raw!E1562="","",Raw!E1562))&amp;":"&amp;IF(Raw!E1562="","",Raw!E1562)&amp;"|"&amp;LEN(IF(Raw!F1562="","",Raw!F1562))&amp;":"&amp;IF(Raw!F1562="","",Raw!F1562)&amp;"|"&amp;LEN(IF(Raw!G1562="","",Raw!G1562))&amp;":"&amp;IF(Raw!G1562="","",Raw!G1562)</f>
        <v>6:L01556|6:T00778|10:2026-02-09|3:P-H|4:Home|4:sale|6:100.34</v>
      </c>
      <c r="Q1562" s="1">
        <f>1</f>
        <v>1</v>
      </c>
      <c r="R1562" s="1" t="b">
        <f>FALSE</f>
        <v>0</v>
      </c>
      <c r="S1562" s="1">
        <f>1</f>
        <v>1</v>
      </c>
      <c r="T1562" s="1" t="str">
        <f>IF(AND(Raw!A1562="",Raw!B1562="",Raw!C1562="",Raw!D1562="",Raw!E1562="",Raw!F1562="",Raw!G1562=""),"UNUSED",IF(A1562="","missing line ID",IF(B1562="","missing transaction ID",IF(G1562="",IF(C1562="","missing date","invalid date"),IF(I1562="","unknown product",IF(J1562="","conflicting category",IF(NOT(OR(EXACT(K1562,"sale"),EXACT(K1562,"refund"))),"unknown event",IF(OR(N1562="",NOT(O1562)),"invalid amount",IF(OR(AND(K1562="sale",N1562&lt;=0),AND(K1562="refund",N1562&gt;=0)),"invalid sign","")))))))))</f>
        <v/>
      </c>
      <c r="U1562" s="1" t="str">
        <f t="shared" si="197"/>
        <v>INCLUDED</v>
      </c>
      <c r="V1562" s="1" t="str">
        <f t="shared" si="198"/>
        <v>2026-02</v>
      </c>
      <c r="W1562" s="1">
        <f>IF(AND(U1562="INCLUDED",X1562&gt;0,EXACT(A1562,'AI output'!A1562)),1,0)</f>
        <v>1</v>
      </c>
      <c r="X1562" s="1">
        <f>1562</f>
        <v>1562</v>
      </c>
      <c r="Y1562" s="1">
        <f>IF(AND(U1562="INCLUDED",W1562=1),--(NOT(EXACT(A1562,'AI output'!A1562)))+--(NOT(EXACT(B1562,'AI output'!B1562)))+--(NOT(EXACT(TEXT(G1562,"yyyy-mm-dd"),'AI output'!C1562)))+--(NOT(EXACT(H1562,'AI output'!D1562)))+--(NOT(EXACT(J1562,'AI output'!E1562)))+--(NOT(EXACT(K1562,'AI output'!F1562)))+--(N1562&lt;&gt;'AI output'!L1562)+--(NOT('AI output'!M1562)),0)</f>
        <v>0</v>
      </c>
      <c r="Z1562" s="1">
        <f t="shared" si="199"/>
        <v>0</v>
      </c>
      <c r="AA1562" s="1">
        <f>--EXACT(A1562,"L01556")</f>
        <v>1</v>
      </c>
    </row>
    <row r="1563" spans="1:27" ht="18.95" customHeight="1">
      <c r="A1563" s="1" t="str">
        <f>IF(Raw!A1563="","",Raw!A1563)</f>
        <v>L01557</v>
      </c>
      <c r="B1563" s="1" t="str">
        <f>IF(Raw!B1563="","",Raw!B1563)</f>
        <v>T00779</v>
      </c>
      <c r="C1563" s="1" t="str">
        <f>IF(Raw!C1563="","",Raw!C1563)</f>
        <v>2026-02-16</v>
      </c>
      <c r="D1563" s="1">
        <f t="shared" si="192"/>
        <v>2026</v>
      </c>
      <c r="E1563" s="1">
        <f>IFERROR(IF(AND(LEN(C1563)=10,MID(C1563,5,1)="-",MID(C1563,8,1)="-"),VALUE(MID(C1563,6,2)),IF(AND(LEN(C1563)=11,MID(C1563,3,1)="-",MID(C1563,7,1)="-"),MATCH(UPPER(MID(C1563,4,3)),Guide!$D$7:$D$18,0),0)),0)</f>
        <v>2</v>
      </c>
      <c r="F1563" s="1">
        <f t="shared" si="193"/>
        <v>16</v>
      </c>
      <c r="G1563" s="9">
        <f t="shared" si="194"/>
        <v>46069</v>
      </c>
      <c r="H1563" s="1" t="str">
        <f>IF(Raw!D1563="","",Raw!D1563)</f>
        <v>P-O</v>
      </c>
      <c r="I1563" s="1" t="str">
        <f>IFERROR(IF(EXACT(H1563,INDEX(Guide!$A$7:$A$9,MATCH(SUBSTITUTE(SUBSTITUTE(SUBSTITUTE(H1563,"~","~~"),"*","~*"),"?","~?"),Guide!$A$7:$A$9,0))),INDEX(Guide!$B$7:$B$9,MATCH(SUBSTITUTE(SUBSTITUTE(SUBSTITUTE(H1563,"~","~~"),"*","~*"),"?","~?"),Guide!$A$7:$A$9,0)),""),"")</f>
        <v>Office</v>
      </c>
      <c r="J1563" s="1" t="str">
        <f>IF(TRIM(Raw!E1563)="",I1563,IF(UPPER(TRIM(Raw!E1563))=UPPER(I1563),I1563,""))</f>
        <v>Office</v>
      </c>
      <c r="K1563" s="1" t="str">
        <f>IF(Raw!F1563="","",Raw!F1563)</f>
        <v>sale</v>
      </c>
      <c r="L1563" s="1" t="str">
        <f>IF(LEFT(TRIM(Raw!G1563),2)="-$","-"&amp;MID(TRIM(Raw!G1563),3,99),IF(LEFT(TRIM(Raw!G1563),1)="$",MID(TRIM(Raw!G1563),2,99),TRIM(Raw!G1563)))</f>
        <v>302.13</v>
      </c>
      <c r="M1563" s="1">
        <f t="shared" si="195"/>
        <v>302.13</v>
      </c>
      <c r="N1563" s="10">
        <f t="shared" si="196"/>
        <v>30213</v>
      </c>
      <c r="O1563" s="1" t="b">
        <f>IFERROR(IF(ISNUMBER(Raw!G1563),TRUE,OR(EXACT(L1563,TEXT(M1563,"0.00")),EXACT(L1563,TEXT(M1563,"#,##0.00")))),FALSE)</f>
        <v>1</v>
      </c>
      <c r="P1563" s="1" t="str">
        <f>LEN(IF(Raw!A1563="","",Raw!A1563))&amp;":"&amp;IF(Raw!A1563="","",Raw!A1563)&amp;"|"&amp;LEN(IF(Raw!B1563="","",Raw!B1563))&amp;":"&amp;IF(Raw!B1563="","",Raw!B1563)&amp;"|"&amp;LEN(IF(Raw!C1563="","",Raw!C1563))&amp;":"&amp;IF(Raw!C1563="","",Raw!C1563)&amp;"|"&amp;LEN(IF(Raw!D1563="","",Raw!D1563))&amp;":"&amp;IF(Raw!D1563="","",Raw!D1563)&amp;"|"&amp;LEN(IF(Raw!E1563="","",Raw!E1563))&amp;":"&amp;IF(Raw!E1563="","",Raw!E1563)&amp;"|"&amp;LEN(IF(Raw!F1563="","",Raw!F1563))&amp;":"&amp;IF(Raw!F1563="","",Raw!F1563)&amp;"|"&amp;LEN(IF(Raw!G1563="","",Raw!G1563))&amp;":"&amp;IF(Raw!G1563="","",Raw!G1563)</f>
        <v>6:L01557|6:T00779|10:2026-02-16|3:P-O|6:Office|4:sale|6:302.13</v>
      </c>
      <c r="Q1563" s="1">
        <f>1</f>
        <v>1</v>
      </c>
      <c r="R1563" s="1" t="b">
        <f>FALSE</f>
        <v>0</v>
      </c>
      <c r="S1563" s="1">
        <f>1</f>
        <v>1</v>
      </c>
      <c r="T1563" s="1" t="str">
        <f>IF(AND(Raw!A1563="",Raw!B1563="",Raw!C1563="",Raw!D1563="",Raw!E1563="",Raw!F1563="",Raw!G1563=""),"UNUSED",IF(A1563="","missing line ID",IF(B1563="","missing transaction ID",IF(G1563="",IF(C1563="","missing date","invalid date"),IF(I1563="","unknown product",IF(J1563="","conflicting category",IF(NOT(OR(EXACT(K1563,"sale"),EXACT(K1563,"refund"))),"unknown event",IF(OR(N1563="",NOT(O1563)),"invalid amount",IF(OR(AND(K1563="sale",N1563&lt;=0),AND(K1563="refund",N1563&gt;=0)),"invalid sign","")))))))))</f>
        <v/>
      </c>
      <c r="U1563" s="1" t="str">
        <f t="shared" si="197"/>
        <v>INCLUDED</v>
      </c>
      <c r="V1563" s="1" t="str">
        <f t="shared" si="198"/>
        <v>2026-02</v>
      </c>
      <c r="W1563" s="1">
        <f>IF(AND(U1563="INCLUDED",X1563&gt;0,EXACT(A1563,'AI output'!A1563)),1,0)</f>
        <v>1</v>
      </c>
      <c r="X1563" s="1">
        <f>1563</f>
        <v>1563</v>
      </c>
      <c r="Y1563" s="1">
        <f>IF(AND(U1563="INCLUDED",W1563=1),--(NOT(EXACT(A1563,'AI output'!A1563)))+--(NOT(EXACT(B1563,'AI output'!B1563)))+--(NOT(EXACT(TEXT(G1563,"yyyy-mm-dd"),'AI output'!C1563)))+--(NOT(EXACT(H1563,'AI output'!D1563)))+--(NOT(EXACT(J1563,'AI output'!E1563)))+--(NOT(EXACT(K1563,'AI output'!F1563)))+--(N1563&lt;&gt;'AI output'!L1563)+--(NOT('AI output'!M1563)),0)</f>
        <v>0</v>
      </c>
      <c r="Z1563" s="1">
        <f t="shared" si="199"/>
        <v>0</v>
      </c>
      <c r="AA1563" s="1">
        <f>--EXACT(A1563,"L01557")</f>
        <v>1</v>
      </c>
    </row>
    <row r="1564" spans="1:27" ht="18.95" customHeight="1">
      <c r="A1564" s="1" t="str">
        <f>IF(Raw!A1564="","",Raw!A1564)</f>
        <v>L01558</v>
      </c>
      <c r="B1564" s="1" t="str">
        <f>IF(Raw!B1564="","",Raw!B1564)</f>
        <v>T00779</v>
      </c>
      <c r="C1564" s="1" t="str">
        <f>IF(Raw!C1564="","",Raw!C1564)</f>
        <v>2026-02-16</v>
      </c>
      <c r="D1564" s="1">
        <f t="shared" si="192"/>
        <v>2026</v>
      </c>
      <c r="E1564" s="1">
        <f>IFERROR(IF(AND(LEN(C1564)=10,MID(C1564,5,1)="-",MID(C1564,8,1)="-"),VALUE(MID(C1564,6,2)),IF(AND(LEN(C1564)=11,MID(C1564,3,1)="-",MID(C1564,7,1)="-"),MATCH(UPPER(MID(C1564,4,3)),Guide!$D$7:$D$18,0),0)),0)</f>
        <v>2</v>
      </c>
      <c r="F1564" s="1">
        <f t="shared" si="193"/>
        <v>16</v>
      </c>
      <c r="G1564" s="9">
        <f t="shared" si="194"/>
        <v>46069</v>
      </c>
      <c r="H1564" s="1" t="str">
        <f>IF(Raw!D1564="","",Raw!D1564)</f>
        <v>P-A</v>
      </c>
      <c r="I1564" s="1" t="str">
        <f>IFERROR(IF(EXACT(H1564,INDEX(Guide!$A$7:$A$9,MATCH(SUBSTITUTE(SUBSTITUTE(SUBSTITUTE(H1564,"~","~~"),"*","~*"),"?","~?"),Guide!$A$7:$A$9,0))),INDEX(Guide!$B$7:$B$9,MATCH(SUBSTITUTE(SUBSTITUTE(SUBSTITUTE(H1564,"~","~~"),"*","~*"),"?","~?"),Guide!$A$7:$A$9,0)),""),"")</f>
        <v>Accessories</v>
      </c>
      <c r="J1564" s="1" t="str">
        <f>IF(TRIM(Raw!E1564)="",I1564,IF(UPPER(TRIM(Raw!E1564))=UPPER(I1564),I1564,""))</f>
        <v>Accessories</v>
      </c>
      <c r="K1564" s="1" t="str">
        <f>IF(Raw!F1564="","",Raw!F1564)</f>
        <v>sale</v>
      </c>
      <c r="L1564" s="1" t="str">
        <f>IF(LEFT(TRIM(Raw!G1564),2)="-$","-"&amp;MID(TRIM(Raw!G1564),3,99),IF(LEFT(TRIM(Raw!G1564),1)="$",MID(TRIM(Raw!G1564),2,99),TRIM(Raw!G1564)))</f>
        <v>505.40</v>
      </c>
      <c r="M1564" s="1">
        <f t="shared" si="195"/>
        <v>505.4</v>
      </c>
      <c r="N1564" s="10">
        <f t="shared" si="196"/>
        <v>50540</v>
      </c>
      <c r="O1564" s="1" t="b">
        <f>IFERROR(IF(ISNUMBER(Raw!G1564),TRUE,OR(EXACT(L1564,TEXT(M1564,"0.00")),EXACT(L1564,TEXT(M1564,"#,##0.00")))),FALSE)</f>
        <v>1</v>
      </c>
      <c r="P1564" s="1" t="str">
        <f>LEN(IF(Raw!A1564="","",Raw!A1564))&amp;":"&amp;IF(Raw!A1564="","",Raw!A1564)&amp;"|"&amp;LEN(IF(Raw!B1564="","",Raw!B1564))&amp;":"&amp;IF(Raw!B1564="","",Raw!B1564)&amp;"|"&amp;LEN(IF(Raw!C1564="","",Raw!C1564))&amp;":"&amp;IF(Raw!C1564="","",Raw!C1564)&amp;"|"&amp;LEN(IF(Raw!D1564="","",Raw!D1564))&amp;":"&amp;IF(Raw!D1564="","",Raw!D1564)&amp;"|"&amp;LEN(IF(Raw!E1564="","",Raw!E1564))&amp;":"&amp;IF(Raw!E1564="","",Raw!E1564)&amp;"|"&amp;LEN(IF(Raw!F1564="","",Raw!F1564))&amp;":"&amp;IF(Raw!F1564="","",Raw!F1564)&amp;"|"&amp;LEN(IF(Raw!G1564="","",Raw!G1564))&amp;":"&amp;IF(Raw!G1564="","",Raw!G1564)</f>
        <v>6:L01558|6:T00779|10:2026-02-16|3:P-A|11:Accessories|4:sale|6:505.40</v>
      </c>
      <c r="Q1564" s="1">
        <f>1</f>
        <v>1</v>
      </c>
      <c r="R1564" s="1" t="b">
        <f>FALSE</f>
        <v>0</v>
      </c>
      <c r="S1564" s="1">
        <f>1</f>
        <v>1</v>
      </c>
      <c r="T1564" s="1" t="str">
        <f>IF(AND(Raw!A1564="",Raw!B1564="",Raw!C1564="",Raw!D1564="",Raw!E1564="",Raw!F1564="",Raw!G1564=""),"UNUSED",IF(A1564="","missing line ID",IF(B1564="","missing transaction ID",IF(G1564="",IF(C1564="","missing date","invalid date"),IF(I1564="","unknown product",IF(J1564="","conflicting category",IF(NOT(OR(EXACT(K1564,"sale"),EXACT(K1564,"refund"))),"unknown event",IF(OR(N1564="",NOT(O1564)),"invalid amount",IF(OR(AND(K1564="sale",N1564&lt;=0),AND(K1564="refund",N1564&gt;=0)),"invalid sign","")))))))))</f>
        <v/>
      </c>
      <c r="U1564" s="1" t="str">
        <f t="shared" si="197"/>
        <v>INCLUDED</v>
      </c>
      <c r="V1564" s="1" t="str">
        <f t="shared" si="198"/>
        <v>2026-02</v>
      </c>
      <c r="W1564" s="1">
        <f>IF(AND(U1564="INCLUDED",X1564&gt;0,EXACT(A1564,'AI output'!A1564)),1,0)</f>
        <v>1</v>
      </c>
      <c r="X1564" s="1">
        <f>1564</f>
        <v>1564</v>
      </c>
      <c r="Y1564" s="1">
        <f>IF(AND(U1564="INCLUDED",W1564=1),--(NOT(EXACT(A1564,'AI output'!A1564)))+--(NOT(EXACT(B1564,'AI output'!B1564)))+--(NOT(EXACT(TEXT(G1564,"yyyy-mm-dd"),'AI output'!C1564)))+--(NOT(EXACT(H1564,'AI output'!D1564)))+--(NOT(EXACT(J1564,'AI output'!E1564)))+--(NOT(EXACT(K1564,'AI output'!F1564)))+--(N1564&lt;&gt;'AI output'!L1564)+--(NOT('AI output'!M1564)),0)</f>
        <v>0</v>
      </c>
      <c r="Z1564" s="1">
        <f t="shared" si="199"/>
        <v>0</v>
      </c>
      <c r="AA1564" s="1">
        <f>--EXACT(A1564,"L01558")</f>
        <v>1</v>
      </c>
    </row>
    <row r="1565" spans="1:27" ht="18.95" customHeight="1">
      <c r="A1565" s="1" t="str">
        <f>IF(Raw!A1565="","",Raw!A1565)</f>
        <v>L01559</v>
      </c>
      <c r="B1565" s="1" t="str">
        <f>IF(Raw!B1565="","",Raw!B1565)</f>
        <v>T00780</v>
      </c>
      <c r="C1565" s="1" t="str">
        <f>IF(Raw!C1565="","",Raw!C1565)</f>
        <v>2026-02-23</v>
      </c>
      <c r="D1565" s="1">
        <f t="shared" si="192"/>
        <v>2026</v>
      </c>
      <c r="E1565" s="1">
        <f>IFERROR(IF(AND(LEN(C1565)=10,MID(C1565,5,1)="-",MID(C1565,8,1)="-"),VALUE(MID(C1565,6,2)),IF(AND(LEN(C1565)=11,MID(C1565,3,1)="-",MID(C1565,7,1)="-"),MATCH(UPPER(MID(C1565,4,3)),Guide!$D$7:$D$18,0),0)),0)</f>
        <v>2</v>
      </c>
      <c r="F1565" s="1">
        <f t="shared" si="193"/>
        <v>23</v>
      </c>
      <c r="G1565" s="9">
        <f t="shared" si="194"/>
        <v>46076</v>
      </c>
      <c r="H1565" s="1" t="str">
        <f>IF(Raw!D1565="","",Raw!D1565)</f>
        <v>P-H</v>
      </c>
      <c r="I1565" s="1" t="str">
        <f>IFERROR(IF(EXACT(H1565,INDEX(Guide!$A$7:$A$9,MATCH(SUBSTITUTE(SUBSTITUTE(SUBSTITUTE(H1565,"~","~~"),"*","~*"),"?","~?"),Guide!$A$7:$A$9,0))),INDEX(Guide!$B$7:$B$9,MATCH(SUBSTITUTE(SUBSTITUTE(SUBSTITUTE(H1565,"~","~~"),"*","~*"),"?","~?"),Guide!$A$7:$A$9,0)),""),"")</f>
        <v>Home</v>
      </c>
      <c r="J1565" s="1" t="str">
        <f>IF(TRIM(Raw!E1565)="",I1565,IF(UPPER(TRIM(Raw!E1565))=UPPER(I1565),I1565,""))</f>
        <v>Home</v>
      </c>
      <c r="K1565" s="1" t="str">
        <f>IF(Raw!F1565="","",Raw!F1565)</f>
        <v>sale</v>
      </c>
      <c r="L1565" s="1" t="str">
        <f>IF(LEFT(TRIM(Raw!G1565),2)="-$","-"&amp;MID(TRIM(Raw!G1565),3,99),IF(LEFT(TRIM(Raw!G1565),1)="$",MID(TRIM(Raw!G1565),2,99),TRIM(Raw!G1565)))</f>
        <v>202.90</v>
      </c>
      <c r="M1565" s="1">
        <f t="shared" si="195"/>
        <v>202.9</v>
      </c>
      <c r="N1565" s="10">
        <f t="shared" si="196"/>
        <v>20290</v>
      </c>
      <c r="O1565" s="1" t="b">
        <f>IFERROR(IF(ISNUMBER(Raw!G1565),TRUE,OR(EXACT(L1565,TEXT(M1565,"0.00")),EXACT(L1565,TEXT(M1565,"#,##0.00")))),FALSE)</f>
        <v>1</v>
      </c>
      <c r="P1565" s="1" t="str">
        <f>LEN(IF(Raw!A1565="","",Raw!A1565))&amp;":"&amp;IF(Raw!A1565="","",Raw!A1565)&amp;"|"&amp;LEN(IF(Raw!B1565="","",Raw!B1565))&amp;":"&amp;IF(Raw!B1565="","",Raw!B1565)&amp;"|"&amp;LEN(IF(Raw!C1565="","",Raw!C1565))&amp;":"&amp;IF(Raw!C1565="","",Raw!C1565)&amp;"|"&amp;LEN(IF(Raw!D1565="","",Raw!D1565))&amp;":"&amp;IF(Raw!D1565="","",Raw!D1565)&amp;"|"&amp;LEN(IF(Raw!E1565="","",Raw!E1565))&amp;":"&amp;IF(Raw!E1565="","",Raw!E1565)&amp;"|"&amp;LEN(IF(Raw!F1565="","",Raw!F1565))&amp;":"&amp;IF(Raw!F1565="","",Raw!F1565)&amp;"|"&amp;LEN(IF(Raw!G1565="","",Raw!G1565))&amp;":"&amp;IF(Raw!G1565="","",Raw!G1565)</f>
        <v>6:L01559|6:T00780|10:2026-02-23|3:P-H|4:Home|4:sale|6:202.90</v>
      </c>
      <c r="Q1565" s="1">
        <f>1</f>
        <v>1</v>
      </c>
      <c r="R1565" s="1" t="b">
        <f>FALSE</f>
        <v>0</v>
      </c>
      <c r="S1565" s="1">
        <f>1</f>
        <v>1</v>
      </c>
      <c r="T1565" s="1" t="str">
        <f>IF(AND(Raw!A1565="",Raw!B1565="",Raw!C1565="",Raw!D1565="",Raw!E1565="",Raw!F1565="",Raw!G1565=""),"UNUSED",IF(A1565="","missing line ID",IF(B1565="","missing transaction ID",IF(G1565="",IF(C1565="","missing date","invalid date"),IF(I1565="","unknown product",IF(J1565="","conflicting category",IF(NOT(OR(EXACT(K1565,"sale"),EXACT(K1565,"refund"))),"unknown event",IF(OR(N1565="",NOT(O1565)),"invalid amount",IF(OR(AND(K1565="sale",N1565&lt;=0),AND(K1565="refund",N1565&gt;=0)),"invalid sign","")))))))))</f>
        <v/>
      </c>
      <c r="U1565" s="1" t="str">
        <f t="shared" si="197"/>
        <v>INCLUDED</v>
      </c>
      <c r="V1565" s="1" t="str">
        <f t="shared" si="198"/>
        <v>2026-02</v>
      </c>
      <c r="W1565" s="1">
        <f>IF(AND(U1565="INCLUDED",X1565&gt;0,EXACT(A1565,'AI output'!A1565)),1,0)</f>
        <v>1</v>
      </c>
      <c r="X1565" s="1">
        <f>1565</f>
        <v>1565</v>
      </c>
      <c r="Y1565" s="1">
        <f>IF(AND(U1565="INCLUDED",W1565=1),--(NOT(EXACT(A1565,'AI output'!A1565)))+--(NOT(EXACT(B1565,'AI output'!B1565)))+--(NOT(EXACT(TEXT(G1565,"yyyy-mm-dd"),'AI output'!C1565)))+--(NOT(EXACT(H1565,'AI output'!D1565)))+--(NOT(EXACT(J1565,'AI output'!E1565)))+--(NOT(EXACT(K1565,'AI output'!F1565)))+--(N1565&lt;&gt;'AI output'!L1565)+--(NOT('AI output'!M1565)),0)</f>
        <v>0</v>
      </c>
      <c r="Z1565" s="1">
        <f t="shared" si="199"/>
        <v>0</v>
      </c>
      <c r="AA1565" s="1">
        <f>--EXACT(A1565,"L01559")</f>
        <v>1</v>
      </c>
    </row>
    <row r="1566" spans="1:27" ht="18.95" customHeight="1">
      <c r="A1566" s="1" t="str">
        <f>IF(Raw!A1566="","",Raw!A1566)</f>
        <v>L01560</v>
      </c>
      <c r="B1566" s="1" t="str">
        <f>IF(Raw!B1566="","",Raw!B1566)</f>
        <v>T00780</v>
      </c>
      <c r="C1566" s="1" t="str">
        <f>IF(Raw!C1566="","",Raw!C1566)</f>
        <v>2026-02-23</v>
      </c>
      <c r="D1566" s="1">
        <f t="shared" si="192"/>
        <v>2026</v>
      </c>
      <c r="E1566" s="1">
        <f>IFERROR(IF(AND(LEN(C1566)=10,MID(C1566,5,1)="-",MID(C1566,8,1)="-"),VALUE(MID(C1566,6,2)),IF(AND(LEN(C1566)=11,MID(C1566,3,1)="-",MID(C1566,7,1)="-"),MATCH(UPPER(MID(C1566,4,3)),Guide!$D$7:$D$18,0),0)),0)</f>
        <v>2</v>
      </c>
      <c r="F1566" s="1">
        <f t="shared" si="193"/>
        <v>23</v>
      </c>
      <c r="G1566" s="9">
        <f t="shared" si="194"/>
        <v>46076</v>
      </c>
      <c r="H1566" s="1" t="str">
        <f>IF(Raw!D1566="","",Raw!D1566)</f>
        <v>P-O</v>
      </c>
      <c r="I1566" s="1" t="str">
        <f>IFERROR(IF(EXACT(H1566,INDEX(Guide!$A$7:$A$9,MATCH(SUBSTITUTE(SUBSTITUTE(SUBSTITUTE(H1566,"~","~~"),"*","~*"),"?","~?"),Guide!$A$7:$A$9,0))),INDEX(Guide!$B$7:$B$9,MATCH(SUBSTITUTE(SUBSTITUTE(SUBSTITUTE(H1566,"~","~~"),"*","~*"),"?","~?"),Guide!$A$7:$A$9,0)),""),"")</f>
        <v>Office</v>
      </c>
      <c r="J1566" s="1" t="str">
        <f>IF(TRIM(Raw!E1566)="",I1566,IF(UPPER(TRIM(Raw!E1566))=UPPER(I1566),I1566,""))</f>
        <v>Office</v>
      </c>
      <c r="K1566" s="1" t="str">
        <f>IF(Raw!F1566="","",Raw!F1566)</f>
        <v>sale</v>
      </c>
      <c r="L1566" s="1" t="str">
        <f>IF(LEFT(TRIM(Raw!G1566),2)="-$","-"&amp;MID(TRIM(Raw!G1566),3,99),IF(LEFT(TRIM(Raw!G1566),1)="$",MID(TRIM(Raw!G1566),2,99),TRIM(Raw!G1566)))</f>
        <v>407.28</v>
      </c>
      <c r="M1566" s="1">
        <f t="shared" si="195"/>
        <v>407.28</v>
      </c>
      <c r="N1566" s="10">
        <f t="shared" si="196"/>
        <v>40728</v>
      </c>
      <c r="O1566" s="1" t="b">
        <f>IFERROR(IF(ISNUMBER(Raw!G1566),TRUE,OR(EXACT(L1566,TEXT(M1566,"0.00")),EXACT(L1566,TEXT(M1566,"#,##0.00")))),FALSE)</f>
        <v>1</v>
      </c>
      <c r="P1566" s="1" t="str">
        <f>LEN(IF(Raw!A1566="","",Raw!A1566))&amp;":"&amp;IF(Raw!A1566="","",Raw!A1566)&amp;"|"&amp;LEN(IF(Raw!B1566="","",Raw!B1566))&amp;":"&amp;IF(Raw!B1566="","",Raw!B1566)&amp;"|"&amp;LEN(IF(Raw!C1566="","",Raw!C1566))&amp;":"&amp;IF(Raw!C1566="","",Raw!C1566)&amp;"|"&amp;LEN(IF(Raw!D1566="","",Raw!D1566))&amp;":"&amp;IF(Raw!D1566="","",Raw!D1566)&amp;"|"&amp;LEN(IF(Raw!E1566="","",Raw!E1566))&amp;":"&amp;IF(Raw!E1566="","",Raw!E1566)&amp;"|"&amp;LEN(IF(Raw!F1566="","",Raw!F1566))&amp;":"&amp;IF(Raw!F1566="","",Raw!F1566)&amp;"|"&amp;LEN(IF(Raw!G1566="","",Raw!G1566))&amp;":"&amp;IF(Raw!G1566="","",Raw!G1566)</f>
        <v>6:L01560|6:T00780|10:2026-02-23|3:P-O|6:Office|4:sale|6:407.28</v>
      </c>
      <c r="Q1566" s="1">
        <f>1</f>
        <v>1</v>
      </c>
      <c r="R1566" s="1" t="b">
        <f>FALSE</f>
        <v>0</v>
      </c>
      <c r="S1566" s="1">
        <f>1</f>
        <v>1</v>
      </c>
      <c r="T1566" s="1" t="str">
        <f>IF(AND(Raw!A1566="",Raw!B1566="",Raw!C1566="",Raw!D1566="",Raw!E1566="",Raw!F1566="",Raw!G1566=""),"UNUSED",IF(A1566="","missing line ID",IF(B1566="","missing transaction ID",IF(G1566="",IF(C1566="","missing date","invalid date"),IF(I1566="","unknown product",IF(J1566="","conflicting category",IF(NOT(OR(EXACT(K1566,"sale"),EXACT(K1566,"refund"))),"unknown event",IF(OR(N1566="",NOT(O1566)),"invalid amount",IF(OR(AND(K1566="sale",N1566&lt;=0),AND(K1566="refund",N1566&gt;=0)),"invalid sign","")))))))))</f>
        <v/>
      </c>
      <c r="U1566" s="1" t="str">
        <f t="shared" si="197"/>
        <v>INCLUDED</v>
      </c>
      <c r="V1566" s="1" t="str">
        <f t="shared" si="198"/>
        <v>2026-02</v>
      </c>
      <c r="W1566" s="1">
        <f>IF(AND(U1566="INCLUDED",X1566&gt;0,EXACT(A1566,'AI output'!A1566)),1,0)</f>
        <v>1</v>
      </c>
      <c r="X1566" s="1">
        <f>1566</f>
        <v>1566</v>
      </c>
      <c r="Y1566" s="1">
        <f>IF(AND(U1566="INCLUDED",W1566=1),--(NOT(EXACT(A1566,'AI output'!A1566)))+--(NOT(EXACT(B1566,'AI output'!B1566)))+--(NOT(EXACT(TEXT(G1566,"yyyy-mm-dd"),'AI output'!C1566)))+--(NOT(EXACT(H1566,'AI output'!D1566)))+--(NOT(EXACT(J1566,'AI output'!E1566)))+--(NOT(EXACT(K1566,'AI output'!F1566)))+--(N1566&lt;&gt;'AI output'!L1566)+--(NOT('AI output'!M1566)),0)</f>
        <v>0</v>
      </c>
      <c r="Z1566" s="1">
        <f t="shared" si="199"/>
        <v>0</v>
      </c>
      <c r="AA1566" s="1">
        <f>--EXACT(A1566,"L01560")</f>
        <v>1</v>
      </c>
    </row>
    <row r="1567" spans="1:27" ht="18.95" customHeight="1">
      <c r="A1567" s="1" t="str">
        <f>IF(Raw!A1567="","",Raw!A1567)</f>
        <v>L01561</v>
      </c>
      <c r="B1567" s="1" t="str">
        <f>IF(Raw!B1567="","",Raw!B1567)</f>
        <v>T00781</v>
      </c>
      <c r="C1567" s="1" t="str">
        <f>IF(Raw!C1567="","",Raw!C1567)</f>
        <v>2026-03-02</v>
      </c>
      <c r="D1567" s="1">
        <f t="shared" si="192"/>
        <v>2026</v>
      </c>
      <c r="E1567" s="1">
        <f>IFERROR(IF(AND(LEN(C1567)=10,MID(C1567,5,1)="-",MID(C1567,8,1)="-"),VALUE(MID(C1567,6,2)),IF(AND(LEN(C1567)=11,MID(C1567,3,1)="-",MID(C1567,7,1)="-"),MATCH(UPPER(MID(C1567,4,3)),Guide!$D$7:$D$18,0),0)),0)</f>
        <v>3</v>
      </c>
      <c r="F1567" s="1">
        <f t="shared" si="193"/>
        <v>2</v>
      </c>
      <c r="G1567" s="9">
        <f t="shared" si="194"/>
        <v>46083</v>
      </c>
      <c r="H1567" s="1" t="str">
        <f>IF(Raw!D1567="","",Raw!D1567)</f>
        <v>P-A</v>
      </c>
      <c r="I1567" s="1" t="str">
        <f>IFERROR(IF(EXACT(H1567,INDEX(Guide!$A$7:$A$9,MATCH(SUBSTITUTE(SUBSTITUTE(SUBSTITUTE(H1567,"~","~~"),"*","~*"),"?","~?"),Guide!$A$7:$A$9,0))),INDEX(Guide!$B$7:$B$9,MATCH(SUBSTITUTE(SUBSTITUTE(SUBSTITUTE(H1567,"~","~~"),"*","~*"),"?","~?"),Guide!$A$7:$A$9,0)),""),"")</f>
        <v>Accessories</v>
      </c>
      <c r="J1567" s="1" t="str">
        <f>IF(TRIM(Raw!E1567)="",I1567,IF(UPPER(TRIM(Raw!E1567))=UPPER(I1567),I1567,""))</f>
        <v>Accessories</v>
      </c>
      <c r="K1567" s="1" t="str">
        <f>IF(Raw!F1567="","",Raw!F1567)</f>
        <v>sale</v>
      </c>
      <c r="L1567" s="1" t="str">
        <f>IF(LEFT(TRIM(Raw!G1567),2)="-$","-"&amp;MID(TRIM(Raw!G1567),3,99),IF(LEFT(TRIM(Raw!G1567),1)="$",MID(TRIM(Raw!G1567),2,99),TRIM(Raw!G1567)))</f>
        <v>102.19</v>
      </c>
      <c r="M1567" s="1">
        <f t="shared" si="195"/>
        <v>102.19</v>
      </c>
      <c r="N1567" s="10">
        <f t="shared" si="196"/>
        <v>10219</v>
      </c>
      <c r="O1567" s="1" t="b">
        <f>IFERROR(IF(ISNUMBER(Raw!G1567),TRUE,OR(EXACT(L1567,TEXT(M1567,"0.00")),EXACT(L1567,TEXT(M1567,"#,##0.00")))),FALSE)</f>
        <v>1</v>
      </c>
      <c r="P1567" s="1" t="str">
        <f>LEN(IF(Raw!A1567="","",Raw!A1567))&amp;":"&amp;IF(Raw!A1567="","",Raw!A1567)&amp;"|"&amp;LEN(IF(Raw!B1567="","",Raw!B1567))&amp;":"&amp;IF(Raw!B1567="","",Raw!B1567)&amp;"|"&amp;LEN(IF(Raw!C1567="","",Raw!C1567))&amp;":"&amp;IF(Raw!C1567="","",Raw!C1567)&amp;"|"&amp;LEN(IF(Raw!D1567="","",Raw!D1567))&amp;":"&amp;IF(Raw!D1567="","",Raw!D1567)&amp;"|"&amp;LEN(IF(Raw!E1567="","",Raw!E1567))&amp;":"&amp;IF(Raw!E1567="","",Raw!E1567)&amp;"|"&amp;LEN(IF(Raw!F1567="","",Raw!F1567))&amp;":"&amp;IF(Raw!F1567="","",Raw!F1567)&amp;"|"&amp;LEN(IF(Raw!G1567="","",Raw!G1567))&amp;":"&amp;IF(Raw!G1567="","",Raw!G1567)</f>
        <v>6:L01561|6:T00781|10:2026-03-02|3:P-A|11:Accessories|4:sale|6:102.19</v>
      </c>
      <c r="Q1567" s="1">
        <f>1</f>
        <v>1</v>
      </c>
      <c r="R1567" s="1" t="b">
        <f>FALSE</f>
        <v>0</v>
      </c>
      <c r="S1567" s="1">
        <f>1</f>
        <v>1</v>
      </c>
      <c r="T1567" s="1" t="str">
        <f>IF(AND(Raw!A1567="",Raw!B1567="",Raw!C1567="",Raw!D1567="",Raw!E1567="",Raw!F1567="",Raw!G1567=""),"UNUSED",IF(A1567="","missing line ID",IF(B1567="","missing transaction ID",IF(G1567="",IF(C1567="","missing date","invalid date"),IF(I1567="","unknown product",IF(J1567="","conflicting category",IF(NOT(OR(EXACT(K1567,"sale"),EXACT(K1567,"refund"))),"unknown event",IF(OR(N1567="",NOT(O1567)),"invalid amount",IF(OR(AND(K1567="sale",N1567&lt;=0),AND(K1567="refund",N1567&gt;=0)),"invalid sign","")))))))))</f>
        <v/>
      </c>
      <c r="U1567" s="1" t="str">
        <f t="shared" si="197"/>
        <v>INCLUDED</v>
      </c>
      <c r="V1567" s="1" t="str">
        <f t="shared" si="198"/>
        <v>2026-03</v>
      </c>
      <c r="W1567" s="1">
        <f>IF(AND(U1567="INCLUDED",X1567&gt;0,EXACT(A1567,'AI output'!A1567)),1,0)</f>
        <v>1</v>
      </c>
      <c r="X1567" s="1">
        <f>1567</f>
        <v>1567</v>
      </c>
      <c r="Y1567" s="1">
        <f>IF(AND(U1567="INCLUDED",W1567=1),--(NOT(EXACT(A1567,'AI output'!A1567)))+--(NOT(EXACT(B1567,'AI output'!B1567)))+--(NOT(EXACT(TEXT(G1567,"yyyy-mm-dd"),'AI output'!C1567)))+--(NOT(EXACT(H1567,'AI output'!D1567)))+--(NOT(EXACT(J1567,'AI output'!E1567)))+--(NOT(EXACT(K1567,'AI output'!F1567)))+--(N1567&lt;&gt;'AI output'!L1567)+--(NOT('AI output'!M1567)),0)</f>
        <v>0</v>
      </c>
      <c r="Z1567" s="1">
        <f t="shared" si="199"/>
        <v>0</v>
      </c>
      <c r="AA1567" s="1">
        <f>--EXACT(A1567,"L01561")</f>
        <v>1</v>
      </c>
    </row>
    <row r="1568" spans="1:27" ht="18.95" customHeight="1">
      <c r="A1568" s="1" t="str">
        <f>IF(Raw!A1568="","",Raw!A1568)</f>
        <v>L01562</v>
      </c>
      <c r="B1568" s="1" t="str">
        <f>IF(Raw!B1568="","",Raw!B1568)</f>
        <v>T00781</v>
      </c>
      <c r="C1568" s="1" t="str">
        <f>IF(Raw!C1568="","",Raw!C1568)</f>
        <v>2026-03-02</v>
      </c>
      <c r="D1568" s="1">
        <f t="shared" si="192"/>
        <v>2026</v>
      </c>
      <c r="E1568" s="1">
        <f>IFERROR(IF(AND(LEN(C1568)=10,MID(C1568,5,1)="-",MID(C1568,8,1)="-"),VALUE(MID(C1568,6,2)),IF(AND(LEN(C1568)=11,MID(C1568,3,1)="-",MID(C1568,7,1)="-"),MATCH(UPPER(MID(C1568,4,3)),Guide!$D$7:$D$18,0),0)),0)</f>
        <v>3</v>
      </c>
      <c r="F1568" s="1">
        <f t="shared" si="193"/>
        <v>2</v>
      </c>
      <c r="G1568" s="9">
        <f t="shared" si="194"/>
        <v>46083</v>
      </c>
      <c r="H1568" s="1" t="str">
        <f>IF(Raw!D1568="","",Raw!D1568)</f>
        <v>P-H</v>
      </c>
      <c r="I1568" s="1" t="str">
        <f>IFERROR(IF(EXACT(H1568,INDEX(Guide!$A$7:$A$9,MATCH(SUBSTITUTE(SUBSTITUTE(SUBSTITUTE(H1568,"~","~~"),"*","~*"),"?","~?"),Guide!$A$7:$A$9,0))),INDEX(Guide!$B$7:$B$9,MATCH(SUBSTITUTE(SUBSTITUTE(SUBSTITUTE(H1568,"~","~~"),"*","~*"),"?","~?"),Guide!$A$7:$A$9,0)),""),"")</f>
        <v>Home</v>
      </c>
      <c r="J1568" s="1" t="str">
        <f>IF(TRIM(Raw!E1568)="",I1568,IF(UPPER(TRIM(Raw!E1568))=UPPER(I1568),I1568,""))</f>
        <v>Home</v>
      </c>
      <c r="K1568" s="1" t="str">
        <f>IF(Raw!F1568="","",Raw!F1568)</f>
        <v>sale</v>
      </c>
      <c r="L1568" s="1" t="str">
        <f>IF(LEFT(TRIM(Raw!G1568),2)="-$","-"&amp;MID(TRIM(Raw!G1568),3,99),IF(LEFT(TRIM(Raw!G1568),1)="$",MID(TRIM(Raw!G1568),2,99),TRIM(Raw!G1568)))</f>
        <v>307.68</v>
      </c>
      <c r="M1568" s="1">
        <f t="shared" si="195"/>
        <v>307.68</v>
      </c>
      <c r="N1568" s="10">
        <f t="shared" si="196"/>
        <v>30768</v>
      </c>
      <c r="O1568" s="1" t="b">
        <f>IFERROR(IF(ISNUMBER(Raw!G1568),TRUE,OR(EXACT(L1568,TEXT(M1568,"0.00")),EXACT(L1568,TEXT(M1568,"#,##0.00")))),FALSE)</f>
        <v>1</v>
      </c>
      <c r="P1568" s="1" t="str">
        <f>LEN(IF(Raw!A1568="","",Raw!A1568))&amp;":"&amp;IF(Raw!A1568="","",Raw!A1568)&amp;"|"&amp;LEN(IF(Raw!B1568="","",Raw!B1568))&amp;":"&amp;IF(Raw!B1568="","",Raw!B1568)&amp;"|"&amp;LEN(IF(Raw!C1568="","",Raw!C1568))&amp;":"&amp;IF(Raw!C1568="","",Raw!C1568)&amp;"|"&amp;LEN(IF(Raw!D1568="","",Raw!D1568))&amp;":"&amp;IF(Raw!D1568="","",Raw!D1568)&amp;"|"&amp;LEN(IF(Raw!E1568="","",Raw!E1568))&amp;":"&amp;IF(Raw!E1568="","",Raw!E1568)&amp;"|"&amp;LEN(IF(Raw!F1568="","",Raw!F1568))&amp;":"&amp;IF(Raw!F1568="","",Raw!F1568)&amp;"|"&amp;LEN(IF(Raw!G1568="","",Raw!G1568))&amp;":"&amp;IF(Raw!G1568="","",Raw!G1568)</f>
        <v>6:L01562|6:T00781|10:2026-03-02|3:P-H|4:Home|4:sale|6:307.68</v>
      </c>
      <c r="Q1568" s="1">
        <f>1</f>
        <v>1</v>
      </c>
      <c r="R1568" s="1" t="b">
        <f>FALSE</f>
        <v>0</v>
      </c>
      <c r="S1568" s="1">
        <f>1</f>
        <v>1</v>
      </c>
      <c r="T1568" s="1" t="str">
        <f>IF(AND(Raw!A1568="",Raw!B1568="",Raw!C1568="",Raw!D1568="",Raw!E1568="",Raw!F1568="",Raw!G1568=""),"UNUSED",IF(A1568="","missing line ID",IF(B1568="","missing transaction ID",IF(G1568="",IF(C1568="","missing date","invalid date"),IF(I1568="","unknown product",IF(J1568="","conflicting category",IF(NOT(OR(EXACT(K1568,"sale"),EXACT(K1568,"refund"))),"unknown event",IF(OR(N1568="",NOT(O1568)),"invalid amount",IF(OR(AND(K1568="sale",N1568&lt;=0),AND(K1568="refund",N1568&gt;=0)),"invalid sign","")))))))))</f>
        <v/>
      </c>
      <c r="U1568" s="1" t="str">
        <f t="shared" si="197"/>
        <v>INCLUDED</v>
      </c>
      <c r="V1568" s="1" t="str">
        <f t="shared" si="198"/>
        <v>2026-03</v>
      </c>
      <c r="W1568" s="1">
        <f>IF(AND(U1568="INCLUDED",X1568&gt;0,EXACT(A1568,'AI output'!A1568)),1,0)</f>
        <v>1</v>
      </c>
      <c r="X1568" s="1">
        <f>1568</f>
        <v>1568</v>
      </c>
      <c r="Y1568" s="1">
        <f>IF(AND(U1568="INCLUDED",W1568=1),--(NOT(EXACT(A1568,'AI output'!A1568)))+--(NOT(EXACT(B1568,'AI output'!B1568)))+--(NOT(EXACT(TEXT(G1568,"yyyy-mm-dd"),'AI output'!C1568)))+--(NOT(EXACT(H1568,'AI output'!D1568)))+--(NOT(EXACT(J1568,'AI output'!E1568)))+--(NOT(EXACT(K1568,'AI output'!F1568)))+--(N1568&lt;&gt;'AI output'!L1568)+--(NOT('AI output'!M1568)),0)</f>
        <v>0</v>
      </c>
      <c r="Z1568" s="1">
        <f t="shared" si="199"/>
        <v>0</v>
      </c>
      <c r="AA1568" s="1">
        <f>--EXACT(A1568,"L01562")</f>
        <v>1</v>
      </c>
    </row>
    <row r="1569" spans="1:27" ht="18.95" customHeight="1">
      <c r="A1569" s="1" t="str">
        <f>IF(Raw!A1569="","",Raw!A1569)</f>
        <v>L01563</v>
      </c>
      <c r="B1569" s="1" t="str">
        <f>IF(Raw!B1569="","",Raw!B1569)</f>
        <v>T00782</v>
      </c>
      <c r="C1569" s="1" t="str">
        <f>IF(Raw!C1569="","",Raw!C1569)</f>
        <v>2026-03-09</v>
      </c>
      <c r="D1569" s="1">
        <f t="shared" si="192"/>
        <v>2026</v>
      </c>
      <c r="E1569" s="1">
        <f>IFERROR(IF(AND(LEN(C1569)=10,MID(C1569,5,1)="-",MID(C1569,8,1)="-"),VALUE(MID(C1569,6,2)),IF(AND(LEN(C1569)=11,MID(C1569,3,1)="-",MID(C1569,7,1)="-"),MATCH(UPPER(MID(C1569,4,3)),Guide!$D$7:$D$18,0),0)),0)</f>
        <v>3</v>
      </c>
      <c r="F1569" s="1">
        <f t="shared" si="193"/>
        <v>9</v>
      </c>
      <c r="G1569" s="9">
        <f t="shared" si="194"/>
        <v>46090</v>
      </c>
      <c r="H1569" s="1" t="str">
        <f>IF(Raw!D1569="","",Raw!D1569)</f>
        <v>P-O</v>
      </c>
      <c r="I1569" s="1" t="str">
        <f>IFERROR(IF(EXACT(H1569,INDEX(Guide!$A$7:$A$9,MATCH(SUBSTITUTE(SUBSTITUTE(SUBSTITUTE(H1569,"~","~~"),"*","~*"),"?","~?"),Guide!$A$7:$A$9,0))),INDEX(Guide!$B$7:$B$9,MATCH(SUBSTITUTE(SUBSTITUTE(SUBSTITUTE(H1569,"~","~~"),"*","~*"),"?","~?"),Guide!$A$7:$A$9,0)),""),"")</f>
        <v>Office</v>
      </c>
      <c r="J1569" s="1" t="str">
        <f>IF(TRIM(Raw!E1569)="",I1569,IF(UPPER(TRIM(Raw!E1569))=UPPER(I1569),I1569,""))</f>
        <v>Office</v>
      </c>
      <c r="K1569" s="1" t="str">
        <f>IF(Raw!F1569="","",Raw!F1569)</f>
        <v>sale</v>
      </c>
      <c r="L1569" s="1" t="str">
        <f>IF(LEFT(TRIM(Raw!G1569),2)="-$","-"&amp;MID(TRIM(Raw!G1569),3,99),IF(LEFT(TRIM(Raw!G1569),1)="$",MID(TRIM(Raw!G1569),2,99),TRIM(Raw!G1569)))</f>
        <v>514.65</v>
      </c>
      <c r="M1569" s="1">
        <f t="shared" si="195"/>
        <v>514.65</v>
      </c>
      <c r="N1569" s="10">
        <f t="shared" si="196"/>
        <v>51465</v>
      </c>
      <c r="O1569" s="1" t="b">
        <f>IFERROR(IF(ISNUMBER(Raw!G1569),TRUE,OR(EXACT(L1569,TEXT(M1569,"0.00")),EXACT(L1569,TEXT(M1569,"#,##0.00")))),FALSE)</f>
        <v>1</v>
      </c>
      <c r="P1569" s="1" t="str">
        <f>LEN(IF(Raw!A1569="","",Raw!A1569))&amp;":"&amp;IF(Raw!A1569="","",Raw!A1569)&amp;"|"&amp;LEN(IF(Raw!B1569="","",Raw!B1569))&amp;":"&amp;IF(Raw!B1569="","",Raw!B1569)&amp;"|"&amp;LEN(IF(Raw!C1569="","",Raw!C1569))&amp;":"&amp;IF(Raw!C1569="","",Raw!C1569)&amp;"|"&amp;LEN(IF(Raw!D1569="","",Raw!D1569))&amp;":"&amp;IF(Raw!D1569="","",Raw!D1569)&amp;"|"&amp;LEN(IF(Raw!E1569="","",Raw!E1569))&amp;":"&amp;IF(Raw!E1569="","",Raw!E1569)&amp;"|"&amp;LEN(IF(Raw!F1569="","",Raw!F1569))&amp;":"&amp;IF(Raw!F1569="","",Raw!F1569)&amp;"|"&amp;LEN(IF(Raw!G1569="","",Raw!G1569))&amp;":"&amp;IF(Raw!G1569="","",Raw!G1569)</f>
        <v>6:L01563|6:T00782|10:2026-03-09|3:P-O|6:Office|4:sale|6:514.65</v>
      </c>
      <c r="Q1569" s="1">
        <f>1</f>
        <v>1</v>
      </c>
      <c r="R1569" s="1" t="b">
        <f>FALSE</f>
        <v>0</v>
      </c>
      <c r="S1569" s="1">
        <f>1</f>
        <v>1</v>
      </c>
      <c r="T1569" s="1" t="str">
        <f>IF(AND(Raw!A1569="",Raw!B1569="",Raw!C1569="",Raw!D1569="",Raw!E1569="",Raw!F1569="",Raw!G1569=""),"UNUSED",IF(A1569="","missing line ID",IF(B1569="","missing transaction ID",IF(G1569="",IF(C1569="","missing date","invalid date"),IF(I1569="","unknown product",IF(J1569="","conflicting category",IF(NOT(OR(EXACT(K1569,"sale"),EXACT(K1569,"refund"))),"unknown event",IF(OR(N1569="",NOT(O1569)),"invalid amount",IF(OR(AND(K1569="sale",N1569&lt;=0),AND(K1569="refund",N1569&gt;=0)),"invalid sign","")))))))))</f>
        <v/>
      </c>
      <c r="U1569" s="1" t="str">
        <f t="shared" si="197"/>
        <v>INCLUDED</v>
      </c>
      <c r="V1569" s="1" t="str">
        <f t="shared" si="198"/>
        <v>2026-03</v>
      </c>
      <c r="W1569" s="1">
        <f>IF(AND(U1569="INCLUDED",X1569&gt;0,EXACT(A1569,'AI output'!A1569)),1,0)</f>
        <v>1</v>
      </c>
      <c r="X1569" s="1">
        <f>1569</f>
        <v>1569</v>
      </c>
      <c r="Y1569" s="1">
        <f>IF(AND(U1569="INCLUDED",W1569=1),--(NOT(EXACT(A1569,'AI output'!A1569)))+--(NOT(EXACT(B1569,'AI output'!B1569)))+--(NOT(EXACT(TEXT(G1569,"yyyy-mm-dd"),'AI output'!C1569)))+--(NOT(EXACT(H1569,'AI output'!D1569)))+--(NOT(EXACT(J1569,'AI output'!E1569)))+--(NOT(EXACT(K1569,'AI output'!F1569)))+--(N1569&lt;&gt;'AI output'!L1569)+--(NOT('AI output'!M1569)),0)</f>
        <v>0</v>
      </c>
      <c r="Z1569" s="1">
        <f t="shared" si="199"/>
        <v>0</v>
      </c>
      <c r="AA1569" s="1">
        <f>--EXACT(A1569,"L01563")</f>
        <v>1</v>
      </c>
    </row>
    <row r="1570" spans="1:27" ht="18.95" customHeight="1">
      <c r="A1570" s="1" t="str">
        <f>IF(Raw!A1570="","",Raw!A1570)</f>
        <v>L01564</v>
      </c>
      <c r="B1570" s="1" t="str">
        <f>IF(Raw!B1570="","",Raw!B1570)</f>
        <v>T00782</v>
      </c>
      <c r="C1570" s="1" t="str">
        <f>IF(Raw!C1570="","",Raw!C1570)</f>
        <v>2026-03-09</v>
      </c>
      <c r="D1570" s="1">
        <f t="shared" si="192"/>
        <v>2026</v>
      </c>
      <c r="E1570" s="1">
        <f>IFERROR(IF(AND(LEN(C1570)=10,MID(C1570,5,1)="-",MID(C1570,8,1)="-"),VALUE(MID(C1570,6,2)),IF(AND(LEN(C1570)=11,MID(C1570,3,1)="-",MID(C1570,7,1)="-"),MATCH(UPPER(MID(C1570,4,3)),Guide!$D$7:$D$18,0),0)),0)</f>
        <v>3</v>
      </c>
      <c r="F1570" s="1">
        <f t="shared" si="193"/>
        <v>9</v>
      </c>
      <c r="G1570" s="9">
        <f t="shared" si="194"/>
        <v>46090</v>
      </c>
      <c r="H1570" s="1" t="str">
        <f>IF(Raw!D1570="","",Raw!D1570)</f>
        <v>P-A</v>
      </c>
      <c r="I1570" s="1" t="str">
        <f>IFERROR(IF(EXACT(H1570,INDEX(Guide!$A$7:$A$9,MATCH(SUBSTITUTE(SUBSTITUTE(SUBSTITUTE(H1570,"~","~~"),"*","~*"),"?","~?"),Guide!$A$7:$A$9,0))),INDEX(Guide!$B$7:$B$9,MATCH(SUBSTITUTE(SUBSTITUTE(SUBSTITUTE(H1570,"~","~~"),"*","~*"),"?","~?"),Guide!$A$7:$A$9,0)),""),"")</f>
        <v>Accessories</v>
      </c>
      <c r="J1570" s="1" t="str">
        <f>IF(TRIM(Raw!E1570)="",I1570,IF(UPPER(TRIM(Raw!E1570))=UPPER(I1570),I1570,""))</f>
        <v>Accessories</v>
      </c>
      <c r="K1570" s="1" t="str">
        <f>IF(Raw!F1570="","",Raw!F1570)</f>
        <v>sale</v>
      </c>
      <c r="L1570" s="1" t="str">
        <f>IF(LEFT(TRIM(Raw!G1570),2)="-$","-"&amp;MID(TRIM(Raw!G1570),3,99),IF(LEFT(TRIM(Raw!G1570),1)="$",MID(TRIM(Raw!G1570),2,99),TRIM(Raw!G1570)))</f>
        <v>206.60</v>
      </c>
      <c r="M1570" s="1">
        <f t="shared" si="195"/>
        <v>206.6</v>
      </c>
      <c r="N1570" s="10">
        <f t="shared" si="196"/>
        <v>20660</v>
      </c>
      <c r="O1570" s="1" t="b">
        <f>IFERROR(IF(ISNUMBER(Raw!G1570),TRUE,OR(EXACT(L1570,TEXT(M1570,"0.00")),EXACT(L1570,TEXT(M1570,"#,##0.00")))),FALSE)</f>
        <v>1</v>
      </c>
      <c r="P1570" s="1" t="str">
        <f>LEN(IF(Raw!A1570="","",Raw!A1570))&amp;":"&amp;IF(Raw!A1570="","",Raw!A1570)&amp;"|"&amp;LEN(IF(Raw!B1570="","",Raw!B1570))&amp;":"&amp;IF(Raw!B1570="","",Raw!B1570)&amp;"|"&amp;LEN(IF(Raw!C1570="","",Raw!C1570))&amp;":"&amp;IF(Raw!C1570="","",Raw!C1570)&amp;"|"&amp;LEN(IF(Raw!D1570="","",Raw!D1570))&amp;":"&amp;IF(Raw!D1570="","",Raw!D1570)&amp;"|"&amp;LEN(IF(Raw!E1570="","",Raw!E1570))&amp;":"&amp;IF(Raw!E1570="","",Raw!E1570)&amp;"|"&amp;LEN(IF(Raw!F1570="","",Raw!F1570))&amp;":"&amp;IF(Raw!F1570="","",Raw!F1570)&amp;"|"&amp;LEN(IF(Raw!G1570="","",Raw!G1570))&amp;":"&amp;IF(Raw!G1570="","",Raw!G1570)</f>
        <v>6:L01564|6:T00782|10:2026-03-09|3:P-A|11:Accessories|4:sale|6:206.60</v>
      </c>
      <c r="Q1570" s="1">
        <f>1</f>
        <v>1</v>
      </c>
      <c r="R1570" s="1" t="b">
        <f>FALSE</f>
        <v>0</v>
      </c>
      <c r="S1570" s="1">
        <f>1</f>
        <v>1</v>
      </c>
      <c r="T1570" s="1" t="str">
        <f>IF(AND(Raw!A1570="",Raw!B1570="",Raw!C1570="",Raw!D1570="",Raw!E1570="",Raw!F1570="",Raw!G1570=""),"UNUSED",IF(A1570="","missing line ID",IF(B1570="","missing transaction ID",IF(G1570="",IF(C1570="","missing date","invalid date"),IF(I1570="","unknown product",IF(J1570="","conflicting category",IF(NOT(OR(EXACT(K1570,"sale"),EXACT(K1570,"refund"))),"unknown event",IF(OR(N1570="",NOT(O1570)),"invalid amount",IF(OR(AND(K1570="sale",N1570&lt;=0),AND(K1570="refund",N1570&gt;=0)),"invalid sign","")))))))))</f>
        <v/>
      </c>
      <c r="U1570" s="1" t="str">
        <f t="shared" si="197"/>
        <v>INCLUDED</v>
      </c>
      <c r="V1570" s="1" t="str">
        <f t="shared" si="198"/>
        <v>2026-03</v>
      </c>
      <c r="W1570" s="1">
        <f>IF(AND(U1570="INCLUDED",X1570&gt;0,EXACT(A1570,'AI output'!A1570)),1,0)</f>
        <v>1</v>
      </c>
      <c r="X1570" s="1">
        <f>1570</f>
        <v>1570</v>
      </c>
      <c r="Y1570" s="1">
        <f>IF(AND(U1570="INCLUDED",W1570=1),--(NOT(EXACT(A1570,'AI output'!A1570)))+--(NOT(EXACT(B1570,'AI output'!B1570)))+--(NOT(EXACT(TEXT(G1570,"yyyy-mm-dd"),'AI output'!C1570)))+--(NOT(EXACT(H1570,'AI output'!D1570)))+--(NOT(EXACT(J1570,'AI output'!E1570)))+--(NOT(EXACT(K1570,'AI output'!F1570)))+--(N1570&lt;&gt;'AI output'!L1570)+--(NOT('AI output'!M1570)),0)</f>
        <v>0</v>
      </c>
      <c r="Z1570" s="1">
        <f t="shared" si="199"/>
        <v>0</v>
      </c>
      <c r="AA1570" s="1">
        <f>--EXACT(A1570,"L01564")</f>
        <v>1</v>
      </c>
    </row>
    <row r="1571" spans="1:27" ht="18.95" customHeight="1">
      <c r="A1571" s="1" t="str">
        <f>IF(Raw!A1571="","",Raw!A1571)</f>
        <v>L01565</v>
      </c>
      <c r="B1571" s="1" t="str">
        <f>IF(Raw!B1571="","",Raw!B1571)</f>
        <v>T00783</v>
      </c>
      <c r="C1571" s="1" t="str">
        <f>IF(Raw!C1571="","",Raw!C1571)</f>
        <v>2026-03-16</v>
      </c>
      <c r="D1571" s="1">
        <f t="shared" si="192"/>
        <v>2026</v>
      </c>
      <c r="E1571" s="1">
        <f>IFERROR(IF(AND(LEN(C1571)=10,MID(C1571,5,1)="-",MID(C1571,8,1)="-"),VALUE(MID(C1571,6,2)),IF(AND(LEN(C1571)=11,MID(C1571,3,1)="-",MID(C1571,7,1)="-"),MATCH(UPPER(MID(C1571,4,3)),Guide!$D$7:$D$18,0),0)),0)</f>
        <v>3</v>
      </c>
      <c r="F1571" s="1">
        <f t="shared" si="193"/>
        <v>16</v>
      </c>
      <c r="G1571" s="9">
        <f t="shared" si="194"/>
        <v>46097</v>
      </c>
      <c r="H1571" s="1" t="str">
        <f>IF(Raw!D1571="","",Raw!D1571)</f>
        <v>P-H</v>
      </c>
      <c r="I1571" s="1" t="str">
        <f>IFERROR(IF(EXACT(H1571,INDEX(Guide!$A$7:$A$9,MATCH(SUBSTITUTE(SUBSTITUTE(SUBSTITUTE(H1571,"~","~~"),"*","~*"),"?","~?"),Guide!$A$7:$A$9,0))),INDEX(Guide!$B$7:$B$9,MATCH(SUBSTITUTE(SUBSTITUTE(SUBSTITUTE(H1571,"~","~~"),"*","~*"),"?","~?"),Guide!$A$7:$A$9,0)),""),"")</f>
        <v>Home</v>
      </c>
      <c r="J1571" s="1" t="str">
        <f>IF(TRIM(Raw!E1571)="",I1571,IF(UPPER(TRIM(Raw!E1571))=UPPER(I1571),I1571,""))</f>
        <v>Home</v>
      </c>
      <c r="K1571" s="1" t="str">
        <f>IF(Raw!F1571="","",Raw!F1571)</f>
        <v>refund</v>
      </c>
      <c r="L1571" s="1" t="str">
        <f>IF(LEFT(TRIM(Raw!G1571),2)="-$","-"&amp;MID(TRIM(Raw!G1571),3,99),IF(LEFT(TRIM(Raw!G1571),1)="$",MID(TRIM(Raw!G1571),2,99),TRIM(Raw!G1571)))</f>
        <v>-414.68</v>
      </c>
      <c r="M1571" s="1">
        <f t="shared" si="195"/>
        <v>-414.68</v>
      </c>
      <c r="N1571" s="10">
        <f t="shared" si="196"/>
        <v>-41468</v>
      </c>
      <c r="O1571" s="1" t="b">
        <f>IFERROR(IF(ISNUMBER(Raw!G1571),TRUE,OR(EXACT(L1571,TEXT(M1571,"0.00")),EXACT(L1571,TEXT(M1571,"#,##0.00")))),FALSE)</f>
        <v>1</v>
      </c>
      <c r="P1571" s="1" t="str">
        <f>LEN(IF(Raw!A1571="","",Raw!A1571))&amp;":"&amp;IF(Raw!A1571="","",Raw!A1571)&amp;"|"&amp;LEN(IF(Raw!B1571="","",Raw!B1571))&amp;":"&amp;IF(Raw!B1571="","",Raw!B1571)&amp;"|"&amp;LEN(IF(Raw!C1571="","",Raw!C1571))&amp;":"&amp;IF(Raw!C1571="","",Raw!C1571)&amp;"|"&amp;LEN(IF(Raw!D1571="","",Raw!D1571))&amp;":"&amp;IF(Raw!D1571="","",Raw!D1571)&amp;"|"&amp;LEN(IF(Raw!E1571="","",Raw!E1571))&amp;":"&amp;IF(Raw!E1571="","",Raw!E1571)&amp;"|"&amp;LEN(IF(Raw!F1571="","",Raw!F1571))&amp;":"&amp;IF(Raw!F1571="","",Raw!F1571)&amp;"|"&amp;LEN(IF(Raw!G1571="","",Raw!G1571))&amp;":"&amp;IF(Raw!G1571="","",Raw!G1571)</f>
        <v>6:L01565|6:T00783|10:2026-03-16|3:P-H|4:Home|6:refund|7:-414.68</v>
      </c>
      <c r="Q1571" s="1">
        <f>1</f>
        <v>1</v>
      </c>
      <c r="R1571" s="1" t="b">
        <f>FALSE</f>
        <v>0</v>
      </c>
      <c r="S1571" s="1">
        <f>1</f>
        <v>1</v>
      </c>
      <c r="T1571" s="1" t="str">
        <f>IF(AND(Raw!A1571="",Raw!B1571="",Raw!C1571="",Raw!D1571="",Raw!E1571="",Raw!F1571="",Raw!G1571=""),"UNUSED",IF(A1571="","missing line ID",IF(B1571="","missing transaction ID",IF(G1571="",IF(C1571="","missing date","invalid date"),IF(I1571="","unknown product",IF(J1571="","conflicting category",IF(NOT(OR(EXACT(K1571,"sale"),EXACT(K1571,"refund"))),"unknown event",IF(OR(N1571="",NOT(O1571)),"invalid amount",IF(OR(AND(K1571="sale",N1571&lt;=0),AND(K1571="refund",N1571&gt;=0)),"invalid sign","")))))))))</f>
        <v/>
      </c>
      <c r="U1571" s="1" t="str">
        <f t="shared" si="197"/>
        <v>INCLUDED</v>
      </c>
      <c r="V1571" s="1" t="str">
        <f t="shared" si="198"/>
        <v>2026-03</v>
      </c>
      <c r="W1571" s="1">
        <f>IF(AND(U1571="INCLUDED",X1571&gt;0,EXACT(A1571,'AI output'!A1571)),1,0)</f>
        <v>1</v>
      </c>
      <c r="X1571" s="1">
        <f>1571</f>
        <v>1571</v>
      </c>
      <c r="Y1571" s="1">
        <f>IF(AND(U1571="INCLUDED",W1571=1),--(NOT(EXACT(A1571,'AI output'!A1571)))+--(NOT(EXACT(B1571,'AI output'!B1571)))+--(NOT(EXACT(TEXT(G1571,"yyyy-mm-dd"),'AI output'!C1571)))+--(NOT(EXACT(H1571,'AI output'!D1571)))+--(NOT(EXACT(J1571,'AI output'!E1571)))+--(NOT(EXACT(K1571,'AI output'!F1571)))+--(N1571&lt;&gt;'AI output'!L1571)+--(NOT('AI output'!M1571)),0)</f>
        <v>0</v>
      </c>
      <c r="Z1571" s="1">
        <f t="shared" si="199"/>
        <v>0</v>
      </c>
      <c r="AA1571" s="1">
        <f>--EXACT(A1571,"L01565")</f>
        <v>1</v>
      </c>
    </row>
    <row r="1572" spans="1:27" ht="18.95" customHeight="1">
      <c r="A1572" s="1" t="str">
        <f>IF(Raw!A1572="","",Raw!A1572)</f>
        <v>L01566</v>
      </c>
      <c r="B1572" s="1" t="str">
        <f>IF(Raw!B1572="","",Raw!B1572)</f>
        <v>T00783</v>
      </c>
      <c r="C1572" s="1" t="str">
        <f>IF(Raw!C1572="","",Raw!C1572)</f>
        <v>2026-03-16</v>
      </c>
      <c r="D1572" s="1">
        <f t="shared" si="192"/>
        <v>2026</v>
      </c>
      <c r="E1572" s="1">
        <f>IFERROR(IF(AND(LEN(C1572)=10,MID(C1572,5,1)="-",MID(C1572,8,1)="-"),VALUE(MID(C1572,6,2)),IF(AND(LEN(C1572)=11,MID(C1572,3,1)="-",MID(C1572,7,1)="-"),MATCH(UPPER(MID(C1572,4,3)),Guide!$D$7:$D$18,0),0)),0)</f>
        <v>3</v>
      </c>
      <c r="F1572" s="1">
        <f t="shared" si="193"/>
        <v>16</v>
      </c>
      <c r="G1572" s="9">
        <f t="shared" si="194"/>
        <v>46097</v>
      </c>
      <c r="H1572" s="1" t="str">
        <f>IF(Raw!D1572="","",Raw!D1572)</f>
        <v>P-O</v>
      </c>
      <c r="I1572" s="1" t="str">
        <f>IFERROR(IF(EXACT(H1572,INDEX(Guide!$A$7:$A$9,MATCH(SUBSTITUTE(SUBSTITUTE(SUBSTITUTE(H1572,"~","~~"),"*","~*"),"?","~?"),Guide!$A$7:$A$9,0))),INDEX(Guide!$B$7:$B$9,MATCH(SUBSTITUTE(SUBSTITUTE(SUBSTITUTE(H1572,"~","~~"),"*","~*"),"?","~?"),Guide!$A$7:$A$9,0)),""),"")</f>
        <v>Office</v>
      </c>
      <c r="J1572" s="1" t="str">
        <f>IF(TRIM(Raw!E1572)="",I1572,IF(UPPER(TRIM(Raw!E1572))=UPPER(I1572),I1572,""))</f>
        <v>Office</v>
      </c>
      <c r="K1572" s="1" t="str">
        <f>IF(Raw!F1572="","",Raw!F1572)</f>
        <v>sale</v>
      </c>
      <c r="L1572" s="1" t="str">
        <f>IF(LEFT(TRIM(Raw!G1572),2)="-$","-"&amp;MID(TRIM(Raw!G1572),3,99),IF(LEFT(TRIM(Raw!G1572),1)="$",MID(TRIM(Raw!G1572),2,99),TRIM(Raw!G1572)))</f>
        <v>104.04</v>
      </c>
      <c r="M1572" s="1">
        <f t="shared" si="195"/>
        <v>104.04</v>
      </c>
      <c r="N1572" s="10">
        <f t="shared" si="196"/>
        <v>10404</v>
      </c>
      <c r="O1572" s="1" t="b">
        <f>IFERROR(IF(ISNUMBER(Raw!G1572),TRUE,OR(EXACT(L1572,TEXT(M1572,"0.00")),EXACT(L1572,TEXT(M1572,"#,##0.00")))),FALSE)</f>
        <v>1</v>
      </c>
      <c r="P1572" s="1" t="str">
        <f>LEN(IF(Raw!A1572="","",Raw!A1572))&amp;":"&amp;IF(Raw!A1572="","",Raw!A1572)&amp;"|"&amp;LEN(IF(Raw!B1572="","",Raw!B1572))&amp;":"&amp;IF(Raw!B1572="","",Raw!B1572)&amp;"|"&amp;LEN(IF(Raw!C1572="","",Raw!C1572))&amp;":"&amp;IF(Raw!C1572="","",Raw!C1572)&amp;"|"&amp;LEN(IF(Raw!D1572="","",Raw!D1572))&amp;":"&amp;IF(Raw!D1572="","",Raw!D1572)&amp;"|"&amp;LEN(IF(Raw!E1572="","",Raw!E1572))&amp;":"&amp;IF(Raw!E1572="","",Raw!E1572)&amp;"|"&amp;LEN(IF(Raw!F1572="","",Raw!F1572))&amp;":"&amp;IF(Raw!F1572="","",Raw!F1572)&amp;"|"&amp;LEN(IF(Raw!G1572="","",Raw!G1572))&amp;":"&amp;IF(Raw!G1572="","",Raw!G1572)</f>
        <v>6:L01566|6:T00783|10:2026-03-16|3:P-O|6:Office|4:sale|6:104.04</v>
      </c>
      <c r="Q1572" s="1">
        <f>1</f>
        <v>1</v>
      </c>
      <c r="R1572" s="1" t="b">
        <f>FALSE</f>
        <v>0</v>
      </c>
      <c r="S1572" s="1">
        <f>1</f>
        <v>1</v>
      </c>
      <c r="T1572" s="1" t="str">
        <f>IF(AND(Raw!A1572="",Raw!B1572="",Raw!C1572="",Raw!D1572="",Raw!E1572="",Raw!F1572="",Raw!G1572=""),"UNUSED",IF(A1572="","missing line ID",IF(B1572="","missing transaction ID",IF(G1572="",IF(C1572="","missing date","invalid date"),IF(I1572="","unknown product",IF(J1572="","conflicting category",IF(NOT(OR(EXACT(K1572,"sale"),EXACT(K1572,"refund"))),"unknown event",IF(OR(N1572="",NOT(O1572)),"invalid amount",IF(OR(AND(K1572="sale",N1572&lt;=0),AND(K1572="refund",N1572&gt;=0)),"invalid sign","")))))))))</f>
        <v/>
      </c>
      <c r="U1572" s="1" t="str">
        <f t="shared" si="197"/>
        <v>INCLUDED</v>
      </c>
      <c r="V1572" s="1" t="str">
        <f t="shared" si="198"/>
        <v>2026-03</v>
      </c>
      <c r="W1572" s="1">
        <f>IF(AND(U1572="INCLUDED",X1572&gt;0,EXACT(A1572,'AI output'!A1572)),1,0)</f>
        <v>1</v>
      </c>
      <c r="X1572" s="1">
        <f>1572</f>
        <v>1572</v>
      </c>
      <c r="Y1572" s="1">
        <f>IF(AND(U1572="INCLUDED",W1572=1),--(NOT(EXACT(A1572,'AI output'!A1572)))+--(NOT(EXACT(B1572,'AI output'!B1572)))+--(NOT(EXACT(TEXT(G1572,"yyyy-mm-dd"),'AI output'!C1572)))+--(NOT(EXACT(H1572,'AI output'!D1572)))+--(NOT(EXACT(J1572,'AI output'!E1572)))+--(NOT(EXACT(K1572,'AI output'!F1572)))+--(N1572&lt;&gt;'AI output'!L1572)+--(NOT('AI output'!M1572)),0)</f>
        <v>0</v>
      </c>
      <c r="Z1572" s="1">
        <f t="shared" si="199"/>
        <v>0</v>
      </c>
      <c r="AA1572" s="1">
        <f>--EXACT(A1572,"L01566")</f>
        <v>1</v>
      </c>
    </row>
    <row r="1573" spans="1:27" ht="18.95" customHeight="1">
      <c r="A1573" s="1" t="str">
        <f>IF(Raw!A1573="","",Raw!A1573)</f>
        <v>L01567</v>
      </c>
      <c r="B1573" s="1" t="str">
        <f>IF(Raw!B1573="","",Raw!B1573)</f>
        <v>T00784</v>
      </c>
      <c r="C1573" s="1" t="str">
        <f>IF(Raw!C1573="","",Raw!C1573)</f>
        <v>2026-03-23</v>
      </c>
      <c r="D1573" s="1">
        <f t="shared" si="192"/>
        <v>2026</v>
      </c>
      <c r="E1573" s="1">
        <f>IFERROR(IF(AND(LEN(C1573)=10,MID(C1573,5,1)="-",MID(C1573,8,1)="-"),VALUE(MID(C1573,6,2)),IF(AND(LEN(C1573)=11,MID(C1573,3,1)="-",MID(C1573,7,1)="-"),MATCH(UPPER(MID(C1573,4,3)),Guide!$D$7:$D$18,0),0)),0)</f>
        <v>3</v>
      </c>
      <c r="F1573" s="1">
        <f t="shared" si="193"/>
        <v>23</v>
      </c>
      <c r="G1573" s="9">
        <f t="shared" si="194"/>
        <v>46104</v>
      </c>
      <c r="H1573" s="1" t="str">
        <f>IF(Raw!D1573="","",Raw!D1573)</f>
        <v>P-A</v>
      </c>
      <c r="I1573" s="1" t="str">
        <f>IFERROR(IF(EXACT(H1573,INDEX(Guide!$A$7:$A$9,MATCH(SUBSTITUTE(SUBSTITUTE(SUBSTITUTE(H1573,"~","~~"),"*","~*"),"?","~?"),Guide!$A$7:$A$9,0))),INDEX(Guide!$B$7:$B$9,MATCH(SUBSTITUTE(SUBSTITUTE(SUBSTITUTE(H1573,"~","~~"),"*","~*"),"?","~?"),Guide!$A$7:$A$9,0)),""),"")</f>
        <v>Accessories</v>
      </c>
      <c r="J1573" s="1" t="str">
        <f>IF(TRIM(Raw!E1573)="",I1573,IF(UPPER(TRIM(Raw!E1573))=UPPER(I1573),I1573,""))</f>
        <v>Accessories</v>
      </c>
      <c r="K1573" s="1" t="str">
        <f>IF(Raw!F1573="","",Raw!F1573)</f>
        <v>sale</v>
      </c>
      <c r="L1573" s="1" t="str">
        <f>IF(LEFT(TRIM(Raw!G1573),2)="-$","-"&amp;MID(TRIM(Raw!G1573),3,99),IF(LEFT(TRIM(Raw!G1573),1)="$",MID(TRIM(Raw!G1573),2,99),TRIM(Raw!G1573)))</f>
        <v>313.23</v>
      </c>
      <c r="M1573" s="1">
        <f t="shared" si="195"/>
        <v>313.23</v>
      </c>
      <c r="N1573" s="10">
        <f t="shared" si="196"/>
        <v>31323</v>
      </c>
      <c r="O1573" s="1" t="b">
        <f>IFERROR(IF(ISNUMBER(Raw!G1573),TRUE,OR(EXACT(L1573,TEXT(M1573,"0.00")),EXACT(L1573,TEXT(M1573,"#,##0.00")))),FALSE)</f>
        <v>1</v>
      </c>
      <c r="P1573" s="1" t="str">
        <f>LEN(IF(Raw!A1573="","",Raw!A1573))&amp;":"&amp;IF(Raw!A1573="","",Raw!A1573)&amp;"|"&amp;LEN(IF(Raw!B1573="","",Raw!B1573))&amp;":"&amp;IF(Raw!B1573="","",Raw!B1573)&amp;"|"&amp;LEN(IF(Raw!C1573="","",Raw!C1573))&amp;":"&amp;IF(Raw!C1573="","",Raw!C1573)&amp;"|"&amp;LEN(IF(Raw!D1573="","",Raw!D1573))&amp;":"&amp;IF(Raw!D1573="","",Raw!D1573)&amp;"|"&amp;LEN(IF(Raw!E1573="","",Raw!E1573))&amp;":"&amp;IF(Raw!E1573="","",Raw!E1573)&amp;"|"&amp;LEN(IF(Raw!F1573="","",Raw!F1573))&amp;":"&amp;IF(Raw!F1573="","",Raw!F1573)&amp;"|"&amp;LEN(IF(Raw!G1573="","",Raw!G1573))&amp;":"&amp;IF(Raw!G1573="","",Raw!G1573)</f>
        <v>6:L01567|6:T00784|10:2026-03-23|3:P-A|11:Accessories|4:sale|6:313.23</v>
      </c>
      <c r="Q1573" s="1">
        <f>1</f>
        <v>1</v>
      </c>
      <c r="R1573" s="1" t="b">
        <f>FALSE</f>
        <v>0</v>
      </c>
      <c r="S1573" s="1">
        <f>1</f>
        <v>1</v>
      </c>
      <c r="T1573" s="1" t="str">
        <f>IF(AND(Raw!A1573="",Raw!B1573="",Raw!C1573="",Raw!D1573="",Raw!E1573="",Raw!F1573="",Raw!G1573=""),"UNUSED",IF(A1573="","missing line ID",IF(B1573="","missing transaction ID",IF(G1573="",IF(C1573="","missing date","invalid date"),IF(I1573="","unknown product",IF(J1573="","conflicting category",IF(NOT(OR(EXACT(K1573,"sale"),EXACT(K1573,"refund"))),"unknown event",IF(OR(N1573="",NOT(O1573)),"invalid amount",IF(OR(AND(K1573="sale",N1573&lt;=0),AND(K1573="refund",N1573&gt;=0)),"invalid sign","")))))))))</f>
        <v/>
      </c>
      <c r="U1573" s="1" t="str">
        <f t="shared" si="197"/>
        <v>INCLUDED</v>
      </c>
      <c r="V1573" s="1" t="str">
        <f t="shared" si="198"/>
        <v>2026-03</v>
      </c>
      <c r="W1573" s="1">
        <f>IF(AND(U1573="INCLUDED",X1573&gt;0,EXACT(A1573,'AI output'!A1573)),1,0)</f>
        <v>1</v>
      </c>
      <c r="X1573" s="1">
        <f>1573</f>
        <v>1573</v>
      </c>
      <c r="Y1573" s="1">
        <f>IF(AND(U1573="INCLUDED",W1573=1),--(NOT(EXACT(A1573,'AI output'!A1573)))+--(NOT(EXACT(B1573,'AI output'!B1573)))+--(NOT(EXACT(TEXT(G1573,"yyyy-mm-dd"),'AI output'!C1573)))+--(NOT(EXACT(H1573,'AI output'!D1573)))+--(NOT(EXACT(J1573,'AI output'!E1573)))+--(NOT(EXACT(K1573,'AI output'!F1573)))+--(N1573&lt;&gt;'AI output'!L1573)+--(NOT('AI output'!M1573)),0)</f>
        <v>0</v>
      </c>
      <c r="Z1573" s="1">
        <f t="shared" si="199"/>
        <v>0</v>
      </c>
      <c r="AA1573" s="1">
        <f>--EXACT(A1573,"L01567")</f>
        <v>1</v>
      </c>
    </row>
    <row r="1574" spans="1:27" ht="18.95" customHeight="1">
      <c r="A1574" s="1" t="str">
        <f>IF(Raw!A1574="","",Raw!A1574)</f>
        <v>L01568</v>
      </c>
      <c r="B1574" s="1" t="str">
        <f>IF(Raw!B1574="","",Raw!B1574)</f>
        <v>T00784</v>
      </c>
      <c r="C1574" s="1" t="str">
        <f>IF(Raw!C1574="","",Raw!C1574)</f>
        <v>2026-03-23</v>
      </c>
      <c r="D1574" s="1">
        <f t="shared" si="192"/>
        <v>2026</v>
      </c>
      <c r="E1574" s="1">
        <f>IFERROR(IF(AND(LEN(C1574)=10,MID(C1574,5,1)="-",MID(C1574,8,1)="-"),VALUE(MID(C1574,6,2)),IF(AND(LEN(C1574)=11,MID(C1574,3,1)="-",MID(C1574,7,1)="-"),MATCH(UPPER(MID(C1574,4,3)),Guide!$D$7:$D$18,0),0)),0)</f>
        <v>3</v>
      </c>
      <c r="F1574" s="1">
        <f t="shared" si="193"/>
        <v>23</v>
      </c>
      <c r="G1574" s="9">
        <f t="shared" si="194"/>
        <v>46104</v>
      </c>
      <c r="H1574" s="1" t="str">
        <f>IF(Raw!D1574="","",Raw!D1574)</f>
        <v>P-H</v>
      </c>
      <c r="I1574" s="1" t="str">
        <f>IFERROR(IF(EXACT(H1574,INDEX(Guide!$A$7:$A$9,MATCH(SUBSTITUTE(SUBSTITUTE(SUBSTITUTE(H1574,"~","~~"),"*","~*"),"?","~?"),Guide!$A$7:$A$9,0))),INDEX(Guide!$B$7:$B$9,MATCH(SUBSTITUTE(SUBSTITUTE(SUBSTITUTE(H1574,"~","~~"),"*","~*"),"?","~?"),Guide!$A$7:$A$9,0)),""),"")</f>
        <v>Home</v>
      </c>
      <c r="J1574" s="1" t="str">
        <f>IF(TRIM(Raw!E1574)="",I1574,IF(UPPER(TRIM(Raw!E1574))=UPPER(I1574),I1574,""))</f>
        <v>Home</v>
      </c>
      <c r="K1574" s="1" t="str">
        <f>IF(Raw!F1574="","",Raw!F1574)</f>
        <v>sale</v>
      </c>
      <c r="L1574" s="1" t="str">
        <f>IF(LEFT(TRIM(Raw!G1574),2)="-$","-"&amp;MID(TRIM(Raw!G1574),3,99),IF(LEFT(TRIM(Raw!G1574),1)="$",MID(TRIM(Raw!G1574),2,99),TRIM(Raw!G1574)))</f>
        <v>523.90</v>
      </c>
      <c r="M1574" s="1">
        <f t="shared" si="195"/>
        <v>523.9</v>
      </c>
      <c r="N1574" s="10">
        <f t="shared" si="196"/>
        <v>52390</v>
      </c>
      <c r="O1574" s="1" t="b">
        <f>IFERROR(IF(ISNUMBER(Raw!G1574),TRUE,OR(EXACT(L1574,TEXT(M1574,"0.00")),EXACT(L1574,TEXT(M1574,"#,##0.00")))),FALSE)</f>
        <v>1</v>
      </c>
      <c r="P1574" s="1" t="str">
        <f>LEN(IF(Raw!A1574="","",Raw!A1574))&amp;":"&amp;IF(Raw!A1574="","",Raw!A1574)&amp;"|"&amp;LEN(IF(Raw!B1574="","",Raw!B1574))&amp;":"&amp;IF(Raw!B1574="","",Raw!B1574)&amp;"|"&amp;LEN(IF(Raw!C1574="","",Raw!C1574))&amp;":"&amp;IF(Raw!C1574="","",Raw!C1574)&amp;"|"&amp;LEN(IF(Raw!D1574="","",Raw!D1574))&amp;":"&amp;IF(Raw!D1574="","",Raw!D1574)&amp;"|"&amp;LEN(IF(Raw!E1574="","",Raw!E1574))&amp;":"&amp;IF(Raw!E1574="","",Raw!E1574)&amp;"|"&amp;LEN(IF(Raw!F1574="","",Raw!F1574))&amp;":"&amp;IF(Raw!F1574="","",Raw!F1574)&amp;"|"&amp;LEN(IF(Raw!G1574="","",Raw!G1574))&amp;":"&amp;IF(Raw!G1574="","",Raw!G1574)</f>
        <v>6:L01568|6:T00784|10:2026-03-23|3:P-H|4:Home|4:sale|7:$523.90</v>
      </c>
      <c r="Q1574" s="1">
        <f>1</f>
        <v>1</v>
      </c>
      <c r="R1574" s="1" t="b">
        <f>FALSE</f>
        <v>0</v>
      </c>
      <c r="S1574" s="1">
        <f>1</f>
        <v>1</v>
      </c>
      <c r="T1574" s="1" t="str">
        <f>IF(AND(Raw!A1574="",Raw!B1574="",Raw!C1574="",Raw!D1574="",Raw!E1574="",Raw!F1574="",Raw!G1574=""),"UNUSED",IF(A1574="","missing line ID",IF(B1574="","missing transaction ID",IF(G1574="",IF(C1574="","missing date","invalid date"),IF(I1574="","unknown product",IF(J1574="","conflicting category",IF(NOT(OR(EXACT(K1574,"sale"),EXACT(K1574,"refund"))),"unknown event",IF(OR(N1574="",NOT(O1574)),"invalid amount",IF(OR(AND(K1574="sale",N1574&lt;=0),AND(K1574="refund",N1574&gt;=0)),"invalid sign","")))))))))</f>
        <v/>
      </c>
      <c r="U1574" s="1" t="str">
        <f t="shared" si="197"/>
        <v>INCLUDED</v>
      </c>
      <c r="V1574" s="1" t="str">
        <f t="shared" si="198"/>
        <v>2026-03</v>
      </c>
      <c r="W1574" s="1">
        <f>IF(AND(U1574="INCLUDED",X1574&gt;0,EXACT(A1574,'AI output'!A1574)),1,0)</f>
        <v>1</v>
      </c>
      <c r="X1574" s="1">
        <f>1574</f>
        <v>1574</v>
      </c>
      <c r="Y1574" s="1">
        <f>IF(AND(U1574="INCLUDED",W1574=1),--(NOT(EXACT(A1574,'AI output'!A1574)))+--(NOT(EXACT(B1574,'AI output'!B1574)))+--(NOT(EXACT(TEXT(G1574,"yyyy-mm-dd"),'AI output'!C1574)))+--(NOT(EXACT(H1574,'AI output'!D1574)))+--(NOT(EXACT(J1574,'AI output'!E1574)))+--(NOT(EXACT(K1574,'AI output'!F1574)))+--(N1574&lt;&gt;'AI output'!L1574)+--(NOT('AI output'!M1574)),0)</f>
        <v>0</v>
      </c>
      <c r="Z1574" s="1">
        <f t="shared" si="199"/>
        <v>0</v>
      </c>
      <c r="AA1574" s="1">
        <f>--EXACT(A1574,"L01568")</f>
        <v>1</v>
      </c>
    </row>
    <row r="1575" spans="1:27" ht="18.95" customHeight="1">
      <c r="A1575" s="1" t="str">
        <f>IF(Raw!A1575="","",Raw!A1575)</f>
        <v>L01569</v>
      </c>
      <c r="B1575" s="1" t="str">
        <f>IF(Raw!B1575="","",Raw!B1575)</f>
        <v>T00785</v>
      </c>
      <c r="C1575" s="1" t="str">
        <f>IF(Raw!C1575="","",Raw!C1575)</f>
        <v>2026-03-30</v>
      </c>
      <c r="D1575" s="1">
        <f t="shared" si="192"/>
        <v>2026</v>
      </c>
      <c r="E1575" s="1">
        <f>IFERROR(IF(AND(LEN(C1575)=10,MID(C1575,5,1)="-",MID(C1575,8,1)="-"),VALUE(MID(C1575,6,2)),IF(AND(LEN(C1575)=11,MID(C1575,3,1)="-",MID(C1575,7,1)="-"),MATCH(UPPER(MID(C1575,4,3)),Guide!$D$7:$D$18,0),0)),0)</f>
        <v>3</v>
      </c>
      <c r="F1575" s="1">
        <f t="shared" si="193"/>
        <v>30</v>
      </c>
      <c r="G1575" s="9">
        <f t="shared" si="194"/>
        <v>46111</v>
      </c>
      <c r="H1575" s="1" t="str">
        <f>IF(Raw!D1575="","",Raw!D1575)</f>
        <v>P-O</v>
      </c>
      <c r="I1575" s="1" t="str">
        <f>IFERROR(IF(EXACT(H1575,INDEX(Guide!$A$7:$A$9,MATCH(SUBSTITUTE(SUBSTITUTE(SUBSTITUTE(H1575,"~","~~"),"*","~*"),"?","~?"),Guide!$A$7:$A$9,0))),INDEX(Guide!$B$7:$B$9,MATCH(SUBSTITUTE(SUBSTITUTE(SUBSTITUTE(H1575,"~","~~"),"*","~*"),"?","~?"),Guide!$A$7:$A$9,0)),""),"")</f>
        <v>Office</v>
      </c>
      <c r="J1575" s="1" t="str">
        <f>IF(TRIM(Raw!E1575)="",I1575,IF(UPPER(TRIM(Raw!E1575))=UPPER(I1575),I1575,""))</f>
        <v>Office</v>
      </c>
      <c r="K1575" s="1" t="str">
        <f>IF(Raw!F1575="","",Raw!F1575)</f>
        <v>sale</v>
      </c>
      <c r="L1575" s="1" t="str">
        <f>IF(LEFT(TRIM(Raw!G1575),2)="-$","-"&amp;MID(TRIM(Raw!G1575),3,99),IF(LEFT(TRIM(Raw!G1575),1)="$",MID(TRIM(Raw!G1575),2,99),TRIM(Raw!G1575)))</f>
        <v>210.30</v>
      </c>
      <c r="M1575" s="1">
        <f t="shared" si="195"/>
        <v>210.3</v>
      </c>
      <c r="N1575" s="10">
        <f t="shared" si="196"/>
        <v>21030</v>
      </c>
      <c r="O1575" s="1" t="b">
        <f>IFERROR(IF(ISNUMBER(Raw!G1575),TRUE,OR(EXACT(L1575,TEXT(M1575,"0.00")),EXACT(L1575,TEXT(M1575,"#,##0.00")))),FALSE)</f>
        <v>1</v>
      </c>
      <c r="P1575" s="1" t="str">
        <f>LEN(IF(Raw!A1575="","",Raw!A1575))&amp;":"&amp;IF(Raw!A1575="","",Raw!A1575)&amp;"|"&amp;LEN(IF(Raw!B1575="","",Raw!B1575))&amp;":"&amp;IF(Raw!B1575="","",Raw!B1575)&amp;"|"&amp;LEN(IF(Raw!C1575="","",Raw!C1575))&amp;":"&amp;IF(Raw!C1575="","",Raw!C1575)&amp;"|"&amp;LEN(IF(Raw!D1575="","",Raw!D1575))&amp;":"&amp;IF(Raw!D1575="","",Raw!D1575)&amp;"|"&amp;LEN(IF(Raw!E1575="","",Raw!E1575))&amp;":"&amp;IF(Raw!E1575="","",Raw!E1575)&amp;"|"&amp;LEN(IF(Raw!F1575="","",Raw!F1575))&amp;":"&amp;IF(Raw!F1575="","",Raw!F1575)&amp;"|"&amp;LEN(IF(Raw!G1575="","",Raw!G1575))&amp;":"&amp;IF(Raw!G1575="","",Raw!G1575)</f>
        <v>6:L01569|6:T00785|10:2026-03-30|3:P-O|6:Office|4:sale|6:210.30</v>
      </c>
      <c r="Q1575" s="1">
        <f>1</f>
        <v>1</v>
      </c>
      <c r="R1575" s="1" t="b">
        <f>FALSE</f>
        <v>0</v>
      </c>
      <c r="S1575" s="1">
        <f>1</f>
        <v>1</v>
      </c>
      <c r="T1575" s="1" t="str">
        <f>IF(AND(Raw!A1575="",Raw!B1575="",Raw!C1575="",Raw!D1575="",Raw!E1575="",Raw!F1575="",Raw!G1575=""),"UNUSED",IF(A1575="","missing line ID",IF(B1575="","missing transaction ID",IF(G1575="",IF(C1575="","missing date","invalid date"),IF(I1575="","unknown product",IF(J1575="","conflicting category",IF(NOT(OR(EXACT(K1575,"sale"),EXACT(K1575,"refund"))),"unknown event",IF(OR(N1575="",NOT(O1575)),"invalid amount",IF(OR(AND(K1575="sale",N1575&lt;=0),AND(K1575="refund",N1575&gt;=0)),"invalid sign","")))))))))</f>
        <v/>
      </c>
      <c r="U1575" s="1" t="str">
        <f t="shared" si="197"/>
        <v>INCLUDED</v>
      </c>
      <c r="V1575" s="1" t="str">
        <f t="shared" si="198"/>
        <v>2026-03</v>
      </c>
      <c r="W1575" s="1">
        <f>IF(AND(U1575="INCLUDED",X1575&gt;0,EXACT(A1575,'AI output'!A1575)),1,0)</f>
        <v>1</v>
      </c>
      <c r="X1575" s="1">
        <f>1575</f>
        <v>1575</v>
      </c>
      <c r="Y1575" s="1">
        <f>IF(AND(U1575="INCLUDED",W1575=1),--(NOT(EXACT(A1575,'AI output'!A1575)))+--(NOT(EXACT(B1575,'AI output'!B1575)))+--(NOT(EXACT(TEXT(G1575,"yyyy-mm-dd"),'AI output'!C1575)))+--(NOT(EXACT(H1575,'AI output'!D1575)))+--(NOT(EXACT(J1575,'AI output'!E1575)))+--(NOT(EXACT(K1575,'AI output'!F1575)))+--(N1575&lt;&gt;'AI output'!L1575)+--(NOT('AI output'!M1575)),0)</f>
        <v>0</v>
      </c>
      <c r="Z1575" s="1">
        <f t="shared" si="199"/>
        <v>0</v>
      </c>
      <c r="AA1575" s="1">
        <f>--EXACT(A1575,"L01569")</f>
        <v>1</v>
      </c>
    </row>
    <row r="1576" spans="1:27" ht="18.95" customHeight="1">
      <c r="A1576" s="1" t="str">
        <f>IF(Raw!A1576="","",Raw!A1576)</f>
        <v>L01570</v>
      </c>
      <c r="B1576" s="1" t="str">
        <f>IF(Raw!B1576="","",Raw!B1576)</f>
        <v>T00785</v>
      </c>
      <c r="C1576" s="1" t="str">
        <f>IF(Raw!C1576="","",Raw!C1576)</f>
        <v>2026-03-30</v>
      </c>
      <c r="D1576" s="1">
        <f t="shared" si="192"/>
        <v>2026</v>
      </c>
      <c r="E1576" s="1">
        <f>IFERROR(IF(AND(LEN(C1576)=10,MID(C1576,5,1)="-",MID(C1576,8,1)="-"),VALUE(MID(C1576,6,2)),IF(AND(LEN(C1576)=11,MID(C1576,3,1)="-",MID(C1576,7,1)="-"),MATCH(UPPER(MID(C1576,4,3)),Guide!$D$7:$D$18,0),0)),0)</f>
        <v>3</v>
      </c>
      <c r="F1576" s="1">
        <f t="shared" si="193"/>
        <v>30</v>
      </c>
      <c r="G1576" s="9">
        <f t="shared" si="194"/>
        <v>46111</v>
      </c>
      <c r="H1576" s="1" t="str">
        <f>IF(Raw!D1576="","",Raw!D1576)</f>
        <v>P-A</v>
      </c>
      <c r="I1576" s="1" t="str">
        <f>IFERROR(IF(EXACT(H1576,INDEX(Guide!$A$7:$A$9,MATCH(SUBSTITUTE(SUBSTITUTE(SUBSTITUTE(H1576,"~","~~"),"*","~*"),"?","~?"),Guide!$A$7:$A$9,0))),INDEX(Guide!$B$7:$B$9,MATCH(SUBSTITUTE(SUBSTITUTE(SUBSTITUTE(H1576,"~","~~"),"*","~*"),"?","~?"),Guide!$A$7:$A$9,0)),""),"")</f>
        <v>Accessories</v>
      </c>
      <c r="J1576" s="1" t="str">
        <f>IF(TRIM(Raw!E1576)="",I1576,IF(UPPER(TRIM(Raw!E1576))=UPPER(I1576),I1576,""))</f>
        <v>Accessories</v>
      </c>
      <c r="K1576" s="1" t="str">
        <f>IF(Raw!F1576="","",Raw!F1576)</f>
        <v>sale</v>
      </c>
      <c r="L1576" s="1" t="str">
        <f>IF(LEFT(TRIM(Raw!G1576),2)="-$","-"&amp;MID(TRIM(Raw!G1576),3,99),IF(LEFT(TRIM(Raw!G1576),1)="$",MID(TRIM(Raw!G1576),2,99),TRIM(Raw!G1576)))</f>
        <v>422.08</v>
      </c>
      <c r="M1576" s="1">
        <f t="shared" si="195"/>
        <v>422.08</v>
      </c>
      <c r="N1576" s="10">
        <f t="shared" si="196"/>
        <v>42208</v>
      </c>
      <c r="O1576" s="1" t="b">
        <f>IFERROR(IF(ISNUMBER(Raw!G1576),TRUE,OR(EXACT(L1576,TEXT(M1576,"0.00")),EXACT(L1576,TEXT(M1576,"#,##0.00")))),FALSE)</f>
        <v>1</v>
      </c>
      <c r="P1576" s="1" t="str">
        <f>LEN(IF(Raw!A1576="","",Raw!A1576))&amp;":"&amp;IF(Raw!A1576="","",Raw!A1576)&amp;"|"&amp;LEN(IF(Raw!B1576="","",Raw!B1576))&amp;":"&amp;IF(Raw!B1576="","",Raw!B1576)&amp;"|"&amp;LEN(IF(Raw!C1576="","",Raw!C1576))&amp;":"&amp;IF(Raw!C1576="","",Raw!C1576)&amp;"|"&amp;LEN(IF(Raw!D1576="","",Raw!D1576))&amp;":"&amp;IF(Raw!D1576="","",Raw!D1576)&amp;"|"&amp;LEN(IF(Raw!E1576="","",Raw!E1576))&amp;":"&amp;IF(Raw!E1576="","",Raw!E1576)&amp;"|"&amp;LEN(IF(Raw!F1576="","",Raw!F1576))&amp;":"&amp;IF(Raw!F1576="","",Raw!F1576)&amp;"|"&amp;LEN(IF(Raw!G1576="","",Raw!G1576))&amp;":"&amp;IF(Raw!G1576="","",Raw!G1576)</f>
        <v>6:L01570|6:T00785|10:2026-03-30|3:P-A|11:Accessories|4:sale|6:422.08</v>
      </c>
      <c r="Q1576" s="1">
        <f>1</f>
        <v>1</v>
      </c>
      <c r="R1576" s="1" t="b">
        <f>FALSE</f>
        <v>0</v>
      </c>
      <c r="S1576" s="1">
        <f>1</f>
        <v>1</v>
      </c>
      <c r="T1576" s="1" t="str">
        <f>IF(AND(Raw!A1576="",Raw!B1576="",Raw!C1576="",Raw!D1576="",Raw!E1576="",Raw!F1576="",Raw!G1576=""),"UNUSED",IF(A1576="","missing line ID",IF(B1576="","missing transaction ID",IF(G1576="",IF(C1576="","missing date","invalid date"),IF(I1576="","unknown product",IF(J1576="","conflicting category",IF(NOT(OR(EXACT(K1576,"sale"),EXACT(K1576,"refund"))),"unknown event",IF(OR(N1576="",NOT(O1576)),"invalid amount",IF(OR(AND(K1576="sale",N1576&lt;=0),AND(K1576="refund",N1576&gt;=0)),"invalid sign","")))))))))</f>
        <v/>
      </c>
      <c r="U1576" s="1" t="str">
        <f t="shared" si="197"/>
        <v>INCLUDED</v>
      </c>
      <c r="V1576" s="1" t="str">
        <f t="shared" si="198"/>
        <v>2026-03</v>
      </c>
      <c r="W1576" s="1">
        <f>IF(AND(U1576="INCLUDED",X1576&gt;0,EXACT(A1576,'AI output'!A1576)),1,0)</f>
        <v>1</v>
      </c>
      <c r="X1576" s="1">
        <f>1576</f>
        <v>1576</v>
      </c>
      <c r="Y1576" s="1">
        <f>IF(AND(U1576="INCLUDED",W1576=1),--(NOT(EXACT(A1576,'AI output'!A1576)))+--(NOT(EXACT(B1576,'AI output'!B1576)))+--(NOT(EXACT(TEXT(G1576,"yyyy-mm-dd"),'AI output'!C1576)))+--(NOT(EXACT(H1576,'AI output'!D1576)))+--(NOT(EXACT(J1576,'AI output'!E1576)))+--(NOT(EXACT(K1576,'AI output'!F1576)))+--(N1576&lt;&gt;'AI output'!L1576)+--(NOT('AI output'!M1576)),0)</f>
        <v>0</v>
      </c>
      <c r="Z1576" s="1">
        <f t="shared" si="199"/>
        <v>0</v>
      </c>
      <c r="AA1576" s="1">
        <f>--EXACT(A1576,"L01570")</f>
        <v>1</v>
      </c>
    </row>
    <row r="1577" spans="1:27" ht="18.95" customHeight="1">
      <c r="A1577" s="1" t="str">
        <f>IF(Raw!A1577="","",Raw!A1577)</f>
        <v>L01571</v>
      </c>
      <c r="B1577" s="1" t="str">
        <f>IF(Raw!B1577="","",Raw!B1577)</f>
        <v>T00786</v>
      </c>
      <c r="C1577" s="1" t="str">
        <f>IF(Raw!C1577="","",Raw!C1577)</f>
        <v>2026-01-06</v>
      </c>
      <c r="D1577" s="1">
        <f t="shared" si="192"/>
        <v>2026</v>
      </c>
      <c r="E1577" s="1">
        <f>IFERROR(IF(AND(LEN(C1577)=10,MID(C1577,5,1)="-",MID(C1577,8,1)="-"),VALUE(MID(C1577,6,2)),IF(AND(LEN(C1577)=11,MID(C1577,3,1)="-",MID(C1577,7,1)="-"),MATCH(UPPER(MID(C1577,4,3)),Guide!$D$7:$D$18,0),0)),0)</f>
        <v>1</v>
      </c>
      <c r="F1577" s="1">
        <f t="shared" si="193"/>
        <v>6</v>
      </c>
      <c r="G1577" s="9">
        <f t="shared" si="194"/>
        <v>46028</v>
      </c>
      <c r="H1577" s="1" t="str">
        <f>IF(Raw!D1577="","",Raw!D1577)</f>
        <v>P-H</v>
      </c>
      <c r="I1577" s="1" t="str">
        <f>IFERROR(IF(EXACT(H1577,INDEX(Guide!$A$7:$A$9,MATCH(SUBSTITUTE(SUBSTITUTE(SUBSTITUTE(H1577,"~","~~"),"*","~*"),"?","~?"),Guide!$A$7:$A$9,0))),INDEX(Guide!$B$7:$B$9,MATCH(SUBSTITUTE(SUBSTITUTE(SUBSTITUTE(H1577,"~","~~"),"*","~*"),"?","~?"),Guide!$A$7:$A$9,0)),""),"")</f>
        <v>Home</v>
      </c>
      <c r="J1577" s="1" t="str">
        <f>IF(TRIM(Raw!E1577)="",I1577,IF(UPPER(TRIM(Raw!E1577))=UPPER(I1577),I1577,""))</f>
        <v>Home</v>
      </c>
      <c r="K1577" s="1" t="str">
        <f>IF(Raw!F1577="","",Raw!F1577)</f>
        <v>sale</v>
      </c>
      <c r="L1577" s="1" t="str">
        <f>IF(LEFT(TRIM(Raw!G1577),2)="-$","-"&amp;MID(TRIM(Raw!G1577),3,99),IF(LEFT(TRIM(Raw!G1577),1)="$",MID(TRIM(Raw!G1577),2,99),TRIM(Raw!G1577)))</f>
        <v>105.89</v>
      </c>
      <c r="M1577" s="1">
        <f t="shared" si="195"/>
        <v>105.89</v>
      </c>
      <c r="N1577" s="10">
        <f t="shared" si="196"/>
        <v>10589</v>
      </c>
      <c r="O1577" s="1" t="b">
        <f>IFERROR(IF(ISNUMBER(Raw!G1577),TRUE,OR(EXACT(L1577,TEXT(M1577,"0.00")),EXACT(L1577,TEXT(M1577,"#,##0.00")))),FALSE)</f>
        <v>1</v>
      </c>
      <c r="P1577" s="1" t="str">
        <f>LEN(IF(Raw!A1577="","",Raw!A1577))&amp;":"&amp;IF(Raw!A1577="","",Raw!A1577)&amp;"|"&amp;LEN(IF(Raw!B1577="","",Raw!B1577))&amp;":"&amp;IF(Raw!B1577="","",Raw!B1577)&amp;"|"&amp;LEN(IF(Raw!C1577="","",Raw!C1577))&amp;":"&amp;IF(Raw!C1577="","",Raw!C1577)&amp;"|"&amp;LEN(IF(Raw!D1577="","",Raw!D1577))&amp;":"&amp;IF(Raw!D1577="","",Raw!D1577)&amp;"|"&amp;LEN(IF(Raw!E1577="","",Raw!E1577))&amp;":"&amp;IF(Raw!E1577="","",Raw!E1577)&amp;"|"&amp;LEN(IF(Raw!F1577="","",Raw!F1577))&amp;":"&amp;IF(Raw!F1577="","",Raw!F1577)&amp;"|"&amp;LEN(IF(Raw!G1577="","",Raw!G1577))&amp;":"&amp;IF(Raw!G1577="","",Raw!G1577)</f>
        <v>6:L01571|6:T00786|10:2026-01-06|3:P-H|4:Home|4:sale|6:105.89</v>
      </c>
      <c r="Q1577" s="1">
        <f>1</f>
        <v>1</v>
      </c>
      <c r="R1577" s="1" t="b">
        <f>FALSE</f>
        <v>0</v>
      </c>
      <c r="S1577" s="1">
        <f>1</f>
        <v>1</v>
      </c>
      <c r="T1577" s="1" t="str">
        <f>IF(AND(Raw!A1577="",Raw!B1577="",Raw!C1577="",Raw!D1577="",Raw!E1577="",Raw!F1577="",Raw!G1577=""),"UNUSED",IF(A1577="","missing line ID",IF(B1577="","missing transaction ID",IF(G1577="",IF(C1577="","missing date","invalid date"),IF(I1577="","unknown product",IF(J1577="","conflicting category",IF(NOT(OR(EXACT(K1577,"sale"),EXACT(K1577,"refund"))),"unknown event",IF(OR(N1577="",NOT(O1577)),"invalid amount",IF(OR(AND(K1577="sale",N1577&lt;=0),AND(K1577="refund",N1577&gt;=0)),"invalid sign","")))))))))</f>
        <v/>
      </c>
      <c r="U1577" s="1" t="str">
        <f t="shared" si="197"/>
        <v>INCLUDED</v>
      </c>
      <c r="V1577" s="1" t="str">
        <f t="shared" si="198"/>
        <v>2026-01</v>
      </c>
      <c r="W1577" s="1">
        <f>IF(AND(U1577="INCLUDED",X1577&gt;0,EXACT(A1577,'AI output'!A1577)),1,0)</f>
        <v>1</v>
      </c>
      <c r="X1577" s="1">
        <f>1577</f>
        <v>1577</v>
      </c>
      <c r="Y1577" s="1">
        <f>IF(AND(U1577="INCLUDED",W1577=1),--(NOT(EXACT(A1577,'AI output'!A1577)))+--(NOT(EXACT(B1577,'AI output'!B1577)))+--(NOT(EXACT(TEXT(G1577,"yyyy-mm-dd"),'AI output'!C1577)))+--(NOT(EXACT(H1577,'AI output'!D1577)))+--(NOT(EXACT(J1577,'AI output'!E1577)))+--(NOT(EXACT(K1577,'AI output'!F1577)))+--(N1577&lt;&gt;'AI output'!L1577)+--(NOT('AI output'!M1577)),0)</f>
        <v>0</v>
      </c>
      <c r="Z1577" s="1">
        <f t="shared" si="199"/>
        <v>0</v>
      </c>
      <c r="AA1577" s="1">
        <f>--EXACT(A1577,"L01571")</f>
        <v>1</v>
      </c>
    </row>
    <row r="1578" spans="1:27" ht="18.95" customHeight="1">
      <c r="A1578" s="1" t="str">
        <f>IF(Raw!A1578="","",Raw!A1578)</f>
        <v>L01572</v>
      </c>
      <c r="B1578" s="1" t="str">
        <f>IF(Raw!B1578="","",Raw!B1578)</f>
        <v>T00786</v>
      </c>
      <c r="C1578" s="1" t="str">
        <f>IF(Raw!C1578="","",Raw!C1578)</f>
        <v>2026-01-06</v>
      </c>
      <c r="D1578" s="1">
        <f t="shared" si="192"/>
        <v>2026</v>
      </c>
      <c r="E1578" s="1">
        <f>IFERROR(IF(AND(LEN(C1578)=10,MID(C1578,5,1)="-",MID(C1578,8,1)="-"),VALUE(MID(C1578,6,2)),IF(AND(LEN(C1578)=11,MID(C1578,3,1)="-",MID(C1578,7,1)="-"),MATCH(UPPER(MID(C1578,4,3)),Guide!$D$7:$D$18,0),0)),0)</f>
        <v>1</v>
      </c>
      <c r="F1578" s="1">
        <f t="shared" si="193"/>
        <v>6</v>
      </c>
      <c r="G1578" s="9">
        <f t="shared" si="194"/>
        <v>46028</v>
      </c>
      <c r="H1578" s="1" t="str">
        <f>IF(Raw!D1578="","",Raw!D1578)</f>
        <v>P-O</v>
      </c>
      <c r="I1578" s="1" t="str">
        <f>IFERROR(IF(EXACT(H1578,INDEX(Guide!$A$7:$A$9,MATCH(SUBSTITUTE(SUBSTITUTE(SUBSTITUTE(H1578,"~","~~"),"*","~*"),"?","~?"),Guide!$A$7:$A$9,0))),INDEX(Guide!$B$7:$B$9,MATCH(SUBSTITUTE(SUBSTITUTE(SUBSTITUTE(H1578,"~","~~"),"*","~*"),"?","~?"),Guide!$A$7:$A$9,0)),""),"")</f>
        <v>Office</v>
      </c>
      <c r="J1578" s="1" t="str">
        <f>IF(TRIM(Raw!E1578)="",I1578,IF(UPPER(TRIM(Raw!E1578))=UPPER(I1578),I1578,""))</f>
        <v>Office</v>
      </c>
      <c r="K1578" s="1" t="str">
        <f>IF(Raw!F1578="","",Raw!F1578)</f>
        <v>sale</v>
      </c>
      <c r="L1578" s="1" t="str">
        <f>IF(LEFT(TRIM(Raw!G1578),2)="-$","-"&amp;MID(TRIM(Raw!G1578),3,99),IF(LEFT(TRIM(Raw!G1578),1)="$",MID(TRIM(Raw!G1578),2,99),TRIM(Raw!G1578)))</f>
        <v>318.78</v>
      </c>
      <c r="M1578" s="1">
        <f t="shared" si="195"/>
        <v>318.77999999999997</v>
      </c>
      <c r="N1578" s="10">
        <f t="shared" si="196"/>
        <v>31878</v>
      </c>
      <c r="O1578" s="1" t="b">
        <f>IFERROR(IF(ISNUMBER(Raw!G1578),TRUE,OR(EXACT(L1578,TEXT(M1578,"0.00")),EXACT(L1578,TEXT(M1578,"#,##0.00")))),FALSE)</f>
        <v>1</v>
      </c>
      <c r="P1578" s="1" t="str">
        <f>LEN(IF(Raw!A1578="","",Raw!A1578))&amp;":"&amp;IF(Raw!A1578="","",Raw!A1578)&amp;"|"&amp;LEN(IF(Raw!B1578="","",Raw!B1578))&amp;":"&amp;IF(Raw!B1578="","",Raw!B1578)&amp;"|"&amp;LEN(IF(Raw!C1578="","",Raw!C1578))&amp;":"&amp;IF(Raw!C1578="","",Raw!C1578)&amp;"|"&amp;LEN(IF(Raw!D1578="","",Raw!D1578))&amp;":"&amp;IF(Raw!D1578="","",Raw!D1578)&amp;"|"&amp;LEN(IF(Raw!E1578="","",Raw!E1578))&amp;":"&amp;IF(Raw!E1578="","",Raw!E1578)&amp;"|"&amp;LEN(IF(Raw!F1578="","",Raw!F1578))&amp;":"&amp;IF(Raw!F1578="","",Raw!F1578)&amp;"|"&amp;LEN(IF(Raw!G1578="","",Raw!G1578))&amp;":"&amp;IF(Raw!G1578="","",Raw!G1578)</f>
        <v>6:L01572|6:T00786|10:2026-01-06|3:P-O|6:Office|4:sale|6:318.78</v>
      </c>
      <c r="Q1578" s="1">
        <f>1</f>
        <v>1</v>
      </c>
      <c r="R1578" s="1" t="b">
        <f>FALSE</f>
        <v>0</v>
      </c>
      <c r="S1578" s="1">
        <f>1</f>
        <v>1</v>
      </c>
      <c r="T1578" s="1" t="str">
        <f>IF(AND(Raw!A1578="",Raw!B1578="",Raw!C1578="",Raw!D1578="",Raw!E1578="",Raw!F1578="",Raw!G1578=""),"UNUSED",IF(A1578="","missing line ID",IF(B1578="","missing transaction ID",IF(G1578="",IF(C1578="","missing date","invalid date"),IF(I1578="","unknown product",IF(J1578="","conflicting category",IF(NOT(OR(EXACT(K1578,"sale"),EXACT(K1578,"refund"))),"unknown event",IF(OR(N1578="",NOT(O1578)),"invalid amount",IF(OR(AND(K1578="sale",N1578&lt;=0),AND(K1578="refund",N1578&gt;=0)),"invalid sign","")))))))))</f>
        <v/>
      </c>
      <c r="U1578" s="1" t="str">
        <f t="shared" si="197"/>
        <v>INCLUDED</v>
      </c>
      <c r="V1578" s="1" t="str">
        <f t="shared" si="198"/>
        <v>2026-01</v>
      </c>
      <c r="W1578" s="1">
        <f>IF(AND(U1578="INCLUDED",X1578&gt;0,EXACT(A1578,'AI output'!A1578)),1,0)</f>
        <v>1</v>
      </c>
      <c r="X1578" s="1">
        <f>1578</f>
        <v>1578</v>
      </c>
      <c r="Y1578" s="1">
        <f>IF(AND(U1578="INCLUDED",W1578=1),--(NOT(EXACT(A1578,'AI output'!A1578)))+--(NOT(EXACT(B1578,'AI output'!B1578)))+--(NOT(EXACT(TEXT(G1578,"yyyy-mm-dd"),'AI output'!C1578)))+--(NOT(EXACT(H1578,'AI output'!D1578)))+--(NOT(EXACT(J1578,'AI output'!E1578)))+--(NOT(EXACT(K1578,'AI output'!F1578)))+--(N1578&lt;&gt;'AI output'!L1578)+--(NOT('AI output'!M1578)),0)</f>
        <v>0</v>
      </c>
      <c r="Z1578" s="1">
        <f t="shared" si="199"/>
        <v>0</v>
      </c>
      <c r="AA1578" s="1">
        <f>--EXACT(A1578,"L01572")</f>
        <v>1</v>
      </c>
    </row>
    <row r="1579" spans="1:27" ht="18.95" customHeight="1">
      <c r="A1579" s="1" t="str">
        <f>IF(Raw!A1579="","",Raw!A1579)</f>
        <v>L01573</v>
      </c>
      <c r="B1579" s="1" t="str">
        <f>IF(Raw!B1579="","",Raw!B1579)</f>
        <v>T00787</v>
      </c>
      <c r="C1579" s="1" t="str">
        <f>IF(Raw!C1579="","",Raw!C1579)</f>
        <v>2026-01-13</v>
      </c>
      <c r="D1579" s="1">
        <f t="shared" si="192"/>
        <v>2026</v>
      </c>
      <c r="E1579" s="1">
        <f>IFERROR(IF(AND(LEN(C1579)=10,MID(C1579,5,1)="-",MID(C1579,8,1)="-"),VALUE(MID(C1579,6,2)),IF(AND(LEN(C1579)=11,MID(C1579,3,1)="-",MID(C1579,7,1)="-"),MATCH(UPPER(MID(C1579,4,3)),Guide!$D$7:$D$18,0),0)),0)</f>
        <v>1</v>
      </c>
      <c r="F1579" s="1">
        <f t="shared" si="193"/>
        <v>13</v>
      </c>
      <c r="G1579" s="9">
        <f t="shared" si="194"/>
        <v>46035</v>
      </c>
      <c r="H1579" s="1" t="str">
        <f>IF(Raw!D1579="","",Raw!D1579)</f>
        <v>P-A</v>
      </c>
      <c r="I1579" s="1" t="str">
        <f>IFERROR(IF(EXACT(H1579,INDEX(Guide!$A$7:$A$9,MATCH(SUBSTITUTE(SUBSTITUTE(SUBSTITUTE(H1579,"~","~~"),"*","~*"),"?","~?"),Guide!$A$7:$A$9,0))),INDEX(Guide!$B$7:$B$9,MATCH(SUBSTITUTE(SUBSTITUTE(SUBSTITUTE(H1579,"~","~~"),"*","~*"),"?","~?"),Guide!$A$7:$A$9,0)),""),"")</f>
        <v>Accessories</v>
      </c>
      <c r="J1579" s="1" t="str">
        <f>IF(TRIM(Raw!E1579)="",I1579,IF(UPPER(TRIM(Raw!E1579))=UPPER(I1579),I1579,""))</f>
        <v>Accessories</v>
      </c>
      <c r="K1579" s="1" t="str">
        <f>IF(Raw!F1579="","",Raw!F1579)</f>
        <v>sale</v>
      </c>
      <c r="L1579" s="1" t="str">
        <f>IF(LEFT(TRIM(Raw!G1579),2)="-$","-"&amp;MID(TRIM(Raw!G1579),3,99),IF(LEFT(TRIM(Raw!G1579),1)="$",MID(TRIM(Raw!G1579),2,99),TRIM(Raw!G1579)))</f>
        <v>533.15</v>
      </c>
      <c r="M1579" s="1">
        <f t="shared" si="195"/>
        <v>533.15</v>
      </c>
      <c r="N1579" s="10">
        <f t="shared" si="196"/>
        <v>53315</v>
      </c>
      <c r="O1579" s="1" t="b">
        <f>IFERROR(IF(ISNUMBER(Raw!G1579),TRUE,OR(EXACT(L1579,TEXT(M1579,"0.00")),EXACT(L1579,TEXT(M1579,"#,##0.00")))),FALSE)</f>
        <v>1</v>
      </c>
      <c r="P1579" s="1" t="str">
        <f>LEN(IF(Raw!A1579="","",Raw!A1579))&amp;":"&amp;IF(Raw!A1579="","",Raw!A1579)&amp;"|"&amp;LEN(IF(Raw!B1579="","",Raw!B1579))&amp;":"&amp;IF(Raw!B1579="","",Raw!B1579)&amp;"|"&amp;LEN(IF(Raw!C1579="","",Raw!C1579))&amp;":"&amp;IF(Raw!C1579="","",Raw!C1579)&amp;"|"&amp;LEN(IF(Raw!D1579="","",Raw!D1579))&amp;":"&amp;IF(Raw!D1579="","",Raw!D1579)&amp;"|"&amp;LEN(IF(Raw!E1579="","",Raw!E1579))&amp;":"&amp;IF(Raw!E1579="","",Raw!E1579)&amp;"|"&amp;LEN(IF(Raw!F1579="","",Raw!F1579))&amp;":"&amp;IF(Raw!F1579="","",Raw!F1579)&amp;"|"&amp;LEN(IF(Raw!G1579="","",Raw!G1579))&amp;":"&amp;IF(Raw!G1579="","",Raw!G1579)</f>
        <v>6:L01573|6:T00787|10:2026-01-13|3:P-A|11:Accessories|4:sale|6:533.15</v>
      </c>
      <c r="Q1579" s="1">
        <f>1</f>
        <v>1</v>
      </c>
      <c r="R1579" s="1" t="b">
        <f>FALSE</f>
        <v>0</v>
      </c>
      <c r="S1579" s="1">
        <f>1</f>
        <v>1</v>
      </c>
      <c r="T1579" s="1" t="str">
        <f>IF(AND(Raw!A1579="",Raw!B1579="",Raw!C1579="",Raw!D1579="",Raw!E1579="",Raw!F1579="",Raw!G1579=""),"UNUSED",IF(A1579="","missing line ID",IF(B1579="","missing transaction ID",IF(G1579="",IF(C1579="","missing date","invalid date"),IF(I1579="","unknown product",IF(J1579="","conflicting category",IF(NOT(OR(EXACT(K1579,"sale"),EXACT(K1579,"refund"))),"unknown event",IF(OR(N1579="",NOT(O1579)),"invalid amount",IF(OR(AND(K1579="sale",N1579&lt;=0),AND(K1579="refund",N1579&gt;=0)),"invalid sign","")))))))))</f>
        <v/>
      </c>
      <c r="U1579" s="1" t="str">
        <f t="shared" si="197"/>
        <v>INCLUDED</v>
      </c>
      <c r="V1579" s="1" t="str">
        <f t="shared" si="198"/>
        <v>2026-01</v>
      </c>
      <c r="W1579" s="1">
        <f>IF(AND(U1579="INCLUDED",X1579&gt;0,EXACT(A1579,'AI output'!A1579)),1,0)</f>
        <v>1</v>
      </c>
      <c r="X1579" s="1">
        <f>1579</f>
        <v>1579</v>
      </c>
      <c r="Y1579" s="1">
        <f>IF(AND(U1579="INCLUDED",W1579=1),--(NOT(EXACT(A1579,'AI output'!A1579)))+--(NOT(EXACT(B1579,'AI output'!B1579)))+--(NOT(EXACT(TEXT(G1579,"yyyy-mm-dd"),'AI output'!C1579)))+--(NOT(EXACT(H1579,'AI output'!D1579)))+--(NOT(EXACT(J1579,'AI output'!E1579)))+--(NOT(EXACT(K1579,'AI output'!F1579)))+--(N1579&lt;&gt;'AI output'!L1579)+--(NOT('AI output'!M1579)),0)</f>
        <v>0</v>
      </c>
      <c r="Z1579" s="1">
        <f t="shared" si="199"/>
        <v>0</v>
      </c>
      <c r="AA1579" s="1">
        <f>--EXACT(A1579,"L01573")</f>
        <v>1</v>
      </c>
    </row>
    <row r="1580" spans="1:27" ht="18.95" customHeight="1">
      <c r="A1580" s="1" t="str">
        <f>IF(Raw!A1580="","",Raw!A1580)</f>
        <v>L01574</v>
      </c>
      <c r="B1580" s="1" t="str">
        <f>IF(Raw!B1580="","",Raw!B1580)</f>
        <v>T00787</v>
      </c>
      <c r="C1580" s="1" t="str">
        <f>IF(Raw!C1580="","",Raw!C1580)</f>
        <v>2026-01-13</v>
      </c>
      <c r="D1580" s="1">
        <f t="shared" si="192"/>
        <v>2026</v>
      </c>
      <c r="E1580" s="1">
        <f>IFERROR(IF(AND(LEN(C1580)=10,MID(C1580,5,1)="-",MID(C1580,8,1)="-"),VALUE(MID(C1580,6,2)),IF(AND(LEN(C1580)=11,MID(C1580,3,1)="-",MID(C1580,7,1)="-"),MATCH(UPPER(MID(C1580,4,3)),Guide!$D$7:$D$18,0),0)),0)</f>
        <v>1</v>
      </c>
      <c r="F1580" s="1">
        <f t="shared" si="193"/>
        <v>13</v>
      </c>
      <c r="G1580" s="9">
        <f t="shared" si="194"/>
        <v>46035</v>
      </c>
      <c r="H1580" s="1" t="str">
        <f>IF(Raw!D1580="","",Raw!D1580)</f>
        <v>P-H</v>
      </c>
      <c r="I1580" s="1" t="str">
        <f>IFERROR(IF(EXACT(H1580,INDEX(Guide!$A$7:$A$9,MATCH(SUBSTITUTE(SUBSTITUTE(SUBSTITUTE(H1580,"~","~~"),"*","~*"),"?","~?"),Guide!$A$7:$A$9,0))),INDEX(Guide!$B$7:$B$9,MATCH(SUBSTITUTE(SUBSTITUTE(SUBSTITUTE(H1580,"~","~~"),"*","~*"),"?","~?"),Guide!$A$7:$A$9,0)),""),"")</f>
        <v>Home</v>
      </c>
      <c r="J1580" s="1" t="str">
        <f>IF(TRIM(Raw!E1580)="",I1580,IF(UPPER(TRIM(Raw!E1580))=UPPER(I1580),I1580,""))</f>
        <v>Home</v>
      </c>
      <c r="K1580" s="1" t="str">
        <f>IF(Raw!F1580="","",Raw!F1580)</f>
        <v>sale</v>
      </c>
      <c r="L1580" s="1" t="str">
        <f>IF(LEFT(TRIM(Raw!G1580),2)="-$","-"&amp;MID(TRIM(Raw!G1580),3,99),IF(LEFT(TRIM(Raw!G1580),1)="$",MID(TRIM(Raw!G1580),2,99),TRIM(Raw!G1580)))</f>
        <v>214.00</v>
      </c>
      <c r="M1580" s="1">
        <f t="shared" si="195"/>
        <v>214</v>
      </c>
      <c r="N1580" s="10">
        <f t="shared" si="196"/>
        <v>21400</v>
      </c>
      <c r="O1580" s="1" t="b">
        <f>IFERROR(IF(ISNUMBER(Raw!G1580),TRUE,OR(EXACT(L1580,TEXT(M1580,"0.00")),EXACT(L1580,TEXT(M1580,"#,##0.00")))),FALSE)</f>
        <v>1</v>
      </c>
      <c r="P1580" s="1" t="str">
        <f>LEN(IF(Raw!A1580="","",Raw!A1580))&amp;":"&amp;IF(Raw!A1580="","",Raw!A1580)&amp;"|"&amp;LEN(IF(Raw!B1580="","",Raw!B1580))&amp;":"&amp;IF(Raw!B1580="","",Raw!B1580)&amp;"|"&amp;LEN(IF(Raw!C1580="","",Raw!C1580))&amp;":"&amp;IF(Raw!C1580="","",Raw!C1580)&amp;"|"&amp;LEN(IF(Raw!D1580="","",Raw!D1580))&amp;":"&amp;IF(Raw!D1580="","",Raw!D1580)&amp;"|"&amp;LEN(IF(Raw!E1580="","",Raw!E1580))&amp;":"&amp;IF(Raw!E1580="","",Raw!E1580)&amp;"|"&amp;LEN(IF(Raw!F1580="","",Raw!F1580))&amp;":"&amp;IF(Raw!F1580="","",Raw!F1580)&amp;"|"&amp;LEN(IF(Raw!G1580="","",Raw!G1580))&amp;":"&amp;IF(Raw!G1580="","",Raw!G1580)</f>
        <v>6:L01574|6:T00787|10:2026-01-13|3:P-H|4:Home|4:sale|6:214.00</v>
      </c>
      <c r="Q1580" s="1">
        <f>1</f>
        <v>1</v>
      </c>
      <c r="R1580" s="1" t="b">
        <f>FALSE</f>
        <v>0</v>
      </c>
      <c r="S1580" s="1">
        <f>1</f>
        <v>1</v>
      </c>
      <c r="T1580" s="1" t="str">
        <f>IF(AND(Raw!A1580="",Raw!B1580="",Raw!C1580="",Raw!D1580="",Raw!E1580="",Raw!F1580="",Raw!G1580=""),"UNUSED",IF(A1580="","missing line ID",IF(B1580="","missing transaction ID",IF(G1580="",IF(C1580="","missing date","invalid date"),IF(I1580="","unknown product",IF(J1580="","conflicting category",IF(NOT(OR(EXACT(K1580,"sale"),EXACT(K1580,"refund"))),"unknown event",IF(OR(N1580="",NOT(O1580)),"invalid amount",IF(OR(AND(K1580="sale",N1580&lt;=0),AND(K1580="refund",N1580&gt;=0)),"invalid sign","")))))))))</f>
        <v/>
      </c>
      <c r="U1580" s="1" t="str">
        <f t="shared" si="197"/>
        <v>INCLUDED</v>
      </c>
      <c r="V1580" s="1" t="str">
        <f t="shared" si="198"/>
        <v>2026-01</v>
      </c>
      <c r="W1580" s="1">
        <f>IF(AND(U1580="INCLUDED",X1580&gt;0,EXACT(A1580,'AI output'!A1580)),1,0)</f>
        <v>1</v>
      </c>
      <c r="X1580" s="1">
        <f>1580</f>
        <v>1580</v>
      </c>
      <c r="Y1580" s="1">
        <f>IF(AND(U1580="INCLUDED",W1580=1),--(NOT(EXACT(A1580,'AI output'!A1580)))+--(NOT(EXACT(B1580,'AI output'!B1580)))+--(NOT(EXACT(TEXT(G1580,"yyyy-mm-dd"),'AI output'!C1580)))+--(NOT(EXACT(H1580,'AI output'!D1580)))+--(NOT(EXACT(J1580,'AI output'!E1580)))+--(NOT(EXACT(K1580,'AI output'!F1580)))+--(N1580&lt;&gt;'AI output'!L1580)+--(NOT('AI output'!M1580)),0)</f>
        <v>0</v>
      </c>
      <c r="Z1580" s="1">
        <f t="shared" si="199"/>
        <v>0</v>
      </c>
      <c r="AA1580" s="1">
        <f>--EXACT(A1580,"L01574")</f>
        <v>1</v>
      </c>
    </row>
    <row r="1581" spans="1:27" ht="18.95" customHeight="1">
      <c r="A1581" s="1" t="str">
        <f>IF(Raw!A1581="","",Raw!A1581)</f>
        <v>L01575</v>
      </c>
      <c r="B1581" s="1" t="str">
        <f>IF(Raw!B1581="","",Raw!B1581)</f>
        <v>T00788</v>
      </c>
      <c r="C1581" s="1" t="str">
        <f>IF(Raw!C1581="","",Raw!C1581)</f>
        <v>2026-01-20</v>
      </c>
      <c r="D1581" s="1">
        <f t="shared" si="192"/>
        <v>2026</v>
      </c>
      <c r="E1581" s="1">
        <f>IFERROR(IF(AND(LEN(C1581)=10,MID(C1581,5,1)="-",MID(C1581,8,1)="-"),VALUE(MID(C1581,6,2)),IF(AND(LEN(C1581)=11,MID(C1581,3,1)="-",MID(C1581,7,1)="-"),MATCH(UPPER(MID(C1581,4,3)),Guide!$D$7:$D$18,0),0)),0)</f>
        <v>1</v>
      </c>
      <c r="F1581" s="1">
        <f t="shared" si="193"/>
        <v>20</v>
      </c>
      <c r="G1581" s="9">
        <f t="shared" si="194"/>
        <v>46042</v>
      </c>
      <c r="H1581" s="1" t="str">
        <f>IF(Raw!D1581="","",Raw!D1581)</f>
        <v>P-O</v>
      </c>
      <c r="I1581" s="1" t="str">
        <f>IFERROR(IF(EXACT(H1581,INDEX(Guide!$A$7:$A$9,MATCH(SUBSTITUTE(SUBSTITUTE(SUBSTITUTE(H1581,"~","~~"),"*","~*"),"?","~?"),Guide!$A$7:$A$9,0))),INDEX(Guide!$B$7:$B$9,MATCH(SUBSTITUTE(SUBSTITUTE(SUBSTITUTE(H1581,"~","~~"),"*","~*"),"?","~?"),Guide!$A$7:$A$9,0)),""),"")</f>
        <v>Office</v>
      </c>
      <c r="J1581" s="1" t="str">
        <f>IF(TRIM(Raw!E1581)="",I1581,IF(UPPER(TRIM(Raw!E1581))=UPPER(I1581),I1581,""))</f>
        <v>Office</v>
      </c>
      <c r="K1581" s="1" t="str">
        <f>IF(Raw!F1581="","",Raw!F1581)</f>
        <v>sale</v>
      </c>
      <c r="L1581" s="1" t="str">
        <f>IF(LEFT(TRIM(Raw!G1581),2)="-$","-"&amp;MID(TRIM(Raw!G1581),3,99),IF(LEFT(TRIM(Raw!G1581),1)="$",MID(TRIM(Raw!G1581),2,99),TRIM(Raw!G1581)))</f>
        <v>429.48</v>
      </c>
      <c r="M1581" s="1">
        <f t="shared" si="195"/>
        <v>429.48</v>
      </c>
      <c r="N1581" s="10">
        <f t="shared" si="196"/>
        <v>42948</v>
      </c>
      <c r="O1581" s="1" t="b">
        <f>IFERROR(IF(ISNUMBER(Raw!G1581),TRUE,OR(EXACT(L1581,TEXT(M1581,"0.00")),EXACT(L1581,TEXT(M1581,"#,##0.00")))),FALSE)</f>
        <v>1</v>
      </c>
      <c r="P1581" s="1" t="str">
        <f>LEN(IF(Raw!A1581="","",Raw!A1581))&amp;":"&amp;IF(Raw!A1581="","",Raw!A1581)&amp;"|"&amp;LEN(IF(Raw!B1581="","",Raw!B1581))&amp;":"&amp;IF(Raw!B1581="","",Raw!B1581)&amp;"|"&amp;LEN(IF(Raw!C1581="","",Raw!C1581))&amp;":"&amp;IF(Raw!C1581="","",Raw!C1581)&amp;"|"&amp;LEN(IF(Raw!D1581="","",Raw!D1581))&amp;":"&amp;IF(Raw!D1581="","",Raw!D1581)&amp;"|"&amp;LEN(IF(Raw!E1581="","",Raw!E1581))&amp;":"&amp;IF(Raw!E1581="","",Raw!E1581)&amp;"|"&amp;LEN(IF(Raw!F1581="","",Raw!F1581))&amp;":"&amp;IF(Raw!F1581="","",Raw!F1581)&amp;"|"&amp;LEN(IF(Raw!G1581="","",Raw!G1581))&amp;":"&amp;IF(Raw!G1581="","",Raw!G1581)</f>
        <v>6:L01575|6:T00788|10:2026-01-20|3:P-O|6:Office|4:sale|6:429.48</v>
      </c>
      <c r="Q1581" s="1">
        <f>1</f>
        <v>1</v>
      </c>
      <c r="R1581" s="1" t="b">
        <f>FALSE</f>
        <v>0</v>
      </c>
      <c r="S1581" s="1">
        <f>1</f>
        <v>1</v>
      </c>
      <c r="T1581" s="1" t="str">
        <f>IF(AND(Raw!A1581="",Raw!B1581="",Raw!C1581="",Raw!D1581="",Raw!E1581="",Raw!F1581="",Raw!G1581=""),"UNUSED",IF(A1581="","missing line ID",IF(B1581="","missing transaction ID",IF(G1581="",IF(C1581="","missing date","invalid date"),IF(I1581="","unknown product",IF(J1581="","conflicting category",IF(NOT(OR(EXACT(K1581,"sale"),EXACT(K1581,"refund"))),"unknown event",IF(OR(N1581="",NOT(O1581)),"invalid amount",IF(OR(AND(K1581="sale",N1581&lt;=0),AND(K1581="refund",N1581&gt;=0)),"invalid sign","")))))))))</f>
        <v/>
      </c>
      <c r="U1581" s="1" t="str">
        <f t="shared" si="197"/>
        <v>INCLUDED</v>
      </c>
      <c r="V1581" s="1" t="str">
        <f t="shared" si="198"/>
        <v>2026-01</v>
      </c>
      <c r="W1581" s="1">
        <f>IF(AND(U1581="INCLUDED",X1581&gt;0,EXACT(A1581,'AI output'!A1581)),1,0)</f>
        <v>1</v>
      </c>
      <c r="X1581" s="1">
        <f>1581</f>
        <v>1581</v>
      </c>
      <c r="Y1581" s="1">
        <f>IF(AND(U1581="INCLUDED",W1581=1),--(NOT(EXACT(A1581,'AI output'!A1581)))+--(NOT(EXACT(B1581,'AI output'!B1581)))+--(NOT(EXACT(TEXT(G1581,"yyyy-mm-dd"),'AI output'!C1581)))+--(NOT(EXACT(H1581,'AI output'!D1581)))+--(NOT(EXACT(J1581,'AI output'!E1581)))+--(NOT(EXACT(K1581,'AI output'!F1581)))+--(N1581&lt;&gt;'AI output'!L1581)+--(NOT('AI output'!M1581)),0)</f>
        <v>0</v>
      </c>
      <c r="Z1581" s="1">
        <f t="shared" si="199"/>
        <v>0</v>
      </c>
      <c r="AA1581" s="1">
        <f>--EXACT(A1581,"L01575")</f>
        <v>1</v>
      </c>
    </row>
    <row r="1582" spans="1:27" ht="18.95" customHeight="1">
      <c r="A1582" s="1" t="str">
        <f>IF(Raw!A1582="","",Raw!A1582)</f>
        <v>L01576</v>
      </c>
      <c r="B1582" s="1" t="str">
        <f>IF(Raw!B1582="","",Raw!B1582)</f>
        <v>T00788</v>
      </c>
      <c r="C1582" s="1" t="str">
        <f>IF(Raw!C1582="","",Raw!C1582)</f>
        <v>2026-01-20</v>
      </c>
      <c r="D1582" s="1">
        <f t="shared" si="192"/>
        <v>2026</v>
      </c>
      <c r="E1582" s="1">
        <f>IFERROR(IF(AND(LEN(C1582)=10,MID(C1582,5,1)="-",MID(C1582,8,1)="-"),VALUE(MID(C1582,6,2)),IF(AND(LEN(C1582)=11,MID(C1582,3,1)="-",MID(C1582,7,1)="-"),MATCH(UPPER(MID(C1582,4,3)),Guide!$D$7:$D$18,0),0)),0)</f>
        <v>1</v>
      </c>
      <c r="F1582" s="1">
        <f t="shared" si="193"/>
        <v>20</v>
      </c>
      <c r="G1582" s="9">
        <f t="shared" si="194"/>
        <v>46042</v>
      </c>
      <c r="H1582" s="1" t="str">
        <f>IF(Raw!D1582="","",Raw!D1582)</f>
        <v>P-A</v>
      </c>
      <c r="I1582" s="1" t="str">
        <f>IFERROR(IF(EXACT(H1582,INDEX(Guide!$A$7:$A$9,MATCH(SUBSTITUTE(SUBSTITUTE(SUBSTITUTE(H1582,"~","~~"),"*","~*"),"?","~?"),Guide!$A$7:$A$9,0))),INDEX(Guide!$B$7:$B$9,MATCH(SUBSTITUTE(SUBSTITUTE(SUBSTITUTE(H1582,"~","~~"),"*","~*"),"?","~?"),Guide!$A$7:$A$9,0)),""),"")</f>
        <v>Accessories</v>
      </c>
      <c r="J1582" s="1" t="str">
        <f>IF(TRIM(Raw!E1582)="",I1582,IF(UPPER(TRIM(Raw!E1582))=UPPER(I1582),I1582,""))</f>
        <v>Accessories</v>
      </c>
      <c r="K1582" s="1" t="str">
        <f>IF(Raw!F1582="","",Raw!F1582)</f>
        <v>sale</v>
      </c>
      <c r="L1582" s="1" t="str">
        <f>IF(LEFT(TRIM(Raw!G1582),2)="-$","-"&amp;MID(TRIM(Raw!G1582),3,99),IF(LEFT(TRIM(Raw!G1582),1)="$",MID(TRIM(Raw!G1582),2,99),TRIM(Raw!G1582)))</f>
        <v>107.74</v>
      </c>
      <c r="M1582" s="1">
        <f t="shared" si="195"/>
        <v>107.74</v>
      </c>
      <c r="N1582" s="10">
        <f t="shared" si="196"/>
        <v>10774</v>
      </c>
      <c r="O1582" s="1" t="b">
        <f>IFERROR(IF(ISNUMBER(Raw!G1582),TRUE,OR(EXACT(L1582,TEXT(M1582,"0.00")),EXACT(L1582,TEXT(M1582,"#,##0.00")))),FALSE)</f>
        <v>1</v>
      </c>
      <c r="P1582" s="1" t="str">
        <f>LEN(IF(Raw!A1582="","",Raw!A1582))&amp;":"&amp;IF(Raw!A1582="","",Raw!A1582)&amp;"|"&amp;LEN(IF(Raw!B1582="","",Raw!B1582))&amp;":"&amp;IF(Raw!B1582="","",Raw!B1582)&amp;"|"&amp;LEN(IF(Raw!C1582="","",Raw!C1582))&amp;":"&amp;IF(Raw!C1582="","",Raw!C1582)&amp;"|"&amp;LEN(IF(Raw!D1582="","",Raw!D1582))&amp;":"&amp;IF(Raw!D1582="","",Raw!D1582)&amp;"|"&amp;LEN(IF(Raw!E1582="","",Raw!E1582))&amp;":"&amp;IF(Raw!E1582="","",Raw!E1582)&amp;"|"&amp;LEN(IF(Raw!F1582="","",Raw!F1582))&amp;":"&amp;IF(Raw!F1582="","",Raw!F1582)&amp;"|"&amp;LEN(IF(Raw!G1582="","",Raw!G1582))&amp;":"&amp;IF(Raw!G1582="","",Raw!G1582)</f>
        <v>6:L01576|6:T00788|10:2026-01-20|3:P-A|11:Accessories|4:sale|6:107.74</v>
      </c>
      <c r="Q1582" s="1">
        <f>1</f>
        <v>1</v>
      </c>
      <c r="R1582" s="1" t="b">
        <f>FALSE</f>
        <v>0</v>
      </c>
      <c r="S1582" s="1">
        <f>1</f>
        <v>1</v>
      </c>
      <c r="T1582" s="1" t="str">
        <f>IF(AND(Raw!A1582="",Raw!B1582="",Raw!C1582="",Raw!D1582="",Raw!E1582="",Raw!F1582="",Raw!G1582=""),"UNUSED",IF(A1582="","missing line ID",IF(B1582="","missing transaction ID",IF(G1582="",IF(C1582="","missing date","invalid date"),IF(I1582="","unknown product",IF(J1582="","conflicting category",IF(NOT(OR(EXACT(K1582,"sale"),EXACT(K1582,"refund"))),"unknown event",IF(OR(N1582="",NOT(O1582)),"invalid amount",IF(OR(AND(K1582="sale",N1582&lt;=0),AND(K1582="refund",N1582&gt;=0)),"invalid sign","")))))))))</f>
        <v/>
      </c>
      <c r="U1582" s="1" t="str">
        <f t="shared" si="197"/>
        <v>INCLUDED</v>
      </c>
      <c r="V1582" s="1" t="str">
        <f t="shared" si="198"/>
        <v>2026-01</v>
      </c>
      <c r="W1582" s="1">
        <f>IF(AND(U1582="INCLUDED",X1582&gt;0,EXACT(A1582,'AI output'!A1582)),1,0)</f>
        <v>1</v>
      </c>
      <c r="X1582" s="1">
        <f>1582</f>
        <v>1582</v>
      </c>
      <c r="Y1582" s="1">
        <f>IF(AND(U1582="INCLUDED",W1582=1),--(NOT(EXACT(A1582,'AI output'!A1582)))+--(NOT(EXACT(B1582,'AI output'!B1582)))+--(NOT(EXACT(TEXT(G1582,"yyyy-mm-dd"),'AI output'!C1582)))+--(NOT(EXACT(H1582,'AI output'!D1582)))+--(NOT(EXACT(J1582,'AI output'!E1582)))+--(NOT(EXACT(K1582,'AI output'!F1582)))+--(N1582&lt;&gt;'AI output'!L1582)+--(NOT('AI output'!M1582)),0)</f>
        <v>0</v>
      </c>
      <c r="Z1582" s="1">
        <f t="shared" si="199"/>
        <v>0</v>
      </c>
      <c r="AA1582" s="1">
        <f>--EXACT(A1582,"L01576")</f>
        <v>1</v>
      </c>
    </row>
    <row r="1583" spans="1:27" ht="18.95" customHeight="1">
      <c r="A1583" s="1" t="str">
        <f>IF(Raw!A1583="","",Raw!A1583)</f>
        <v>L01577</v>
      </c>
      <c r="B1583" s="1" t="str">
        <f>IF(Raw!B1583="","",Raw!B1583)</f>
        <v>T00789</v>
      </c>
      <c r="C1583" s="1" t="str">
        <f>IF(Raw!C1583="","",Raw!C1583)</f>
        <v>2026-01-27</v>
      </c>
      <c r="D1583" s="1">
        <f t="shared" si="192"/>
        <v>2026</v>
      </c>
      <c r="E1583" s="1">
        <f>IFERROR(IF(AND(LEN(C1583)=10,MID(C1583,5,1)="-",MID(C1583,8,1)="-"),VALUE(MID(C1583,6,2)),IF(AND(LEN(C1583)=11,MID(C1583,3,1)="-",MID(C1583,7,1)="-"),MATCH(UPPER(MID(C1583,4,3)),Guide!$D$7:$D$18,0),0)),0)</f>
        <v>1</v>
      </c>
      <c r="F1583" s="1">
        <f t="shared" si="193"/>
        <v>27</v>
      </c>
      <c r="G1583" s="9">
        <f t="shared" si="194"/>
        <v>46049</v>
      </c>
      <c r="H1583" s="1" t="str">
        <f>IF(Raw!D1583="","",Raw!D1583)</f>
        <v>P-H</v>
      </c>
      <c r="I1583" s="1" t="str">
        <f>IFERROR(IF(EXACT(H1583,INDEX(Guide!$A$7:$A$9,MATCH(SUBSTITUTE(SUBSTITUTE(SUBSTITUTE(H1583,"~","~~"),"*","~*"),"?","~?"),Guide!$A$7:$A$9,0))),INDEX(Guide!$B$7:$B$9,MATCH(SUBSTITUTE(SUBSTITUTE(SUBSTITUTE(H1583,"~","~~"),"*","~*"),"?","~?"),Guide!$A$7:$A$9,0)),""),"")</f>
        <v>Home</v>
      </c>
      <c r="J1583" s="1" t="str">
        <f>IF(TRIM(Raw!E1583)="",I1583,IF(UPPER(TRIM(Raw!E1583))=UPPER(I1583),I1583,""))</f>
        <v>Home</v>
      </c>
      <c r="K1583" s="1" t="str">
        <f>IF(Raw!F1583="","",Raw!F1583)</f>
        <v>sale</v>
      </c>
      <c r="L1583" s="1" t="str">
        <f>IF(LEFT(TRIM(Raw!G1583),2)="-$","-"&amp;MID(TRIM(Raw!G1583),3,99),IF(LEFT(TRIM(Raw!G1583),1)="$",MID(TRIM(Raw!G1583),2,99),TRIM(Raw!G1583)))</f>
        <v>324.33</v>
      </c>
      <c r="M1583" s="1">
        <f t="shared" si="195"/>
        <v>324.33</v>
      </c>
      <c r="N1583" s="10">
        <f t="shared" si="196"/>
        <v>32433</v>
      </c>
      <c r="O1583" s="1" t="b">
        <f>IFERROR(IF(ISNUMBER(Raw!G1583),TRUE,OR(EXACT(L1583,TEXT(M1583,"0.00")),EXACT(L1583,TEXT(M1583,"#,##0.00")))),FALSE)</f>
        <v>1</v>
      </c>
      <c r="P1583" s="1" t="str">
        <f>LEN(IF(Raw!A1583="","",Raw!A1583))&amp;":"&amp;IF(Raw!A1583="","",Raw!A1583)&amp;"|"&amp;LEN(IF(Raw!B1583="","",Raw!B1583))&amp;":"&amp;IF(Raw!B1583="","",Raw!B1583)&amp;"|"&amp;LEN(IF(Raw!C1583="","",Raw!C1583))&amp;":"&amp;IF(Raw!C1583="","",Raw!C1583)&amp;"|"&amp;LEN(IF(Raw!D1583="","",Raw!D1583))&amp;":"&amp;IF(Raw!D1583="","",Raw!D1583)&amp;"|"&amp;LEN(IF(Raw!E1583="","",Raw!E1583))&amp;":"&amp;IF(Raw!E1583="","",Raw!E1583)&amp;"|"&amp;LEN(IF(Raw!F1583="","",Raw!F1583))&amp;":"&amp;IF(Raw!F1583="","",Raw!F1583)&amp;"|"&amp;LEN(IF(Raw!G1583="","",Raw!G1583))&amp;":"&amp;IF(Raw!G1583="","",Raw!G1583)</f>
        <v>6:L01577|6:T00789|10:2026-01-27|3:P-H|4:Home|4:sale|6:324.33</v>
      </c>
      <c r="Q1583" s="1">
        <f>1</f>
        <v>1</v>
      </c>
      <c r="R1583" s="1" t="b">
        <f>FALSE</f>
        <v>0</v>
      </c>
      <c r="S1583" s="1">
        <f>1</f>
        <v>1</v>
      </c>
      <c r="T1583" s="1" t="str">
        <f>IF(AND(Raw!A1583="",Raw!B1583="",Raw!C1583="",Raw!D1583="",Raw!E1583="",Raw!F1583="",Raw!G1583=""),"UNUSED",IF(A1583="","missing line ID",IF(B1583="","missing transaction ID",IF(G1583="",IF(C1583="","missing date","invalid date"),IF(I1583="","unknown product",IF(J1583="","conflicting category",IF(NOT(OR(EXACT(K1583,"sale"),EXACT(K1583,"refund"))),"unknown event",IF(OR(N1583="",NOT(O1583)),"invalid amount",IF(OR(AND(K1583="sale",N1583&lt;=0),AND(K1583="refund",N1583&gt;=0)),"invalid sign","")))))))))</f>
        <v/>
      </c>
      <c r="U1583" s="1" t="str">
        <f t="shared" si="197"/>
        <v>INCLUDED</v>
      </c>
      <c r="V1583" s="1" t="str">
        <f t="shared" si="198"/>
        <v>2026-01</v>
      </c>
      <c r="W1583" s="1">
        <f>IF(AND(U1583="INCLUDED",X1583&gt;0,EXACT(A1583,'AI output'!A1583)),1,0)</f>
        <v>1</v>
      </c>
      <c r="X1583" s="1">
        <f>1583</f>
        <v>1583</v>
      </c>
      <c r="Y1583" s="1">
        <f>IF(AND(U1583="INCLUDED",W1583=1),--(NOT(EXACT(A1583,'AI output'!A1583)))+--(NOT(EXACT(B1583,'AI output'!B1583)))+--(NOT(EXACT(TEXT(G1583,"yyyy-mm-dd"),'AI output'!C1583)))+--(NOT(EXACT(H1583,'AI output'!D1583)))+--(NOT(EXACT(J1583,'AI output'!E1583)))+--(NOT(EXACT(K1583,'AI output'!F1583)))+--(N1583&lt;&gt;'AI output'!L1583)+--(NOT('AI output'!M1583)),0)</f>
        <v>0</v>
      </c>
      <c r="Z1583" s="1">
        <f t="shared" si="199"/>
        <v>0</v>
      </c>
      <c r="AA1583" s="1">
        <f>--EXACT(A1583,"L01577")</f>
        <v>1</v>
      </c>
    </row>
    <row r="1584" spans="1:27" ht="18.95" customHeight="1">
      <c r="A1584" s="1" t="str">
        <f>IF(Raw!A1584="","",Raw!A1584)</f>
        <v>L01578</v>
      </c>
      <c r="B1584" s="1" t="str">
        <f>IF(Raw!B1584="","",Raw!B1584)</f>
        <v>T00789</v>
      </c>
      <c r="C1584" s="1" t="str">
        <f>IF(Raw!C1584="","",Raw!C1584)</f>
        <v>2026-01-27</v>
      </c>
      <c r="D1584" s="1">
        <f t="shared" si="192"/>
        <v>2026</v>
      </c>
      <c r="E1584" s="1">
        <f>IFERROR(IF(AND(LEN(C1584)=10,MID(C1584,5,1)="-",MID(C1584,8,1)="-"),VALUE(MID(C1584,6,2)),IF(AND(LEN(C1584)=11,MID(C1584,3,1)="-",MID(C1584,7,1)="-"),MATCH(UPPER(MID(C1584,4,3)),Guide!$D$7:$D$18,0),0)),0)</f>
        <v>1</v>
      </c>
      <c r="F1584" s="1">
        <f t="shared" si="193"/>
        <v>27</v>
      </c>
      <c r="G1584" s="9">
        <f t="shared" si="194"/>
        <v>46049</v>
      </c>
      <c r="H1584" s="1" t="str">
        <f>IF(Raw!D1584="","",Raw!D1584)</f>
        <v>P-O</v>
      </c>
      <c r="I1584" s="1" t="str">
        <f>IFERROR(IF(EXACT(H1584,INDEX(Guide!$A$7:$A$9,MATCH(SUBSTITUTE(SUBSTITUTE(SUBSTITUTE(H1584,"~","~~"),"*","~*"),"?","~?"),Guide!$A$7:$A$9,0))),INDEX(Guide!$B$7:$B$9,MATCH(SUBSTITUTE(SUBSTITUTE(SUBSTITUTE(H1584,"~","~~"),"*","~*"),"?","~?"),Guide!$A$7:$A$9,0)),""),"")</f>
        <v>Office</v>
      </c>
      <c r="J1584" s="1" t="str">
        <f>IF(TRIM(Raw!E1584)="",I1584,IF(UPPER(TRIM(Raw!E1584))=UPPER(I1584),I1584,""))</f>
        <v>Office</v>
      </c>
      <c r="K1584" s="1" t="str">
        <f>IF(Raw!F1584="","",Raw!F1584)</f>
        <v>sale</v>
      </c>
      <c r="L1584" s="1" t="str">
        <f>IF(LEFT(TRIM(Raw!G1584),2)="-$","-"&amp;MID(TRIM(Raw!G1584),3,99),IF(LEFT(TRIM(Raw!G1584),1)="$",MID(TRIM(Raw!G1584),2,99),TRIM(Raw!G1584)))</f>
        <v>542.40</v>
      </c>
      <c r="M1584" s="1">
        <f t="shared" si="195"/>
        <v>542.4</v>
      </c>
      <c r="N1584" s="10">
        <f t="shared" si="196"/>
        <v>54240</v>
      </c>
      <c r="O1584" s="1" t="b">
        <f>IFERROR(IF(ISNUMBER(Raw!G1584),TRUE,OR(EXACT(L1584,TEXT(M1584,"0.00")),EXACT(L1584,TEXT(M1584,"#,##0.00")))),FALSE)</f>
        <v>1</v>
      </c>
      <c r="P1584" s="1" t="str">
        <f>LEN(IF(Raw!A1584="","",Raw!A1584))&amp;":"&amp;IF(Raw!A1584="","",Raw!A1584)&amp;"|"&amp;LEN(IF(Raw!B1584="","",Raw!B1584))&amp;":"&amp;IF(Raw!B1584="","",Raw!B1584)&amp;"|"&amp;LEN(IF(Raw!C1584="","",Raw!C1584))&amp;":"&amp;IF(Raw!C1584="","",Raw!C1584)&amp;"|"&amp;LEN(IF(Raw!D1584="","",Raw!D1584))&amp;":"&amp;IF(Raw!D1584="","",Raw!D1584)&amp;"|"&amp;LEN(IF(Raw!E1584="","",Raw!E1584))&amp;":"&amp;IF(Raw!E1584="","",Raw!E1584)&amp;"|"&amp;LEN(IF(Raw!F1584="","",Raw!F1584))&amp;":"&amp;IF(Raw!F1584="","",Raw!F1584)&amp;"|"&amp;LEN(IF(Raw!G1584="","",Raw!G1584))&amp;":"&amp;IF(Raw!G1584="","",Raw!G1584)</f>
        <v>6:L01578|6:T00789|10:2026-01-27|3:P-O|6:Office|4:sale|6:542.40</v>
      </c>
      <c r="Q1584" s="1">
        <f>2</f>
        <v>2</v>
      </c>
      <c r="R1584" s="1" t="b">
        <f>OR(NOT(EXACT(P1584,P2005)))</f>
        <v>0</v>
      </c>
      <c r="S1584" s="1">
        <f>1</f>
        <v>1</v>
      </c>
      <c r="T1584" s="1" t="str">
        <f>IF(AND(Raw!A1584="",Raw!B1584="",Raw!C1584="",Raw!D1584="",Raw!E1584="",Raw!F1584="",Raw!G1584=""),"UNUSED",IF(A1584="","missing line ID",IF(B1584="","missing transaction ID",IF(G1584="",IF(C1584="","missing date","invalid date"),IF(I1584="","unknown product",IF(J1584="","conflicting category",IF(NOT(OR(EXACT(K1584,"sale"),EXACT(K1584,"refund"))),"unknown event",IF(OR(N1584="",NOT(O1584)),"invalid amount",IF(OR(AND(K1584="sale",N1584&lt;=0),AND(K1584="refund",N1584&gt;=0)),"invalid sign","")))))))))</f>
        <v/>
      </c>
      <c r="U1584" s="1" t="str">
        <f t="shared" si="197"/>
        <v>INCLUDED</v>
      </c>
      <c r="V1584" s="1" t="str">
        <f t="shared" si="198"/>
        <v>2026-01</v>
      </c>
      <c r="W1584" s="1">
        <f>IF(AND(U1584="INCLUDED",X1584&gt;0,EXACT(A1584,'AI output'!A1584)),1,0)</f>
        <v>1</v>
      </c>
      <c r="X1584" s="1">
        <f>1584</f>
        <v>1584</v>
      </c>
      <c r="Y1584" s="1">
        <f>IF(AND(U1584="INCLUDED",W1584=1),--(NOT(EXACT(A1584,'AI output'!A1584)))+--(NOT(EXACT(B1584,'AI output'!B1584)))+--(NOT(EXACT(TEXT(G1584,"yyyy-mm-dd"),'AI output'!C1584)))+--(NOT(EXACT(H1584,'AI output'!D1584)))+--(NOT(EXACT(J1584,'AI output'!E1584)))+--(NOT(EXACT(K1584,'AI output'!F1584)))+--(N1584&lt;&gt;'AI output'!L1584)+--(NOT('AI output'!M1584)),0)</f>
        <v>0</v>
      </c>
      <c r="Z1584" s="1">
        <f t="shared" si="199"/>
        <v>0</v>
      </c>
      <c r="AA1584" s="1">
        <f>--EXACT(A1584,"L01578")</f>
        <v>1</v>
      </c>
    </row>
    <row r="1585" spans="1:27" ht="18.95" customHeight="1">
      <c r="A1585" s="1" t="str">
        <f>IF(Raw!A1585="","",Raw!A1585)</f>
        <v>L01579</v>
      </c>
      <c r="B1585" s="1" t="str">
        <f>IF(Raw!B1585="","",Raw!B1585)</f>
        <v>T00790</v>
      </c>
      <c r="C1585" s="1" t="str">
        <f>IF(Raw!C1585="","",Raw!C1585)</f>
        <v>2026-02-03</v>
      </c>
      <c r="D1585" s="1">
        <f t="shared" si="192"/>
        <v>2026</v>
      </c>
      <c r="E1585" s="1">
        <f>IFERROR(IF(AND(LEN(C1585)=10,MID(C1585,5,1)="-",MID(C1585,8,1)="-"),VALUE(MID(C1585,6,2)),IF(AND(LEN(C1585)=11,MID(C1585,3,1)="-",MID(C1585,7,1)="-"),MATCH(UPPER(MID(C1585,4,3)),Guide!$D$7:$D$18,0),0)),0)</f>
        <v>2</v>
      </c>
      <c r="F1585" s="1">
        <f t="shared" si="193"/>
        <v>3</v>
      </c>
      <c r="G1585" s="9">
        <f t="shared" si="194"/>
        <v>46056</v>
      </c>
      <c r="H1585" s="1" t="str">
        <f>IF(Raw!D1585="","",Raw!D1585)</f>
        <v>P-A</v>
      </c>
      <c r="I1585" s="1" t="str">
        <f>IFERROR(IF(EXACT(H1585,INDEX(Guide!$A$7:$A$9,MATCH(SUBSTITUTE(SUBSTITUTE(SUBSTITUTE(H1585,"~","~~"),"*","~*"),"?","~?"),Guide!$A$7:$A$9,0))),INDEX(Guide!$B$7:$B$9,MATCH(SUBSTITUTE(SUBSTITUTE(SUBSTITUTE(H1585,"~","~~"),"*","~*"),"?","~?"),Guide!$A$7:$A$9,0)),""),"")</f>
        <v>Accessories</v>
      </c>
      <c r="J1585" s="1" t="str">
        <f>IF(TRIM(Raw!E1585)="",I1585,IF(UPPER(TRIM(Raw!E1585))=UPPER(I1585),I1585,""))</f>
        <v>Accessories</v>
      </c>
      <c r="K1585" s="1" t="str">
        <f>IF(Raw!F1585="","",Raw!F1585)</f>
        <v>sale</v>
      </c>
      <c r="L1585" s="1" t="str">
        <f>IF(LEFT(TRIM(Raw!G1585),2)="-$","-"&amp;MID(TRIM(Raw!G1585),3,99),IF(LEFT(TRIM(Raw!G1585),1)="$",MID(TRIM(Raw!G1585),2,99),TRIM(Raw!G1585)))</f>
        <v>217.70</v>
      </c>
      <c r="M1585" s="1">
        <f t="shared" si="195"/>
        <v>217.7</v>
      </c>
      <c r="N1585" s="10">
        <f t="shared" si="196"/>
        <v>21770</v>
      </c>
      <c r="O1585" s="1" t="b">
        <f>IFERROR(IF(ISNUMBER(Raw!G1585),TRUE,OR(EXACT(L1585,TEXT(M1585,"0.00")),EXACT(L1585,TEXT(M1585,"#,##0.00")))),FALSE)</f>
        <v>1</v>
      </c>
      <c r="P1585" s="1" t="str">
        <f>LEN(IF(Raw!A1585="","",Raw!A1585))&amp;":"&amp;IF(Raw!A1585="","",Raw!A1585)&amp;"|"&amp;LEN(IF(Raw!B1585="","",Raw!B1585))&amp;":"&amp;IF(Raw!B1585="","",Raw!B1585)&amp;"|"&amp;LEN(IF(Raw!C1585="","",Raw!C1585))&amp;":"&amp;IF(Raw!C1585="","",Raw!C1585)&amp;"|"&amp;LEN(IF(Raw!D1585="","",Raw!D1585))&amp;":"&amp;IF(Raw!D1585="","",Raw!D1585)&amp;"|"&amp;LEN(IF(Raw!E1585="","",Raw!E1585))&amp;":"&amp;IF(Raw!E1585="","",Raw!E1585)&amp;"|"&amp;LEN(IF(Raw!F1585="","",Raw!F1585))&amp;":"&amp;IF(Raw!F1585="","",Raw!F1585)&amp;"|"&amp;LEN(IF(Raw!G1585="","",Raw!G1585))&amp;":"&amp;IF(Raw!G1585="","",Raw!G1585)</f>
        <v>6:L01579|6:T00790|10:2026-02-03|3:P-A|11:Accessories|4:sale|6:217.70</v>
      </c>
      <c r="Q1585" s="1">
        <f>1</f>
        <v>1</v>
      </c>
      <c r="R1585" s="1" t="b">
        <f>FALSE</f>
        <v>0</v>
      </c>
      <c r="S1585" s="1">
        <f>1</f>
        <v>1</v>
      </c>
      <c r="T1585" s="1" t="str">
        <f>IF(AND(Raw!A1585="",Raw!B1585="",Raw!C1585="",Raw!D1585="",Raw!E1585="",Raw!F1585="",Raw!G1585=""),"UNUSED",IF(A1585="","missing line ID",IF(B1585="","missing transaction ID",IF(G1585="",IF(C1585="","missing date","invalid date"),IF(I1585="","unknown product",IF(J1585="","conflicting category",IF(NOT(OR(EXACT(K1585,"sale"),EXACT(K1585,"refund"))),"unknown event",IF(OR(N1585="",NOT(O1585)),"invalid amount",IF(OR(AND(K1585="sale",N1585&lt;=0),AND(K1585="refund",N1585&gt;=0)),"invalid sign","")))))))))</f>
        <v/>
      </c>
      <c r="U1585" s="1" t="str">
        <f t="shared" si="197"/>
        <v>INCLUDED</v>
      </c>
      <c r="V1585" s="1" t="str">
        <f t="shared" si="198"/>
        <v>2026-02</v>
      </c>
      <c r="W1585" s="1">
        <f>IF(AND(U1585="INCLUDED",X1585&gt;0,EXACT(A1585,'AI output'!A1585)),1,0)</f>
        <v>1</v>
      </c>
      <c r="X1585" s="1">
        <f>1585</f>
        <v>1585</v>
      </c>
      <c r="Y1585" s="1">
        <f>IF(AND(U1585="INCLUDED",W1585=1),--(NOT(EXACT(A1585,'AI output'!A1585)))+--(NOT(EXACT(B1585,'AI output'!B1585)))+--(NOT(EXACT(TEXT(G1585,"yyyy-mm-dd"),'AI output'!C1585)))+--(NOT(EXACT(H1585,'AI output'!D1585)))+--(NOT(EXACT(J1585,'AI output'!E1585)))+--(NOT(EXACT(K1585,'AI output'!F1585)))+--(N1585&lt;&gt;'AI output'!L1585)+--(NOT('AI output'!M1585)),0)</f>
        <v>0</v>
      </c>
      <c r="Z1585" s="1">
        <f t="shared" si="199"/>
        <v>0</v>
      </c>
      <c r="AA1585" s="1">
        <f>--EXACT(A1585,"L01579")</f>
        <v>1</v>
      </c>
    </row>
    <row r="1586" spans="1:27" ht="18.95" customHeight="1">
      <c r="A1586" s="1" t="str">
        <f>IF(Raw!A1586="","",Raw!A1586)</f>
        <v>L01580</v>
      </c>
      <c r="B1586" s="1" t="str">
        <f>IF(Raw!B1586="","",Raw!B1586)</f>
        <v>T00790</v>
      </c>
      <c r="C1586" s="1" t="str">
        <f>IF(Raw!C1586="","",Raw!C1586)</f>
        <v>2026-02-03</v>
      </c>
      <c r="D1586" s="1">
        <f t="shared" si="192"/>
        <v>2026</v>
      </c>
      <c r="E1586" s="1">
        <f>IFERROR(IF(AND(LEN(C1586)=10,MID(C1586,5,1)="-",MID(C1586,8,1)="-"),VALUE(MID(C1586,6,2)),IF(AND(LEN(C1586)=11,MID(C1586,3,1)="-",MID(C1586,7,1)="-"),MATCH(UPPER(MID(C1586,4,3)),Guide!$D$7:$D$18,0),0)),0)</f>
        <v>2</v>
      </c>
      <c r="F1586" s="1">
        <f t="shared" si="193"/>
        <v>3</v>
      </c>
      <c r="G1586" s="9">
        <f t="shared" si="194"/>
        <v>46056</v>
      </c>
      <c r="H1586" s="1" t="str">
        <f>IF(Raw!D1586="","",Raw!D1586)</f>
        <v>P-H</v>
      </c>
      <c r="I1586" s="1" t="str">
        <f>IFERROR(IF(EXACT(H1586,INDEX(Guide!$A$7:$A$9,MATCH(SUBSTITUTE(SUBSTITUTE(SUBSTITUTE(H1586,"~","~~"),"*","~*"),"?","~?"),Guide!$A$7:$A$9,0))),INDEX(Guide!$B$7:$B$9,MATCH(SUBSTITUTE(SUBSTITUTE(SUBSTITUTE(H1586,"~","~~"),"*","~*"),"?","~?"),Guide!$A$7:$A$9,0)),""),"")</f>
        <v>Home</v>
      </c>
      <c r="J1586" s="1" t="str">
        <f>IF(TRIM(Raw!E1586)="",I1586,IF(UPPER(TRIM(Raw!E1586))=UPPER(I1586),I1586,""))</f>
        <v>Home</v>
      </c>
      <c r="K1586" s="1" t="str">
        <f>IF(Raw!F1586="","",Raw!F1586)</f>
        <v>sale</v>
      </c>
      <c r="L1586" s="1" t="str">
        <f>IF(LEFT(TRIM(Raw!G1586),2)="-$","-"&amp;MID(TRIM(Raw!G1586),3,99),IF(LEFT(TRIM(Raw!G1586),1)="$",MID(TRIM(Raw!G1586),2,99),TRIM(Raw!G1586)))</f>
        <v>436.88</v>
      </c>
      <c r="M1586" s="1">
        <f t="shared" si="195"/>
        <v>436.88</v>
      </c>
      <c r="N1586" s="10">
        <f t="shared" si="196"/>
        <v>43688</v>
      </c>
      <c r="O1586" s="1" t="b">
        <f>IFERROR(IF(ISNUMBER(Raw!G1586),TRUE,OR(EXACT(L1586,TEXT(M1586,"0.00")),EXACT(L1586,TEXT(M1586,"#,##0.00")))),FALSE)</f>
        <v>1</v>
      </c>
      <c r="P1586" s="1" t="str">
        <f>LEN(IF(Raw!A1586="","",Raw!A1586))&amp;":"&amp;IF(Raw!A1586="","",Raw!A1586)&amp;"|"&amp;LEN(IF(Raw!B1586="","",Raw!B1586))&amp;":"&amp;IF(Raw!B1586="","",Raw!B1586)&amp;"|"&amp;LEN(IF(Raw!C1586="","",Raw!C1586))&amp;":"&amp;IF(Raw!C1586="","",Raw!C1586)&amp;"|"&amp;LEN(IF(Raw!D1586="","",Raw!D1586))&amp;":"&amp;IF(Raw!D1586="","",Raw!D1586)&amp;"|"&amp;LEN(IF(Raw!E1586="","",Raw!E1586))&amp;":"&amp;IF(Raw!E1586="","",Raw!E1586)&amp;"|"&amp;LEN(IF(Raw!F1586="","",Raw!F1586))&amp;":"&amp;IF(Raw!F1586="","",Raw!F1586)&amp;"|"&amp;LEN(IF(Raw!G1586="","",Raw!G1586))&amp;":"&amp;IF(Raw!G1586="","",Raw!G1586)</f>
        <v>6:L01580|6:T00790|10:2026-02-03|3:P-H|4:Home|4:sale|6:436.88</v>
      </c>
      <c r="Q1586" s="1">
        <f>1</f>
        <v>1</v>
      </c>
      <c r="R1586" s="1" t="b">
        <f>FALSE</f>
        <v>0</v>
      </c>
      <c r="S1586" s="1">
        <f>1</f>
        <v>1</v>
      </c>
      <c r="T1586" s="1" t="str">
        <f>IF(AND(Raw!A1586="",Raw!B1586="",Raw!C1586="",Raw!D1586="",Raw!E1586="",Raw!F1586="",Raw!G1586=""),"UNUSED",IF(A1586="","missing line ID",IF(B1586="","missing transaction ID",IF(G1586="",IF(C1586="","missing date","invalid date"),IF(I1586="","unknown product",IF(J1586="","conflicting category",IF(NOT(OR(EXACT(K1586,"sale"),EXACT(K1586,"refund"))),"unknown event",IF(OR(N1586="",NOT(O1586)),"invalid amount",IF(OR(AND(K1586="sale",N1586&lt;=0),AND(K1586="refund",N1586&gt;=0)),"invalid sign","")))))))))</f>
        <v/>
      </c>
      <c r="U1586" s="1" t="str">
        <f t="shared" si="197"/>
        <v>INCLUDED</v>
      </c>
      <c r="V1586" s="1" t="str">
        <f t="shared" si="198"/>
        <v>2026-02</v>
      </c>
      <c r="W1586" s="1">
        <f>IF(AND(U1586="INCLUDED",X1586&gt;0,EXACT(A1586,'AI output'!A1586)),1,0)</f>
        <v>1</v>
      </c>
      <c r="X1586" s="1">
        <f>1586</f>
        <v>1586</v>
      </c>
      <c r="Y1586" s="1">
        <f>IF(AND(U1586="INCLUDED",W1586=1),--(NOT(EXACT(A1586,'AI output'!A1586)))+--(NOT(EXACT(B1586,'AI output'!B1586)))+--(NOT(EXACT(TEXT(G1586,"yyyy-mm-dd"),'AI output'!C1586)))+--(NOT(EXACT(H1586,'AI output'!D1586)))+--(NOT(EXACT(J1586,'AI output'!E1586)))+--(NOT(EXACT(K1586,'AI output'!F1586)))+--(N1586&lt;&gt;'AI output'!L1586)+--(NOT('AI output'!M1586)),0)</f>
        <v>0</v>
      </c>
      <c r="Z1586" s="1">
        <f t="shared" si="199"/>
        <v>0</v>
      </c>
      <c r="AA1586" s="1">
        <f>--EXACT(A1586,"L01580")</f>
        <v>1</v>
      </c>
    </row>
    <row r="1587" spans="1:27" ht="18.95" customHeight="1">
      <c r="A1587" s="1" t="str">
        <f>IF(Raw!A1587="","",Raw!A1587)</f>
        <v>L01581</v>
      </c>
      <c r="B1587" s="1" t="str">
        <f>IF(Raw!B1587="","",Raw!B1587)</f>
        <v>T00791</v>
      </c>
      <c r="C1587" s="1" t="str">
        <f>IF(Raw!C1587="","",Raw!C1587)</f>
        <v>2026-02-10</v>
      </c>
      <c r="D1587" s="1">
        <f t="shared" si="192"/>
        <v>2026</v>
      </c>
      <c r="E1587" s="1">
        <f>IFERROR(IF(AND(LEN(C1587)=10,MID(C1587,5,1)="-",MID(C1587,8,1)="-"),VALUE(MID(C1587,6,2)),IF(AND(LEN(C1587)=11,MID(C1587,3,1)="-",MID(C1587,7,1)="-"),MATCH(UPPER(MID(C1587,4,3)),Guide!$D$7:$D$18,0),0)),0)</f>
        <v>2</v>
      </c>
      <c r="F1587" s="1">
        <f t="shared" si="193"/>
        <v>10</v>
      </c>
      <c r="G1587" s="9">
        <f t="shared" si="194"/>
        <v>46063</v>
      </c>
      <c r="H1587" s="1" t="str">
        <f>IF(Raw!D1587="","",Raw!D1587)</f>
        <v>P-O</v>
      </c>
      <c r="I1587" s="1" t="str">
        <f>IFERROR(IF(EXACT(H1587,INDEX(Guide!$A$7:$A$9,MATCH(SUBSTITUTE(SUBSTITUTE(SUBSTITUTE(H1587,"~","~~"),"*","~*"),"?","~?"),Guide!$A$7:$A$9,0))),INDEX(Guide!$B$7:$B$9,MATCH(SUBSTITUTE(SUBSTITUTE(SUBSTITUTE(H1587,"~","~~"),"*","~*"),"?","~?"),Guide!$A$7:$A$9,0)),""),"")</f>
        <v>Office</v>
      </c>
      <c r="J1587" s="1" t="str">
        <f>IF(TRIM(Raw!E1587)="",I1587,IF(UPPER(TRIM(Raw!E1587))=UPPER(I1587),I1587,""))</f>
        <v>Office</v>
      </c>
      <c r="K1587" s="1" t="str">
        <f>IF(Raw!F1587="","",Raw!F1587)</f>
        <v>sale</v>
      </c>
      <c r="L1587" s="1" t="str">
        <f>IF(LEFT(TRIM(Raw!G1587),2)="-$","-"&amp;MID(TRIM(Raw!G1587),3,99),IF(LEFT(TRIM(Raw!G1587),1)="$",MID(TRIM(Raw!G1587),2,99),TRIM(Raw!G1587)))</f>
        <v>109.59</v>
      </c>
      <c r="M1587" s="1">
        <f t="shared" si="195"/>
        <v>109.59</v>
      </c>
      <c r="N1587" s="10">
        <f t="shared" si="196"/>
        <v>10959</v>
      </c>
      <c r="O1587" s="1" t="b">
        <f>IFERROR(IF(ISNUMBER(Raw!G1587),TRUE,OR(EXACT(L1587,TEXT(M1587,"0.00")),EXACT(L1587,TEXT(M1587,"#,##0.00")))),FALSE)</f>
        <v>1</v>
      </c>
      <c r="P1587" s="1" t="str">
        <f>LEN(IF(Raw!A1587="","",Raw!A1587))&amp;":"&amp;IF(Raw!A1587="","",Raw!A1587)&amp;"|"&amp;LEN(IF(Raw!B1587="","",Raw!B1587))&amp;":"&amp;IF(Raw!B1587="","",Raw!B1587)&amp;"|"&amp;LEN(IF(Raw!C1587="","",Raw!C1587))&amp;":"&amp;IF(Raw!C1587="","",Raw!C1587)&amp;"|"&amp;LEN(IF(Raw!D1587="","",Raw!D1587))&amp;":"&amp;IF(Raw!D1587="","",Raw!D1587)&amp;"|"&amp;LEN(IF(Raw!E1587="","",Raw!E1587))&amp;":"&amp;IF(Raw!E1587="","",Raw!E1587)&amp;"|"&amp;LEN(IF(Raw!F1587="","",Raw!F1587))&amp;":"&amp;IF(Raw!F1587="","",Raw!F1587)&amp;"|"&amp;LEN(IF(Raw!G1587="","",Raw!G1587))&amp;":"&amp;IF(Raw!G1587="","",Raw!G1587)</f>
        <v>6:L01581|6:T00791|10:2026-02-10|3:P-O|6:Office|4:sale|6:109.59</v>
      </c>
      <c r="Q1587" s="1">
        <f>1</f>
        <v>1</v>
      </c>
      <c r="R1587" s="1" t="b">
        <f>FALSE</f>
        <v>0</v>
      </c>
      <c r="S1587" s="1">
        <f>1</f>
        <v>1</v>
      </c>
      <c r="T1587" s="1" t="str">
        <f>IF(AND(Raw!A1587="",Raw!B1587="",Raw!C1587="",Raw!D1587="",Raw!E1587="",Raw!F1587="",Raw!G1587=""),"UNUSED",IF(A1587="","missing line ID",IF(B1587="","missing transaction ID",IF(G1587="",IF(C1587="","missing date","invalid date"),IF(I1587="","unknown product",IF(J1587="","conflicting category",IF(NOT(OR(EXACT(K1587,"sale"),EXACT(K1587,"refund"))),"unknown event",IF(OR(N1587="",NOT(O1587)),"invalid amount",IF(OR(AND(K1587="sale",N1587&lt;=0),AND(K1587="refund",N1587&gt;=0)),"invalid sign","")))))))))</f>
        <v/>
      </c>
      <c r="U1587" s="1" t="str">
        <f t="shared" si="197"/>
        <v>INCLUDED</v>
      </c>
      <c r="V1587" s="1" t="str">
        <f t="shared" si="198"/>
        <v>2026-02</v>
      </c>
      <c r="W1587" s="1">
        <f>IF(AND(U1587="INCLUDED",X1587&gt;0,EXACT(A1587,'AI output'!A1587)),1,0)</f>
        <v>1</v>
      </c>
      <c r="X1587" s="1">
        <f>1587</f>
        <v>1587</v>
      </c>
      <c r="Y1587" s="1">
        <f>IF(AND(U1587="INCLUDED",W1587=1),--(NOT(EXACT(A1587,'AI output'!A1587)))+--(NOT(EXACT(B1587,'AI output'!B1587)))+--(NOT(EXACT(TEXT(G1587,"yyyy-mm-dd"),'AI output'!C1587)))+--(NOT(EXACT(H1587,'AI output'!D1587)))+--(NOT(EXACT(J1587,'AI output'!E1587)))+--(NOT(EXACT(K1587,'AI output'!F1587)))+--(N1587&lt;&gt;'AI output'!L1587)+--(NOT('AI output'!M1587)),0)</f>
        <v>0</v>
      </c>
      <c r="Z1587" s="1">
        <f t="shared" si="199"/>
        <v>0</v>
      </c>
      <c r="AA1587" s="1">
        <f>--EXACT(A1587,"L01581")</f>
        <v>1</v>
      </c>
    </row>
    <row r="1588" spans="1:27" ht="18.95" customHeight="1">
      <c r="A1588" s="1" t="str">
        <f>IF(Raw!A1588="","",Raw!A1588)</f>
        <v>L01582</v>
      </c>
      <c r="B1588" s="1" t="str">
        <f>IF(Raw!B1588="","",Raw!B1588)</f>
        <v>T00791</v>
      </c>
      <c r="C1588" s="1" t="str">
        <f>IF(Raw!C1588="","",Raw!C1588)</f>
        <v>2026-02-10</v>
      </c>
      <c r="D1588" s="1">
        <f t="shared" si="192"/>
        <v>2026</v>
      </c>
      <c r="E1588" s="1">
        <f>IFERROR(IF(AND(LEN(C1588)=10,MID(C1588,5,1)="-",MID(C1588,8,1)="-"),VALUE(MID(C1588,6,2)),IF(AND(LEN(C1588)=11,MID(C1588,3,1)="-",MID(C1588,7,1)="-"),MATCH(UPPER(MID(C1588,4,3)),Guide!$D$7:$D$18,0),0)),0)</f>
        <v>2</v>
      </c>
      <c r="F1588" s="1">
        <f t="shared" si="193"/>
        <v>10</v>
      </c>
      <c r="G1588" s="9">
        <f t="shared" si="194"/>
        <v>46063</v>
      </c>
      <c r="H1588" s="1" t="str">
        <f>IF(Raw!D1588="","",Raw!D1588)</f>
        <v>P-A</v>
      </c>
      <c r="I1588" s="1" t="str">
        <f>IFERROR(IF(EXACT(H1588,INDEX(Guide!$A$7:$A$9,MATCH(SUBSTITUTE(SUBSTITUTE(SUBSTITUTE(H1588,"~","~~"),"*","~*"),"?","~?"),Guide!$A$7:$A$9,0))),INDEX(Guide!$B$7:$B$9,MATCH(SUBSTITUTE(SUBSTITUTE(SUBSTITUTE(H1588,"~","~~"),"*","~*"),"?","~?"),Guide!$A$7:$A$9,0)),""),"")</f>
        <v>Accessories</v>
      </c>
      <c r="J1588" s="1" t="str">
        <f>IF(TRIM(Raw!E1588)="",I1588,IF(UPPER(TRIM(Raw!E1588))=UPPER(I1588),I1588,""))</f>
        <v>Accessories</v>
      </c>
      <c r="K1588" s="1" t="str">
        <f>IF(Raw!F1588="","",Raw!F1588)</f>
        <v>sale</v>
      </c>
      <c r="L1588" s="1" t="str">
        <f>IF(LEFT(TRIM(Raw!G1588),2)="-$","-"&amp;MID(TRIM(Raw!G1588),3,99),IF(LEFT(TRIM(Raw!G1588),1)="$",MID(TRIM(Raw!G1588),2,99),TRIM(Raw!G1588)))</f>
        <v>329.88</v>
      </c>
      <c r="M1588" s="1">
        <f t="shared" si="195"/>
        <v>329.88</v>
      </c>
      <c r="N1588" s="10">
        <f t="shared" si="196"/>
        <v>32988</v>
      </c>
      <c r="O1588" s="1" t="b">
        <f>IFERROR(IF(ISNUMBER(Raw!G1588),TRUE,OR(EXACT(L1588,TEXT(M1588,"0.00")),EXACT(L1588,TEXT(M1588,"#,##0.00")))),FALSE)</f>
        <v>1</v>
      </c>
      <c r="P1588" s="1" t="str">
        <f>LEN(IF(Raw!A1588="","",Raw!A1588))&amp;":"&amp;IF(Raw!A1588="","",Raw!A1588)&amp;"|"&amp;LEN(IF(Raw!B1588="","",Raw!B1588))&amp;":"&amp;IF(Raw!B1588="","",Raw!B1588)&amp;"|"&amp;LEN(IF(Raw!C1588="","",Raw!C1588))&amp;":"&amp;IF(Raw!C1588="","",Raw!C1588)&amp;"|"&amp;LEN(IF(Raw!D1588="","",Raw!D1588))&amp;":"&amp;IF(Raw!D1588="","",Raw!D1588)&amp;"|"&amp;LEN(IF(Raw!E1588="","",Raw!E1588))&amp;":"&amp;IF(Raw!E1588="","",Raw!E1588)&amp;"|"&amp;LEN(IF(Raw!F1588="","",Raw!F1588))&amp;":"&amp;IF(Raw!F1588="","",Raw!F1588)&amp;"|"&amp;LEN(IF(Raw!G1588="","",Raw!G1588))&amp;":"&amp;IF(Raw!G1588="","",Raw!G1588)</f>
        <v>6:L01582|6:T00791|10:2026-02-10|3:P-A|11:Accessories|4:sale|6:329.88</v>
      </c>
      <c r="Q1588" s="1">
        <f>1</f>
        <v>1</v>
      </c>
      <c r="R1588" s="1" t="b">
        <f>FALSE</f>
        <v>0</v>
      </c>
      <c r="S1588" s="1">
        <f>1</f>
        <v>1</v>
      </c>
      <c r="T1588" s="1" t="str">
        <f>IF(AND(Raw!A1588="",Raw!B1588="",Raw!C1588="",Raw!D1588="",Raw!E1588="",Raw!F1588="",Raw!G1588=""),"UNUSED",IF(A1588="","missing line ID",IF(B1588="","missing transaction ID",IF(G1588="",IF(C1588="","missing date","invalid date"),IF(I1588="","unknown product",IF(J1588="","conflicting category",IF(NOT(OR(EXACT(K1588,"sale"),EXACT(K1588,"refund"))),"unknown event",IF(OR(N1588="",NOT(O1588)),"invalid amount",IF(OR(AND(K1588="sale",N1588&lt;=0),AND(K1588="refund",N1588&gt;=0)),"invalid sign","")))))))))</f>
        <v/>
      </c>
      <c r="U1588" s="1" t="str">
        <f t="shared" si="197"/>
        <v>INCLUDED</v>
      </c>
      <c r="V1588" s="1" t="str">
        <f t="shared" si="198"/>
        <v>2026-02</v>
      </c>
      <c r="W1588" s="1">
        <f>IF(AND(U1588="INCLUDED",X1588&gt;0,EXACT(A1588,'AI output'!A1588)),1,0)</f>
        <v>1</v>
      </c>
      <c r="X1588" s="1">
        <f>1588</f>
        <v>1588</v>
      </c>
      <c r="Y1588" s="1">
        <f>IF(AND(U1588="INCLUDED",W1588=1),--(NOT(EXACT(A1588,'AI output'!A1588)))+--(NOT(EXACT(B1588,'AI output'!B1588)))+--(NOT(EXACT(TEXT(G1588,"yyyy-mm-dd"),'AI output'!C1588)))+--(NOT(EXACT(H1588,'AI output'!D1588)))+--(NOT(EXACT(J1588,'AI output'!E1588)))+--(NOT(EXACT(K1588,'AI output'!F1588)))+--(N1588&lt;&gt;'AI output'!L1588)+--(NOT('AI output'!M1588)),0)</f>
        <v>0</v>
      </c>
      <c r="Z1588" s="1">
        <f t="shared" si="199"/>
        <v>0</v>
      </c>
      <c r="AA1588" s="1">
        <f>--EXACT(A1588,"L01582")</f>
        <v>1</v>
      </c>
    </row>
    <row r="1589" spans="1:27" ht="18.95" customHeight="1">
      <c r="A1589" s="1" t="str">
        <f>IF(Raw!A1589="","",Raw!A1589)</f>
        <v>L01583</v>
      </c>
      <c r="B1589" s="1" t="str">
        <f>IF(Raw!B1589="","",Raw!B1589)</f>
        <v>T00792</v>
      </c>
      <c r="C1589" s="1" t="str">
        <f>IF(Raw!C1589="","",Raw!C1589)</f>
        <v>2026-02-17</v>
      </c>
      <c r="D1589" s="1">
        <f t="shared" si="192"/>
        <v>2026</v>
      </c>
      <c r="E1589" s="1">
        <f>IFERROR(IF(AND(LEN(C1589)=10,MID(C1589,5,1)="-",MID(C1589,8,1)="-"),VALUE(MID(C1589,6,2)),IF(AND(LEN(C1589)=11,MID(C1589,3,1)="-",MID(C1589,7,1)="-"),MATCH(UPPER(MID(C1589,4,3)),Guide!$D$7:$D$18,0),0)),0)</f>
        <v>2</v>
      </c>
      <c r="F1589" s="1">
        <f t="shared" si="193"/>
        <v>17</v>
      </c>
      <c r="G1589" s="9">
        <f t="shared" si="194"/>
        <v>46070</v>
      </c>
      <c r="H1589" s="1" t="str">
        <f>IF(Raw!D1589="","",Raw!D1589)</f>
        <v>P-H</v>
      </c>
      <c r="I1589" s="1" t="str">
        <f>IFERROR(IF(EXACT(H1589,INDEX(Guide!$A$7:$A$9,MATCH(SUBSTITUTE(SUBSTITUTE(SUBSTITUTE(H1589,"~","~~"),"*","~*"),"?","~?"),Guide!$A$7:$A$9,0))),INDEX(Guide!$B$7:$B$9,MATCH(SUBSTITUTE(SUBSTITUTE(SUBSTITUTE(H1589,"~","~~"),"*","~*"),"?","~?"),Guide!$A$7:$A$9,0)),""),"")</f>
        <v>Home</v>
      </c>
      <c r="J1589" s="1" t="str">
        <f>IF(TRIM(Raw!E1589)="",I1589,IF(UPPER(TRIM(Raw!E1589))=UPPER(I1589),I1589,""))</f>
        <v>Home</v>
      </c>
      <c r="K1589" s="1" t="str">
        <f>IF(Raw!F1589="","",Raw!F1589)</f>
        <v>sale</v>
      </c>
      <c r="L1589" s="1" t="str">
        <f>IF(LEFT(TRIM(Raw!G1589),2)="-$","-"&amp;MID(TRIM(Raw!G1589),3,99),IF(LEFT(TRIM(Raw!G1589),1)="$",MID(TRIM(Raw!G1589),2,99),TRIM(Raw!G1589)))</f>
        <v>551.65</v>
      </c>
      <c r="M1589" s="1">
        <f t="shared" si="195"/>
        <v>551.65</v>
      </c>
      <c r="N1589" s="10">
        <f t="shared" si="196"/>
        <v>55165</v>
      </c>
      <c r="O1589" s="1" t="b">
        <f>IFERROR(IF(ISNUMBER(Raw!G1589),TRUE,OR(EXACT(L1589,TEXT(M1589,"0.00")),EXACT(L1589,TEXT(M1589,"#,##0.00")))),FALSE)</f>
        <v>1</v>
      </c>
      <c r="P1589" s="1" t="str">
        <f>LEN(IF(Raw!A1589="","",Raw!A1589))&amp;":"&amp;IF(Raw!A1589="","",Raw!A1589)&amp;"|"&amp;LEN(IF(Raw!B1589="","",Raw!B1589))&amp;":"&amp;IF(Raw!B1589="","",Raw!B1589)&amp;"|"&amp;LEN(IF(Raw!C1589="","",Raw!C1589))&amp;":"&amp;IF(Raw!C1589="","",Raw!C1589)&amp;"|"&amp;LEN(IF(Raw!D1589="","",Raw!D1589))&amp;":"&amp;IF(Raw!D1589="","",Raw!D1589)&amp;"|"&amp;LEN(IF(Raw!E1589="","",Raw!E1589))&amp;":"&amp;IF(Raw!E1589="","",Raw!E1589)&amp;"|"&amp;LEN(IF(Raw!F1589="","",Raw!F1589))&amp;":"&amp;IF(Raw!F1589="","",Raw!F1589)&amp;"|"&amp;LEN(IF(Raw!G1589="","",Raw!G1589))&amp;":"&amp;IF(Raw!G1589="","",Raw!G1589)</f>
        <v>6:L01583|6:T00792|10:2026-02-17|3:P-H|4:Home|4:sale|6:551.65</v>
      </c>
      <c r="Q1589" s="1">
        <f>1</f>
        <v>1</v>
      </c>
      <c r="R1589" s="1" t="b">
        <f>FALSE</f>
        <v>0</v>
      </c>
      <c r="S1589" s="1">
        <f>1</f>
        <v>1</v>
      </c>
      <c r="T1589" s="1" t="str">
        <f>IF(AND(Raw!A1589="",Raw!B1589="",Raw!C1589="",Raw!D1589="",Raw!E1589="",Raw!F1589="",Raw!G1589=""),"UNUSED",IF(A1589="","missing line ID",IF(B1589="","missing transaction ID",IF(G1589="",IF(C1589="","missing date","invalid date"),IF(I1589="","unknown product",IF(J1589="","conflicting category",IF(NOT(OR(EXACT(K1589,"sale"),EXACT(K1589,"refund"))),"unknown event",IF(OR(N1589="",NOT(O1589)),"invalid amount",IF(OR(AND(K1589="sale",N1589&lt;=0),AND(K1589="refund",N1589&gt;=0)),"invalid sign","")))))))))</f>
        <v/>
      </c>
      <c r="U1589" s="1" t="str">
        <f t="shared" si="197"/>
        <v>INCLUDED</v>
      </c>
      <c r="V1589" s="1" t="str">
        <f t="shared" si="198"/>
        <v>2026-02</v>
      </c>
      <c r="W1589" s="1">
        <f>IF(AND(U1589="INCLUDED",X1589&gt;0,EXACT(A1589,'AI output'!A1589)),1,0)</f>
        <v>1</v>
      </c>
      <c r="X1589" s="1">
        <f>1589</f>
        <v>1589</v>
      </c>
      <c r="Y1589" s="1">
        <f>IF(AND(U1589="INCLUDED",W1589=1),--(NOT(EXACT(A1589,'AI output'!A1589)))+--(NOT(EXACT(B1589,'AI output'!B1589)))+--(NOT(EXACT(TEXT(G1589,"yyyy-mm-dd"),'AI output'!C1589)))+--(NOT(EXACT(H1589,'AI output'!D1589)))+--(NOT(EXACT(J1589,'AI output'!E1589)))+--(NOT(EXACT(K1589,'AI output'!F1589)))+--(N1589&lt;&gt;'AI output'!L1589)+--(NOT('AI output'!M1589)),0)</f>
        <v>0</v>
      </c>
      <c r="Z1589" s="1">
        <f t="shared" si="199"/>
        <v>0</v>
      </c>
      <c r="AA1589" s="1">
        <f>--EXACT(A1589,"L01583")</f>
        <v>1</v>
      </c>
    </row>
    <row r="1590" spans="1:27" ht="18.95" customHeight="1">
      <c r="A1590" s="1" t="str">
        <f>IF(Raw!A1590="","",Raw!A1590)</f>
        <v>L01584</v>
      </c>
      <c r="B1590" s="1" t="str">
        <f>IF(Raw!B1590="","",Raw!B1590)</f>
        <v>T00792</v>
      </c>
      <c r="C1590" s="1" t="str">
        <f>IF(Raw!C1590="","",Raw!C1590)</f>
        <v>2026-02-17</v>
      </c>
      <c r="D1590" s="1">
        <f t="shared" si="192"/>
        <v>2026</v>
      </c>
      <c r="E1590" s="1">
        <f>IFERROR(IF(AND(LEN(C1590)=10,MID(C1590,5,1)="-",MID(C1590,8,1)="-"),VALUE(MID(C1590,6,2)),IF(AND(LEN(C1590)=11,MID(C1590,3,1)="-",MID(C1590,7,1)="-"),MATCH(UPPER(MID(C1590,4,3)),Guide!$D$7:$D$18,0),0)),0)</f>
        <v>2</v>
      </c>
      <c r="F1590" s="1">
        <f t="shared" si="193"/>
        <v>17</v>
      </c>
      <c r="G1590" s="9">
        <f t="shared" si="194"/>
        <v>46070</v>
      </c>
      <c r="H1590" s="1" t="str">
        <f>IF(Raw!D1590="","",Raw!D1590)</f>
        <v>P-O</v>
      </c>
      <c r="I1590" s="1" t="str">
        <f>IFERROR(IF(EXACT(H1590,INDEX(Guide!$A$7:$A$9,MATCH(SUBSTITUTE(SUBSTITUTE(SUBSTITUTE(H1590,"~","~~"),"*","~*"),"?","~?"),Guide!$A$7:$A$9,0))),INDEX(Guide!$B$7:$B$9,MATCH(SUBSTITUTE(SUBSTITUTE(SUBSTITUTE(H1590,"~","~~"),"*","~*"),"?","~?"),Guide!$A$7:$A$9,0)),""),"")</f>
        <v>Office</v>
      </c>
      <c r="J1590" s="1" t="str">
        <f>IF(TRIM(Raw!E1590)="",I1590,IF(UPPER(TRIM(Raw!E1590))=UPPER(I1590),I1590,""))</f>
        <v>Office</v>
      </c>
      <c r="K1590" s="1" t="str">
        <f>IF(Raw!F1590="","",Raw!F1590)</f>
        <v>sale</v>
      </c>
      <c r="L1590" s="1" t="str">
        <f>IF(LEFT(TRIM(Raw!G1590),2)="-$","-"&amp;MID(TRIM(Raw!G1590),3,99),IF(LEFT(TRIM(Raw!G1590),1)="$",MID(TRIM(Raw!G1590),2,99),TRIM(Raw!G1590)))</f>
        <v>221.40</v>
      </c>
      <c r="M1590" s="1">
        <f t="shared" si="195"/>
        <v>221.4</v>
      </c>
      <c r="N1590" s="10">
        <f t="shared" si="196"/>
        <v>22140</v>
      </c>
      <c r="O1590" s="1" t="b">
        <f>IFERROR(IF(ISNUMBER(Raw!G1590),TRUE,OR(EXACT(L1590,TEXT(M1590,"0.00")),EXACT(L1590,TEXT(M1590,"#,##0.00")))),FALSE)</f>
        <v>1</v>
      </c>
      <c r="P1590" s="1" t="str">
        <f>LEN(IF(Raw!A1590="","",Raw!A1590))&amp;":"&amp;IF(Raw!A1590="","",Raw!A1590)&amp;"|"&amp;LEN(IF(Raw!B1590="","",Raw!B1590))&amp;":"&amp;IF(Raw!B1590="","",Raw!B1590)&amp;"|"&amp;LEN(IF(Raw!C1590="","",Raw!C1590))&amp;":"&amp;IF(Raw!C1590="","",Raw!C1590)&amp;"|"&amp;LEN(IF(Raw!D1590="","",Raw!D1590))&amp;":"&amp;IF(Raw!D1590="","",Raw!D1590)&amp;"|"&amp;LEN(IF(Raw!E1590="","",Raw!E1590))&amp;":"&amp;IF(Raw!E1590="","",Raw!E1590)&amp;"|"&amp;LEN(IF(Raw!F1590="","",Raw!F1590))&amp;":"&amp;IF(Raw!F1590="","",Raw!F1590)&amp;"|"&amp;LEN(IF(Raw!G1590="","",Raw!G1590))&amp;":"&amp;IF(Raw!G1590="","",Raw!G1590)</f>
        <v>6:L01584|6:T00792|10:2026-02-17|3:P-O|6:Office|4:sale|6:221.40</v>
      </c>
      <c r="Q1590" s="1">
        <f>1</f>
        <v>1</v>
      </c>
      <c r="R1590" s="1" t="b">
        <f>FALSE</f>
        <v>0</v>
      </c>
      <c r="S1590" s="1">
        <f>1</f>
        <v>1</v>
      </c>
      <c r="T1590" s="1" t="str">
        <f>IF(AND(Raw!A1590="",Raw!B1590="",Raw!C1590="",Raw!D1590="",Raw!E1590="",Raw!F1590="",Raw!G1590=""),"UNUSED",IF(A1590="","missing line ID",IF(B1590="","missing transaction ID",IF(G1590="",IF(C1590="","missing date","invalid date"),IF(I1590="","unknown product",IF(J1590="","conflicting category",IF(NOT(OR(EXACT(K1590,"sale"),EXACT(K1590,"refund"))),"unknown event",IF(OR(N1590="",NOT(O1590)),"invalid amount",IF(OR(AND(K1590="sale",N1590&lt;=0),AND(K1590="refund",N1590&gt;=0)),"invalid sign","")))))))))</f>
        <v/>
      </c>
      <c r="U1590" s="1" t="str">
        <f t="shared" si="197"/>
        <v>INCLUDED</v>
      </c>
      <c r="V1590" s="1" t="str">
        <f t="shared" si="198"/>
        <v>2026-02</v>
      </c>
      <c r="W1590" s="1">
        <f>IF(AND(U1590="INCLUDED",X1590&gt;0,EXACT(A1590,'AI output'!A1590)),1,0)</f>
        <v>1</v>
      </c>
      <c r="X1590" s="1">
        <f>1590</f>
        <v>1590</v>
      </c>
      <c r="Y1590" s="1">
        <f>IF(AND(U1590="INCLUDED",W1590=1),--(NOT(EXACT(A1590,'AI output'!A1590)))+--(NOT(EXACT(B1590,'AI output'!B1590)))+--(NOT(EXACT(TEXT(G1590,"yyyy-mm-dd"),'AI output'!C1590)))+--(NOT(EXACT(H1590,'AI output'!D1590)))+--(NOT(EXACT(J1590,'AI output'!E1590)))+--(NOT(EXACT(K1590,'AI output'!F1590)))+--(N1590&lt;&gt;'AI output'!L1590)+--(NOT('AI output'!M1590)),0)</f>
        <v>0</v>
      </c>
      <c r="Z1590" s="1">
        <f t="shared" si="199"/>
        <v>0</v>
      </c>
      <c r="AA1590" s="1">
        <f>--EXACT(A1590,"L01584")</f>
        <v>1</v>
      </c>
    </row>
    <row r="1591" spans="1:27" ht="18.95" customHeight="1">
      <c r="A1591" s="1" t="str">
        <f>IF(Raw!A1591="","",Raw!A1591)</f>
        <v>L01585</v>
      </c>
      <c r="B1591" s="1" t="str">
        <f>IF(Raw!B1591="","",Raw!B1591)</f>
        <v>T00793</v>
      </c>
      <c r="C1591" s="1" t="str">
        <f>IF(Raw!C1591="","",Raw!C1591)</f>
        <v>2026-02-24</v>
      </c>
      <c r="D1591" s="1">
        <f t="shared" si="192"/>
        <v>2026</v>
      </c>
      <c r="E1591" s="1">
        <f>IFERROR(IF(AND(LEN(C1591)=10,MID(C1591,5,1)="-",MID(C1591,8,1)="-"),VALUE(MID(C1591,6,2)),IF(AND(LEN(C1591)=11,MID(C1591,3,1)="-",MID(C1591,7,1)="-"),MATCH(UPPER(MID(C1591,4,3)),Guide!$D$7:$D$18,0),0)),0)</f>
        <v>2</v>
      </c>
      <c r="F1591" s="1">
        <f t="shared" si="193"/>
        <v>24</v>
      </c>
      <c r="G1591" s="9">
        <f t="shared" si="194"/>
        <v>46077</v>
      </c>
      <c r="H1591" s="1" t="str">
        <f>IF(Raw!D1591="","",Raw!D1591)</f>
        <v>P-A</v>
      </c>
      <c r="I1591" s="1" t="str">
        <f>IFERROR(IF(EXACT(H1591,INDEX(Guide!$A$7:$A$9,MATCH(SUBSTITUTE(SUBSTITUTE(SUBSTITUTE(H1591,"~","~~"),"*","~*"),"?","~?"),Guide!$A$7:$A$9,0))),INDEX(Guide!$B$7:$B$9,MATCH(SUBSTITUTE(SUBSTITUTE(SUBSTITUTE(H1591,"~","~~"),"*","~*"),"?","~?"),Guide!$A$7:$A$9,0)),""),"")</f>
        <v>Accessories</v>
      </c>
      <c r="J1591" s="1" t="str">
        <f>IF(TRIM(Raw!E1591)="",I1591,IF(UPPER(TRIM(Raw!E1591))=UPPER(I1591),I1591,""))</f>
        <v>Accessories</v>
      </c>
      <c r="K1591" s="1" t="str">
        <f>IF(Raw!F1591="","",Raw!F1591)</f>
        <v>sale</v>
      </c>
      <c r="L1591" s="1" t="str">
        <f>IF(LEFT(TRIM(Raw!G1591),2)="-$","-"&amp;MID(TRIM(Raw!G1591),3,99),IF(LEFT(TRIM(Raw!G1591),1)="$",MID(TRIM(Raw!G1591),2,99),TRIM(Raw!G1591)))</f>
        <v>444.28</v>
      </c>
      <c r="M1591" s="1">
        <f t="shared" si="195"/>
        <v>444.28</v>
      </c>
      <c r="N1591" s="10">
        <f t="shared" si="196"/>
        <v>44428</v>
      </c>
      <c r="O1591" s="1" t="b">
        <f>IFERROR(IF(ISNUMBER(Raw!G1591),TRUE,OR(EXACT(L1591,TEXT(M1591,"0.00")),EXACT(L1591,TEXT(M1591,"#,##0.00")))),FALSE)</f>
        <v>1</v>
      </c>
      <c r="P1591" s="1" t="str">
        <f>LEN(IF(Raw!A1591="","",Raw!A1591))&amp;":"&amp;IF(Raw!A1591="","",Raw!A1591)&amp;"|"&amp;LEN(IF(Raw!B1591="","",Raw!B1591))&amp;":"&amp;IF(Raw!B1591="","",Raw!B1591)&amp;"|"&amp;LEN(IF(Raw!C1591="","",Raw!C1591))&amp;":"&amp;IF(Raw!C1591="","",Raw!C1591)&amp;"|"&amp;LEN(IF(Raw!D1591="","",Raw!D1591))&amp;":"&amp;IF(Raw!D1591="","",Raw!D1591)&amp;"|"&amp;LEN(IF(Raw!E1591="","",Raw!E1591))&amp;":"&amp;IF(Raw!E1591="","",Raw!E1591)&amp;"|"&amp;LEN(IF(Raw!F1591="","",Raw!F1591))&amp;":"&amp;IF(Raw!F1591="","",Raw!F1591)&amp;"|"&amp;LEN(IF(Raw!G1591="","",Raw!G1591))&amp;":"&amp;IF(Raw!G1591="","",Raw!G1591)</f>
        <v>6:L01585|6:T00793|10:2026-02-24|3:P-A|11:Accessories|4:sale|6:444.28</v>
      </c>
      <c r="Q1591" s="1">
        <f>1</f>
        <v>1</v>
      </c>
      <c r="R1591" s="1" t="b">
        <f>FALSE</f>
        <v>0</v>
      </c>
      <c r="S1591" s="1">
        <f>1</f>
        <v>1</v>
      </c>
      <c r="T1591" s="1" t="str">
        <f>IF(AND(Raw!A1591="",Raw!B1591="",Raw!C1591="",Raw!D1591="",Raw!E1591="",Raw!F1591="",Raw!G1591=""),"UNUSED",IF(A1591="","missing line ID",IF(B1591="","missing transaction ID",IF(G1591="",IF(C1591="","missing date","invalid date"),IF(I1591="","unknown product",IF(J1591="","conflicting category",IF(NOT(OR(EXACT(K1591,"sale"),EXACT(K1591,"refund"))),"unknown event",IF(OR(N1591="",NOT(O1591)),"invalid amount",IF(OR(AND(K1591="sale",N1591&lt;=0),AND(K1591="refund",N1591&gt;=0)),"invalid sign","")))))))))</f>
        <v/>
      </c>
      <c r="U1591" s="1" t="str">
        <f t="shared" si="197"/>
        <v>INCLUDED</v>
      </c>
      <c r="V1591" s="1" t="str">
        <f t="shared" si="198"/>
        <v>2026-02</v>
      </c>
      <c r="W1591" s="1">
        <f>IF(AND(U1591="INCLUDED",X1591&gt;0,EXACT(A1591,'AI output'!A1591)),1,0)</f>
        <v>1</v>
      </c>
      <c r="X1591" s="1">
        <f>1591</f>
        <v>1591</v>
      </c>
      <c r="Y1591" s="1">
        <f>IF(AND(U1591="INCLUDED",W1591=1),--(NOT(EXACT(A1591,'AI output'!A1591)))+--(NOT(EXACT(B1591,'AI output'!B1591)))+--(NOT(EXACT(TEXT(G1591,"yyyy-mm-dd"),'AI output'!C1591)))+--(NOT(EXACT(H1591,'AI output'!D1591)))+--(NOT(EXACT(J1591,'AI output'!E1591)))+--(NOT(EXACT(K1591,'AI output'!F1591)))+--(N1591&lt;&gt;'AI output'!L1591)+--(NOT('AI output'!M1591)),0)</f>
        <v>0</v>
      </c>
      <c r="Z1591" s="1">
        <f t="shared" si="199"/>
        <v>0</v>
      </c>
      <c r="AA1591" s="1">
        <f>--EXACT(A1591,"L01585")</f>
        <v>1</v>
      </c>
    </row>
    <row r="1592" spans="1:27" ht="18.95" customHeight="1">
      <c r="A1592" s="1" t="str">
        <f>IF(Raw!A1592="","",Raw!A1592)</f>
        <v>L01586</v>
      </c>
      <c r="B1592" s="1" t="str">
        <f>IF(Raw!B1592="","",Raw!B1592)</f>
        <v>T00793</v>
      </c>
      <c r="C1592" s="1" t="str">
        <f>IF(Raw!C1592="","",Raw!C1592)</f>
        <v>2026-02-24</v>
      </c>
      <c r="D1592" s="1">
        <f t="shared" si="192"/>
        <v>2026</v>
      </c>
      <c r="E1592" s="1">
        <f>IFERROR(IF(AND(LEN(C1592)=10,MID(C1592,5,1)="-",MID(C1592,8,1)="-"),VALUE(MID(C1592,6,2)),IF(AND(LEN(C1592)=11,MID(C1592,3,1)="-",MID(C1592,7,1)="-"),MATCH(UPPER(MID(C1592,4,3)),Guide!$D$7:$D$18,0),0)),0)</f>
        <v>2</v>
      </c>
      <c r="F1592" s="1">
        <f t="shared" si="193"/>
        <v>24</v>
      </c>
      <c r="G1592" s="9">
        <f t="shared" si="194"/>
        <v>46077</v>
      </c>
      <c r="H1592" s="1" t="str">
        <f>IF(Raw!D1592="","",Raw!D1592)</f>
        <v>P-H</v>
      </c>
      <c r="I1592" s="1" t="str">
        <f>IFERROR(IF(EXACT(H1592,INDEX(Guide!$A$7:$A$9,MATCH(SUBSTITUTE(SUBSTITUTE(SUBSTITUTE(H1592,"~","~~"),"*","~*"),"?","~?"),Guide!$A$7:$A$9,0))),INDEX(Guide!$B$7:$B$9,MATCH(SUBSTITUTE(SUBSTITUTE(SUBSTITUTE(H1592,"~","~~"),"*","~*"),"?","~?"),Guide!$A$7:$A$9,0)),""),"")</f>
        <v>Home</v>
      </c>
      <c r="J1592" s="1" t="str">
        <f>IF(TRIM(Raw!E1592)="",I1592,IF(UPPER(TRIM(Raw!E1592))=UPPER(I1592),I1592,""))</f>
        <v>Home</v>
      </c>
      <c r="K1592" s="1" t="str">
        <f>IF(Raw!F1592="","",Raw!F1592)</f>
        <v>sale</v>
      </c>
      <c r="L1592" s="1" t="str">
        <f>IF(LEFT(TRIM(Raw!G1592),2)="-$","-"&amp;MID(TRIM(Raw!G1592),3,99),IF(LEFT(TRIM(Raw!G1592),1)="$",MID(TRIM(Raw!G1592),2,99),TRIM(Raw!G1592)))</f>
        <v>111.44</v>
      </c>
      <c r="M1592" s="1">
        <f t="shared" si="195"/>
        <v>111.44</v>
      </c>
      <c r="N1592" s="10">
        <f t="shared" si="196"/>
        <v>11144</v>
      </c>
      <c r="O1592" s="1" t="b">
        <f>IFERROR(IF(ISNUMBER(Raw!G1592),TRUE,OR(EXACT(L1592,TEXT(M1592,"0.00")),EXACT(L1592,TEXT(M1592,"#,##0.00")))),FALSE)</f>
        <v>1</v>
      </c>
      <c r="P1592" s="1" t="str">
        <f>LEN(IF(Raw!A1592="","",Raw!A1592))&amp;":"&amp;IF(Raw!A1592="","",Raw!A1592)&amp;"|"&amp;LEN(IF(Raw!B1592="","",Raw!B1592))&amp;":"&amp;IF(Raw!B1592="","",Raw!B1592)&amp;"|"&amp;LEN(IF(Raw!C1592="","",Raw!C1592))&amp;":"&amp;IF(Raw!C1592="","",Raw!C1592)&amp;"|"&amp;LEN(IF(Raw!D1592="","",Raw!D1592))&amp;":"&amp;IF(Raw!D1592="","",Raw!D1592)&amp;"|"&amp;LEN(IF(Raw!E1592="","",Raw!E1592))&amp;":"&amp;IF(Raw!E1592="","",Raw!E1592)&amp;"|"&amp;LEN(IF(Raw!F1592="","",Raw!F1592))&amp;":"&amp;IF(Raw!F1592="","",Raw!F1592)&amp;"|"&amp;LEN(IF(Raw!G1592="","",Raw!G1592))&amp;":"&amp;IF(Raw!G1592="","",Raw!G1592)</f>
        <v>6:L01586|6:T00793|10:2026-02-24|3:P-H|4:Home|4:sale|6:111.44</v>
      </c>
      <c r="Q1592" s="1">
        <f>1</f>
        <v>1</v>
      </c>
      <c r="R1592" s="1" t="b">
        <f>FALSE</f>
        <v>0</v>
      </c>
      <c r="S1592" s="1">
        <f>1</f>
        <v>1</v>
      </c>
      <c r="T1592" s="1" t="str">
        <f>IF(AND(Raw!A1592="",Raw!B1592="",Raw!C1592="",Raw!D1592="",Raw!E1592="",Raw!F1592="",Raw!G1592=""),"UNUSED",IF(A1592="","missing line ID",IF(B1592="","missing transaction ID",IF(G1592="",IF(C1592="","missing date","invalid date"),IF(I1592="","unknown product",IF(J1592="","conflicting category",IF(NOT(OR(EXACT(K1592,"sale"),EXACT(K1592,"refund"))),"unknown event",IF(OR(N1592="",NOT(O1592)),"invalid amount",IF(OR(AND(K1592="sale",N1592&lt;=0),AND(K1592="refund",N1592&gt;=0)),"invalid sign","")))))))))</f>
        <v/>
      </c>
      <c r="U1592" s="1" t="str">
        <f t="shared" si="197"/>
        <v>INCLUDED</v>
      </c>
      <c r="V1592" s="1" t="str">
        <f t="shared" si="198"/>
        <v>2026-02</v>
      </c>
      <c r="W1592" s="1">
        <f>IF(AND(U1592="INCLUDED",X1592&gt;0,EXACT(A1592,'AI output'!A1592)),1,0)</f>
        <v>1</v>
      </c>
      <c r="X1592" s="1">
        <f>1592</f>
        <v>1592</v>
      </c>
      <c r="Y1592" s="1">
        <f>IF(AND(U1592="INCLUDED",W1592=1),--(NOT(EXACT(A1592,'AI output'!A1592)))+--(NOT(EXACT(B1592,'AI output'!B1592)))+--(NOT(EXACT(TEXT(G1592,"yyyy-mm-dd"),'AI output'!C1592)))+--(NOT(EXACT(H1592,'AI output'!D1592)))+--(NOT(EXACT(J1592,'AI output'!E1592)))+--(NOT(EXACT(K1592,'AI output'!F1592)))+--(N1592&lt;&gt;'AI output'!L1592)+--(NOT('AI output'!M1592)),0)</f>
        <v>0</v>
      </c>
      <c r="Z1592" s="1">
        <f t="shared" si="199"/>
        <v>0</v>
      </c>
      <c r="AA1592" s="1">
        <f>--EXACT(A1592,"L01586")</f>
        <v>1</v>
      </c>
    </row>
    <row r="1593" spans="1:27" ht="18.95" customHeight="1">
      <c r="A1593" s="1" t="str">
        <f>IF(Raw!A1593="","",Raw!A1593)</f>
        <v>L01587</v>
      </c>
      <c r="B1593" s="1" t="str">
        <f>IF(Raw!B1593="","",Raw!B1593)</f>
        <v>T00794</v>
      </c>
      <c r="C1593" s="1" t="str">
        <f>IF(Raw!C1593="","",Raw!C1593)</f>
        <v>2026-03-03</v>
      </c>
      <c r="D1593" s="1">
        <f t="shared" si="192"/>
        <v>2026</v>
      </c>
      <c r="E1593" s="1">
        <f>IFERROR(IF(AND(LEN(C1593)=10,MID(C1593,5,1)="-",MID(C1593,8,1)="-"),VALUE(MID(C1593,6,2)),IF(AND(LEN(C1593)=11,MID(C1593,3,1)="-",MID(C1593,7,1)="-"),MATCH(UPPER(MID(C1593,4,3)),Guide!$D$7:$D$18,0),0)),0)</f>
        <v>3</v>
      </c>
      <c r="F1593" s="1">
        <f t="shared" si="193"/>
        <v>3</v>
      </c>
      <c r="G1593" s="9">
        <f t="shared" si="194"/>
        <v>46084</v>
      </c>
      <c r="H1593" s="1" t="str">
        <f>IF(Raw!D1593="","",Raw!D1593)</f>
        <v>P-O</v>
      </c>
      <c r="I1593" s="1" t="str">
        <f>IFERROR(IF(EXACT(H1593,INDEX(Guide!$A$7:$A$9,MATCH(SUBSTITUTE(SUBSTITUTE(SUBSTITUTE(H1593,"~","~~"),"*","~*"),"?","~?"),Guide!$A$7:$A$9,0))),INDEX(Guide!$B$7:$B$9,MATCH(SUBSTITUTE(SUBSTITUTE(SUBSTITUTE(H1593,"~","~~"),"*","~*"),"?","~?"),Guide!$A$7:$A$9,0)),""),"")</f>
        <v>Office</v>
      </c>
      <c r="J1593" s="1" t="str">
        <f>IF(TRIM(Raw!E1593)="",I1593,IF(UPPER(TRIM(Raw!E1593))=UPPER(I1593),I1593,""))</f>
        <v>Office</v>
      </c>
      <c r="K1593" s="1" t="str">
        <f>IF(Raw!F1593="","",Raw!F1593)</f>
        <v>sale</v>
      </c>
      <c r="L1593" s="1" t="str">
        <f>IF(LEFT(TRIM(Raw!G1593),2)="-$","-"&amp;MID(TRIM(Raw!G1593),3,99),IF(LEFT(TRIM(Raw!G1593),1)="$",MID(TRIM(Raw!G1593),2,99),TRIM(Raw!G1593)))</f>
        <v>335.43</v>
      </c>
      <c r="M1593" s="1">
        <f t="shared" si="195"/>
        <v>335.43</v>
      </c>
      <c r="N1593" s="10">
        <f t="shared" si="196"/>
        <v>33543</v>
      </c>
      <c r="O1593" s="1" t="b">
        <f>IFERROR(IF(ISNUMBER(Raw!G1593),TRUE,OR(EXACT(L1593,TEXT(M1593,"0.00")),EXACT(L1593,TEXT(M1593,"#,##0.00")))),FALSE)</f>
        <v>1</v>
      </c>
      <c r="P1593" s="1" t="str">
        <f>LEN(IF(Raw!A1593="","",Raw!A1593))&amp;":"&amp;IF(Raw!A1593="","",Raw!A1593)&amp;"|"&amp;LEN(IF(Raw!B1593="","",Raw!B1593))&amp;":"&amp;IF(Raw!B1593="","",Raw!B1593)&amp;"|"&amp;LEN(IF(Raw!C1593="","",Raw!C1593))&amp;":"&amp;IF(Raw!C1593="","",Raw!C1593)&amp;"|"&amp;LEN(IF(Raw!D1593="","",Raw!D1593))&amp;":"&amp;IF(Raw!D1593="","",Raw!D1593)&amp;"|"&amp;LEN(IF(Raw!E1593="","",Raw!E1593))&amp;":"&amp;IF(Raw!E1593="","",Raw!E1593)&amp;"|"&amp;LEN(IF(Raw!F1593="","",Raw!F1593))&amp;":"&amp;IF(Raw!F1593="","",Raw!F1593)&amp;"|"&amp;LEN(IF(Raw!G1593="","",Raw!G1593))&amp;":"&amp;IF(Raw!G1593="","",Raw!G1593)</f>
        <v>6:L01587|6:T00794|10:2026-03-03|3:P-O|6:Office|4:sale|6:335.43</v>
      </c>
      <c r="Q1593" s="1">
        <f>1</f>
        <v>1</v>
      </c>
      <c r="R1593" s="1" t="b">
        <f>FALSE</f>
        <v>0</v>
      </c>
      <c r="S1593" s="1">
        <f>1</f>
        <v>1</v>
      </c>
      <c r="T1593" s="1" t="str">
        <f>IF(AND(Raw!A1593="",Raw!B1593="",Raw!C1593="",Raw!D1593="",Raw!E1593="",Raw!F1593="",Raw!G1593=""),"UNUSED",IF(A1593="","missing line ID",IF(B1593="","missing transaction ID",IF(G1593="",IF(C1593="","missing date","invalid date"),IF(I1593="","unknown product",IF(J1593="","conflicting category",IF(NOT(OR(EXACT(K1593,"sale"),EXACT(K1593,"refund"))),"unknown event",IF(OR(N1593="",NOT(O1593)),"invalid amount",IF(OR(AND(K1593="sale",N1593&lt;=0),AND(K1593="refund",N1593&gt;=0)),"invalid sign","")))))))))</f>
        <v/>
      </c>
      <c r="U1593" s="1" t="str">
        <f t="shared" si="197"/>
        <v>INCLUDED</v>
      </c>
      <c r="V1593" s="1" t="str">
        <f t="shared" si="198"/>
        <v>2026-03</v>
      </c>
      <c r="W1593" s="1">
        <f>IF(AND(U1593="INCLUDED",X1593&gt;0,EXACT(A1593,'AI output'!A1593)),1,0)</f>
        <v>1</v>
      </c>
      <c r="X1593" s="1">
        <f>1593</f>
        <v>1593</v>
      </c>
      <c r="Y1593" s="1">
        <f>IF(AND(U1593="INCLUDED",W1593=1),--(NOT(EXACT(A1593,'AI output'!A1593)))+--(NOT(EXACT(B1593,'AI output'!B1593)))+--(NOT(EXACT(TEXT(G1593,"yyyy-mm-dd"),'AI output'!C1593)))+--(NOT(EXACT(H1593,'AI output'!D1593)))+--(NOT(EXACT(J1593,'AI output'!E1593)))+--(NOT(EXACT(K1593,'AI output'!F1593)))+--(N1593&lt;&gt;'AI output'!L1593)+--(NOT('AI output'!M1593)),0)</f>
        <v>0</v>
      </c>
      <c r="Z1593" s="1">
        <f t="shared" si="199"/>
        <v>0</v>
      </c>
      <c r="AA1593" s="1">
        <f>--EXACT(A1593,"L01587")</f>
        <v>1</v>
      </c>
    </row>
    <row r="1594" spans="1:27" ht="18.95" customHeight="1">
      <c r="A1594" s="1" t="str">
        <f>IF(Raw!A1594="","",Raw!A1594)</f>
        <v>L01588</v>
      </c>
      <c r="B1594" s="1" t="str">
        <f>IF(Raw!B1594="","",Raw!B1594)</f>
        <v>T00794</v>
      </c>
      <c r="C1594" s="1" t="str">
        <f>IF(Raw!C1594="","",Raw!C1594)</f>
        <v>2026-03-03</v>
      </c>
      <c r="D1594" s="1">
        <f t="shared" si="192"/>
        <v>2026</v>
      </c>
      <c r="E1594" s="1">
        <f>IFERROR(IF(AND(LEN(C1594)=10,MID(C1594,5,1)="-",MID(C1594,8,1)="-"),VALUE(MID(C1594,6,2)),IF(AND(LEN(C1594)=11,MID(C1594,3,1)="-",MID(C1594,7,1)="-"),MATCH(UPPER(MID(C1594,4,3)),Guide!$D$7:$D$18,0),0)),0)</f>
        <v>3</v>
      </c>
      <c r="F1594" s="1">
        <f t="shared" si="193"/>
        <v>3</v>
      </c>
      <c r="G1594" s="9">
        <f t="shared" si="194"/>
        <v>46084</v>
      </c>
      <c r="H1594" s="1" t="str">
        <f>IF(Raw!D1594="","",Raw!D1594)</f>
        <v>P-A</v>
      </c>
      <c r="I1594" s="1" t="str">
        <f>IFERROR(IF(EXACT(H1594,INDEX(Guide!$A$7:$A$9,MATCH(SUBSTITUTE(SUBSTITUTE(SUBSTITUTE(H1594,"~","~~"),"*","~*"),"?","~?"),Guide!$A$7:$A$9,0))),INDEX(Guide!$B$7:$B$9,MATCH(SUBSTITUTE(SUBSTITUTE(SUBSTITUTE(H1594,"~","~~"),"*","~*"),"?","~?"),Guide!$A$7:$A$9,0)),""),"")</f>
        <v>Accessories</v>
      </c>
      <c r="J1594" s="1" t="str">
        <f>IF(TRIM(Raw!E1594)="",I1594,IF(UPPER(TRIM(Raw!E1594))=UPPER(I1594),I1594,""))</f>
        <v>Accessories</v>
      </c>
      <c r="K1594" s="1" t="str">
        <f>IF(Raw!F1594="","",Raw!F1594)</f>
        <v>refund</v>
      </c>
      <c r="L1594" s="1" t="str">
        <f>IF(LEFT(TRIM(Raw!G1594),2)="-$","-"&amp;MID(TRIM(Raw!G1594),3,99),IF(LEFT(TRIM(Raw!G1594),1)="$",MID(TRIM(Raw!G1594),2,99),TRIM(Raw!G1594)))</f>
        <v>-560.90</v>
      </c>
      <c r="M1594" s="1">
        <f t="shared" si="195"/>
        <v>-560.9</v>
      </c>
      <c r="N1594" s="10">
        <f t="shared" si="196"/>
        <v>-56090</v>
      </c>
      <c r="O1594" s="1" t="b">
        <f>IFERROR(IF(ISNUMBER(Raw!G1594),TRUE,OR(EXACT(L1594,TEXT(M1594,"0.00")),EXACT(L1594,TEXT(M1594,"#,##0.00")))),FALSE)</f>
        <v>1</v>
      </c>
      <c r="P1594" s="1" t="str">
        <f>LEN(IF(Raw!A1594="","",Raw!A1594))&amp;":"&amp;IF(Raw!A1594="","",Raw!A1594)&amp;"|"&amp;LEN(IF(Raw!B1594="","",Raw!B1594))&amp;":"&amp;IF(Raw!B1594="","",Raw!B1594)&amp;"|"&amp;LEN(IF(Raw!C1594="","",Raw!C1594))&amp;":"&amp;IF(Raw!C1594="","",Raw!C1594)&amp;"|"&amp;LEN(IF(Raw!D1594="","",Raw!D1594))&amp;":"&amp;IF(Raw!D1594="","",Raw!D1594)&amp;"|"&amp;LEN(IF(Raw!E1594="","",Raw!E1594))&amp;":"&amp;IF(Raw!E1594="","",Raw!E1594)&amp;"|"&amp;LEN(IF(Raw!F1594="","",Raw!F1594))&amp;":"&amp;IF(Raw!F1594="","",Raw!F1594)&amp;"|"&amp;LEN(IF(Raw!G1594="","",Raw!G1594))&amp;":"&amp;IF(Raw!G1594="","",Raw!G1594)</f>
        <v>6:L01588|6:T00794|10:2026-03-03|3:P-A|11:Accessories|6:refund|7:-560.90</v>
      </c>
      <c r="Q1594" s="1">
        <f>1</f>
        <v>1</v>
      </c>
      <c r="R1594" s="1" t="b">
        <f>FALSE</f>
        <v>0</v>
      </c>
      <c r="S1594" s="1">
        <f>1</f>
        <v>1</v>
      </c>
      <c r="T1594" s="1" t="str">
        <f>IF(AND(Raw!A1594="",Raw!B1594="",Raw!C1594="",Raw!D1594="",Raw!E1594="",Raw!F1594="",Raw!G1594=""),"UNUSED",IF(A1594="","missing line ID",IF(B1594="","missing transaction ID",IF(G1594="",IF(C1594="","missing date","invalid date"),IF(I1594="","unknown product",IF(J1594="","conflicting category",IF(NOT(OR(EXACT(K1594,"sale"),EXACT(K1594,"refund"))),"unknown event",IF(OR(N1594="",NOT(O1594)),"invalid amount",IF(OR(AND(K1594="sale",N1594&lt;=0),AND(K1594="refund",N1594&gt;=0)),"invalid sign","")))))))))</f>
        <v/>
      </c>
      <c r="U1594" s="1" t="str">
        <f t="shared" si="197"/>
        <v>INCLUDED</v>
      </c>
      <c r="V1594" s="1" t="str">
        <f t="shared" si="198"/>
        <v>2026-03</v>
      </c>
      <c r="W1594" s="1">
        <f>IF(AND(U1594="INCLUDED",X1594&gt;0,EXACT(A1594,'AI output'!A1594)),1,0)</f>
        <v>1</v>
      </c>
      <c r="X1594" s="1">
        <f>1594</f>
        <v>1594</v>
      </c>
      <c r="Y1594" s="1">
        <f>IF(AND(U1594="INCLUDED",W1594=1),--(NOT(EXACT(A1594,'AI output'!A1594)))+--(NOT(EXACT(B1594,'AI output'!B1594)))+--(NOT(EXACT(TEXT(G1594,"yyyy-mm-dd"),'AI output'!C1594)))+--(NOT(EXACT(H1594,'AI output'!D1594)))+--(NOT(EXACT(J1594,'AI output'!E1594)))+--(NOT(EXACT(K1594,'AI output'!F1594)))+--(N1594&lt;&gt;'AI output'!L1594)+--(NOT('AI output'!M1594)),0)</f>
        <v>0</v>
      </c>
      <c r="Z1594" s="1">
        <f t="shared" si="199"/>
        <v>0</v>
      </c>
      <c r="AA1594" s="1">
        <f>--EXACT(A1594,"L01588")</f>
        <v>1</v>
      </c>
    </row>
    <row r="1595" spans="1:27" ht="18.95" customHeight="1">
      <c r="A1595" s="1" t="str">
        <f>IF(Raw!A1595="","",Raw!A1595)</f>
        <v>L01589</v>
      </c>
      <c r="B1595" s="1" t="str">
        <f>IF(Raw!B1595="","",Raw!B1595)</f>
        <v>T00795</v>
      </c>
      <c r="C1595" s="1" t="str">
        <f>IF(Raw!C1595="","",Raw!C1595)</f>
        <v>2026-03-10</v>
      </c>
      <c r="D1595" s="1">
        <f t="shared" si="192"/>
        <v>2026</v>
      </c>
      <c r="E1595" s="1">
        <f>IFERROR(IF(AND(LEN(C1595)=10,MID(C1595,5,1)="-",MID(C1595,8,1)="-"),VALUE(MID(C1595,6,2)),IF(AND(LEN(C1595)=11,MID(C1595,3,1)="-",MID(C1595,7,1)="-"),MATCH(UPPER(MID(C1595,4,3)),Guide!$D$7:$D$18,0),0)),0)</f>
        <v>3</v>
      </c>
      <c r="F1595" s="1">
        <f t="shared" si="193"/>
        <v>10</v>
      </c>
      <c r="G1595" s="9">
        <f t="shared" si="194"/>
        <v>46091</v>
      </c>
      <c r="H1595" s="1" t="str">
        <f>IF(Raw!D1595="","",Raw!D1595)</f>
        <v>P-H</v>
      </c>
      <c r="I1595" s="1" t="str">
        <f>IFERROR(IF(EXACT(H1595,INDEX(Guide!$A$7:$A$9,MATCH(SUBSTITUTE(SUBSTITUTE(SUBSTITUTE(H1595,"~","~~"),"*","~*"),"?","~?"),Guide!$A$7:$A$9,0))),INDEX(Guide!$B$7:$B$9,MATCH(SUBSTITUTE(SUBSTITUTE(SUBSTITUTE(H1595,"~","~~"),"*","~*"),"?","~?"),Guide!$A$7:$A$9,0)),""),"")</f>
        <v>Home</v>
      </c>
      <c r="J1595" s="1" t="str">
        <f>IF(TRIM(Raw!E1595)="",I1595,IF(UPPER(TRIM(Raw!E1595))=UPPER(I1595),I1595,""))</f>
        <v>Home</v>
      </c>
      <c r="K1595" s="1" t="str">
        <f>IF(Raw!F1595="","",Raw!F1595)</f>
        <v>sale</v>
      </c>
      <c r="L1595" s="1" t="str">
        <f>IF(LEFT(TRIM(Raw!G1595),2)="-$","-"&amp;MID(TRIM(Raw!G1595),3,99),IF(LEFT(TRIM(Raw!G1595),1)="$",MID(TRIM(Raw!G1595),2,99),TRIM(Raw!G1595)))</f>
        <v>225.10</v>
      </c>
      <c r="M1595" s="1">
        <f t="shared" si="195"/>
        <v>225.1</v>
      </c>
      <c r="N1595" s="10">
        <f t="shared" si="196"/>
        <v>22510</v>
      </c>
      <c r="O1595" s="1" t="b">
        <f>IFERROR(IF(ISNUMBER(Raw!G1595),TRUE,OR(EXACT(L1595,TEXT(M1595,"0.00")),EXACT(L1595,TEXT(M1595,"#,##0.00")))),FALSE)</f>
        <v>1</v>
      </c>
      <c r="P1595" s="1" t="str">
        <f>LEN(IF(Raw!A1595="","",Raw!A1595))&amp;":"&amp;IF(Raw!A1595="","",Raw!A1595)&amp;"|"&amp;LEN(IF(Raw!B1595="","",Raw!B1595))&amp;":"&amp;IF(Raw!B1595="","",Raw!B1595)&amp;"|"&amp;LEN(IF(Raw!C1595="","",Raw!C1595))&amp;":"&amp;IF(Raw!C1595="","",Raw!C1595)&amp;"|"&amp;LEN(IF(Raw!D1595="","",Raw!D1595))&amp;":"&amp;IF(Raw!D1595="","",Raw!D1595)&amp;"|"&amp;LEN(IF(Raw!E1595="","",Raw!E1595))&amp;":"&amp;IF(Raw!E1595="","",Raw!E1595)&amp;"|"&amp;LEN(IF(Raw!F1595="","",Raw!F1595))&amp;":"&amp;IF(Raw!F1595="","",Raw!F1595)&amp;"|"&amp;LEN(IF(Raw!G1595="","",Raw!G1595))&amp;":"&amp;IF(Raw!G1595="","",Raw!G1595)</f>
        <v>6:L01589|6:T00795|10:2026-03-10|3:P-H|4:Home|4:sale|6:225.10</v>
      </c>
      <c r="Q1595" s="1">
        <f>1</f>
        <v>1</v>
      </c>
      <c r="R1595" s="1" t="b">
        <f>FALSE</f>
        <v>0</v>
      </c>
      <c r="S1595" s="1">
        <f>1</f>
        <v>1</v>
      </c>
      <c r="T1595" s="1" t="str">
        <f>IF(AND(Raw!A1595="",Raw!B1595="",Raw!C1595="",Raw!D1595="",Raw!E1595="",Raw!F1595="",Raw!G1595=""),"UNUSED",IF(A1595="","missing line ID",IF(B1595="","missing transaction ID",IF(G1595="",IF(C1595="","missing date","invalid date"),IF(I1595="","unknown product",IF(J1595="","conflicting category",IF(NOT(OR(EXACT(K1595,"sale"),EXACT(K1595,"refund"))),"unknown event",IF(OR(N1595="",NOT(O1595)),"invalid amount",IF(OR(AND(K1595="sale",N1595&lt;=0),AND(K1595="refund",N1595&gt;=0)),"invalid sign","")))))))))</f>
        <v/>
      </c>
      <c r="U1595" s="1" t="str">
        <f t="shared" si="197"/>
        <v>INCLUDED</v>
      </c>
      <c r="V1595" s="1" t="str">
        <f t="shared" si="198"/>
        <v>2026-03</v>
      </c>
      <c r="W1595" s="1">
        <f>IF(AND(U1595="INCLUDED",X1595&gt;0,EXACT(A1595,'AI output'!A1595)),1,0)</f>
        <v>1</v>
      </c>
      <c r="X1595" s="1">
        <f>1595</f>
        <v>1595</v>
      </c>
      <c r="Y1595" s="1">
        <f>IF(AND(U1595="INCLUDED",W1595=1),--(NOT(EXACT(A1595,'AI output'!A1595)))+--(NOT(EXACT(B1595,'AI output'!B1595)))+--(NOT(EXACT(TEXT(G1595,"yyyy-mm-dd"),'AI output'!C1595)))+--(NOT(EXACT(H1595,'AI output'!D1595)))+--(NOT(EXACT(J1595,'AI output'!E1595)))+--(NOT(EXACT(K1595,'AI output'!F1595)))+--(N1595&lt;&gt;'AI output'!L1595)+--(NOT('AI output'!M1595)),0)</f>
        <v>0</v>
      </c>
      <c r="Z1595" s="1">
        <f t="shared" si="199"/>
        <v>0</v>
      </c>
      <c r="AA1595" s="1">
        <f>--EXACT(A1595,"L01589")</f>
        <v>1</v>
      </c>
    </row>
    <row r="1596" spans="1:27" ht="18.95" customHeight="1">
      <c r="A1596" s="1" t="str">
        <f>IF(Raw!A1596="","",Raw!A1596)</f>
        <v>L01590</v>
      </c>
      <c r="B1596" s="1" t="str">
        <f>IF(Raw!B1596="","",Raw!B1596)</f>
        <v>T00795</v>
      </c>
      <c r="C1596" s="1" t="str">
        <f>IF(Raw!C1596="","",Raw!C1596)</f>
        <v>2026-03-10</v>
      </c>
      <c r="D1596" s="1">
        <f t="shared" si="192"/>
        <v>2026</v>
      </c>
      <c r="E1596" s="1">
        <f>IFERROR(IF(AND(LEN(C1596)=10,MID(C1596,5,1)="-",MID(C1596,8,1)="-"),VALUE(MID(C1596,6,2)),IF(AND(LEN(C1596)=11,MID(C1596,3,1)="-",MID(C1596,7,1)="-"),MATCH(UPPER(MID(C1596,4,3)),Guide!$D$7:$D$18,0),0)),0)</f>
        <v>3</v>
      </c>
      <c r="F1596" s="1">
        <f t="shared" si="193"/>
        <v>10</v>
      </c>
      <c r="G1596" s="9">
        <f t="shared" si="194"/>
        <v>46091</v>
      </c>
      <c r="H1596" s="1" t="str">
        <f>IF(Raw!D1596="","",Raw!D1596)</f>
        <v>P-O</v>
      </c>
      <c r="I1596" s="1" t="str">
        <f>IFERROR(IF(EXACT(H1596,INDEX(Guide!$A$7:$A$9,MATCH(SUBSTITUTE(SUBSTITUTE(SUBSTITUTE(H1596,"~","~~"),"*","~*"),"?","~?"),Guide!$A$7:$A$9,0))),INDEX(Guide!$B$7:$B$9,MATCH(SUBSTITUTE(SUBSTITUTE(SUBSTITUTE(H1596,"~","~~"),"*","~*"),"?","~?"),Guide!$A$7:$A$9,0)),""),"")</f>
        <v>Office</v>
      </c>
      <c r="J1596" s="1" t="str">
        <f>IF(TRIM(Raw!E1596)="",I1596,IF(UPPER(TRIM(Raw!E1596))=UPPER(I1596),I1596,""))</f>
        <v>Office</v>
      </c>
      <c r="K1596" s="1" t="str">
        <f>IF(Raw!F1596="","",Raw!F1596)</f>
        <v>sale</v>
      </c>
      <c r="L1596" s="1" t="str">
        <f>IF(LEFT(TRIM(Raw!G1596),2)="-$","-"&amp;MID(TRIM(Raw!G1596),3,99),IF(LEFT(TRIM(Raw!G1596),1)="$",MID(TRIM(Raw!G1596),2,99),TRIM(Raw!G1596)))</f>
        <v>451.68</v>
      </c>
      <c r="M1596" s="1">
        <f t="shared" si="195"/>
        <v>451.68</v>
      </c>
      <c r="N1596" s="10">
        <f t="shared" si="196"/>
        <v>45168</v>
      </c>
      <c r="O1596" s="1" t="b">
        <f>IFERROR(IF(ISNUMBER(Raw!G1596),TRUE,OR(EXACT(L1596,TEXT(M1596,"0.00")),EXACT(L1596,TEXT(M1596,"#,##0.00")))),FALSE)</f>
        <v>1</v>
      </c>
      <c r="P1596" s="1" t="str">
        <f>LEN(IF(Raw!A1596="","",Raw!A1596))&amp;":"&amp;IF(Raw!A1596="","",Raw!A1596)&amp;"|"&amp;LEN(IF(Raw!B1596="","",Raw!B1596))&amp;":"&amp;IF(Raw!B1596="","",Raw!B1596)&amp;"|"&amp;LEN(IF(Raw!C1596="","",Raw!C1596))&amp;":"&amp;IF(Raw!C1596="","",Raw!C1596)&amp;"|"&amp;LEN(IF(Raw!D1596="","",Raw!D1596))&amp;":"&amp;IF(Raw!D1596="","",Raw!D1596)&amp;"|"&amp;LEN(IF(Raw!E1596="","",Raw!E1596))&amp;":"&amp;IF(Raw!E1596="","",Raw!E1596)&amp;"|"&amp;LEN(IF(Raw!F1596="","",Raw!F1596))&amp;":"&amp;IF(Raw!F1596="","",Raw!F1596)&amp;"|"&amp;LEN(IF(Raw!G1596="","",Raw!G1596))&amp;":"&amp;IF(Raw!G1596="","",Raw!G1596)</f>
        <v>6:L01590|6:T00795|10:2026-03-10|3:P-O|6:Office|4:sale|6:451.68</v>
      </c>
      <c r="Q1596" s="1">
        <f>1</f>
        <v>1</v>
      </c>
      <c r="R1596" s="1" t="b">
        <f>FALSE</f>
        <v>0</v>
      </c>
      <c r="S1596" s="1">
        <f>1</f>
        <v>1</v>
      </c>
      <c r="T1596" s="1" t="str">
        <f>IF(AND(Raw!A1596="",Raw!B1596="",Raw!C1596="",Raw!D1596="",Raw!E1596="",Raw!F1596="",Raw!G1596=""),"UNUSED",IF(A1596="","missing line ID",IF(B1596="","missing transaction ID",IF(G1596="",IF(C1596="","missing date","invalid date"),IF(I1596="","unknown product",IF(J1596="","conflicting category",IF(NOT(OR(EXACT(K1596,"sale"),EXACT(K1596,"refund"))),"unknown event",IF(OR(N1596="",NOT(O1596)),"invalid amount",IF(OR(AND(K1596="sale",N1596&lt;=0),AND(K1596="refund",N1596&gt;=0)),"invalid sign","")))))))))</f>
        <v/>
      </c>
      <c r="U1596" s="1" t="str">
        <f t="shared" si="197"/>
        <v>INCLUDED</v>
      </c>
      <c r="V1596" s="1" t="str">
        <f t="shared" si="198"/>
        <v>2026-03</v>
      </c>
      <c r="W1596" s="1">
        <f>IF(AND(U1596="INCLUDED",X1596&gt;0,EXACT(A1596,'AI output'!A1596)),1,0)</f>
        <v>1</v>
      </c>
      <c r="X1596" s="1">
        <f>1596</f>
        <v>1596</v>
      </c>
      <c r="Y1596" s="1">
        <f>IF(AND(U1596="INCLUDED",W1596=1),--(NOT(EXACT(A1596,'AI output'!A1596)))+--(NOT(EXACT(B1596,'AI output'!B1596)))+--(NOT(EXACT(TEXT(G1596,"yyyy-mm-dd"),'AI output'!C1596)))+--(NOT(EXACT(H1596,'AI output'!D1596)))+--(NOT(EXACT(J1596,'AI output'!E1596)))+--(NOT(EXACT(K1596,'AI output'!F1596)))+--(N1596&lt;&gt;'AI output'!L1596)+--(NOT('AI output'!M1596)),0)</f>
        <v>0</v>
      </c>
      <c r="Z1596" s="1">
        <f t="shared" si="199"/>
        <v>0</v>
      </c>
      <c r="AA1596" s="1">
        <f>--EXACT(A1596,"L01590")</f>
        <v>1</v>
      </c>
    </row>
    <row r="1597" spans="1:27" ht="18.95" customHeight="1">
      <c r="A1597" s="1" t="str">
        <f>IF(Raw!A1597="","",Raw!A1597)</f>
        <v>L01591</v>
      </c>
      <c r="B1597" s="1" t="str">
        <f>IF(Raw!B1597="","",Raw!B1597)</f>
        <v>T00796</v>
      </c>
      <c r="C1597" s="1" t="str">
        <f>IF(Raw!C1597="","",Raw!C1597)</f>
        <v>2026-03-17</v>
      </c>
      <c r="D1597" s="1">
        <f t="shared" si="192"/>
        <v>2026</v>
      </c>
      <c r="E1597" s="1">
        <f>IFERROR(IF(AND(LEN(C1597)=10,MID(C1597,5,1)="-",MID(C1597,8,1)="-"),VALUE(MID(C1597,6,2)),IF(AND(LEN(C1597)=11,MID(C1597,3,1)="-",MID(C1597,7,1)="-"),MATCH(UPPER(MID(C1597,4,3)),Guide!$D$7:$D$18,0),0)),0)</f>
        <v>3</v>
      </c>
      <c r="F1597" s="1">
        <f t="shared" si="193"/>
        <v>17</v>
      </c>
      <c r="G1597" s="9">
        <f t="shared" si="194"/>
        <v>46098</v>
      </c>
      <c r="H1597" s="1" t="str">
        <f>IF(Raw!D1597="","",Raw!D1597)</f>
        <v>P-A</v>
      </c>
      <c r="I1597" s="1" t="str">
        <f>IFERROR(IF(EXACT(H1597,INDEX(Guide!$A$7:$A$9,MATCH(SUBSTITUTE(SUBSTITUTE(SUBSTITUTE(H1597,"~","~~"),"*","~*"),"?","~?"),Guide!$A$7:$A$9,0))),INDEX(Guide!$B$7:$B$9,MATCH(SUBSTITUTE(SUBSTITUTE(SUBSTITUTE(H1597,"~","~~"),"*","~*"),"?","~?"),Guide!$A$7:$A$9,0)),""),"")</f>
        <v>Accessories</v>
      </c>
      <c r="J1597" s="1" t="str">
        <f>IF(TRIM(Raw!E1597)="",I1597,IF(UPPER(TRIM(Raw!E1597))=UPPER(I1597),I1597,""))</f>
        <v>Accessories</v>
      </c>
      <c r="K1597" s="1" t="str">
        <f>IF(Raw!F1597="","",Raw!F1597)</f>
        <v>sale</v>
      </c>
      <c r="L1597" s="1" t="str">
        <f>IF(LEFT(TRIM(Raw!G1597),2)="-$","-"&amp;MID(TRIM(Raw!G1597),3,99),IF(LEFT(TRIM(Raw!G1597),1)="$",MID(TRIM(Raw!G1597),2,99),TRIM(Raw!G1597)))</f>
        <v>113.29</v>
      </c>
      <c r="M1597" s="1">
        <f t="shared" si="195"/>
        <v>113.29</v>
      </c>
      <c r="N1597" s="10">
        <f t="shared" si="196"/>
        <v>11329</v>
      </c>
      <c r="O1597" s="1" t="b">
        <f>IFERROR(IF(ISNUMBER(Raw!G1597),TRUE,OR(EXACT(L1597,TEXT(M1597,"0.00")),EXACT(L1597,TEXT(M1597,"#,##0.00")))),FALSE)</f>
        <v>1</v>
      </c>
      <c r="P1597" s="1" t="str">
        <f>LEN(IF(Raw!A1597="","",Raw!A1597))&amp;":"&amp;IF(Raw!A1597="","",Raw!A1597)&amp;"|"&amp;LEN(IF(Raw!B1597="","",Raw!B1597))&amp;":"&amp;IF(Raw!B1597="","",Raw!B1597)&amp;"|"&amp;LEN(IF(Raw!C1597="","",Raw!C1597))&amp;":"&amp;IF(Raw!C1597="","",Raw!C1597)&amp;"|"&amp;LEN(IF(Raw!D1597="","",Raw!D1597))&amp;":"&amp;IF(Raw!D1597="","",Raw!D1597)&amp;"|"&amp;LEN(IF(Raw!E1597="","",Raw!E1597))&amp;":"&amp;IF(Raw!E1597="","",Raw!E1597)&amp;"|"&amp;LEN(IF(Raw!F1597="","",Raw!F1597))&amp;":"&amp;IF(Raw!F1597="","",Raw!F1597)&amp;"|"&amp;LEN(IF(Raw!G1597="","",Raw!G1597))&amp;":"&amp;IF(Raw!G1597="","",Raw!G1597)</f>
        <v>6:L01591|6:T00796|10:2026-03-17|3:P-A|11:Accessories|4:sale|6:113.29</v>
      </c>
      <c r="Q1597" s="1">
        <f>1</f>
        <v>1</v>
      </c>
      <c r="R1597" s="1" t="b">
        <f>FALSE</f>
        <v>0</v>
      </c>
      <c r="S1597" s="1">
        <f>1</f>
        <v>1</v>
      </c>
      <c r="T1597" s="1" t="str">
        <f>IF(AND(Raw!A1597="",Raw!B1597="",Raw!C1597="",Raw!D1597="",Raw!E1597="",Raw!F1597="",Raw!G1597=""),"UNUSED",IF(A1597="","missing line ID",IF(B1597="","missing transaction ID",IF(G1597="",IF(C1597="","missing date","invalid date"),IF(I1597="","unknown product",IF(J1597="","conflicting category",IF(NOT(OR(EXACT(K1597,"sale"),EXACT(K1597,"refund"))),"unknown event",IF(OR(N1597="",NOT(O1597)),"invalid amount",IF(OR(AND(K1597="sale",N1597&lt;=0),AND(K1597="refund",N1597&gt;=0)),"invalid sign","")))))))))</f>
        <v/>
      </c>
      <c r="U1597" s="1" t="str">
        <f t="shared" si="197"/>
        <v>INCLUDED</v>
      </c>
      <c r="V1597" s="1" t="str">
        <f t="shared" si="198"/>
        <v>2026-03</v>
      </c>
      <c r="W1597" s="1">
        <f>IF(AND(U1597="INCLUDED",X1597&gt;0,EXACT(A1597,'AI output'!A1597)),1,0)</f>
        <v>1</v>
      </c>
      <c r="X1597" s="1">
        <f>1597</f>
        <v>1597</v>
      </c>
      <c r="Y1597" s="1">
        <f>IF(AND(U1597="INCLUDED",W1597=1),--(NOT(EXACT(A1597,'AI output'!A1597)))+--(NOT(EXACT(B1597,'AI output'!B1597)))+--(NOT(EXACT(TEXT(G1597,"yyyy-mm-dd"),'AI output'!C1597)))+--(NOT(EXACT(H1597,'AI output'!D1597)))+--(NOT(EXACT(J1597,'AI output'!E1597)))+--(NOT(EXACT(K1597,'AI output'!F1597)))+--(N1597&lt;&gt;'AI output'!L1597)+--(NOT('AI output'!M1597)),0)</f>
        <v>0</v>
      </c>
      <c r="Z1597" s="1">
        <f t="shared" si="199"/>
        <v>0</v>
      </c>
      <c r="AA1597" s="1">
        <f>--EXACT(A1597,"L01591")</f>
        <v>1</v>
      </c>
    </row>
    <row r="1598" spans="1:27" ht="18.95" customHeight="1">
      <c r="A1598" s="1" t="str">
        <f>IF(Raw!A1598="","",Raw!A1598)</f>
        <v>L01592</v>
      </c>
      <c r="B1598" s="1" t="str">
        <f>IF(Raw!B1598="","",Raw!B1598)</f>
        <v>T00796</v>
      </c>
      <c r="C1598" s="1" t="str">
        <f>IF(Raw!C1598="","",Raw!C1598)</f>
        <v>2026-03-17</v>
      </c>
      <c r="D1598" s="1">
        <f t="shared" si="192"/>
        <v>2026</v>
      </c>
      <c r="E1598" s="1">
        <f>IFERROR(IF(AND(LEN(C1598)=10,MID(C1598,5,1)="-",MID(C1598,8,1)="-"),VALUE(MID(C1598,6,2)),IF(AND(LEN(C1598)=11,MID(C1598,3,1)="-",MID(C1598,7,1)="-"),MATCH(UPPER(MID(C1598,4,3)),Guide!$D$7:$D$18,0),0)),0)</f>
        <v>3</v>
      </c>
      <c r="F1598" s="1">
        <f t="shared" si="193"/>
        <v>17</v>
      </c>
      <c r="G1598" s="9">
        <f t="shared" si="194"/>
        <v>46098</v>
      </c>
      <c r="H1598" s="1" t="str">
        <f>IF(Raw!D1598="","",Raw!D1598)</f>
        <v>P-H</v>
      </c>
      <c r="I1598" s="1" t="str">
        <f>IFERROR(IF(EXACT(H1598,INDEX(Guide!$A$7:$A$9,MATCH(SUBSTITUTE(SUBSTITUTE(SUBSTITUTE(H1598,"~","~~"),"*","~*"),"?","~?"),Guide!$A$7:$A$9,0))),INDEX(Guide!$B$7:$B$9,MATCH(SUBSTITUTE(SUBSTITUTE(SUBSTITUTE(H1598,"~","~~"),"*","~*"),"?","~?"),Guide!$A$7:$A$9,0)),""),"")</f>
        <v>Home</v>
      </c>
      <c r="J1598" s="1" t="str">
        <f>IF(TRIM(Raw!E1598)="",I1598,IF(UPPER(TRIM(Raw!E1598))=UPPER(I1598),I1598,""))</f>
        <v>Home</v>
      </c>
      <c r="K1598" s="1" t="str">
        <f>IF(Raw!F1598="","",Raw!F1598)</f>
        <v>sale</v>
      </c>
      <c r="L1598" s="1" t="str">
        <f>IF(LEFT(TRIM(Raw!G1598),2)="-$","-"&amp;MID(TRIM(Raw!G1598),3,99),IF(LEFT(TRIM(Raw!G1598),1)="$",MID(TRIM(Raw!G1598),2,99),TRIM(Raw!G1598)))</f>
        <v>340.98</v>
      </c>
      <c r="M1598" s="1">
        <f t="shared" si="195"/>
        <v>340.98</v>
      </c>
      <c r="N1598" s="10">
        <f t="shared" si="196"/>
        <v>34098</v>
      </c>
      <c r="O1598" s="1" t="b">
        <f>IFERROR(IF(ISNUMBER(Raw!G1598),TRUE,OR(EXACT(L1598,TEXT(M1598,"0.00")),EXACT(L1598,TEXT(M1598,"#,##0.00")))),FALSE)</f>
        <v>1</v>
      </c>
      <c r="P1598" s="1" t="str">
        <f>LEN(IF(Raw!A1598="","",Raw!A1598))&amp;":"&amp;IF(Raw!A1598="","",Raw!A1598)&amp;"|"&amp;LEN(IF(Raw!B1598="","",Raw!B1598))&amp;":"&amp;IF(Raw!B1598="","",Raw!B1598)&amp;"|"&amp;LEN(IF(Raw!C1598="","",Raw!C1598))&amp;":"&amp;IF(Raw!C1598="","",Raw!C1598)&amp;"|"&amp;LEN(IF(Raw!D1598="","",Raw!D1598))&amp;":"&amp;IF(Raw!D1598="","",Raw!D1598)&amp;"|"&amp;LEN(IF(Raw!E1598="","",Raw!E1598))&amp;":"&amp;IF(Raw!E1598="","",Raw!E1598)&amp;"|"&amp;LEN(IF(Raw!F1598="","",Raw!F1598))&amp;":"&amp;IF(Raw!F1598="","",Raw!F1598)&amp;"|"&amp;LEN(IF(Raw!G1598="","",Raw!G1598))&amp;":"&amp;IF(Raw!G1598="","",Raw!G1598)</f>
        <v>6:L01592|6:T00796|10:2026-03-17|3:P-H|4:Home|4:sale|6:340.98</v>
      </c>
      <c r="Q1598" s="1">
        <f>1</f>
        <v>1</v>
      </c>
      <c r="R1598" s="1" t="b">
        <f>FALSE</f>
        <v>0</v>
      </c>
      <c r="S1598" s="1">
        <f>1</f>
        <v>1</v>
      </c>
      <c r="T1598" s="1" t="str">
        <f>IF(AND(Raw!A1598="",Raw!B1598="",Raw!C1598="",Raw!D1598="",Raw!E1598="",Raw!F1598="",Raw!G1598=""),"UNUSED",IF(A1598="","missing line ID",IF(B1598="","missing transaction ID",IF(G1598="",IF(C1598="","missing date","invalid date"),IF(I1598="","unknown product",IF(J1598="","conflicting category",IF(NOT(OR(EXACT(K1598,"sale"),EXACT(K1598,"refund"))),"unknown event",IF(OR(N1598="",NOT(O1598)),"invalid amount",IF(OR(AND(K1598="sale",N1598&lt;=0),AND(K1598="refund",N1598&gt;=0)),"invalid sign","")))))))))</f>
        <v/>
      </c>
      <c r="U1598" s="1" t="str">
        <f t="shared" si="197"/>
        <v>INCLUDED</v>
      </c>
      <c r="V1598" s="1" t="str">
        <f t="shared" si="198"/>
        <v>2026-03</v>
      </c>
      <c r="W1598" s="1">
        <f>IF(AND(U1598="INCLUDED",X1598&gt;0,EXACT(A1598,'AI output'!A1598)),1,0)</f>
        <v>1</v>
      </c>
      <c r="X1598" s="1">
        <f>1598</f>
        <v>1598</v>
      </c>
      <c r="Y1598" s="1">
        <f>IF(AND(U1598="INCLUDED",W1598=1),--(NOT(EXACT(A1598,'AI output'!A1598)))+--(NOT(EXACT(B1598,'AI output'!B1598)))+--(NOT(EXACT(TEXT(G1598,"yyyy-mm-dd"),'AI output'!C1598)))+--(NOT(EXACT(H1598,'AI output'!D1598)))+--(NOT(EXACT(J1598,'AI output'!E1598)))+--(NOT(EXACT(K1598,'AI output'!F1598)))+--(N1598&lt;&gt;'AI output'!L1598)+--(NOT('AI output'!M1598)),0)</f>
        <v>0</v>
      </c>
      <c r="Z1598" s="1">
        <f t="shared" si="199"/>
        <v>0</v>
      </c>
      <c r="AA1598" s="1">
        <f>--EXACT(A1598,"L01592")</f>
        <v>1</v>
      </c>
    </row>
    <row r="1599" spans="1:27" ht="18.95" customHeight="1">
      <c r="A1599" s="1" t="str">
        <f>IF(Raw!A1599="","",Raw!A1599)</f>
        <v>L01593</v>
      </c>
      <c r="B1599" s="1" t="str">
        <f>IF(Raw!B1599="","",Raw!B1599)</f>
        <v>T00797</v>
      </c>
      <c r="C1599" s="1" t="str">
        <f>IF(Raw!C1599="","",Raw!C1599)</f>
        <v>2026-03-24</v>
      </c>
      <c r="D1599" s="1">
        <f t="shared" si="192"/>
        <v>2026</v>
      </c>
      <c r="E1599" s="1">
        <f>IFERROR(IF(AND(LEN(C1599)=10,MID(C1599,5,1)="-",MID(C1599,8,1)="-"),VALUE(MID(C1599,6,2)),IF(AND(LEN(C1599)=11,MID(C1599,3,1)="-",MID(C1599,7,1)="-"),MATCH(UPPER(MID(C1599,4,3)),Guide!$D$7:$D$18,0),0)),0)</f>
        <v>3</v>
      </c>
      <c r="F1599" s="1">
        <f t="shared" si="193"/>
        <v>24</v>
      </c>
      <c r="G1599" s="9">
        <f t="shared" si="194"/>
        <v>46105</v>
      </c>
      <c r="H1599" s="1" t="str">
        <f>IF(Raw!D1599="","",Raw!D1599)</f>
        <v>P-O</v>
      </c>
      <c r="I1599" s="1" t="str">
        <f>IFERROR(IF(EXACT(H1599,INDEX(Guide!$A$7:$A$9,MATCH(SUBSTITUTE(SUBSTITUTE(SUBSTITUTE(H1599,"~","~~"),"*","~*"),"?","~?"),Guide!$A$7:$A$9,0))),INDEX(Guide!$B$7:$B$9,MATCH(SUBSTITUTE(SUBSTITUTE(SUBSTITUTE(H1599,"~","~~"),"*","~*"),"?","~?"),Guide!$A$7:$A$9,0)),""),"")</f>
        <v>Office</v>
      </c>
      <c r="J1599" s="1" t="str">
        <f>IF(TRIM(Raw!E1599)="",I1599,IF(UPPER(TRIM(Raw!E1599))=UPPER(I1599),I1599,""))</f>
        <v>Office</v>
      </c>
      <c r="K1599" s="1" t="str">
        <f>IF(Raw!F1599="","",Raw!F1599)</f>
        <v>sale</v>
      </c>
      <c r="L1599" s="1" t="str">
        <f>IF(LEFT(TRIM(Raw!G1599),2)="-$","-"&amp;MID(TRIM(Raw!G1599),3,99),IF(LEFT(TRIM(Raw!G1599),1)="$",MID(TRIM(Raw!G1599),2,99),TRIM(Raw!G1599)))</f>
        <v>570.15</v>
      </c>
      <c r="M1599" s="1">
        <f t="shared" si="195"/>
        <v>570.15</v>
      </c>
      <c r="N1599" s="10">
        <f t="shared" si="196"/>
        <v>57015</v>
      </c>
      <c r="O1599" s="1" t="b">
        <f>IFERROR(IF(ISNUMBER(Raw!G1599),TRUE,OR(EXACT(L1599,TEXT(M1599,"0.00")),EXACT(L1599,TEXT(M1599,"#,##0.00")))),FALSE)</f>
        <v>1</v>
      </c>
      <c r="P1599" s="1" t="str">
        <f>LEN(IF(Raw!A1599="","",Raw!A1599))&amp;":"&amp;IF(Raw!A1599="","",Raw!A1599)&amp;"|"&amp;LEN(IF(Raw!B1599="","",Raw!B1599))&amp;":"&amp;IF(Raw!B1599="","",Raw!B1599)&amp;"|"&amp;LEN(IF(Raw!C1599="","",Raw!C1599))&amp;":"&amp;IF(Raw!C1599="","",Raw!C1599)&amp;"|"&amp;LEN(IF(Raw!D1599="","",Raw!D1599))&amp;":"&amp;IF(Raw!D1599="","",Raw!D1599)&amp;"|"&amp;LEN(IF(Raw!E1599="","",Raw!E1599))&amp;":"&amp;IF(Raw!E1599="","",Raw!E1599)&amp;"|"&amp;LEN(IF(Raw!F1599="","",Raw!F1599))&amp;":"&amp;IF(Raw!F1599="","",Raw!F1599)&amp;"|"&amp;LEN(IF(Raw!G1599="","",Raw!G1599))&amp;":"&amp;IF(Raw!G1599="","",Raw!G1599)</f>
        <v>6:L01593|6:T00797|10:2026-03-24|3:P-O|6:Office|4:sale|6:570.15</v>
      </c>
      <c r="Q1599" s="1">
        <f>1</f>
        <v>1</v>
      </c>
      <c r="R1599" s="1" t="b">
        <f>FALSE</f>
        <v>0</v>
      </c>
      <c r="S1599" s="1">
        <f>1</f>
        <v>1</v>
      </c>
      <c r="T1599" s="1" t="str">
        <f>IF(AND(Raw!A1599="",Raw!B1599="",Raw!C1599="",Raw!D1599="",Raw!E1599="",Raw!F1599="",Raw!G1599=""),"UNUSED",IF(A1599="","missing line ID",IF(B1599="","missing transaction ID",IF(G1599="",IF(C1599="","missing date","invalid date"),IF(I1599="","unknown product",IF(J1599="","conflicting category",IF(NOT(OR(EXACT(K1599,"sale"),EXACT(K1599,"refund"))),"unknown event",IF(OR(N1599="",NOT(O1599)),"invalid amount",IF(OR(AND(K1599="sale",N1599&lt;=0),AND(K1599="refund",N1599&gt;=0)),"invalid sign","")))))))))</f>
        <v/>
      </c>
      <c r="U1599" s="1" t="str">
        <f t="shared" si="197"/>
        <v>INCLUDED</v>
      </c>
      <c r="V1599" s="1" t="str">
        <f t="shared" si="198"/>
        <v>2026-03</v>
      </c>
      <c r="W1599" s="1">
        <f>IF(AND(U1599="INCLUDED",X1599&gt;0,EXACT(A1599,'AI output'!A1599)),1,0)</f>
        <v>1</v>
      </c>
      <c r="X1599" s="1">
        <f>1599</f>
        <v>1599</v>
      </c>
      <c r="Y1599" s="1">
        <f>IF(AND(U1599="INCLUDED",W1599=1),--(NOT(EXACT(A1599,'AI output'!A1599)))+--(NOT(EXACT(B1599,'AI output'!B1599)))+--(NOT(EXACT(TEXT(G1599,"yyyy-mm-dd"),'AI output'!C1599)))+--(NOT(EXACT(H1599,'AI output'!D1599)))+--(NOT(EXACT(J1599,'AI output'!E1599)))+--(NOT(EXACT(K1599,'AI output'!F1599)))+--(N1599&lt;&gt;'AI output'!L1599)+--(NOT('AI output'!M1599)),0)</f>
        <v>0</v>
      </c>
      <c r="Z1599" s="1">
        <f t="shared" si="199"/>
        <v>0</v>
      </c>
      <c r="AA1599" s="1">
        <f>--EXACT(A1599,"L01593")</f>
        <v>1</v>
      </c>
    </row>
    <row r="1600" spans="1:27" ht="18.95" customHeight="1">
      <c r="A1600" s="1" t="str">
        <f>IF(Raw!A1600="","",Raw!A1600)</f>
        <v>L01594</v>
      </c>
      <c r="B1600" s="1" t="str">
        <f>IF(Raw!B1600="","",Raw!B1600)</f>
        <v>T00797</v>
      </c>
      <c r="C1600" s="1" t="str">
        <f>IF(Raw!C1600="","",Raw!C1600)</f>
        <v>2026-03-24</v>
      </c>
      <c r="D1600" s="1">
        <f t="shared" si="192"/>
        <v>2026</v>
      </c>
      <c r="E1600" s="1">
        <f>IFERROR(IF(AND(LEN(C1600)=10,MID(C1600,5,1)="-",MID(C1600,8,1)="-"),VALUE(MID(C1600,6,2)),IF(AND(LEN(C1600)=11,MID(C1600,3,1)="-",MID(C1600,7,1)="-"),MATCH(UPPER(MID(C1600,4,3)),Guide!$D$7:$D$18,0),0)),0)</f>
        <v>3</v>
      </c>
      <c r="F1600" s="1">
        <f t="shared" si="193"/>
        <v>24</v>
      </c>
      <c r="G1600" s="9">
        <f t="shared" si="194"/>
        <v>46105</v>
      </c>
      <c r="H1600" s="1" t="str">
        <f>IF(Raw!D1600="","",Raw!D1600)</f>
        <v>P-A</v>
      </c>
      <c r="I1600" s="1" t="str">
        <f>IFERROR(IF(EXACT(H1600,INDEX(Guide!$A$7:$A$9,MATCH(SUBSTITUTE(SUBSTITUTE(SUBSTITUTE(H1600,"~","~~"),"*","~*"),"?","~?"),Guide!$A$7:$A$9,0))),INDEX(Guide!$B$7:$B$9,MATCH(SUBSTITUTE(SUBSTITUTE(SUBSTITUTE(H1600,"~","~~"),"*","~*"),"?","~?"),Guide!$A$7:$A$9,0)),""),"")</f>
        <v>Accessories</v>
      </c>
      <c r="J1600" s="1" t="str">
        <f>IF(TRIM(Raw!E1600)="",I1600,IF(UPPER(TRIM(Raw!E1600))=UPPER(I1600),I1600,""))</f>
        <v>Accessories</v>
      </c>
      <c r="K1600" s="1" t="str">
        <f>IF(Raw!F1600="","",Raw!F1600)</f>
        <v>sale</v>
      </c>
      <c r="L1600" s="1" t="str">
        <f>IF(LEFT(TRIM(Raw!G1600),2)="-$","-"&amp;MID(TRIM(Raw!G1600),3,99),IF(LEFT(TRIM(Raw!G1600),1)="$",MID(TRIM(Raw!G1600),2,99),TRIM(Raw!G1600)))</f>
        <v>228.80</v>
      </c>
      <c r="M1600" s="1">
        <f t="shared" si="195"/>
        <v>228.8</v>
      </c>
      <c r="N1600" s="10">
        <f t="shared" si="196"/>
        <v>22880</v>
      </c>
      <c r="O1600" s="1" t="b">
        <f>IFERROR(IF(ISNUMBER(Raw!G1600),TRUE,OR(EXACT(L1600,TEXT(M1600,"0.00")),EXACT(L1600,TEXT(M1600,"#,##0.00")))),FALSE)</f>
        <v>1</v>
      </c>
      <c r="P1600" s="1" t="str">
        <f>LEN(IF(Raw!A1600="","",Raw!A1600))&amp;":"&amp;IF(Raw!A1600="","",Raw!A1600)&amp;"|"&amp;LEN(IF(Raw!B1600="","",Raw!B1600))&amp;":"&amp;IF(Raw!B1600="","",Raw!B1600)&amp;"|"&amp;LEN(IF(Raw!C1600="","",Raw!C1600))&amp;":"&amp;IF(Raw!C1600="","",Raw!C1600)&amp;"|"&amp;LEN(IF(Raw!D1600="","",Raw!D1600))&amp;":"&amp;IF(Raw!D1600="","",Raw!D1600)&amp;"|"&amp;LEN(IF(Raw!E1600="","",Raw!E1600))&amp;":"&amp;IF(Raw!E1600="","",Raw!E1600)&amp;"|"&amp;LEN(IF(Raw!F1600="","",Raw!F1600))&amp;":"&amp;IF(Raw!F1600="","",Raw!F1600)&amp;"|"&amp;LEN(IF(Raw!G1600="","",Raw!G1600))&amp;":"&amp;IF(Raw!G1600="","",Raw!G1600)</f>
        <v>6:L01594|6:T00797|10:2026-03-24|3:P-A|11:Accessories|4:sale|6:228.80</v>
      </c>
      <c r="Q1600" s="1">
        <f>1</f>
        <v>1</v>
      </c>
      <c r="R1600" s="1" t="b">
        <f>FALSE</f>
        <v>0</v>
      </c>
      <c r="S1600" s="1">
        <f>1</f>
        <v>1</v>
      </c>
      <c r="T1600" s="1" t="str">
        <f>IF(AND(Raw!A1600="",Raw!B1600="",Raw!C1600="",Raw!D1600="",Raw!E1600="",Raw!F1600="",Raw!G1600=""),"UNUSED",IF(A1600="","missing line ID",IF(B1600="","missing transaction ID",IF(G1600="",IF(C1600="","missing date","invalid date"),IF(I1600="","unknown product",IF(J1600="","conflicting category",IF(NOT(OR(EXACT(K1600,"sale"),EXACT(K1600,"refund"))),"unknown event",IF(OR(N1600="",NOT(O1600)),"invalid amount",IF(OR(AND(K1600="sale",N1600&lt;=0),AND(K1600="refund",N1600&gt;=0)),"invalid sign","")))))))))</f>
        <v/>
      </c>
      <c r="U1600" s="1" t="str">
        <f t="shared" si="197"/>
        <v>INCLUDED</v>
      </c>
      <c r="V1600" s="1" t="str">
        <f t="shared" si="198"/>
        <v>2026-03</v>
      </c>
      <c r="W1600" s="1">
        <f>IF(AND(U1600="INCLUDED",X1600&gt;0,EXACT(A1600,'AI output'!A1600)),1,0)</f>
        <v>1</v>
      </c>
      <c r="X1600" s="1">
        <f>1600</f>
        <v>1600</v>
      </c>
      <c r="Y1600" s="1">
        <f>IF(AND(U1600="INCLUDED",W1600=1),--(NOT(EXACT(A1600,'AI output'!A1600)))+--(NOT(EXACT(B1600,'AI output'!B1600)))+--(NOT(EXACT(TEXT(G1600,"yyyy-mm-dd"),'AI output'!C1600)))+--(NOT(EXACT(H1600,'AI output'!D1600)))+--(NOT(EXACT(J1600,'AI output'!E1600)))+--(NOT(EXACT(K1600,'AI output'!F1600)))+--(N1600&lt;&gt;'AI output'!L1600)+--(NOT('AI output'!M1600)),0)</f>
        <v>0</v>
      </c>
      <c r="Z1600" s="1">
        <f t="shared" si="199"/>
        <v>0</v>
      </c>
      <c r="AA1600" s="1">
        <f>--EXACT(A1600,"L01594")</f>
        <v>1</v>
      </c>
    </row>
    <row r="1601" spans="1:27" ht="18.95" customHeight="1">
      <c r="A1601" s="1" t="str">
        <f>IF(Raw!A1601="","",Raw!A1601)</f>
        <v>L01595</v>
      </c>
      <c r="B1601" s="1" t="str">
        <f>IF(Raw!B1601="","",Raw!B1601)</f>
        <v>T00798</v>
      </c>
      <c r="C1601" s="1" t="str">
        <f>IF(Raw!C1601="","",Raw!C1601)</f>
        <v>2026-03-31</v>
      </c>
      <c r="D1601" s="1">
        <f t="shared" si="192"/>
        <v>2026</v>
      </c>
      <c r="E1601" s="1">
        <f>IFERROR(IF(AND(LEN(C1601)=10,MID(C1601,5,1)="-",MID(C1601,8,1)="-"),VALUE(MID(C1601,6,2)),IF(AND(LEN(C1601)=11,MID(C1601,3,1)="-",MID(C1601,7,1)="-"),MATCH(UPPER(MID(C1601,4,3)),Guide!$D$7:$D$18,0),0)),0)</f>
        <v>3</v>
      </c>
      <c r="F1601" s="1">
        <f t="shared" si="193"/>
        <v>31</v>
      </c>
      <c r="G1601" s="9">
        <f t="shared" si="194"/>
        <v>46112</v>
      </c>
      <c r="H1601" s="1" t="str">
        <f>IF(Raw!D1601="","",Raw!D1601)</f>
        <v>P-H</v>
      </c>
      <c r="I1601" s="1" t="str">
        <f>IFERROR(IF(EXACT(H1601,INDEX(Guide!$A$7:$A$9,MATCH(SUBSTITUTE(SUBSTITUTE(SUBSTITUTE(H1601,"~","~~"),"*","~*"),"?","~?"),Guide!$A$7:$A$9,0))),INDEX(Guide!$B$7:$B$9,MATCH(SUBSTITUTE(SUBSTITUTE(SUBSTITUTE(H1601,"~","~~"),"*","~*"),"?","~?"),Guide!$A$7:$A$9,0)),""),"")</f>
        <v>Home</v>
      </c>
      <c r="J1601" s="1" t="str">
        <f>IF(TRIM(Raw!E1601)="",I1601,IF(UPPER(TRIM(Raw!E1601))=UPPER(I1601),I1601,""))</f>
        <v>Home</v>
      </c>
      <c r="K1601" s="1" t="str">
        <f>IF(Raw!F1601="","",Raw!F1601)</f>
        <v>sale</v>
      </c>
      <c r="L1601" s="1" t="str">
        <f>IF(LEFT(TRIM(Raw!G1601),2)="-$","-"&amp;MID(TRIM(Raw!G1601),3,99),IF(LEFT(TRIM(Raw!G1601),1)="$",MID(TRIM(Raw!G1601),2,99),TRIM(Raw!G1601)))</f>
        <v>459.08</v>
      </c>
      <c r="M1601" s="1">
        <f t="shared" si="195"/>
        <v>459.08</v>
      </c>
      <c r="N1601" s="10">
        <f t="shared" si="196"/>
        <v>45908</v>
      </c>
      <c r="O1601" s="1" t="b">
        <f>IFERROR(IF(ISNUMBER(Raw!G1601),TRUE,OR(EXACT(L1601,TEXT(M1601,"0.00")),EXACT(L1601,TEXT(M1601,"#,##0.00")))),FALSE)</f>
        <v>1</v>
      </c>
      <c r="P1601" s="1" t="str">
        <f>LEN(IF(Raw!A1601="","",Raw!A1601))&amp;":"&amp;IF(Raw!A1601="","",Raw!A1601)&amp;"|"&amp;LEN(IF(Raw!B1601="","",Raw!B1601))&amp;":"&amp;IF(Raw!B1601="","",Raw!B1601)&amp;"|"&amp;LEN(IF(Raw!C1601="","",Raw!C1601))&amp;":"&amp;IF(Raw!C1601="","",Raw!C1601)&amp;"|"&amp;LEN(IF(Raw!D1601="","",Raw!D1601))&amp;":"&amp;IF(Raw!D1601="","",Raw!D1601)&amp;"|"&amp;LEN(IF(Raw!E1601="","",Raw!E1601))&amp;":"&amp;IF(Raw!E1601="","",Raw!E1601)&amp;"|"&amp;LEN(IF(Raw!F1601="","",Raw!F1601))&amp;":"&amp;IF(Raw!F1601="","",Raw!F1601)&amp;"|"&amp;LEN(IF(Raw!G1601="","",Raw!G1601))&amp;":"&amp;IF(Raw!G1601="","",Raw!G1601)</f>
        <v>6:L01595|6:T00798|10:2026-03-31|3:P-H|4:Home|4:sale|6:459.08</v>
      </c>
      <c r="Q1601" s="1">
        <f>1</f>
        <v>1</v>
      </c>
      <c r="R1601" s="1" t="b">
        <f>FALSE</f>
        <v>0</v>
      </c>
      <c r="S1601" s="1">
        <f>1</f>
        <v>1</v>
      </c>
      <c r="T1601" s="1" t="str">
        <f>IF(AND(Raw!A1601="",Raw!B1601="",Raw!C1601="",Raw!D1601="",Raw!E1601="",Raw!F1601="",Raw!G1601=""),"UNUSED",IF(A1601="","missing line ID",IF(B1601="","missing transaction ID",IF(G1601="",IF(C1601="","missing date","invalid date"),IF(I1601="","unknown product",IF(J1601="","conflicting category",IF(NOT(OR(EXACT(K1601,"sale"),EXACT(K1601,"refund"))),"unknown event",IF(OR(N1601="",NOT(O1601)),"invalid amount",IF(OR(AND(K1601="sale",N1601&lt;=0),AND(K1601="refund",N1601&gt;=0)),"invalid sign","")))))))))</f>
        <v/>
      </c>
      <c r="U1601" s="1" t="str">
        <f t="shared" si="197"/>
        <v>INCLUDED</v>
      </c>
      <c r="V1601" s="1" t="str">
        <f t="shared" si="198"/>
        <v>2026-03</v>
      </c>
      <c r="W1601" s="1">
        <f>IF(AND(U1601="INCLUDED",X1601&gt;0,EXACT(A1601,'AI output'!A1601)),1,0)</f>
        <v>1</v>
      </c>
      <c r="X1601" s="1">
        <f>1601</f>
        <v>1601</v>
      </c>
      <c r="Y1601" s="1">
        <f>IF(AND(U1601="INCLUDED",W1601=1),--(NOT(EXACT(A1601,'AI output'!A1601)))+--(NOT(EXACT(B1601,'AI output'!B1601)))+--(NOT(EXACT(TEXT(G1601,"yyyy-mm-dd"),'AI output'!C1601)))+--(NOT(EXACT(H1601,'AI output'!D1601)))+--(NOT(EXACT(J1601,'AI output'!E1601)))+--(NOT(EXACT(K1601,'AI output'!F1601)))+--(N1601&lt;&gt;'AI output'!L1601)+--(NOT('AI output'!M1601)),0)</f>
        <v>0</v>
      </c>
      <c r="Z1601" s="1">
        <f t="shared" si="199"/>
        <v>0</v>
      </c>
      <c r="AA1601" s="1">
        <f>--EXACT(A1601,"L01595")</f>
        <v>1</v>
      </c>
    </row>
    <row r="1602" spans="1:27" ht="18.95" customHeight="1">
      <c r="A1602" s="1" t="str">
        <f>IF(Raw!A1602="","",Raw!A1602)</f>
        <v>L01596</v>
      </c>
      <c r="B1602" s="1" t="str">
        <f>IF(Raw!B1602="","",Raw!B1602)</f>
        <v>T00798</v>
      </c>
      <c r="C1602" s="1" t="str">
        <f>IF(Raw!C1602="","",Raw!C1602)</f>
        <v>2026-03-31</v>
      </c>
      <c r="D1602" s="1">
        <f t="shared" si="192"/>
        <v>2026</v>
      </c>
      <c r="E1602" s="1">
        <f>IFERROR(IF(AND(LEN(C1602)=10,MID(C1602,5,1)="-",MID(C1602,8,1)="-"),VALUE(MID(C1602,6,2)),IF(AND(LEN(C1602)=11,MID(C1602,3,1)="-",MID(C1602,7,1)="-"),MATCH(UPPER(MID(C1602,4,3)),Guide!$D$7:$D$18,0),0)),0)</f>
        <v>3</v>
      </c>
      <c r="F1602" s="1">
        <f t="shared" si="193"/>
        <v>31</v>
      </c>
      <c r="G1602" s="9">
        <f t="shared" si="194"/>
        <v>46112</v>
      </c>
      <c r="H1602" s="1" t="str">
        <f>IF(Raw!D1602="","",Raw!D1602)</f>
        <v>P-O</v>
      </c>
      <c r="I1602" s="1" t="str">
        <f>IFERROR(IF(EXACT(H1602,INDEX(Guide!$A$7:$A$9,MATCH(SUBSTITUTE(SUBSTITUTE(SUBSTITUTE(H1602,"~","~~"),"*","~*"),"?","~?"),Guide!$A$7:$A$9,0))),INDEX(Guide!$B$7:$B$9,MATCH(SUBSTITUTE(SUBSTITUTE(SUBSTITUTE(H1602,"~","~~"),"*","~*"),"?","~?"),Guide!$A$7:$A$9,0)),""),"")</f>
        <v>Office</v>
      </c>
      <c r="J1602" s="1" t="str">
        <f>IF(TRIM(Raw!E1602)="",I1602,IF(UPPER(TRIM(Raw!E1602))=UPPER(I1602),I1602,""))</f>
        <v>Office</v>
      </c>
      <c r="K1602" s="1" t="str">
        <f>IF(Raw!F1602="","",Raw!F1602)</f>
        <v>sale</v>
      </c>
      <c r="L1602" s="1" t="str">
        <f>IF(LEFT(TRIM(Raw!G1602),2)="-$","-"&amp;MID(TRIM(Raw!G1602),3,99),IF(LEFT(TRIM(Raw!G1602),1)="$",MID(TRIM(Raw!G1602),2,99),TRIM(Raw!G1602)))</f>
        <v>115.14</v>
      </c>
      <c r="M1602" s="1">
        <f t="shared" si="195"/>
        <v>115.14</v>
      </c>
      <c r="N1602" s="10">
        <f t="shared" si="196"/>
        <v>11514</v>
      </c>
      <c r="O1602" s="1" t="b">
        <f>IFERROR(IF(ISNUMBER(Raw!G1602),TRUE,OR(EXACT(L1602,TEXT(M1602,"0.00")),EXACT(L1602,TEXT(M1602,"#,##0.00")))),FALSE)</f>
        <v>1</v>
      </c>
      <c r="P1602" s="1" t="str">
        <f>LEN(IF(Raw!A1602="","",Raw!A1602))&amp;":"&amp;IF(Raw!A1602="","",Raw!A1602)&amp;"|"&amp;LEN(IF(Raw!B1602="","",Raw!B1602))&amp;":"&amp;IF(Raw!B1602="","",Raw!B1602)&amp;"|"&amp;LEN(IF(Raw!C1602="","",Raw!C1602))&amp;":"&amp;IF(Raw!C1602="","",Raw!C1602)&amp;"|"&amp;LEN(IF(Raw!D1602="","",Raw!D1602))&amp;":"&amp;IF(Raw!D1602="","",Raw!D1602)&amp;"|"&amp;LEN(IF(Raw!E1602="","",Raw!E1602))&amp;":"&amp;IF(Raw!E1602="","",Raw!E1602)&amp;"|"&amp;LEN(IF(Raw!F1602="","",Raw!F1602))&amp;":"&amp;IF(Raw!F1602="","",Raw!F1602)&amp;"|"&amp;LEN(IF(Raw!G1602="","",Raw!G1602))&amp;":"&amp;IF(Raw!G1602="","",Raw!G1602)</f>
        <v>6:L01596|6:T00798|10:2026-03-31|3:P-O|6:Office|4:sale|6:115.14</v>
      </c>
      <c r="Q1602" s="1">
        <f>1</f>
        <v>1</v>
      </c>
      <c r="R1602" s="1" t="b">
        <f>FALSE</f>
        <v>0</v>
      </c>
      <c r="S1602" s="1">
        <f>1</f>
        <v>1</v>
      </c>
      <c r="T1602" s="1" t="str">
        <f>IF(AND(Raw!A1602="",Raw!B1602="",Raw!C1602="",Raw!D1602="",Raw!E1602="",Raw!F1602="",Raw!G1602=""),"UNUSED",IF(A1602="","missing line ID",IF(B1602="","missing transaction ID",IF(G1602="",IF(C1602="","missing date","invalid date"),IF(I1602="","unknown product",IF(J1602="","conflicting category",IF(NOT(OR(EXACT(K1602,"sale"),EXACT(K1602,"refund"))),"unknown event",IF(OR(N1602="",NOT(O1602)),"invalid amount",IF(OR(AND(K1602="sale",N1602&lt;=0),AND(K1602="refund",N1602&gt;=0)),"invalid sign","")))))))))</f>
        <v/>
      </c>
      <c r="U1602" s="1" t="str">
        <f t="shared" si="197"/>
        <v>INCLUDED</v>
      </c>
      <c r="V1602" s="1" t="str">
        <f t="shared" si="198"/>
        <v>2026-03</v>
      </c>
      <c r="W1602" s="1">
        <f>IF(AND(U1602="INCLUDED",X1602&gt;0,EXACT(A1602,'AI output'!A1602)),1,0)</f>
        <v>1</v>
      </c>
      <c r="X1602" s="1">
        <f>1602</f>
        <v>1602</v>
      </c>
      <c r="Y1602" s="1">
        <f>IF(AND(U1602="INCLUDED",W1602=1),--(NOT(EXACT(A1602,'AI output'!A1602)))+--(NOT(EXACT(B1602,'AI output'!B1602)))+--(NOT(EXACT(TEXT(G1602,"yyyy-mm-dd"),'AI output'!C1602)))+--(NOT(EXACT(H1602,'AI output'!D1602)))+--(NOT(EXACT(J1602,'AI output'!E1602)))+--(NOT(EXACT(K1602,'AI output'!F1602)))+--(N1602&lt;&gt;'AI output'!L1602)+--(NOT('AI output'!M1602)),0)</f>
        <v>0</v>
      </c>
      <c r="Z1602" s="1">
        <f t="shared" si="199"/>
        <v>0</v>
      </c>
      <c r="AA1602" s="1">
        <f>--EXACT(A1602,"L01596")</f>
        <v>1</v>
      </c>
    </row>
    <row r="1603" spans="1:27" ht="18.95" customHeight="1">
      <c r="A1603" s="1" t="str">
        <f>IF(Raw!A1603="","",Raw!A1603)</f>
        <v>L01597</v>
      </c>
      <c r="B1603" s="1" t="str">
        <f>IF(Raw!B1603="","",Raw!B1603)</f>
        <v>T00799</v>
      </c>
      <c r="C1603" s="1" t="str">
        <f>IF(Raw!C1603="","",Raw!C1603)</f>
        <v>2026-01-07</v>
      </c>
      <c r="D1603" s="1">
        <f t="shared" si="192"/>
        <v>2026</v>
      </c>
      <c r="E1603" s="1">
        <f>IFERROR(IF(AND(LEN(C1603)=10,MID(C1603,5,1)="-",MID(C1603,8,1)="-"),VALUE(MID(C1603,6,2)),IF(AND(LEN(C1603)=11,MID(C1603,3,1)="-",MID(C1603,7,1)="-"),MATCH(UPPER(MID(C1603,4,3)),Guide!$D$7:$D$18,0),0)),0)</f>
        <v>1</v>
      </c>
      <c r="F1603" s="1">
        <f t="shared" si="193"/>
        <v>7</v>
      </c>
      <c r="G1603" s="9">
        <f t="shared" si="194"/>
        <v>46029</v>
      </c>
      <c r="H1603" s="1" t="str">
        <f>IF(Raw!D1603="","",Raw!D1603)</f>
        <v>P-A</v>
      </c>
      <c r="I1603" s="1" t="str">
        <f>IFERROR(IF(EXACT(H1603,INDEX(Guide!$A$7:$A$9,MATCH(SUBSTITUTE(SUBSTITUTE(SUBSTITUTE(H1603,"~","~~"),"*","~*"),"?","~?"),Guide!$A$7:$A$9,0))),INDEX(Guide!$B$7:$B$9,MATCH(SUBSTITUTE(SUBSTITUTE(SUBSTITUTE(H1603,"~","~~"),"*","~*"),"?","~?"),Guide!$A$7:$A$9,0)),""),"")</f>
        <v>Accessories</v>
      </c>
      <c r="J1603" s="1" t="str">
        <f>IF(TRIM(Raw!E1603)="",I1603,IF(UPPER(TRIM(Raw!E1603))=UPPER(I1603),I1603,""))</f>
        <v>Accessories</v>
      </c>
      <c r="K1603" s="1" t="str">
        <f>IF(Raw!F1603="","",Raw!F1603)</f>
        <v>sale</v>
      </c>
      <c r="L1603" s="1" t="str">
        <f>IF(LEFT(TRIM(Raw!G1603),2)="-$","-"&amp;MID(TRIM(Raw!G1603),3,99),IF(LEFT(TRIM(Raw!G1603),1)="$",MID(TRIM(Raw!G1603),2,99),TRIM(Raw!G1603)))</f>
        <v>346.53</v>
      </c>
      <c r="M1603" s="1">
        <f t="shared" si="195"/>
        <v>346.53</v>
      </c>
      <c r="N1603" s="10">
        <f t="shared" si="196"/>
        <v>34653</v>
      </c>
      <c r="O1603" s="1" t="b">
        <f>IFERROR(IF(ISNUMBER(Raw!G1603),TRUE,OR(EXACT(L1603,TEXT(M1603,"0.00")),EXACT(L1603,TEXT(M1603,"#,##0.00")))),FALSE)</f>
        <v>1</v>
      </c>
      <c r="P1603" s="1" t="str">
        <f>LEN(IF(Raw!A1603="","",Raw!A1603))&amp;":"&amp;IF(Raw!A1603="","",Raw!A1603)&amp;"|"&amp;LEN(IF(Raw!B1603="","",Raw!B1603))&amp;":"&amp;IF(Raw!B1603="","",Raw!B1603)&amp;"|"&amp;LEN(IF(Raw!C1603="","",Raw!C1603))&amp;":"&amp;IF(Raw!C1603="","",Raw!C1603)&amp;"|"&amp;LEN(IF(Raw!D1603="","",Raw!D1603))&amp;":"&amp;IF(Raw!D1603="","",Raw!D1603)&amp;"|"&amp;LEN(IF(Raw!E1603="","",Raw!E1603))&amp;":"&amp;IF(Raw!E1603="","",Raw!E1603)&amp;"|"&amp;LEN(IF(Raw!F1603="","",Raw!F1603))&amp;":"&amp;IF(Raw!F1603="","",Raw!F1603)&amp;"|"&amp;LEN(IF(Raw!G1603="","",Raw!G1603))&amp;":"&amp;IF(Raw!G1603="","",Raw!G1603)</f>
        <v>6:L01597|6:T00799|10:2026-01-07|3:P-A|11:Accessories|4:sale|6:346.53</v>
      </c>
      <c r="Q1603" s="1">
        <f>1</f>
        <v>1</v>
      </c>
      <c r="R1603" s="1" t="b">
        <f>FALSE</f>
        <v>0</v>
      </c>
      <c r="S1603" s="1">
        <f>1</f>
        <v>1</v>
      </c>
      <c r="T1603" s="1" t="str">
        <f>IF(AND(Raw!A1603="",Raw!B1603="",Raw!C1603="",Raw!D1603="",Raw!E1603="",Raw!F1603="",Raw!G1603=""),"UNUSED",IF(A1603="","missing line ID",IF(B1603="","missing transaction ID",IF(G1603="",IF(C1603="","missing date","invalid date"),IF(I1603="","unknown product",IF(J1603="","conflicting category",IF(NOT(OR(EXACT(K1603,"sale"),EXACT(K1603,"refund"))),"unknown event",IF(OR(N1603="",NOT(O1603)),"invalid amount",IF(OR(AND(K1603="sale",N1603&lt;=0),AND(K1603="refund",N1603&gt;=0)),"invalid sign","")))))))))</f>
        <v/>
      </c>
      <c r="U1603" s="1" t="str">
        <f t="shared" si="197"/>
        <v>INCLUDED</v>
      </c>
      <c r="V1603" s="1" t="str">
        <f t="shared" si="198"/>
        <v>2026-01</v>
      </c>
      <c r="W1603" s="1">
        <f>IF(AND(U1603="INCLUDED",X1603&gt;0,EXACT(A1603,'AI output'!A1603)),1,0)</f>
        <v>1</v>
      </c>
      <c r="X1603" s="1">
        <f>1603</f>
        <v>1603</v>
      </c>
      <c r="Y1603" s="1">
        <f>IF(AND(U1603="INCLUDED",W1603=1),--(NOT(EXACT(A1603,'AI output'!A1603)))+--(NOT(EXACT(B1603,'AI output'!B1603)))+--(NOT(EXACT(TEXT(G1603,"yyyy-mm-dd"),'AI output'!C1603)))+--(NOT(EXACT(H1603,'AI output'!D1603)))+--(NOT(EXACT(J1603,'AI output'!E1603)))+--(NOT(EXACT(K1603,'AI output'!F1603)))+--(N1603&lt;&gt;'AI output'!L1603)+--(NOT('AI output'!M1603)),0)</f>
        <v>0</v>
      </c>
      <c r="Z1603" s="1">
        <f t="shared" si="199"/>
        <v>0</v>
      </c>
      <c r="AA1603" s="1">
        <f>--EXACT(A1603,"L01597")</f>
        <v>1</v>
      </c>
    </row>
    <row r="1604" spans="1:27" ht="18.95" customHeight="1">
      <c r="A1604" s="1" t="str">
        <f>IF(Raw!A1604="","",Raw!A1604)</f>
        <v>L01598</v>
      </c>
      <c r="B1604" s="1" t="str">
        <f>IF(Raw!B1604="","",Raw!B1604)</f>
        <v>T00799</v>
      </c>
      <c r="C1604" s="1" t="str">
        <f>IF(Raw!C1604="","",Raw!C1604)</f>
        <v>2026-01-07</v>
      </c>
      <c r="D1604" s="1">
        <f t="shared" si="192"/>
        <v>2026</v>
      </c>
      <c r="E1604" s="1">
        <f>IFERROR(IF(AND(LEN(C1604)=10,MID(C1604,5,1)="-",MID(C1604,8,1)="-"),VALUE(MID(C1604,6,2)),IF(AND(LEN(C1604)=11,MID(C1604,3,1)="-",MID(C1604,7,1)="-"),MATCH(UPPER(MID(C1604,4,3)),Guide!$D$7:$D$18,0),0)),0)</f>
        <v>1</v>
      </c>
      <c r="F1604" s="1">
        <f t="shared" si="193"/>
        <v>7</v>
      </c>
      <c r="G1604" s="9">
        <f t="shared" si="194"/>
        <v>46029</v>
      </c>
      <c r="H1604" s="1" t="str">
        <f>IF(Raw!D1604="","",Raw!D1604)</f>
        <v>P-H</v>
      </c>
      <c r="I1604" s="1" t="str">
        <f>IFERROR(IF(EXACT(H1604,INDEX(Guide!$A$7:$A$9,MATCH(SUBSTITUTE(SUBSTITUTE(SUBSTITUTE(H1604,"~","~~"),"*","~*"),"?","~?"),Guide!$A$7:$A$9,0))),INDEX(Guide!$B$7:$B$9,MATCH(SUBSTITUTE(SUBSTITUTE(SUBSTITUTE(H1604,"~","~~"),"*","~*"),"?","~?"),Guide!$A$7:$A$9,0)),""),"")</f>
        <v>Home</v>
      </c>
      <c r="J1604" s="1" t="str">
        <f>IF(TRIM(Raw!E1604)="",I1604,IF(UPPER(TRIM(Raw!E1604))=UPPER(I1604),I1604,""))</f>
        <v>Home</v>
      </c>
      <c r="K1604" s="1" t="str">
        <f>IF(Raw!F1604="","",Raw!F1604)</f>
        <v>sale</v>
      </c>
      <c r="L1604" s="1" t="str">
        <f>IF(LEFT(TRIM(Raw!G1604),2)="-$","-"&amp;MID(TRIM(Raw!G1604),3,99),IF(LEFT(TRIM(Raw!G1604),1)="$",MID(TRIM(Raw!G1604),2,99),TRIM(Raw!G1604)))</f>
        <v>579.40</v>
      </c>
      <c r="M1604" s="1">
        <f t="shared" si="195"/>
        <v>579.4</v>
      </c>
      <c r="N1604" s="10">
        <f t="shared" si="196"/>
        <v>57940</v>
      </c>
      <c r="O1604" s="1" t="b">
        <f>IFERROR(IF(ISNUMBER(Raw!G1604),TRUE,OR(EXACT(L1604,TEXT(M1604,"0.00")),EXACT(L1604,TEXT(M1604,"#,##0.00")))),FALSE)</f>
        <v>1</v>
      </c>
      <c r="P1604" s="1" t="str">
        <f>LEN(IF(Raw!A1604="","",Raw!A1604))&amp;":"&amp;IF(Raw!A1604="","",Raw!A1604)&amp;"|"&amp;LEN(IF(Raw!B1604="","",Raw!B1604))&amp;":"&amp;IF(Raw!B1604="","",Raw!B1604)&amp;"|"&amp;LEN(IF(Raw!C1604="","",Raw!C1604))&amp;":"&amp;IF(Raw!C1604="","",Raw!C1604)&amp;"|"&amp;LEN(IF(Raw!D1604="","",Raw!D1604))&amp;":"&amp;IF(Raw!D1604="","",Raw!D1604)&amp;"|"&amp;LEN(IF(Raw!E1604="","",Raw!E1604))&amp;":"&amp;IF(Raw!E1604="","",Raw!E1604)&amp;"|"&amp;LEN(IF(Raw!F1604="","",Raw!F1604))&amp;":"&amp;IF(Raw!F1604="","",Raw!F1604)&amp;"|"&amp;LEN(IF(Raw!G1604="","",Raw!G1604))&amp;":"&amp;IF(Raw!G1604="","",Raw!G1604)</f>
        <v>6:L01598|6:T00799|10:2026-01-07|3:P-H|4:Home|4:sale|6:579.40</v>
      </c>
      <c r="Q1604" s="1">
        <f>1</f>
        <v>1</v>
      </c>
      <c r="R1604" s="1" t="b">
        <f>FALSE</f>
        <v>0</v>
      </c>
      <c r="S1604" s="1">
        <f>1</f>
        <v>1</v>
      </c>
      <c r="T1604" s="1" t="str">
        <f>IF(AND(Raw!A1604="",Raw!B1604="",Raw!C1604="",Raw!D1604="",Raw!E1604="",Raw!F1604="",Raw!G1604=""),"UNUSED",IF(A1604="","missing line ID",IF(B1604="","missing transaction ID",IF(G1604="",IF(C1604="","missing date","invalid date"),IF(I1604="","unknown product",IF(J1604="","conflicting category",IF(NOT(OR(EXACT(K1604,"sale"),EXACT(K1604,"refund"))),"unknown event",IF(OR(N1604="",NOT(O1604)),"invalid amount",IF(OR(AND(K1604="sale",N1604&lt;=0),AND(K1604="refund",N1604&gt;=0)),"invalid sign","")))))))))</f>
        <v/>
      </c>
      <c r="U1604" s="1" t="str">
        <f t="shared" si="197"/>
        <v>INCLUDED</v>
      </c>
      <c r="V1604" s="1" t="str">
        <f t="shared" si="198"/>
        <v>2026-01</v>
      </c>
      <c r="W1604" s="1">
        <f>IF(AND(U1604="INCLUDED",X1604&gt;0,EXACT(A1604,'AI output'!A1604)),1,0)</f>
        <v>1</v>
      </c>
      <c r="X1604" s="1">
        <f>1604</f>
        <v>1604</v>
      </c>
      <c r="Y1604" s="1">
        <f>IF(AND(U1604="INCLUDED",W1604=1),--(NOT(EXACT(A1604,'AI output'!A1604)))+--(NOT(EXACT(B1604,'AI output'!B1604)))+--(NOT(EXACT(TEXT(G1604,"yyyy-mm-dd"),'AI output'!C1604)))+--(NOT(EXACT(H1604,'AI output'!D1604)))+--(NOT(EXACT(J1604,'AI output'!E1604)))+--(NOT(EXACT(K1604,'AI output'!F1604)))+--(N1604&lt;&gt;'AI output'!L1604)+--(NOT('AI output'!M1604)),0)</f>
        <v>0</v>
      </c>
      <c r="Z1604" s="1">
        <f t="shared" si="199"/>
        <v>0</v>
      </c>
      <c r="AA1604" s="1">
        <f>--EXACT(A1604,"L01598")</f>
        <v>1</v>
      </c>
    </row>
    <row r="1605" spans="1:27" ht="18.95" customHeight="1">
      <c r="A1605" s="1" t="str">
        <f>IF(Raw!A1605="","",Raw!A1605)</f>
        <v>L01599</v>
      </c>
      <c r="B1605" s="1" t="str">
        <f>IF(Raw!B1605="","",Raw!B1605)</f>
        <v>T00800</v>
      </c>
      <c r="C1605" s="1" t="str">
        <f>IF(Raw!C1605="","",Raw!C1605)</f>
        <v>2026-01-14</v>
      </c>
      <c r="D1605" s="1">
        <f t="shared" si="192"/>
        <v>2026</v>
      </c>
      <c r="E1605" s="1">
        <f>IFERROR(IF(AND(LEN(C1605)=10,MID(C1605,5,1)="-",MID(C1605,8,1)="-"),VALUE(MID(C1605,6,2)),IF(AND(LEN(C1605)=11,MID(C1605,3,1)="-",MID(C1605,7,1)="-"),MATCH(UPPER(MID(C1605,4,3)),Guide!$D$7:$D$18,0),0)),0)</f>
        <v>1</v>
      </c>
      <c r="F1605" s="1">
        <f t="shared" si="193"/>
        <v>14</v>
      </c>
      <c r="G1605" s="9">
        <f t="shared" si="194"/>
        <v>46036</v>
      </c>
      <c r="H1605" s="1" t="str">
        <f>IF(Raw!D1605="","",Raw!D1605)</f>
        <v>P-O</v>
      </c>
      <c r="I1605" s="1" t="str">
        <f>IFERROR(IF(EXACT(H1605,INDEX(Guide!$A$7:$A$9,MATCH(SUBSTITUTE(SUBSTITUTE(SUBSTITUTE(H1605,"~","~~"),"*","~*"),"?","~?"),Guide!$A$7:$A$9,0))),INDEX(Guide!$B$7:$B$9,MATCH(SUBSTITUTE(SUBSTITUTE(SUBSTITUTE(H1605,"~","~~"),"*","~*"),"?","~?"),Guide!$A$7:$A$9,0)),""),"")</f>
        <v>Office</v>
      </c>
      <c r="J1605" s="1" t="str">
        <f>IF(TRIM(Raw!E1605)="",I1605,IF(UPPER(TRIM(Raw!E1605))=UPPER(I1605),I1605,""))</f>
        <v>Office</v>
      </c>
      <c r="K1605" s="1" t="str">
        <f>IF(Raw!F1605="","",Raw!F1605)</f>
        <v>sale</v>
      </c>
      <c r="L1605" s="1" t="str">
        <f>IF(LEFT(TRIM(Raw!G1605),2)="-$","-"&amp;MID(TRIM(Raw!G1605),3,99),IF(LEFT(TRIM(Raw!G1605),1)="$",MID(TRIM(Raw!G1605),2,99),TRIM(Raw!G1605)))</f>
        <v>232.50</v>
      </c>
      <c r="M1605" s="1">
        <f t="shared" si="195"/>
        <v>232.5</v>
      </c>
      <c r="N1605" s="10">
        <f t="shared" si="196"/>
        <v>23250</v>
      </c>
      <c r="O1605" s="1" t="b">
        <f>IFERROR(IF(ISNUMBER(Raw!G1605),TRUE,OR(EXACT(L1605,TEXT(M1605,"0.00")),EXACT(L1605,TEXT(M1605,"#,##0.00")))),FALSE)</f>
        <v>1</v>
      </c>
      <c r="P1605" s="1" t="str">
        <f>LEN(IF(Raw!A1605="","",Raw!A1605))&amp;":"&amp;IF(Raw!A1605="","",Raw!A1605)&amp;"|"&amp;LEN(IF(Raw!B1605="","",Raw!B1605))&amp;":"&amp;IF(Raw!B1605="","",Raw!B1605)&amp;"|"&amp;LEN(IF(Raw!C1605="","",Raw!C1605))&amp;":"&amp;IF(Raw!C1605="","",Raw!C1605)&amp;"|"&amp;LEN(IF(Raw!D1605="","",Raw!D1605))&amp;":"&amp;IF(Raw!D1605="","",Raw!D1605)&amp;"|"&amp;LEN(IF(Raw!E1605="","",Raw!E1605))&amp;":"&amp;IF(Raw!E1605="","",Raw!E1605)&amp;"|"&amp;LEN(IF(Raw!F1605="","",Raw!F1605))&amp;":"&amp;IF(Raw!F1605="","",Raw!F1605)&amp;"|"&amp;LEN(IF(Raw!G1605="","",Raw!G1605))&amp;":"&amp;IF(Raw!G1605="","",Raw!G1605)</f>
        <v>6:L01599|6:T00800|10:2026-01-14|3:P-O|6:Office|4:sale|6:232.50</v>
      </c>
      <c r="Q1605" s="1">
        <f>1</f>
        <v>1</v>
      </c>
      <c r="R1605" s="1" t="b">
        <f>FALSE</f>
        <v>0</v>
      </c>
      <c r="S1605" s="1">
        <f>1</f>
        <v>1</v>
      </c>
      <c r="T1605" s="1" t="str">
        <f>IF(AND(Raw!A1605="",Raw!B1605="",Raw!C1605="",Raw!D1605="",Raw!E1605="",Raw!F1605="",Raw!G1605=""),"UNUSED",IF(A1605="","missing line ID",IF(B1605="","missing transaction ID",IF(G1605="",IF(C1605="","missing date","invalid date"),IF(I1605="","unknown product",IF(J1605="","conflicting category",IF(NOT(OR(EXACT(K1605,"sale"),EXACT(K1605,"refund"))),"unknown event",IF(OR(N1605="",NOT(O1605)),"invalid amount",IF(OR(AND(K1605="sale",N1605&lt;=0),AND(K1605="refund",N1605&gt;=0)),"invalid sign","")))))))))</f>
        <v/>
      </c>
      <c r="U1605" s="1" t="str">
        <f t="shared" si="197"/>
        <v>INCLUDED</v>
      </c>
      <c r="V1605" s="1" t="str">
        <f t="shared" si="198"/>
        <v>2026-01</v>
      </c>
      <c r="W1605" s="1">
        <f>IF(AND(U1605="INCLUDED",X1605&gt;0,EXACT(A1605,'AI output'!A1605)),1,0)</f>
        <v>1</v>
      </c>
      <c r="X1605" s="1">
        <f>1605</f>
        <v>1605</v>
      </c>
      <c r="Y1605" s="1">
        <f>IF(AND(U1605="INCLUDED",W1605=1),--(NOT(EXACT(A1605,'AI output'!A1605)))+--(NOT(EXACT(B1605,'AI output'!B1605)))+--(NOT(EXACT(TEXT(G1605,"yyyy-mm-dd"),'AI output'!C1605)))+--(NOT(EXACT(H1605,'AI output'!D1605)))+--(NOT(EXACT(J1605,'AI output'!E1605)))+--(NOT(EXACT(K1605,'AI output'!F1605)))+--(N1605&lt;&gt;'AI output'!L1605)+--(NOT('AI output'!M1605)),0)</f>
        <v>0</v>
      </c>
      <c r="Z1605" s="1">
        <f t="shared" si="199"/>
        <v>0</v>
      </c>
      <c r="AA1605" s="1">
        <f>--EXACT(A1605,"L01599")</f>
        <v>1</v>
      </c>
    </row>
    <row r="1606" spans="1:27" ht="18.95" customHeight="1">
      <c r="A1606" s="1" t="str">
        <f>IF(Raw!A1606="","",Raw!A1606)</f>
        <v>L01600</v>
      </c>
      <c r="B1606" s="1" t="str">
        <f>IF(Raw!B1606="","",Raw!B1606)</f>
        <v>T00800</v>
      </c>
      <c r="C1606" s="1" t="str">
        <f>IF(Raw!C1606="","",Raw!C1606)</f>
        <v>2026-01-14</v>
      </c>
      <c r="D1606" s="1">
        <f t="shared" si="192"/>
        <v>2026</v>
      </c>
      <c r="E1606" s="1">
        <f>IFERROR(IF(AND(LEN(C1606)=10,MID(C1606,5,1)="-",MID(C1606,8,1)="-"),VALUE(MID(C1606,6,2)),IF(AND(LEN(C1606)=11,MID(C1606,3,1)="-",MID(C1606,7,1)="-"),MATCH(UPPER(MID(C1606,4,3)),Guide!$D$7:$D$18,0),0)),0)</f>
        <v>1</v>
      </c>
      <c r="F1606" s="1">
        <f t="shared" si="193"/>
        <v>14</v>
      </c>
      <c r="G1606" s="9">
        <f t="shared" si="194"/>
        <v>46036</v>
      </c>
      <c r="H1606" s="1" t="str">
        <f>IF(Raw!D1606="","",Raw!D1606)</f>
        <v>P-A</v>
      </c>
      <c r="I1606" s="1" t="str">
        <f>IFERROR(IF(EXACT(H1606,INDEX(Guide!$A$7:$A$9,MATCH(SUBSTITUTE(SUBSTITUTE(SUBSTITUTE(H1606,"~","~~"),"*","~*"),"?","~?"),Guide!$A$7:$A$9,0))),INDEX(Guide!$B$7:$B$9,MATCH(SUBSTITUTE(SUBSTITUTE(SUBSTITUTE(H1606,"~","~~"),"*","~*"),"?","~?"),Guide!$A$7:$A$9,0)),""),"")</f>
        <v>Accessories</v>
      </c>
      <c r="J1606" s="1" t="str">
        <f>IF(TRIM(Raw!E1606)="",I1606,IF(UPPER(TRIM(Raw!E1606))=UPPER(I1606),I1606,""))</f>
        <v>Accessories</v>
      </c>
      <c r="K1606" s="1" t="str">
        <f>IF(Raw!F1606="","",Raw!F1606)</f>
        <v>sale</v>
      </c>
      <c r="L1606" s="1" t="str">
        <f>IF(LEFT(TRIM(Raw!G1606),2)="-$","-"&amp;MID(TRIM(Raw!G1606),3,99),IF(LEFT(TRIM(Raw!G1606),1)="$",MID(TRIM(Raw!G1606),2,99),TRIM(Raw!G1606)))</f>
        <v>466.48</v>
      </c>
      <c r="M1606" s="1">
        <f t="shared" si="195"/>
        <v>466.48</v>
      </c>
      <c r="N1606" s="10">
        <f t="shared" si="196"/>
        <v>46648</v>
      </c>
      <c r="O1606" s="1" t="b">
        <f>IFERROR(IF(ISNUMBER(Raw!G1606),TRUE,OR(EXACT(L1606,TEXT(M1606,"0.00")),EXACT(L1606,TEXT(M1606,"#,##0.00")))),FALSE)</f>
        <v>1</v>
      </c>
      <c r="P1606" s="1" t="str">
        <f>LEN(IF(Raw!A1606="","",Raw!A1606))&amp;":"&amp;IF(Raw!A1606="","",Raw!A1606)&amp;"|"&amp;LEN(IF(Raw!B1606="","",Raw!B1606))&amp;":"&amp;IF(Raw!B1606="","",Raw!B1606)&amp;"|"&amp;LEN(IF(Raw!C1606="","",Raw!C1606))&amp;":"&amp;IF(Raw!C1606="","",Raw!C1606)&amp;"|"&amp;LEN(IF(Raw!D1606="","",Raw!D1606))&amp;":"&amp;IF(Raw!D1606="","",Raw!D1606)&amp;"|"&amp;LEN(IF(Raw!E1606="","",Raw!E1606))&amp;":"&amp;IF(Raw!E1606="","",Raw!E1606)&amp;"|"&amp;LEN(IF(Raw!F1606="","",Raw!F1606))&amp;":"&amp;IF(Raw!F1606="","",Raw!F1606)&amp;"|"&amp;LEN(IF(Raw!G1606="","",Raw!G1606))&amp;":"&amp;IF(Raw!G1606="","",Raw!G1606)</f>
        <v>6:L01600|6:T00800|10:2026-01-14|3:P-A|11:Accessories|4:sale|6:466.48</v>
      </c>
      <c r="Q1606" s="1">
        <f>1</f>
        <v>1</v>
      </c>
      <c r="R1606" s="1" t="b">
        <f>FALSE</f>
        <v>0</v>
      </c>
      <c r="S1606" s="1">
        <f>1</f>
        <v>1</v>
      </c>
      <c r="T1606" s="1" t="str">
        <f>IF(AND(Raw!A1606="",Raw!B1606="",Raw!C1606="",Raw!D1606="",Raw!E1606="",Raw!F1606="",Raw!G1606=""),"UNUSED",IF(A1606="","missing line ID",IF(B1606="","missing transaction ID",IF(G1606="",IF(C1606="","missing date","invalid date"),IF(I1606="","unknown product",IF(J1606="","conflicting category",IF(NOT(OR(EXACT(K1606,"sale"),EXACT(K1606,"refund"))),"unknown event",IF(OR(N1606="",NOT(O1606)),"invalid amount",IF(OR(AND(K1606="sale",N1606&lt;=0),AND(K1606="refund",N1606&gt;=0)),"invalid sign","")))))))))</f>
        <v/>
      </c>
      <c r="U1606" s="1" t="str">
        <f t="shared" si="197"/>
        <v>INCLUDED</v>
      </c>
      <c r="V1606" s="1" t="str">
        <f t="shared" si="198"/>
        <v>2026-01</v>
      </c>
      <c r="W1606" s="1">
        <f>IF(AND(U1606="INCLUDED",X1606&gt;0,EXACT(A1606,'AI output'!A1606)),1,0)</f>
        <v>1</v>
      </c>
      <c r="X1606" s="1">
        <f>1606</f>
        <v>1606</v>
      </c>
      <c r="Y1606" s="1">
        <f>IF(AND(U1606="INCLUDED",W1606=1),--(NOT(EXACT(A1606,'AI output'!A1606)))+--(NOT(EXACT(B1606,'AI output'!B1606)))+--(NOT(EXACT(TEXT(G1606,"yyyy-mm-dd"),'AI output'!C1606)))+--(NOT(EXACT(H1606,'AI output'!D1606)))+--(NOT(EXACT(J1606,'AI output'!E1606)))+--(NOT(EXACT(K1606,'AI output'!F1606)))+--(N1606&lt;&gt;'AI output'!L1606)+--(NOT('AI output'!M1606)),0)</f>
        <v>0</v>
      </c>
      <c r="Z1606" s="1">
        <f t="shared" si="199"/>
        <v>0</v>
      </c>
      <c r="AA1606" s="1">
        <f>--EXACT(A1606,"L01600")</f>
        <v>1</v>
      </c>
    </row>
    <row r="1607" spans="1:27" ht="18.95" customHeight="1">
      <c r="A1607" s="1" t="str">
        <f>IF(Raw!A1607="","",Raw!A1607)</f>
        <v>L01601</v>
      </c>
      <c r="B1607" s="1" t="str">
        <f>IF(Raw!B1607="","",Raw!B1607)</f>
        <v>T00801</v>
      </c>
      <c r="C1607" s="1" t="str">
        <f>IF(Raw!C1607="","",Raw!C1607)</f>
        <v>2026-01-21</v>
      </c>
      <c r="D1607" s="1">
        <f t="shared" ref="D1607:D1670" si="200">IFERROR(IF(AND(LEN(C1607)=10,MID(C1607,5,1)="-",MID(C1607,8,1)="-"),VALUE(LEFT(C1607,4)),IF(AND(LEN(C1607)=11,MID(C1607,3,1)="-",MID(C1607,7,1)="-"),VALUE(RIGHT(C1607,4)),0)),0)</f>
        <v>2026</v>
      </c>
      <c r="E1607" s="1">
        <f>IFERROR(IF(AND(LEN(C1607)=10,MID(C1607,5,1)="-",MID(C1607,8,1)="-"),VALUE(MID(C1607,6,2)),IF(AND(LEN(C1607)=11,MID(C1607,3,1)="-",MID(C1607,7,1)="-"),MATCH(UPPER(MID(C1607,4,3)),Guide!$D$7:$D$18,0),0)),0)</f>
        <v>1</v>
      </c>
      <c r="F1607" s="1">
        <f t="shared" ref="F1607:F1670" si="201">IFERROR(IF(AND(LEN(C1607)=10,MID(C1607,5,1)="-",MID(C1607,8,1)="-"),VALUE(RIGHT(C1607,2)),IF(AND(LEN(C1607)=11,MID(C1607,3,1)="-",MID(C1607,7,1)="-"),VALUE(LEFT(C1607,2)),0)),0)</f>
        <v>21</v>
      </c>
      <c r="G1607" s="9">
        <f t="shared" ref="G1607:G1670" si="202">IFERROR(IF(AND(D1607&gt;=1900,D1607&lt;=9999,YEAR(DATE(D1607,E1607,F1607))=D1607,MONTH(DATE(D1607,E1607,F1607))=E1607,DAY(DATE(D1607,E1607,F1607))=F1607),DATE(D1607,E1607,F1607),""),"")</f>
        <v>46043</v>
      </c>
      <c r="H1607" s="1" t="str">
        <f>IF(Raw!D1607="","",Raw!D1607)</f>
        <v>P-H</v>
      </c>
      <c r="I1607" s="1" t="str">
        <f>IFERROR(IF(EXACT(H1607,INDEX(Guide!$A$7:$A$9,MATCH(SUBSTITUTE(SUBSTITUTE(SUBSTITUTE(H1607,"~","~~"),"*","~*"),"?","~?"),Guide!$A$7:$A$9,0))),INDEX(Guide!$B$7:$B$9,MATCH(SUBSTITUTE(SUBSTITUTE(SUBSTITUTE(H1607,"~","~~"),"*","~*"),"?","~?"),Guide!$A$7:$A$9,0)),""),"")</f>
        <v>Home</v>
      </c>
      <c r="J1607" s="1" t="str">
        <f>IF(TRIM(Raw!E1607)="",I1607,IF(UPPER(TRIM(Raw!E1607))=UPPER(I1607),I1607,""))</f>
        <v>Home</v>
      </c>
      <c r="K1607" s="1" t="str">
        <f>IF(Raw!F1607="","",Raw!F1607)</f>
        <v>sale</v>
      </c>
      <c r="L1607" s="1" t="str">
        <f>IF(LEFT(TRIM(Raw!G1607),2)="-$","-"&amp;MID(TRIM(Raw!G1607),3,99),IF(LEFT(TRIM(Raw!G1607),1)="$",MID(TRIM(Raw!G1607),2,99),TRIM(Raw!G1607)))</f>
        <v>116.99</v>
      </c>
      <c r="M1607" s="1">
        <f t="shared" ref="M1607:M1670" si="203">IFERROR(VALUE(L1607),"")</f>
        <v>116.99</v>
      </c>
      <c r="N1607" s="10">
        <f t="shared" ref="N1607:N1670" si="204">IF(AND(ISNUMBER(M1607),ABS(M1607*100-ROUND(M1607*100,0))&lt;0.0000001),ROUND(M1607*100,0),"")</f>
        <v>11699</v>
      </c>
      <c r="O1607" s="1" t="b">
        <f>IFERROR(IF(ISNUMBER(Raw!G1607),TRUE,OR(EXACT(L1607,TEXT(M1607,"0.00")),EXACT(L1607,TEXT(M1607,"#,##0.00")))),FALSE)</f>
        <v>1</v>
      </c>
      <c r="P1607" s="1" t="str">
        <f>LEN(IF(Raw!A1607="","",Raw!A1607))&amp;":"&amp;IF(Raw!A1607="","",Raw!A1607)&amp;"|"&amp;LEN(IF(Raw!B1607="","",Raw!B1607))&amp;":"&amp;IF(Raw!B1607="","",Raw!B1607)&amp;"|"&amp;LEN(IF(Raw!C1607="","",Raw!C1607))&amp;":"&amp;IF(Raw!C1607="","",Raw!C1607)&amp;"|"&amp;LEN(IF(Raw!D1607="","",Raw!D1607))&amp;":"&amp;IF(Raw!D1607="","",Raw!D1607)&amp;"|"&amp;LEN(IF(Raw!E1607="","",Raw!E1607))&amp;":"&amp;IF(Raw!E1607="","",Raw!E1607)&amp;"|"&amp;LEN(IF(Raw!F1607="","",Raw!F1607))&amp;":"&amp;IF(Raw!F1607="","",Raw!F1607)&amp;"|"&amp;LEN(IF(Raw!G1607="","",Raw!G1607))&amp;":"&amp;IF(Raw!G1607="","",Raw!G1607)</f>
        <v>6:L01601|6:T00801|10:2026-01-21|3:P-H|4:Home|4:sale|6:116.99</v>
      </c>
      <c r="Q1607" s="1">
        <f>1</f>
        <v>1</v>
      </c>
      <c r="R1607" s="1" t="b">
        <f>FALSE</f>
        <v>0</v>
      </c>
      <c r="S1607" s="1">
        <f>1</f>
        <v>1</v>
      </c>
      <c r="T1607" s="1" t="str">
        <f>IF(AND(Raw!A1607="",Raw!B1607="",Raw!C1607="",Raw!D1607="",Raw!E1607="",Raw!F1607="",Raw!G1607=""),"UNUSED",IF(A1607="","missing line ID",IF(B1607="","missing transaction ID",IF(G1607="",IF(C1607="","missing date","invalid date"),IF(I1607="","unknown product",IF(J1607="","conflicting category",IF(NOT(OR(EXACT(K1607,"sale"),EXACT(K1607,"refund"))),"unknown event",IF(OR(N1607="",NOT(O1607)),"invalid amount",IF(OR(AND(K1607="sale",N1607&lt;=0),AND(K1607="refund",N1607&gt;=0)),"invalid sign","")))))))))</f>
        <v/>
      </c>
      <c r="U1607" s="1" t="str">
        <f t="shared" ref="U1607:U1670" si="205">IF(T1607="UNUSED","UNUSED",IF(R1607,"QUARANTINE",IF(S1607&gt;1,"DUPLICATE",IF(T1607&lt;&gt;"","QUARANTINE","INCLUDED"))))</f>
        <v>INCLUDED</v>
      </c>
      <c r="V1607" s="1" t="str">
        <f t="shared" ref="V1607:V1670" si="206">IF(G1607="","",TEXT(G1607,"yyyy-mm"))</f>
        <v>2026-01</v>
      </c>
      <c r="W1607" s="1">
        <f>IF(AND(U1607="INCLUDED",X1607&gt;0,EXACT(A1607,'AI output'!A1607)),1,0)</f>
        <v>1</v>
      </c>
      <c r="X1607" s="1">
        <f>1607</f>
        <v>1607</v>
      </c>
      <c r="Y1607" s="1">
        <f>IF(AND(U1607="INCLUDED",W1607=1),--(NOT(EXACT(A1607,'AI output'!A1607)))+--(NOT(EXACT(B1607,'AI output'!B1607)))+--(NOT(EXACT(TEXT(G1607,"yyyy-mm-dd"),'AI output'!C1607)))+--(NOT(EXACT(H1607,'AI output'!D1607)))+--(NOT(EXACT(J1607,'AI output'!E1607)))+--(NOT(EXACT(K1607,'AI output'!F1607)))+--(N1607&lt;&gt;'AI output'!L1607)+--(NOT('AI output'!M1607)),0)</f>
        <v>0</v>
      </c>
      <c r="Z1607" s="1">
        <f t="shared" ref="Z1607:Z1670" si="207">IF(U1607="INCLUDED",IF(OR(W1607&lt;&gt;1,Y1607&lt;&gt;0),1,0),0)</f>
        <v>0</v>
      </c>
      <c r="AA1607" s="1">
        <f>--EXACT(A1607,"L01601")</f>
        <v>1</v>
      </c>
    </row>
    <row r="1608" spans="1:27" ht="18.95" customHeight="1">
      <c r="A1608" s="1" t="str">
        <f>IF(Raw!A1608="","",Raw!A1608)</f>
        <v>L01602</v>
      </c>
      <c r="B1608" s="1" t="str">
        <f>IF(Raw!B1608="","",Raw!B1608)</f>
        <v>T00801</v>
      </c>
      <c r="C1608" s="1" t="str">
        <f>IF(Raw!C1608="","",Raw!C1608)</f>
        <v>2026-01-21</v>
      </c>
      <c r="D1608" s="1">
        <f t="shared" si="200"/>
        <v>2026</v>
      </c>
      <c r="E1608" s="1">
        <f>IFERROR(IF(AND(LEN(C1608)=10,MID(C1608,5,1)="-",MID(C1608,8,1)="-"),VALUE(MID(C1608,6,2)),IF(AND(LEN(C1608)=11,MID(C1608,3,1)="-",MID(C1608,7,1)="-"),MATCH(UPPER(MID(C1608,4,3)),Guide!$D$7:$D$18,0),0)),0)</f>
        <v>1</v>
      </c>
      <c r="F1608" s="1">
        <f t="shared" si="201"/>
        <v>21</v>
      </c>
      <c r="G1608" s="9">
        <f t="shared" si="202"/>
        <v>46043</v>
      </c>
      <c r="H1608" s="1" t="str">
        <f>IF(Raw!D1608="","",Raw!D1608)</f>
        <v>P-O</v>
      </c>
      <c r="I1608" s="1" t="str">
        <f>IFERROR(IF(EXACT(H1608,INDEX(Guide!$A$7:$A$9,MATCH(SUBSTITUTE(SUBSTITUTE(SUBSTITUTE(H1608,"~","~~"),"*","~*"),"?","~?"),Guide!$A$7:$A$9,0))),INDEX(Guide!$B$7:$B$9,MATCH(SUBSTITUTE(SUBSTITUTE(SUBSTITUTE(H1608,"~","~~"),"*","~*"),"?","~?"),Guide!$A$7:$A$9,0)),""),"")</f>
        <v>Office</v>
      </c>
      <c r="J1608" s="1" t="str">
        <f>IF(TRIM(Raw!E1608)="",I1608,IF(UPPER(TRIM(Raw!E1608))=UPPER(I1608),I1608,""))</f>
        <v>Office</v>
      </c>
      <c r="K1608" s="1" t="str">
        <f>IF(Raw!F1608="","",Raw!F1608)</f>
        <v>sale</v>
      </c>
      <c r="L1608" s="1" t="str">
        <f>IF(LEFT(TRIM(Raw!G1608),2)="-$","-"&amp;MID(TRIM(Raw!G1608),3,99),IF(LEFT(TRIM(Raw!G1608),1)="$",MID(TRIM(Raw!G1608),2,99),TRIM(Raw!G1608)))</f>
        <v>352.08</v>
      </c>
      <c r="M1608" s="1">
        <f t="shared" si="203"/>
        <v>352.08</v>
      </c>
      <c r="N1608" s="10">
        <f t="shared" si="204"/>
        <v>35208</v>
      </c>
      <c r="O1608" s="1" t="b">
        <f>IFERROR(IF(ISNUMBER(Raw!G1608),TRUE,OR(EXACT(L1608,TEXT(M1608,"0.00")),EXACT(L1608,TEXT(M1608,"#,##0.00")))),FALSE)</f>
        <v>1</v>
      </c>
      <c r="P1608" s="1" t="str">
        <f>LEN(IF(Raw!A1608="","",Raw!A1608))&amp;":"&amp;IF(Raw!A1608="","",Raw!A1608)&amp;"|"&amp;LEN(IF(Raw!B1608="","",Raw!B1608))&amp;":"&amp;IF(Raw!B1608="","",Raw!B1608)&amp;"|"&amp;LEN(IF(Raw!C1608="","",Raw!C1608))&amp;":"&amp;IF(Raw!C1608="","",Raw!C1608)&amp;"|"&amp;LEN(IF(Raw!D1608="","",Raw!D1608))&amp;":"&amp;IF(Raw!D1608="","",Raw!D1608)&amp;"|"&amp;LEN(IF(Raw!E1608="","",Raw!E1608))&amp;":"&amp;IF(Raw!E1608="","",Raw!E1608)&amp;"|"&amp;LEN(IF(Raw!F1608="","",Raw!F1608))&amp;":"&amp;IF(Raw!F1608="","",Raw!F1608)&amp;"|"&amp;LEN(IF(Raw!G1608="","",Raw!G1608))&amp;":"&amp;IF(Raw!G1608="","",Raw!G1608)</f>
        <v>6:L01602|6:T00801|10:2026-01-21|3:P-O|6:Office|4:sale|6:352.08</v>
      </c>
      <c r="Q1608" s="1">
        <f>1</f>
        <v>1</v>
      </c>
      <c r="R1608" s="1" t="b">
        <f>FALSE</f>
        <v>0</v>
      </c>
      <c r="S1608" s="1">
        <f>1</f>
        <v>1</v>
      </c>
      <c r="T1608" s="1" t="str">
        <f>IF(AND(Raw!A1608="",Raw!B1608="",Raw!C1608="",Raw!D1608="",Raw!E1608="",Raw!F1608="",Raw!G1608=""),"UNUSED",IF(A1608="","missing line ID",IF(B1608="","missing transaction ID",IF(G1608="",IF(C1608="","missing date","invalid date"),IF(I1608="","unknown product",IF(J1608="","conflicting category",IF(NOT(OR(EXACT(K1608,"sale"),EXACT(K1608,"refund"))),"unknown event",IF(OR(N1608="",NOT(O1608)),"invalid amount",IF(OR(AND(K1608="sale",N1608&lt;=0),AND(K1608="refund",N1608&gt;=0)),"invalid sign","")))))))))</f>
        <v/>
      </c>
      <c r="U1608" s="1" t="str">
        <f t="shared" si="205"/>
        <v>INCLUDED</v>
      </c>
      <c r="V1608" s="1" t="str">
        <f t="shared" si="206"/>
        <v>2026-01</v>
      </c>
      <c r="W1608" s="1">
        <f>IF(AND(U1608="INCLUDED",X1608&gt;0,EXACT(A1608,'AI output'!A1608)),1,0)</f>
        <v>1</v>
      </c>
      <c r="X1608" s="1">
        <f>1608</f>
        <v>1608</v>
      </c>
      <c r="Y1608" s="1">
        <f>IF(AND(U1608="INCLUDED",W1608=1),--(NOT(EXACT(A1608,'AI output'!A1608)))+--(NOT(EXACT(B1608,'AI output'!B1608)))+--(NOT(EXACT(TEXT(G1608,"yyyy-mm-dd"),'AI output'!C1608)))+--(NOT(EXACT(H1608,'AI output'!D1608)))+--(NOT(EXACT(J1608,'AI output'!E1608)))+--(NOT(EXACT(K1608,'AI output'!F1608)))+--(N1608&lt;&gt;'AI output'!L1608)+--(NOT('AI output'!M1608)),0)</f>
        <v>0</v>
      </c>
      <c r="Z1608" s="1">
        <f t="shared" si="207"/>
        <v>0</v>
      </c>
      <c r="AA1608" s="1">
        <f>--EXACT(A1608,"L01602")</f>
        <v>1</v>
      </c>
    </row>
    <row r="1609" spans="1:27" ht="18.95" customHeight="1">
      <c r="A1609" s="1" t="str">
        <f>IF(Raw!A1609="","",Raw!A1609)</f>
        <v>L01603</v>
      </c>
      <c r="B1609" s="1" t="str">
        <f>IF(Raw!B1609="","",Raw!B1609)</f>
        <v>T00802</v>
      </c>
      <c r="C1609" s="1" t="str">
        <f>IF(Raw!C1609="","",Raw!C1609)</f>
        <v>2026-01-28</v>
      </c>
      <c r="D1609" s="1">
        <f t="shared" si="200"/>
        <v>2026</v>
      </c>
      <c r="E1609" s="1">
        <f>IFERROR(IF(AND(LEN(C1609)=10,MID(C1609,5,1)="-",MID(C1609,8,1)="-"),VALUE(MID(C1609,6,2)),IF(AND(LEN(C1609)=11,MID(C1609,3,1)="-",MID(C1609,7,1)="-"),MATCH(UPPER(MID(C1609,4,3)),Guide!$D$7:$D$18,0),0)),0)</f>
        <v>1</v>
      </c>
      <c r="F1609" s="1">
        <f t="shared" si="201"/>
        <v>28</v>
      </c>
      <c r="G1609" s="9">
        <f t="shared" si="202"/>
        <v>46050</v>
      </c>
      <c r="H1609" s="1" t="str">
        <f>IF(Raw!D1609="","",Raw!D1609)</f>
        <v>P-A</v>
      </c>
      <c r="I1609" s="1" t="str">
        <f>IFERROR(IF(EXACT(H1609,INDEX(Guide!$A$7:$A$9,MATCH(SUBSTITUTE(SUBSTITUTE(SUBSTITUTE(H1609,"~","~~"),"*","~*"),"?","~?"),Guide!$A$7:$A$9,0))),INDEX(Guide!$B$7:$B$9,MATCH(SUBSTITUTE(SUBSTITUTE(SUBSTITUTE(H1609,"~","~~"),"*","~*"),"?","~?"),Guide!$A$7:$A$9,0)),""),"")</f>
        <v>Accessories</v>
      </c>
      <c r="J1609" s="1" t="str">
        <f>IF(TRIM(Raw!E1609)="",I1609,IF(UPPER(TRIM(Raw!E1609))=UPPER(I1609),I1609,""))</f>
        <v>Accessories</v>
      </c>
      <c r="K1609" s="1" t="str">
        <f>IF(Raw!F1609="","",Raw!F1609)</f>
        <v>sale</v>
      </c>
      <c r="L1609" s="1" t="str">
        <f>IF(LEFT(TRIM(Raw!G1609),2)="-$","-"&amp;MID(TRIM(Raw!G1609),3,99),IF(LEFT(TRIM(Raw!G1609),1)="$",MID(TRIM(Raw!G1609),2,99),TRIM(Raw!G1609)))</f>
        <v>588.65</v>
      </c>
      <c r="M1609" s="1">
        <f t="shared" si="203"/>
        <v>588.65</v>
      </c>
      <c r="N1609" s="10">
        <f t="shared" si="204"/>
        <v>58865</v>
      </c>
      <c r="O1609" s="1" t="b">
        <f>IFERROR(IF(ISNUMBER(Raw!G1609),TRUE,OR(EXACT(L1609,TEXT(M1609,"0.00")),EXACT(L1609,TEXT(M1609,"#,##0.00")))),FALSE)</f>
        <v>1</v>
      </c>
      <c r="P1609" s="1" t="str">
        <f>LEN(IF(Raw!A1609="","",Raw!A1609))&amp;":"&amp;IF(Raw!A1609="","",Raw!A1609)&amp;"|"&amp;LEN(IF(Raw!B1609="","",Raw!B1609))&amp;":"&amp;IF(Raw!B1609="","",Raw!B1609)&amp;"|"&amp;LEN(IF(Raw!C1609="","",Raw!C1609))&amp;":"&amp;IF(Raw!C1609="","",Raw!C1609)&amp;"|"&amp;LEN(IF(Raw!D1609="","",Raw!D1609))&amp;":"&amp;IF(Raw!D1609="","",Raw!D1609)&amp;"|"&amp;LEN(IF(Raw!E1609="","",Raw!E1609))&amp;":"&amp;IF(Raw!E1609="","",Raw!E1609)&amp;"|"&amp;LEN(IF(Raw!F1609="","",Raw!F1609))&amp;":"&amp;IF(Raw!F1609="","",Raw!F1609)&amp;"|"&amp;LEN(IF(Raw!G1609="","",Raw!G1609))&amp;":"&amp;IF(Raw!G1609="","",Raw!G1609)</f>
        <v>6:L01603|6:T00802|10:2026-01-28|3:P-A|11:Accessories|4:sale|6:588.65</v>
      </c>
      <c r="Q1609" s="1">
        <f>1</f>
        <v>1</v>
      </c>
      <c r="R1609" s="1" t="b">
        <f>FALSE</f>
        <v>0</v>
      </c>
      <c r="S1609" s="1">
        <f>1</f>
        <v>1</v>
      </c>
      <c r="T1609" s="1" t="str">
        <f>IF(AND(Raw!A1609="",Raw!B1609="",Raw!C1609="",Raw!D1609="",Raw!E1609="",Raw!F1609="",Raw!G1609=""),"UNUSED",IF(A1609="","missing line ID",IF(B1609="","missing transaction ID",IF(G1609="",IF(C1609="","missing date","invalid date"),IF(I1609="","unknown product",IF(J1609="","conflicting category",IF(NOT(OR(EXACT(K1609,"sale"),EXACT(K1609,"refund"))),"unknown event",IF(OR(N1609="",NOT(O1609)),"invalid amount",IF(OR(AND(K1609="sale",N1609&lt;=0),AND(K1609="refund",N1609&gt;=0)),"invalid sign","")))))))))</f>
        <v/>
      </c>
      <c r="U1609" s="1" t="str">
        <f t="shared" si="205"/>
        <v>INCLUDED</v>
      </c>
      <c r="V1609" s="1" t="str">
        <f t="shared" si="206"/>
        <v>2026-01</v>
      </c>
      <c r="W1609" s="1">
        <f>IF(AND(U1609="INCLUDED",X1609&gt;0,EXACT(A1609,'AI output'!A1609)),1,0)</f>
        <v>1</v>
      </c>
      <c r="X1609" s="1">
        <f>1609</f>
        <v>1609</v>
      </c>
      <c r="Y1609" s="1">
        <f>IF(AND(U1609="INCLUDED",W1609=1),--(NOT(EXACT(A1609,'AI output'!A1609)))+--(NOT(EXACT(B1609,'AI output'!B1609)))+--(NOT(EXACT(TEXT(G1609,"yyyy-mm-dd"),'AI output'!C1609)))+--(NOT(EXACT(H1609,'AI output'!D1609)))+--(NOT(EXACT(J1609,'AI output'!E1609)))+--(NOT(EXACT(K1609,'AI output'!F1609)))+--(N1609&lt;&gt;'AI output'!L1609)+--(NOT('AI output'!M1609)),0)</f>
        <v>0</v>
      </c>
      <c r="Z1609" s="1">
        <f t="shared" si="207"/>
        <v>0</v>
      </c>
      <c r="AA1609" s="1">
        <f>--EXACT(A1609,"L01603")</f>
        <v>1</v>
      </c>
    </row>
    <row r="1610" spans="1:27" ht="18.95" customHeight="1">
      <c r="A1610" s="1" t="str">
        <f>IF(Raw!A1610="","",Raw!A1610)</f>
        <v>L01604</v>
      </c>
      <c r="B1610" s="1" t="str">
        <f>IF(Raw!B1610="","",Raw!B1610)</f>
        <v>T00802</v>
      </c>
      <c r="C1610" s="1" t="str">
        <f>IF(Raw!C1610="","",Raw!C1610)</f>
        <v>2026-01-28</v>
      </c>
      <c r="D1610" s="1">
        <f t="shared" si="200"/>
        <v>2026</v>
      </c>
      <c r="E1610" s="1">
        <f>IFERROR(IF(AND(LEN(C1610)=10,MID(C1610,5,1)="-",MID(C1610,8,1)="-"),VALUE(MID(C1610,6,2)),IF(AND(LEN(C1610)=11,MID(C1610,3,1)="-",MID(C1610,7,1)="-"),MATCH(UPPER(MID(C1610,4,3)),Guide!$D$7:$D$18,0),0)),0)</f>
        <v>1</v>
      </c>
      <c r="F1610" s="1">
        <f t="shared" si="201"/>
        <v>28</v>
      </c>
      <c r="G1610" s="9">
        <f t="shared" si="202"/>
        <v>46050</v>
      </c>
      <c r="H1610" s="1" t="str">
        <f>IF(Raw!D1610="","",Raw!D1610)</f>
        <v>P-H</v>
      </c>
      <c r="I1610" s="1" t="str">
        <f>IFERROR(IF(EXACT(H1610,INDEX(Guide!$A$7:$A$9,MATCH(SUBSTITUTE(SUBSTITUTE(SUBSTITUTE(H1610,"~","~~"),"*","~*"),"?","~?"),Guide!$A$7:$A$9,0))),INDEX(Guide!$B$7:$B$9,MATCH(SUBSTITUTE(SUBSTITUTE(SUBSTITUTE(H1610,"~","~~"),"*","~*"),"?","~?"),Guide!$A$7:$A$9,0)),""),"")</f>
        <v>Home</v>
      </c>
      <c r="J1610" s="1" t="str">
        <f>IF(TRIM(Raw!E1610)="",I1610,IF(UPPER(TRIM(Raw!E1610))=UPPER(I1610),I1610,""))</f>
        <v>Home</v>
      </c>
      <c r="K1610" s="1" t="str">
        <f>IF(Raw!F1610="","",Raw!F1610)</f>
        <v>sale</v>
      </c>
      <c r="L1610" s="1" t="str">
        <f>IF(LEFT(TRIM(Raw!G1610),2)="-$","-"&amp;MID(TRIM(Raw!G1610),3,99),IF(LEFT(TRIM(Raw!G1610),1)="$",MID(TRIM(Raw!G1610),2,99),TRIM(Raw!G1610)))</f>
        <v>236.20</v>
      </c>
      <c r="M1610" s="1">
        <f t="shared" si="203"/>
        <v>236.2</v>
      </c>
      <c r="N1610" s="10">
        <f t="shared" si="204"/>
        <v>23620</v>
      </c>
      <c r="O1610" s="1" t="b">
        <f>IFERROR(IF(ISNUMBER(Raw!G1610),TRUE,OR(EXACT(L1610,TEXT(M1610,"0.00")),EXACT(L1610,TEXT(M1610,"#,##0.00")))),FALSE)</f>
        <v>1</v>
      </c>
      <c r="P1610" s="1" t="str">
        <f>LEN(IF(Raw!A1610="","",Raw!A1610))&amp;":"&amp;IF(Raw!A1610="","",Raw!A1610)&amp;"|"&amp;LEN(IF(Raw!B1610="","",Raw!B1610))&amp;":"&amp;IF(Raw!B1610="","",Raw!B1610)&amp;"|"&amp;LEN(IF(Raw!C1610="","",Raw!C1610))&amp;":"&amp;IF(Raw!C1610="","",Raw!C1610)&amp;"|"&amp;LEN(IF(Raw!D1610="","",Raw!D1610))&amp;":"&amp;IF(Raw!D1610="","",Raw!D1610)&amp;"|"&amp;LEN(IF(Raw!E1610="","",Raw!E1610))&amp;":"&amp;IF(Raw!E1610="","",Raw!E1610)&amp;"|"&amp;LEN(IF(Raw!F1610="","",Raw!F1610))&amp;":"&amp;IF(Raw!F1610="","",Raw!F1610)&amp;"|"&amp;LEN(IF(Raw!G1610="","",Raw!G1610))&amp;":"&amp;IF(Raw!G1610="","",Raw!G1610)</f>
        <v>6:L01604|6:T00802|10:2026-01-28|3:P-H|4:Home|4:sale|6:236.20</v>
      </c>
      <c r="Q1610" s="1">
        <f>1</f>
        <v>1</v>
      </c>
      <c r="R1610" s="1" t="b">
        <f>FALSE</f>
        <v>0</v>
      </c>
      <c r="S1610" s="1">
        <f>1</f>
        <v>1</v>
      </c>
      <c r="T1610" s="1" t="str">
        <f>IF(AND(Raw!A1610="",Raw!B1610="",Raw!C1610="",Raw!D1610="",Raw!E1610="",Raw!F1610="",Raw!G1610=""),"UNUSED",IF(A1610="","missing line ID",IF(B1610="","missing transaction ID",IF(G1610="",IF(C1610="","missing date","invalid date"),IF(I1610="","unknown product",IF(J1610="","conflicting category",IF(NOT(OR(EXACT(K1610,"sale"),EXACT(K1610,"refund"))),"unknown event",IF(OR(N1610="",NOT(O1610)),"invalid amount",IF(OR(AND(K1610="sale",N1610&lt;=0),AND(K1610="refund",N1610&gt;=0)),"invalid sign","")))))))))</f>
        <v/>
      </c>
      <c r="U1610" s="1" t="str">
        <f t="shared" si="205"/>
        <v>INCLUDED</v>
      </c>
      <c r="V1610" s="1" t="str">
        <f t="shared" si="206"/>
        <v>2026-01</v>
      </c>
      <c r="W1610" s="1">
        <f>IF(AND(U1610="INCLUDED",X1610&gt;0,EXACT(A1610,'AI output'!A1610)),1,0)</f>
        <v>1</v>
      </c>
      <c r="X1610" s="1">
        <f>1610</f>
        <v>1610</v>
      </c>
      <c r="Y1610" s="1">
        <f>IF(AND(U1610="INCLUDED",W1610=1),--(NOT(EXACT(A1610,'AI output'!A1610)))+--(NOT(EXACT(B1610,'AI output'!B1610)))+--(NOT(EXACT(TEXT(G1610,"yyyy-mm-dd"),'AI output'!C1610)))+--(NOT(EXACT(H1610,'AI output'!D1610)))+--(NOT(EXACT(J1610,'AI output'!E1610)))+--(NOT(EXACT(K1610,'AI output'!F1610)))+--(N1610&lt;&gt;'AI output'!L1610)+--(NOT('AI output'!M1610)),0)</f>
        <v>0</v>
      </c>
      <c r="Z1610" s="1">
        <f t="shared" si="207"/>
        <v>0</v>
      </c>
      <c r="AA1610" s="1">
        <f>--EXACT(A1610,"L01604")</f>
        <v>1</v>
      </c>
    </row>
    <row r="1611" spans="1:27" ht="18.95" customHeight="1">
      <c r="A1611" s="1" t="str">
        <f>IF(Raw!A1611="","",Raw!A1611)</f>
        <v>L01605</v>
      </c>
      <c r="B1611" s="1" t="str">
        <f>IF(Raw!B1611="","",Raw!B1611)</f>
        <v>T00803</v>
      </c>
      <c r="C1611" s="1" t="str">
        <f>IF(Raw!C1611="","",Raw!C1611)</f>
        <v>2026-02-04</v>
      </c>
      <c r="D1611" s="1">
        <f t="shared" si="200"/>
        <v>2026</v>
      </c>
      <c r="E1611" s="1">
        <f>IFERROR(IF(AND(LEN(C1611)=10,MID(C1611,5,1)="-",MID(C1611,8,1)="-"),VALUE(MID(C1611,6,2)),IF(AND(LEN(C1611)=11,MID(C1611,3,1)="-",MID(C1611,7,1)="-"),MATCH(UPPER(MID(C1611,4,3)),Guide!$D$7:$D$18,0),0)),0)</f>
        <v>2</v>
      </c>
      <c r="F1611" s="1">
        <f t="shared" si="201"/>
        <v>4</v>
      </c>
      <c r="G1611" s="9">
        <f t="shared" si="202"/>
        <v>46057</v>
      </c>
      <c r="H1611" s="1" t="str">
        <f>IF(Raw!D1611="","",Raw!D1611)</f>
        <v>P-O</v>
      </c>
      <c r="I1611" s="1" t="str">
        <f>IFERROR(IF(EXACT(H1611,INDEX(Guide!$A$7:$A$9,MATCH(SUBSTITUTE(SUBSTITUTE(SUBSTITUTE(H1611,"~","~~"),"*","~*"),"?","~?"),Guide!$A$7:$A$9,0))),INDEX(Guide!$B$7:$B$9,MATCH(SUBSTITUTE(SUBSTITUTE(SUBSTITUTE(H1611,"~","~~"),"*","~*"),"?","~?"),Guide!$A$7:$A$9,0)),""),"")</f>
        <v>Office</v>
      </c>
      <c r="J1611" s="1" t="str">
        <f>IF(TRIM(Raw!E1611)="",I1611,IF(UPPER(TRIM(Raw!E1611))=UPPER(I1611),I1611,""))</f>
        <v>Office</v>
      </c>
      <c r="K1611" s="1" t="str">
        <f>IF(Raw!F1611="","",Raw!F1611)</f>
        <v>sale</v>
      </c>
      <c r="L1611" s="1" t="str">
        <f>IF(LEFT(TRIM(Raw!G1611),2)="-$","-"&amp;MID(TRIM(Raw!G1611),3,99),IF(LEFT(TRIM(Raw!G1611),1)="$",MID(TRIM(Raw!G1611),2,99),TRIM(Raw!G1611)))</f>
        <v>473.88</v>
      </c>
      <c r="M1611" s="1">
        <f t="shared" si="203"/>
        <v>473.88</v>
      </c>
      <c r="N1611" s="10">
        <f t="shared" si="204"/>
        <v>47388</v>
      </c>
      <c r="O1611" s="1" t="b">
        <f>IFERROR(IF(ISNUMBER(Raw!G1611),TRUE,OR(EXACT(L1611,TEXT(M1611,"0.00")),EXACT(L1611,TEXT(M1611,"#,##0.00")))),FALSE)</f>
        <v>1</v>
      </c>
      <c r="P1611" s="1" t="str">
        <f>LEN(IF(Raw!A1611="","",Raw!A1611))&amp;":"&amp;IF(Raw!A1611="","",Raw!A1611)&amp;"|"&amp;LEN(IF(Raw!B1611="","",Raw!B1611))&amp;":"&amp;IF(Raw!B1611="","",Raw!B1611)&amp;"|"&amp;LEN(IF(Raw!C1611="","",Raw!C1611))&amp;":"&amp;IF(Raw!C1611="","",Raw!C1611)&amp;"|"&amp;LEN(IF(Raw!D1611="","",Raw!D1611))&amp;":"&amp;IF(Raw!D1611="","",Raw!D1611)&amp;"|"&amp;LEN(IF(Raw!E1611="","",Raw!E1611))&amp;":"&amp;IF(Raw!E1611="","",Raw!E1611)&amp;"|"&amp;LEN(IF(Raw!F1611="","",Raw!F1611))&amp;":"&amp;IF(Raw!F1611="","",Raw!F1611)&amp;"|"&amp;LEN(IF(Raw!G1611="","",Raw!G1611))&amp;":"&amp;IF(Raw!G1611="","",Raw!G1611)</f>
        <v>6:L01605|6:T00803|10:2026-02-04|3:P-O|6:Office|4:sale|6:473.88</v>
      </c>
      <c r="Q1611" s="1">
        <f>1</f>
        <v>1</v>
      </c>
      <c r="R1611" s="1" t="b">
        <f>FALSE</f>
        <v>0</v>
      </c>
      <c r="S1611" s="1">
        <f>1</f>
        <v>1</v>
      </c>
      <c r="T1611" s="1" t="str">
        <f>IF(AND(Raw!A1611="",Raw!B1611="",Raw!C1611="",Raw!D1611="",Raw!E1611="",Raw!F1611="",Raw!G1611=""),"UNUSED",IF(A1611="","missing line ID",IF(B1611="","missing transaction ID",IF(G1611="",IF(C1611="","missing date","invalid date"),IF(I1611="","unknown product",IF(J1611="","conflicting category",IF(NOT(OR(EXACT(K1611,"sale"),EXACT(K1611,"refund"))),"unknown event",IF(OR(N1611="",NOT(O1611)),"invalid amount",IF(OR(AND(K1611="sale",N1611&lt;=0),AND(K1611="refund",N1611&gt;=0)),"invalid sign","")))))))))</f>
        <v/>
      </c>
      <c r="U1611" s="1" t="str">
        <f t="shared" si="205"/>
        <v>INCLUDED</v>
      </c>
      <c r="V1611" s="1" t="str">
        <f t="shared" si="206"/>
        <v>2026-02</v>
      </c>
      <c r="W1611" s="1">
        <f>IF(AND(U1611="INCLUDED",X1611&gt;0,EXACT(A1611,'AI output'!A1611)),1,0)</f>
        <v>1</v>
      </c>
      <c r="X1611" s="1">
        <f>1611</f>
        <v>1611</v>
      </c>
      <c r="Y1611" s="1">
        <f>IF(AND(U1611="INCLUDED",W1611=1),--(NOT(EXACT(A1611,'AI output'!A1611)))+--(NOT(EXACT(B1611,'AI output'!B1611)))+--(NOT(EXACT(TEXT(G1611,"yyyy-mm-dd"),'AI output'!C1611)))+--(NOT(EXACT(H1611,'AI output'!D1611)))+--(NOT(EXACT(J1611,'AI output'!E1611)))+--(NOT(EXACT(K1611,'AI output'!F1611)))+--(N1611&lt;&gt;'AI output'!L1611)+--(NOT('AI output'!M1611)),0)</f>
        <v>0</v>
      </c>
      <c r="Z1611" s="1">
        <f t="shared" si="207"/>
        <v>0</v>
      </c>
      <c r="AA1611" s="1">
        <f>--EXACT(A1611,"L01605")</f>
        <v>1</v>
      </c>
    </row>
    <row r="1612" spans="1:27" ht="18.95" customHeight="1">
      <c r="A1612" s="1" t="str">
        <f>IF(Raw!A1612="","",Raw!A1612)</f>
        <v>L01606</v>
      </c>
      <c r="B1612" s="1" t="str">
        <f>IF(Raw!B1612="","",Raw!B1612)</f>
        <v>T00803</v>
      </c>
      <c r="C1612" s="1" t="str">
        <f>IF(Raw!C1612="","",Raw!C1612)</f>
        <v>2026-02-04</v>
      </c>
      <c r="D1612" s="1">
        <f t="shared" si="200"/>
        <v>2026</v>
      </c>
      <c r="E1612" s="1">
        <f>IFERROR(IF(AND(LEN(C1612)=10,MID(C1612,5,1)="-",MID(C1612,8,1)="-"),VALUE(MID(C1612,6,2)),IF(AND(LEN(C1612)=11,MID(C1612,3,1)="-",MID(C1612,7,1)="-"),MATCH(UPPER(MID(C1612,4,3)),Guide!$D$7:$D$18,0),0)),0)</f>
        <v>2</v>
      </c>
      <c r="F1612" s="1">
        <f t="shared" si="201"/>
        <v>4</v>
      </c>
      <c r="G1612" s="9">
        <f t="shared" si="202"/>
        <v>46057</v>
      </c>
      <c r="H1612" s="1" t="str">
        <f>IF(Raw!D1612="","",Raw!D1612)</f>
        <v>P-A</v>
      </c>
      <c r="I1612" s="1" t="str">
        <f>IFERROR(IF(EXACT(H1612,INDEX(Guide!$A$7:$A$9,MATCH(SUBSTITUTE(SUBSTITUTE(SUBSTITUTE(H1612,"~","~~"),"*","~*"),"?","~?"),Guide!$A$7:$A$9,0))),INDEX(Guide!$B$7:$B$9,MATCH(SUBSTITUTE(SUBSTITUTE(SUBSTITUTE(H1612,"~","~~"),"*","~*"),"?","~?"),Guide!$A$7:$A$9,0)),""),"")</f>
        <v>Accessories</v>
      </c>
      <c r="J1612" s="1" t="str">
        <f>IF(TRIM(Raw!E1612)="",I1612,IF(UPPER(TRIM(Raw!E1612))=UPPER(I1612),I1612,""))</f>
        <v>Accessories</v>
      </c>
      <c r="K1612" s="1" t="str">
        <f>IF(Raw!F1612="","",Raw!F1612)</f>
        <v>sale</v>
      </c>
      <c r="L1612" s="1" t="str">
        <f>IF(LEFT(TRIM(Raw!G1612),2)="-$","-"&amp;MID(TRIM(Raw!G1612),3,99),IF(LEFT(TRIM(Raw!G1612),1)="$",MID(TRIM(Raw!G1612),2,99),TRIM(Raw!G1612)))</f>
        <v>118.84</v>
      </c>
      <c r="M1612" s="1">
        <f t="shared" si="203"/>
        <v>118.84</v>
      </c>
      <c r="N1612" s="10">
        <f t="shared" si="204"/>
        <v>11884</v>
      </c>
      <c r="O1612" s="1" t="b">
        <f>IFERROR(IF(ISNUMBER(Raw!G1612),TRUE,OR(EXACT(L1612,TEXT(M1612,"0.00")),EXACT(L1612,TEXT(M1612,"#,##0.00")))),FALSE)</f>
        <v>1</v>
      </c>
      <c r="P1612" s="1" t="str">
        <f>LEN(IF(Raw!A1612="","",Raw!A1612))&amp;":"&amp;IF(Raw!A1612="","",Raw!A1612)&amp;"|"&amp;LEN(IF(Raw!B1612="","",Raw!B1612))&amp;":"&amp;IF(Raw!B1612="","",Raw!B1612)&amp;"|"&amp;LEN(IF(Raw!C1612="","",Raw!C1612))&amp;":"&amp;IF(Raw!C1612="","",Raw!C1612)&amp;"|"&amp;LEN(IF(Raw!D1612="","",Raw!D1612))&amp;":"&amp;IF(Raw!D1612="","",Raw!D1612)&amp;"|"&amp;LEN(IF(Raw!E1612="","",Raw!E1612))&amp;":"&amp;IF(Raw!E1612="","",Raw!E1612)&amp;"|"&amp;LEN(IF(Raw!F1612="","",Raw!F1612))&amp;":"&amp;IF(Raw!F1612="","",Raw!F1612)&amp;"|"&amp;LEN(IF(Raw!G1612="","",Raw!G1612))&amp;":"&amp;IF(Raw!G1612="","",Raw!G1612)</f>
        <v>6:L01606|6:T00803|10:2026-02-04|3:P-A|11:Accessories|4:sale|6:118.84</v>
      </c>
      <c r="Q1612" s="1">
        <f>1</f>
        <v>1</v>
      </c>
      <c r="R1612" s="1" t="b">
        <f>FALSE</f>
        <v>0</v>
      </c>
      <c r="S1612" s="1">
        <f>1</f>
        <v>1</v>
      </c>
      <c r="T1612" s="1" t="str">
        <f>IF(AND(Raw!A1612="",Raw!B1612="",Raw!C1612="",Raw!D1612="",Raw!E1612="",Raw!F1612="",Raw!G1612=""),"UNUSED",IF(A1612="","missing line ID",IF(B1612="","missing transaction ID",IF(G1612="",IF(C1612="","missing date","invalid date"),IF(I1612="","unknown product",IF(J1612="","conflicting category",IF(NOT(OR(EXACT(K1612,"sale"),EXACT(K1612,"refund"))),"unknown event",IF(OR(N1612="",NOT(O1612)),"invalid amount",IF(OR(AND(K1612="sale",N1612&lt;=0),AND(K1612="refund",N1612&gt;=0)),"invalid sign","")))))))))</f>
        <v/>
      </c>
      <c r="U1612" s="1" t="str">
        <f t="shared" si="205"/>
        <v>INCLUDED</v>
      </c>
      <c r="V1612" s="1" t="str">
        <f t="shared" si="206"/>
        <v>2026-02</v>
      </c>
      <c r="W1612" s="1">
        <f>IF(AND(U1612="INCLUDED",X1612&gt;0,EXACT(A1612,'AI output'!A1612)),1,0)</f>
        <v>1</v>
      </c>
      <c r="X1612" s="1">
        <f>1612</f>
        <v>1612</v>
      </c>
      <c r="Y1612" s="1">
        <f>IF(AND(U1612="INCLUDED",W1612=1),--(NOT(EXACT(A1612,'AI output'!A1612)))+--(NOT(EXACT(B1612,'AI output'!B1612)))+--(NOT(EXACT(TEXT(G1612,"yyyy-mm-dd"),'AI output'!C1612)))+--(NOT(EXACT(H1612,'AI output'!D1612)))+--(NOT(EXACT(J1612,'AI output'!E1612)))+--(NOT(EXACT(K1612,'AI output'!F1612)))+--(N1612&lt;&gt;'AI output'!L1612)+--(NOT('AI output'!M1612)),0)</f>
        <v>0</v>
      </c>
      <c r="Z1612" s="1">
        <f t="shared" si="207"/>
        <v>0</v>
      </c>
      <c r="AA1612" s="1">
        <f>--EXACT(A1612,"L01606")</f>
        <v>1</v>
      </c>
    </row>
    <row r="1613" spans="1:27" ht="18.95" customHeight="1">
      <c r="A1613" s="1" t="str">
        <f>IF(Raw!A1613="","",Raw!A1613)</f>
        <v>L01607</v>
      </c>
      <c r="B1613" s="1" t="str">
        <f>IF(Raw!B1613="","",Raw!B1613)</f>
        <v>T00804</v>
      </c>
      <c r="C1613" s="1" t="str">
        <f>IF(Raw!C1613="","",Raw!C1613)</f>
        <v>2026-02-11</v>
      </c>
      <c r="D1613" s="1">
        <f t="shared" si="200"/>
        <v>2026</v>
      </c>
      <c r="E1613" s="1">
        <f>IFERROR(IF(AND(LEN(C1613)=10,MID(C1613,5,1)="-",MID(C1613,8,1)="-"),VALUE(MID(C1613,6,2)),IF(AND(LEN(C1613)=11,MID(C1613,3,1)="-",MID(C1613,7,1)="-"),MATCH(UPPER(MID(C1613,4,3)),Guide!$D$7:$D$18,0),0)),0)</f>
        <v>2</v>
      </c>
      <c r="F1613" s="1">
        <f t="shared" si="201"/>
        <v>11</v>
      </c>
      <c r="G1613" s="9">
        <f t="shared" si="202"/>
        <v>46064</v>
      </c>
      <c r="H1613" s="1" t="str">
        <f>IF(Raw!D1613="","",Raw!D1613)</f>
        <v>P-H</v>
      </c>
      <c r="I1613" s="1" t="str">
        <f>IFERROR(IF(EXACT(H1613,INDEX(Guide!$A$7:$A$9,MATCH(SUBSTITUTE(SUBSTITUTE(SUBSTITUTE(H1613,"~","~~"),"*","~*"),"?","~?"),Guide!$A$7:$A$9,0))),INDEX(Guide!$B$7:$B$9,MATCH(SUBSTITUTE(SUBSTITUTE(SUBSTITUTE(H1613,"~","~~"),"*","~*"),"?","~?"),Guide!$A$7:$A$9,0)),""),"")</f>
        <v>Home</v>
      </c>
      <c r="J1613" s="1" t="str">
        <f>IF(TRIM(Raw!E1613)="",I1613,IF(UPPER(TRIM(Raw!E1613))=UPPER(I1613),I1613,""))</f>
        <v>Home</v>
      </c>
      <c r="K1613" s="1" t="str">
        <f>IF(Raw!F1613="","",Raw!F1613)</f>
        <v>sale</v>
      </c>
      <c r="L1613" s="1" t="str">
        <f>IF(LEFT(TRIM(Raw!G1613),2)="-$","-"&amp;MID(TRIM(Raw!G1613),3,99),IF(LEFT(TRIM(Raw!G1613),1)="$",MID(TRIM(Raw!G1613),2,99),TRIM(Raw!G1613)))</f>
        <v>357.63</v>
      </c>
      <c r="M1613" s="1">
        <f t="shared" si="203"/>
        <v>357.63</v>
      </c>
      <c r="N1613" s="10">
        <f t="shared" si="204"/>
        <v>35763</v>
      </c>
      <c r="O1613" s="1" t="b">
        <f>IFERROR(IF(ISNUMBER(Raw!G1613),TRUE,OR(EXACT(L1613,TEXT(M1613,"0.00")),EXACT(L1613,TEXT(M1613,"#,##0.00")))),FALSE)</f>
        <v>1</v>
      </c>
      <c r="P1613" s="1" t="str">
        <f>LEN(IF(Raw!A1613="","",Raw!A1613))&amp;":"&amp;IF(Raw!A1613="","",Raw!A1613)&amp;"|"&amp;LEN(IF(Raw!B1613="","",Raw!B1613))&amp;":"&amp;IF(Raw!B1613="","",Raw!B1613)&amp;"|"&amp;LEN(IF(Raw!C1613="","",Raw!C1613))&amp;":"&amp;IF(Raw!C1613="","",Raw!C1613)&amp;"|"&amp;LEN(IF(Raw!D1613="","",Raw!D1613))&amp;":"&amp;IF(Raw!D1613="","",Raw!D1613)&amp;"|"&amp;LEN(IF(Raw!E1613="","",Raw!E1613))&amp;":"&amp;IF(Raw!E1613="","",Raw!E1613)&amp;"|"&amp;LEN(IF(Raw!F1613="","",Raw!F1613))&amp;":"&amp;IF(Raw!F1613="","",Raw!F1613)&amp;"|"&amp;LEN(IF(Raw!G1613="","",Raw!G1613))&amp;":"&amp;IF(Raw!G1613="","",Raw!G1613)</f>
        <v>6:L01607|6:T00804|10:2026-02-11|3:P-H|4:Home|4:sale|6:357.63</v>
      </c>
      <c r="Q1613" s="1">
        <f>1</f>
        <v>1</v>
      </c>
      <c r="R1613" s="1" t="b">
        <f>FALSE</f>
        <v>0</v>
      </c>
      <c r="S1613" s="1">
        <f>1</f>
        <v>1</v>
      </c>
      <c r="T1613" s="1" t="str">
        <f>IF(AND(Raw!A1613="",Raw!B1613="",Raw!C1613="",Raw!D1613="",Raw!E1613="",Raw!F1613="",Raw!G1613=""),"UNUSED",IF(A1613="","missing line ID",IF(B1613="","missing transaction ID",IF(G1613="",IF(C1613="","missing date","invalid date"),IF(I1613="","unknown product",IF(J1613="","conflicting category",IF(NOT(OR(EXACT(K1613,"sale"),EXACT(K1613,"refund"))),"unknown event",IF(OR(N1613="",NOT(O1613)),"invalid amount",IF(OR(AND(K1613="sale",N1613&lt;=0),AND(K1613="refund",N1613&gt;=0)),"invalid sign","")))))))))</f>
        <v/>
      </c>
      <c r="U1613" s="1" t="str">
        <f t="shared" si="205"/>
        <v>INCLUDED</v>
      </c>
      <c r="V1613" s="1" t="str">
        <f t="shared" si="206"/>
        <v>2026-02</v>
      </c>
      <c r="W1613" s="1">
        <f>IF(AND(U1613="INCLUDED",X1613&gt;0,EXACT(A1613,'AI output'!A1613)),1,0)</f>
        <v>1</v>
      </c>
      <c r="X1613" s="1">
        <f>1613</f>
        <v>1613</v>
      </c>
      <c r="Y1613" s="1">
        <f>IF(AND(U1613="INCLUDED",W1613=1),--(NOT(EXACT(A1613,'AI output'!A1613)))+--(NOT(EXACT(B1613,'AI output'!B1613)))+--(NOT(EXACT(TEXT(G1613,"yyyy-mm-dd"),'AI output'!C1613)))+--(NOT(EXACT(H1613,'AI output'!D1613)))+--(NOT(EXACT(J1613,'AI output'!E1613)))+--(NOT(EXACT(K1613,'AI output'!F1613)))+--(N1613&lt;&gt;'AI output'!L1613)+--(NOT('AI output'!M1613)),0)</f>
        <v>0</v>
      </c>
      <c r="Z1613" s="1">
        <f t="shared" si="207"/>
        <v>0</v>
      </c>
      <c r="AA1613" s="1">
        <f>--EXACT(A1613,"L01607")</f>
        <v>1</v>
      </c>
    </row>
    <row r="1614" spans="1:27" ht="18.95" customHeight="1">
      <c r="A1614" s="1" t="str">
        <f>IF(Raw!A1614="","",Raw!A1614)</f>
        <v>L01608</v>
      </c>
      <c r="B1614" s="1" t="str">
        <f>IF(Raw!B1614="","",Raw!B1614)</f>
        <v>T00804</v>
      </c>
      <c r="C1614" s="1" t="str">
        <f>IF(Raw!C1614="","",Raw!C1614)</f>
        <v>2026-02-11</v>
      </c>
      <c r="D1614" s="1">
        <f t="shared" si="200"/>
        <v>2026</v>
      </c>
      <c r="E1614" s="1">
        <f>IFERROR(IF(AND(LEN(C1614)=10,MID(C1614,5,1)="-",MID(C1614,8,1)="-"),VALUE(MID(C1614,6,2)),IF(AND(LEN(C1614)=11,MID(C1614,3,1)="-",MID(C1614,7,1)="-"),MATCH(UPPER(MID(C1614,4,3)),Guide!$D$7:$D$18,0),0)),0)</f>
        <v>2</v>
      </c>
      <c r="F1614" s="1">
        <f t="shared" si="201"/>
        <v>11</v>
      </c>
      <c r="G1614" s="9">
        <f t="shared" si="202"/>
        <v>46064</v>
      </c>
      <c r="H1614" s="1" t="str">
        <f>IF(Raw!D1614="","",Raw!D1614)</f>
        <v>P-O</v>
      </c>
      <c r="I1614" s="1" t="str">
        <f>IFERROR(IF(EXACT(H1614,INDEX(Guide!$A$7:$A$9,MATCH(SUBSTITUTE(SUBSTITUTE(SUBSTITUTE(H1614,"~","~~"),"*","~*"),"?","~?"),Guide!$A$7:$A$9,0))),INDEX(Guide!$B$7:$B$9,MATCH(SUBSTITUTE(SUBSTITUTE(SUBSTITUTE(H1614,"~","~~"),"*","~*"),"?","~?"),Guide!$A$7:$A$9,0)),""),"")</f>
        <v>Office</v>
      </c>
      <c r="J1614" s="1" t="str">
        <f>IF(TRIM(Raw!E1614)="",I1614,IF(UPPER(TRIM(Raw!E1614))=UPPER(I1614),I1614,""))</f>
        <v>Office</v>
      </c>
      <c r="K1614" s="1" t="str">
        <f>IF(Raw!F1614="","",Raw!F1614)</f>
        <v>sale</v>
      </c>
      <c r="L1614" s="1" t="str">
        <f>IF(LEFT(TRIM(Raw!G1614),2)="-$","-"&amp;MID(TRIM(Raw!G1614),3,99),IF(LEFT(TRIM(Raw!G1614),1)="$",MID(TRIM(Raw!G1614),2,99),TRIM(Raw!G1614)))</f>
        <v>597.90</v>
      </c>
      <c r="M1614" s="1">
        <f t="shared" si="203"/>
        <v>597.9</v>
      </c>
      <c r="N1614" s="10">
        <f t="shared" si="204"/>
        <v>59790</v>
      </c>
      <c r="O1614" s="1" t="b">
        <f>IFERROR(IF(ISNUMBER(Raw!G1614),TRUE,OR(EXACT(L1614,TEXT(M1614,"0.00")),EXACT(L1614,TEXT(M1614,"#,##0.00")))),FALSE)</f>
        <v>1</v>
      </c>
      <c r="P1614" s="1" t="str">
        <f>LEN(IF(Raw!A1614="","",Raw!A1614))&amp;":"&amp;IF(Raw!A1614="","",Raw!A1614)&amp;"|"&amp;LEN(IF(Raw!B1614="","",Raw!B1614))&amp;":"&amp;IF(Raw!B1614="","",Raw!B1614)&amp;"|"&amp;LEN(IF(Raw!C1614="","",Raw!C1614))&amp;":"&amp;IF(Raw!C1614="","",Raw!C1614)&amp;"|"&amp;LEN(IF(Raw!D1614="","",Raw!D1614))&amp;":"&amp;IF(Raw!D1614="","",Raw!D1614)&amp;"|"&amp;LEN(IF(Raw!E1614="","",Raw!E1614))&amp;":"&amp;IF(Raw!E1614="","",Raw!E1614)&amp;"|"&amp;LEN(IF(Raw!F1614="","",Raw!F1614))&amp;":"&amp;IF(Raw!F1614="","",Raw!F1614)&amp;"|"&amp;LEN(IF(Raw!G1614="","",Raw!G1614))&amp;":"&amp;IF(Raw!G1614="","",Raw!G1614)</f>
        <v>6:L01608|6:T00804|10:2026-02-11|3:P-O|6:Office|4:sale|6:597.90</v>
      </c>
      <c r="Q1614" s="1">
        <f>1</f>
        <v>1</v>
      </c>
      <c r="R1614" s="1" t="b">
        <f>FALSE</f>
        <v>0</v>
      </c>
      <c r="S1614" s="1">
        <f>1</f>
        <v>1</v>
      </c>
      <c r="T1614" s="1" t="str">
        <f>IF(AND(Raw!A1614="",Raw!B1614="",Raw!C1614="",Raw!D1614="",Raw!E1614="",Raw!F1614="",Raw!G1614=""),"UNUSED",IF(A1614="","missing line ID",IF(B1614="","missing transaction ID",IF(G1614="",IF(C1614="","missing date","invalid date"),IF(I1614="","unknown product",IF(J1614="","conflicting category",IF(NOT(OR(EXACT(K1614,"sale"),EXACT(K1614,"refund"))),"unknown event",IF(OR(N1614="",NOT(O1614)),"invalid amount",IF(OR(AND(K1614="sale",N1614&lt;=0),AND(K1614="refund",N1614&gt;=0)),"invalid sign","")))))))))</f>
        <v/>
      </c>
      <c r="U1614" s="1" t="str">
        <f t="shared" si="205"/>
        <v>INCLUDED</v>
      </c>
      <c r="V1614" s="1" t="str">
        <f t="shared" si="206"/>
        <v>2026-02</v>
      </c>
      <c r="W1614" s="1">
        <f>IF(AND(U1614="INCLUDED",X1614&gt;0,EXACT(A1614,'AI output'!A1614)),1,0)</f>
        <v>1</v>
      </c>
      <c r="X1614" s="1">
        <f>1614</f>
        <v>1614</v>
      </c>
      <c r="Y1614" s="1">
        <f>IF(AND(U1614="INCLUDED",W1614=1),--(NOT(EXACT(A1614,'AI output'!A1614)))+--(NOT(EXACT(B1614,'AI output'!B1614)))+--(NOT(EXACT(TEXT(G1614,"yyyy-mm-dd"),'AI output'!C1614)))+--(NOT(EXACT(H1614,'AI output'!D1614)))+--(NOT(EXACT(J1614,'AI output'!E1614)))+--(NOT(EXACT(K1614,'AI output'!F1614)))+--(N1614&lt;&gt;'AI output'!L1614)+--(NOT('AI output'!M1614)),0)</f>
        <v>0</v>
      </c>
      <c r="Z1614" s="1">
        <f t="shared" si="207"/>
        <v>0</v>
      </c>
      <c r="AA1614" s="1">
        <f>--EXACT(A1614,"L01608")</f>
        <v>1</v>
      </c>
    </row>
    <row r="1615" spans="1:27" ht="18.95" customHeight="1">
      <c r="A1615" s="1" t="str">
        <f>IF(Raw!A1615="","",Raw!A1615)</f>
        <v>L01609</v>
      </c>
      <c r="B1615" s="1" t="str">
        <f>IF(Raw!B1615="","",Raw!B1615)</f>
        <v>T00805</v>
      </c>
      <c r="C1615" s="1" t="str">
        <f>IF(Raw!C1615="","",Raw!C1615)</f>
        <v>2026-02-18</v>
      </c>
      <c r="D1615" s="1">
        <f t="shared" si="200"/>
        <v>2026</v>
      </c>
      <c r="E1615" s="1">
        <f>IFERROR(IF(AND(LEN(C1615)=10,MID(C1615,5,1)="-",MID(C1615,8,1)="-"),VALUE(MID(C1615,6,2)),IF(AND(LEN(C1615)=11,MID(C1615,3,1)="-",MID(C1615,7,1)="-"),MATCH(UPPER(MID(C1615,4,3)),Guide!$D$7:$D$18,0),0)),0)</f>
        <v>2</v>
      </c>
      <c r="F1615" s="1">
        <f t="shared" si="201"/>
        <v>18</v>
      </c>
      <c r="G1615" s="9">
        <f t="shared" si="202"/>
        <v>46071</v>
      </c>
      <c r="H1615" s="1" t="str">
        <f>IF(Raw!D1615="","",Raw!D1615)</f>
        <v>P-A</v>
      </c>
      <c r="I1615" s="1" t="str">
        <f>IFERROR(IF(EXACT(H1615,INDEX(Guide!$A$7:$A$9,MATCH(SUBSTITUTE(SUBSTITUTE(SUBSTITUTE(H1615,"~","~~"),"*","~*"),"?","~?"),Guide!$A$7:$A$9,0))),INDEX(Guide!$B$7:$B$9,MATCH(SUBSTITUTE(SUBSTITUTE(SUBSTITUTE(H1615,"~","~~"),"*","~*"),"?","~?"),Guide!$A$7:$A$9,0)),""),"")</f>
        <v>Accessories</v>
      </c>
      <c r="J1615" s="1" t="str">
        <f>IF(TRIM(Raw!E1615)="",I1615,IF(UPPER(TRIM(Raw!E1615))=UPPER(I1615),I1615,""))</f>
        <v>Accessories</v>
      </c>
      <c r="K1615" s="1" t="str">
        <f>IF(Raw!F1615="","",Raw!F1615)</f>
        <v>sale</v>
      </c>
      <c r="L1615" s="1" t="str">
        <f>IF(LEFT(TRIM(Raw!G1615),2)="-$","-"&amp;MID(TRIM(Raw!G1615),3,99),IF(LEFT(TRIM(Raw!G1615),1)="$",MID(TRIM(Raw!G1615),2,99),TRIM(Raw!G1615)))</f>
        <v>239.90</v>
      </c>
      <c r="M1615" s="1">
        <f t="shared" si="203"/>
        <v>239.9</v>
      </c>
      <c r="N1615" s="10">
        <f t="shared" si="204"/>
        <v>23990</v>
      </c>
      <c r="O1615" s="1" t="b">
        <f>IFERROR(IF(ISNUMBER(Raw!G1615),TRUE,OR(EXACT(L1615,TEXT(M1615,"0.00")),EXACT(L1615,TEXT(M1615,"#,##0.00")))),FALSE)</f>
        <v>1</v>
      </c>
      <c r="P1615" s="1" t="str">
        <f>LEN(IF(Raw!A1615="","",Raw!A1615))&amp;":"&amp;IF(Raw!A1615="","",Raw!A1615)&amp;"|"&amp;LEN(IF(Raw!B1615="","",Raw!B1615))&amp;":"&amp;IF(Raw!B1615="","",Raw!B1615)&amp;"|"&amp;LEN(IF(Raw!C1615="","",Raw!C1615))&amp;":"&amp;IF(Raw!C1615="","",Raw!C1615)&amp;"|"&amp;LEN(IF(Raw!D1615="","",Raw!D1615))&amp;":"&amp;IF(Raw!D1615="","",Raw!D1615)&amp;"|"&amp;LEN(IF(Raw!E1615="","",Raw!E1615))&amp;":"&amp;IF(Raw!E1615="","",Raw!E1615)&amp;"|"&amp;LEN(IF(Raw!F1615="","",Raw!F1615))&amp;":"&amp;IF(Raw!F1615="","",Raw!F1615)&amp;"|"&amp;LEN(IF(Raw!G1615="","",Raw!G1615))&amp;":"&amp;IF(Raw!G1615="","",Raw!G1615)</f>
        <v>6:L01609|6:T00805|10:2026-02-18|3:P-A|11:Accessories|4:sale|6:239.90</v>
      </c>
      <c r="Q1615" s="1">
        <f>1</f>
        <v>1</v>
      </c>
      <c r="R1615" s="1" t="b">
        <f>FALSE</f>
        <v>0</v>
      </c>
      <c r="S1615" s="1">
        <f>1</f>
        <v>1</v>
      </c>
      <c r="T1615" s="1" t="str">
        <f>IF(AND(Raw!A1615="",Raw!B1615="",Raw!C1615="",Raw!D1615="",Raw!E1615="",Raw!F1615="",Raw!G1615=""),"UNUSED",IF(A1615="","missing line ID",IF(B1615="","missing transaction ID",IF(G1615="",IF(C1615="","missing date","invalid date"),IF(I1615="","unknown product",IF(J1615="","conflicting category",IF(NOT(OR(EXACT(K1615,"sale"),EXACT(K1615,"refund"))),"unknown event",IF(OR(N1615="",NOT(O1615)),"invalid amount",IF(OR(AND(K1615="sale",N1615&lt;=0),AND(K1615="refund",N1615&gt;=0)),"invalid sign","")))))))))</f>
        <v/>
      </c>
      <c r="U1615" s="1" t="str">
        <f t="shared" si="205"/>
        <v>INCLUDED</v>
      </c>
      <c r="V1615" s="1" t="str">
        <f t="shared" si="206"/>
        <v>2026-02</v>
      </c>
      <c r="W1615" s="1">
        <f>IF(AND(U1615="INCLUDED",X1615&gt;0,EXACT(A1615,'AI output'!A1615)),1,0)</f>
        <v>1</v>
      </c>
      <c r="X1615" s="1">
        <f>1615</f>
        <v>1615</v>
      </c>
      <c r="Y1615" s="1">
        <f>IF(AND(U1615="INCLUDED",W1615=1),--(NOT(EXACT(A1615,'AI output'!A1615)))+--(NOT(EXACT(B1615,'AI output'!B1615)))+--(NOT(EXACT(TEXT(G1615,"yyyy-mm-dd"),'AI output'!C1615)))+--(NOT(EXACT(H1615,'AI output'!D1615)))+--(NOT(EXACT(J1615,'AI output'!E1615)))+--(NOT(EXACT(K1615,'AI output'!F1615)))+--(N1615&lt;&gt;'AI output'!L1615)+--(NOT('AI output'!M1615)),0)</f>
        <v>0</v>
      </c>
      <c r="Z1615" s="1">
        <f t="shared" si="207"/>
        <v>0</v>
      </c>
      <c r="AA1615" s="1">
        <f>--EXACT(A1615,"L01609")</f>
        <v>1</v>
      </c>
    </row>
    <row r="1616" spans="1:27" ht="18.95" customHeight="1">
      <c r="A1616" s="1" t="str">
        <f>IF(Raw!A1616="","",Raw!A1616)</f>
        <v>L01610</v>
      </c>
      <c r="B1616" s="1" t="str">
        <f>IF(Raw!B1616="","",Raw!B1616)</f>
        <v>T00805</v>
      </c>
      <c r="C1616" s="1" t="str">
        <f>IF(Raw!C1616="","",Raw!C1616)</f>
        <v>2026-02-18</v>
      </c>
      <c r="D1616" s="1">
        <f t="shared" si="200"/>
        <v>2026</v>
      </c>
      <c r="E1616" s="1">
        <f>IFERROR(IF(AND(LEN(C1616)=10,MID(C1616,5,1)="-",MID(C1616,8,1)="-"),VALUE(MID(C1616,6,2)),IF(AND(LEN(C1616)=11,MID(C1616,3,1)="-",MID(C1616,7,1)="-"),MATCH(UPPER(MID(C1616,4,3)),Guide!$D$7:$D$18,0),0)),0)</f>
        <v>2</v>
      </c>
      <c r="F1616" s="1">
        <f t="shared" si="201"/>
        <v>18</v>
      </c>
      <c r="G1616" s="9">
        <f t="shared" si="202"/>
        <v>46071</v>
      </c>
      <c r="H1616" s="1" t="str">
        <f>IF(Raw!D1616="","",Raw!D1616)</f>
        <v>P-H</v>
      </c>
      <c r="I1616" s="1" t="str">
        <f>IFERROR(IF(EXACT(H1616,INDEX(Guide!$A$7:$A$9,MATCH(SUBSTITUTE(SUBSTITUTE(SUBSTITUTE(H1616,"~","~~"),"*","~*"),"?","~?"),Guide!$A$7:$A$9,0))),INDEX(Guide!$B$7:$B$9,MATCH(SUBSTITUTE(SUBSTITUTE(SUBSTITUTE(H1616,"~","~~"),"*","~*"),"?","~?"),Guide!$A$7:$A$9,0)),""),"")</f>
        <v>Home</v>
      </c>
      <c r="J1616" s="1" t="str">
        <f>IF(TRIM(Raw!E1616)="",I1616,IF(UPPER(TRIM(Raw!E1616))=UPPER(I1616),I1616,""))</f>
        <v>Home</v>
      </c>
      <c r="K1616" s="1" t="str">
        <f>IF(Raw!F1616="","",Raw!F1616)</f>
        <v>sale</v>
      </c>
      <c r="L1616" s="1" t="str">
        <f>IF(LEFT(TRIM(Raw!G1616),2)="-$","-"&amp;MID(TRIM(Raw!G1616),3,99),IF(LEFT(TRIM(Raw!G1616),1)="$",MID(TRIM(Raw!G1616),2,99),TRIM(Raw!G1616)))</f>
        <v>481.28</v>
      </c>
      <c r="M1616" s="1">
        <f t="shared" si="203"/>
        <v>481.28</v>
      </c>
      <c r="N1616" s="10">
        <f t="shared" si="204"/>
        <v>48128</v>
      </c>
      <c r="O1616" s="1" t="b">
        <f>IFERROR(IF(ISNUMBER(Raw!G1616),TRUE,OR(EXACT(L1616,TEXT(M1616,"0.00")),EXACT(L1616,TEXT(M1616,"#,##0.00")))),FALSE)</f>
        <v>1</v>
      </c>
      <c r="P1616" s="1" t="str">
        <f>LEN(IF(Raw!A1616="","",Raw!A1616))&amp;":"&amp;IF(Raw!A1616="","",Raw!A1616)&amp;"|"&amp;LEN(IF(Raw!B1616="","",Raw!B1616))&amp;":"&amp;IF(Raw!B1616="","",Raw!B1616)&amp;"|"&amp;LEN(IF(Raw!C1616="","",Raw!C1616))&amp;":"&amp;IF(Raw!C1616="","",Raw!C1616)&amp;"|"&amp;LEN(IF(Raw!D1616="","",Raw!D1616))&amp;":"&amp;IF(Raw!D1616="","",Raw!D1616)&amp;"|"&amp;LEN(IF(Raw!E1616="","",Raw!E1616))&amp;":"&amp;IF(Raw!E1616="","",Raw!E1616)&amp;"|"&amp;LEN(IF(Raw!F1616="","",Raw!F1616))&amp;":"&amp;IF(Raw!F1616="","",Raw!F1616)&amp;"|"&amp;LEN(IF(Raw!G1616="","",Raw!G1616))&amp;":"&amp;IF(Raw!G1616="","",Raw!G1616)</f>
        <v>6:L01610|6:T00805|10:2026-02-18|3:P-H|4:Home|4:sale|6:481.28</v>
      </c>
      <c r="Q1616" s="1">
        <f>1</f>
        <v>1</v>
      </c>
      <c r="R1616" s="1" t="b">
        <f>FALSE</f>
        <v>0</v>
      </c>
      <c r="S1616" s="1">
        <f>1</f>
        <v>1</v>
      </c>
      <c r="T1616" s="1" t="str">
        <f>IF(AND(Raw!A1616="",Raw!B1616="",Raw!C1616="",Raw!D1616="",Raw!E1616="",Raw!F1616="",Raw!G1616=""),"UNUSED",IF(A1616="","missing line ID",IF(B1616="","missing transaction ID",IF(G1616="",IF(C1616="","missing date","invalid date"),IF(I1616="","unknown product",IF(J1616="","conflicting category",IF(NOT(OR(EXACT(K1616,"sale"),EXACT(K1616,"refund"))),"unknown event",IF(OR(N1616="",NOT(O1616)),"invalid amount",IF(OR(AND(K1616="sale",N1616&lt;=0),AND(K1616="refund",N1616&gt;=0)),"invalid sign","")))))))))</f>
        <v/>
      </c>
      <c r="U1616" s="1" t="str">
        <f t="shared" si="205"/>
        <v>INCLUDED</v>
      </c>
      <c r="V1616" s="1" t="str">
        <f t="shared" si="206"/>
        <v>2026-02</v>
      </c>
      <c r="W1616" s="1">
        <f>IF(AND(U1616="INCLUDED",X1616&gt;0,EXACT(A1616,'AI output'!A1616)),1,0)</f>
        <v>1</v>
      </c>
      <c r="X1616" s="1">
        <f>1616</f>
        <v>1616</v>
      </c>
      <c r="Y1616" s="1">
        <f>IF(AND(U1616="INCLUDED",W1616=1),--(NOT(EXACT(A1616,'AI output'!A1616)))+--(NOT(EXACT(B1616,'AI output'!B1616)))+--(NOT(EXACT(TEXT(G1616,"yyyy-mm-dd"),'AI output'!C1616)))+--(NOT(EXACT(H1616,'AI output'!D1616)))+--(NOT(EXACT(J1616,'AI output'!E1616)))+--(NOT(EXACT(K1616,'AI output'!F1616)))+--(N1616&lt;&gt;'AI output'!L1616)+--(NOT('AI output'!M1616)),0)</f>
        <v>0</v>
      </c>
      <c r="Z1616" s="1">
        <f t="shared" si="207"/>
        <v>0</v>
      </c>
      <c r="AA1616" s="1">
        <f>--EXACT(A1616,"L01610")</f>
        <v>1</v>
      </c>
    </row>
    <row r="1617" spans="1:27" ht="18.95" customHeight="1">
      <c r="A1617" s="1" t="str">
        <f>IF(Raw!A1617="","",Raw!A1617)</f>
        <v>L01611</v>
      </c>
      <c r="B1617" s="1" t="str">
        <f>IF(Raw!B1617="","",Raw!B1617)</f>
        <v>T00806</v>
      </c>
      <c r="C1617" s="1" t="str">
        <f>IF(Raw!C1617="","",Raw!C1617)</f>
        <v>2026-02-25</v>
      </c>
      <c r="D1617" s="1">
        <f t="shared" si="200"/>
        <v>2026</v>
      </c>
      <c r="E1617" s="1">
        <f>IFERROR(IF(AND(LEN(C1617)=10,MID(C1617,5,1)="-",MID(C1617,8,1)="-"),VALUE(MID(C1617,6,2)),IF(AND(LEN(C1617)=11,MID(C1617,3,1)="-",MID(C1617,7,1)="-"),MATCH(UPPER(MID(C1617,4,3)),Guide!$D$7:$D$18,0),0)),0)</f>
        <v>2</v>
      </c>
      <c r="F1617" s="1">
        <f t="shared" si="201"/>
        <v>25</v>
      </c>
      <c r="G1617" s="9">
        <f t="shared" si="202"/>
        <v>46078</v>
      </c>
      <c r="H1617" s="1" t="str">
        <f>IF(Raw!D1617="","",Raw!D1617)</f>
        <v>P-O</v>
      </c>
      <c r="I1617" s="1" t="str">
        <f>IFERROR(IF(EXACT(H1617,INDEX(Guide!$A$7:$A$9,MATCH(SUBSTITUTE(SUBSTITUTE(SUBSTITUTE(H1617,"~","~~"),"*","~*"),"?","~?"),Guide!$A$7:$A$9,0))),INDEX(Guide!$B$7:$B$9,MATCH(SUBSTITUTE(SUBSTITUTE(SUBSTITUTE(H1617,"~","~~"),"*","~*"),"?","~?"),Guide!$A$7:$A$9,0)),""),"")</f>
        <v>Office</v>
      </c>
      <c r="J1617" s="1" t="str">
        <f>IF(TRIM(Raw!E1617)="",I1617,IF(UPPER(TRIM(Raw!E1617))=UPPER(I1617),I1617,""))</f>
        <v>Office</v>
      </c>
      <c r="K1617" s="1" t="str">
        <f>IF(Raw!F1617="","",Raw!F1617)</f>
        <v>refund</v>
      </c>
      <c r="L1617" s="1" t="str">
        <f>IF(LEFT(TRIM(Raw!G1617),2)="-$","-"&amp;MID(TRIM(Raw!G1617),3,99),IF(LEFT(TRIM(Raw!G1617),1)="$",MID(TRIM(Raw!G1617),2,99),TRIM(Raw!G1617)))</f>
        <v>-120.69</v>
      </c>
      <c r="M1617" s="1">
        <f t="shared" si="203"/>
        <v>-120.69</v>
      </c>
      <c r="N1617" s="10">
        <f t="shared" si="204"/>
        <v>-12069</v>
      </c>
      <c r="O1617" s="1" t="b">
        <f>IFERROR(IF(ISNUMBER(Raw!G1617),TRUE,OR(EXACT(L1617,TEXT(M1617,"0.00")),EXACT(L1617,TEXT(M1617,"#,##0.00")))),FALSE)</f>
        <v>1</v>
      </c>
      <c r="P1617" s="1" t="str">
        <f>LEN(IF(Raw!A1617="","",Raw!A1617))&amp;":"&amp;IF(Raw!A1617="","",Raw!A1617)&amp;"|"&amp;LEN(IF(Raw!B1617="","",Raw!B1617))&amp;":"&amp;IF(Raw!B1617="","",Raw!B1617)&amp;"|"&amp;LEN(IF(Raw!C1617="","",Raw!C1617))&amp;":"&amp;IF(Raw!C1617="","",Raw!C1617)&amp;"|"&amp;LEN(IF(Raw!D1617="","",Raw!D1617))&amp;":"&amp;IF(Raw!D1617="","",Raw!D1617)&amp;"|"&amp;LEN(IF(Raw!E1617="","",Raw!E1617))&amp;":"&amp;IF(Raw!E1617="","",Raw!E1617)&amp;"|"&amp;LEN(IF(Raw!F1617="","",Raw!F1617))&amp;":"&amp;IF(Raw!F1617="","",Raw!F1617)&amp;"|"&amp;LEN(IF(Raw!G1617="","",Raw!G1617))&amp;":"&amp;IF(Raw!G1617="","",Raw!G1617)</f>
        <v>6:L01611|6:T00806|10:2026-02-25|3:P-O|6:Office|6:refund|7:-120.69</v>
      </c>
      <c r="Q1617" s="1">
        <f>1</f>
        <v>1</v>
      </c>
      <c r="R1617" s="1" t="b">
        <f>FALSE</f>
        <v>0</v>
      </c>
      <c r="S1617" s="1">
        <f>1</f>
        <v>1</v>
      </c>
      <c r="T1617" s="1" t="str">
        <f>IF(AND(Raw!A1617="",Raw!B1617="",Raw!C1617="",Raw!D1617="",Raw!E1617="",Raw!F1617="",Raw!G1617=""),"UNUSED",IF(A1617="","missing line ID",IF(B1617="","missing transaction ID",IF(G1617="",IF(C1617="","missing date","invalid date"),IF(I1617="","unknown product",IF(J1617="","conflicting category",IF(NOT(OR(EXACT(K1617,"sale"),EXACT(K1617,"refund"))),"unknown event",IF(OR(N1617="",NOT(O1617)),"invalid amount",IF(OR(AND(K1617="sale",N1617&lt;=0),AND(K1617="refund",N1617&gt;=0)),"invalid sign","")))))))))</f>
        <v/>
      </c>
      <c r="U1617" s="1" t="str">
        <f t="shared" si="205"/>
        <v>INCLUDED</v>
      </c>
      <c r="V1617" s="1" t="str">
        <f t="shared" si="206"/>
        <v>2026-02</v>
      </c>
      <c r="W1617" s="1">
        <f>IF(AND(U1617="INCLUDED",X1617&gt;0,EXACT(A1617,'AI output'!A1617)),1,0)</f>
        <v>1</v>
      </c>
      <c r="X1617" s="1">
        <f>1617</f>
        <v>1617</v>
      </c>
      <c r="Y1617" s="1">
        <f>IF(AND(U1617="INCLUDED",W1617=1),--(NOT(EXACT(A1617,'AI output'!A1617)))+--(NOT(EXACT(B1617,'AI output'!B1617)))+--(NOT(EXACT(TEXT(G1617,"yyyy-mm-dd"),'AI output'!C1617)))+--(NOT(EXACT(H1617,'AI output'!D1617)))+--(NOT(EXACT(J1617,'AI output'!E1617)))+--(NOT(EXACT(K1617,'AI output'!F1617)))+--(N1617&lt;&gt;'AI output'!L1617)+--(NOT('AI output'!M1617)),0)</f>
        <v>0</v>
      </c>
      <c r="Z1617" s="1">
        <f t="shared" si="207"/>
        <v>0</v>
      </c>
      <c r="AA1617" s="1">
        <f>--EXACT(A1617,"L01611")</f>
        <v>1</v>
      </c>
    </row>
    <row r="1618" spans="1:27" ht="18.95" customHeight="1">
      <c r="A1618" s="1" t="str">
        <f>IF(Raw!A1618="","",Raw!A1618)</f>
        <v>L01612</v>
      </c>
      <c r="B1618" s="1" t="str">
        <f>IF(Raw!B1618="","",Raw!B1618)</f>
        <v>T00806</v>
      </c>
      <c r="C1618" s="1" t="str">
        <f>IF(Raw!C1618="","",Raw!C1618)</f>
        <v>2026-02-25</v>
      </c>
      <c r="D1618" s="1">
        <f t="shared" si="200"/>
        <v>2026</v>
      </c>
      <c r="E1618" s="1">
        <f>IFERROR(IF(AND(LEN(C1618)=10,MID(C1618,5,1)="-",MID(C1618,8,1)="-"),VALUE(MID(C1618,6,2)),IF(AND(LEN(C1618)=11,MID(C1618,3,1)="-",MID(C1618,7,1)="-"),MATCH(UPPER(MID(C1618,4,3)),Guide!$D$7:$D$18,0),0)),0)</f>
        <v>2</v>
      </c>
      <c r="F1618" s="1">
        <f t="shared" si="201"/>
        <v>25</v>
      </c>
      <c r="G1618" s="9">
        <f t="shared" si="202"/>
        <v>46078</v>
      </c>
      <c r="H1618" s="1" t="str">
        <f>IF(Raw!D1618="","",Raw!D1618)</f>
        <v>P-A</v>
      </c>
      <c r="I1618" s="1" t="str">
        <f>IFERROR(IF(EXACT(H1618,INDEX(Guide!$A$7:$A$9,MATCH(SUBSTITUTE(SUBSTITUTE(SUBSTITUTE(H1618,"~","~~"),"*","~*"),"?","~?"),Guide!$A$7:$A$9,0))),INDEX(Guide!$B$7:$B$9,MATCH(SUBSTITUTE(SUBSTITUTE(SUBSTITUTE(H1618,"~","~~"),"*","~*"),"?","~?"),Guide!$A$7:$A$9,0)),""),"")</f>
        <v>Accessories</v>
      </c>
      <c r="J1618" s="1" t="str">
        <f>IF(TRIM(Raw!E1618)="",I1618,IF(UPPER(TRIM(Raw!E1618))=UPPER(I1618),I1618,""))</f>
        <v>Accessories</v>
      </c>
      <c r="K1618" s="1" t="str">
        <f>IF(Raw!F1618="","",Raw!F1618)</f>
        <v>sale</v>
      </c>
      <c r="L1618" s="1" t="str">
        <f>IF(LEFT(TRIM(Raw!G1618),2)="-$","-"&amp;MID(TRIM(Raw!G1618),3,99),IF(LEFT(TRIM(Raw!G1618),1)="$",MID(TRIM(Raw!G1618),2,99),TRIM(Raw!G1618)))</f>
        <v>363.18</v>
      </c>
      <c r="M1618" s="1">
        <f t="shared" si="203"/>
        <v>363.18</v>
      </c>
      <c r="N1618" s="10">
        <f t="shared" si="204"/>
        <v>36318</v>
      </c>
      <c r="O1618" s="1" t="b">
        <f>IFERROR(IF(ISNUMBER(Raw!G1618),TRUE,OR(EXACT(L1618,TEXT(M1618,"0.00")),EXACT(L1618,TEXT(M1618,"#,##0.00")))),FALSE)</f>
        <v>1</v>
      </c>
      <c r="P1618" s="1" t="str">
        <f>LEN(IF(Raw!A1618="","",Raw!A1618))&amp;":"&amp;IF(Raw!A1618="","",Raw!A1618)&amp;"|"&amp;LEN(IF(Raw!B1618="","",Raw!B1618))&amp;":"&amp;IF(Raw!B1618="","",Raw!B1618)&amp;"|"&amp;LEN(IF(Raw!C1618="","",Raw!C1618))&amp;":"&amp;IF(Raw!C1618="","",Raw!C1618)&amp;"|"&amp;LEN(IF(Raw!D1618="","",Raw!D1618))&amp;":"&amp;IF(Raw!D1618="","",Raw!D1618)&amp;"|"&amp;LEN(IF(Raw!E1618="","",Raw!E1618))&amp;":"&amp;IF(Raw!E1618="","",Raw!E1618)&amp;"|"&amp;LEN(IF(Raw!F1618="","",Raw!F1618))&amp;":"&amp;IF(Raw!F1618="","",Raw!F1618)&amp;"|"&amp;LEN(IF(Raw!G1618="","",Raw!G1618))&amp;":"&amp;IF(Raw!G1618="","",Raw!G1618)</f>
        <v>6:L01612|6:T00806|10:2026-02-25|3:P-A|11:Accessories|4:sale|6:363.18</v>
      </c>
      <c r="Q1618" s="1">
        <f>1</f>
        <v>1</v>
      </c>
      <c r="R1618" s="1" t="b">
        <f>FALSE</f>
        <v>0</v>
      </c>
      <c r="S1618" s="1">
        <f>1</f>
        <v>1</v>
      </c>
      <c r="T1618" s="1" t="str">
        <f>IF(AND(Raw!A1618="",Raw!B1618="",Raw!C1618="",Raw!D1618="",Raw!E1618="",Raw!F1618="",Raw!G1618=""),"UNUSED",IF(A1618="","missing line ID",IF(B1618="","missing transaction ID",IF(G1618="",IF(C1618="","missing date","invalid date"),IF(I1618="","unknown product",IF(J1618="","conflicting category",IF(NOT(OR(EXACT(K1618,"sale"),EXACT(K1618,"refund"))),"unknown event",IF(OR(N1618="",NOT(O1618)),"invalid amount",IF(OR(AND(K1618="sale",N1618&lt;=0),AND(K1618="refund",N1618&gt;=0)),"invalid sign","")))))))))</f>
        <v/>
      </c>
      <c r="U1618" s="1" t="str">
        <f t="shared" si="205"/>
        <v>INCLUDED</v>
      </c>
      <c r="V1618" s="1" t="str">
        <f t="shared" si="206"/>
        <v>2026-02</v>
      </c>
      <c r="W1618" s="1">
        <f>IF(AND(U1618="INCLUDED",X1618&gt;0,EXACT(A1618,'AI output'!A1618)),1,0)</f>
        <v>1</v>
      </c>
      <c r="X1618" s="1">
        <f>1618</f>
        <v>1618</v>
      </c>
      <c r="Y1618" s="1">
        <f>IF(AND(U1618="INCLUDED",W1618=1),--(NOT(EXACT(A1618,'AI output'!A1618)))+--(NOT(EXACT(B1618,'AI output'!B1618)))+--(NOT(EXACT(TEXT(G1618,"yyyy-mm-dd"),'AI output'!C1618)))+--(NOT(EXACT(H1618,'AI output'!D1618)))+--(NOT(EXACT(J1618,'AI output'!E1618)))+--(NOT(EXACT(K1618,'AI output'!F1618)))+--(N1618&lt;&gt;'AI output'!L1618)+--(NOT('AI output'!M1618)),0)</f>
        <v>0</v>
      </c>
      <c r="Z1618" s="1">
        <f t="shared" si="207"/>
        <v>0</v>
      </c>
      <c r="AA1618" s="1">
        <f>--EXACT(A1618,"L01612")</f>
        <v>1</v>
      </c>
    </row>
    <row r="1619" spans="1:27" ht="18.95" customHeight="1">
      <c r="A1619" s="1" t="str">
        <f>IF(Raw!A1619="","",Raw!A1619)</f>
        <v>L01613</v>
      </c>
      <c r="B1619" s="1" t="str">
        <f>IF(Raw!B1619="","",Raw!B1619)</f>
        <v>T00807</v>
      </c>
      <c r="C1619" s="1" t="str">
        <f>IF(Raw!C1619="","",Raw!C1619)</f>
        <v>2026-03-04</v>
      </c>
      <c r="D1619" s="1">
        <f t="shared" si="200"/>
        <v>2026</v>
      </c>
      <c r="E1619" s="1">
        <f>IFERROR(IF(AND(LEN(C1619)=10,MID(C1619,5,1)="-",MID(C1619,8,1)="-"),VALUE(MID(C1619,6,2)),IF(AND(LEN(C1619)=11,MID(C1619,3,1)="-",MID(C1619,7,1)="-"),MATCH(UPPER(MID(C1619,4,3)),Guide!$D$7:$D$18,0),0)),0)</f>
        <v>3</v>
      </c>
      <c r="F1619" s="1">
        <f t="shared" si="201"/>
        <v>4</v>
      </c>
      <c r="G1619" s="9">
        <f t="shared" si="202"/>
        <v>46085</v>
      </c>
      <c r="H1619" s="1" t="str">
        <f>IF(Raw!D1619="","",Raw!D1619)</f>
        <v>P-H</v>
      </c>
      <c r="I1619" s="1" t="str">
        <f>IFERROR(IF(EXACT(H1619,INDEX(Guide!$A$7:$A$9,MATCH(SUBSTITUTE(SUBSTITUTE(SUBSTITUTE(H1619,"~","~~"),"*","~*"),"?","~?"),Guide!$A$7:$A$9,0))),INDEX(Guide!$B$7:$B$9,MATCH(SUBSTITUTE(SUBSTITUTE(SUBSTITUTE(H1619,"~","~~"),"*","~*"),"?","~?"),Guide!$A$7:$A$9,0)),""),"")</f>
        <v>Home</v>
      </c>
      <c r="J1619" s="1" t="str">
        <f>IF(TRIM(Raw!E1619)="",I1619,IF(UPPER(TRIM(Raw!E1619))=UPPER(I1619),I1619,""))</f>
        <v>Home</v>
      </c>
      <c r="K1619" s="1" t="str">
        <f>IF(Raw!F1619="","",Raw!F1619)</f>
        <v>sale</v>
      </c>
      <c r="L1619" s="1" t="str">
        <f>IF(LEFT(TRIM(Raw!G1619),2)="-$","-"&amp;MID(TRIM(Raw!G1619),3,99),IF(LEFT(TRIM(Raw!G1619),1)="$",MID(TRIM(Raw!G1619),2,99),TRIM(Raw!G1619)))</f>
        <v>607.15</v>
      </c>
      <c r="M1619" s="1">
        <f t="shared" si="203"/>
        <v>607.15</v>
      </c>
      <c r="N1619" s="10">
        <f t="shared" si="204"/>
        <v>60715</v>
      </c>
      <c r="O1619" s="1" t="b">
        <f>IFERROR(IF(ISNUMBER(Raw!G1619),TRUE,OR(EXACT(L1619,TEXT(M1619,"0.00")),EXACT(L1619,TEXT(M1619,"#,##0.00")))),FALSE)</f>
        <v>1</v>
      </c>
      <c r="P1619" s="1" t="str">
        <f>LEN(IF(Raw!A1619="","",Raw!A1619))&amp;":"&amp;IF(Raw!A1619="","",Raw!A1619)&amp;"|"&amp;LEN(IF(Raw!B1619="","",Raw!B1619))&amp;":"&amp;IF(Raw!B1619="","",Raw!B1619)&amp;"|"&amp;LEN(IF(Raw!C1619="","",Raw!C1619))&amp;":"&amp;IF(Raw!C1619="","",Raw!C1619)&amp;"|"&amp;LEN(IF(Raw!D1619="","",Raw!D1619))&amp;":"&amp;IF(Raw!D1619="","",Raw!D1619)&amp;"|"&amp;LEN(IF(Raw!E1619="","",Raw!E1619))&amp;":"&amp;IF(Raw!E1619="","",Raw!E1619)&amp;"|"&amp;LEN(IF(Raw!F1619="","",Raw!F1619))&amp;":"&amp;IF(Raw!F1619="","",Raw!F1619)&amp;"|"&amp;LEN(IF(Raw!G1619="","",Raw!G1619))&amp;":"&amp;IF(Raw!G1619="","",Raw!G1619)</f>
        <v>6:L01613|6:T00807|10:2026-03-04|3:P-H|4:Home|4:sale|6:607.15</v>
      </c>
      <c r="Q1619" s="1">
        <f>1</f>
        <v>1</v>
      </c>
      <c r="R1619" s="1" t="b">
        <f>FALSE</f>
        <v>0</v>
      </c>
      <c r="S1619" s="1">
        <f>1</f>
        <v>1</v>
      </c>
      <c r="T1619" s="1" t="str">
        <f>IF(AND(Raw!A1619="",Raw!B1619="",Raw!C1619="",Raw!D1619="",Raw!E1619="",Raw!F1619="",Raw!G1619=""),"UNUSED",IF(A1619="","missing line ID",IF(B1619="","missing transaction ID",IF(G1619="",IF(C1619="","missing date","invalid date"),IF(I1619="","unknown product",IF(J1619="","conflicting category",IF(NOT(OR(EXACT(K1619,"sale"),EXACT(K1619,"refund"))),"unknown event",IF(OR(N1619="",NOT(O1619)),"invalid amount",IF(OR(AND(K1619="sale",N1619&lt;=0),AND(K1619="refund",N1619&gt;=0)),"invalid sign","")))))))))</f>
        <v/>
      </c>
      <c r="U1619" s="1" t="str">
        <f t="shared" si="205"/>
        <v>INCLUDED</v>
      </c>
      <c r="V1619" s="1" t="str">
        <f t="shared" si="206"/>
        <v>2026-03</v>
      </c>
      <c r="W1619" s="1">
        <f>IF(AND(U1619="INCLUDED",X1619&gt;0,EXACT(A1619,'AI output'!A1619)),1,0)</f>
        <v>1</v>
      </c>
      <c r="X1619" s="1">
        <f>1619</f>
        <v>1619</v>
      </c>
      <c r="Y1619" s="1">
        <f>IF(AND(U1619="INCLUDED",W1619=1),--(NOT(EXACT(A1619,'AI output'!A1619)))+--(NOT(EXACT(B1619,'AI output'!B1619)))+--(NOT(EXACT(TEXT(G1619,"yyyy-mm-dd"),'AI output'!C1619)))+--(NOT(EXACT(H1619,'AI output'!D1619)))+--(NOT(EXACT(J1619,'AI output'!E1619)))+--(NOT(EXACT(K1619,'AI output'!F1619)))+--(N1619&lt;&gt;'AI output'!L1619)+--(NOT('AI output'!M1619)),0)</f>
        <v>0</v>
      </c>
      <c r="Z1619" s="1">
        <f t="shared" si="207"/>
        <v>0</v>
      </c>
      <c r="AA1619" s="1">
        <f>--EXACT(A1619,"L01613")</f>
        <v>1</v>
      </c>
    </row>
    <row r="1620" spans="1:27" ht="18.95" customHeight="1">
      <c r="A1620" s="1" t="str">
        <f>IF(Raw!A1620="","",Raw!A1620)</f>
        <v>L01614</v>
      </c>
      <c r="B1620" s="1" t="str">
        <f>IF(Raw!B1620="","",Raw!B1620)</f>
        <v>T00807</v>
      </c>
      <c r="C1620" s="1" t="str">
        <f>IF(Raw!C1620="","",Raw!C1620)</f>
        <v>2026-03-04</v>
      </c>
      <c r="D1620" s="1">
        <f t="shared" si="200"/>
        <v>2026</v>
      </c>
      <c r="E1620" s="1">
        <f>IFERROR(IF(AND(LEN(C1620)=10,MID(C1620,5,1)="-",MID(C1620,8,1)="-"),VALUE(MID(C1620,6,2)),IF(AND(LEN(C1620)=11,MID(C1620,3,1)="-",MID(C1620,7,1)="-"),MATCH(UPPER(MID(C1620,4,3)),Guide!$D$7:$D$18,0),0)),0)</f>
        <v>3</v>
      </c>
      <c r="F1620" s="1">
        <f t="shared" si="201"/>
        <v>4</v>
      </c>
      <c r="G1620" s="9">
        <f t="shared" si="202"/>
        <v>46085</v>
      </c>
      <c r="H1620" s="1" t="str">
        <f>IF(Raw!D1620="","",Raw!D1620)</f>
        <v>P-O</v>
      </c>
      <c r="I1620" s="1" t="str">
        <f>IFERROR(IF(EXACT(H1620,INDEX(Guide!$A$7:$A$9,MATCH(SUBSTITUTE(SUBSTITUTE(SUBSTITUTE(H1620,"~","~~"),"*","~*"),"?","~?"),Guide!$A$7:$A$9,0))),INDEX(Guide!$B$7:$B$9,MATCH(SUBSTITUTE(SUBSTITUTE(SUBSTITUTE(H1620,"~","~~"),"*","~*"),"?","~?"),Guide!$A$7:$A$9,0)),""),"")</f>
        <v>Office</v>
      </c>
      <c r="J1620" s="1" t="str">
        <f>IF(TRIM(Raw!E1620)="",I1620,IF(UPPER(TRIM(Raw!E1620))=UPPER(I1620),I1620,""))</f>
        <v>Office</v>
      </c>
      <c r="K1620" s="1" t="str">
        <f>IF(Raw!F1620="","",Raw!F1620)</f>
        <v>sale</v>
      </c>
      <c r="L1620" s="1" t="str">
        <f>IF(LEFT(TRIM(Raw!G1620),2)="-$","-"&amp;MID(TRIM(Raw!G1620),3,99),IF(LEFT(TRIM(Raw!G1620),1)="$",MID(TRIM(Raw!G1620),2,99),TRIM(Raw!G1620)))</f>
        <v>243.60</v>
      </c>
      <c r="M1620" s="1">
        <f t="shared" si="203"/>
        <v>243.6</v>
      </c>
      <c r="N1620" s="10">
        <f t="shared" si="204"/>
        <v>24360</v>
      </c>
      <c r="O1620" s="1" t="b">
        <f>IFERROR(IF(ISNUMBER(Raw!G1620),TRUE,OR(EXACT(L1620,TEXT(M1620,"0.00")),EXACT(L1620,TEXT(M1620,"#,##0.00")))),FALSE)</f>
        <v>1</v>
      </c>
      <c r="P1620" s="1" t="str">
        <f>LEN(IF(Raw!A1620="","",Raw!A1620))&amp;":"&amp;IF(Raw!A1620="","",Raw!A1620)&amp;"|"&amp;LEN(IF(Raw!B1620="","",Raw!B1620))&amp;":"&amp;IF(Raw!B1620="","",Raw!B1620)&amp;"|"&amp;LEN(IF(Raw!C1620="","",Raw!C1620))&amp;":"&amp;IF(Raw!C1620="","",Raw!C1620)&amp;"|"&amp;LEN(IF(Raw!D1620="","",Raw!D1620))&amp;":"&amp;IF(Raw!D1620="","",Raw!D1620)&amp;"|"&amp;LEN(IF(Raw!E1620="","",Raw!E1620))&amp;":"&amp;IF(Raw!E1620="","",Raw!E1620)&amp;"|"&amp;LEN(IF(Raw!F1620="","",Raw!F1620))&amp;":"&amp;IF(Raw!F1620="","",Raw!F1620)&amp;"|"&amp;LEN(IF(Raw!G1620="","",Raw!G1620))&amp;":"&amp;IF(Raw!G1620="","",Raw!G1620)</f>
        <v>6:L01614|6:T00807|10:2026-03-04|3:P-O|6:Office|4:sale|6:243.60</v>
      </c>
      <c r="Q1620" s="1">
        <f>1</f>
        <v>1</v>
      </c>
      <c r="R1620" s="1" t="b">
        <f>FALSE</f>
        <v>0</v>
      </c>
      <c r="S1620" s="1">
        <f>1</f>
        <v>1</v>
      </c>
      <c r="T1620" s="1" t="str">
        <f>IF(AND(Raw!A1620="",Raw!B1620="",Raw!C1620="",Raw!D1620="",Raw!E1620="",Raw!F1620="",Raw!G1620=""),"UNUSED",IF(A1620="","missing line ID",IF(B1620="","missing transaction ID",IF(G1620="",IF(C1620="","missing date","invalid date"),IF(I1620="","unknown product",IF(J1620="","conflicting category",IF(NOT(OR(EXACT(K1620,"sale"),EXACT(K1620,"refund"))),"unknown event",IF(OR(N1620="",NOT(O1620)),"invalid amount",IF(OR(AND(K1620="sale",N1620&lt;=0),AND(K1620="refund",N1620&gt;=0)),"invalid sign","")))))))))</f>
        <v/>
      </c>
      <c r="U1620" s="1" t="str">
        <f t="shared" si="205"/>
        <v>INCLUDED</v>
      </c>
      <c r="V1620" s="1" t="str">
        <f t="shared" si="206"/>
        <v>2026-03</v>
      </c>
      <c r="W1620" s="1">
        <f>IF(AND(U1620="INCLUDED",X1620&gt;0,EXACT(A1620,'AI output'!A1620)),1,0)</f>
        <v>1</v>
      </c>
      <c r="X1620" s="1">
        <f>1620</f>
        <v>1620</v>
      </c>
      <c r="Y1620" s="1">
        <f>IF(AND(U1620="INCLUDED",W1620=1),--(NOT(EXACT(A1620,'AI output'!A1620)))+--(NOT(EXACT(B1620,'AI output'!B1620)))+--(NOT(EXACT(TEXT(G1620,"yyyy-mm-dd"),'AI output'!C1620)))+--(NOT(EXACT(H1620,'AI output'!D1620)))+--(NOT(EXACT(J1620,'AI output'!E1620)))+--(NOT(EXACT(K1620,'AI output'!F1620)))+--(N1620&lt;&gt;'AI output'!L1620)+--(NOT('AI output'!M1620)),0)</f>
        <v>0</v>
      </c>
      <c r="Z1620" s="1">
        <f t="shared" si="207"/>
        <v>0</v>
      </c>
      <c r="AA1620" s="1">
        <f>--EXACT(A1620,"L01614")</f>
        <v>1</v>
      </c>
    </row>
    <row r="1621" spans="1:27" ht="18.95" customHeight="1">
      <c r="A1621" s="1" t="str">
        <f>IF(Raw!A1621="","",Raw!A1621)</f>
        <v>L01615</v>
      </c>
      <c r="B1621" s="1" t="str">
        <f>IF(Raw!B1621="","",Raw!B1621)</f>
        <v>T00808</v>
      </c>
      <c r="C1621" s="1" t="str">
        <f>IF(Raw!C1621="","",Raw!C1621)</f>
        <v>2026-03-11</v>
      </c>
      <c r="D1621" s="1">
        <f t="shared" si="200"/>
        <v>2026</v>
      </c>
      <c r="E1621" s="1">
        <f>IFERROR(IF(AND(LEN(C1621)=10,MID(C1621,5,1)="-",MID(C1621,8,1)="-"),VALUE(MID(C1621,6,2)),IF(AND(LEN(C1621)=11,MID(C1621,3,1)="-",MID(C1621,7,1)="-"),MATCH(UPPER(MID(C1621,4,3)),Guide!$D$7:$D$18,0),0)),0)</f>
        <v>3</v>
      </c>
      <c r="F1621" s="1">
        <f t="shared" si="201"/>
        <v>11</v>
      </c>
      <c r="G1621" s="9">
        <f t="shared" si="202"/>
        <v>46092</v>
      </c>
      <c r="H1621" s="1" t="str">
        <f>IF(Raw!D1621="","",Raw!D1621)</f>
        <v>P-A</v>
      </c>
      <c r="I1621" s="1" t="str">
        <f>IFERROR(IF(EXACT(H1621,INDEX(Guide!$A$7:$A$9,MATCH(SUBSTITUTE(SUBSTITUTE(SUBSTITUTE(H1621,"~","~~"),"*","~*"),"?","~?"),Guide!$A$7:$A$9,0))),INDEX(Guide!$B$7:$B$9,MATCH(SUBSTITUTE(SUBSTITUTE(SUBSTITUTE(H1621,"~","~~"),"*","~*"),"?","~?"),Guide!$A$7:$A$9,0)),""),"")</f>
        <v>Accessories</v>
      </c>
      <c r="J1621" s="1" t="str">
        <f>IF(TRIM(Raw!E1621)="",I1621,IF(UPPER(TRIM(Raw!E1621))=UPPER(I1621),I1621,""))</f>
        <v>Accessories</v>
      </c>
      <c r="K1621" s="1" t="str">
        <f>IF(Raw!F1621="","",Raw!F1621)</f>
        <v>sale</v>
      </c>
      <c r="L1621" s="1" t="str">
        <f>IF(LEFT(TRIM(Raw!G1621),2)="-$","-"&amp;MID(TRIM(Raw!G1621),3,99),IF(LEFT(TRIM(Raw!G1621),1)="$",MID(TRIM(Raw!G1621),2,99),TRIM(Raw!G1621)))</f>
        <v>488.68</v>
      </c>
      <c r="M1621" s="1">
        <f t="shared" si="203"/>
        <v>488.68</v>
      </c>
      <c r="N1621" s="10">
        <f t="shared" si="204"/>
        <v>48868</v>
      </c>
      <c r="O1621" s="1" t="b">
        <f>IFERROR(IF(ISNUMBER(Raw!G1621),TRUE,OR(EXACT(L1621,TEXT(M1621,"0.00")),EXACT(L1621,TEXT(M1621,"#,##0.00")))),FALSE)</f>
        <v>1</v>
      </c>
      <c r="P1621" s="1" t="str">
        <f>LEN(IF(Raw!A1621="","",Raw!A1621))&amp;":"&amp;IF(Raw!A1621="","",Raw!A1621)&amp;"|"&amp;LEN(IF(Raw!B1621="","",Raw!B1621))&amp;":"&amp;IF(Raw!B1621="","",Raw!B1621)&amp;"|"&amp;LEN(IF(Raw!C1621="","",Raw!C1621))&amp;":"&amp;IF(Raw!C1621="","",Raw!C1621)&amp;"|"&amp;LEN(IF(Raw!D1621="","",Raw!D1621))&amp;":"&amp;IF(Raw!D1621="","",Raw!D1621)&amp;"|"&amp;LEN(IF(Raw!E1621="","",Raw!E1621))&amp;":"&amp;IF(Raw!E1621="","",Raw!E1621)&amp;"|"&amp;LEN(IF(Raw!F1621="","",Raw!F1621))&amp;":"&amp;IF(Raw!F1621="","",Raw!F1621)&amp;"|"&amp;LEN(IF(Raw!G1621="","",Raw!G1621))&amp;":"&amp;IF(Raw!G1621="","",Raw!G1621)</f>
        <v>6:L01615|6:T00808|10:2026-03-11|3:P-A|11:Accessories|4:sale|6:488.68</v>
      </c>
      <c r="Q1621" s="1">
        <f>1</f>
        <v>1</v>
      </c>
      <c r="R1621" s="1" t="b">
        <f>FALSE</f>
        <v>0</v>
      </c>
      <c r="S1621" s="1">
        <f>1</f>
        <v>1</v>
      </c>
      <c r="T1621" s="1" t="str">
        <f>IF(AND(Raw!A1621="",Raw!B1621="",Raw!C1621="",Raw!D1621="",Raw!E1621="",Raw!F1621="",Raw!G1621=""),"UNUSED",IF(A1621="","missing line ID",IF(B1621="","missing transaction ID",IF(G1621="",IF(C1621="","missing date","invalid date"),IF(I1621="","unknown product",IF(J1621="","conflicting category",IF(NOT(OR(EXACT(K1621,"sale"),EXACT(K1621,"refund"))),"unknown event",IF(OR(N1621="",NOT(O1621)),"invalid amount",IF(OR(AND(K1621="sale",N1621&lt;=0),AND(K1621="refund",N1621&gt;=0)),"invalid sign","")))))))))</f>
        <v/>
      </c>
      <c r="U1621" s="1" t="str">
        <f t="shared" si="205"/>
        <v>INCLUDED</v>
      </c>
      <c r="V1621" s="1" t="str">
        <f t="shared" si="206"/>
        <v>2026-03</v>
      </c>
      <c r="W1621" s="1">
        <f>IF(AND(U1621="INCLUDED",X1621&gt;0,EXACT(A1621,'AI output'!A1621)),1,0)</f>
        <v>1</v>
      </c>
      <c r="X1621" s="1">
        <f>1621</f>
        <v>1621</v>
      </c>
      <c r="Y1621" s="1">
        <f>IF(AND(U1621="INCLUDED",W1621=1),--(NOT(EXACT(A1621,'AI output'!A1621)))+--(NOT(EXACT(B1621,'AI output'!B1621)))+--(NOT(EXACT(TEXT(G1621,"yyyy-mm-dd"),'AI output'!C1621)))+--(NOT(EXACT(H1621,'AI output'!D1621)))+--(NOT(EXACT(J1621,'AI output'!E1621)))+--(NOT(EXACT(K1621,'AI output'!F1621)))+--(N1621&lt;&gt;'AI output'!L1621)+--(NOT('AI output'!M1621)),0)</f>
        <v>0</v>
      </c>
      <c r="Z1621" s="1">
        <f t="shared" si="207"/>
        <v>0</v>
      </c>
      <c r="AA1621" s="1">
        <f>--EXACT(A1621,"L01615")</f>
        <v>1</v>
      </c>
    </row>
    <row r="1622" spans="1:27" ht="18.95" customHeight="1">
      <c r="A1622" s="1" t="str">
        <f>IF(Raw!A1622="","",Raw!A1622)</f>
        <v>L01616</v>
      </c>
      <c r="B1622" s="1" t="str">
        <f>IF(Raw!B1622="","",Raw!B1622)</f>
        <v>T00808</v>
      </c>
      <c r="C1622" s="1" t="str">
        <f>IF(Raw!C1622="","",Raw!C1622)</f>
        <v>2026-03-11</v>
      </c>
      <c r="D1622" s="1">
        <f t="shared" si="200"/>
        <v>2026</v>
      </c>
      <c r="E1622" s="1">
        <f>IFERROR(IF(AND(LEN(C1622)=10,MID(C1622,5,1)="-",MID(C1622,8,1)="-"),VALUE(MID(C1622,6,2)),IF(AND(LEN(C1622)=11,MID(C1622,3,1)="-",MID(C1622,7,1)="-"),MATCH(UPPER(MID(C1622,4,3)),Guide!$D$7:$D$18,0),0)),0)</f>
        <v>3</v>
      </c>
      <c r="F1622" s="1">
        <f t="shared" si="201"/>
        <v>11</v>
      </c>
      <c r="G1622" s="9">
        <f t="shared" si="202"/>
        <v>46092</v>
      </c>
      <c r="H1622" s="1" t="str">
        <f>IF(Raw!D1622="","",Raw!D1622)</f>
        <v>P-H</v>
      </c>
      <c r="I1622" s="1" t="str">
        <f>IFERROR(IF(EXACT(H1622,INDEX(Guide!$A$7:$A$9,MATCH(SUBSTITUTE(SUBSTITUTE(SUBSTITUTE(H1622,"~","~~"),"*","~*"),"?","~?"),Guide!$A$7:$A$9,0))),INDEX(Guide!$B$7:$B$9,MATCH(SUBSTITUTE(SUBSTITUTE(SUBSTITUTE(H1622,"~","~~"),"*","~*"),"?","~?"),Guide!$A$7:$A$9,0)),""),"")</f>
        <v>Home</v>
      </c>
      <c r="J1622" s="1" t="str">
        <f>IF(TRIM(Raw!E1622)="",I1622,IF(UPPER(TRIM(Raw!E1622))=UPPER(I1622),I1622,""))</f>
        <v>Home</v>
      </c>
      <c r="K1622" s="1" t="str">
        <f>IF(Raw!F1622="","",Raw!F1622)</f>
        <v>sale</v>
      </c>
      <c r="L1622" s="1" t="str">
        <f>IF(LEFT(TRIM(Raw!G1622),2)="-$","-"&amp;MID(TRIM(Raw!G1622),3,99),IF(LEFT(TRIM(Raw!G1622),1)="$",MID(TRIM(Raw!G1622),2,99),TRIM(Raw!G1622)))</f>
        <v>122.54</v>
      </c>
      <c r="M1622" s="1">
        <f t="shared" si="203"/>
        <v>122.54</v>
      </c>
      <c r="N1622" s="10">
        <f t="shared" si="204"/>
        <v>12254</v>
      </c>
      <c r="O1622" s="1" t="b">
        <f>IFERROR(IF(ISNUMBER(Raw!G1622),TRUE,OR(EXACT(L1622,TEXT(M1622,"0.00")),EXACT(L1622,TEXT(M1622,"#,##0.00")))),FALSE)</f>
        <v>1</v>
      </c>
      <c r="P1622" s="1" t="str">
        <f>LEN(IF(Raw!A1622="","",Raw!A1622))&amp;":"&amp;IF(Raw!A1622="","",Raw!A1622)&amp;"|"&amp;LEN(IF(Raw!B1622="","",Raw!B1622))&amp;":"&amp;IF(Raw!B1622="","",Raw!B1622)&amp;"|"&amp;LEN(IF(Raw!C1622="","",Raw!C1622))&amp;":"&amp;IF(Raw!C1622="","",Raw!C1622)&amp;"|"&amp;LEN(IF(Raw!D1622="","",Raw!D1622))&amp;":"&amp;IF(Raw!D1622="","",Raw!D1622)&amp;"|"&amp;LEN(IF(Raw!E1622="","",Raw!E1622))&amp;":"&amp;IF(Raw!E1622="","",Raw!E1622)&amp;"|"&amp;LEN(IF(Raw!F1622="","",Raw!F1622))&amp;":"&amp;IF(Raw!F1622="","",Raw!F1622)&amp;"|"&amp;LEN(IF(Raw!G1622="","",Raw!G1622))&amp;":"&amp;IF(Raw!G1622="","",Raw!G1622)</f>
        <v>6:L01616|6:T00808|10:2026-03-11|3:P-H|4:Home|4:sale|6:122.54</v>
      </c>
      <c r="Q1622" s="1">
        <f>1</f>
        <v>1</v>
      </c>
      <c r="R1622" s="1" t="b">
        <f>FALSE</f>
        <v>0</v>
      </c>
      <c r="S1622" s="1">
        <f>1</f>
        <v>1</v>
      </c>
      <c r="T1622" s="1" t="str">
        <f>IF(AND(Raw!A1622="",Raw!B1622="",Raw!C1622="",Raw!D1622="",Raw!E1622="",Raw!F1622="",Raw!G1622=""),"UNUSED",IF(A1622="","missing line ID",IF(B1622="","missing transaction ID",IF(G1622="",IF(C1622="","missing date","invalid date"),IF(I1622="","unknown product",IF(J1622="","conflicting category",IF(NOT(OR(EXACT(K1622,"sale"),EXACT(K1622,"refund"))),"unknown event",IF(OR(N1622="",NOT(O1622)),"invalid amount",IF(OR(AND(K1622="sale",N1622&lt;=0),AND(K1622="refund",N1622&gt;=0)),"invalid sign","")))))))))</f>
        <v/>
      </c>
      <c r="U1622" s="1" t="str">
        <f t="shared" si="205"/>
        <v>INCLUDED</v>
      </c>
      <c r="V1622" s="1" t="str">
        <f t="shared" si="206"/>
        <v>2026-03</v>
      </c>
      <c r="W1622" s="1">
        <f>IF(AND(U1622="INCLUDED",X1622&gt;0,EXACT(A1622,'AI output'!A1622)),1,0)</f>
        <v>1</v>
      </c>
      <c r="X1622" s="1">
        <f>1622</f>
        <v>1622</v>
      </c>
      <c r="Y1622" s="1">
        <f>IF(AND(U1622="INCLUDED",W1622=1),--(NOT(EXACT(A1622,'AI output'!A1622)))+--(NOT(EXACT(B1622,'AI output'!B1622)))+--(NOT(EXACT(TEXT(G1622,"yyyy-mm-dd"),'AI output'!C1622)))+--(NOT(EXACT(H1622,'AI output'!D1622)))+--(NOT(EXACT(J1622,'AI output'!E1622)))+--(NOT(EXACT(K1622,'AI output'!F1622)))+--(N1622&lt;&gt;'AI output'!L1622)+--(NOT('AI output'!M1622)),0)</f>
        <v>0</v>
      </c>
      <c r="Z1622" s="1">
        <f t="shared" si="207"/>
        <v>0</v>
      </c>
      <c r="AA1622" s="1">
        <f>--EXACT(A1622,"L01616")</f>
        <v>1</v>
      </c>
    </row>
    <row r="1623" spans="1:27" ht="18.95" customHeight="1">
      <c r="A1623" s="1" t="str">
        <f>IF(Raw!A1623="","",Raw!A1623)</f>
        <v>L01617</v>
      </c>
      <c r="B1623" s="1" t="str">
        <f>IF(Raw!B1623="","",Raw!B1623)</f>
        <v>T00809</v>
      </c>
      <c r="C1623" s="1" t="str">
        <f>IF(Raw!C1623="","",Raw!C1623)</f>
        <v>2026-03-18</v>
      </c>
      <c r="D1623" s="1">
        <f t="shared" si="200"/>
        <v>2026</v>
      </c>
      <c r="E1623" s="1">
        <f>IFERROR(IF(AND(LEN(C1623)=10,MID(C1623,5,1)="-",MID(C1623,8,1)="-"),VALUE(MID(C1623,6,2)),IF(AND(LEN(C1623)=11,MID(C1623,3,1)="-",MID(C1623,7,1)="-"),MATCH(UPPER(MID(C1623,4,3)),Guide!$D$7:$D$18,0),0)),0)</f>
        <v>3</v>
      </c>
      <c r="F1623" s="1">
        <f t="shared" si="201"/>
        <v>18</v>
      </c>
      <c r="G1623" s="9">
        <f t="shared" si="202"/>
        <v>46099</v>
      </c>
      <c r="H1623" s="1" t="str">
        <f>IF(Raw!D1623="","",Raw!D1623)</f>
        <v>P-O</v>
      </c>
      <c r="I1623" s="1" t="str">
        <f>IFERROR(IF(EXACT(H1623,INDEX(Guide!$A$7:$A$9,MATCH(SUBSTITUTE(SUBSTITUTE(SUBSTITUTE(H1623,"~","~~"),"*","~*"),"?","~?"),Guide!$A$7:$A$9,0))),INDEX(Guide!$B$7:$B$9,MATCH(SUBSTITUTE(SUBSTITUTE(SUBSTITUTE(H1623,"~","~~"),"*","~*"),"?","~?"),Guide!$A$7:$A$9,0)),""),"")</f>
        <v>Office</v>
      </c>
      <c r="J1623" s="1" t="str">
        <f>IF(TRIM(Raw!E1623)="",I1623,IF(UPPER(TRIM(Raw!E1623))=UPPER(I1623),I1623,""))</f>
        <v>Office</v>
      </c>
      <c r="K1623" s="1" t="str">
        <f>IF(Raw!F1623="","",Raw!F1623)</f>
        <v>sale</v>
      </c>
      <c r="L1623" s="1" t="str">
        <f>IF(LEFT(TRIM(Raw!G1623),2)="-$","-"&amp;MID(TRIM(Raw!G1623),3,99),IF(LEFT(TRIM(Raw!G1623),1)="$",MID(TRIM(Raw!G1623),2,99),TRIM(Raw!G1623)))</f>
        <v>368.73</v>
      </c>
      <c r="M1623" s="1">
        <f t="shared" si="203"/>
        <v>368.73</v>
      </c>
      <c r="N1623" s="10">
        <f t="shared" si="204"/>
        <v>36873</v>
      </c>
      <c r="O1623" s="1" t="b">
        <f>IFERROR(IF(ISNUMBER(Raw!G1623),TRUE,OR(EXACT(L1623,TEXT(M1623,"0.00")),EXACT(L1623,TEXT(M1623,"#,##0.00")))),FALSE)</f>
        <v>1</v>
      </c>
      <c r="P1623" s="1" t="str">
        <f>LEN(IF(Raw!A1623="","",Raw!A1623))&amp;":"&amp;IF(Raw!A1623="","",Raw!A1623)&amp;"|"&amp;LEN(IF(Raw!B1623="","",Raw!B1623))&amp;":"&amp;IF(Raw!B1623="","",Raw!B1623)&amp;"|"&amp;LEN(IF(Raw!C1623="","",Raw!C1623))&amp;":"&amp;IF(Raw!C1623="","",Raw!C1623)&amp;"|"&amp;LEN(IF(Raw!D1623="","",Raw!D1623))&amp;":"&amp;IF(Raw!D1623="","",Raw!D1623)&amp;"|"&amp;LEN(IF(Raw!E1623="","",Raw!E1623))&amp;":"&amp;IF(Raw!E1623="","",Raw!E1623)&amp;"|"&amp;LEN(IF(Raw!F1623="","",Raw!F1623))&amp;":"&amp;IF(Raw!F1623="","",Raw!F1623)&amp;"|"&amp;LEN(IF(Raw!G1623="","",Raw!G1623))&amp;":"&amp;IF(Raw!G1623="","",Raw!G1623)</f>
        <v>6:L01617|6:T00809|10:2026-03-18|3:P-O|6:Office|4:sale|6:368.73</v>
      </c>
      <c r="Q1623" s="1">
        <f>1</f>
        <v>1</v>
      </c>
      <c r="R1623" s="1" t="b">
        <f>FALSE</f>
        <v>0</v>
      </c>
      <c r="S1623" s="1">
        <f>1</f>
        <v>1</v>
      </c>
      <c r="T1623" s="1" t="str">
        <f>IF(AND(Raw!A1623="",Raw!B1623="",Raw!C1623="",Raw!D1623="",Raw!E1623="",Raw!F1623="",Raw!G1623=""),"UNUSED",IF(A1623="","missing line ID",IF(B1623="","missing transaction ID",IF(G1623="",IF(C1623="","missing date","invalid date"),IF(I1623="","unknown product",IF(J1623="","conflicting category",IF(NOT(OR(EXACT(K1623,"sale"),EXACT(K1623,"refund"))),"unknown event",IF(OR(N1623="",NOT(O1623)),"invalid amount",IF(OR(AND(K1623="sale",N1623&lt;=0),AND(K1623="refund",N1623&gt;=0)),"invalid sign","")))))))))</f>
        <v/>
      </c>
      <c r="U1623" s="1" t="str">
        <f t="shared" si="205"/>
        <v>INCLUDED</v>
      </c>
      <c r="V1623" s="1" t="str">
        <f t="shared" si="206"/>
        <v>2026-03</v>
      </c>
      <c r="W1623" s="1">
        <f>IF(AND(U1623="INCLUDED",X1623&gt;0,EXACT(A1623,'AI output'!A1623)),1,0)</f>
        <v>1</v>
      </c>
      <c r="X1623" s="1">
        <f>1623</f>
        <v>1623</v>
      </c>
      <c r="Y1623" s="1">
        <f>IF(AND(U1623="INCLUDED",W1623=1),--(NOT(EXACT(A1623,'AI output'!A1623)))+--(NOT(EXACT(B1623,'AI output'!B1623)))+--(NOT(EXACT(TEXT(G1623,"yyyy-mm-dd"),'AI output'!C1623)))+--(NOT(EXACT(H1623,'AI output'!D1623)))+--(NOT(EXACT(J1623,'AI output'!E1623)))+--(NOT(EXACT(K1623,'AI output'!F1623)))+--(N1623&lt;&gt;'AI output'!L1623)+--(NOT('AI output'!M1623)),0)</f>
        <v>0</v>
      </c>
      <c r="Z1623" s="1">
        <f t="shared" si="207"/>
        <v>0</v>
      </c>
      <c r="AA1623" s="1">
        <f>--EXACT(A1623,"L01617")</f>
        <v>1</v>
      </c>
    </row>
    <row r="1624" spans="1:27" ht="18.95" customHeight="1">
      <c r="A1624" s="1" t="str">
        <f>IF(Raw!A1624="","",Raw!A1624)</f>
        <v>L01618</v>
      </c>
      <c r="B1624" s="1" t="str">
        <f>IF(Raw!B1624="","",Raw!B1624)</f>
        <v>T00809</v>
      </c>
      <c r="C1624" s="1" t="str">
        <f>IF(Raw!C1624="","",Raw!C1624)</f>
        <v>2026-03-18</v>
      </c>
      <c r="D1624" s="1">
        <f t="shared" si="200"/>
        <v>2026</v>
      </c>
      <c r="E1624" s="1">
        <f>IFERROR(IF(AND(LEN(C1624)=10,MID(C1624,5,1)="-",MID(C1624,8,1)="-"),VALUE(MID(C1624,6,2)),IF(AND(LEN(C1624)=11,MID(C1624,3,1)="-",MID(C1624,7,1)="-"),MATCH(UPPER(MID(C1624,4,3)),Guide!$D$7:$D$18,0),0)),0)</f>
        <v>3</v>
      </c>
      <c r="F1624" s="1">
        <f t="shared" si="201"/>
        <v>18</v>
      </c>
      <c r="G1624" s="9">
        <f t="shared" si="202"/>
        <v>46099</v>
      </c>
      <c r="H1624" s="1" t="str">
        <f>IF(Raw!D1624="","",Raw!D1624)</f>
        <v>P-A</v>
      </c>
      <c r="I1624" s="1" t="str">
        <f>IFERROR(IF(EXACT(H1624,INDEX(Guide!$A$7:$A$9,MATCH(SUBSTITUTE(SUBSTITUTE(SUBSTITUTE(H1624,"~","~~"),"*","~*"),"?","~?"),Guide!$A$7:$A$9,0))),INDEX(Guide!$B$7:$B$9,MATCH(SUBSTITUTE(SUBSTITUTE(SUBSTITUTE(H1624,"~","~~"),"*","~*"),"?","~?"),Guide!$A$7:$A$9,0)),""),"")</f>
        <v>Accessories</v>
      </c>
      <c r="J1624" s="1" t="str">
        <f>IF(TRIM(Raw!E1624)="",I1624,IF(UPPER(TRIM(Raw!E1624))=UPPER(I1624),I1624,""))</f>
        <v>Accessories</v>
      </c>
      <c r="K1624" s="1" t="str">
        <f>IF(Raw!F1624="","",Raw!F1624)</f>
        <v>sale</v>
      </c>
      <c r="L1624" s="1" t="str">
        <f>IF(LEFT(TRIM(Raw!G1624),2)="-$","-"&amp;MID(TRIM(Raw!G1624),3,99),IF(LEFT(TRIM(Raw!G1624),1)="$",MID(TRIM(Raw!G1624),2,99),TRIM(Raw!G1624)))</f>
        <v>616.40</v>
      </c>
      <c r="M1624" s="1">
        <f t="shared" si="203"/>
        <v>616.4</v>
      </c>
      <c r="N1624" s="10">
        <f t="shared" si="204"/>
        <v>61640</v>
      </c>
      <c r="O1624" s="1" t="b">
        <f>IFERROR(IF(ISNUMBER(Raw!G1624),TRUE,OR(EXACT(L1624,TEXT(M1624,"0.00")),EXACT(L1624,TEXT(M1624,"#,##0.00")))),FALSE)</f>
        <v>1</v>
      </c>
      <c r="P1624" s="1" t="str">
        <f>LEN(IF(Raw!A1624="","",Raw!A1624))&amp;":"&amp;IF(Raw!A1624="","",Raw!A1624)&amp;"|"&amp;LEN(IF(Raw!B1624="","",Raw!B1624))&amp;":"&amp;IF(Raw!B1624="","",Raw!B1624)&amp;"|"&amp;LEN(IF(Raw!C1624="","",Raw!C1624))&amp;":"&amp;IF(Raw!C1624="","",Raw!C1624)&amp;"|"&amp;LEN(IF(Raw!D1624="","",Raw!D1624))&amp;":"&amp;IF(Raw!D1624="","",Raw!D1624)&amp;"|"&amp;LEN(IF(Raw!E1624="","",Raw!E1624))&amp;":"&amp;IF(Raw!E1624="","",Raw!E1624)&amp;"|"&amp;LEN(IF(Raw!F1624="","",Raw!F1624))&amp;":"&amp;IF(Raw!F1624="","",Raw!F1624)&amp;"|"&amp;LEN(IF(Raw!G1624="","",Raw!G1624))&amp;":"&amp;IF(Raw!G1624="","",Raw!G1624)</f>
        <v>6:L01618|6:T00809|10:2026-03-18|3:P-A|11:Accessories|4:sale|6:616.40</v>
      </c>
      <c r="Q1624" s="1">
        <f>1</f>
        <v>1</v>
      </c>
      <c r="R1624" s="1" t="b">
        <f>FALSE</f>
        <v>0</v>
      </c>
      <c r="S1624" s="1">
        <f>1</f>
        <v>1</v>
      </c>
      <c r="T1624" s="1" t="str">
        <f>IF(AND(Raw!A1624="",Raw!B1624="",Raw!C1624="",Raw!D1624="",Raw!E1624="",Raw!F1624="",Raw!G1624=""),"UNUSED",IF(A1624="","missing line ID",IF(B1624="","missing transaction ID",IF(G1624="",IF(C1624="","missing date","invalid date"),IF(I1624="","unknown product",IF(J1624="","conflicting category",IF(NOT(OR(EXACT(K1624,"sale"),EXACT(K1624,"refund"))),"unknown event",IF(OR(N1624="",NOT(O1624)),"invalid amount",IF(OR(AND(K1624="sale",N1624&lt;=0),AND(K1624="refund",N1624&gt;=0)),"invalid sign","")))))))))</f>
        <v/>
      </c>
      <c r="U1624" s="1" t="str">
        <f t="shared" si="205"/>
        <v>INCLUDED</v>
      </c>
      <c r="V1624" s="1" t="str">
        <f t="shared" si="206"/>
        <v>2026-03</v>
      </c>
      <c r="W1624" s="1">
        <f>IF(AND(U1624="INCLUDED",X1624&gt;0,EXACT(A1624,'AI output'!A1624)),1,0)</f>
        <v>1</v>
      </c>
      <c r="X1624" s="1">
        <f>1624</f>
        <v>1624</v>
      </c>
      <c r="Y1624" s="1">
        <f>IF(AND(U1624="INCLUDED",W1624=1),--(NOT(EXACT(A1624,'AI output'!A1624)))+--(NOT(EXACT(B1624,'AI output'!B1624)))+--(NOT(EXACT(TEXT(G1624,"yyyy-mm-dd"),'AI output'!C1624)))+--(NOT(EXACT(H1624,'AI output'!D1624)))+--(NOT(EXACT(J1624,'AI output'!E1624)))+--(NOT(EXACT(K1624,'AI output'!F1624)))+--(N1624&lt;&gt;'AI output'!L1624)+--(NOT('AI output'!M1624)),0)</f>
        <v>0</v>
      </c>
      <c r="Z1624" s="1">
        <f t="shared" si="207"/>
        <v>0</v>
      </c>
      <c r="AA1624" s="1">
        <f>--EXACT(A1624,"L01618")</f>
        <v>1</v>
      </c>
    </row>
    <row r="1625" spans="1:27" ht="18.95" customHeight="1">
      <c r="A1625" s="1" t="str">
        <f>IF(Raw!A1625="","",Raw!A1625)</f>
        <v>L01619</v>
      </c>
      <c r="B1625" s="1" t="str">
        <f>IF(Raw!B1625="","",Raw!B1625)</f>
        <v>T00810</v>
      </c>
      <c r="C1625" s="1" t="str">
        <f>IF(Raw!C1625="","",Raw!C1625)</f>
        <v>2026-03-25</v>
      </c>
      <c r="D1625" s="1">
        <f t="shared" si="200"/>
        <v>2026</v>
      </c>
      <c r="E1625" s="1">
        <f>IFERROR(IF(AND(LEN(C1625)=10,MID(C1625,5,1)="-",MID(C1625,8,1)="-"),VALUE(MID(C1625,6,2)),IF(AND(LEN(C1625)=11,MID(C1625,3,1)="-",MID(C1625,7,1)="-"),MATCH(UPPER(MID(C1625,4,3)),Guide!$D$7:$D$18,0),0)),0)</f>
        <v>3</v>
      </c>
      <c r="F1625" s="1">
        <f t="shared" si="201"/>
        <v>25</v>
      </c>
      <c r="G1625" s="9">
        <f t="shared" si="202"/>
        <v>46106</v>
      </c>
      <c r="H1625" s="1" t="str">
        <f>IF(Raw!D1625="","",Raw!D1625)</f>
        <v>P-H</v>
      </c>
      <c r="I1625" s="1" t="str">
        <f>IFERROR(IF(EXACT(H1625,INDEX(Guide!$A$7:$A$9,MATCH(SUBSTITUTE(SUBSTITUTE(SUBSTITUTE(H1625,"~","~~"),"*","~*"),"?","~?"),Guide!$A$7:$A$9,0))),INDEX(Guide!$B$7:$B$9,MATCH(SUBSTITUTE(SUBSTITUTE(SUBSTITUTE(H1625,"~","~~"),"*","~*"),"?","~?"),Guide!$A$7:$A$9,0)),""),"")</f>
        <v>Home</v>
      </c>
      <c r="J1625" s="1" t="str">
        <f>IF(TRIM(Raw!E1625)="",I1625,IF(UPPER(TRIM(Raw!E1625))=UPPER(I1625),I1625,""))</f>
        <v>Home</v>
      </c>
      <c r="K1625" s="1" t="str">
        <f>IF(Raw!F1625="","",Raw!F1625)</f>
        <v>sale</v>
      </c>
      <c r="L1625" s="1" t="str">
        <f>IF(LEFT(TRIM(Raw!G1625),2)="-$","-"&amp;MID(TRIM(Raw!G1625),3,99),IF(LEFT(TRIM(Raw!G1625),1)="$",MID(TRIM(Raw!G1625),2,99),TRIM(Raw!G1625)))</f>
        <v>247.30</v>
      </c>
      <c r="M1625" s="1">
        <f t="shared" si="203"/>
        <v>247.3</v>
      </c>
      <c r="N1625" s="10">
        <f t="shared" si="204"/>
        <v>24730</v>
      </c>
      <c r="O1625" s="1" t="b">
        <f>IFERROR(IF(ISNUMBER(Raw!G1625),TRUE,OR(EXACT(L1625,TEXT(M1625,"0.00")),EXACT(L1625,TEXT(M1625,"#,##0.00")))),FALSE)</f>
        <v>1</v>
      </c>
      <c r="P1625" s="1" t="str">
        <f>LEN(IF(Raw!A1625="","",Raw!A1625))&amp;":"&amp;IF(Raw!A1625="","",Raw!A1625)&amp;"|"&amp;LEN(IF(Raw!B1625="","",Raw!B1625))&amp;":"&amp;IF(Raw!B1625="","",Raw!B1625)&amp;"|"&amp;LEN(IF(Raw!C1625="","",Raw!C1625))&amp;":"&amp;IF(Raw!C1625="","",Raw!C1625)&amp;"|"&amp;LEN(IF(Raw!D1625="","",Raw!D1625))&amp;":"&amp;IF(Raw!D1625="","",Raw!D1625)&amp;"|"&amp;LEN(IF(Raw!E1625="","",Raw!E1625))&amp;":"&amp;IF(Raw!E1625="","",Raw!E1625)&amp;"|"&amp;LEN(IF(Raw!F1625="","",Raw!F1625))&amp;":"&amp;IF(Raw!F1625="","",Raw!F1625)&amp;"|"&amp;LEN(IF(Raw!G1625="","",Raw!G1625))&amp;":"&amp;IF(Raw!G1625="","",Raw!G1625)</f>
        <v>6:L01619|6:T00810|10:2026-03-25|3:P-H|4:Home|4:sale|6:247.30</v>
      </c>
      <c r="Q1625" s="1">
        <f>1</f>
        <v>1</v>
      </c>
      <c r="R1625" s="1" t="b">
        <f>FALSE</f>
        <v>0</v>
      </c>
      <c r="S1625" s="1">
        <f>1</f>
        <v>1</v>
      </c>
      <c r="T1625" s="1" t="str">
        <f>IF(AND(Raw!A1625="",Raw!B1625="",Raw!C1625="",Raw!D1625="",Raw!E1625="",Raw!F1625="",Raw!G1625=""),"UNUSED",IF(A1625="","missing line ID",IF(B1625="","missing transaction ID",IF(G1625="",IF(C1625="","missing date","invalid date"),IF(I1625="","unknown product",IF(J1625="","conflicting category",IF(NOT(OR(EXACT(K1625,"sale"),EXACT(K1625,"refund"))),"unknown event",IF(OR(N1625="",NOT(O1625)),"invalid amount",IF(OR(AND(K1625="sale",N1625&lt;=0),AND(K1625="refund",N1625&gt;=0)),"invalid sign","")))))))))</f>
        <v/>
      </c>
      <c r="U1625" s="1" t="str">
        <f t="shared" si="205"/>
        <v>INCLUDED</v>
      </c>
      <c r="V1625" s="1" t="str">
        <f t="shared" si="206"/>
        <v>2026-03</v>
      </c>
      <c r="W1625" s="1">
        <f>IF(AND(U1625="INCLUDED",X1625&gt;0,EXACT(A1625,'AI output'!A1625)),1,0)</f>
        <v>1</v>
      </c>
      <c r="X1625" s="1">
        <f>1625</f>
        <v>1625</v>
      </c>
      <c r="Y1625" s="1">
        <f>IF(AND(U1625="INCLUDED",W1625=1),--(NOT(EXACT(A1625,'AI output'!A1625)))+--(NOT(EXACT(B1625,'AI output'!B1625)))+--(NOT(EXACT(TEXT(G1625,"yyyy-mm-dd"),'AI output'!C1625)))+--(NOT(EXACT(H1625,'AI output'!D1625)))+--(NOT(EXACT(J1625,'AI output'!E1625)))+--(NOT(EXACT(K1625,'AI output'!F1625)))+--(N1625&lt;&gt;'AI output'!L1625)+--(NOT('AI output'!M1625)),0)</f>
        <v>0</v>
      </c>
      <c r="Z1625" s="1">
        <f t="shared" si="207"/>
        <v>0</v>
      </c>
      <c r="AA1625" s="1">
        <f>--EXACT(A1625,"L01619")</f>
        <v>1</v>
      </c>
    </row>
    <row r="1626" spans="1:27" ht="18.95" customHeight="1">
      <c r="A1626" s="1" t="str">
        <f>IF(Raw!A1626="","",Raw!A1626)</f>
        <v>L01620</v>
      </c>
      <c r="B1626" s="1" t="str">
        <f>IF(Raw!B1626="","",Raw!B1626)</f>
        <v>T00810</v>
      </c>
      <c r="C1626" s="1" t="str">
        <f>IF(Raw!C1626="","",Raw!C1626)</f>
        <v>2026-03-25</v>
      </c>
      <c r="D1626" s="1">
        <f t="shared" si="200"/>
        <v>2026</v>
      </c>
      <c r="E1626" s="1">
        <f>IFERROR(IF(AND(LEN(C1626)=10,MID(C1626,5,1)="-",MID(C1626,8,1)="-"),VALUE(MID(C1626,6,2)),IF(AND(LEN(C1626)=11,MID(C1626,3,1)="-",MID(C1626,7,1)="-"),MATCH(UPPER(MID(C1626,4,3)),Guide!$D$7:$D$18,0),0)),0)</f>
        <v>3</v>
      </c>
      <c r="F1626" s="1">
        <f t="shared" si="201"/>
        <v>25</v>
      </c>
      <c r="G1626" s="9">
        <f t="shared" si="202"/>
        <v>46106</v>
      </c>
      <c r="H1626" s="1" t="str">
        <f>IF(Raw!D1626="","",Raw!D1626)</f>
        <v>P-O</v>
      </c>
      <c r="I1626" s="1" t="str">
        <f>IFERROR(IF(EXACT(H1626,INDEX(Guide!$A$7:$A$9,MATCH(SUBSTITUTE(SUBSTITUTE(SUBSTITUTE(H1626,"~","~~"),"*","~*"),"?","~?"),Guide!$A$7:$A$9,0))),INDEX(Guide!$B$7:$B$9,MATCH(SUBSTITUTE(SUBSTITUTE(SUBSTITUTE(H1626,"~","~~"),"*","~*"),"?","~?"),Guide!$A$7:$A$9,0)),""),"")</f>
        <v>Office</v>
      </c>
      <c r="J1626" s="1" t="str">
        <f>IF(TRIM(Raw!E1626)="",I1626,IF(UPPER(TRIM(Raw!E1626))=UPPER(I1626),I1626,""))</f>
        <v>Office</v>
      </c>
      <c r="K1626" s="1" t="str">
        <f>IF(Raw!F1626="","",Raw!F1626)</f>
        <v>sale</v>
      </c>
      <c r="L1626" s="1" t="str">
        <f>IF(LEFT(TRIM(Raw!G1626),2)="-$","-"&amp;MID(TRIM(Raw!G1626),3,99),IF(LEFT(TRIM(Raw!G1626),1)="$",MID(TRIM(Raw!G1626),2,99),TRIM(Raw!G1626)))</f>
        <v>496.08</v>
      </c>
      <c r="M1626" s="1">
        <f t="shared" si="203"/>
        <v>496.08</v>
      </c>
      <c r="N1626" s="10">
        <f t="shared" si="204"/>
        <v>49608</v>
      </c>
      <c r="O1626" s="1" t="b">
        <f>IFERROR(IF(ISNUMBER(Raw!G1626),TRUE,OR(EXACT(L1626,TEXT(M1626,"0.00")),EXACT(L1626,TEXT(M1626,"#,##0.00")))),FALSE)</f>
        <v>1</v>
      </c>
      <c r="P1626" s="1" t="str">
        <f>LEN(IF(Raw!A1626="","",Raw!A1626))&amp;":"&amp;IF(Raw!A1626="","",Raw!A1626)&amp;"|"&amp;LEN(IF(Raw!B1626="","",Raw!B1626))&amp;":"&amp;IF(Raw!B1626="","",Raw!B1626)&amp;"|"&amp;LEN(IF(Raw!C1626="","",Raw!C1626))&amp;":"&amp;IF(Raw!C1626="","",Raw!C1626)&amp;"|"&amp;LEN(IF(Raw!D1626="","",Raw!D1626))&amp;":"&amp;IF(Raw!D1626="","",Raw!D1626)&amp;"|"&amp;LEN(IF(Raw!E1626="","",Raw!E1626))&amp;":"&amp;IF(Raw!E1626="","",Raw!E1626)&amp;"|"&amp;LEN(IF(Raw!F1626="","",Raw!F1626))&amp;":"&amp;IF(Raw!F1626="","",Raw!F1626)&amp;"|"&amp;LEN(IF(Raw!G1626="","",Raw!G1626))&amp;":"&amp;IF(Raw!G1626="","",Raw!G1626)</f>
        <v>6:L01620|6:T00810|10:2026-03-25|3:P-O|6:Office|4:sale|6:496.08</v>
      </c>
      <c r="Q1626" s="1">
        <f>1</f>
        <v>1</v>
      </c>
      <c r="R1626" s="1" t="b">
        <f>FALSE</f>
        <v>0</v>
      </c>
      <c r="S1626" s="1">
        <f>1</f>
        <v>1</v>
      </c>
      <c r="T1626" s="1" t="str">
        <f>IF(AND(Raw!A1626="",Raw!B1626="",Raw!C1626="",Raw!D1626="",Raw!E1626="",Raw!F1626="",Raw!G1626=""),"UNUSED",IF(A1626="","missing line ID",IF(B1626="","missing transaction ID",IF(G1626="",IF(C1626="","missing date","invalid date"),IF(I1626="","unknown product",IF(J1626="","conflicting category",IF(NOT(OR(EXACT(K1626,"sale"),EXACT(K1626,"refund"))),"unknown event",IF(OR(N1626="",NOT(O1626)),"invalid amount",IF(OR(AND(K1626="sale",N1626&lt;=0),AND(K1626="refund",N1626&gt;=0)),"invalid sign","")))))))))</f>
        <v/>
      </c>
      <c r="U1626" s="1" t="str">
        <f t="shared" si="205"/>
        <v>INCLUDED</v>
      </c>
      <c r="V1626" s="1" t="str">
        <f t="shared" si="206"/>
        <v>2026-03</v>
      </c>
      <c r="W1626" s="1">
        <f>IF(AND(U1626="INCLUDED",X1626&gt;0,EXACT(A1626,'AI output'!A1626)),1,0)</f>
        <v>1</v>
      </c>
      <c r="X1626" s="1">
        <f>1626</f>
        <v>1626</v>
      </c>
      <c r="Y1626" s="1">
        <f>IF(AND(U1626="INCLUDED",W1626=1),--(NOT(EXACT(A1626,'AI output'!A1626)))+--(NOT(EXACT(B1626,'AI output'!B1626)))+--(NOT(EXACT(TEXT(G1626,"yyyy-mm-dd"),'AI output'!C1626)))+--(NOT(EXACT(H1626,'AI output'!D1626)))+--(NOT(EXACT(J1626,'AI output'!E1626)))+--(NOT(EXACT(K1626,'AI output'!F1626)))+--(N1626&lt;&gt;'AI output'!L1626)+--(NOT('AI output'!M1626)),0)</f>
        <v>0</v>
      </c>
      <c r="Z1626" s="1">
        <f t="shared" si="207"/>
        <v>0</v>
      </c>
      <c r="AA1626" s="1">
        <f>--EXACT(A1626,"L01620")</f>
        <v>1</v>
      </c>
    </row>
    <row r="1627" spans="1:27" ht="18.95" customHeight="1">
      <c r="A1627" s="1" t="str">
        <f>IF(Raw!A1627="","",Raw!A1627)</f>
        <v>L01621</v>
      </c>
      <c r="B1627" s="1" t="str">
        <f>IF(Raw!B1627="","",Raw!B1627)</f>
        <v>T00811</v>
      </c>
      <c r="C1627" s="1" t="str">
        <f>IF(Raw!C1627="","",Raw!C1627)</f>
        <v>2026-01-01</v>
      </c>
      <c r="D1627" s="1">
        <f t="shared" si="200"/>
        <v>2026</v>
      </c>
      <c r="E1627" s="1">
        <f>IFERROR(IF(AND(LEN(C1627)=10,MID(C1627,5,1)="-",MID(C1627,8,1)="-"),VALUE(MID(C1627,6,2)),IF(AND(LEN(C1627)=11,MID(C1627,3,1)="-",MID(C1627,7,1)="-"),MATCH(UPPER(MID(C1627,4,3)),Guide!$D$7:$D$18,0),0)),0)</f>
        <v>1</v>
      </c>
      <c r="F1627" s="1">
        <f t="shared" si="201"/>
        <v>1</v>
      </c>
      <c r="G1627" s="9">
        <f t="shared" si="202"/>
        <v>46023</v>
      </c>
      <c r="H1627" s="1" t="str">
        <f>IF(Raw!D1627="","",Raw!D1627)</f>
        <v>P-A</v>
      </c>
      <c r="I1627" s="1" t="str">
        <f>IFERROR(IF(EXACT(H1627,INDEX(Guide!$A$7:$A$9,MATCH(SUBSTITUTE(SUBSTITUTE(SUBSTITUTE(H1627,"~","~~"),"*","~*"),"?","~?"),Guide!$A$7:$A$9,0))),INDEX(Guide!$B$7:$B$9,MATCH(SUBSTITUTE(SUBSTITUTE(SUBSTITUTE(H1627,"~","~~"),"*","~*"),"?","~?"),Guide!$A$7:$A$9,0)),""),"")</f>
        <v>Accessories</v>
      </c>
      <c r="J1627" s="1" t="str">
        <f>IF(TRIM(Raw!E1627)="",I1627,IF(UPPER(TRIM(Raw!E1627))=UPPER(I1627),I1627,""))</f>
        <v>Accessories</v>
      </c>
      <c r="K1627" s="1" t="str">
        <f>IF(Raw!F1627="","",Raw!F1627)</f>
        <v>sale</v>
      </c>
      <c r="L1627" s="1" t="str">
        <f>IF(LEFT(TRIM(Raw!G1627),2)="-$","-"&amp;MID(TRIM(Raw!G1627),3,99),IF(LEFT(TRIM(Raw!G1627),1)="$",MID(TRIM(Raw!G1627),2,99),TRIM(Raw!G1627)))</f>
        <v>124.39</v>
      </c>
      <c r="M1627" s="1">
        <f t="shared" si="203"/>
        <v>124.39</v>
      </c>
      <c r="N1627" s="10">
        <f t="shared" si="204"/>
        <v>12439</v>
      </c>
      <c r="O1627" s="1" t="b">
        <f>IFERROR(IF(ISNUMBER(Raw!G1627),TRUE,OR(EXACT(L1627,TEXT(M1627,"0.00")),EXACT(L1627,TEXT(M1627,"#,##0.00")))),FALSE)</f>
        <v>1</v>
      </c>
      <c r="P1627" s="1" t="str">
        <f>LEN(IF(Raw!A1627="","",Raw!A1627))&amp;":"&amp;IF(Raw!A1627="","",Raw!A1627)&amp;"|"&amp;LEN(IF(Raw!B1627="","",Raw!B1627))&amp;":"&amp;IF(Raw!B1627="","",Raw!B1627)&amp;"|"&amp;LEN(IF(Raw!C1627="","",Raw!C1627))&amp;":"&amp;IF(Raw!C1627="","",Raw!C1627)&amp;"|"&amp;LEN(IF(Raw!D1627="","",Raw!D1627))&amp;":"&amp;IF(Raw!D1627="","",Raw!D1627)&amp;"|"&amp;LEN(IF(Raw!E1627="","",Raw!E1627))&amp;":"&amp;IF(Raw!E1627="","",Raw!E1627)&amp;"|"&amp;LEN(IF(Raw!F1627="","",Raw!F1627))&amp;":"&amp;IF(Raw!F1627="","",Raw!F1627)&amp;"|"&amp;LEN(IF(Raw!G1627="","",Raw!G1627))&amp;":"&amp;IF(Raw!G1627="","",Raw!G1627)</f>
        <v>6:L01621|6:T00811|10:2026-01-01|3:P-A|11:Accessories|4:sale|6:124.39</v>
      </c>
      <c r="Q1627" s="1">
        <f>1</f>
        <v>1</v>
      </c>
      <c r="R1627" s="1" t="b">
        <f>FALSE</f>
        <v>0</v>
      </c>
      <c r="S1627" s="1">
        <f>1</f>
        <v>1</v>
      </c>
      <c r="T1627" s="1" t="str">
        <f>IF(AND(Raw!A1627="",Raw!B1627="",Raw!C1627="",Raw!D1627="",Raw!E1627="",Raw!F1627="",Raw!G1627=""),"UNUSED",IF(A1627="","missing line ID",IF(B1627="","missing transaction ID",IF(G1627="",IF(C1627="","missing date","invalid date"),IF(I1627="","unknown product",IF(J1627="","conflicting category",IF(NOT(OR(EXACT(K1627,"sale"),EXACT(K1627,"refund"))),"unknown event",IF(OR(N1627="",NOT(O1627)),"invalid amount",IF(OR(AND(K1627="sale",N1627&lt;=0),AND(K1627="refund",N1627&gt;=0)),"invalid sign","")))))))))</f>
        <v/>
      </c>
      <c r="U1627" s="1" t="str">
        <f t="shared" si="205"/>
        <v>INCLUDED</v>
      </c>
      <c r="V1627" s="1" t="str">
        <f t="shared" si="206"/>
        <v>2026-01</v>
      </c>
      <c r="W1627" s="1">
        <f>IF(AND(U1627="INCLUDED",X1627&gt;0,EXACT(A1627,'AI output'!A1627)),1,0)</f>
        <v>1</v>
      </c>
      <c r="X1627" s="1">
        <f>1627</f>
        <v>1627</v>
      </c>
      <c r="Y1627" s="1">
        <f>IF(AND(U1627="INCLUDED",W1627=1),--(NOT(EXACT(A1627,'AI output'!A1627)))+--(NOT(EXACT(B1627,'AI output'!B1627)))+--(NOT(EXACT(TEXT(G1627,"yyyy-mm-dd"),'AI output'!C1627)))+--(NOT(EXACT(H1627,'AI output'!D1627)))+--(NOT(EXACT(J1627,'AI output'!E1627)))+--(NOT(EXACT(K1627,'AI output'!F1627)))+--(N1627&lt;&gt;'AI output'!L1627)+--(NOT('AI output'!M1627)),0)</f>
        <v>0</v>
      </c>
      <c r="Z1627" s="1">
        <f t="shared" si="207"/>
        <v>0</v>
      </c>
      <c r="AA1627" s="1">
        <f>--EXACT(A1627,"L01621")</f>
        <v>1</v>
      </c>
    </row>
    <row r="1628" spans="1:27" ht="18.95" customHeight="1">
      <c r="A1628" s="1" t="str">
        <f>IF(Raw!A1628="","",Raw!A1628)</f>
        <v>L01622</v>
      </c>
      <c r="B1628" s="1" t="str">
        <f>IF(Raw!B1628="","",Raw!B1628)</f>
        <v>T00811</v>
      </c>
      <c r="C1628" s="1" t="str">
        <f>IF(Raw!C1628="","",Raw!C1628)</f>
        <v>2026-01-01</v>
      </c>
      <c r="D1628" s="1">
        <f t="shared" si="200"/>
        <v>2026</v>
      </c>
      <c r="E1628" s="1">
        <f>IFERROR(IF(AND(LEN(C1628)=10,MID(C1628,5,1)="-",MID(C1628,8,1)="-"),VALUE(MID(C1628,6,2)),IF(AND(LEN(C1628)=11,MID(C1628,3,1)="-",MID(C1628,7,1)="-"),MATCH(UPPER(MID(C1628,4,3)),Guide!$D$7:$D$18,0),0)),0)</f>
        <v>1</v>
      </c>
      <c r="F1628" s="1">
        <f t="shared" si="201"/>
        <v>1</v>
      </c>
      <c r="G1628" s="9">
        <f t="shared" si="202"/>
        <v>46023</v>
      </c>
      <c r="H1628" s="1" t="str">
        <f>IF(Raw!D1628="","",Raw!D1628)</f>
        <v>P-H</v>
      </c>
      <c r="I1628" s="1" t="str">
        <f>IFERROR(IF(EXACT(H1628,INDEX(Guide!$A$7:$A$9,MATCH(SUBSTITUTE(SUBSTITUTE(SUBSTITUTE(H1628,"~","~~"),"*","~*"),"?","~?"),Guide!$A$7:$A$9,0))),INDEX(Guide!$B$7:$B$9,MATCH(SUBSTITUTE(SUBSTITUTE(SUBSTITUTE(H1628,"~","~~"),"*","~*"),"?","~?"),Guide!$A$7:$A$9,0)),""),"")</f>
        <v>Home</v>
      </c>
      <c r="J1628" s="1" t="str">
        <f>IF(TRIM(Raw!E1628)="",I1628,IF(UPPER(TRIM(Raw!E1628))=UPPER(I1628),I1628,""))</f>
        <v>Home</v>
      </c>
      <c r="K1628" s="1" t="str">
        <f>IF(Raw!F1628="","",Raw!F1628)</f>
        <v>sale</v>
      </c>
      <c r="L1628" s="1" t="str">
        <f>IF(LEFT(TRIM(Raw!G1628),2)="-$","-"&amp;MID(TRIM(Raw!G1628),3,99),IF(LEFT(TRIM(Raw!G1628),1)="$",MID(TRIM(Raw!G1628),2,99),TRIM(Raw!G1628)))</f>
        <v>374.28</v>
      </c>
      <c r="M1628" s="1">
        <f t="shared" si="203"/>
        <v>374.28</v>
      </c>
      <c r="N1628" s="10">
        <f t="shared" si="204"/>
        <v>37428</v>
      </c>
      <c r="O1628" s="1" t="b">
        <f>IFERROR(IF(ISNUMBER(Raw!G1628),TRUE,OR(EXACT(L1628,TEXT(M1628,"0.00")),EXACT(L1628,TEXT(M1628,"#,##0.00")))),FALSE)</f>
        <v>1</v>
      </c>
      <c r="P1628" s="1" t="str">
        <f>LEN(IF(Raw!A1628="","",Raw!A1628))&amp;":"&amp;IF(Raw!A1628="","",Raw!A1628)&amp;"|"&amp;LEN(IF(Raw!B1628="","",Raw!B1628))&amp;":"&amp;IF(Raw!B1628="","",Raw!B1628)&amp;"|"&amp;LEN(IF(Raw!C1628="","",Raw!C1628))&amp;":"&amp;IF(Raw!C1628="","",Raw!C1628)&amp;"|"&amp;LEN(IF(Raw!D1628="","",Raw!D1628))&amp;":"&amp;IF(Raw!D1628="","",Raw!D1628)&amp;"|"&amp;LEN(IF(Raw!E1628="","",Raw!E1628))&amp;":"&amp;IF(Raw!E1628="","",Raw!E1628)&amp;"|"&amp;LEN(IF(Raw!F1628="","",Raw!F1628))&amp;":"&amp;IF(Raw!F1628="","",Raw!F1628)&amp;"|"&amp;LEN(IF(Raw!G1628="","",Raw!G1628))&amp;":"&amp;IF(Raw!G1628="","",Raw!G1628)</f>
        <v>6:L01622|6:T00811|10:2026-01-01|3:P-H|4:Home|4:sale|6:374.28</v>
      </c>
      <c r="Q1628" s="1">
        <f>1</f>
        <v>1</v>
      </c>
      <c r="R1628" s="1" t="b">
        <f>FALSE</f>
        <v>0</v>
      </c>
      <c r="S1628" s="1">
        <f>1</f>
        <v>1</v>
      </c>
      <c r="T1628" s="1" t="str">
        <f>IF(AND(Raw!A1628="",Raw!B1628="",Raw!C1628="",Raw!D1628="",Raw!E1628="",Raw!F1628="",Raw!G1628=""),"UNUSED",IF(A1628="","missing line ID",IF(B1628="","missing transaction ID",IF(G1628="",IF(C1628="","missing date","invalid date"),IF(I1628="","unknown product",IF(J1628="","conflicting category",IF(NOT(OR(EXACT(K1628,"sale"),EXACT(K1628,"refund"))),"unknown event",IF(OR(N1628="",NOT(O1628)),"invalid amount",IF(OR(AND(K1628="sale",N1628&lt;=0),AND(K1628="refund",N1628&gt;=0)),"invalid sign","")))))))))</f>
        <v/>
      </c>
      <c r="U1628" s="1" t="str">
        <f t="shared" si="205"/>
        <v>INCLUDED</v>
      </c>
      <c r="V1628" s="1" t="str">
        <f t="shared" si="206"/>
        <v>2026-01</v>
      </c>
      <c r="W1628" s="1">
        <f>IF(AND(U1628="INCLUDED",X1628&gt;0,EXACT(A1628,'AI output'!A1628)),1,0)</f>
        <v>1</v>
      </c>
      <c r="X1628" s="1">
        <f>1628</f>
        <v>1628</v>
      </c>
      <c r="Y1628" s="1">
        <f>IF(AND(U1628="INCLUDED",W1628=1),--(NOT(EXACT(A1628,'AI output'!A1628)))+--(NOT(EXACT(B1628,'AI output'!B1628)))+--(NOT(EXACT(TEXT(G1628,"yyyy-mm-dd"),'AI output'!C1628)))+--(NOT(EXACT(H1628,'AI output'!D1628)))+--(NOT(EXACT(J1628,'AI output'!E1628)))+--(NOT(EXACT(K1628,'AI output'!F1628)))+--(N1628&lt;&gt;'AI output'!L1628)+--(NOT('AI output'!M1628)),0)</f>
        <v>0</v>
      </c>
      <c r="Z1628" s="1">
        <f t="shared" si="207"/>
        <v>0</v>
      </c>
      <c r="AA1628" s="1">
        <f>--EXACT(A1628,"L01622")</f>
        <v>1</v>
      </c>
    </row>
    <row r="1629" spans="1:27" ht="18.95" customHeight="1">
      <c r="A1629" s="1" t="str">
        <f>IF(Raw!A1629="","",Raw!A1629)</f>
        <v>L01623</v>
      </c>
      <c r="B1629" s="1" t="str">
        <f>IF(Raw!B1629="","",Raw!B1629)</f>
        <v>T00812</v>
      </c>
      <c r="C1629" s="1" t="str">
        <f>IF(Raw!C1629="","",Raw!C1629)</f>
        <v>2026-01-08</v>
      </c>
      <c r="D1629" s="1">
        <f t="shared" si="200"/>
        <v>2026</v>
      </c>
      <c r="E1629" s="1">
        <f>IFERROR(IF(AND(LEN(C1629)=10,MID(C1629,5,1)="-",MID(C1629,8,1)="-"),VALUE(MID(C1629,6,2)),IF(AND(LEN(C1629)=11,MID(C1629,3,1)="-",MID(C1629,7,1)="-"),MATCH(UPPER(MID(C1629,4,3)),Guide!$D$7:$D$18,0),0)),0)</f>
        <v>1</v>
      </c>
      <c r="F1629" s="1">
        <f t="shared" si="201"/>
        <v>8</v>
      </c>
      <c r="G1629" s="9">
        <f t="shared" si="202"/>
        <v>46030</v>
      </c>
      <c r="H1629" s="1" t="str">
        <f>IF(Raw!D1629="","",Raw!D1629)</f>
        <v>P-O</v>
      </c>
      <c r="I1629" s="1" t="str">
        <f>IFERROR(IF(EXACT(H1629,INDEX(Guide!$A$7:$A$9,MATCH(SUBSTITUTE(SUBSTITUTE(SUBSTITUTE(H1629,"~","~~"),"*","~*"),"?","~?"),Guide!$A$7:$A$9,0))),INDEX(Guide!$B$7:$B$9,MATCH(SUBSTITUTE(SUBSTITUTE(SUBSTITUTE(H1629,"~","~~"),"*","~*"),"?","~?"),Guide!$A$7:$A$9,0)),""),"")</f>
        <v>Office</v>
      </c>
      <c r="J1629" s="1" t="str">
        <f>IF(TRIM(Raw!E1629)="",I1629,IF(UPPER(TRIM(Raw!E1629))=UPPER(I1629),I1629,""))</f>
        <v>Office</v>
      </c>
      <c r="K1629" s="1" t="str">
        <f>IF(Raw!F1629="","",Raw!F1629)</f>
        <v>sale</v>
      </c>
      <c r="L1629" s="1" t="str">
        <f>IF(LEFT(TRIM(Raw!G1629),2)="-$","-"&amp;MID(TRIM(Raw!G1629),3,99),IF(LEFT(TRIM(Raw!G1629),1)="$",MID(TRIM(Raw!G1629),2,99),TRIM(Raw!G1629)))</f>
        <v>25.65</v>
      </c>
      <c r="M1629" s="1">
        <f t="shared" si="203"/>
        <v>25.65</v>
      </c>
      <c r="N1629" s="10">
        <f t="shared" si="204"/>
        <v>2565</v>
      </c>
      <c r="O1629" s="1" t="b">
        <f>IFERROR(IF(ISNUMBER(Raw!G1629),TRUE,OR(EXACT(L1629,TEXT(M1629,"0.00")),EXACT(L1629,TEXT(M1629,"#,##0.00")))),FALSE)</f>
        <v>1</v>
      </c>
      <c r="P1629" s="1" t="str">
        <f>LEN(IF(Raw!A1629="","",Raw!A1629))&amp;":"&amp;IF(Raw!A1629="","",Raw!A1629)&amp;"|"&amp;LEN(IF(Raw!B1629="","",Raw!B1629))&amp;":"&amp;IF(Raw!B1629="","",Raw!B1629)&amp;"|"&amp;LEN(IF(Raw!C1629="","",Raw!C1629))&amp;":"&amp;IF(Raw!C1629="","",Raw!C1629)&amp;"|"&amp;LEN(IF(Raw!D1629="","",Raw!D1629))&amp;":"&amp;IF(Raw!D1629="","",Raw!D1629)&amp;"|"&amp;LEN(IF(Raw!E1629="","",Raw!E1629))&amp;":"&amp;IF(Raw!E1629="","",Raw!E1629)&amp;"|"&amp;LEN(IF(Raw!F1629="","",Raw!F1629))&amp;":"&amp;IF(Raw!F1629="","",Raw!F1629)&amp;"|"&amp;LEN(IF(Raw!G1629="","",Raw!G1629))&amp;":"&amp;IF(Raw!G1629="","",Raw!G1629)</f>
        <v>6:L01623|6:T00812|10:2026-01-08|3:P-O|6:Office|4:sale|5:25.65</v>
      </c>
      <c r="Q1629" s="1">
        <f>1</f>
        <v>1</v>
      </c>
      <c r="R1629" s="1" t="b">
        <f>FALSE</f>
        <v>0</v>
      </c>
      <c r="S1629" s="1">
        <f>1</f>
        <v>1</v>
      </c>
      <c r="T1629" s="1" t="str">
        <f>IF(AND(Raw!A1629="",Raw!B1629="",Raw!C1629="",Raw!D1629="",Raw!E1629="",Raw!F1629="",Raw!G1629=""),"UNUSED",IF(A1629="","missing line ID",IF(B1629="","missing transaction ID",IF(G1629="",IF(C1629="","missing date","invalid date"),IF(I1629="","unknown product",IF(J1629="","conflicting category",IF(NOT(OR(EXACT(K1629,"sale"),EXACT(K1629,"refund"))),"unknown event",IF(OR(N1629="",NOT(O1629)),"invalid amount",IF(OR(AND(K1629="sale",N1629&lt;=0),AND(K1629="refund",N1629&gt;=0)),"invalid sign","")))))))))</f>
        <v/>
      </c>
      <c r="U1629" s="1" t="str">
        <f t="shared" si="205"/>
        <v>INCLUDED</v>
      </c>
      <c r="V1629" s="1" t="str">
        <f t="shared" si="206"/>
        <v>2026-01</v>
      </c>
      <c r="W1629" s="1">
        <f>IF(AND(U1629="INCLUDED",X1629&gt;0,EXACT(A1629,'AI output'!A1629)),1,0)</f>
        <v>1</v>
      </c>
      <c r="X1629" s="1">
        <f>1629</f>
        <v>1629</v>
      </c>
      <c r="Y1629" s="1">
        <f>IF(AND(U1629="INCLUDED",W1629=1),--(NOT(EXACT(A1629,'AI output'!A1629)))+--(NOT(EXACT(B1629,'AI output'!B1629)))+--(NOT(EXACT(TEXT(G1629,"yyyy-mm-dd"),'AI output'!C1629)))+--(NOT(EXACT(H1629,'AI output'!D1629)))+--(NOT(EXACT(J1629,'AI output'!E1629)))+--(NOT(EXACT(K1629,'AI output'!F1629)))+--(N1629&lt;&gt;'AI output'!L1629)+--(NOT('AI output'!M1629)),0)</f>
        <v>0</v>
      </c>
      <c r="Z1629" s="1">
        <f t="shared" si="207"/>
        <v>0</v>
      </c>
      <c r="AA1629" s="1">
        <f>--EXACT(A1629,"L01623")</f>
        <v>1</v>
      </c>
    </row>
    <row r="1630" spans="1:27" ht="18.95" customHeight="1">
      <c r="A1630" s="1" t="str">
        <f>IF(Raw!A1630="","",Raw!A1630)</f>
        <v>L01624</v>
      </c>
      <c r="B1630" s="1" t="str">
        <f>IF(Raw!B1630="","",Raw!B1630)</f>
        <v>T00812</v>
      </c>
      <c r="C1630" s="1" t="str">
        <f>IF(Raw!C1630="","",Raw!C1630)</f>
        <v>2026-01-08</v>
      </c>
      <c r="D1630" s="1">
        <f t="shared" si="200"/>
        <v>2026</v>
      </c>
      <c r="E1630" s="1">
        <f>IFERROR(IF(AND(LEN(C1630)=10,MID(C1630,5,1)="-",MID(C1630,8,1)="-"),VALUE(MID(C1630,6,2)),IF(AND(LEN(C1630)=11,MID(C1630,3,1)="-",MID(C1630,7,1)="-"),MATCH(UPPER(MID(C1630,4,3)),Guide!$D$7:$D$18,0),0)),0)</f>
        <v>1</v>
      </c>
      <c r="F1630" s="1">
        <f t="shared" si="201"/>
        <v>8</v>
      </c>
      <c r="G1630" s="9">
        <f t="shared" si="202"/>
        <v>46030</v>
      </c>
      <c r="H1630" s="1" t="str">
        <f>IF(Raw!D1630="","",Raw!D1630)</f>
        <v>P-A</v>
      </c>
      <c r="I1630" s="1" t="str">
        <f>IFERROR(IF(EXACT(H1630,INDEX(Guide!$A$7:$A$9,MATCH(SUBSTITUTE(SUBSTITUTE(SUBSTITUTE(H1630,"~","~~"),"*","~*"),"?","~?"),Guide!$A$7:$A$9,0))),INDEX(Guide!$B$7:$B$9,MATCH(SUBSTITUTE(SUBSTITUTE(SUBSTITUTE(H1630,"~","~~"),"*","~*"),"?","~?"),Guide!$A$7:$A$9,0)),""),"")</f>
        <v>Accessories</v>
      </c>
      <c r="J1630" s="1" t="str">
        <f>IF(TRIM(Raw!E1630)="",I1630,IF(UPPER(TRIM(Raw!E1630))=UPPER(I1630),I1630,""))</f>
        <v>Accessories</v>
      </c>
      <c r="K1630" s="1" t="str">
        <f>IF(Raw!F1630="","",Raw!F1630)</f>
        <v>sale</v>
      </c>
      <c r="L1630" s="1" t="str">
        <f>IF(LEFT(TRIM(Raw!G1630),2)="-$","-"&amp;MID(TRIM(Raw!G1630),3,99),IF(LEFT(TRIM(Raw!G1630),1)="$",MID(TRIM(Raw!G1630),2,99),TRIM(Raw!G1630)))</f>
        <v>11.00</v>
      </c>
      <c r="M1630" s="1">
        <f t="shared" si="203"/>
        <v>11</v>
      </c>
      <c r="N1630" s="10">
        <f t="shared" si="204"/>
        <v>1100</v>
      </c>
      <c r="O1630" s="1" t="b">
        <f>IFERROR(IF(ISNUMBER(Raw!G1630),TRUE,OR(EXACT(L1630,TEXT(M1630,"0.00")),EXACT(L1630,TEXT(M1630,"#,##0.00")))),FALSE)</f>
        <v>1</v>
      </c>
      <c r="P1630" s="1" t="str">
        <f>LEN(IF(Raw!A1630="","",Raw!A1630))&amp;":"&amp;IF(Raw!A1630="","",Raw!A1630)&amp;"|"&amp;LEN(IF(Raw!B1630="","",Raw!B1630))&amp;":"&amp;IF(Raw!B1630="","",Raw!B1630)&amp;"|"&amp;LEN(IF(Raw!C1630="","",Raw!C1630))&amp;":"&amp;IF(Raw!C1630="","",Raw!C1630)&amp;"|"&amp;LEN(IF(Raw!D1630="","",Raw!D1630))&amp;":"&amp;IF(Raw!D1630="","",Raw!D1630)&amp;"|"&amp;LEN(IF(Raw!E1630="","",Raw!E1630))&amp;":"&amp;IF(Raw!E1630="","",Raw!E1630)&amp;"|"&amp;LEN(IF(Raw!F1630="","",Raw!F1630))&amp;":"&amp;IF(Raw!F1630="","",Raw!F1630)&amp;"|"&amp;LEN(IF(Raw!G1630="","",Raw!G1630))&amp;":"&amp;IF(Raw!G1630="","",Raw!G1630)</f>
        <v>6:L01624|6:T00812|10:2026-01-08|3:P-A|11:Accessories|4:sale|5:11.00</v>
      </c>
      <c r="Q1630" s="1">
        <f>1</f>
        <v>1</v>
      </c>
      <c r="R1630" s="1" t="b">
        <f>FALSE</f>
        <v>0</v>
      </c>
      <c r="S1630" s="1">
        <f>1</f>
        <v>1</v>
      </c>
      <c r="T1630" s="1" t="str">
        <f>IF(AND(Raw!A1630="",Raw!B1630="",Raw!C1630="",Raw!D1630="",Raw!E1630="",Raw!F1630="",Raw!G1630=""),"UNUSED",IF(A1630="","missing line ID",IF(B1630="","missing transaction ID",IF(G1630="",IF(C1630="","missing date","invalid date"),IF(I1630="","unknown product",IF(J1630="","conflicting category",IF(NOT(OR(EXACT(K1630,"sale"),EXACT(K1630,"refund"))),"unknown event",IF(OR(N1630="",NOT(O1630)),"invalid amount",IF(OR(AND(K1630="sale",N1630&lt;=0),AND(K1630="refund",N1630&gt;=0)),"invalid sign","")))))))))</f>
        <v/>
      </c>
      <c r="U1630" s="1" t="str">
        <f t="shared" si="205"/>
        <v>INCLUDED</v>
      </c>
      <c r="V1630" s="1" t="str">
        <f t="shared" si="206"/>
        <v>2026-01</v>
      </c>
      <c r="W1630" s="1">
        <f>IF(AND(U1630="INCLUDED",X1630&gt;0,EXACT(A1630,'AI output'!A1630)),1,0)</f>
        <v>1</v>
      </c>
      <c r="X1630" s="1">
        <f>1630</f>
        <v>1630</v>
      </c>
      <c r="Y1630" s="1">
        <f>IF(AND(U1630="INCLUDED",W1630=1),--(NOT(EXACT(A1630,'AI output'!A1630)))+--(NOT(EXACT(B1630,'AI output'!B1630)))+--(NOT(EXACT(TEXT(G1630,"yyyy-mm-dd"),'AI output'!C1630)))+--(NOT(EXACT(H1630,'AI output'!D1630)))+--(NOT(EXACT(J1630,'AI output'!E1630)))+--(NOT(EXACT(K1630,'AI output'!F1630)))+--(N1630&lt;&gt;'AI output'!L1630)+--(NOT('AI output'!M1630)),0)</f>
        <v>0</v>
      </c>
      <c r="Z1630" s="1">
        <f t="shared" si="207"/>
        <v>0</v>
      </c>
      <c r="AA1630" s="1">
        <f>--EXACT(A1630,"L01624")</f>
        <v>1</v>
      </c>
    </row>
    <row r="1631" spans="1:27" ht="18.95" customHeight="1">
      <c r="A1631" s="1" t="str">
        <f>IF(Raw!A1631="","",Raw!A1631)</f>
        <v>L01625</v>
      </c>
      <c r="B1631" s="1" t="str">
        <f>IF(Raw!B1631="","",Raw!B1631)</f>
        <v>T00813</v>
      </c>
      <c r="C1631" s="1" t="str">
        <f>IF(Raw!C1631="","",Raw!C1631)</f>
        <v>2026-01-15</v>
      </c>
      <c r="D1631" s="1">
        <f t="shared" si="200"/>
        <v>2026</v>
      </c>
      <c r="E1631" s="1">
        <f>IFERROR(IF(AND(LEN(C1631)=10,MID(C1631,5,1)="-",MID(C1631,8,1)="-"),VALUE(MID(C1631,6,2)),IF(AND(LEN(C1631)=11,MID(C1631,3,1)="-",MID(C1631,7,1)="-"),MATCH(UPPER(MID(C1631,4,3)),Guide!$D$7:$D$18,0),0)),0)</f>
        <v>1</v>
      </c>
      <c r="F1631" s="1">
        <f t="shared" si="201"/>
        <v>15</v>
      </c>
      <c r="G1631" s="9">
        <f t="shared" si="202"/>
        <v>46037</v>
      </c>
      <c r="H1631" s="1" t="str">
        <f>IF(Raw!D1631="","",Raw!D1631)</f>
        <v>P-H</v>
      </c>
      <c r="I1631" s="1" t="str">
        <f>IFERROR(IF(EXACT(H1631,INDEX(Guide!$A$7:$A$9,MATCH(SUBSTITUTE(SUBSTITUTE(SUBSTITUTE(H1631,"~","~~"),"*","~*"),"?","~?"),Guide!$A$7:$A$9,0))),INDEX(Guide!$B$7:$B$9,MATCH(SUBSTITUTE(SUBSTITUTE(SUBSTITUTE(H1631,"~","~~"),"*","~*"),"?","~?"),Guide!$A$7:$A$9,0)),""),"")</f>
        <v>Home</v>
      </c>
      <c r="J1631" s="1" t="str">
        <f>IF(TRIM(Raw!E1631)="",I1631,IF(UPPER(TRIM(Raw!E1631))=UPPER(I1631),I1631,""))</f>
        <v>Home</v>
      </c>
      <c r="K1631" s="1" t="str">
        <f>IF(Raw!F1631="","",Raw!F1631)</f>
        <v>sale</v>
      </c>
      <c r="L1631" s="1" t="str">
        <f>IF(LEFT(TRIM(Raw!G1631),2)="-$","-"&amp;MID(TRIM(Raw!G1631),3,99),IF(LEFT(TRIM(Raw!G1631),1)="$",MID(TRIM(Raw!G1631),2,99),TRIM(Raw!G1631)))</f>
        <v>23.48</v>
      </c>
      <c r="M1631" s="1">
        <f t="shared" si="203"/>
        <v>23.48</v>
      </c>
      <c r="N1631" s="10">
        <f t="shared" si="204"/>
        <v>2348</v>
      </c>
      <c r="O1631" s="1" t="b">
        <f>IFERROR(IF(ISNUMBER(Raw!G1631),TRUE,OR(EXACT(L1631,TEXT(M1631,"0.00")),EXACT(L1631,TEXT(M1631,"#,##0.00")))),FALSE)</f>
        <v>1</v>
      </c>
      <c r="P1631" s="1" t="str">
        <f>LEN(IF(Raw!A1631="","",Raw!A1631))&amp;":"&amp;IF(Raw!A1631="","",Raw!A1631)&amp;"|"&amp;LEN(IF(Raw!B1631="","",Raw!B1631))&amp;":"&amp;IF(Raw!B1631="","",Raw!B1631)&amp;"|"&amp;LEN(IF(Raw!C1631="","",Raw!C1631))&amp;":"&amp;IF(Raw!C1631="","",Raw!C1631)&amp;"|"&amp;LEN(IF(Raw!D1631="","",Raw!D1631))&amp;":"&amp;IF(Raw!D1631="","",Raw!D1631)&amp;"|"&amp;LEN(IF(Raw!E1631="","",Raw!E1631))&amp;":"&amp;IF(Raw!E1631="","",Raw!E1631)&amp;"|"&amp;LEN(IF(Raw!F1631="","",Raw!F1631))&amp;":"&amp;IF(Raw!F1631="","",Raw!F1631)&amp;"|"&amp;LEN(IF(Raw!G1631="","",Raw!G1631))&amp;":"&amp;IF(Raw!G1631="","",Raw!G1631)</f>
        <v>6:L01625|6:T00813|10:2026-01-15|3:P-H|4:Home|4:sale|5:23.48</v>
      </c>
      <c r="Q1631" s="1">
        <f>1</f>
        <v>1</v>
      </c>
      <c r="R1631" s="1" t="b">
        <f>FALSE</f>
        <v>0</v>
      </c>
      <c r="S1631" s="1">
        <f>1</f>
        <v>1</v>
      </c>
      <c r="T1631" s="1" t="str">
        <f>IF(AND(Raw!A1631="",Raw!B1631="",Raw!C1631="",Raw!D1631="",Raw!E1631="",Raw!F1631="",Raw!G1631=""),"UNUSED",IF(A1631="","missing line ID",IF(B1631="","missing transaction ID",IF(G1631="",IF(C1631="","missing date","invalid date"),IF(I1631="","unknown product",IF(J1631="","conflicting category",IF(NOT(OR(EXACT(K1631,"sale"),EXACT(K1631,"refund"))),"unknown event",IF(OR(N1631="",NOT(O1631)),"invalid amount",IF(OR(AND(K1631="sale",N1631&lt;=0),AND(K1631="refund",N1631&gt;=0)),"invalid sign","")))))))))</f>
        <v/>
      </c>
      <c r="U1631" s="1" t="str">
        <f t="shared" si="205"/>
        <v>INCLUDED</v>
      </c>
      <c r="V1631" s="1" t="str">
        <f t="shared" si="206"/>
        <v>2026-01</v>
      </c>
      <c r="W1631" s="1">
        <f>IF(AND(U1631="INCLUDED",X1631&gt;0,EXACT(A1631,'AI output'!A1631)),1,0)</f>
        <v>1</v>
      </c>
      <c r="X1631" s="1">
        <f>1631</f>
        <v>1631</v>
      </c>
      <c r="Y1631" s="1">
        <f>IF(AND(U1631="INCLUDED",W1631=1),--(NOT(EXACT(A1631,'AI output'!A1631)))+--(NOT(EXACT(B1631,'AI output'!B1631)))+--(NOT(EXACT(TEXT(G1631,"yyyy-mm-dd"),'AI output'!C1631)))+--(NOT(EXACT(H1631,'AI output'!D1631)))+--(NOT(EXACT(J1631,'AI output'!E1631)))+--(NOT(EXACT(K1631,'AI output'!F1631)))+--(N1631&lt;&gt;'AI output'!L1631)+--(NOT('AI output'!M1631)),0)</f>
        <v>0</v>
      </c>
      <c r="Z1631" s="1">
        <f t="shared" si="207"/>
        <v>0</v>
      </c>
      <c r="AA1631" s="1">
        <f>--EXACT(A1631,"L01625")</f>
        <v>1</v>
      </c>
    </row>
    <row r="1632" spans="1:27" ht="18.95" customHeight="1">
      <c r="A1632" s="1" t="str">
        <f>IF(Raw!A1632="","",Raw!A1632)</f>
        <v>L01626</v>
      </c>
      <c r="B1632" s="1" t="str">
        <f>IF(Raw!B1632="","",Raw!B1632)</f>
        <v>T00813</v>
      </c>
      <c r="C1632" s="1" t="str">
        <f>IF(Raw!C1632="","",Raw!C1632)</f>
        <v>2026-01-15</v>
      </c>
      <c r="D1632" s="1">
        <f t="shared" si="200"/>
        <v>2026</v>
      </c>
      <c r="E1632" s="1">
        <f>IFERROR(IF(AND(LEN(C1632)=10,MID(C1632,5,1)="-",MID(C1632,8,1)="-"),VALUE(MID(C1632,6,2)),IF(AND(LEN(C1632)=11,MID(C1632,3,1)="-",MID(C1632,7,1)="-"),MATCH(UPPER(MID(C1632,4,3)),Guide!$D$7:$D$18,0),0)),0)</f>
        <v>1</v>
      </c>
      <c r="F1632" s="1">
        <f t="shared" si="201"/>
        <v>15</v>
      </c>
      <c r="G1632" s="9">
        <f t="shared" si="202"/>
        <v>46037</v>
      </c>
      <c r="H1632" s="1" t="str">
        <f>IF(Raw!D1632="","",Raw!D1632)</f>
        <v>P-O</v>
      </c>
      <c r="I1632" s="1" t="str">
        <f>IFERROR(IF(EXACT(H1632,INDEX(Guide!$A$7:$A$9,MATCH(SUBSTITUTE(SUBSTITUTE(SUBSTITUTE(H1632,"~","~~"),"*","~*"),"?","~?"),Guide!$A$7:$A$9,0))),INDEX(Guide!$B$7:$B$9,MATCH(SUBSTITUTE(SUBSTITUTE(SUBSTITUTE(H1632,"~","~~"),"*","~*"),"?","~?"),Guide!$A$7:$A$9,0)),""),"")</f>
        <v>Office</v>
      </c>
      <c r="J1632" s="1" t="str">
        <f>IF(TRIM(Raw!E1632)="",I1632,IF(UPPER(TRIM(Raw!E1632))=UPPER(I1632),I1632,""))</f>
        <v>Office</v>
      </c>
      <c r="K1632" s="1" t="str">
        <f>IF(Raw!F1632="","",Raw!F1632)</f>
        <v>sale</v>
      </c>
      <c r="L1632" s="1" t="str">
        <f>IF(LEFT(TRIM(Raw!G1632),2)="-$","-"&amp;MID(TRIM(Raw!G1632),3,99),IF(LEFT(TRIM(Raw!G1632),1)="$",MID(TRIM(Raw!G1632),2,99),TRIM(Raw!G1632)))</f>
        <v>6.24</v>
      </c>
      <c r="M1632" s="1">
        <f t="shared" si="203"/>
        <v>6.24</v>
      </c>
      <c r="N1632" s="10">
        <f t="shared" si="204"/>
        <v>624</v>
      </c>
      <c r="O1632" s="1" t="b">
        <f>IFERROR(IF(ISNUMBER(Raw!G1632),TRUE,OR(EXACT(L1632,TEXT(M1632,"0.00")),EXACT(L1632,TEXT(M1632,"#,##0.00")))),FALSE)</f>
        <v>1</v>
      </c>
      <c r="P1632" s="1" t="str">
        <f>LEN(IF(Raw!A1632="","",Raw!A1632))&amp;":"&amp;IF(Raw!A1632="","",Raw!A1632)&amp;"|"&amp;LEN(IF(Raw!B1632="","",Raw!B1632))&amp;":"&amp;IF(Raw!B1632="","",Raw!B1632)&amp;"|"&amp;LEN(IF(Raw!C1632="","",Raw!C1632))&amp;":"&amp;IF(Raw!C1632="","",Raw!C1632)&amp;"|"&amp;LEN(IF(Raw!D1632="","",Raw!D1632))&amp;":"&amp;IF(Raw!D1632="","",Raw!D1632)&amp;"|"&amp;LEN(IF(Raw!E1632="","",Raw!E1632))&amp;":"&amp;IF(Raw!E1632="","",Raw!E1632)&amp;"|"&amp;LEN(IF(Raw!F1632="","",Raw!F1632))&amp;":"&amp;IF(Raw!F1632="","",Raw!F1632)&amp;"|"&amp;LEN(IF(Raw!G1632="","",Raw!G1632))&amp;":"&amp;IF(Raw!G1632="","",Raw!G1632)</f>
        <v>6:L01626|6:T00813|10:2026-01-15|3:P-O|6:Office|4:sale|4:6.24</v>
      </c>
      <c r="Q1632" s="1">
        <f>1</f>
        <v>1</v>
      </c>
      <c r="R1632" s="1" t="b">
        <f>FALSE</f>
        <v>0</v>
      </c>
      <c r="S1632" s="1">
        <f>1</f>
        <v>1</v>
      </c>
      <c r="T1632" s="1" t="str">
        <f>IF(AND(Raw!A1632="",Raw!B1632="",Raw!C1632="",Raw!D1632="",Raw!E1632="",Raw!F1632="",Raw!G1632=""),"UNUSED",IF(A1632="","missing line ID",IF(B1632="","missing transaction ID",IF(G1632="",IF(C1632="","missing date","invalid date"),IF(I1632="","unknown product",IF(J1632="","conflicting category",IF(NOT(OR(EXACT(K1632,"sale"),EXACT(K1632,"refund"))),"unknown event",IF(OR(N1632="",NOT(O1632)),"invalid amount",IF(OR(AND(K1632="sale",N1632&lt;=0),AND(K1632="refund",N1632&gt;=0)),"invalid sign","")))))))))</f>
        <v/>
      </c>
      <c r="U1632" s="1" t="str">
        <f t="shared" si="205"/>
        <v>INCLUDED</v>
      </c>
      <c r="V1632" s="1" t="str">
        <f t="shared" si="206"/>
        <v>2026-01</v>
      </c>
      <c r="W1632" s="1">
        <f>IF(AND(U1632="INCLUDED",X1632&gt;0,EXACT(A1632,'AI output'!A1632)),1,0)</f>
        <v>1</v>
      </c>
      <c r="X1632" s="1">
        <f>1632</f>
        <v>1632</v>
      </c>
      <c r="Y1632" s="1">
        <f>IF(AND(U1632="INCLUDED",W1632=1),--(NOT(EXACT(A1632,'AI output'!A1632)))+--(NOT(EXACT(B1632,'AI output'!B1632)))+--(NOT(EXACT(TEXT(G1632,"yyyy-mm-dd"),'AI output'!C1632)))+--(NOT(EXACT(H1632,'AI output'!D1632)))+--(NOT(EXACT(J1632,'AI output'!E1632)))+--(NOT(EXACT(K1632,'AI output'!F1632)))+--(N1632&lt;&gt;'AI output'!L1632)+--(NOT('AI output'!M1632)),0)</f>
        <v>0</v>
      </c>
      <c r="Z1632" s="1">
        <f t="shared" si="207"/>
        <v>0</v>
      </c>
      <c r="AA1632" s="1">
        <f>--EXACT(A1632,"L01626")</f>
        <v>1</v>
      </c>
    </row>
    <row r="1633" spans="1:27" ht="18.95" customHeight="1">
      <c r="A1633" s="1" t="str">
        <f>IF(Raw!A1633="","",Raw!A1633)</f>
        <v>L01627</v>
      </c>
      <c r="B1633" s="1" t="str">
        <f>IF(Raw!B1633="","",Raw!B1633)</f>
        <v>T00814</v>
      </c>
      <c r="C1633" s="1" t="str">
        <f>IF(Raw!C1633="","",Raw!C1633)</f>
        <v>2026-01-22</v>
      </c>
      <c r="D1633" s="1">
        <f t="shared" si="200"/>
        <v>2026</v>
      </c>
      <c r="E1633" s="1">
        <f>IFERROR(IF(AND(LEN(C1633)=10,MID(C1633,5,1)="-",MID(C1633,8,1)="-"),VALUE(MID(C1633,6,2)),IF(AND(LEN(C1633)=11,MID(C1633,3,1)="-",MID(C1633,7,1)="-"),MATCH(UPPER(MID(C1633,4,3)),Guide!$D$7:$D$18,0),0)),0)</f>
        <v>1</v>
      </c>
      <c r="F1633" s="1">
        <f t="shared" si="201"/>
        <v>22</v>
      </c>
      <c r="G1633" s="9">
        <f t="shared" si="202"/>
        <v>46044</v>
      </c>
      <c r="H1633" s="1" t="str">
        <f>IF(Raw!D1633="","",Raw!D1633)</f>
        <v>P-A</v>
      </c>
      <c r="I1633" s="1" t="str">
        <f>IFERROR(IF(EXACT(H1633,INDEX(Guide!$A$7:$A$9,MATCH(SUBSTITUTE(SUBSTITUTE(SUBSTITUTE(H1633,"~","~~"),"*","~*"),"?","~?"),Guide!$A$7:$A$9,0))),INDEX(Guide!$B$7:$B$9,MATCH(SUBSTITUTE(SUBSTITUTE(SUBSTITUTE(H1633,"~","~~"),"*","~*"),"?","~?"),Guide!$A$7:$A$9,0)),""),"")</f>
        <v>Accessories</v>
      </c>
      <c r="J1633" s="1" t="str">
        <f>IF(TRIM(Raw!E1633)="",I1633,IF(UPPER(TRIM(Raw!E1633))=UPPER(I1633),I1633,""))</f>
        <v>Accessories</v>
      </c>
      <c r="K1633" s="1" t="str">
        <f>IF(Raw!F1633="","",Raw!F1633)</f>
        <v>sale</v>
      </c>
      <c r="L1633" s="1" t="str">
        <f>IF(LEFT(TRIM(Raw!G1633),2)="-$","-"&amp;MID(TRIM(Raw!G1633),3,99),IF(LEFT(TRIM(Raw!G1633),1)="$",MID(TRIM(Raw!G1633),2,99),TRIM(Raw!G1633)))</f>
        <v>19.83</v>
      </c>
      <c r="M1633" s="1">
        <f t="shared" si="203"/>
        <v>19.829999999999998</v>
      </c>
      <c r="N1633" s="10">
        <f t="shared" si="204"/>
        <v>1983</v>
      </c>
      <c r="O1633" s="1" t="b">
        <f>IFERROR(IF(ISNUMBER(Raw!G1633),TRUE,OR(EXACT(L1633,TEXT(M1633,"0.00")),EXACT(L1633,TEXT(M1633,"#,##0.00")))),FALSE)</f>
        <v>1</v>
      </c>
      <c r="P1633" s="1" t="str">
        <f>LEN(IF(Raw!A1633="","",Raw!A1633))&amp;":"&amp;IF(Raw!A1633="","",Raw!A1633)&amp;"|"&amp;LEN(IF(Raw!B1633="","",Raw!B1633))&amp;":"&amp;IF(Raw!B1633="","",Raw!B1633)&amp;"|"&amp;LEN(IF(Raw!C1633="","",Raw!C1633))&amp;":"&amp;IF(Raw!C1633="","",Raw!C1633)&amp;"|"&amp;LEN(IF(Raw!D1633="","",Raw!D1633))&amp;":"&amp;IF(Raw!D1633="","",Raw!D1633)&amp;"|"&amp;LEN(IF(Raw!E1633="","",Raw!E1633))&amp;":"&amp;IF(Raw!E1633="","",Raw!E1633)&amp;"|"&amp;LEN(IF(Raw!F1633="","",Raw!F1633))&amp;":"&amp;IF(Raw!F1633="","",Raw!F1633)&amp;"|"&amp;LEN(IF(Raw!G1633="","",Raw!G1633))&amp;":"&amp;IF(Raw!G1633="","",Raw!G1633)</f>
        <v>6:L01627|6:T00814|10:2026-01-22|3:P-A|11:Accessories|4:sale|5:19.83</v>
      </c>
      <c r="Q1633" s="1">
        <f>1</f>
        <v>1</v>
      </c>
      <c r="R1633" s="1" t="b">
        <f>FALSE</f>
        <v>0</v>
      </c>
      <c r="S1633" s="1">
        <f>1</f>
        <v>1</v>
      </c>
      <c r="T1633" s="1" t="str">
        <f>IF(AND(Raw!A1633="",Raw!B1633="",Raw!C1633="",Raw!D1633="",Raw!E1633="",Raw!F1633="",Raw!G1633=""),"UNUSED",IF(A1633="","missing line ID",IF(B1633="","missing transaction ID",IF(G1633="",IF(C1633="","missing date","invalid date"),IF(I1633="","unknown product",IF(J1633="","conflicting category",IF(NOT(OR(EXACT(K1633,"sale"),EXACT(K1633,"refund"))),"unknown event",IF(OR(N1633="",NOT(O1633)),"invalid amount",IF(OR(AND(K1633="sale",N1633&lt;=0),AND(K1633="refund",N1633&gt;=0)),"invalid sign","")))))))))</f>
        <v/>
      </c>
      <c r="U1633" s="1" t="str">
        <f t="shared" si="205"/>
        <v>INCLUDED</v>
      </c>
      <c r="V1633" s="1" t="str">
        <f t="shared" si="206"/>
        <v>2026-01</v>
      </c>
      <c r="W1633" s="1">
        <f>IF(AND(U1633="INCLUDED",X1633&gt;0,EXACT(A1633,'AI output'!A1633)),1,0)</f>
        <v>1</v>
      </c>
      <c r="X1633" s="1">
        <f>1633</f>
        <v>1633</v>
      </c>
      <c r="Y1633" s="1">
        <f>IF(AND(U1633="INCLUDED",W1633=1),--(NOT(EXACT(A1633,'AI output'!A1633)))+--(NOT(EXACT(B1633,'AI output'!B1633)))+--(NOT(EXACT(TEXT(G1633,"yyyy-mm-dd"),'AI output'!C1633)))+--(NOT(EXACT(H1633,'AI output'!D1633)))+--(NOT(EXACT(J1633,'AI output'!E1633)))+--(NOT(EXACT(K1633,'AI output'!F1633)))+--(N1633&lt;&gt;'AI output'!L1633)+--(NOT('AI output'!M1633)),0)</f>
        <v>0</v>
      </c>
      <c r="Z1633" s="1">
        <f t="shared" si="207"/>
        <v>0</v>
      </c>
      <c r="AA1633" s="1">
        <f>--EXACT(A1633,"L01627")</f>
        <v>1</v>
      </c>
    </row>
    <row r="1634" spans="1:27" ht="18.95" customHeight="1">
      <c r="A1634" s="1" t="str">
        <f>IF(Raw!A1634="","",Raw!A1634)</f>
        <v>L01628</v>
      </c>
      <c r="B1634" s="1" t="str">
        <f>IF(Raw!B1634="","",Raw!B1634)</f>
        <v>T00814</v>
      </c>
      <c r="C1634" s="1" t="str">
        <f>IF(Raw!C1634="","",Raw!C1634)</f>
        <v>2026-01-22</v>
      </c>
      <c r="D1634" s="1">
        <f t="shared" si="200"/>
        <v>2026</v>
      </c>
      <c r="E1634" s="1">
        <f>IFERROR(IF(AND(LEN(C1634)=10,MID(C1634,5,1)="-",MID(C1634,8,1)="-"),VALUE(MID(C1634,6,2)),IF(AND(LEN(C1634)=11,MID(C1634,3,1)="-",MID(C1634,7,1)="-"),MATCH(UPPER(MID(C1634,4,3)),Guide!$D$7:$D$18,0),0)),0)</f>
        <v>1</v>
      </c>
      <c r="F1634" s="1">
        <f t="shared" si="201"/>
        <v>22</v>
      </c>
      <c r="G1634" s="9">
        <f t="shared" si="202"/>
        <v>46044</v>
      </c>
      <c r="H1634" s="1" t="str">
        <f>IF(Raw!D1634="","",Raw!D1634)</f>
        <v>P-H</v>
      </c>
      <c r="I1634" s="1" t="str">
        <f>IFERROR(IF(EXACT(H1634,INDEX(Guide!$A$7:$A$9,MATCH(SUBSTITUTE(SUBSTITUTE(SUBSTITUTE(H1634,"~","~~"),"*","~*"),"?","~?"),Guide!$A$7:$A$9,0))),INDEX(Guide!$B$7:$B$9,MATCH(SUBSTITUTE(SUBSTITUTE(SUBSTITUTE(H1634,"~","~~"),"*","~*"),"?","~?"),Guide!$A$7:$A$9,0)),""),"")</f>
        <v>Home</v>
      </c>
      <c r="J1634" s="1" t="str">
        <f>IF(TRIM(Raw!E1634)="",I1634,IF(UPPER(TRIM(Raw!E1634))=UPPER(I1634),I1634,""))</f>
        <v>Home</v>
      </c>
      <c r="K1634" s="1" t="str">
        <f>IF(Raw!F1634="","",Raw!F1634)</f>
        <v>sale</v>
      </c>
      <c r="L1634" s="1" t="str">
        <f>IF(LEFT(TRIM(Raw!G1634),2)="-$","-"&amp;MID(TRIM(Raw!G1634),3,99),IF(LEFT(TRIM(Raw!G1634),1)="$",MID(TRIM(Raw!G1634),2,99),TRIM(Raw!G1634)))</f>
        <v>34.90</v>
      </c>
      <c r="M1634" s="1">
        <f t="shared" si="203"/>
        <v>34.9</v>
      </c>
      <c r="N1634" s="10">
        <f t="shared" si="204"/>
        <v>3490</v>
      </c>
      <c r="O1634" s="1" t="b">
        <f>IFERROR(IF(ISNUMBER(Raw!G1634),TRUE,OR(EXACT(L1634,TEXT(M1634,"0.00")),EXACT(L1634,TEXT(M1634,"#,##0.00")))),FALSE)</f>
        <v>1</v>
      </c>
      <c r="P1634" s="1" t="str">
        <f>LEN(IF(Raw!A1634="","",Raw!A1634))&amp;":"&amp;IF(Raw!A1634="","",Raw!A1634)&amp;"|"&amp;LEN(IF(Raw!B1634="","",Raw!B1634))&amp;":"&amp;IF(Raw!B1634="","",Raw!B1634)&amp;"|"&amp;LEN(IF(Raw!C1634="","",Raw!C1634))&amp;":"&amp;IF(Raw!C1634="","",Raw!C1634)&amp;"|"&amp;LEN(IF(Raw!D1634="","",Raw!D1634))&amp;":"&amp;IF(Raw!D1634="","",Raw!D1634)&amp;"|"&amp;LEN(IF(Raw!E1634="","",Raw!E1634))&amp;":"&amp;IF(Raw!E1634="","",Raw!E1634)&amp;"|"&amp;LEN(IF(Raw!F1634="","",Raw!F1634))&amp;":"&amp;IF(Raw!F1634="","",Raw!F1634)&amp;"|"&amp;LEN(IF(Raw!G1634="","",Raw!G1634))&amp;":"&amp;IF(Raw!G1634="","",Raw!G1634)</f>
        <v>6:L01628|6:T00814|10:2026-01-22|3:P-H|4:Home|4:sale|5:34.90</v>
      </c>
      <c r="Q1634" s="1">
        <f>1</f>
        <v>1</v>
      </c>
      <c r="R1634" s="1" t="b">
        <f>FALSE</f>
        <v>0</v>
      </c>
      <c r="S1634" s="1">
        <f>1</f>
        <v>1</v>
      </c>
      <c r="T1634" s="1" t="str">
        <f>IF(AND(Raw!A1634="",Raw!B1634="",Raw!C1634="",Raw!D1634="",Raw!E1634="",Raw!F1634="",Raw!G1634=""),"UNUSED",IF(A1634="","missing line ID",IF(B1634="","missing transaction ID",IF(G1634="",IF(C1634="","missing date","invalid date"),IF(I1634="","unknown product",IF(J1634="","conflicting category",IF(NOT(OR(EXACT(K1634,"sale"),EXACT(K1634,"refund"))),"unknown event",IF(OR(N1634="",NOT(O1634)),"invalid amount",IF(OR(AND(K1634="sale",N1634&lt;=0),AND(K1634="refund",N1634&gt;=0)),"invalid sign","")))))))))</f>
        <v/>
      </c>
      <c r="U1634" s="1" t="str">
        <f t="shared" si="205"/>
        <v>INCLUDED</v>
      </c>
      <c r="V1634" s="1" t="str">
        <f t="shared" si="206"/>
        <v>2026-01</v>
      </c>
      <c r="W1634" s="1">
        <f>IF(AND(U1634="INCLUDED",X1634&gt;0,EXACT(A1634,'AI output'!A1634)),1,0)</f>
        <v>1</v>
      </c>
      <c r="X1634" s="1">
        <f>1634</f>
        <v>1634</v>
      </c>
      <c r="Y1634" s="1">
        <f>IF(AND(U1634="INCLUDED",W1634=1),--(NOT(EXACT(A1634,'AI output'!A1634)))+--(NOT(EXACT(B1634,'AI output'!B1634)))+--(NOT(EXACT(TEXT(G1634,"yyyy-mm-dd"),'AI output'!C1634)))+--(NOT(EXACT(H1634,'AI output'!D1634)))+--(NOT(EXACT(J1634,'AI output'!E1634)))+--(NOT(EXACT(K1634,'AI output'!F1634)))+--(N1634&lt;&gt;'AI output'!L1634)+--(NOT('AI output'!M1634)),0)</f>
        <v>0</v>
      </c>
      <c r="Z1634" s="1">
        <f t="shared" si="207"/>
        <v>0</v>
      </c>
      <c r="AA1634" s="1">
        <f>--EXACT(A1634,"L01628")</f>
        <v>1</v>
      </c>
    </row>
    <row r="1635" spans="1:27" ht="18.95" customHeight="1">
      <c r="A1635" s="1" t="str">
        <f>IF(Raw!A1635="","",Raw!A1635)</f>
        <v>L01629</v>
      </c>
      <c r="B1635" s="1" t="str">
        <f>IF(Raw!B1635="","",Raw!B1635)</f>
        <v>T00815</v>
      </c>
      <c r="C1635" s="1" t="str">
        <f>IF(Raw!C1635="","",Raw!C1635)</f>
        <v>2026-01-29</v>
      </c>
      <c r="D1635" s="1">
        <f t="shared" si="200"/>
        <v>2026</v>
      </c>
      <c r="E1635" s="1">
        <f>IFERROR(IF(AND(LEN(C1635)=10,MID(C1635,5,1)="-",MID(C1635,8,1)="-"),VALUE(MID(C1635,6,2)),IF(AND(LEN(C1635)=11,MID(C1635,3,1)="-",MID(C1635,7,1)="-"),MATCH(UPPER(MID(C1635,4,3)),Guide!$D$7:$D$18,0),0)),0)</f>
        <v>1</v>
      </c>
      <c r="F1635" s="1">
        <f t="shared" si="201"/>
        <v>29</v>
      </c>
      <c r="G1635" s="9">
        <f t="shared" si="202"/>
        <v>46051</v>
      </c>
      <c r="H1635" s="1" t="str">
        <f>IF(Raw!D1635="","",Raw!D1635)</f>
        <v>P-O</v>
      </c>
      <c r="I1635" s="1" t="str">
        <f>IFERROR(IF(EXACT(H1635,INDEX(Guide!$A$7:$A$9,MATCH(SUBSTITUTE(SUBSTITUTE(SUBSTITUTE(H1635,"~","~~"),"*","~*"),"?","~?"),Guide!$A$7:$A$9,0))),INDEX(Guide!$B$7:$B$9,MATCH(SUBSTITUTE(SUBSTITUTE(SUBSTITUTE(H1635,"~","~~"),"*","~*"),"?","~?"),Guide!$A$7:$A$9,0)),""),"")</f>
        <v>Office</v>
      </c>
      <c r="J1635" s="1" t="str">
        <f>IF(TRIM(Raw!E1635)="",I1635,IF(UPPER(TRIM(Raw!E1635))=UPPER(I1635),I1635,""))</f>
        <v>Office</v>
      </c>
      <c r="K1635" s="1" t="str">
        <f>IF(Raw!F1635="","",Raw!F1635)</f>
        <v>sale</v>
      </c>
      <c r="L1635" s="1" t="str">
        <f>IF(LEFT(TRIM(Raw!G1635),2)="-$","-"&amp;MID(TRIM(Raw!G1635),3,99),IF(LEFT(TRIM(Raw!G1635),1)="$",MID(TRIM(Raw!G1635),2,99),TRIM(Raw!G1635)))</f>
        <v>14.70</v>
      </c>
      <c r="M1635" s="1">
        <f t="shared" si="203"/>
        <v>14.7</v>
      </c>
      <c r="N1635" s="10">
        <f t="shared" si="204"/>
        <v>1470</v>
      </c>
      <c r="O1635" s="1" t="b">
        <f>IFERROR(IF(ISNUMBER(Raw!G1635),TRUE,OR(EXACT(L1635,TEXT(M1635,"0.00")),EXACT(L1635,TEXT(M1635,"#,##0.00")))),FALSE)</f>
        <v>1</v>
      </c>
      <c r="P1635" s="1" t="str">
        <f>LEN(IF(Raw!A1635="","",Raw!A1635))&amp;":"&amp;IF(Raw!A1635="","",Raw!A1635)&amp;"|"&amp;LEN(IF(Raw!B1635="","",Raw!B1635))&amp;":"&amp;IF(Raw!B1635="","",Raw!B1635)&amp;"|"&amp;LEN(IF(Raw!C1635="","",Raw!C1635))&amp;":"&amp;IF(Raw!C1635="","",Raw!C1635)&amp;"|"&amp;LEN(IF(Raw!D1635="","",Raw!D1635))&amp;":"&amp;IF(Raw!D1635="","",Raw!D1635)&amp;"|"&amp;LEN(IF(Raw!E1635="","",Raw!E1635))&amp;":"&amp;IF(Raw!E1635="","",Raw!E1635)&amp;"|"&amp;LEN(IF(Raw!F1635="","",Raw!F1635))&amp;":"&amp;IF(Raw!F1635="","",Raw!F1635)&amp;"|"&amp;LEN(IF(Raw!G1635="","",Raw!G1635))&amp;":"&amp;IF(Raw!G1635="","",Raw!G1635)</f>
        <v>6:L01629|6:T00815|10:2026-01-29|3:P-O|6:Office|4:sale|5:14.70</v>
      </c>
      <c r="Q1635" s="1">
        <f>1</f>
        <v>1</v>
      </c>
      <c r="R1635" s="1" t="b">
        <f>FALSE</f>
        <v>0</v>
      </c>
      <c r="S1635" s="1">
        <f>1</f>
        <v>1</v>
      </c>
      <c r="T1635" s="1" t="str">
        <f>IF(AND(Raw!A1635="",Raw!B1635="",Raw!C1635="",Raw!D1635="",Raw!E1635="",Raw!F1635="",Raw!G1635=""),"UNUSED",IF(A1635="","missing line ID",IF(B1635="","missing transaction ID",IF(G1635="",IF(C1635="","missing date","invalid date"),IF(I1635="","unknown product",IF(J1635="","conflicting category",IF(NOT(OR(EXACT(K1635,"sale"),EXACT(K1635,"refund"))),"unknown event",IF(OR(N1635="",NOT(O1635)),"invalid amount",IF(OR(AND(K1635="sale",N1635&lt;=0),AND(K1635="refund",N1635&gt;=0)),"invalid sign","")))))))))</f>
        <v/>
      </c>
      <c r="U1635" s="1" t="str">
        <f t="shared" si="205"/>
        <v>INCLUDED</v>
      </c>
      <c r="V1635" s="1" t="str">
        <f t="shared" si="206"/>
        <v>2026-01</v>
      </c>
      <c r="W1635" s="1">
        <f>IF(AND(U1635="INCLUDED",X1635&gt;0,EXACT(A1635,'AI output'!A1635)),1,0)</f>
        <v>1</v>
      </c>
      <c r="X1635" s="1">
        <f>1635</f>
        <v>1635</v>
      </c>
      <c r="Y1635" s="1">
        <f>IF(AND(U1635="INCLUDED",W1635=1),--(NOT(EXACT(A1635,'AI output'!A1635)))+--(NOT(EXACT(B1635,'AI output'!B1635)))+--(NOT(EXACT(TEXT(G1635,"yyyy-mm-dd"),'AI output'!C1635)))+--(NOT(EXACT(H1635,'AI output'!D1635)))+--(NOT(EXACT(J1635,'AI output'!E1635)))+--(NOT(EXACT(K1635,'AI output'!F1635)))+--(N1635&lt;&gt;'AI output'!L1635)+--(NOT('AI output'!M1635)),0)</f>
        <v>0</v>
      </c>
      <c r="Z1635" s="1">
        <f t="shared" si="207"/>
        <v>0</v>
      </c>
      <c r="AA1635" s="1">
        <f>--EXACT(A1635,"L01629")</f>
        <v>1</v>
      </c>
    </row>
    <row r="1636" spans="1:27" ht="18.95" customHeight="1">
      <c r="A1636" s="1" t="str">
        <f>IF(Raw!A1636="","",Raw!A1636)</f>
        <v>L01630</v>
      </c>
      <c r="B1636" s="1" t="str">
        <f>IF(Raw!B1636="","",Raw!B1636)</f>
        <v>T00815</v>
      </c>
      <c r="C1636" s="1" t="str">
        <f>IF(Raw!C1636="","",Raw!C1636)</f>
        <v>2026-01-29</v>
      </c>
      <c r="D1636" s="1">
        <f t="shared" si="200"/>
        <v>2026</v>
      </c>
      <c r="E1636" s="1">
        <f>IFERROR(IF(AND(LEN(C1636)=10,MID(C1636,5,1)="-",MID(C1636,8,1)="-"),VALUE(MID(C1636,6,2)),IF(AND(LEN(C1636)=11,MID(C1636,3,1)="-",MID(C1636,7,1)="-"),MATCH(UPPER(MID(C1636,4,3)),Guide!$D$7:$D$18,0),0)),0)</f>
        <v>1</v>
      </c>
      <c r="F1636" s="1">
        <f t="shared" si="201"/>
        <v>29</v>
      </c>
      <c r="G1636" s="9">
        <f t="shared" si="202"/>
        <v>46051</v>
      </c>
      <c r="H1636" s="1" t="str">
        <f>IF(Raw!D1636="","",Raw!D1636)</f>
        <v>P-A</v>
      </c>
      <c r="I1636" s="1" t="str">
        <f>IFERROR(IF(EXACT(H1636,INDEX(Guide!$A$7:$A$9,MATCH(SUBSTITUTE(SUBSTITUTE(SUBSTITUTE(H1636,"~","~~"),"*","~*"),"?","~?"),Guide!$A$7:$A$9,0))),INDEX(Guide!$B$7:$B$9,MATCH(SUBSTITUTE(SUBSTITUTE(SUBSTITUTE(H1636,"~","~~"),"*","~*"),"?","~?"),Guide!$A$7:$A$9,0)),""),"")</f>
        <v>Accessories</v>
      </c>
      <c r="J1636" s="1" t="str">
        <f>IF(TRIM(Raw!E1636)="",I1636,IF(UPPER(TRIM(Raw!E1636))=UPPER(I1636),I1636,""))</f>
        <v>Accessories</v>
      </c>
      <c r="K1636" s="1" t="str">
        <f>IF(Raw!F1636="","",Raw!F1636)</f>
        <v>sale</v>
      </c>
      <c r="L1636" s="1" t="str">
        <f>IF(LEFT(TRIM(Raw!G1636),2)="-$","-"&amp;MID(TRIM(Raw!G1636),3,99),IF(LEFT(TRIM(Raw!G1636),1)="$",MID(TRIM(Raw!G1636),2,99),TRIM(Raw!G1636)))</f>
        <v>30.88</v>
      </c>
      <c r="M1636" s="1">
        <f t="shared" si="203"/>
        <v>30.88</v>
      </c>
      <c r="N1636" s="10">
        <f t="shared" si="204"/>
        <v>3088</v>
      </c>
      <c r="O1636" s="1" t="b">
        <f>IFERROR(IF(ISNUMBER(Raw!G1636),TRUE,OR(EXACT(L1636,TEXT(M1636,"0.00")),EXACT(L1636,TEXT(M1636,"#,##0.00")))),FALSE)</f>
        <v>1</v>
      </c>
      <c r="P1636" s="1" t="str">
        <f>LEN(IF(Raw!A1636="","",Raw!A1636))&amp;":"&amp;IF(Raw!A1636="","",Raw!A1636)&amp;"|"&amp;LEN(IF(Raw!B1636="","",Raw!B1636))&amp;":"&amp;IF(Raw!B1636="","",Raw!B1636)&amp;"|"&amp;LEN(IF(Raw!C1636="","",Raw!C1636))&amp;":"&amp;IF(Raw!C1636="","",Raw!C1636)&amp;"|"&amp;LEN(IF(Raw!D1636="","",Raw!D1636))&amp;":"&amp;IF(Raw!D1636="","",Raw!D1636)&amp;"|"&amp;LEN(IF(Raw!E1636="","",Raw!E1636))&amp;":"&amp;IF(Raw!E1636="","",Raw!E1636)&amp;"|"&amp;LEN(IF(Raw!F1636="","",Raw!F1636))&amp;":"&amp;IF(Raw!F1636="","",Raw!F1636)&amp;"|"&amp;LEN(IF(Raw!G1636="","",Raw!G1636))&amp;":"&amp;IF(Raw!G1636="","",Raw!G1636)</f>
        <v>6:L01630|6:T00815|10:2026-01-29|3:P-A|11:Accessories|4:sale|5:30.88</v>
      </c>
      <c r="Q1636" s="1">
        <f>1</f>
        <v>1</v>
      </c>
      <c r="R1636" s="1" t="b">
        <f>FALSE</f>
        <v>0</v>
      </c>
      <c r="S1636" s="1">
        <f>1</f>
        <v>1</v>
      </c>
      <c r="T1636" s="1" t="str">
        <f>IF(AND(Raw!A1636="",Raw!B1636="",Raw!C1636="",Raw!D1636="",Raw!E1636="",Raw!F1636="",Raw!G1636=""),"UNUSED",IF(A1636="","missing line ID",IF(B1636="","missing transaction ID",IF(G1636="",IF(C1636="","missing date","invalid date"),IF(I1636="","unknown product",IF(J1636="","conflicting category",IF(NOT(OR(EXACT(K1636,"sale"),EXACT(K1636,"refund"))),"unknown event",IF(OR(N1636="",NOT(O1636)),"invalid amount",IF(OR(AND(K1636="sale",N1636&lt;=0),AND(K1636="refund",N1636&gt;=0)),"invalid sign","")))))))))</f>
        <v/>
      </c>
      <c r="U1636" s="1" t="str">
        <f t="shared" si="205"/>
        <v>INCLUDED</v>
      </c>
      <c r="V1636" s="1" t="str">
        <f t="shared" si="206"/>
        <v>2026-01</v>
      </c>
      <c r="W1636" s="1">
        <f>IF(AND(U1636="INCLUDED",X1636&gt;0,EXACT(A1636,'AI output'!A1636)),1,0)</f>
        <v>1</v>
      </c>
      <c r="X1636" s="1">
        <f>1636</f>
        <v>1636</v>
      </c>
      <c r="Y1636" s="1">
        <f>IF(AND(U1636="INCLUDED",W1636=1),--(NOT(EXACT(A1636,'AI output'!A1636)))+--(NOT(EXACT(B1636,'AI output'!B1636)))+--(NOT(EXACT(TEXT(G1636,"yyyy-mm-dd"),'AI output'!C1636)))+--(NOT(EXACT(H1636,'AI output'!D1636)))+--(NOT(EXACT(J1636,'AI output'!E1636)))+--(NOT(EXACT(K1636,'AI output'!F1636)))+--(N1636&lt;&gt;'AI output'!L1636)+--(NOT('AI output'!M1636)),0)</f>
        <v>0</v>
      </c>
      <c r="Z1636" s="1">
        <f t="shared" si="207"/>
        <v>0</v>
      </c>
      <c r="AA1636" s="1">
        <f>--EXACT(A1636,"L01630")</f>
        <v>1</v>
      </c>
    </row>
    <row r="1637" spans="1:27" ht="18.95" customHeight="1">
      <c r="A1637" s="1" t="str">
        <f>IF(Raw!A1637="","",Raw!A1637)</f>
        <v>L01631</v>
      </c>
      <c r="B1637" s="1" t="str">
        <f>IF(Raw!B1637="","",Raw!B1637)</f>
        <v>T00816</v>
      </c>
      <c r="C1637" s="1" t="str">
        <f>IF(Raw!C1637="","",Raw!C1637)</f>
        <v>2026-02-05</v>
      </c>
      <c r="D1637" s="1">
        <f t="shared" si="200"/>
        <v>2026</v>
      </c>
      <c r="E1637" s="1">
        <f>IFERROR(IF(AND(LEN(C1637)=10,MID(C1637,5,1)="-",MID(C1637,8,1)="-"),VALUE(MID(C1637,6,2)),IF(AND(LEN(C1637)=11,MID(C1637,3,1)="-",MID(C1637,7,1)="-"),MATCH(UPPER(MID(C1637,4,3)),Guide!$D$7:$D$18,0),0)),0)</f>
        <v>2</v>
      </c>
      <c r="F1637" s="1">
        <f t="shared" si="201"/>
        <v>5</v>
      </c>
      <c r="G1637" s="9">
        <f t="shared" si="202"/>
        <v>46058</v>
      </c>
      <c r="H1637" s="1" t="str">
        <f>IF(Raw!D1637="","",Raw!D1637)</f>
        <v>P-H</v>
      </c>
      <c r="I1637" s="1" t="str">
        <f>IFERROR(IF(EXACT(H1637,INDEX(Guide!$A$7:$A$9,MATCH(SUBSTITUTE(SUBSTITUTE(SUBSTITUTE(H1637,"~","~~"),"*","~*"),"?","~?"),Guide!$A$7:$A$9,0))),INDEX(Guide!$B$7:$B$9,MATCH(SUBSTITUTE(SUBSTITUTE(SUBSTITUTE(H1637,"~","~~"),"*","~*"),"?","~?"),Guide!$A$7:$A$9,0)),""),"")</f>
        <v>Home</v>
      </c>
      <c r="J1637" s="1" t="str">
        <f>IF(TRIM(Raw!E1637)="",I1637,IF(UPPER(TRIM(Raw!E1637))=UPPER(I1637),I1637,""))</f>
        <v>Home</v>
      </c>
      <c r="K1637" s="1" t="str">
        <f>IF(Raw!F1637="","",Raw!F1637)</f>
        <v>sale</v>
      </c>
      <c r="L1637" s="1" t="str">
        <f>IF(LEFT(TRIM(Raw!G1637),2)="-$","-"&amp;MID(TRIM(Raw!G1637),3,99),IF(LEFT(TRIM(Raw!G1637),1)="$",MID(TRIM(Raw!G1637),2,99),TRIM(Raw!G1637)))</f>
        <v>8.09</v>
      </c>
      <c r="M1637" s="1">
        <f t="shared" si="203"/>
        <v>8.09</v>
      </c>
      <c r="N1637" s="10">
        <f t="shared" si="204"/>
        <v>809</v>
      </c>
      <c r="O1637" s="1" t="b">
        <f>IFERROR(IF(ISNUMBER(Raw!G1637),TRUE,OR(EXACT(L1637,TEXT(M1637,"0.00")),EXACT(L1637,TEXT(M1637,"#,##0.00")))),FALSE)</f>
        <v>1</v>
      </c>
      <c r="P1637" s="1" t="str">
        <f>LEN(IF(Raw!A1637="","",Raw!A1637))&amp;":"&amp;IF(Raw!A1637="","",Raw!A1637)&amp;"|"&amp;LEN(IF(Raw!B1637="","",Raw!B1637))&amp;":"&amp;IF(Raw!B1637="","",Raw!B1637)&amp;"|"&amp;LEN(IF(Raw!C1637="","",Raw!C1637))&amp;":"&amp;IF(Raw!C1637="","",Raw!C1637)&amp;"|"&amp;LEN(IF(Raw!D1637="","",Raw!D1637))&amp;":"&amp;IF(Raw!D1637="","",Raw!D1637)&amp;"|"&amp;LEN(IF(Raw!E1637="","",Raw!E1637))&amp;":"&amp;IF(Raw!E1637="","",Raw!E1637)&amp;"|"&amp;LEN(IF(Raw!F1637="","",Raw!F1637))&amp;":"&amp;IF(Raw!F1637="","",Raw!F1637)&amp;"|"&amp;LEN(IF(Raw!G1637="","",Raw!G1637))&amp;":"&amp;IF(Raw!G1637="","",Raw!G1637)</f>
        <v>6:L01631|6:T00816|10:2026-02-05|3:P-H|4:Home|4:sale|4:8.09</v>
      </c>
      <c r="Q1637" s="1">
        <f>1</f>
        <v>1</v>
      </c>
      <c r="R1637" s="1" t="b">
        <f>FALSE</f>
        <v>0</v>
      </c>
      <c r="S1637" s="1">
        <f>1</f>
        <v>1</v>
      </c>
      <c r="T1637" s="1" t="str">
        <f>IF(AND(Raw!A1637="",Raw!B1637="",Raw!C1637="",Raw!D1637="",Raw!E1637="",Raw!F1637="",Raw!G1637=""),"UNUSED",IF(A1637="","missing line ID",IF(B1637="","missing transaction ID",IF(G1637="",IF(C1637="","missing date","invalid date"),IF(I1637="","unknown product",IF(J1637="","conflicting category",IF(NOT(OR(EXACT(K1637,"sale"),EXACT(K1637,"refund"))),"unknown event",IF(OR(N1637="",NOT(O1637)),"invalid amount",IF(OR(AND(K1637="sale",N1637&lt;=0),AND(K1637="refund",N1637&gt;=0)),"invalid sign","")))))))))</f>
        <v/>
      </c>
      <c r="U1637" s="1" t="str">
        <f t="shared" si="205"/>
        <v>INCLUDED</v>
      </c>
      <c r="V1637" s="1" t="str">
        <f t="shared" si="206"/>
        <v>2026-02</v>
      </c>
      <c r="W1637" s="1">
        <f>IF(AND(U1637="INCLUDED",X1637&gt;0,EXACT(A1637,'AI output'!A1637)),1,0)</f>
        <v>1</v>
      </c>
      <c r="X1637" s="1">
        <f>1637</f>
        <v>1637</v>
      </c>
      <c r="Y1637" s="1">
        <f>IF(AND(U1637="INCLUDED",W1637=1),--(NOT(EXACT(A1637,'AI output'!A1637)))+--(NOT(EXACT(B1637,'AI output'!B1637)))+--(NOT(EXACT(TEXT(G1637,"yyyy-mm-dd"),'AI output'!C1637)))+--(NOT(EXACT(H1637,'AI output'!D1637)))+--(NOT(EXACT(J1637,'AI output'!E1637)))+--(NOT(EXACT(K1637,'AI output'!F1637)))+--(N1637&lt;&gt;'AI output'!L1637)+--(NOT('AI output'!M1637)),0)</f>
        <v>0</v>
      </c>
      <c r="Z1637" s="1">
        <f t="shared" si="207"/>
        <v>0</v>
      </c>
      <c r="AA1637" s="1">
        <f>--EXACT(A1637,"L01631")</f>
        <v>1</v>
      </c>
    </row>
    <row r="1638" spans="1:27" ht="18.95" customHeight="1">
      <c r="A1638" s="1" t="str">
        <f>IF(Raw!A1638="","",Raw!A1638)</f>
        <v>L01632</v>
      </c>
      <c r="B1638" s="1" t="str">
        <f>IF(Raw!B1638="","",Raw!B1638)</f>
        <v>T00816</v>
      </c>
      <c r="C1638" s="1" t="str">
        <f>IF(Raw!C1638="","",Raw!C1638)</f>
        <v>2026-02-05</v>
      </c>
      <c r="D1638" s="1">
        <f t="shared" si="200"/>
        <v>2026</v>
      </c>
      <c r="E1638" s="1">
        <f>IFERROR(IF(AND(LEN(C1638)=10,MID(C1638,5,1)="-",MID(C1638,8,1)="-"),VALUE(MID(C1638,6,2)),IF(AND(LEN(C1638)=11,MID(C1638,3,1)="-",MID(C1638,7,1)="-"),MATCH(UPPER(MID(C1638,4,3)),Guide!$D$7:$D$18,0),0)),0)</f>
        <v>2</v>
      </c>
      <c r="F1638" s="1">
        <f t="shared" si="201"/>
        <v>5</v>
      </c>
      <c r="G1638" s="9">
        <f t="shared" si="202"/>
        <v>46058</v>
      </c>
      <c r="H1638" s="1" t="str">
        <f>IF(Raw!D1638="","",Raw!D1638)</f>
        <v>P-O</v>
      </c>
      <c r="I1638" s="1" t="str">
        <f>IFERROR(IF(EXACT(H1638,INDEX(Guide!$A$7:$A$9,MATCH(SUBSTITUTE(SUBSTITUTE(SUBSTITUTE(H1638,"~","~~"),"*","~*"),"?","~?"),Guide!$A$7:$A$9,0))),INDEX(Guide!$B$7:$B$9,MATCH(SUBSTITUTE(SUBSTITUTE(SUBSTITUTE(H1638,"~","~~"),"*","~*"),"?","~?"),Guide!$A$7:$A$9,0)),""),"")</f>
        <v>Office</v>
      </c>
      <c r="J1638" s="1" t="str">
        <f>IF(TRIM(Raw!E1638)="",I1638,IF(UPPER(TRIM(Raw!E1638))=UPPER(I1638),I1638,""))</f>
        <v>Office</v>
      </c>
      <c r="K1638" s="1" t="str">
        <f>IF(Raw!F1638="","",Raw!F1638)</f>
        <v>sale</v>
      </c>
      <c r="L1638" s="1" t="str">
        <f>IF(LEFT(TRIM(Raw!G1638),2)="-$","-"&amp;MID(TRIM(Raw!G1638),3,99),IF(LEFT(TRIM(Raw!G1638),1)="$",MID(TRIM(Raw!G1638),2,99),TRIM(Raw!G1638)))</f>
        <v>25.38</v>
      </c>
      <c r="M1638" s="1">
        <f t="shared" si="203"/>
        <v>25.38</v>
      </c>
      <c r="N1638" s="10">
        <f t="shared" si="204"/>
        <v>2538</v>
      </c>
      <c r="O1638" s="1" t="b">
        <f>IFERROR(IF(ISNUMBER(Raw!G1638),TRUE,OR(EXACT(L1638,TEXT(M1638,"0.00")),EXACT(L1638,TEXT(M1638,"#,##0.00")))),FALSE)</f>
        <v>1</v>
      </c>
      <c r="P1638" s="1" t="str">
        <f>LEN(IF(Raw!A1638="","",Raw!A1638))&amp;":"&amp;IF(Raw!A1638="","",Raw!A1638)&amp;"|"&amp;LEN(IF(Raw!B1638="","",Raw!B1638))&amp;":"&amp;IF(Raw!B1638="","",Raw!B1638)&amp;"|"&amp;LEN(IF(Raw!C1638="","",Raw!C1638))&amp;":"&amp;IF(Raw!C1638="","",Raw!C1638)&amp;"|"&amp;LEN(IF(Raw!D1638="","",Raw!D1638))&amp;":"&amp;IF(Raw!D1638="","",Raw!D1638)&amp;"|"&amp;LEN(IF(Raw!E1638="","",Raw!E1638))&amp;":"&amp;IF(Raw!E1638="","",Raw!E1638)&amp;"|"&amp;LEN(IF(Raw!F1638="","",Raw!F1638))&amp;":"&amp;IF(Raw!F1638="","",Raw!F1638)&amp;"|"&amp;LEN(IF(Raw!G1638="","",Raw!G1638))&amp;":"&amp;IF(Raw!G1638="","",Raw!G1638)</f>
        <v>6:L01632|6:T00816|10:2026-02-05|3:P-O|6:Office|4:sale|5:25.38</v>
      </c>
      <c r="Q1638" s="1">
        <f>1</f>
        <v>1</v>
      </c>
      <c r="R1638" s="1" t="b">
        <f>FALSE</f>
        <v>0</v>
      </c>
      <c r="S1638" s="1">
        <f>1</f>
        <v>1</v>
      </c>
      <c r="T1638" s="1" t="str">
        <f>IF(AND(Raw!A1638="",Raw!B1638="",Raw!C1638="",Raw!D1638="",Raw!E1638="",Raw!F1638="",Raw!G1638=""),"UNUSED",IF(A1638="","missing line ID",IF(B1638="","missing transaction ID",IF(G1638="",IF(C1638="","missing date","invalid date"),IF(I1638="","unknown product",IF(J1638="","conflicting category",IF(NOT(OR(EXACT(K1638,"sale"),EXACT(K1638,"refund"))),"unknown event",IF(OR(N1638="",NOT(O1638)),"invalid amount",IF(OR(AND(K1638="sale",N1638&lt;=0),AND(K1638="refund",N1638&gt;=0)),"invalid sign","")))))))))</f>
        <v/>
      </c>
      <c r="U1638" s="1" t="str">
        <f t="shared" si="205"/>
        <v>INCLUDED</v>
      </c>
      <c r="V1638" s="1" t="str">
        <f t="shared" si="206"/>
        <v>2026-02</v>
      </c>
      <c r="W1638" s="1">
        <f>IF(AND(U1638="INCLUDED",X1638&gt;0,EXACT(A1638,'AI output'!A1638)),1,0)</f>
        <v>1</v>
      </c>
      <c r="X1638" s="1">
        <f>1638</f>
        <v>1638</v>
      </c>
      <c r="Y1638" s="1">
        <f>IF(AND(U1638="INCLUDED",W1638=1),--(NOT(EXACT(A1638,'AI output'!A1638)))+--(NOT(EXACT(B1638,'AI output'!B1638)))+--(NOT(EXACT(TEXT(G1638,"yyyy-mm-dd"),'AI output'!C1638)))+--(NOT(EXACT(H1638,'AI output'!D1638)))+--(NOT(EXACT(J1638,'AI output'!E1638)))+--(NOT(EXACT(K1638,'AI output'!F1638)))+--(N1638&lt;&gt;'AI output'!L1638)+--(NOT('AI output'!M1638)),0)</f>
        <v>0</v>
      </c>
      <c r="Z1638" s="1">
        <f t="shared" si="207"/>
        <v>0</v>
      </c>
      <c r="AA1638" s="1">
        <f>--EXACT(A1638,"L01632")</f>
        <v>1</v>
      </c>
    </row>
    <row r="1639" spans="1:27" ht="18.95" customHeight="1">
      <c r="A1639" s="1" t="str">
        <f>IF(Raw!A1639="","",Raw!A1639)</f>
        <v>L01633</v>
      </c>
      <c r="B1639" s="1" t="str">
        <f>IF(Raw!B1639="","",Raw!B1639)</f>
        <v>T00817</v>
      </c>
      <c r="C1639" s="1" t="str">
        <f>IF(Raw!C1639="","",Raw!C1639)</f>
        <v>2026-02-12</v>
      </c>
      <c r="D1639" s="1">
        <f t="shared" si="200"/>
        <v>2026</v>
      </c>
      <c r="E1639" s="1">
        <f>IFERROR(IF(AND(LEN(C1639)=10,MID(C1639,5,1)="-",MID(C1639,8,1)="-"),VALUE(MID(C1639,6,2)),IF(AND(LEN(C1639)=11,MID(C1639,3,1)="-",MID(C1639,7,1)="-"),MATCH(UPPER(MID(C1639,4,3)),Guide!$D$7:$D$18,0),0)),0)</f>
        <v>2</v>
      </c>
      <c r="F1639" s="1">
        <f t="shared" si="201"/>
        <v>12</v>
      </c>
      <c r="G1639" s="9">
        <f t="shared" si="202"/>
        <v>46065</v>
      </c>
      <c r="H1639" s="1" t="str">
        <f>IF(Raw!D1639="","",Raw!D1639)</f>
        <v>P-A</v>
      </c>
      <c r="I1639" s="1" t="str">
        <f>IFERROR(IF(EXACT(H1639,INDEX(Guide!$A$7:$A$9,MATCH(SUBSTITUTE(SUBSTITUTE(SUBSTITUTE(H1639,"~","~~"),"*","~*"),"?","~?"),Guide!$A$7:$A$9,0))),INDEX(Guide!$B$7:$B$9,MATCH(SUBSTITUTE(SUBSTITUTE(SUBSTITUTE(H1639,"~","~~"),"*","~*"),"?","~?"),Guide!$A$7:$A$9,0)),""),"")</f>
        <v>Accessories</v>
      </c>
      <c r="J1639" s="1" t="str">
        <f>IF(TRIM(Raw!E1639)="",I1639,IF(UPPER(TRIM(Raw!E1639))=UPPER(I1639),I1639,""))</f>
        <v>Accessories</v>
      </c>
      <c r="K1639" s="1" t="str">
        <f>IF(Raw!F1639="","",Raw!F1639)</f>
        <v>sale</v>
      </c>
      <c r="L1639" s="1" t="str">
        <f>IF(LEFT(TRIM(Raw!G1639),2)="-$","-"&amp;MID(TRIM(Raw!G1639),3,99),IF(LEFT(TRIM(Raw!G1639),1)="$",MID(TRIM(Raw!G1639),2,99),TRIM(Raw!G1639)))</f>
        <v>44.15</v>
      </c>
      <c r="M1639" s="1">
        <f t="shared" si="203"/>
        <v>44.15</v>
      </c>
      <c r="N1639" s="10">
        <f t="shared" si="204"/>
        <v>4415</v>
      </c>
      <c r="O1639" s="1" t="b">
        <f>IFERROR(IF(ISNUMBER(Raw!G1639),TRUE,OR(EXACT(L1639,TEXT(M1639,"0.00")),EXACT(L1639,TEXT(M1639,"#,##0.00")))),FALSE)</f>
        <v>1</v>
      </c>
      <c r="P1639" s="1" t="str">
        <f>LEN(IF(Raw!A1639="","",Raw!A1639))&amp;":"&amp;IF(Raw!A1639="","",Raw!A1639)&amp;"|"&amp;LEN(IF(Raw!B1639="","",Raw!B1639))&amp;":"&amp;IF(Raw!B1639="","",Raw!B1639)&amp;"|"&amp;LEN(IF(Raw!C1639="","",Raw!C1639))&amp;":"&amp;IF(Raw!C1639="","",Raw!C1639)&amp;"|"&amp;LEN(IF(Raw!D1639="","",Raw!D1639))&amp;":"&amp;IF(Raw!D1639="","",Raw!D1639)&amp;"|"&amp;LEN(IF(Raw!E1639="","",Raw!E1639))&amp;":"&amp;IF(Raw!E1639="","",Raw!E1639)&amp;"|"&amp;LEN(IF(Raw!F1639="","",Raw!F1639))&amp;":"&amp;IF(Raw!F1639="","",Raw!F1639)&amp;"|"&amp;LEN(IF(Raw!G1639="","",Raw!G1639))&amp;":"&amp;IF(Raw!G1639="","",Raw!G1639)</f>
        <v>6:L01633|6:T00817|10:2026-02-12|3:P-A|11:Accessories|4:sale|5:44.15</v>
      </c>
      <c r="Q1639" s="1">
        <f>1</f>
        <v>1</v>
      </c>
      <c r="R1639" s="1" t="b">
        <f>FALSE</f>
        <v>0</v>
      </c>
      <c r="S1639" s="1">
        <f>1</f>
        <v>1</v>
      </c>
      <c r="T1639" s="1" t="str">
        <f>IF(AND(Raw!A1639="",Raw!B1639="",Raw!C1639="",Raw!D1639="",Raw!E1639="",Raw!F1639="",Raw!G1639=""),"UNUSED",IF(A1639="","missing line ID",IF(B1639="","missing transaction ID",IF(G1639="",IF(C1639="","missing date","invalid date"),IF(I1639="","unknown product",IF(J1639="","conflicting category",IF(NOT(OR(EXACT(K1639,"sale"),EXACT(K1639,"refund"))),"unknown event",IF(OR(N1639="",NOT(O1639)),"invalid amount",IF(OR(AND(K1639="sale",N1639&lt;=0),AND(K1639="refund",N1639&gt;=0)),"invalid sign","")))))))))</f>
        <v/>
      </c>
      <c r="U1639" s="1" t="str">
        <f t="shared" si="205"/>
        <v>INCLUDED</v>
      </c>
      <c r="V1639" s="1" t="str">
        <f t="shared" si="206"/>
        <v>2026-02</v>
      </c>
      <c r="W1639" s="1">
        <f>IF(AND(U1639="INCLUDED",X1639&gt;0,EXACT(A1639,'AI output'!A1639)),1,0)</f>
        <v>1</v>
      </c>
      <c r="X1639" s="1">
        <f>1639</f>
        <v>1639</v>
      </c>
      <c r="Y1639" s="1">
        <f>IF(AND(U1639="INCLUDED",W1639=1),--(NOT(EXACT(A1639,'AI output'!A1639)))+--(NOT(EXACT(B1639,'AI output'!B1639)))+--(NOT(EXACT(TEXT(G1639,"yyyy-mm-dd"),'AI output'!C1639)))+--(NOT(EXACT(H1639,'AI output'!D1639)))+--(NOT(EXACT(J1639,'AI output'!E1639)))+--(NOT(EXACT(K1639,'AI output'!F1639)))+--(N1639&lt;&gt;'AI output'!L1639)+--(NOT('AI output'!M1639)),0)</f>
        <v>0</v>
      </c>
      <c r="Z1639" s="1">
        <f t="shared" si="207"/>
        <v>0</v>
      </c>
      <c r="AA1639" s="1">
        <f>--EXACT(A1639,"L01633")</f>
        <v>1</v>
      </c>
    </row>
    <row r="1640" spans="1:27" ht="18.95" customHeight="1">
      <c r="A1640" s="1" t="str">
        <f>IF(Raw!A1640="","",Raw!A1640)</f>
        <v>L01634</v>
      </c>
      <c r="B1640" s="1" t="str">
        <f>IF(Raw!B1640="","",Raw!B1640)</f>
        <v>T00817</v>
      </c>
      <c r="C1640" s="1" t="str">
        <f>IF(Raw!C1640="","",Raw!C1640)</f>
        <v>2026-02-12</v>
      </c>
      <c r="D1640" s="1">
        <f t="shared" si="200"/>
        <v>2026</v>
      </c>
      <c r="E1640" s="1">
        <f>IFERROR(IF(AND(LEN(C1640)=10,MID(C1640,5,1)="-",MID(C1640,8,1)="-"),VALUE(MID(C1640,6,2)),IF(AND(LEN(C1640)=11,MID(C1640,3,1)="-",MID(C1640,7,1)="-"),MATCH(UPPER(MID(C1640,4,3)),Guide!$D$7:$D$18,0),0)),0)</f>
        <v>2</v>
      </c>
      <c r="F1640" s="1">
        <f t="shared" si="201"/>
        <v>12</v>
      </c>
      <c r="G1640" s="9">
        <f t="shared" si="202"/>
        <v>46065</v>
      </c>
      <c r="H1640" s="1" t="str">
        <f>IF(Raw!D1640="","",Raw!D1640)</f>
        <v>P-H</v>
      </c>
      <c r="I1640" s="1" t="str">
        <f>IFERROR(IF(EXACT(H1640,INDEX(Guide!$A$7:$A$9,MATCH(SUBSTITUTE(SUBSTITUTE(SUBSTITUTE(H1640,"~","~~"),"*","~*"),"?","~?"),Guide!$A$7:$A$9,0))),INDEX(Guide!$B$7:$B$9,MATCH(SUBSTITUTE(SUBSTITUTE(SUBSTITUTE(H1640,"~","~~"),"*","~*"),"?","~?"),Guide!$A$7:$A$9,0)),""),"")</f>
        <v>Home</v>
      </c>
      <c r="J1640" s="1" t="str">
        <f>IF(TRIM(Raw!E1640)="",I1640,IF(UPPER(TRIM(Raw!E1640))=UPPER(I1640),I1640,""))</f>
        <v>Home</v>
      </c>
      <c r="K1640" s="1" t="str">
        <f>IF(Raw!F1640="","",Raw!F1640)</f>
        <v>refund</v>
      </c>
      <c r="L1640" s="1" t="str">
        <f>IF(LEFT(TRIM(Raw!G1640),2)="-$","-"&amp;MID(TRIM(Raw!G1640),3,99),IF(LEFT(TRIM(Raw!G1640),1)="$",MID(TRIM(Raw!G1640),2,99),TRIM(Raw!G1640)))</f>
        <v>-18.40</v>
      </c>
      <c r="M1640" s="1">
        <f t="shared" si="203"/>
        <v>-18.399999999999999</v>
      </c>
      <c r="N1640" s="10">
        <f t="shared" si="204"/>
        <v>-1840</v>
      </c>
      <c r="O1640" s="1" t="b">
        <f>IFERROR(IF(ISNUMBER(Raw!G1640),TRUE,OR(EXACT(L1640,TEXT(M1640,"0.00")),EXACT(L1640,TEXT(M1640,"#,##0.00")))),FALSE)</f>
        <v>1</v>
      </c>
      <c r="P1640" s="1" t="str">
        <f>LEN(IF(Raw!A1640="","",Raw!A1640))&amp;":"&amp;IF(Raw!A1640="","",Raw!A1640)&amp;"|"&amp;LEN(IF(Raw!B1640="","",Raw!B1640))&amp;":"&amp;IF(Raw!B1640="","",Raw!B1640)&amp;"|"&amp;LEN(IF(Raw!C1640="","",Raw!C1640))&amp;":"&amp;IF(Raw!C1640="","",Raw!C1640)&amp;"|"&amp;LEN(IF(Raw!D1640="","",Raw!D1640))&amp;":"&amp;IF(Raw!D1640="","",Raw!D1640)&amp;"|"&amp;LEN(IF(Raw!E1640="","",Raw!E1640))&amp;":"&amp;IF(Raw!E1640="","",Raw!E1640)&amp;"|"&amp;LEN(IF(Raw!F1640="","",Raw!F1640))&amp;":"&amp;IF(Raw!F1640="","",Raw!F1640)&amp;"|"&amp;LEN(IF(Raw!G1640="","",Raw!G1640))&amp;":"&amp;IF(Raw!G1640="","",Raw!G1640)</f>
        <v>6:L01634|6:T00817|10:2026-02-12|3:P-H|4:Home|6:refund|6:-18.40</v>
      </c>
      <c r="Q1640" s="1">
        <f>1</f>
        <v>1</v>
      </c>
      <c r="R1640" s="1" t="b">
        <f>FALSE</f>
        <v>0</v>
      </c>
      <c r="S1640" s="1">
        <f>1</f>
        <v>1</v>
      </c>
      <c r="T1640" s="1" t="str">
        <f>IF(AND(Raw!A1640="",Raw!B1640="",Raw!C1640="",Raw!D1640="",Raw!E1640="",Raw!F1640="",Raw!G1640=""),"UNUSED",IF(A1640="","missing line ID",IF(B1640="","missing transaction ID",IF(G1640="",IF(C1640="","missing date","invalid date"),IF(I1640="","unknown product",IF(J1640="","conflicting category",IF(NOT(OR(EXACT(K1640,"sale"),EXACT(K1640,"refund"))),"unknown event",IF(OR(N1640="",NOT(O1640)),"invalid amount",IF(OR(AND(K1640="sale",N1640&lt;=0),AND(K1640="refund",N1640&gt;=0)),"invalid sign","")))))))))</f>
        <v/>
      </c>
      <c r="U1640" s="1" t="str">
        <f t="shared" si="205"/>
        <v>INCLUDED</v>
      </c>
      <c r="V1640" s="1" t="str">
        <f t="shared" si="206"/>
        <v>2026-02</v>
      </c>
      <c r="W1640" s="1">
        <f>IF(AND(U1640="INCLUDED",X1640&gt;0,EXACT(A1640,'AI output'!A1640)),1,0)</f>
        <v>1</v>
      </c>
      <c r="X1640" s="1">
        <f>1640</f>
        <v>1640</v>
      </c>
      <c r="Y1640" s="1">
        <f>IF(AND(U1640="INCLUDED",W1640=1),--(NOT(EXACT(A1640,'AI output'!A1640)))+--(NOT(EXACT(B1640,'AI output'!B1640)))+--(NOT(EXACT(TEXT(G1640,"yyyy-mm-dd"),'AI output'!C1640)))+--(NOT(EXACT(H1640,'AI output'!D1640)))+--(NOT(EXACT(J1640,'AI output'!E1640)))+--(NOT(EXACT(K1640,'AI output'!F1640)))+--(N1640&lt;&gt;'AI output'!L1640)+--(NOT('AI output'!M1640)),0)</f>
        <v>0</v>
      </c>
      <c r="Z1640" s="1">
        <f t="shared" si="207"/>
        <v>0</v>
      </c>
      <c r="AA1640" s="1">
        <f>--EXACT(A1640,"L01634")</f>
        <v>1</v>
      </c>
    </row>
    <row r="1641" spans="1:27" ht="18.95" customHeight="1">
      <c r="A1641" s="1" t="str">
        <f>IF(Raw!A1641="","",Raw!A1641)</f>
        <v>L01635</v>
      </c>
      <c r="B1641" s="1" t="str">
        <f>IF(Raw!B1641="","",Raw!B1641)</f>
        <v>T00818</v>
      </c>
      <c r="C1641" s="1" t="str">
        <f>IF(Raw!C1641="","",Raw!C1641)</f>
        <v>2026-02-19</v>
      </c>
      <c r="D1641" s="1">
        <f t="shared" si="200"/>
        <v>2026</v>
      </c>
      <c r="E1641" s="1">
        <f>IFERROR(IF(AND(LEN(C1641)=10,MID(C1641,5,1)="-",MID(C1641,8,1)="-"),VALUE(MID(C1641,6,2)),IF(AND(LEN(C1641)=11,MID(C1641,3,1)="-",MID(C1641,7,1)="-"),MATCH(UPPER(MID(C1641,4,3)),Guide!$D$7:$D$18,0),0)),0)</f>
        <v>2</v>
      </c>
      <c r="F1641" s="1">
        <f t="shared" si="201"/>
        <v>19</v>
      </c>
      <c r="G1641" s="9">
        <f t="shared" si="202"/>
        <v>46072</v>
      </c>
      <c r="H1641" s="1" t="str">
        <f>IF(Raw!D1641="","",Raw!D1641)</f>
        <v>P-O</v>
      </c>
      <c r="I1641" s="1" t="str">
        <f>IFERROR(IF(EXACT(H1641,INDEX(Guide!$A$7:$A$9,MATCH(SUBSTITUTE(SUBSTITUTE(SUBSTITUTE(H1641,"~","~~"),"*","~*"),"?","~?"),Guide!$A$7:$A$9,0))),INDEX(Guide!$B$7:$B$9,MATCH(SUBSTITUTE(SUBSTITUTE(SUBSTITUTE(H1641,"~","~~"),"*","~*"),"?","~?"),Guide!$A$7:$A$9,0)),""),"")</f>
        <v>Office</v>
      </c>
      <c r="J1641" s="1" t="str">
        <f>IF(TRIM(Raw!E1641)="",I1641,IF(UPPER(TRIM(Raw!E1641))=UPPER(I1641),I1641,""))</f>
        <v>Office</v>
      </c>
      <c r="K1641" s="1" t="str">
        <f>IF(Raw!F1641="","",Raw!F1641)</f>
        <v>sale</v>
      </c>
      <c r="L1641" s="1" t="str">
        <f>IF(LEFT(TRIM(Raw!G1641),2)="-$","-"&amp;MID(TRIM(Raw!G1641),3,99),IF(LEFT(TRIM(Raw!G1641),1)="$",MID(TRIM(Raw!G1641),2,99),TRIM(Raw!G1641)))</f>
        <v>38.28</v>
      </c>
      <c r="M1641" s="1">
        <f t="shared" si="203"/>
        <v>38.28</v>
      </c>
      <c r="N1641" s="10">
        <f t="shared" si="204"/>
        <v>3828</v>
      </c>
      <c r="O1641" s="1" t="b">
        <f>IFERROR(IF(ISNUMBER(Raw!G1641),TRUE,OR(EXACT(L1641,TEXT(M1641,"0.00")),EXACT(L1641,TEXT(M1641,"#,##0.00")))),FALSE)</f>
        <v>1</v>
      </c>
      <c r="P1641" s="1" t="str">
        <f>LEN(IF(Raw!A1641="","",Raw!A1641))&amp;":"&amp;IF(Raw!A1641="","",Raw!A1641)&amp;"|"&amp;LEN(IF(Raw!B1641="","",Raw!B1641))&amp;":"&amp;IF(Raw!B1641="","",Raw!B1641)&amp;"|"&amp;LEN(IF(Raw!C1641="","",Raw!C1641))&amp;":"&amp;IF(Raw!C1641="","",Raw!C1641)&amp;"|"&amp;LEN(IF(Raw!D1641="","",Raw!D1641))&amp;":"&amp;IF(Raw!D1641="","",Raw!D1641)&amp;"|"&amp;LEN(IF(Raw!E1641="","",Raw!E1641))&amp;":"&amp;IF(Raw!E1641="","",Raw!E1641)&amp;"|"&amp;LEN(IF(Raw!F1641="","",Raw!F1641))&amp;":"&amp;IF(Raw!F1641="","",Raw!F1641)&amp;"|"&amp;LEN(IF(Raw!G1641="","",Raw!G1641))&amp;":"&amp;IF(Raw!G1641="","",Raw!G1641)</f>
        <v>6:L01635|6:T00818|10:2026-02-19|3:P-O|6:Office|4:sale|5:38.28</v>
      </c>
      <c r="Q1641" s="1">
        <f>1</f>
        <v>1</v>
      </c>
      <c r="R1641" s="1" t="b">
        <f>FALSE</f>
        <v>0</v>
      </c>
      <c r="S1641" s="1">
        <f>1</f>
        <v>1</v>
      </c>
      <c r="T1641" s="1" t="str">
        <f>IF(AND(Raw!A1641="",Raw!B1641="",Raw!C1641="",Raw!D1641="",Raw!E1641="",Raw!F1641="",Raw!G1641=""),"UNUSED",IF(A1641="","missing line ID",IF(B1641="","missing transaction ID",IF(G1641="",IF(C1641="","missing date","invalid date"),IF(I1641="","unknown product",IF(J1641="","conflicting category",IF(NOT(OR(EXACT(K1641,"sale"),EXACT(K1641,"refund"))),"unknown event",IF(OR(N1641="",NOT(O1641)),"invalid amount",IF(OR(AND(K1641="sale",N1641&lt;=0),AND(K1641="refund",N1641&gt;=0)),"invalid sign","")))))))))</f>
        <v/>
      </c>
      <c r="U1641" s="1" t="str">
        <f t="shared" si="205"/>
        <v>INCLUDED</v>
      </c>
      <c r="V1641" s="1" t="str">
        <f t="shared" si="206"/>
        <v>2026-02</v>
      </c>
      <c r="W1641" s="1">
        <f>IF(AND(U1641="INCLUDED",X1641&gt;0,EXACT(A1641,'AI output'!A1641)),1,0)</f>
        <v>1</v>
      </c>
      <c r="X1641" s="1">
        <f>1641</f>
        <v>1641</v>
      </c>
      <c r="Y1641" s="1">
        <f>IF(AND(U1641="INCLUDED",W1641=1),--(NOT(EXACT(A1641,'AI output'!A1641)))+--(NOT(EXACT(B1641,'AI output'!B1641)))+--(NOT(EXACT(TEXT(G1641,"yyyy-mm-dd"),'AI output'!C1641)))+--(NOT(EXACT(H1641,'AI output'!D1641)))+--(NOT(EXACT(J1641,'AI output'!E1641)))+--(NOT(EXACT(K1641,'AI output'!F1641)))+--(N1641&lt;&gt;'AI output'!L1641)+--(NOT('AI output'!M1641)),0)</f>
        <v>0</v>
      </c>
      <c r="Z1641" s="1">
        <f t="shared" si="207"/>
        <v>0</v>
      </c>
      <c r="AA1641" s="1">
        <f>--EXACT(A1641,"L01635")</f>
        <v>1</v>
      </c>
    </row>
    <row r="1642" spans="1:27" ht="18.95" customHeight="1">
      <c r="A1642" s="1" t="str">
        <f>IF(Raw!A1642="","",Raw!A1642)</f>
        <v>L01636</v>
      </c>
      <c r="B1642" s="1" t="str">
        <f>IF(Raw!B1642="","",Raw!B1642)</f>
        <v>T00818</v>
      </c>
      <c r="C1642" s="1" t="str">
        <f>IF(Raw!C1642="","",Raw!C1642)</f>
        <v>2026-02-19</v>
      </c>
      <c r="D1642" s="1">
        <f t="shared" si="200"/>
        <v>2026</v>
      </c>
      <c r="E1642" s="1">
        <f>IFERROR(IF(AND(LEN(C1642)=10,MID(C1642,5,1)="-",MID(C1642,8,1)="-"),VALUE(MID(C1642,6,2)),IF(AND(LEN(C1642)=11,MID(C1642,3,1)="-",MID(C1642,7,1)="-"),MATCH(UPPER(MID(C1642,4,3)),Guide!$D$7:$D$18,0),0)),0)</f>
        <v>2</v>
      </c>
      <c r="F1642" s="1">
        <f t="shared" si="201"/>
        <v>19</v>
      </c>
      <c r="G1642" s="9">
        <f t="shared" si="202"/>
        <v>46072</v>
      </c>
      <c r="H1642" s="1" t="str">
        <f>IF(Raw!D1642="","",Raw!D1642)</f>
        <v>P-A</v>
      </c>
      <c r="I1642" s="1" t="str">
        <f>IFERROR(IF(EXACT(H1642,INDEX(Guide!$A$7:$A$9,MATCH(SUBSTITUTE(SUBSTITUTE(SUBSTITUTE(H1642,"~","~~"),"*","~*"),"?","~?"),Guide!$A$7:$A$9,0))),INDEX(Guide!$B$7:$B$9,MATCH(SUBSTITUTE(SUBSTITUTE(SUBSTITUTE(H1642,"~","~~"),"*","~*"),"?","~?"),Guide!$A$7:$A$9,0)),""),"")</f>
        <v>Accessories</v>
      </c>
      <c r="J1642" s="1" t="str">
        <f>IF(TRIM(Raw!E1642)="",I1642,IF(UPPER(TRIM(Raw!E1642))=UPPER(I1642),I1642,""))</f>
        <v>Accessories</v>
      </c>
      <c r="K1642" s="1" t="str">
        <f>IF(Raw!F1642="","",Raw!F1642)</f>
        <v>sale</v>
      </c>
      <c r="L1642" s="1" t="str">
        <f>IF(LEFT(TRIM(Raw!G1642),2)="-$","-"&amp;MID(TRIM(Raw!G1642),3,99),IF(LEFT(TRIM(Raw!G1642),1)="$",MID(TRIM(Raw!G1642),2,99),TRIM(Raw!G1642)))</f>
        <v>9.94</v>
      </c>
      <c r="M1642" s="1">
        <f t="shared" si="203"/>
        <v>9.94</v>
      </c>
      <c r="N1642" s="10">
        <f t="shared" si="204"/>
        <v>994</v>
      </c>
      <c r="O1642" s="1" t="b">
        <f>IFERROR(IF(ISNUMBER(Raw!G1642),TRUE,OR(EXACT(L1642,TEXT(M1642,"0.00")),EXACT(L1642,TEXT(M1642,"#,##0.00")))),FALSE)</f>
        <v>1</v>
      </c>
      <c r="P1642" s="1" t="str">
        <f>LEN(IF(Raw!A1642="","",Raw!A1642))&amp;":"&amp;IF(Raw!A1642="","",Raw!A1642)&amp;"|"&amp;LEN(IF(Raw!B1642="","",Raw!B1642))&amp;":"&amp;IF(Raw!B1642="","",Raw!B1642)&amp;"|"&amp;LEN(IF(Raw!C1642="","",Raw!C1642))&amp;":"&amp;IF(Raw!C1642="","",Raw!C1642)&amp;"|"&amp;LEN(IF(Raw!D1642="","",Raw!D1642))&amp;":"&amp;IF(Raw!D1642="","",Raw!D1642)&amp;"|"&amp;LEN(IF(Raw!E1642="","",Raw!E1642))&amp;":"&amp;IF(Raw!E1642="","",Raw!E1642)&amp;"|"&amp;LEN(IF(Raw!F1642="","",Raw!F1642))&amp;":"&amp;IF(Raw!F1642="","",Raw!F1642)&amp;"|"&amp;LEN(IF(Raw!G1642="","",Raw!G1642))&amp;":"&amp;IF(Raw!G1642="","",Raw!G1642)</f>
        <v>6:L01636|6:T00818|10:2026-02-19|3:P-A|11:Accessories|4:sale|4:9.94</v>
      </c>
      <c r="Q1642" s="1">
        <f>1</f>
        <v>1</v>
      </c>
      <c r="R1642" s="1" t="b">
        <f>FALSE</f>
        <v>0</v>
      </c>
      <c r="S1642" s="1">
        <f>1</f>
        <v>1</v>
      </c>
      <c r="T1642" s="1" t="str">
        <f>IF(AND(Raw!A1642="",Raw!B1642="",Raw!C1642="",Raw!D1642="",Raw!E1642="",Raw!F1642="",Raw!G1642=""),"UNUSED",IF(A1642="","missing line ID",IF(B1642="","missing transaction ID",IF(G1642="",IF(C1642="","missing date","invalid date"),IF(I1642="","unknown product",IF(J1642="","conflicting category",IF(NOT(OR(EXACT(K1642,"sale"),EXACT(K1642,"refund"))),"unknown event",IF(OR(N1642="",NOT(O1642)),"invalid amount",IF(OR(AND(K1642="sale",N1642&lt;=0),AND(K1642="refund",N1642&gt;=0)),"invalid sign","")))))))))</f>
        <v/>
      </c>
      <c r="U1642" s="1" t="str">
        <f t="shared" si="205"/>
        <v>INCLUDED</v>
      </c>
      <c r="V1642" s="1" t="str">
        <f t="shared" si="206"/>
        <v>2026-02</v>
      </c>
      <c r="W1642" s="1">
        <f>IF(AND(U1642="INCLUDED",X1642&gt;0,EXACT(A1642,'AI output'!A1642)),1,0)</f>
        <v>1</v>
      </c>
      <c r="X1642" s="1">
        <f>1642</f>
        <v>1642</v>
      </c>
      <c r="Y1642" s="1">
        <f>IF(AND(U1642="INCLUDED",W1642=1),--(NOT(EXACT(A1642,'AI output'!A1642)))+--(NOT(EXACT(B1642,'AI output'!B1642)))+--(NOT(EXACT(TEXT(G1642,"yyyy-mm-dd"),'AI output'!C1642)))+--(NOT(EXACT(H1642,'AI output'!D1642)))+--(NOT(EXACT(J1642,'AI output'!E1642)))+--(NOT(EXACT(K1642,'AI output'!F1642)))+--(N1642&lt;&gt;'AI output'!L1642)+--(NOT('AI output'!M1642)),0)</f>
        <v>0</v>
      </c>
      <c r="Z1642" s="1">
        <f t="shared" si="207"/>
        <v>0</v>
      </c>
      <c r="AA1642" s="1">
        <f>--EXACT(A1642,"L01636")</f>
        <v>1</v>
      </c>
    </row>
    <row r="1643" spans="1:27" ht="18.95" customHeight="1">
      <c r="A1643" s="1" t="str">
        <f>IF(Raw!A1643="","",Raw!A1643)</f>
        <v>L01637</v>
      </c>
      <c r="B1643" s="1" t="str">
        <f>IF(Raw!B1643="","",Raw!B1643)</f>
        <v>T00819</v>
      </c>
      <c r="C1643" s="1" t="str">
        <f>IF(Raw!C1643="","",Raw!C1643)</f>
        <v>2026-02-26</v>
      </c>
      <c r="D1643" s="1">
        <f t="shared" si="200"/>
        <v>2026</v>
      </c>
      <c r="E1643" s="1">
        <f>IFERROR(IF(AND(LEN(C1643)=10,MID(C1643,5,1)="-",MID(C1643,8,1)="-"),VALUE(MID(C1643,6,2)),IF(AND(LEN(C1643)=11,MID(C1643,3,1)="-",MID(C1643,7,1)="-"),MATCH(UPPER(MID(C1643,4,3)),Guide!$D$7:$D$18,0),0)),0)</f>
        <v>2</v>
      </c>
      <c r="F1643" s="1">
        <f t="shared" si="201"/>
        <v>26</v>
      </c>
      <c r="G1643" s="9">
        <f t="shared" si="202"/>
        <v>46079</v>
      </c>
      <c r="H1643" s="1" t="str">
        <f>IF(Raw!D1643="","",Raw!D1643)</f>
        <v>P-H</v>
      </c>
      <c r="I1643" s="1" t="str">
        <f>IFERROR(IF(EXACT(H1643,INDEX(Guide!$A$7:$A$9,MATCH(SUBSTITUTE(SUBSTITUTE(SUBSTITUTE(H1643,"~","~~"),"*","~*"),"?","~?"),Guide!$A$7:$A$9,0))),INDEX(Guide!$B$7:$B$9,MATCH(SUBSTITUTE(SUBSTITUTE(SUBSTITUTE(H1643,"~","~~"),"*","~*"),"?","~?"),Guide!$A$7:$A$9,0)),""),"")</f>
        <v>Home</v>
      </c>
      <c r="J1643" s="1" t="str">
        <f>IF(TRIM(Raw!E1643)="",I1643,IF(UPPER(TRIM(Raw!E1643))=UPPER(I1643),I1643,""))</f>
        <v>Home</v>
      </c>
      <c r="K1643" s="1" t="str">
        <f>IF(Raw!F1643="","",Raw!F1643)</f>
        <v>sale</v>
      </c>
      <c r="L1643" s="1" t="str">
        <f>IF(LEFT(TRIM(Raw!G1643),2)="-$","-"&amp;MID(TRIM(Raw!G1643),3,99),IF(LEFT(TRIM(Raw!G1643),1)="$",MID(TRIM(Raw!G1643),2,99),TRIM(Raw!G1643)))</f>
        <v>30.93</v>
      </c>
      <c r="M1643" s="1">
        <f t="shared" si="203"/>
        <v>30.93</v>
      </c>
      <c r="N1643" s="10">
        <f t="shared" si="204"/>
        <v>3093</v>
      </c>
      <c r="O1643" s="1" t="b">
        <f>IFERROR(IF(ISNUMBER(Raw!G1643),TRUE,OR(EXACT(L1643,TEXT(M1643,"0.00")),EXACT(L1643,TEXT(M1643,"#,##0.00")))),FALSE)</f>
        <v>1</v>
      </c>
      <c r="P1643" s="1" t="str">
        <f>LEN(IF(Raw!A1643="","",Raw!A1643))&amp;":"&amp;IF(Raw!A1643="","",Raw!A1643)&amp;"|"&amp;LEN(IF(Raw!B1643="","",Raw!B1643))&amp;":"&amp;IF(Raw!B1643="","",Raw!B1643)&amp;"|"&amp;LEN(IF(Raw!C1643="","",Raw!C1643))&amp;":"&amp;IF(Raw!C1643="","",Raw!C1643)&amp;"|"&amp;LEN(IF(Raw!D1643="","",Raw!D1643))&amp;":"&amp;IF(Raw!D1643="","",Raw!D1643)&amp;"|"&amp;LEN(IF(Raw!E1643="","",Raw!E1643))&amp;":"&amp;IF(Raw!E1643="","",Raw!E1643)&amp;"|"&amp;LEN(IF(Raw!F1643="","",Raw!F1643))&amp;":"&amp;IF(Raw!F1643="","",Raw!F1643)&amp;"|"&amp;LEN(IF(Raw!G1643="","",Raw!G1643))&amp;":"&amp;IF(Raw!G1643="","",Raw!G1643)</f>
        <v>6:L01637|6:T00819|10:2026-02-26|3:P-H|4:Home|4:sale|5:30.93</v>
      </c>
      <c r="Q1643" s="1">
        <f>1</f>
        <v>1</v>
      </c>
      <c r="R1643" s="1" t="b">
        <f>FALSE</f>
        <v>0</v>
      </c>
      <c r="S1643" s="1">
        <f>1</f>
        <v>1</v>
      </c>
      <c r="T1643" s="1" t="str">
        <f>IF(AND(Raw!A1643="",Raw!B1643="",Raw!C1643="",Raw!D1643="",Raw!E1643="",Raw!F1643="",Raw!G1643=""),"UNUSED",IF(A1643="","missing line ID",IF(B1643="","missing transaction ID",IF(G1643="",IF(C1643="","missing date","invalid date"),IF(I1643="","unknown product",IF(J1643="","conflicting category",IF(NOT(OR(EXACT(K1643,"sale"),EXACT(K1643,"refund"))),"unknown event",IF(OR(N1643="",NOT(O1643)),"invalid amount",IF(OR(AND(K1643="sale",N1643&lt;=0),AND(K1643="refund",N1643&gt;=0)),"invalid sign","")))))))))</f>
        <v/>
      </c>
      <c r="U1643" s="1" t="str">
        <f t="shared" si="205"/>
        <v>INCLUDED</v>
      </c>
      <c r="V1643" s="1" t="str">
        <f t="shared" si="206"/>
        <v>2026-02</v>
      </c>
      <c r="W1643" s="1">
        <f>IF(AND(U1643="INCLUDED",X1643&gt;0,EXACT(A1643,'AI output'!A1643)),1,0)</f>
        <v>1</v>
      </c>
      <c r="X1643" s="1">
        <f>1643</f>
        <v>1643</v>
      </c>
      <c r="Y1643" s="1">
        <f>IF(AND(U1643="INCLUDED",W1643=1),--(NOT(EXACT(A1643,'AI output'!A1643)))+--(NOT(EXACT(B1643,'AI output'!B1643)))+--(NOT(EXACT(TEXT(G1643,"yyyy-mm-dd"),'AI output'!C1643)))+--(NOT(EXACT(H1643,'AI output'!D1643)))+--(NOT(EXACT(J1643,'AI output'!E1643)))+--(NOT(EXACT(K1643,'AI output'!F1643)))+--(N1643&lt;&gt;'AI output'!L1643)+--(NOT('AI output'!M1643)),0)</f>
        <v>0</v>
      </c>
      <c r="Z1643" s="1">
        <f t="shared" si="207"/>
        <v>0</v>
      </c>
      <c r="AA1643" s="1">
        <f>--EXACT(A1643,"L01637")</f>
        <v>1</v>
      </c>
    </row>
    <row r="1644" spans="1:27" ht="18.95" customHeight="1">
      <c r="A1644" s="1" t="str">
        <f>IF(Raw!A1644="","",Raw!A1644)</f>
        <v>L01638</v>
      </c>
      <c r="B1644" s="1" t="str">
        <f>IF(Raw!B1644="","",Raw!B1644)</f>
        <v>T00819</v>
      </c>
      <c r="C1644" s="1" t="str">
        <f>IF(Raw!C1644="","",Raw!C1644)</f>
        <v>2026-02-26</v>
      </c>
      <c r="D1644" s="1">
        <f t="shared" si="200"/>
        <v>2026</v>
      </c>
      <c r="E1644" s="1">
        <f>IFERROR(IF(AND(LEN(C1644)=10,MID(C1644,5,1)="-",MID(C1644,8,1)="-"),VALUE(MID(C1644,6,2)),IF(AND(LEN(C1644)=11,MID(C1644,3,1)="-",MID(C1644,7,1)="-"),MATCH(UPPER(MID(C1644,4,3)),Guide!$D$7:$D$18,0),0)),0)</f>
        <v>2</v>
      </c>
      <c r="F1644" s="1">
        <f t="shared" si="201"/>
        <v>26</v>
      </c>
      <c r="G1644" s="9">
        <f t="shared" si="202"/>
        <v>46079</v>
      </c>
      <c r="H1644" s="1" t="str">
        <f>IF(Raw!D1644="","",Raw!D1644)</f>
        <v>P-O</v>
      </c>
      <c r="I1644" s="1" t="str">
        <f>IFERROR(IF(EXACT(H1644,INDEX(Guide!$A$7:$A$9,MATCH(SUBSTITUTE(SUBSTITUTE(SUBSTITUTE(H1644,"~","~~"),"*","~*"),"?","~?"),Guide!$A$7:$A$9,0))),INDEX(Guide!$B$7:$B$9,MATCH(SUBSTITUTE(SUBSTITUTE(SUBSTITUTE(H1644,"~","~~"),"*","~*"),"?","~?"),Guide!$A$7:$A$9,0)),""),"")</f>
        <v>Office</v>
      </c>
      <c r="J1644" s="1" t="str">
        <f>IF(TRIM(Raw!E1644)="",I1644,IF(UPPER(TRIM(Raw!E1644))=UPPER(I1644),I1644,""))</f>
        <v>Office</v>
      </c>
      <c r="K1644" s="1" t="str">
        <f>IF(Raw!F1644="","",Raw!F1644)</f>
        <v>sale</v>
      </c>
      <c r="L1644" s="1" t="str">
        <f>IF(LEFT(TRIM(Raw!G1644),2)="-$","-"&amp;MID(TRIM(Raw!G1644),3,99),IF(LEFT(TRIM(Raw!G1644),1)="$",MID(TRIM(Raw!G1644),2,99),TRIM(Raw!G1644)))</f>
        <v>53.40</v>
      </c>
      <c r="M1644" s="1">
        <f t="shared" si="203"/>
        <v>53.4</v>
      </c>
      <c r="N1644" s="10">
        <f t="shared" si="204"/>
        <v>5340</v>
      </c>
      <c r="O1644" s="1" t="b">
        <f>IFERROR(IF(ISNUMBER(Raw!G1644),TRUE,OR(EXACT(L1644,TEXT(M1644,"0.00")),EXACT(L1644,TEXT(M1644,"#,##0.00")))),FALSE)</f>
        <v>1</v>
      </c>
      <c r="P1644" s="1" t="str">
        <f>LEN(IF(Raw!A1644="","",Raw!A1644))&amp;":"&amp;IF(Raw!A1644="","",Raw!A1644)&amp;"|"&amp;LEN(IF(Raw!B1644="","",Raw!B1644))&amp;":"&amp;IF(Raw!B1644="","",Raw!B1644)&amp;"|"&amp;LEN(IF(Raw!C1644="","",Raw!C1644))&amp;":"&amp;IF(Raw!C1644="","",Raw!C1644)&amp;"|"&amp;LEN(IF(Raw!D1644="","",Raw!D1644))&amp;":"&amp;IF(Raw!D1644="","",Raw!D1644)&amp;"|"&amp;LEN(IF(Raw!E1644="","",Raw!E1644))&amp;":"&amp;IF(Raw!E1644="","",Raw!E1644)&amp;"|"&amp;LEN(IF(Raw!F1644="","",Raw!F1644))&amp;":"&amp;IF(Raw!F1644="","",Raw!F1644)&amp;"|"&amp;LEN(IF(Raw!G1644="","",Raw!G1644))&amp;":"&amp;IF(Raw!G1644="","",Raw!G1644)</f>
        <v>6:L01638|6:T00819|10:2026-02-26|3:P-O|6:Office|4:sale|5:53.40</v>
      </c>
      <c r="Q1644" s="1">
        <f>1</f>
        <v>1</v>
      </c>
      <c r="R1644" s="1" t="b">
        <f>FALSE</f>
        <v>0</v>
      </c>
      <c r="S1644" s="1">
        <f>1</f>
        <v>1</v>
      </c>
      <c r="T1644" s="1" t="str">
        <f>IF(AND(Raw!A1644="",Raw!B1644="",Raw!C1644="",Raw!D1644="",Raw!E1644="",Raw!F1644="",Raw!G1644=""),"UNUSED",IF(A1644="","missing line ID",IF(B1644="","missing transaction ID",IF(G1644="",IF(C1644="","missing date","invalid date"),IF(I1644="","unknown product",IF(J1644="","conflicting category",IF(NOT(OR(EXACT(K1644,"sale"),EXACT(K1644,"refund"))),"unknown event",IF(OR(N1644="",NOT(O1644)),"invalid amount",IF(OR(AND(K1644="sale",N1644&lt;=0),AND(K1644="refund",N1644&gt;=0)),"invalid sign","")))))))))</f>
        <v/>
      </c>
      <c r="U1644" s="1" t="str">
        <f t="shared" si="205"/>
        <v>INCLUDED</v>
      </c>
      <c r="V1644" s="1" t="str">
        <f t="shared" si="206"/>
        <v>2026-02</v>
      </c>
      <c r="W1644" s="1">
        <f>IF(AND(U1644="INCLUDED",X1644&gt;0,EXACT(A1644,'AI output'!A1644)),1,0)</f>
        <v>1</v>
      </c>
      <c r="X1644" s="1">
        <f>1644</f>
        <v>1644</v>
      </c>
      <c r="Y1644" s="1">
        <f>IF(AND(U1644="INCLUDED",W1644=1),--(NOT(EXACT(A1644,'AI output'!A1644)))+--(NOT(EXACT(B1644,'AI output'!B1644)))+--(NOT(EXACT(TEXT(G1644,"yyyy-mm-dd"),'AI output'!C1644)))+--(NOT(EXACT(H1644,'AI output'!D1644)))+--(NOT(EXACT(J1644,'AI output'!E1644)))+--(NOT(EXACT(K1644,'AI output'!F1644)))+--(N1644&lt;&gt;'AI output'!L1644)+--(NOT('AI output'!M1644)),0)</f>
        <v>0</v>
      </c>
      <c r="Z1644" s="1">
        <f t="shared" si="207"/>
        <v>0</v>
      </c>
      <c r="AA1644" s="1">
        <f>--EXACT(A1644,"L01638")</f>
        <v>1</v>
      </c>
    </row>
    <row r="1645" spans="1:27" ht="18.95" customHeight="1">
      <c r="A1645" s="1" t="str">
        <f>IF(Raw!A1645="","",Raw!A1645)</f>
        <v>L01639</v>
      </c>
      <c r="B1645" s="1" t="str">
        <f>IF(Raw!B1645="","",Raw!B1645)</f>
        <v>T00820</v>
      </c>
      <c r="C1645" s="1" t="str">
        <f>IF(Raw!C1645="","",Raw!C1645)</f>
        <v>2026-03-05</v>
      </c>
      <c r="D1645" s="1">
        <f t="shared" si="200"/>
        <v>2026</v>
      </c>
      <c r="E1645" s="1">
        <f>IFERROR(IF(AND(LEN(C1645)=10,MID(C1645,5,1)="-",MID(C1645,8,1)="-"),VALUE(MID(C1645,6,2)),IF(AND(LEN(C1645)=11,MID(C1645,3,1)="-",MID(C1645,7,1)="-"),MATCH(UPPER(MID(C1645,4,3)),Guide!$D$7:$D$18,0),0)),0)</f>
        <v>3</v>
      </c>
      <c r="F1645" s="1">
        <f t="shared" si="201"/>
        <v>5</v>
      </c>
      <c r="G1645" s="9">
        <f t="shared" si="202"/>
        <v>46086</v>
      </c>
      <c r="H1645" s="1" t="str">
        <f>IF(Raw!D1645="","",Raw!D1645)</f>
        <v>P-A</v>
      </c>
      <c r="I1645" s="1" t="str">
        <f>IFERROR(IF(EXACT(H1645,INDEX(Guide!$A$7:$A$9,MATCH(SUBSTITUTE(SUBSTITUTE(SUBSTITUTE(H1645,"~","~~"),"*","~*"),"?","~?"),Guide!$A$7:$A$9,0))),INDEX(Guide!$B$7:$B$9,MATCH(SUBSTITUTE(SUBSTITUTE(SUBSTITUTE(H1645,"~","~~"),"*","~*"),"?","~?"),Guide!$A$7:$A$9,0)),""),"")</f>
        <v>Accessories</v>
      </c>
      <c r="J1645" s="1" t="str">
        <f>IF(TRIM(Raw!E1645)="",I1645,IF(UPPER(TRIM(Raw!E1645))=UPPER(I1645),I1645,""))</f>
        <v>Accessories</v>
      </c>
      <c r="K1645" s="1" t="str">
        <f>IF(Raw!F1645="","",Raw!F1645)</f>
        <v>sale</v>
      </c>
      <c r="L1645" s="1" t="str">
        <f>IF(LEFT(TRIM(Raw!G1645),2)="-$","-"&amp;MID(TRIM(Raw!G1645),3,99),IF(LEFT(TRIM(Raw!G1645),1)="$",MID(TRIM(Raw!G1645),2,99),TRIM(Raw!G1645)))</f>
        <v>22.10</v>
      </c>
      <c r="M1645" s="1">
        <f t="shared" si="203"/>
        <v>22.1</v>
      </c>
      <c r="N1645" s="10">
        <f t="shared" si="204"/>
        <v>2210</v>
      </c>
      <c r="O1645" s="1" t="b">
        <f>IFERROR(IF(ISNUMBER(Raw!G1645),TRUE,OR(EXACT(L1645,TEXT(M1645,"0.00")),EXACT(L1645,TEXT(M1645,"#,##0.00")))),FALSE)</f>
        <v>1</v>
      </c>
      <c r="P1645" s="1" t="str">
        <f>LEN(IF(Raw!A1645="","",Raw!A1645))&amp;":"&amp;IF(Raw!A1645="","",Raw!A1645)&amp;"|"&amp;LEN(IF(Raw!B1645="","",Raw!B1645))&amp;":"&amp;IF(Raw!B1645="","",Raw!B1645)&amp;"|"&amp;LEN(IF(Raw!C1645="","",Raw!C1645))&amp;":"&amp;IF(Raw!C1645="","",Raw!C1645)&amp;"|"&amp;LEN(IF(Raw!D1645="","",Raw!D1645))&amp;":"&amp;IF(Raw!D1645="","",Raw!D1645)&amp;"|"&amp;LEN(IF(Raw!E1645="","",Raw!E1645))&amp;":"&amp;IF(Raw!E1645="","",Raw!E1645)&amp;"|"&amp;LEN(IF(Raw!F1645="","",Raw!F1645))&amp;":"&amp;IF(Raw!F1645="","",Raw!F1645)&amp;"|"&amp;LEN(IF(Raw!G1645="","",Raw!G1645))&amp;":"&amp;IF(Raw!G1645="","",Raw!G1645)</f>
        <v>6:L01639|6:T00820|10:2026-03-05|3:P-A|11:Accessories|4:sale|5:22.10</v>
      </c>
      <c r="Q1645" s="1">
        <f>1</f>
        <v>1</v>
      </c>
      <c r="R1645" s="1" t="b">
        <f>FALSE</f>
        <v>0</v>
      </c>
      <c r="S1645" s="1">
        <f>1</f>
        <v>1</v>
      </c>
      <c r="T1645" s="1" t="str">
        <f>IF(AND(Raw!A1645="",Raw!B1645="",Raw!C1645="",Raw!D1645="",Raw!E1645="",Raw!F1645="",Raw!G1645=""),"UNUSED",IF(A1645="","missing line ID",IF(B1645="","missing transaction ID",IF(G1645="",IF(C1645="","missing date","invalid date"),IF(I1645="","unknown product",IF(J1645="","conflicting category",IF(NOT(OR(EXACT(K1645,"sale"),EXACT(K1645,"refund"))),"unknown event",IF(OR(N1645="",NOT(O1645)),"invalid amount",IF(OR(AND(K1645="sale",N1645&lt;=0),AND(K1645="refund",N1645&gt;=0)),"invalid sign","")))))))))</f>
        <v/>
      </c>
      <c r="U1645" s="1" t="str">
        <f t="shared" si="205"/>
        <v>INCLUDED</v>
      </c>
      <c r="V1645" s="1" t="str">
        <f t="shared" si="206"/>
        <v>2026-03</v>
      </c>
      <c r="W1645" s="1">
        <f>IF(AND(U1645="INCLUDED",X1645&gt;0,EXACT(A1645,'AI output'!A1645)),1,0)</f>
        <v>1</v>
      </c>
      <c r="X1645" s="1">
        <f>1645</f>
        <v>1645</v>
      </c>
      <c r="Y1645" s="1">
        <f>IF(AND(U1645="INCLUDED",W1645=1),--(NOT(EXACT(A1645,'AI output'!A1645)))+--(NOT(EXACT(B1645,'AI output'!B1645)))+--(NOT(EXACT(TEXT(G1645,"yyyy-mm-dd"),'AI output'!C1645)))+--(NOT(EXACT(H1645,'AI output'!D1645)))+--(NOT(EXACT(J1645,'AI output'!E1645)))+--(NOT(EXACT(K1645,'AI output'!F1645)))+--(N1645&lt;&gt;'AI output'!L1645)+--(NOT('AI output'!M1645)),0)</f>
        <v>0</v>
      </c>
      <c r="Z1645" s="1">
        <f t="shared" si="207"/>
        <v>0</v>
      </c>
      <c r="AA1645" s="1">
        <f>--EXACT(A1645,"L01639")</f>
        <v>1</v>
      </c>
    </row>
    <row r="1646" spans="1:27" ht="18.95" customHeight="1">
      <c r="A1646" s="1" t="str">
        <f>IF(Raw!A1646="","",Raw!A1646)</f>
        <v>L01640</v>
      </c>
      <c r="B1646" s="1" t="str">
        <f>IF(Raw!B1646="","",Raw!B1646)</f>
        <v>T00820</v>
      </c>
      <c r="C1646" s="1" t="str">
        <f>IF(Raw!C1646="","",Raw!C1646)</f>
        <v>2026-03-05</v>
      </c>
      <c r="D1646" s="1">
        <f t="shared" si="200"/>
        <v>2026</v>
      </c>
      <c r="E1646" s="1">
        <f>IFERROR(IF(AND(LEN(C1646)=10,MID(C1646,5,1)="-",MID(C1646,8,1)="-"),VALUE(MID(C1646,6,2)),IF(AND(LEN(C1646)=11,MID(C1646,3,1)="-",MID(C1646,7,1)="-"),MATCH(UPPER(MID(C1646,4,3)),Guide!$D$7:$D$18,0),0)),0)</f>
        <v>3</v>
      </c>
      <c r="F1646" s="1">
        <f t="shared" si="201"/>
        <v>5</v>
      </c>
      <c r="G1646" s="9">
        <f t="shared" si="202"/>
        <v>46086</v>
      </c>
      <c r="H1646" s="1" t="str">
        <f>IF(Raw!D1646="","",Raw!D1646)</f>
        <v>P-H</v>
      </c>
      <c r="I1646" s="1" t="str">
        <f>IFERROR(IF(EXACT(H1646,INDEX(Guide!$A$7:$A$9,MATCH(SUBSTITUTE(SUBSTITUTE(SUBSTITUTE(H1646,"~","~~"),"*","~*"),"?","~?"),Guide!$A$7:$A$9,0))),INDEX(Guide!$B$7:$B$9,MATCH(SUBSTITUTE(SUBSTITUTE(SUBSTITUTE(H1646,"~","~~"),"*","~*"),"?","~?"),Guide!$A$7:$A$9,0)),""),"")</f>
        <v>Home</v>
      </c>
      <c r="J1646" s="1" t="str">
        <f>IF(TRIM(Raw!E1646)="",I1646,IF(UPPER(TRIM(Raw!E1646))=UPPER(I1646),I1646,""))</f>
        <v>Home</v>
      </c>
      <c r="K1646" s="1" t="str">
        <f>IF(Raw!F1646="","",Raw!F1646)</f>
        <v>sale</v>
      </c>
      <c r="L1646" s="1" t="str">
        <f>IF(LEFT(TRIM(Raw!G1646),2)="-$","-"&amp;MID(TRIM(Raw!G1646),3,99),IF(LEFT(TRIM(Raw!G1646),1)="$",MID(TRIM(Raw!G1646),2,99),TRIM(Raw!G1646)))</f>
        <v>45.68</v>
      </c>
      <c r="M1646" s="1">
        <f t="shared" si="203"/>
        <v>45.68</v>
      </c>
      <c r="N1646" s="10">
        <f t="shared" si="204"/>
        <v>4568</v>
      </c>
      <c r="O1646" s="1" t="b">
        <f>IFERROR(IF(ISNUMBER(Raw!G1646),TRUE,OR(EXACT(L1646,TEXT(M1646,"0.00")),EXACT(L1646,TEXT(M1646,"#,##0.00")))),FALSE)</f>
        <v>1</v>
      </c>
      <c r="P1646" s="1" t="str">
        <f>LEN(IF(Raw!A1646="","",Raw!A1646))&amp;":"&amp;IF(Raw!A1646="","",Raw!A1646)&amp;"|"&amp;LEN(IF(Raw!B1646="","",Raw!B1646))&amp;":"&amp;IF(Raw!B1646="","",Raw!B1646)&amp;"|"&amp;LEN(IF(Raw!C1646="","",Raw!C1646))&amp;":"&amp;IF(Raw!C1646="","",Raw!C1646)&amp;"|"&amp;LEN(IF(Raw!D1646="","",Raw!D1646))&amp;":"&amp;IF(Raw!D1646="","",Raw!D1646)&amp;"|"&amp;LEN(IF(Raw!E1646="","",Raw!E1646))&amp;":"&amp;IF(Raw!E1646="","",Raw!E1646)&amp;"|"&amp;LEN(IF(Raw!F1646="","",Raw!F1646))&amp;":"&amp;IF(Raw!F1646="","",Raw!F1646)&amp;"|"&amp;LEN(IF(Raw!G1646="","",Raw!G1646))&amp;":"&amp;IF(Raw!G1646="","",Raw!G1646)</f>
        <v>6:L01640|6:T00820|10:2026-03-05|3:P-H|4:Home|4:sale|5:45.68</v>
      </c>
      <c r="Q1646" s="1">
        <f>1</f>
        <v>1</v>
      </c>
      <c r="R1646" s="1" t="b">
        <f>FALSE</f>
        <v>0</v>
      </c>
      <c r="S1646" s="1">
        <f>1</f>
        <v>1</v>
      </c>
      <c r="T1646" s="1" t="str">
        <f>IF(AND(Raw!A1646="",Raw!B1646="",Raw!C1646="",Raw!D1646="",Raw!E1646="",Raw!F1646="",Raw!G1646=""),"UNUSED",IF(A1646="","missing line ID",IF(B1646="","missing transaction ID",IF(G1646="",IF(C1646="","missing date","invalid date"),IF(I1646="","unknown product",IF(J1646="","conflicting category",IF(NOT(OR(EXACT(K1646,"sale"),EXACT(K1646,"refund"))),"unknown event",IF(OR(N1646="",NOT(O1646)),"invalid amount",IF(OR(AND(K1646="sale",N1646&lt;=0),AND(K1646="refund",N1646&gt;=0)),"invalid sign","")))))))))</f>
        <v/>
      </c>
      <c r="U1646" s="1" t="str">
        <f t="shared" si="205"/>
        <v>INCLUDED</v>
      </c>
      <c r="V1646" s="1" t="str">
        <f t="shared" si="206"/>
        <v>2026-03</v>
      </c>
      <c r="W1646" s="1">
        <f>IF(AND(U1646="INCLUDED",X1646&gt;0,EXACT(A1646,'AI output'!A1646)),1,0)</f>
        <v>1</v>
      </c>
      <c r="X1646" s="1">
        <f>1646</f>
        <v>1646</v>
      </c>
      <c r="Y1646" s="1">
        <f>IF(AND(U1646="INCLUDED",W1646=1),--(NOT(EXACT(A1646,'AI output'!A1646)))+--(NOT(EXACT(B1646,'AI output'!B1646)))+--(NOT(EXACT(TEXT(G1646,"yyyy-mm-dd"),'AI output'!C1646)))+--(NOT(EXACT(H1646,'AI output'!D1646)))+--(NOT(EXACT(J1646,'AI output'!E1646)))+--(NOT(EXACT(K1646,'AI output'!F1646)))+--(N1646&lt;&gt;'AI output'!L1646)+--(NOT('AI output'!M1646)),0)</f>
        <v>0</v>
      </c>
      <c r="Z1646" s="1">
        <f t="shared" si="207"/>
        <v>0</v>
      </c>
      <c r="AA1646" s="1">
        <f>--EXACT(A1646,"L01640")</f>
        <v>1</v>
      </c>
    </row>
    <row r="1647" spans="1:27" ht="18.95" customHeight="1">
      <c r="A1647" s="1" t="str">
        <f>IF(Raw!A1647="","",Raw!A1647)</f>
        <v>L01641</v>
      </c>
      <c r="B1647" s="1" t="str">
        <f>IF(Raw!B1647="","",Raw!B1647)</f>
        <v>T00821</v>
      </c>
      <c r="C1647" s="1" t="str">
        <f>IF(Raw!C1647="","",Raw!C1647)</f>
        <v>2026-03-12</v>
      </c>
      <c r="D1647" s="1">
        <f t="shared" si="200"/>
        <v>2026</v>
      </c>
      <c r="E1647" s="1">
        <f>IFERROR(IF(AND(LEN(C1647)=10,MID(C1647,5,1)="-",MID(C1647,8,1)="-"),VALUE(MID(C1647,6,2)),IF(AND(LEN(C1647)=11,MID(C1647,3,1)="-",MID(C1647,7,1)="-"),MATCH(UPPER(MID(C1647,4,3)),Guide!$D$7:$D$18,0),0)),0)</f>
        <v>3</v>
      </c>
      <c r="F1647" s="1">
        <f t="shared" si="201"/>
        <v>12</v>
      </c>
      <c r="G1647" s="9">
        <f t="shared" si="202"/>
        <v>46093</v>
      </c>
      <c r="H1647" s="1" t="str">
        <f>IF(Raw!D1647="","",Raw!D1647)</f>
        <v>P-O</v>
      </c>
      <c r="I1647" s="1" t="str">
        <f>IFERROR(IF(EXACT(H1647,INDEX(Guide!$A$7:$A$9,MATCH(SUBSTITUTE(SUBSTITUTE(SUBSTITUTE(H1647,"~","~~"),"*","~*"),"?","~?"),Guide!$A$7:$A$9,0))),INDEX(Guide!$B$7:$B$9,MATCH(SUBSTITUTE(SUBSTITUTE(SUBSTITUTE(H1647,"~","~~"),"*","~*"),"?","~?"),Guide!$A$7:$A$9,0)),""),"")</f>
        <v>Office</v>
      </c>
      <c r="J1647" s="1" t="str">
        <f>IF(TRIM(Raw!E1647)="",I1647,IF(UPPER(TRIM(Raw!E1647))=UPPER(I1647),I1647,""))</f>
        <v>Office</v>
      </c>
      <c r="K1647" s="1" t="str">
        <f>IF(Raw!F1647="","",Raw!F1647)</f>
        <v>sale</v>
      </c>
      <c r="L1647" s="1" t="str">
        <f>IF(LEFT(TRIM(Raw!G1647),2)="-$","-"&amp;MID(TRIM(Raw!G1647),3,99),IF(LEFT(TRIM(Raw!G1647),1)="$",MID(TRIM(Raw!G1647),2,99),TRIM(Raw!G1647)))</f>
        <v>11.79</v>
      </c>
      <c r="M1647" s="1">
        <f t="shared" si="203"/>
        <v>11.79</v>
      </c>
      <c r="N1647" s="10">
        <f t="shared" si="204"/>
        <v>1179</v>
      </c>
      <c r="O1647" s="1" t="b">
        <f>IFERROR(IF(ISNUMBER(Raw!G1647),TRUE,OR(EXACT(L1647,TEXT(M1647,"0.00")),EXACT(L1647,TEXT(M1647,"#,##0.00")))),FALSE)</f>
        <v>1</v>
      </c>
      <c r="P1647" s="1" t="str">
        <f>LEN(IF(Raw!A1647="","",Raw!A1647))&amp;":"&amp;IF(Raw!A1647="","",Raw!A1647)&amp;"|"&amp;LEN(IF(Raw!B1647="","",Raw!B1647))&amp;":"&amp;IF(Raw!B1647="","",Raw!B1647)&amp;"|"&amp;LEN(IF(Raw!C1647="","",Raw!C1647))&amp;":"&amp;IF(Raw!C1647="","",Raw!C1647)&amp;"|"&amp;LEN(IF(Raw!D1647="","",Raw!D1647))&amp;":"&amp;IF(Raw!D1647="","",Raw!D1647)&amp;"|"&amp;LEN(IF(Raw!E1647="","",Raw!E1647))&amp;":"&amp;IF(Raw!E1647="","",Raw!E1647)&amp;"|"&amp;LEN(IF(Raw!F1647="","",Raw!F1647))&amp;":"&amp;IF(Raw!F1647="","",Raw!F1647)&amp;"|"&amp;LEN(IF(Raw!G1647="","",Raw!G1647))&amp;":"&amp;IF(Raw!G1647="","",Raw!G1647)</f>
        <v>6:L01641|6:T00821|10:2026-03-12|3:P-O|6:Office|4:sale|5:11.79</v>
      </c>
      <c r="Q1647" s="1">
        <f>1</f>
        <v>1</v>
      </c>
      <c r="R1647" s="1" t="b">
        <f>FALSE</f>
        <v>0</v>
      </c>
      <c r="S1647" s="1">
        <f>1</f>
        <v>1</v>
      </c>
      <c r="T1647" s="1" t="str">
        <f>IF(AND(Raw!A1647="",Raw!B1647="",Raw!C1647="",Raw!D1647="",Raw!E1647="",Raw!F1647="",Raw!G1647=""),"UNUSED",IF(A1647="","missing line ID",IF(B1647="","missing transaction ID",IF(G1647="",IF(C1647="","missing date","invalid date"),IF(I1647="","unknown product",IF(J1647="","conflicting category",IF(NOT(OR(EXACT(K1647,"sale"),EXACT(K1647,"refund"))),"unknown event",IF(OR(N1647="",NOT(O1647)),"invalid amount",IF(OR(AND(K1647="sale",N1647&lt;=0),AND(K1647="refund",N1647&gt;=0)),"invalid sign","")))))))))</f>
        <v/>
      </c>
      <c r="U1647" s="1" t="str">
        <f t="shared" si="205"/>
        <v>INCLUDED</v>
      </c>
      <c r="V1647" s="1" t="str">
        <f t="shared" si="206"/>
        <v>2026-03</v>
      </c>
      <c r="W1647" s="1">
        <f>IF(AND(U1647="INCLUDED",X1647&gt;0,EXACT(A1647,'AI output'!A1647)),1,0)</f>
        <v>1</v>
      </c>
      <c r="X1647" s="1">
        <f>1647</f>
        <v>1647</v>
      </c>
      <c r="Y1647" s="1">
        <f>IF(AND(U1647="INCLUDED",W1647=1),--(NOT(EXACT(A1647,'AI output'!A1647)))+--(NOT(EXACT(B1647,'AI output'!B1647)))+--(NOT(EXACT(TEXT(G1647,"yyyy-mm-dd"),'AI output'!C1647)))+--(NOT(EXACT(H1647,'AI output'!D1647)))+--(NOT(EXACT(J1647,'AI output'!E1647)))+--(NOT(EXACT(K1647,'AI output'!F1647)))+--(N1647&lt;&gt;'AI output'!L1647)+--(NOT('AI output'!M1647)),0)</f>
        <v>0</v>
      </c>
      <c r="Z1647" s="1">
        <f t="shared" si="207"/>
        <v>0</v>
      </c>
      <c r="AA1647" s="1">
        <f>--EXACT(A1647,"L01641")</f>
        <v>1</v>
      </c>
    </row>
    <row r="1648" spans="1:27" ht="18.95" customHeight="1">
      <c r="A1648" s="1" t="str">
        <f>IF(Raw!A1648="","",Raw!A1648)</f>
        <v>L01642</v>
      </c>
      <c r="B1648" s="1" t="str">
        <f>IF(Raw!B1648="","",Raw!B1648)</f>
        <v>T00821</v>
      </c>
      <c r="C1648" s="1" t="str">
        <f>IF(Raw!C1648="","",Raw!C1648)</f>
        <v>2026-03-12</v>
      </c>
      <c r="D1648" s="1">
        <f t="shared" si="200"/>
        <v>2026</v>
      </c>
      <c r="E1648" s="1">
        <f>IFERROR(IF(AND(LEN(C1648)=10,MID(C1648,5,1)="-",MID(C1648,8,1)="-"),VALUE(MID(C1648,6,2)),IF(AND(LEN(C1648)=11,MID(C1648,3,1)="-",MID(C1648,7,1)="-"),MATCH(UPPER(MID(C1648,4,3)),Guide!$D$7:$D$18,0),0)),0)</f>
        <v>3</v>
      </c>
      <c r="F1648" s="1">
        <f t="shared" si="201"/>
        <v>12</v>
      </c>
      <c r="G1648" s="9">
        <f t="shared" si="202"/>
        <v>46093</v>
      </c>
      <c r="H1648" s="1" t="str">
        <f>IF(Raw!D1648="","",Raw!D1648)</f>
        <v>P-A</v>
      </c>
      <c r="I1648" s="1" t="str">
        <f>IFERROR(IF(EXACT(H1648,INDEX(Guide!$A$7:$A$9,MATCH(SUBSTITUTE(SUBSTITUTE(SUBSTITUTE(H1648,"~","~~"),"*","~*"),"?","~?"),Guide!$A$7:$A$9,0))),INDEX(Guide!$B$7:$B$9,MATCH(SUBSTITUTE(SUBSTITUTE(SUBSTITUTE(H1648,"~","~~"),"*","~*"),"?","~?"),Guide!$A$7:$A$9,0)),""),"")</f>
        <v>Accessories</v>
      </c>
      <c r="J1648" s="1" t="str">
        <f>IF(TRIM(Raw!E1648)="",I1648,IF(UPPER(TRIM(Raw!E1648))=UPPER(I1648),I1648,""))</f>
        <v>Accessories</v>
      </c>
      <c r="K1648" s="1" t="str">
        <f>IF(Raw!F1648="","",Raw!F1648)</f>
        <v>sale</v>
      </c>
      <c r="L1648" s="1" t="str">
        <f>IF(LEFT(TRIM(Raw!G1648),2)="-$","-"&amp;MID(TRIM(Raw!G1648),3,99),IF(LEFT(TRIM(Raw!G1648),1)="$",MID(TRIM(Raw!G1648),2,99),TRIM(Raw!G1648)))</f>
        <v>36.48</v>
      </c>
      <c r="M1648" s="1">
        <f t="shared" si="203"/>
        <v>36.479999999999997</v>
      </c>
      <c r="N1648" s="10">
        <f t="shared" si="204"/>
        <v>3648</v>
      </c>
      <c r="O1648" s="1" t="b">
        <f>IFERROR(IF(ISNUMBER(Raw!G1648),TRUE,OR(EXACT(L1648,TEXT(M1648,"0.00")),EXACT(L1648,TEXT(M1648,"#,##0.00")))),FALSE)</f>
        <v>1</v>
      </c>
      <c r="P1648" s="1" t="str">
        <f>LEN(IF(Raw!A1648="","",Raw!A1648))&amp;":"&amp;IF(Raw!A1648="","",Raw!A1648)&amp;"|"&amp;LEN(IF(Raw!B1648="","",Raw!B1648))&amp;":"&amp;IF(Raw!B1648="","",Raw!B1648)&amp;"|"&amp;LEN(IF(Raw!C1648="","",Raw!C1648))&amp;":"&amp;IF(Raw!C1648="","",Raw!C1648)&amp;"|"&amp;LEN(IF(Raw!D1648="","",Raw!D1648))&amp;":"&amp;IF(Raw!D1648="","",Raw!D1648)&amp;"|"&amp;LEN(IF(Raw!E1648="","",Raw!E1648))&amp;":"&amp;IF(Raw!E1648="","",Raw!E1648)&amp;"|"&amp;LEN(IF(Raw!F1648="","",Raw!F1648))&amp;":"&amp;IF(Raw!F1648="","",Raw!F1648)&amp;"|"&amp;LEN(IF(Raw!G1648="","",Raw!G1648))&amp;":"&amp;IF(Raw!G1648="","",Raw!G1648)</f>
        <v>6:L01642|6:T00821|10:2026-03-12|3:P-A|11:Accessories|4:sale|5:36.48</v>
      </c>
      <c r="Q1648" s="1">
        <f>1</f>
        <v>1</v>
      </c>
      <c r="R1648" s="1" t="b">
        <f>FALSE</f>
        <v>0</v>
      </c>
      <c r="S1648" s="1">
        <f>1</f>
        <v>1</v>
      </c>
      <c r="T1648" s="1" t="str">
        <f>IF(AND(Raw!A1648="",Raw!B1648="",Raw!C1648="",Raw!D1648="",Raw!E1648="",Raw!F1648="",Raw!G1648=""),"UNUSED",IF(A1648="","missing line ID",IF(B1648="","missing transaction ID",IF(G1648="",IF(C1648="","missing date","invalid date"),IF(I1648="","unknown product",IF(J1648="","conflicting category",IF(NOT(OR(EXACT(K1648,"sale"),EXACT(K1648,"refund"))),"unknown event",IF(OR(N1648="",NOT(O1648)),"invalid amount",IF(OR(AND(K1648="sale",N1648&lt;=0),AND(K1648="refund",N1648&gt;=0)),"invalid sign","")))))))))</f>
        <v/>
      </c>
      <c r="U1648" s="1" t="str">
        <f t="shared" si="205"/>
        <v>INCLUDED</v>
      </c>
      <c r="V1648" s="1" t="str">
        <f t="shared" si="206"/>
        <v>2026-03</v>
      </c>
      <c r="W1648" s="1">
        <f>IF(AND(U1648="INCLUDED",X1648&gt;0,EXACT(A1648,'AI output'!A1648)),1,0)</f>
        <v>1</v>
      </c>
      <c r="X1648" s="1">
        <f>1648</f>
        <v>1648</v>
      </c>
      <c r="Y1648" s="1">
        <f>IF(AND(U1648="INCLUDED",W1648=1),--(NOT(EXACT(A1648,'AI output'!A1648)))+--(NOT(EXACT(B1648,'AI output'!B1648)))+--(NOT(EXACT(TEXT(G1648,"yyyy-mm-dd"),'AI output'!C1648)))+--(NOT(EXACT(H1648,'AI output'!D1648)))+--(NOT(EXACT(J1648,'AI output'!E1648)))+--(NOT(EXACT(K1648,'AI output'!F1648)))+--(N1648&lt;&gt;'AI output'!L1648)+--(NOT('AI output'!M1648)),0)</f>
        <v>0</v>
      </c>
      <c r="Z1648" s="1">
        <f t="shared" si="207"/>
        <v>0</v>
      </c>
      <c r="AA1648" s="1">
        <f>--EXACT(A1648,"L01642")</f>
        <v>1</v>
      </c>
    </row>
    <row r="1649" spans="1:27" ht="18.95" customHeight="1">
      <c r="A1649" s="1" t="str">
        <f>IF(Raw!A1649="","",Raw!A1649)</f>
        <v>L01643</v>
      </c>
      <c r="B1649" s="1" t="str">
        <f>IF(Raw!B1649="","",Raw!B1649)</f>
        <v>T00822</v>
      </c>
      <c r="C1649" s="1" t="str">
        <f>IF(Raw!C1649="","",Raw!C1649)</f>
        <v>2026-03-19</v>
      </c>
      <c r="D1649" s="1">
        <f t="shared" si="200"/>
        <v>2026</v>
      </c>
      <c r="E1649" s="1">
        <f>IFERROR(IF(AND(LEN(C1649)=10,MID(C1649,5,1)="-",MID(C1649,8,1)="-"),VALUE(MID(C1649,6,2)),IF(AND(LEN(C1649)=11,MID(C1649,3,1)="-",MID(C1649,7,1)="-"),MATCH(UPPER(MID(C1649,4,3)),Guide!$D$7:$D$18,0),0)),0)</f>
        <v>3</v>
      </c>
      <c r="F1649" s="1">
        <f t="shared" si="201"/>
        <v>19</v>
      </c>
      <c r="G1649" s="9">
        <f t="shared" si="202"/>
        <v>46100</v>
      </c>
      <c r="H1649" s="1" t="str">
        <f>IF(Raw!D1649="","",Raw!D1649)</f>
        <v>P-H</v>
      </c>
      <c r="I1649" s="1" t="str">
        <f>IFERROR(IF(EXACT(H1649,INDEX(Guide!$A$7:$A$9,MATCH(SUBSTITUTE(SUBSTITUTE(SUBSTITUTE(H1649,"~","~~"),"*","~*"),"?","~?"),Guide!$A$7:$A$9,0))),INDEX(Guide!$B$7:$B$9,MATCH(SUBSTITUTE(SUBSTITUTE(SUBSTITUTE(H1649,"~","~~"),"*","~*"),"?","~?"),Guide!$A$7:$A$9,0)),""),"")</f>
        <v>Home</v>
      </c>
      <c r="J1649" s="1" t="str">
        <f>IF(TRIM(Raw!E1649)="",I1649,IF(UPPER(TRIM(Raw!E1649))=UPPER(I1649),I1649,""))</f>
        <v>Home</v>
      </c>
      <c r="K1649" s="1" t="str">
        <f>IF(Raw!F1649="","",Raw!F1649)</f>
        <v>sale</v>
      </c>
      <c r="L1649" s="1" t="str">
        <f>IF(LEFT(TRIM(Raw!G1649),2)="-$","-"&amp;MID(TRIM(Raw!G1649),3,99),IF(LEFT(TRIM(Raw!G1649),1)="$",MID(TRIM(Raw!G1649),2,99),TRIM(Raw!G1649)))</f>
        <v>62.65</v>
      </c>
      <c r="M1649" s="1">
        <f t="shared" si="203"/>
        <v>62.65</v>
      </c>
      <c r="N1649" s="10">
        <f t="shared" si="204"/>
        <v>6265</v>
      </c>
      <c r="O1649" s="1" t="b">
        <f>IFERROR(IF(ISNUMBER(Raw!G1649),TRUE,OR(EXACT(L1649,TEXT(M1649,"0.00")),EXACT(L1649,TEXT(M1649,"#,##0.00")))),FALSE)</f>
        <v>1</v>
      </c>
      <c r="P1649" s="1" t="str">
        <f>LEN(IF(Raw!A1649="","",Raw!A1649))&amp;":"&amp;IF(Raw!A1649="","",Raw!A1649)&amp;"|"&amp;LEN(IF(Raw!B1649="","",Raw!B1649))&amp;":"&amp;IF(Raw!B1649="","",Raw!B1649)&amp;"|"&amp;LEN(IF(Raw!C1649="","",Raw!C1649))&amp;":"&amp;IF(Raw!C1649="","",Raw!C1649)&amp;"|"&amp;LEN(IF(Raw!D1649="","",Raw!D1649))&amp;":"&amp;IF(Raw!D1649="","",Raw!D1649)&amp;"|"&amp;LEN(IF(Raw!E1649="","",Raw!E1649))&amp;":"&amp;IF(Raw!E1649="","",Raw!E1649)&amp;"|"&amp;LEN(IF(Raw!F1649="","",Raw!F1649))&amp;":"&amp;IF(Raw!F1649="","",Raw!F1649)&amp;"|"&amp;LEN(IF(Raw!G1649="","",Raw!G1649))&amp;":"&amp;IF(Raw!G1649="","",Raw!G1649)</f>
        <v>6:L01643|6:T00822|10:2026-03-19|3:P-H|4:Home|4:sale|5:62.65</v>
      </c>
      <c r="Q1649" s="1">
        <f>1</f>
        <v>1</v>
      </c>
      <c r="R1649" s="1" t="b">
        <f>FALSE</f>
        <v>0</v>
      </c>
      <c r="S1649" s="1">
        <f>1</f>
        <v>1</v>
      </c>
      <c r="T1649" s="1" t="str">
        <f>IF(AND(Raw!A1649="",Raw!B1649="",Raw!C1649="",Raw!D1649="",Raw!E1649="",Raw!F1649="",Raw!G1649=""),"UNUSED",IF(A1649="","missing line ID",IF(B1649="","missing transaction ID",IF(G1649="",IF(C1649="","missing date","invalid date"),IF(I1649="","unknown product",IF(J1649="","conflicting category",IF(NOT(OR(EXACT(K1649,"sale"),EXACT(K1649,"refund"))),"unknown event",IF(OR(N1649="",NOT(O1649)),"invalid amount",IF(OR(AND(K1649="sale",N1649&lt;=0),AND(K1649="refund",N1649&gt;=0)),"invalid sign","")))))))))</f>
        <v/>
      </c>
      <c r="U1649" s="1" t="str">
        <f t="shared" si="205"/>
        <v>INCLUDED</v>
      </c>
      <c r="V1649" s="1" t="str">
        <f t="shared" si="206"/>
        <v>2026-03</v>
      </c>
      <c r="W1649" s="1">
        <f>IF(AND(U1649="INCLUDED",X1649&gt;0,EXACT(A1649,'AI output'!A1649)),1,0)</f>
        <v>1</v>
      </c>
      <c r="X1649" s="1">
        <f>1649</f>
        <v>1649</v>
      </c>
      <c r="Y1649" s="1">
        <f>IF(AND(U1649="INCLUDED",W1649=1),--(NOT(EXACT(A1649,'AI output'!A1649)))+--(NOT(EXACT(B1649,'AI output'!B1649)))+--(NOT(EXACT(TEXT(G1649,"yyyy-mm-dd"),'AI output'!C1649)))+--(NOT(EXACT(H1649,'AI output'!D1649)))+--(NOT(EXACT(J1649,'AI output'!E1649)))+--(NOT(EXACT(K1649,'AI output'!F1649)))+--(N1649&lt;&gt;'AI output'!L1649)+--(NOT('AI output'!M1649)),0)</f>
        <v>0</v>
      </c>
      <c r="Z1649" s="1">
        <f t="shared" si="207"/>
        <v>0</v>
      </c>
      <c r="AA1649" s="1">
        <f>--EXACT(A1649,"L01643")</f>
        <v>1</v>
      </c>
    </row>
    <row r="1650" spans="1:27" ht="18.95" customHeight="1">
      <c r="A1650" s="1" t="str">
        <f>IF(Raw!A1650="","",Raw!A1650)</f>
        <v>L01644</v>
      </c>
      <c r="B1650" s="1" t="str">
        <f>IF(Raw!B1650="","",Raw!B1650)</f>
        <v>T00822</v>
      </c>
      <c r="C1650" s="1" t="str">
        <f>IF(Raw!C1650="","",Raw!C1650)</f>
        <v>2026-03-19</v>
      </c>
      <c r="D1650" s="1">
        <f t="shared" si="200"/>
        <v>2026</v>
      </c>
      <c r="E1650" s="1">
        <f>IFERROR(IF(AND(LEN(C1650)=10,MID(C1650,5,1)="-",MID(C1650,8,1)="-"),VALUE(MID(C1650,6,2)),IF(AND(LEN(C1650)=11,MID(C1650,3,1)="-",MID(C1650,7,1)="-"),MATCH(UPPER(MID(C1650,4,3)),Guide!$D$7:$D$18,0),0)),0)</f>
        <v>3</v>
      </c>
      <c r="F1650" s="1">
        <f t="shared" si="201"/>
        <v>19</v>
      </c>
      <c r="G1650" s="9">
        <f t="shared" si="202"/>
        <v>46100</v>
      </c>
      <c r="H1650" s="1" t="str">
        <f>IF(Raw!D1650="","",Raw!D1650)</f>
        <v>P-O</v>
      </c>
      <c r="I1650" s="1" t="str">
        <f>IFERROR(IF(EXACT(H1650,INDEX(Guide!$A$7:$A$9,MATCH(SUBSTITUTE(SUBSTITUTE(SUBSTITUTE(H1650,"~","~~"),"*","~*"),"?","~?"),Guide!$A$7:$A$9,0))),INDEX(Guide!$B$7:$B$9,MATCH(SUBSTITUTE(SUBSTITUTE(SUBSTITUTE(H1650,"~","~~"),"*","~*"),"?","~?"),Guide!$A$7:$A$9,0)),""),"")</f>
        <v>Office</v>
      </c>
      <c r="J1650" s="1" t="str">
        <f>IF(TRIM(Raw!E1650)="",I1650,IF(UPPER(TRIM(Raw!E1650))=UPPER(I1650),I1650,""))</f>
        <v>Office</v>
      </c>
      <c r="K1650" s="1" t="str">
        <f>IF(Raw!F1650="","",Raw!F1650)</f>
        <v>sale</v>
      </c>
      <c r="L1650" s="1" t="str">
        <f>IF(LEFT(TRIM(Raw!G1650),2)="-$","-"&amp;MID(TRIM(Raw!G1650),3,99),IF(LEFT(TRIM(Raw!G1650),1)="$",MID(TRIM(Raw!G1650),2,99),TRIM(Raw!G1650)))</f>
        <v>25.80</v>
      </c>
      <c r="M1650" s="1">
        <f t="shared" si="203"/>
        <v>25.8</v>
      </c>
      <c r="N1650" s="10">
        <f t="shared" si="204"/>
        <v>2580</v>
      </c>
      <c r="O1650" s="1" t="b">
        <f>IFERROR(IF(ISNUMBER(Raw!G1650),TRUE,OR(EXACT(L1650,TEXT(M1650,"0.00")),EXACT(L1650,TEXT(M1650,"#,##0.00")))),FALSE)</f>
        <v>1</v>
      </c>
      <c r="P1650" s="1" t="str">
        <f>LEN(IF(Raw!A1650="","",Raw!A1650))&amp;":"&amp;IF(Raw!A1650="","",Raw!A1650)&amp;"|"&amp;LEN(IF(Raw!B1650="","",Raw!B1650))&amp;":"&amp;IF(Raw!B1650="","",Raw!B1650)&amp;"|"&amp;LEN(IF(Raw!C1650="","",Raw!C1650))&amp;":"&amp;IF(Raw!C1650="","",Raw!C1650)&amp;"|"&amp;LEN(IF(Raw!D1650="","",Raw!D1650))&amp;":"&amp;IF(Raw!D1650="","",Raw!D1650)&amp;"|"&amp;LEN(IF(Raw!E1650="","",Raw!E1650))&amp;":"&amp;IF(Raw!E1650="","",Raw!E1650)&amp;"|"&amp;LEN(IF(Raw!F1650="","",Raw!F1650))&amp;":"&amp;IF(Raw!F1650="","",Raw!F1650)&amp;"|"&amp;LEN(IF(Raw!G1650="","",Raw!G1650))&amp;":"&amp;IF(Raw!G1650="","",Raw!G1650)</f>
        <v>6:L01644|6:T00822|10:2026-03-19|3:P-O|6:Office|4:sale|5:25.80</v>
      </c>
      <c r="Q1650" s="1">
        <f>1</f>
        <v>1</v>
      </c>
      <c r="R1650" s="1" t="b">
        <f>FALSE</f>
        <v>0</v>
      </c>
      <c r="S1650" s="1">
        <f>1</f>
        <v>1</v>
      </c>
      <c r="T1650" s="1" t="str">
        <f>IF(AND(Raw!A1650="",Raw!B1650="",Raw!C1650="",Raw!D1650="",Raw!E1650="",Raw!F1650="",Raw!G1650=""),"UNUSED",IF(A1650="","missing line ID",IF(B1650="","missing transaction ID",IF(G1650="",IF(C1650="","missing date","invalid date"),IF(I1650="","unknown product",IF(J1650="","conflicting category",IF(NOT(OR(EXACT(K1650,"sale"),EXACT(K1650,"refund"))),"unknown event",IF(OR(N1650="",NOT(O1650)),"invalid amount",IF(OR(AND(K1650="sale",N1650&lt;=0),AND(K1650="refund",N1650&gt;=0)),"invalid sign","")))))))))</f>
        <v/>
      </c>
      <c r="U1650" s="1" t="str">
        <f t="shared" si="205"/>
        <v>INCLUDED</v>
      </c>
      <c r="V1650" s="1" t="str">
        <f t="shared" si="206"/>
        <v>2026-03</v>
      </c>
      <c r="W1650" s="1">
        <f>IF(AND(U1650="INCLUDED",X1650&gt;0,EXACT(A1650,'AI output'!A1650)),1,0)</f>
        <v>1</v>
      </c>
      <c r="X1650" s="1">
        <f>1650</f>
        <v>1650</v>
      </c>
      <c r="Y1650" s="1">
        <f>IF(AND(U1650="INCLUDED",W1650=1),--(NOT(EXACT(A1650,'AI output'!A1650)))+--(NOT(EXACT(B1650,'AI output'!B1650)))+--(NOT(EXACT(TEXT(G1650,"yyyy-mm-dd"),'AI output'!C1650)))+--(NOT(EXACT(H1650,'AI output'!D1650)))+--(NOT(EXACT(J1650,'AI output'!E1650)))+--(NOT(EXACT(K1650,'AI output'!F1650)))+--(N1650&lt;&gt;'AI output'!L1650)+--(NOT('AI output'!M1650)),0)</f>
        <v>0</v>
      </c>
      <c r="Z1650" s="1">
        <f t="shared" si="207"/>
        <v>0</v>
      </c>
      <c r="AA1650" s="1">
        <f>--EXACT(A1650,"L01644")</f>
        <v>1</v>
      </c>
    </row>
    <row r="1651" spans="1:27" ht="18.95" customHeight="1">
      <c r="A1651" s="1" t="str">
        <f>IF(Raw!A1651="","",Raw!A1651)</f>
        <v>L01645</v>
      </c>
      <c r="B1651" s="1" t="str">
        <f>IF(Raw!B1651="","",Raw!B1651)</f>
        <v>T00823</v>
      </c>
      <c r="C1651" s="1" t="str">
        <f>IF(Raw!C1651="","",Raw!C1651)</f>
        <v>2026-03-26</v>
      </c>
      <c r="D1651" s="1">
        <f t="shared" si="200"/>
        <v>2026</v>
      </c>
      <c r="E1651" s="1">
        <f>IFERROR(IF(AND(LEN(C1651)=10,MID(C1651,5,1)="-",MID(C1651,8,1)="-"),VALUE(MID(C1651,6,2)),IF(AND(LEN(C1651)=11,MID(C1651,3,1)="-",MID(C1651,7,1)="-"),MATCH(UPPER(MID(C1651,4,3)),Guide!$D$7:$D$18,0),0)),0)</f>
        <v>3</v>
      </c>
      <c r="F1651" s="1">
        <f t="shared" si="201"/>
        <v>26</v>
      </c>
      <c r="G1651" s="9">
        <f t="shared" si="202"/>
        <v>46107</v>
      </c>
      <c r="H1651" s="1" t="str">
        <f>IF(Raw!D1651="","",Raw!D1651)</f>
        <v>P-A</v>
      </c>
      <c r="I1651" s="1" t="str">
        <f>IFERROR(IF(EXACT(H1651,INDEX(Guide!$A$7:$A$9,MATCH(SUBSTITUTE(SUBSTITUTE(SUBSTITUTE(H1651,"~","~~"),"*","~*"),"?","~?"),Guide!$A$7:$A$9,0))),INDEX(Guide!$B$7:$B$9,MATCH(SUBSTITUTE(SUBSTITUTE(SUBSTITUTE(H1651,"~","~~"),"*","~*"),"?","~?"),Guide!$A$7:$A$9,0)),""),"")</f>
        <v>Accessories</v>
      </c>
      <c r="J1651" s="1" t="str">
        <f>IF(TRIM(Raw!E1651)="",I1651,IF(UPPER(TRIM(Raw!E1651))=UPPER(I1651),I1651,""))</f>
        <v>Accessories</v>
      </c>
      <c r="K1651" s="1" t="str">
        <f>IF(Raw!F1651="","",Raw!F1651)</f>
        <v>sale</v>
      </c>
      <c r="L1651" s="1" t="str">
        <f>IF(LEFT(TRIM(Raw!G1651),2)="-$","-"&amp;MID(TRIM(Raw!G1651),3,99),IF(LEFT(TRIM(Raw!G1651),1)="$",MID(TRIM(Raw!G1651),2,99),TRIM(Raw!G1651)))</f>
        <v>53.08</v>
      </c>
      <c r="M1651" s="1">
        <f t="shared" si="203"/>
        <v>53.08</v>
      </c>
      <c r="N1651" s="10">
        <f t="shared" si="204"/>
        <v>5308</v>
      </c>
      <c r="O1651" s="1" t="b">
        <f>IFERROR(IF(ISNUMBER(Raw!G1651),TRUE,OR(EXACT(L1651,TEXT(M1651,"0.00")),EXACT(L1651,TEXT(M1651,"#,##0.00")))),FALSE)</f>
        <v>1</v>
      </c>
      <c r="P1651" s="1" t="str">
        <f>LEN(IF(Raw!A1651="","",Raw!A1651))&amp;":"&amp;IF(Raw!A1651="","",Raw!A1651)&amp;"|"&amp;LEN(IF(Raw!B1651="","",Raw!B1651))&amp;":"&amp;IF(Raw!B1651="","",Raw!B1651)&amp;"|"&amp;LEN(IF(Raw!C1651="","",Raw!C1651))&amp;":"&amp;IF(Raw!C1651="","",Raw!C1651)&amp;"|"&amp;LEN(IF(Raw!D1651="","",Raw!D1651))&amp;":"&amp;IF(Raw!D1651="","",Raw!D1651)&amp;"|"&amp;LEN(IF(Raw!E1651="","",Raw!E1651))&amp;":"&amp;IF(Raw!E1651="","",Raw!E1651)&amp;"|"&amp;LEN(IF(Raw!F1651="","",Raw!F1651))&amp;":"&amp;IF(Raw!F1651="","",Raw!F1651)&amp;"|"&amp;LEN(IF(Raw!G1651="","",Raw!G1651))&amp;":"&amp;IF(Raw!G1651="","",Raw!G1651)</f>
        <v>6:L01645|6:T00823|10:2026-03-26|3:P-A|11:Accessories|4:sale|5:53.08</v>
      </c>
      <c r="Q1651" s="1">
        <f>1</f>
        <v>1</v>
      </c>
      <c r="R1651" s="1" t="b">
        <f>FALSE</f>
        <v>0</v>
      </c>
      <c r="S1651" s="1">
        <f>1</f>
        <v>1</v>
      </c>
      <c r="T1651" s="1" t="str">
        <f>IF(AND(Raw!A1651="",Raw!B1651="",Raw!C1651="",Raw!D1651="",Raw!E1651="",Raw!F1651="",Raw!G1651=""),"UNUSED",IF(A1651="","missing line ID",IF(B1651="","missing transaction ID",IF(G1651="",IF(C1651="","missing date","invalid date"),IF(I1651="","unknown product",IF(J1651="","conflicting category",IF(NOT(OR(EXACT(K1651,"sale"),EXACT(K1651,"refund"))),"unknown event",IF(OR(N1651="",NOT(O1651)),"invalid amount",IF(OR(AND(K1651="sale",N1651&lt;=0),AND(K1651="refund",N1651&gt;=0)),"invalid sign","")))))))))</f>
        <v/>
      </c>
      <c r="U1651" s="1" t="str">
        <f t="shared" si="205"/>
        <v>INCLUDED</v>
      </c>
      <c r="V1651" s="1" t="str">
        <f t="shared" si="206"/>
        <v>2026-03</v>
      </c>
      <c r="W1651" s="1">
        <f>IF(AND(U1651="INCLUDED",X1651&gt;0,EXACT(A1651,'AI output'!A1651)),1,0)</f>
        <v>1</v>
      </c>
      <c r="X1651" s="1">
        <f>1651</f>
        <v>1651</v>
      </c>
      <c r="Y1651" s="1">
        <f>IF(AND(U1651="INCLUDED",W1651=1),--(NOT(EXACT(A1651,'AI output'!A1651)))+--(NOT(EXACT(B1651,'AI output'!B1651)))+--(NOT(EXACT(TEXT(G1651,"yyyy-mm-dd"),'AI output'!C1651)))+--(NOT(EXACT(H1651,'AI output'!D1651)))+--(NOT(EXACT(J1651,'AI output'!E1651)))+--(NOT(EXACT(K1651,'AI output'!F1651)))+--(N1651&lt;&gt;'AI output'!L1651)+--(NOT('AI output'!M1651)),0)</f>
        <v>0</v>
      </c>
      <c r="Z1651" s="1">
        <f t="shared" si="207"/>
        <v>0</v>
      </c>
      <c r="AA1651" s="1">
        <f>--EXACT(A1651,"L01645")</f>
        <v>1</v>
      </c>
    </row>
    <row r="1652" spans="1:27" ht="18.95" customHeight="1">
      <c r="A1652" s="1" t="str">
        <f>IF(Raw!A1652="","",Raw!A1652)</f>
        <v>L01646</v>
      </c>
      <c r="B1652" s="1" t="str">
        <f>IF(Raw!B1652="","",Raw!B1652)</f>
        <v>T00823</v>
      </c>
      <c r="C1652" s="1" t="str">
        <f>IF(Raw!C1652="","",Raw!C1652)</f>
        <v>2026-03-26</v>
      </c>
      <c r="D1652" s="1">
        <f t="shared" si="200"/>
        <v>2026</v>
      </c>
      <c r="E1652" s="1">
        <f>IFERROR(IF(AND(LEN(C1652)=10,MID(C1652,5,1)="-",MID(C1652,8,1)="-"),VALUE(MID(C1652,6,2)),IF(AND(LEN(C1652)=11,MID(C1652,3,1)="-",MID(C1652,7,1)="-"),MATCH(UPPER(MID(C1652,4,3)),Guide!$D$7:$D$18,0),0)),0)</f>
        <v>3</v>
      </c>
      <c r="F1652" s="1">
        <f t="shared" si="201"/>
        <v>26</v>
      </c>
      <c r="G1652" s="9">
        <f t="shared" si="202"/>
        <v>46107</v>
      </c>
      <c r="H1652" s="1" t="str">
        <f>IF(Raw!D1652="","",Raw!D1652)</f>
        <v>P-H</v>
      </c>
      <c r="I1652" s="1" t="str">
        <f>IFERROR(IF(EXACT(H1652,INDEX(Guide!$A$7:$A$9,MATCH(SUBSTITUTE(SUBSTITUTE(SUBSTITUTE(H1652,"~","~~"),"*","~*"),"?","~?"),Guide!$A$7:$A$9,0))),INDEX(Guide!$B$7:$B$9,MATCH(SUBSTITUTE(SUBSTITUTE(SUBSTITUTE(H1652,"~","~~"),"*","~*"),"?","~?"),Guide!$A$7:$A$9,0)),""),"")</f>
        <v>Home</v>
      </c>
      <c r="J1652" s="1" t="str">
        <f>IF(TRIM(Raw!E1652)="",I1652,IF(UPPER(TRIM(Raw!E1652))=UPPER(I1652),I1652,""))</f>
        <v>Home</v>
      </c>
      <c r="K1652" s="1" t="str">
        <f>IF(Raw!F1652="","",Raw!F1652)</f>
        <v>sale</v>
      </c>
      <c r="L1652" s="1" t="str">
        <f>IF(LEFT(TRIM(Raw!G1652),2)="-$","-"&amp;MID(TRIM(Raw!G1652),3,99),IF(LEFT(TRIM(Raw!G1652),1)="$",MID(TRIM(Raw!G1652),2,99),TRIM(Raw!G1652)))</f>
        <v>13.64</v>
      </c>
      <c r="M1652" s="1">
        <f t="shared" si="203"/>
        <v>13.64</v>
      </c>
      <c r="N1652" s="10">
        <f t="shared" si="204"/>
        <v>1364</v>
      </c>
      <c r="O1652" s="1" t="b">
        <f>IFERROR(IF(ISNUMBER(Raw!G1652),TRUE,OR(EXACT(L1652,TEXT(M1652,"0.00")),EXACT(L1652,TEXT(M1652,"#,##0.00")))),FALSE)</f>
        <v>1</v>
      </c>
      <c r="P1652" s="1" t="str">
        <f>LEN(IF(Raw!A1652="","",Raw!A1652))&amp;":"&amp;IF(Raw!A1652="","",Raw!A1652)&amp;"|"&amp;LEN(IF(Raw!B1652="","",Raw!B1652))&amp;":"&amp;IF(Raw!B1652="","",Raw!B1652)&amp;"|"&amp;LEN(IF(Raw!C1652="","",Raw!C1652))&amp;":"&amp;IF(Raw!C1652="","",Raw!C1652)&amp;"|"&amp;LEN(IF(Raw!D1652="","",Raw!D1652))&amp;":"&amp;IF(Raw!D1652="","",Raw!D1652)&amp;"|"&amp;LEN(IF(Raw!E1652="","",Raw!E1652))&amp;":"&amp;IF(Raw!E1652="","",Raw!E1652)&amp;"|"&amp;LEN(IF(Raw!F1652="","",Raw!F1652))&amp;":"&amp;IF(Raw!F1652="","",Raw!F1652)&amp;"|"&amp;LEN(IF(Raw!G1652="","",Raw!G1652))&amp;":"&amp;IF(Raw!G1652="","",Raw!G1652)</f>
        <v>6:L01646|6:T00823|10:2026-03-26|3:P-H|4:Home|4:sale|5:13.64</v>
      </c>
      <c r="Q1652" s="1">
        <f>1</f>
        <v>1</v>
      </c>
      <c r="R1652" s="1" t="b">
        <f>FALSE</f>
        <v>0</v>
      </c>
      <c r="S1652" s="1">
        <f>1</f>
        <v>1</v>
      </c>
      <c r="T1652" s="1" t="str">
        <f>IF(AND(Raw!A1652="",Raw!B1652="",Raw!C1652="",Raw!D1652="",Raw!E1652="",Raw!F1652="",Raw!G1652=""),"UNUSED",IF(A1652="","missing line ID",IF(B1652="","missing transaction ID",IF(G1652="",IF(C1652="","missing date","invalid date"),IF(I1652="","unknown product",IF(J1652="","conflicting category",IF(NOT(OR(EXACT(K1652,"sale"),EXACT(K1652,"refund"))),"unknown event",IF(OR(N1652="",NOT(O1652)),"invalid amount",IF(OR(AND(K1652="sale",N1652&lt;=0),AND(K1652="refund",N1652&gt;=0)),"invalid sign","")))))))))</f>
        <v/>
      </c>
      <c r="U1652" s="1" t="str">
        <f t="shared" si="205"/>
        <v>INCLUDED</v>
      </c>
      <c r="V1652" s="1" t="str">
        <f t="shared" si="206"/>
        <v>2026-03</v>
      </c>
      <c r="W1652" s="1">
        <f>IF(AND(U1652="INCLUDED",X1652&gt;0,EXACT(A1652,'AI output'!A1652)),1,0)</f>
        <v>1</v>
      </c>
      <c r="X1652" s="1">
        <f>1652</f>
        <v>1652</v>
      </c>
      <c r="Y1652" s="1">
        <f>IF(AND(U1652="INCLUDED",W1652=1),--(NOT(EXACT(A1652,'AI output'!A1652)))+--(NOT(EXACT(B1652,'AI output'!B1652)))+--(NOT(EXACT(TEXT(G1652,"yyyy-mm-dd"),'AI output'!C1652)))+--(NOT(EXACT(H1652,'AI output'!D1652)))+--(NOT(EXACT(J1652,'AI output'!E1652)))+--(NOT(EXACT(K1652,'AI output'!F1652)))+--(N1652&lt;&gt;'AI output'!L1652)+--(NOT('AI output'!M1652)),0)</f>
        <v>0</v>
      </c>
      <c r="Z1652" s="1">
        <f t="shared" si="207"/>
        <v>0</v>
      </c>
      <c r="AA1652" s="1">
        <f>--EXACT(A1652,"L01646")</f>
        <v>1</v>
      </c>
    </row>
    <row r="1653" spans="1:27" ht="18.95" customHeight="1">
      <c r="A1653" s="1" t="str">
        <f>IF(Raw!A1653="","",Raw!A1653)</f>
        <v>L01647</v>
      </c>
      <c r="B1653" s="1" t="str">
        <f>IF(Raw!B1653="","",Raw!B1653)</f>
        <v>T00824</v>
      </c>
      <c r="C1653" s="1" t="str">
        <f>IF(Raw!C1653="","",Raw!C1653)</f>
        <v>2026-01-02</v>
      </c>
      <c r="D1653" s="1">
        <f t="shared" si="200"/>
        <v>2026</v>
      </c>
      <c r="E1653" s="1">
        <f>IFERROR(IF(AND(LEN(C1653)=10,MID(C1653,5,1)="-",MID(C1653,8,1)="-"),VALUE(MID(C1653,6,2)),IF(AND(LEN(C1653)=11,MID(C1653,3,1)="-",MID(C1653,7,1)="-"),MATCH(UPPER(MID(C1653,4,3)),Guide!$D$7:$D$18,0),0)),0)</f>
        <v>1</v>
      </c>
      <c r="F1653" s="1">
        <f t="shared" si="201"/>
        <v>2</v>
      </c>
      <c r="G1653" s="9">
        <f t="shared" si="202"/>
        <v>46024</v>
      </c>
      <c r="H1653" s="1" t="str">
        <f>IF(Raw!D1653="","",Raw!D1653)</f>
        <v>P-O</v>
      </c>
      <c r="I1653" s="1" t="str">
        <f>IFERROR(IF(EXACT(H1653,INDEX(Guide!$A$7:$A$9,MATCH(SUBSTITUTE(SUBSTITUTE(SUBSTITUTE(H1653,"~","~~"),"*","~*"),"?","~?"),Guide!$A$7:$A$9,0))),INDEX(Guide!$B$7:$B$9,MATCH(SUBSTITUTE(SUBSTITUTE(SUBSTITUTE(H1653,"~","~~"),"*","~*"),"?","~?"),Guide!$A$7:$A$9,0)),""),"")</f>
        <v>Office</v>
      </c>
      <c r="J1653" s="1" t="str">
        <f>IF(TRIM(Raw!E1653)="",I1653,IF(UPPER(TRIM(Raw!E1653))=UPPER(I1653),I1653,""))</f>
        <v>Office</v>
      </c>
      <c r="K1653" s="1" t="str">
        <f>IF(Raw!F1653="","",Raw!F1653)</f>
        <v>sale</v>
      </c>
      <c r="L1653" s="1" t="str">
        <f>IF(LEFT(TRIM(Raw!G1653),2)="-$","-"&amp;MID(TRIM(Raw!G1653),3,99),IF(LEFT(TRIM(Raw!G1653),1)="$",MID(TRIM(Raw!G1653),2,99),TRIM(Raw!G1653)))</f>
        <v>42.03</v>
      </c>
      <c r="M1653" s="1">
        <f t="shared" si="203"/>
        <v>42.03</v>
      </c>
      <c r="N1653" s="10">
        <f t="shared" si="204"/>
        <v>4203</v>
      </c>
      <c r="O1653" s="1" t="b">
        <f>IFERROR(IF(ISNUMBER(Raw!G1653),TRUE,OR(EXACT(L1653,TEXT(M1653,"0.00")),EXACT(L1653,TEXT(M1653,"#,##0.00")))),FALSE)</f>
        <v>1</v>
      </c>
      <c r="P1653" s="1" t="str">
        <f>LEN(IF(Raw!A1653="","",Raw!A1653))&amp;":"&amp;IF(Raw!A1653="","",Raw!A1653)&amp;"|"&amp;LEN(IF(Raw!B1653="","",Raw!B1653))&amp;":"&amp;IF(Raw!B1653="","",Raw!B1653)&amp;"|"&amp;LEN(IF(Raw!C1653="","",Raw!C1653))&amp;":"&amp;IF(Raw!C1653="","",Raw!C1653)&amp;"|"&amp;LEN(IF(Raw!D1653="","",Raw!D1653))&amp;":"&amp;IF(Raw!D1653="","",Raw!D1653)&amp;"|"&amp;LEN(IF(Raw!E1653="","",Raw!E1653))&amp;":"&amp;IF(Raw!E1653="","",Raw!E1653)&amp;"|"&amp;LEN(IF(Raw!F1653="","",Raw!F1653))&amp;":"&amp;IF(Raw!F1653="","",Raw!F1653)&amp;"|"&amp;LEN(IF(Raw!G1653="","",Raw!G1653))&amp;":"&amp;IF(Raw!G1653="","",Raw!G1653)</f>
        <v>6:L01647|6:T00824|10:2026-01-02|3:P-O|6:Office|4:sale|5:42.03</v>
      </c>
      <c r="Q1653" s="1">
        <f>1</f>
        <v>1</v>
      </c>
      <c r="R1653" s="1" t="b">
        <f>FALSE</f>
        <v>0</v>
      </c>
      <c r="S1653" s="1">
        <f>1</f>
        <v>1</v>
      </c>
      <c r="T1653" s="1" t="str">
        <f>IF(AND(Raw!A1653="",Raw!B1653="",Raw!C1653="",Raw!D1653="",Raw!E1653="",Raw!F1653="",Raw!G1653=""),"UNUSED",IF(A1653="","missing line ID",IF(B1653="","missing transaction ID",IF(G1653="",IF(C1653="","missing date","invalid date"),IF(I1653="","unknown product",IF(J1653="","conflicting category",IF(NOT(OR(EXACT(K1653,"sale"),EXACT(K1653,"refund"))),"unknown event",IF(OR(N1653="",NOT(O1653)),"invalid amount",IF(OR(AND(K1653="sale",N1653&lt;=0),AND(K1653="refund",N1653&gt;=0)),"invalid sign","")))))))))</f>
        <v/>
      </c>
      <c r="U1653" s="1" t="str">
        <f t="shared" si="205"/>
        <v>INCLUDED</v>
      </c>
      <c r="V1653" s="1" t="str">
        <f t="shared" si="206"/>
        <v>2026-01</v>
      </c>
      <c r="W1653" s="1">
        <f>IF(AND(U1653="INCLUDED",X1653&gt;0,EXACT(A1653,'AI output'!A1653)),1,0)</f>
        <v>1</v>
      </c>
      <c r="X1653" s="1">
        <f>1653</f>
        <v>1653</v>
      </c>
      <c r="Y1653" s="1">
        <f>IF(AND(U1653="INCLUDED",W1653=1),--(NOT(EXACT(A1653,'AI output'!A1653)))+--(NOT(EXACT(B1653,'AI output'!B1653)))+--(NOT(EXACT(TEXT(G1653,"yyyy-mm-dd"),'AI output'!C1653)))+--(NOT(EXACT(H1653,'AI output'!D1653)))+--(NOT(EXACT(J1653,'AI output'!E1653)))+--(NOT(EXACT(K1653,'AI output'!F1653)))+--(N1653&lt;&gt;'AI output'!L1653)+--(NOT('AI output'!M1653)),0)</f>
        <v>0</v>
      </c>
      <c r="Z1653" s="1">
        <f t="shared" si="207"/>
        <v>0</v>
      </c>
      <c r="AA1653" s="1">
        <f>--EXACT(A1653,"L01647")</f>
        <v>1</v>
      </c>
    </row>
    <row r="1654" spans="1:27" ht="18.95" customHeight="1">
      <c r="A1654" s="1" t="str">
        <f>IF(Raw!A1654="","",Raw!A1654)</f>
        <v>L01648</v>
      </c>
      <c r="B1654" s="1" t="str">
        <f>IF(Raw!B1654="","",Raw!B1654)</f>
        <v>T00824</v>
      </c>
      <c r="C1654" s="1" t="str">
        <f>IF(Raw!C1654="","",Raw!C1654)</f>
        <v>2026-01-02</v>
      </c>
      <c r="D1654" s="1">
        <f t="shared" si="200"/>
        <v>2026</v>
      </c>
      <c r="E1654" s="1">
        <f>IFERROR(IF(AND(LEN(C1654)=10,MID(C1654,5,1)="-",MID(C1654,8,1)="-"),VALUE(MID(C1654,6,2)),IF(AND(LEN(C1654)=11,MID(C1654,3,1)="-",MID(C1654,7,1)="-"),MATCH(UPPER(MID(C1654,4,3)),Guide!$D$7:$D$18,0),0)),0)</f>
        <v>1</v>
      </c>
      <c r="F1654" s="1">
        <f t="shared" si="201"/>
        <v>2</v>
      </c>
      <c r="G1654" s="9">
        <f t="shared" si="202"/>
        <v>46024</v>
      </c>
      <c r="H1654" s="1" t="str">
        <f>IF(Raw!D1654="","",Raw!D1654)</f>
        <v>P-A</v>
      </c>
      <c r="I1654" s="1" t="str">
        <f>IFERROR(IF(EXACT(H1654,INDEX(Guide!$A$7:$A$9,MATCH(SUBSTITUTE(SUBSTITUTE(SUBSTITUTE(H1654,"~","~~"),"*","~*"),"?","~?"),Guide!$A$7:$A$9,0))),INDEX(Guide!$B$7:$B$9,MATCH(SUBSTITUTE(SUBSTITUTE(SUBSTITUTE(H1654,"~","~~"),"*","~*"),"?","~?"),Guide!$A$7:$A$9,0)),""),"")</f>
        <v>Accessories</v>
      </c>
      <c r="J1654" s="1" t="str">
        <f>IF(TRIM(Raw!E1654)="",I1654,IF(UPPER(TRIM(Raw!E1654))=UPPER(I1654),I1654,""))</f>
        <v>Accessories</v>
      </c>
      <c r="K1654" s="1" t="str">
        <f>IF(Raw!F1654="","",Raw!F1654)</f>
        <v>sale</v>
      </c>
      <c r="L1654" s="1" t="str">
        <f>IF(LEFT(TRIM(Raw!G1654),2)="-$","-"&amp;MID(TRIM(Raw!G1654),3,99),IF(LEFT(TRIM(Raw!G1654),1)="$",MID(TRIM(Raw!G1654),2,99),TRIM(Raw!G1654)))</f>
        <v>71.90</v>
      </c>
      <c r="M1654" s="1">
        <f t="shared" si="203"/>
        <v>71.900000000000006</v>
      </c>
      <c r="N1654" s="10">
        <f t="shared" si="204"/>
        <v>7190</v>
      </c>
      <c r="O1654" s="1" t="b">
        <f>IFERROR(IF(ISNUMBER(Raw!G1654),TRUE,OR(EXACT(L1654,TEXT(M1654,"0.00")),EXACT(L1654,TEXT(M1654,"#,##0.00")))),FALSE)</f>
        <v>1</v>
      </c>
      <c r="P1654" s="1" t="str">
        <f>LEN(IF(Raw!A1654="","",Raw!A1654))&amp;":"&amp;IF(Raw!A1654="","",Raw!A1654)&amp;"|"&amp;LEN(IF(Raw!B1654="","",Raw!B1654))&amp;":"&amp;IF(Raw!B1654="","",Raw!B1654)&amp;"|"&amp;LEN(IF(Raw!C1654="","",Raw!C1654))&amp;":"&amp;IF(Raw!C1654="","",Raw!C1654)&amp;"|"&amp;LEN(IF(Raw!D1654="","",Raw!D1654))&amp;":"&amp;IF(Raw!D1654="","",Raw!D1654)&amp;"|"&amp;LEN(IF(Raw!E1654="","",Raw!E1654))&amp;":"&amp;IF(Raw!E1654="","",Raw!E1654)&amp;"|"&amp;LEN(IF(Raw!F1654="","",Raw!F1654))&amp;":"&amp;IF(Raw!F1654="","",Raw!F1654)&amp;"|"&amp;LEN(IF(Raw!G1654="","",Raw!G1654))&amp;":"&amp;IF(Raw!G1654="","",Raw!G1654)</f>
        <v>6:L01648|6:T00824|10:2026-01-02|3:P-A|11:Accessories|4:sale|5:71.90</v>
      </c>
      <c r="Q1654" s="1">
        <f>1</f>
        <v>1</v>
      </c>
      <c r="R1654" s="1" t="b">
        <f>FALSE</f>
        <v>0</v>
      </c>
      <c r="S1654" s="1">
        <f>1</f>
        <v>1</v>
      </c>
      <c r="T1654" s="1" t="str">
        <f>IF(AND(Raw!A1654="",Raw!B1654="",Raw!C1654="",Raw!D1654="",Raw!E1654="",Raw!F1654="",Raw!G1654=""),"UNUSED",IF(A1654="","missing line ID",IF(B1654="","missing transaction ID",IF(G1654="",IF(C1654="","missing date","invalid date"),IF(I1654="","unknown product",IF(J1654="","conflicting category",IF(NOT(OR(EXACT(K1654,"sale"),EXACT(K1654,"refund"))),"unknown event",IF(OR(N1654="",NOT(O1654)),"invalid amount",IF(OR(AND(K1654="sale",N1654&lt;=0),AND(K1654="refund",N1654&gt;=0)),"invalid sign","")))))))))</f>
        <v/>
      </c>
      <c r="U1654" s="1" t="str">
        <f t="shared" si="205"/>
        <v>INCLUDED</v>
      </c>
      <c r="V1654" s="1" t="str">
        <f t="shared" si="206"/>
        <v>2026-01</v>
      </c>
      <c r="W1654" s="1">
        <f>IF(AND(U1654="INCLUDED",X1654&gt;0,EXACT(A1654,'AI output'!A1654)),1,0)</f>
        <v>1</v>
      </c>
      <c r="X1654" s="1">
        <f>1654</f>
        <v>1654</v>
      </c>
      <c r="Y1654" s="1">
        <f>IF(AND(U1654="INCLUDED",W1654=1),--(NOT(EXACT(A1654,'AI output'!A1654)))+--(NOT(EXACT(B1654,'AI output'!B1654)))+--(NOT(EXACT(TEXT(G1654,"yyyy-mm-dd"),'AI output'!C1654)))+--(NOT(EXACT(H1654,'AI output'!D1654)))+--(NOT(EXACT(J1654,'AI output'!E1654)))+--(NOT(EXACT(K1654,'AI output'!F1654)))+--(N1654&lt;&gt;'AI output'!L1654)+--(NOT('AI output'!M1654)),0)</f>
        <v>0</v>
      </c>
      <c r="Z1654" s="1">
        <f t="shared" si="207"/>
        <v>0</v>
      </c>
      <c r="AA1654" s="1">
        <f>--EXACT(A1654,"L01648")</f>
        <v>1</v>
      </c>
    </row>
    <row r="1655" spans="1:27" ht="18.95" customHeight="1">
      <c r="A1655" s="1" t="str">
        <f>IF(Raw!A1655="","",Raw!A1655)</f>
        <v>L01649</v>
      </c>
      <c r="B1655" s="1" t="str">
        <f>IF(Raw!B1655="","",Raw!B1655)</f>
        <v>T00825</v>
      </c>
      <c r="C1655" s="1" t="str">
        <f>IF(Raw!C1655="","",Raw!C1655)</f>
        <v>2026-01-09</v>
      </c>
      <c r="D1655" s="1">
        <f t="shared" si="200"/>
        <v>2026</v>
      </c>
      <c r="E1655" s="1">
        <f>IFERROR(IF(AND(LEN(C1655)=10,MID(C1655,5,1)="-",MID(C1655,8,1)="-"),VALUE(MID(C1655,6,2)),IF(AND(LEN(C1655)=11,MID(C1655,3,1)="-",MID(C1655,7,1)="-"),MATCH(UPPER(MID(C1655,4,3)),Guide!$D$7:$D$18,0),0)),0)</f>
        <v>1</v>
      </c>
      <c r="F1655" s="1">
        <f t="shared" si="201"/>
        <v>9</v>
      </c>
      <c r="G1655" s="9">
        <f t="shared" si="202"/>
        <v>46031</v>
      </c>
      <c r="H1655" s="1" t="str">
        <f>IF(Raw!D1655="","",Raw!D1655)</f>
        <v>P-H</v>
      </c>
      <c r="I1655" s="1" t="str">
        <f>IFERROR(IF(EXACT(H1655,INDEX(Guide!$A$7:$A$9,MATCH(SUBSTITUTE(SUBSTITUTE(SUBSTITUTE(H1655,"~","~~"),"*","~*"),"?","~?"),Guide!$A$7:$A$9,0))),INDEX(Guide!$B$7:$B$9,MATCH(SUBSTITUTE(SUBSTITUTE(SUBSTITUTE(H1655,"~","~~"),"*","~*"),"?","~?"),Guide!$A$7:$A$9,0)),""),"")</f>
        <v>Home</v>
      </c>
      <c r="J1655" s="1" t="str">
        <f>IF(TRIM(Raw!E1655)="",I1655,IF(UPPER(TRIM(Raw!E1655))=UPPER(I1655),I1655,""))</f>
        <v>Home</v>
      </c>
      <c r="K1655" s="1" t="str">
        <f>IF(Raw!F1655="","",Raw!F1655)</f>
        <v>sale</v>
      </c>
      <c r="L1655" s="1" t="str">
        <f>IF(LEFT(TRIM(Raw!G1655),2)="-$","-"&amp;MID(TRIM(Raw!G1655),3,99),IF(LEFT(TRIM(Raw!G1655),1)="$",MID(TRIM(Raw!G1655),2,99),TRIM(Raw!G1655)))</f>
        <v>29.50</v>
      </c>
      <c r="M1655" s="1">
        <f t="shared" si="203"/>
        <v>29.5</v>
      </c>
      <c r="N1655" s="10">
        <f t="shared" si="204"/>
        <v>2950</v>
      </c>
      <c r="O1655" s="1" t="b">
        <f>IFERROR(IF(ISNUMBER(Raw!G1655),TRUE,OR(EXACT(L1655,TEXT(M1655,"0.00")),EXACT(L1655,TEXT(M1655,"#,##0.00")))),FALSE)</f>
        <v>1</v>
      </c>
      <c r="P1655" s="1" t="str">
        <f>LEN(IF(Raw!A1655="","",Raw!A1655))&amp;":"&amp;IF(Raw!A1655="","",Raw!A1655)&amp;"|"&amp;LEN(IF(Raw!B1655="","",Raw!B1655))&amp;":"&amp;IF(Raw!B1655="","",Raw!B1655)&amp;"|"&amp;LEN(IF(Raw!C1655="","",Raw!C1655))&amp;":"&amp;IF(Raw!C1655="","",Raw!C1655)&amp;"|"&amp;LEN(IF(Raw!D1655="","",Raw!D1655))&amp;":"&amp;IF(Raw!D1655="","",Raw!D1655)&amp;"|"&amp;LEN(IF(Raw!E1655="","",Raw!E1655))&amp;":"&amp;IF(Raw!E1655="","",Raw!E1655)&amp;"|"&amp;LEN(IF(Raw!F1655="","",Raw!F1655))&amp;":"&amp;IF(Raw!F1655="","",Raw!F1655)&amp;"|"&amp;LEN(IF(Raw!G1655="","",Raw!G1655))&amp;":"&amp;IF(Raw!G1655="","",Raw!G1655)</f>
        <v>6:L01649|6:T00825|10:2026-01-09|3:P-H|4:Home|4:sale|5:29.50</v>
      </c>
      <c r="Q1655" s="1">
        <f>1</f>
        <v>1</v>
      </c>
      <c r="R1655" s="1" t="b">
        <f>FALSE</f>
        <v>0</v>
      </c>
      <c r="S1655" s="1">
        <f>1</f>
        <v>1</v>
      </c>
      <c r="T1655" s="1" t="str">
        <f>IF(AND(Raw!A1655="",Raw!B1655="",Raw!C1655="",Raw!D1655="",Raw!E1655="",Raw!F1655="",Raw!G1655=""),"UNUSED",IF(A1655="","missing line ID",IF(B1655="","missing transaction ID",IF(G1655="",IF(C1655="","missing date","invalid date"),IF(I1655="","unknown product",IF(J1655="","conflicting category",IF(NOT(OR(EXACT(K1655,"sale"),EXACT(K1655,"refund"))),"unknown event",IF(OR(N1655="",NOT(O1655)),"invalid amount",IF(OR(AND(K1655="sale",N1655&lt;=0),AND(K1655="refund",N1655&gt;=0)),"invalid sign","")))))))))</f>
        <v/>
      </c>
      <c r="U1655" s="1" t="str">
        <f t="shared" si="205"/>
        <v>INCLUDED</v>
      </c>
      <c r="V1655" s="1" t="str">
        <f t="shared" si="206"/>
        <v>2026-01</v>
      </c>
      <c r="W1655" s="1">
        <f>IF(AND(U1655="INCLUDED",X1655&gt;0,EXACT(A1655,'AI output'!A1655)),1,0)</f>
        <v>1</v>
      </c>
      <c r="X1655" s="1">
        <f>1655</f>
        <v>1655</v>
      </c>
      <c r="Y1655" s="1">
        <f>IF(AND(U1655="INCLUDED",W1655=1),--(NOT(EXACT(A1655,'AI output'!A1655)))+--(NOT(EXACT(B1655,'AI output'!B1655)))+--(NOT(EXACT(TEXT(G1655,"yyyy-mm-dd"),'AI output'!C1655)))+--(NOT(EXACT(H1655,'AI output'!D1655)))+--(NOT(EXACT(J1655,'AI output'!E1655)))+--(NOT(EXACT(K1655,'AI output'!F1655)))+--(N1655&lt;&gt;'AI output'!L1655)+--(NOT('AI output'!M1655)),0)</f>
        <v>0</v>
      </c>
      <c r="Z1655" s="1">
        <f t="shared" si="207"/>
        <v>0</v>
      </c>
      <c r="AA1655" s="1">
        <f>--EXACT(A1655,"L01649")</f>
        <v>1</v>
      </c>
    </row>
    <row r="1656" spans="1:27" ht="18.95" customHeight="1">
      <c r="A1656" s="1" t="str">
        <f>IF(Raw!A1656="","",Raw!A1656)</f>
        <v>L01650</v>
      </c>
      <c r="B1656" s="1" t="str">
        <f>IF(Raw!B1656="","",Raw!B1656)</f>
        <v>T00825</v>
      </c>
      <c r="C1656" s="1" t="str">
        <f>IF(Raw!C1656="","",Raw!C1656)</f>
        <v>2026-01-09</v>
      </c>
      <c r="D1656" s="1">
        <f t="shared" si="200"/>
        <v>2026</v>
      </c>
      <c r="E1656" s="1">
        <f>IFERROR(IF(AND(LEN(C1656)=10,MID(C1656,5,1)="-",MID(C1656,8,1)="-"),VALUE(MID(C1656,6,2)),IF(AND(LEN(C1656)=11,MID(C1656,3,1)="-",MID(C1656,7,1)="-"),MATCH(UPPER(MID(C1656,4,3)),Guide!$D$7:$D$18,0),0)),0)</f>
        <v>1</v>
      </c>
      <c r="F1656" s="1">
        <f t="shared" si="201"/>
        <v>9</v>
      </c>
      <c r="G1656" s="9">
        <f t="shared" si="202"/>
        <v>46031</v>
      </c>
      <c r="H1656" s="1" t="str">
        <f>IF(Raw!D1656="","",Raw!D1656)</f>
        <v>P-O</v>
      </c>
      <c r="I1656" s="1" t="str">
        <f>IFERROR(IF(EXACT(H1656,INDEX(Guide!$A$7:$A$9,MATCH(SUBSTITUTE(SUBSTITUTE(SUBSTITUTE(H1656,"~","~~"),"*","~*"),"?","~?"),Guide!$A$7:$A$9,0))),INDEX(Guide!$B$7:$B$9,MATCH(SUBSTITUTE(SUBSTITUTE(SUBSTITUTE(H1656,"~","~~"),"*","~*"),"?","~?"),Guide!$A$7:$A$9,0)),""),"")</f>
        <v>Office</v>
      </c>
      <c r="J1656" s="1" t="str">
        <f>IF(TRIM(Raw!E1656)="",I1656,IF(UPPER(TRIM(Raw!E1656))=UPPER(I1656),I1656,""))</f>
        <v>Office</v>
      </c>
      <c r="K1656" s="1" t="str">
        <f>IF(Raw!F1656="","",Raw!F1656)</f>
        <v>sale</v>
      </c>
      <c r="L1656" s="1" t="str">
        <f>IF(LEFT(TRIM(Raw!G1656),2)="-$","-"&amp;MID(TRIM(Raw!G1656),3,99),IF(LEFT(TRIM(Raw!G1656),1)="$",MID(TRIM(Raw!G1656),2,99),TRIM(Raw!G1656)))</f>
        <v>60.48</v>
      </c>
      <c r="M1656" s="1">
        <f t="shared" si="203"/>
        <v>60.48</v>
      </c>
      <c r="N1656" s="10">
        <f t="shared" si="204"/>
        <v>6048</v>
      </c>
      <c r="O1656" s="1" t="b">
        <f>IFERROR(IF(ISNUMBER(Raw!G1656),TRUE,OR(EXACT(L1656,TEXT(M1656,"0.00")),EXACT(L1656,TEXT(M1656,"#,##0.00")))),FALSE)</f>
        <v>1</v>
      </c>
      <c r="P1656" s="1" t="str">
        <f>LEN(IF(Raw!A1656="","",Raw!A1656))&amp;":"&amp;IF(Raw!A1656="","",Raw!A1656)&amp;"|"&amp;LEN(IF(Raw!B1656="","",Raw!B1656))&amp;":"&amp;IF(Raw!B1656="","",Raw!B1656)&amp;"|"&amp;LEN(IF(Raw!C1656="","",Raw!C1656))&amp;":"&amp;IF(Raw!C1656="","",Raw!C1656)&amp;"|"&amp;LEN(IF(Raw!D1656="","",Raw!D1656))&amp;":"&amp;IF(Raw!D1656="","",Raw!D1656)&amp;"|"&amp;LEN(IF(Raw!E1656="","",Raw!E1656))&amp;":"&amp;IF(Raw!E1656="","",Raw!E1656)&amp;"|"&amp;LEN(IF(Raw!F1656="","",Raw!F1656))&amp;":"&amp;IF(Raw!F1656="","",Raw!F1656)&amp;"|"&amp;LEN(IF(Raw!G1656="","",Raw!G1656))&amp;":"&amp;IF(Raw!G1656="","",Raw!G1656)</f>
        <v>6:L01650|6:T00825|10:2026-01-09|3:P-O|6:Office|4:sale|5:60.48</v>
      </c>
      <c r="Q1656" s="1">
        <f>1</f>
        <v>1</v>
      </c>
      <c r="R1656" s="1" t="b">
        <f>FALSE</f>
        <v>0</v>
      </c>
      <c r="S1656" s="1">
        <f>1</f>
        <v>1</v>
      </c>
      <c r="T1656" s="1" t="str">
        <f>IF(AND(Raw!A1656="",Raw!B1656="",Raw!C1656="",Raw!D1656="",Raw!E1656="",Raw!F1656="",Raw!G1656=""),"UNUSED",IF(A1656="","missing line ID",IF(B1656="","missing transaction ID",IF(G1656="",IF(C1656="","missing date","invalid date"),IF(I1656="","unknown product",IF(J1656="","conflicting category",IF(NOT(OR(EXACT(K1656,"sale"),EXACT(K1656,"refund"))),"unknown event",IF(OR(N1656="",NOT(O1656)),"invalid amount",IF(OR(AND(K1656="sale",N1656&lt;=0),AND(K1656="refund",N1656&gt;=0)),"invalid sign","")))))))))</f>
        <v/>
      </c>
      <c r="U1656" s="1" t="str">
        <f t="shared" si="205"/>
        <v>INCLUDED</v>
      </c>
      <c r="V1656" s="1" t="str">
        <f t="shared" si="206"/>
        <v>2026-01</v>
      </c>
      <c r="W1656" s="1">
        <f>IF(AND(U1656="INCLUDED",X1656&gt;0,EXACT(A1656,'AI output'!A1656)),1,0)</f>
        <v>1</v>
      </c>
      <c r="X1656" s="1">
        <f>1656</f>
        <v>1656</v>
      </c>
      <c r="Y1656" s="1">
        <f>IF(AND(U1656="INCLUDED",W1656=1),--(NOT(EXACT(A1656,'AI output'!A1656)))+--(NOT(EXACT(B1656,'AI output'!B1656)))+--(NOT(EXACT(TEXT(G1656,"yyyy-mm-dd"),'AI output'!C1656)))+--(NOT(EXACT(H1656,'AI output'!D1656)))+--(NOT(EXACT(J1656,'AI output'!E1656)))+--(NOT(EXACT(K1656,'AI output'!F1656)))+--(N1656&lt;&gt;'AI output'!L1656)+--(NOT('AI output'!M1656)),0)</f>
        <v>0</v>
      </c>
      <c r="Z1656" s="1">
        <f t="shared" si="207"/>
        <v>0</v>
      </c>
      <c r="AA1656" s="1">
        <f>--EXACT(A1656,"L01650")</f>
        <v>1</v>
      </c>
    </row>
    <row r="1657" spans="1:27" ht="18.95" customHeight="1">
      <c r="A1657" s="1" t="str">
        <f>IF(Raw!A1657="","",Raw!A1657)</f>
        <v>L01651</v>
      </c>
      <c r="B1657" s="1" t="str">
        <f>IF(Raw!B1657="","",Raw!B1657)</f>
        <v>T00826</v>
      </c>
      <c r="C1657" s="1" t="str">
        <f>IF(Raw!C1657="","",Raw!C1657)</f>
        <v>2026-01-16</v>
      </c>
      <c r="D1657" s="1">
        <f t="shared" si="200"/>
        <v>2026</v>
      </c>
      <c r="E1657" s="1">
        <f>IFERROR(IF(AND(LEN(C1657)=10,MID(C1657,5,1)="-",MID(C1657,8,1)="-"),VALUE(MID(C1657,6,2)),IF(AND(LEN(C1657)=11,MID(C1657,3,1)="-",MID(C1657,7,1)="-"),MATCH(UPPER(MID(C1657,4,3)),Guide!$D$7:$D$18,0),0)),0)</f>
        <v>1</v>
      </c>
      <c r="F1657" s="1">
        <f t="shared" si="201"/>
        <v>16</v>
      </c>
      <c r="G1657" s="9">
        <f t="shared" si="202"/>
        <v>46038</v>
      </c>
      <c r="H1657" s="1" t="str">
        <f>IF(Raw!D1657="","",Raw!D1657)</f>
        <v>P-A</v>
      </c>
      <c r="I1657" s="1" t="str">
        <f>IFERROR(IF(EXACT(H1657,INDEX(Guide!$A$7:$A$9,MATCH(SUBSTITUTE(SUBSTITUTE(SUBSTITUTE(H1657,"~","~~"),"*","~*"),"?","~?"),Guide!$A$7:$A$9,0))),INDEX(Guide!$B$7:$B$9,MATCH(SUBSTITUTE(SUBSTITUTE(SUBSTITUTE(H1657,"~","~~"),"*","~*"),"?","~?"),Guide!$A$7:$A$9,0)),""),"")</f>
        <v>Accessories</v>
      </c>
      <c r="J1657" s="1" t="str">
        <f>IF(TRIM(Raw!E1657)="",I1657,IF(UPPER(TRIM(Raw!E1657))=UPPER(I1657),I1657,""))</f>
        <v>Accessories</v>
      </c>
      <c r="K1657" s="1" t="str">
        <f>IF(Raw!F1657="","",Raw!F1657)</f>
        <v>sale</v>
      </c>
      <c r="L1657" s="1" t="str">
        <f>IF(LEFT(TRIM(Raw!G1657),2)="-$","-"&amp;MID(TRIM(Raw!G1657),3,99),IF(LEFT(TRIM(Raw!G1657),1)="$",MID(TRIM(Raw!G1657),2,99),TRIM(Raw!G1657)))</f>
        <v>15.49</v>
      </c>
      <c r="M1657" s="1">
        <f t="shared" si="203"/>
        <v>15.49</v>
      </c>
      <c r="N1657" s="10">
        <f t="shared" si="204"/>
        <v>1549</v>
      </c>
      <c r="O1657" s="1" t="b">
        <f>IFERROR(IF(ISNUMBER(Raw!G1657),TRUE,OR(EXACT(L1657,TEXT(M1657,"0.00")),EXACT(L1657,TEXT(M1657,"#,##0.00")))),FALSE)</f>
        <v>1</v>
      </c>
      <c r="P1657" s="1" t="str">
        <f>LEN(IF(Raw!A1657="","",Raw!A1657))&amp;":"&amp;IF(Raw!A1657="","",Raw!A1657)&amp;"|"&amp;LEN(IF(Raw!B1657="","",Raw!B1657))&amp;":"&amp;IF(Raw!B1657="","",Raw!B1657)&amp;"|"&amp;LEN(IF(Raw!C1657="","",Raw!C1657))&amp;":"&amp;IF(Raw!C1657="","",Raw!C1657)&amp;"|"&amp;LEN(IF(Raw!D1657="","",Raw!D1657))&amp;":"&amp;IF(Raw!D1657="","",Raw!D1657)&amp;"|"&amp;LEN(IF(Raw!E1657="","",Raw!E1657))&amp;":"&amp;IF(Raw!E1657="","",Raw!E1657)&amp;"|"&amp;LEN(IF(Raw!F1657="","",Raw!F1657))&amp;":"&amp;IF(Raw!F1657="","",Raw!F1657)&amp;"|"&amp;LEN(IF(Raw!G1657="","",Raw!G1657))&amp;":"&amp;IF(Raw!G1657="","",Raw!G1657)</f>
        <v>6:L01651|6:T00826|10:2026-01-16|3:P-A|11:Accessories|4:sale|5:15.49</v>
      </c>
      <c r="Q1657" s="1">
        <f>1</f>
        <v>1</v>
      </c>
      <c r="R1657" s="1" t="b">
        <f>FALSE</f>
        <v>0</v>
      </c>
      <c r="S1657" s="1">
        <f>1</f>
        <v>1</v>
      </c>
      <c r="T1657" s="1" t="str">
        <f>IF(AND(Raw!A1657="",Raw!B1657="",Raw!C1657="",Raw!D1657="",Raw!E1657="",Raw!F1657="",Raw!G1657=""),"UNUSED",IF(A1657="","missing line ID",IF(B1657="","missing transaction ID",IF(G1657="",IF(C1657="","missing date","invalid date"),IF(I1657="","unknown product",IF(J1657="","conflicting category",IF(NOT(OR(EXACT(K1657,"sale"),EXACT(K1657,"refund"))),"unknown event",IF(OR(N1657="",NOT(O1657)),"invalid amount",IF(OR(AND(K1657="sale",N1657&lt;=0),AND(K1657="refund",N1657&gt;=0)),"invalid sign","")))))))))</f>
        <v/>
      </c>
      <c r="U1657" s="1" t="str">
        <f t="shared" si="205"/>
        <v>INCLUDED</v>
      </c>
      <c r="V1657" s="1" t="str">
        <f t="shared" si="206"/>
        <v>2026-01</v>
      </c>
      <c r="W1657" s="1">
        <f>IF(AND(U1657="INCLUDED",X1657&gt;0,EXACT(A1657,'AI output'!A1657)),1,0)</f>
        <v>1</v>
      </c>
      <c r="X1657" s="1">
        <f>1657</f>
        <v>1657</v>
      </c>
      <c r="Y1657" s="1">
        <f>IF(AND(U1657="INCLUDED",W1657=1),--(NOT(EXACT(A1657,'AI output'!A1657)))+--(NOT(EXACT(B1657,'AI output'!B1657)))+--(NOT(EXACT(TEXT(G1657,"yyyy-mm-dd"),'AI output'!C1657)))+--(NOT(EXACT(H1657,'AI output'!D1657)))+--(NOT(EXACT(J1657,'AI output'!E1657)))+--(NOT(EXACT(K1657,'AI output'!F1657)))+--(N1657&lt;&gt;'AI output'!L1657)+--(NOT('AI output'!M1657)),0)</f>
        <v>0</v>
      </c>
      <c r="Z1657" s="1">
        <f t="shared" si="207"/>
        <v>0</v>
      </c>
      <c r="AA1657" s="1">
        <f>--EXACT(A1657,"L01651")</f>
        <v>1</v>
      </c>
    </row>
    <row r="1658" spans="1:27" ht="18.95" customHeight="1">
      <c r="A1658" s="1" t="str">
        <f>IF(Raw!A1658="","",Raw!A1658)</f>
        <v>L01652</v>
      </c>
      <c r="B1658" s="1" t="str">
        <f>IF(Raw!B1658="","",Raw!B1658)</f>
        <v>T00826</v>
      </c>
      <c r="C1658" s="1" t="str">
        <f>IF(Raw!C1658="","",Raw!C1658)</f>
        <v>2026-01-16</v>
      </c>
      <c r="D1658" s="1">
        <f t="shared" si="200"/>
        <v>2026</v>
      </c>
      <c r="E1658" s="1">
        <f>IFERROR(IF(AND(LEN(C1658)=10,MID(C1658,5,1)="-",MID(C1658,8,1)="-"),VALUE(MID(C1658,6,2)),IF(AND(LEN(C1658)=11,MID(C1658,3,1)="-",MID(C1658,7,1)="-"),MATCH(UPPER(MID(C1658,4,3)),Guide!$D$7:$D$18,0),0)),0)</f>
        <v>1</v>
      </c>
      <c r="F1658" s="1">
        <f t="shared" si="201"/>
        <v>16</v>
      </c>
      <c r="G1658" s="9">
        <f t="shared" si="202"/>
        <v>46038</v>
      </c>
      <c r="H1658" s="1" t="str">
        <f>IF(Raw!D1658="","",Raw!D1658)</f>
        <v>P-H</v>
      </c>
      <c r="I1658" s="1" t="str">
        <f>IFERROR(IF(EXACT(H1658,INDEX(Guide!$A$7:$A$9,MATCH(SUBSTITUTE(SUBSTITUTE(SUBSTITUTE(H1658,"~","~~"),"*","~*"),"?","~?"),Guide!$A$7:$A$9,0))),INDEX(Guide!$B$7:$B$9,MATCH(SUBSTITUTE(SUBSTITUTE(SUBSTITUTE(H1658,"~","~~"),"*","~*"),"?","~?"),Guide!$A$7:$A$9,0)),""),"")</f>
        <v>Home</v>
      </c>
      <c r="J1658" s="1" t="str">
        <f>IF(TRIM(Raw!E1658)="",I1658,IF(UPPER(TRIM(Raw!E1658))=UPPER(I1658),I1658,""))</f>
        <v>Home</v>
      </c>
      <c r="K1658" s="1" t="str">
        <f>IF(Raw!F1658="","",Raw!F1658)</f>
        <v>sale</v>
      </c>
      <c r="L1658" s="1" t="str">
        <f>IF(LEFT(TRIM(Raw!G1658),2)="-$","-"&amp;MID(TRIM(Raw!G1658),3,99),IF(LEFT(TRIM(Raw!G1658),1)="$",MID(TRIM(Raw!G1658),2,99),TRIM(Raw!G1658)))</f>
        <v>47.58</v>
      </c>
      <c r="M1658" s="1">
        <f t="shared" si="203"/>
        <v>47.58</v>
      </c>
      <c r="N1658" s="10">
        <f t="shared" si="204"/>
        <v>4758</v>
      </c>
      <c r="O1658" s="1" t="b">
        <f>IFERROR(IF(ISNUMBER(Raw!G1658),TRUE,OR(EXACT(L1658,TEXT(M1658,"0.00")),EXACT(L1658,TEXT(M1658,"#,##0.00")))),FALSE)</f>
        <v>1</v>
      </c>
      <c r="P1658" s="1" t="str">
        <f>LEN(IF(Raw!A1658="","",Raw!A1658))&amp;":"&amp;IF(Raw!A1658="","",Raw!A1658)&amp;"|"&amp;LEN(IF(Raw!B1658="","",Raw!B1658))&amp;":"&amp;IF(Raw!B1658="","",Raw!B1658)&amp;"|"&amp;LEN(IF(Raw!C1658="","",Raw!C1658))&amp;":"&amp;IF(Raw!C1658="","",Raw!C1658)&amp;"|"&amp;LEN(IF(Raw!D1658="","",Raw!D1658))&amp;":"&amp;IF(Raw!D1658="","",Raw!D1658)&amp;"|"&amp;LEN(IF(Raw!E1658="","",Raw!E1658))&amp;":"&amp;IF(Raw!E1658="","",Raw!E1658)&amp;"|"&amp;LEN(IF(Raw!F1658="","",Raw!F1658))&amp;":"&amp;IF(Raw!F1658="","",Raw!F1658)&amp;"|"&amp;LEN(IF(Raw!G1658="","",Raw!G1658))&amp;":"&amp;IF(Raw!G1658="","",Raw!G1658)</f>
        <v>6:L01652|6:T00826|10:2026-01-16|3:P-H|4:Home|4:sale|5:47.58</v>
      </c>
      <c r="Q1658" s="1">
        <f>1</f>
        <v>1</v>
      </c>
      <c r="R1658" s="1" t="b">
        <f>FALSE</f>
        <v>0</v>
      </c>
      <c r="S1658" s="1">
        <f>1</f>
        <v>1</v>
      </c>
      <c r="T1658" s="1" t="str">
        <f>IF(AND(Raw!A1658="",Raw!B1658="",Raw!C1658="",Raw!D1658="",Raw!E1658="",Raw!F1658="",Raw!G1658=""),"UNUSED",IF(A1658="","missing line ID",IF(B1658="","missing transaction ID",IF(G1658="",IF(C1658="","missing date","invalid date"),IF(I1658="","unknown product",IF(J1658="","conflicting category",IF(NOT(OR(EXACT(K1658,"sale"),EXACT(K1658,"refund"))),"unknown event",IF(OR(N1658="",NOT(O1658)),"invalid amount",IF(OR(AND(K1658="sale",N1658&lt;=0),AND(K1658="refund",N1658&gt;=0)),"invalid sign","")))))))))</f>
        <v/>
      </c>
      <c r="U1658" s="1" t="str">
        <f t="shared" si="205"/>
        <v>INCLUDED</v>
      </c>
      <c r="V1658" s="1" t="str">
        <f t="shared" si="206"/>
        <v>2026-01</v>
      </c>
      <c r="W1658" s="1">
        <f>IF(AND(U1658="INCLUDED",X1658&gt;0,EXACT(A1658,'AI output'!A1658)),1,0)</f>
        <v>1</v>
      </c>
      <c r="X1658" s="1">
        <f>1658</f>
        <v>1658</v>
      </c>
      <c r="Y1658" s="1">
        <f>IF(AND(U1658="INCLUDED",W1658=1),--(NOT(EXACT(A1658,'AI output'!A1658)))+--(NOT(EXACT(B1658,'AI output'!B1658)))+--(NOT(EXACT(TEXT(G1658,"yyyy-mm-dd"),'AI output'!C1658)))+--(NOT(EXACT(H1658,'AI output'!D1658)))+--(NOT(EXACT(J1658,'AI output'!E1658)))+--(NOT(EXACT(K1658,'AI output'!F1658)))+--(N1658&lt;&gt;'AI output'!L1658)+--(NOT('AI output'!M1658)),0)</f>
        <v>0</v>
      </c>
      <c r="Z1658" s="1">
        <f t="shared" si="207"/>
        <v>0</v>
      </c>
      <c r="AA1658" s="1">
        <f>--EXACT(A1658,"L01652")</f>
        <v>1</v>
      </c>
    </row>
    <row r="1659" spans="1:27" ht="18.95" customHeight="1">
      <c r="A1659" s="1" t="str">
        <f>IF(Raw!A1659="","",Raw!A1659)</f>
        <v>L01653</v>
      </c>
      <c r="B1659" s="1" t="str">
        <f>IF(Raw!B1659="","",Raw!B1659)</f>
        <v>T00827</v>
      </c>
      <c r="C1659" s="1" t="str">
        <f>IF(Raw!C1659="","",Raw!C1659)</f>
        <v>2026-01-23</v>
      </c>
      <c r="D1659" s="1">
        <f t="shared" si="200"/>
        <v>2026</v>
      </c>
      <c r="E1659" s="1">
        <f>IFERROR(IF(AND(LEN(C1659)=10,MID(C1659,5,1)="-",MID(C1659,8,1)="-"),VALUE(MID(C1659,6,2)),IF(AND(LEN(C1659)=11,MID(C1659,3,1)="-",MID(C1659,7,1)="-"),MATCH(UPPER(MID(C1659,4,3)),Guide!$D$7:$D$18,0),0)),0)</f>
        <v>1</v>
      </c>
      <c r="F1659" s="1">
        <f t="shared" si="201"/>
        <v>23</v>
      </c>
      <c r="G1659" s="9">
        <f t="shared" si="202"/>
        <v>46045</v>
      </c>
      <c r="H1659" s="1" t="str">
        <f>IF(Raw!D1659="","",Raw!D1659)</f>
        <v>P-O</v>
      </c>
      <c r="I1659" s="1" t="str">
        <f>IFERROR(IF(EXACT(H1659,INDEX(Guide!$A$7:$A$9,MATCH(SUBSTITUTE(SUBSTITUTE(SUBSTITUTE(H1659,"~","~~"),"*","~*"),"?","~?"),Guide!$A$7:$A$9,0))),INDEX(Guide!$B$7:$B$9,MATCH(SUBSTITUTE(SUBSTITUTE(SUBSTITUTE(H1659,"~","~~"),"*","~*"),"?","~?"),Guide!$A$7:$A$9,0)),""),"")</f>
        <v>Office</v>
      </c>
      <c r="J1659" s="1" t="str">
        <f>IF(TRIM(Raw!E1659)="",I1659,IF(UPPER(TRIM(Raw!E1659))=UPPER(I1659),I1659,""))</f>
        <v>Office</v>
      </c>
      <c r="K1659" s="1" t="str">
        <f>IF(Raw!F1659="","",Raw!F1659)</f>
        <v>sale</v>
      </c>
      <c r="L1659" s="1" t="str">
        <f>IF(LEFT(TRIM(Raw!G1659),2)="-$","-"&amp;MID(TRIM(Raw!G1659),3,99),IF(LEFT(TRIM(Raw!G1659),1)="$",MID(TRIM(Raw!G1659),2,99),TRIM(Raw!G1659)))</f>
        <v>81.15</v>
      </c>
      <c r="M1659" s="1">
        <f t="shared" si="203"/>
        <v>81.150000000000006</v>
      </c>
      <c r="N1659" s="10">
        <f t="shared" si="204"/>
        <v>8115</v>
      </c>
      <c r="O1659" s="1" t="b">
        <f>IFERROR(IF(ISNUMBER(Raw!G1659),TRUE,OR(EXACT(L1659,TEXT(M1659,"0.00")),EXACT(L1659,TEXT(M1659,"#,##0.00")))),FALSE)</f>
        <v>1</v>
      </c>
      <c r="P1659" s="1" t="str">
        <f>LEN(IF(Raw!A1659="","",Raw!A1659))&amp;":"&amp;IF(Raw!A1659="","",Raw!A1659)&amp;"|"&amp;LEN(IF(Raw!B1659="","",Raw!B1659))&amp;":"&amp;IF(Raw!B1659="","",Raw!B1659)&amp;"|"&amp;LEN(IF(Raw!C1659="","",Raw!C1659))&amp;":"&amp;IF(Raw!C1659="","",Raw!C1659)&amp;"|"&amp;LEN(IF(Raw!D1659="","",Raw!D1659))&amp;":"&amp;IF(Raw!D1659="","",Raw!D1659)&amp;"|"&amp;LEN(IF(Raw!E1659="","",Raw!E1659))&amp;":"&amp;IF(Raw!E1659="","",Raw!E1659)&amp;"|"&amp;LEN(IF(Raw!F1659="","",Raw!F1659))&amp;":"&amp;IF(Raw!F1659="","",Raw!F1659)&amp;"|"&amp;LEN(IF(Raw!G1659="","",Raw!G1659))&amp;":"&amp;IF(Raw!G1659="","",Raw!G1659)</f>
        <v>6:L01653|6:T00827|10:2026-01-23|3:P-O|6:Office|4:sale|5:81.15</v>
      </c>
      <c r="Q1659" s="1">
        <f>1</f>
        <v>1</v>
      </c>
      <c r="R1659" s="1" t="b">
        <f>FALSE</f>
        <v>0</v>
      </c>
      <c r="S1659" s="1">
        <f>1</f>
        <v>1</v>
      </c>
      <c r="T1659" s="1" t="str">
        <f>IF(AND(Raw!A1659="",Raw!B1659="",Raw!C1659="",Raw!D1659="",Raw!E1659="",Raw!F1659="",Raw!G1659=""),"UNUSED",IF(A1659="","missing line ID",IF(B1659="","missing transaction ID",IF(G1659="",IF(C1659="","missing date","invalid date"),IF(I1659="","unknown product",IF(J1659="","conflicting category",IF(NOT(OR(EXACT(K1659,"sale"),EXACT(K1659,"refund"))),"unknown event",IF(OR(N1659="",NOT(O1659)),"invalid amount",IF(OR(AND(K1659="sale",N1659&lt;=0),AND(K1659="refund",N1659&gt;=0)),"invalid sign","")))))))))</f>
        <v/>
      </c>
      <c r="U1659" s="1" t="str">
        <f t="shared" si="205"/>
        <v>INCLUDED</v>
      </c>
      <c r="V1659" s="1" t="str">
        <f t="shared" si="206"/>
        <v>2026-01</v>
      </c>
      <c r="W1659" s="1">
        <f>IF(AND(U1659="INCLUDED",X1659&gt;0,EXACT(A1659,'AI output'!A1659)),1,0)</f>
        <v>1</v>
      </c>
      <c r="X1659" s="1">
        <f>1659</f>
        <v>1659</v>
      </c>
      <c r="Y1659" s="1">
        <f>IF(AND(U1659="INCLUDED",W1659=1),--(NOT(EXACT(A1659,'AI output'!A1659)))+--(NOT(EXACT(B1659,'AI output'!B1659)))+--(NOT(EXACT(TEXT(G1659,"yyyy-mm-dd"),'AI output'!C1659)))+--(NOT(EXACT(H1659,'AI output'!D1659)))+--(NOT(EXACT(J1659,'AI output'!E1659)))+--(NOT(EXACT(K1659,'AI output'!F1659)))+--(N1659&lt;&gt;'AI output'!L1659)+--(NOT('AI output'!M1659)),0)</f>
        <v>0</v>
      </c>
      <c r="Z1659" s="1">
        <f t="shared" si="207"/>
        <v>0</v>
      </c>
      <c r="AA1659" s="1">
        <f>--EXACT(A1659,"L01653")</f>
        <v>1</v>
      </c>
    </row>
    <row r="1660" spans="1:27" ht="18.95" customHeight="1">
      <c r="A1660" s="1" t="str">
        <f>IF(Raw!A1660="","",Raw!A1660)</f>
        <v>L01654</v>
      </c>
      <c r="B1660" s="1" t="str">
        <f>IF(Raw!B1660="","",Raw!B1660)</f>
        <v>T00827</v>
      </c>
      <c r="C1660" s="1" t="str">
        <f>IF(Raw!C1660="","",Raw!C1660)</f>
        <v>2026-01-23</v>
      </c>
      <c r="D1660" s="1">
        <f t="shared" si="200"/>
        <v>2026</v>
      </c>
      <c r="E1660" s="1">
        <f>IFERROR(IF(AND(LEN(C1660)=10,MID(C1660,5,1)="-",MID(C1660,8,1)="-"),VALUE(MID(C1660,6,2)),IF(AND(LEN(C1660)=11,MID(C1660,3,1)="-",MID(C1660,7,1)="-"),MATCH(UPPER(MID(C1660,4,3)),Guide!$D$7:$D$18,0),0)),0)</f>
        <v>1</v>
      </c>
      <c r="F1660" s="1">
        <f t="shared" si="201"/>
        <v>23</v>
      </c>
      <c r="G1660" s="9">
        <f t="shared" si="202"/>
        <v>46045</v>
      </c>
      <c r="H1660" s="1" t="str">
        <f>IF(Raw!D1660="","",Raw!D1660)</f>
        <v>P-A</v>
      </c>
      <c r="I1660" s="1" t="str">
        <f>IFERROR(IF(EXACT(H1660,INDEX(Guide!$A$7:$A$9,MATCH(SUBSTITUTE(SUBSTITUTE(SUBSTITUTE(H1660,"~","~~"),"*","~*"),"?","~?"),Guide!$A$7:$A$9,0))),INDEX(Guide!$B$7:$B$9,MATCH(SUBSTITUTE(SUBSTITUTE(SUBSTITUTE(H1660,"~","~~"),"*","~*"),"?","~?"),Guide!$A$7:$A$9,0)),""),"")</f>
        <v>Accessories</v>
      </c>
      <c r="J1660" s="1" t="str">
        <f>IF(TRIM(Raw!E1660)="",I1660,IF(UPPER(TRIM(Raw!E1660))=UPPER(I1660),I1660,""))</f>
        <v>Accessories</v>
      </c>
      <c r="K1660" s="1" t="str">
        <f>IF(Raw!F1660="","",Raw!F1660)</f>
        <v>sale</v>
      </c>
      <c r="L1660" s="1" t="str">
        <f>IF(LEFT(TRIM(Raw!G1660),2)="-$","-"&amp;MID(TRIM(Raw!G1660),3,99),IF(LEFT(TRIM(Raw!G1660),1)="$",MID(TRIM(Raw!G1660),2,99),TRIM(Raw!G1660)))</f>
        <v>33.20</v>
      </c>
      <c r="M1660" s="1">
        <f t="shared" si="203"/>
        <v>33.200000000000003</v>
      </c>
      <c r="N1660" s="10">
        <f t="shared" si="204"/>
        <v>3320</v>
      </c>
      <c r="O1660" s="1" t="b">
        <f>IFERROR(IF(ISNUMBER(Raw!G1660),TRUE,OR(EXACT(L1660,TEXT(M1660,"0.00")),EXACT(L1660,TEXT(M1660,"#,##0.00")))),FALSE)</f>
        <v>1</v>
      </c>
      <c r="P1660" s="1" t="str">
        <f>LEN(IF(Raw!A1660="","",Raw!A1660))&amp;":"&amp;IF(Raw!A1660="","",Raw!A1660)&amp;"|"&amp;LEN(IF(Raw!B1660="","",Raw!B1660))&amp;":"&amp;IF(Raw!B1660="","",Raw!B1660)&amp;"|"&amp;LEN(IF(Raw!C1660="","",Raw!C1660))&amp;":"&amp;IF(Raw!C1660="","",Raw!C1660)&amp;"|"&amp;LEN(IF(Raw!D1660="","",Raw!D1660))&amp;":"&amp;IF(Raw!D1660="","",Raw!D1660)&amp;"|"&amp;LEN(IF(Raw!E1660="","",Raw!E1660))&amp;":"&amp;IF(Raw!E1660="","",Raw!E1660)&amp;"|"&amp;LEN(IF(Raw!F1660="","",Raw!F1660))&amp;":"&amp;IF(Raw!F1660="","",Raw!F1660)&amp;"|"&amp;LEN(IF(Raw!G1660="","",Raw!G1660))&amp;":"&amp;IF(Raw!G1660="","",Raw!G1660)</f>
        <v>6:L01654|6:T00827|10:2026-01-23|3:P-A|11:Accessories|4:sale|5:33.20</v>
      </c>
      <c r="Q1660" s="1">
        <f>1</f>
        <v>1</v>
      </c>
      <c r="R1660" s="1" t="b">
        <f>FALSE</f>
        <v>0</v>
      </c>
      <c r="S1660" s="1">
        <f>1</f>
        <v>1</v>
      </c>
      <c r="T1660" s="1" t="str">
        <f>IF(AND(Raw!A1660="",Raw!B1660="",Raw!C1660="",Raw!D1660="",Raw!E1660="",Raw!F1660="",Raw!G1660=""),"UNUSED",IF(A1660="","missing line ID",IF(B1660="","missing transaction ID",IF(G1660="",IF(C1660="","missing date","invalid date"),IF(I1660="","unknown product",IF(J1660="","conflicting category",IF(NOT(OR(EXACT(K1660,"sale"),EXACT(K1660,"refund"))),"unknown event",IF(OR(N1660="",NOT(O1660)),"invalid amount",IF(OR(AND(K1660="sale",N1660&lt;=0),AND(K1660="refund",N1660&gt;=0)),"invalid sign","")))))))))</f>
        <v/>
      </c>
      <c r="U1660" s="1" t="str">
        <f t="shared" si="205"/>
        <v>INCLUDED</v>
      </c>
      <c r="V1660" s="1" t="str">
        <f t="shared" si="206"/>
        <v>2026-01</v>
      </c>
      <c r="W1660" s="1">
        <f>IF(AND(U1660="INCLUDED",X1660&gt;0,EXACT(A1660,'AI output'!A1660)),1,0)</f>
        <v>1</v>
      </c>
      <c r="X1660" s="1">
        <f>1660</f>
        <v>1660</v>
      </c>
      <c r="Y1660" s="1">
        <f>IF(AND(U1660="INCLUDED",W1660=1),--(NOT(EXACT(A1660,'AI output'!A1660)))+--(NOT(EXACT(B1660,'AI output'!B1660)))+--(NOT(EXACT(TEXT(G1660,"yyyy-mm-dd"),'AI output'!C1660)))+--(NOT(EXACT(H1660,'AI output'!D1660)))+--(NOT(EXACT(J1660,'AI output'!E1660)))+--(NOT(EXACT(K1660,'AI output'!F1660)))+--(N1660&lt;&gt;'AI output'!L1660)+--(NOT('AI output'!M1660)),0)</f>
        <v>0</v>
      </c>
      <c r="Z1660" s="1">
        <f t="shared" si="207"/>
        <v>0</v>
      </c>
      <c r="AA1660" s="1">
        <f>--EXACT(A1660,"L01654")</f>
        <v>1</v>
      </c>
    </row>
    <row r="1661" spans="1:27" ht="18.95" customHeight="1">
      <c r="A1661" s="1" t="str">
        <f>IF(Raw!A1661="","",Raw!A1661)</f>
        <v>L01655</v>
      </c>
      <c r="B1661" s="1" t="str">
        <f>IF(Raw!B1661="","",Raw!B1661)</f>
        <v>T00828</v>
      </c>
      <c r="C1661" s="1" t="str">
        <f>IF(Raw!C1661="","",Raw!C1661)</f>
        <v>2026-01-30</v>
      </c>
      <c r="D1661" s="1">
        <f t="shared" si="200"/>
        <v>2026</v>
      </c>
      <c r="E1661" s="1">
        <f>IFERROR(IF(AND(LEN(C1661)=10,MID(C1661,5,1)="-",MID(C1661,8,1)="-"),VALUE(MID(C1661,6,2)),IF(AND(LEN(C1661)=11,MID(C1661,3,1)="-",MID(C1661,7,1)="-"),MATCH(UPPER(MID(C1661,4,3)),Guide!$D$7:$D$18,0),0)),0)</f>
        <v>1</v>
      </c>
      <c r="F1661" s="1">
        <f t="shared" si="201"/>
        <v>30</v>
      </c>
      <c r="G1661" s="9">
        <f t="shared" si="202"/>
        <v>46052</v>
      </c>
      <c r="H1661" s="1" t="str">
        <f>IF(Raw!D1661="","",Raw!D1661)</f>
        <v>P-H</v>
      </c>
      <c r="I1661" s="1" t="str">
        <f>IFERROR(IF(EXACT(H1661,INDEX(Guide!$A$7:$A$9,MATCH(SUBSTITUTE(SUBSTITUTE(SUBSTITUTE(H1661,"~","~~"),"*","~*"),"?","~?"),Guide!$A$7:$A$9,0))),INDEX(Guide!$B$7:$B$9,MATCH(SUBSTITUTE(SUBSTITUTE(SUBSTITUTE(H1661,"~","~~"),"*","~*"),"?","~?"),Guide!$A$7:$A$9,0)),""),"")</f>
        <v>Home</v>
      </c>
      <c r="J1661" s="1" t="str">
        <f>IF(TRIM(Raw!E1661)="",I1661,IF(UPPER(TRIM(Raw!E1661))=UPPER(I1661),I1661,""))</f>
        <v>Home</v>
      </c>
      <c r="K1661" s="1" t="str">
        <f>IF(Raw!F1661="","",Raw!F1661)</f>
        <v>sale</v>
      </c>
      <c r="L1661" s="1" t="str">
        <f>IF(LEFT(TRIM(Raw!G1661),2)="-$","-"&amp;MID(TRIM(Raw!G1661),3,99),IF(LEFT(TRIM(Raw!G1661),1)="$",MID(TRIM(Raw!G1661),2,99),TRIM(Raw!G1661)))</f>
        <v>67.88</v>
      </c>
      <c r="M1661" s="1">
        <f t="shared" si="203"/>
        <v>67.88</v>
      </c>
      <c r="N1661" s="10">
        <f t="shared" si="204"/>
        <v>6788</v>
      </c>
      <c r="O1661" s="1" t="b">
        <f>IFERROR(IF(ISNUMBER(Raw!G1661),TRUE,OR(EXACT(L1661,TEXT(M1661,"0.00")),EXACT(L1661,TEXT(M1661,"#,##0.00")))),FALSE)</f>
        <v>1</v>
      </c>
      <c r="P1661" s="1" t="str">
        <f>LEN(IF(Raw!A1661="","",Raw!A1661))&amp;":"&amp;IF(Raw!A1661="","",Raw!A1661)&amp;"|"&amp;LEN(IF(Raw!B1661="","",Raw!B1661))&amp;":"&amp;IF(Raw!B1661="","",Raw!B1661)&amp;"|"&amp;LEN(IF(Raw!C1661="","",Raw!C1661))&amp;":"&amp;IF(Raw!C1661="","",Raw!C1661)&amp;"|"&amp;LEN(IF(Raw!D1661="","",Raw!D1661))&amp;":"&amp;IF(Raw!D1661="","",Raw!D1661)&amp;"|"&amp;LEN(IF(Raw!E1661="","",Raw!E1661))&amp;":"&amp;IF(Raw!E1661="","",Raw!E1661)&amp;"|"&amp;LEN(IF(Raw!F1661="","",Raw!F1661))&amp;":"&amp;IF(Raw!F1661="","",Raw!F1661)&amp;"|"&amp;LEN(IF(Raw!G1661="","",Raw!G1661))&amp;":"&amp;IF(Raw!G1661="","",Raw!G1661)</f>
        <v>6:L01655|6:T00828|10:2026-01-30|3:P-H|4:Home|4:sale|5:67.88</v>
      </c>
      <c r="Q1661" s="1">
        <f>1</f>
        <v>1</v>
      </c>
      <c r="R1661" s="1" t="b">
        <f>FALSE</f>
        <v>0</v>
      </c>
      <c r="S1661" s="1">
        <f>1</f>
        <v>1</v>
      </c>
      <c r="T1661" s="1" t="str">
        <f>IF(AND(Raw!A1661="",Raw!B1661="",Raw!C1661="",Raw!D1661="",Raw!E1661="",Raw!F1661="",Raw!G1661=""),"UNUSED",IF(A1661="","missing line ID",IF(B1661="","missing transaction ID",IF(G1661="",IF(C1661="","missing date","invalid date"),IF(I1661="","unknown product",IF(J1661="","conflicting category",IF(NOT(OR(EXACT(K1661,"sale"),EXACT(K1661,"refund"))),"unknown event",IF(OR(N1661="",NOT(O1661)),"invalid amount",IF(OR(AND(K1661="sale",N1661&lt;=0),AND(K1661="refund",N1661&gt;=0)),"invalid sign","")))))))))</f>
        <v/>
      </c>
      <c r="U1661" s="1" t="str">
        <f t="shared" si="205"/>
        <v>INCLUDED</v>
      </c>
      <c r="V1661" s="1" t="str">
        <f t="shared" si="206"/>
        <v>2026-01</v>
      </c>
      <c r="W1661" s="1">
        <f>IF(AND(U1661="INCLUDED",X1661&gt;0,EXACT(A1661,'AI output'!A1661)),1,0)</f>
        <v>1</v>
      </c>
      <c r="X1661" s="1">
        <f>1661</f>
        <v>1661</v>
      </c>
      <c r="Y1661" s="1">
        <f>IF(AND(U1661="INCLUDED",W1661=1),--(NOT(EXACT(A1661,'AI output'!A1661)))+--(NOT(EXACT(B1661,'AI output'!B1661)))+--(NOT(EXACT(TEXT(G1661,"yyyy-mm-dd"),'AI output'!C1661)))+--(NOT(EXACT(H1661,'AI output'!D1661)))+--(NOT(EXACT(J1661,'AI output'!E1661)))+--(NOT(EXACT(K1661,'AI output'!F1661)))+--(N1661&lt;&gt;'AI output'!L1661)+--(NOT('AI output'!M1661)),0)</f>
        <v>0</v>
      </c>
      <c r="Z1661" s="1">
        <f t="shared" si="207"/>
        <v>0</v>
      </c>
      <c r="AA1661" s="1">
        <f>--EXACT(A1661,"L01655")</f>
        <v>1</v>
      </c>
    </row>
    <row r="1662" spans="1:27" ht="18.95" customHeight="1">
      <c r="A1662" s="1" t="str">
        <f>IF(Raw!A1662="","",Raw!A1662)</f>
        <v>L01656</v>
      </c>
      <c r="B1662" s="1" t="str">
        <f>IF(Raw!B1662="","",Raw!B1662)</f>
        <v>T00828</v>
      </c>
      <c r="C1662" s="1" t="str">
        <f>IF(Raw!C1662="","",Raw!C1662)</f>
        <v>2026-01-30</v>
      </c>
      <c r="D1662" s="1">
        <f t="shared" si="200"/>
        <v>2026</v>
      </c>
      <c r="E1662" s="1">
        <f>IFERROR(IF(AND(LEN(C1662)=10,MID(C1662,5,1)="-",MID(C1662,8,1)="-"),VALUE(MID(C1662,6,2)),IF(AND(LEN(C1662)=11,MID(C1662,3,1)="-",MID(C1662,7,1)="-"),MATCH(UPPER(MID(C1662,4,3)),Guide!$D$7:$D$18,0),0)),0)</f>
        <v>1</v>
      </c>
      <c r="F1662" s="1">
        <f t="shared" si="201"/>
        <v>30</v>
      </c>
      <c r="G1662" s="9">
        <f t="shared" si="202"/>
        <v>46052</v>
      </c>
      <c r="H1662" s="1" t="str">
        <f>IF(Raw!D1662="","",Raw!D1662)</f>
        <v>P-O</v>
      </c>
      <c r="I1662" s="1" t="str">
        <f>IFERROR(IF(EXACT(H1662,INDEX(Guide!$A$7:$A$9,MATCH(SUBSTITUTE(SUBSTITUTE(SUBSTITUTE(H1662,"~","~~"),"*","~*"),"?","~?"),Guide!$A$7:$A$9,0))),INDEX(Guide!$B$7:$B$9,MATCH(SUBSTITUTE(SUBSTITUTE(SUBSTITUTE(H1662,"~","~~"),"*","~*"),"?","~?"),Guide!$A$7:$A$9,0)),""),"")</f>
        <v>Office</v>
      </c>
      <c r="J1662" s="1" t="str">
        <f>IF(TRIM(Raw!E1662)="",I1662,IF(UPPER(TRIM(Raw!E1662))=UPPER(I1662),I1662,""))</f>
        <v>Office</v>
      </c>
      <c r="K1662" s="1" t="str">
        <f>IF(Raw!F1662="","",Raw!F1662)</f>
        <v>sale</v>
      </c>
      <c r="L1662" s="1" t="str">
        <f>IF(LEFT(TRIM(Raw!G1662),2)="-$","-"&amp;MID(TRIM(Raw!G1662),3,99),IF(LEFT(TRIM(Raw!G1662),1)="$",MID(TRIM(Raw!G1662),2,99),TRIM(Raw!G1662)))</f>
        <v>17.34</v>
      </c>
      <c r="M1662" s="1">
        <f t="shared" si="203"/>
        <v>17.34</v>
      </c>
      <c r="N1662" s="10">
        <f t="shared" si="204"/>
        <v>1734</v>
      </c>
      <c r="O1662" s="1" t="b">
        <f>IFERROR(IF(ISNUMBER(Raw!G1662),TRUE,OR(EXACT(L1662,TEXT(M1662,"0.00")),EXACT(L1662,TEXT(M1662,"#,##0.00")))),FALSE)</f>
        <v>1</v>
      </c>
      <c r="P1662" s="1" t="str">
        <f>LEN(IF(Raw!A1662="","",Raw!A1662))&amp;":"&amp;IF(Raw!A1662="","",Raw!A1662)&amp;"|"&amp;LEN(IF(Raw!B1662="","",Raw!B1662))&amp;":"&amp;IF(Raw!B1662="","",Raw!B1662)&amp;"|"&amp;LEN(IF(Raw!C1662="","",Raw!C1662))&amp;":"&amp;IF(Raw!C1662="","",Raw!C1662)&amp;"|"&amp;LEN(IF(Raw!D1662="","",Raw!D1662))&amp;":"&amp;IF(Raw!D1662="","",Raw!D1662)&amp;"|"&amp;LEN(IF(Raw!E1662="","",Raw!E1662))&amp;":"&amp;IF(Raw!E1662="","",Raw!E1662)&amp;"|"&amp;LEN(IF(Raw!F1662="","",Raw!F1662))&amp;":"&amp;IF(Raw!F1662="","",Raw!F1662)&amp;"|"&amp;LEN(IF(Raw!G1662="","",Raw!G1662))&amp;":"&amp;IF(Raw!G1662="","",Raw!G1662)</f>
        <v>6:L01656|6:T00828|10:2026-01-30|3:P-O|6:Office|4:sale|5:17.34</v>
      </c>
      <c r="Q1662" s="1">
        <f>1</f>
        <v>1</v>
      </c>
      <c r="R1662" s="1" t="b">
        <f>FALSE</f>
        <v>0</v>
      </c>
      <c r="S1662" s="1">
        <f>1</f>
        <v>1</v>
      </c>
      <c r="T1662" s="1" t="str">
        <f>IF(AND(Raw!A1662="",Raw!B1662="",Raw!C1662="",Raw!D1662="",Raw!E1662="",Raw!F1662="",Raw!G1662=""),"UNUSED",IF(A1662="","missing line ID",IF(B1662="","missing transaction ID",IF(G1662="",IF(C1662="","missing date","invalid date"),IF(I1662="","unknown product",IF(J1662="","conflicting category",IF(NOT(OR(EXACT(K1662,"sale"),EXACT(K1662,"refund"))),"unknown event",IF(OR(N1662="",NOT(O1662)),"invalid amount",IF(OR(AND(K1662="sale",N1662&lt;=0),AND(K1662="refund",N1662&gt;=0)),"invalid sign","")))))))))</f>
        <v/>
      </c>
      <c r="U1662" s="1" t="str">
        <f t="shared" si="205"/>
        <v>INCLUDED</v>
      </c>
      <c r="V1662" s="1" t="str">
        <f t="shared" si="206"/>
        <v>2026-01</v>
      </c>
      <c r="W1662" s="1">
        <f>IF(AND(U1662="INCLUDED",X1662&gt;0,EXACT(A1662,'AI output'!A1662)),1,0)</f>
        <v>1</v>
      </c>
      <c r="X1662" s="1">
        <f>1662</f>
        <v>1662</v>
      </c>
      <c r="Y1662" s="1">
        <f>IF(AND(U1662="INCLUDED",W1662=1),--(NOT(EXACT(A1662,'AI output'!A1662)))+--(NOT(EXACT(B1662,'AI output'!B1662)))+--(NOT(EXACT(TEXT(G1662,"yyyy-mm-dd"),'AI output'!C1662)))+--(NOT(EXACT(H1662,'AI output'!D1662)))+--(NOT(EXACT(J1662,'AI output'!E1662)))+--(NOT(EXACT(K1662,'AI output'!F1662)))+--(N1662&lt;&gt;'AI output'!L1662)+--(NOT('AI output'!M1662)),0)</f>
        <v>0</v>
      </c>
      <c r="Z1662" s="1">
        <f t="shared" si="207"/>
        <v>0</v>
      </c>
      <c r="AA1662" s="1">
        <f>--EXACT(A1662,"L01656")</f>
        <v>1</v>
      </c>
    </row>
    <row r="1663" spans="1:27" ht="18.95" customHeight="1">
      <c r="A1663" s="1" t="str">
        <f>IF(Raw!A1663="","",Raw!A1663)</f>
        <v>L01657</v>
      </c>
      <c r="B1663" s="1" t="str">
        <f>IF(Raw!B1663="","",Raw!B1663)</f>
        <v>T00829</v>
      </c>
      <c r="C1663" s="1" t="str">
        <f>IF(Raw!C1663="","",Raw!C1663)</f>
        <v>2026-02-06</v>
      </c>
      <c r="D1663" s="1">
        <f t="shared" si="200"/>
        <v>2026</v>
      </c>
      <c r="E1663" s="1">
        <f>IFERROR(IF(AND(LEN(C1663)=10,MID(C1663,5,1)="-",MID(C1663,8,1)="-"),VALUE(MID(C1663,6,2)),IF(AND(LEN(C1663)=11,MID(C1663,3,1)="-",MID(C1663,7,1)="-"),MATCH(UPPER(MID(C1663,4,3)),Guide!$D$7:$D$18,0),0)),0)</f>
        <v>2</v>
      </c>
      <c r="F1663" s="1">
        <f t="shared" si="201"/>
        <v>6</v>
      </c>
      <c r="G1663" s="9">
        <f t="shared" si="202"/>
        <v>46059</v>
      </c>
      <c r="H1663" s="1" t="str">
        <f>IF(Raw!D1663="","",Raw!D1663)</f>
        <v>P-A</v>
      </c>
      <c r="I1663" s="1" t="str">
        <f>IFERROR(IF(EXACT(H1663,INDEX(Guide!$A$7:$A$9,MATCH(SUBSTITUTE(SUBSTITUTE(SUBSTITUTE(H1663,"~","~~"),"*","~*"),"?","~?"),Guide!$A$7:$A$9,0))),INDEX(Guide!$B$7:$B$9,MATCH(SUBSTITUTE(SUBSTITUTE(SUBSTITUTE(H1663,"~","~~"),"*","~*"),"?","~?"),Guide!$A$7:$A$9,0)),""),"")</f>
        <v>Accessories</v>
      </c>
      <c r="J1663" s="1" t="str">
        <f>IF(TRIM(Raw!E1663)="",I1663,IF(UPPER(TRIM(Raw!E1663))=UPPER(I1663),I1663,""))</f>
        <v>Accessories</v>
      </c>
      <c r="K1663" s="1" t="str">
        <f>IF(Raw!F1663="","",Raw!F1663)</f>
        <v>refund</v>
      </c>
      <c r="L1663" s="1" t="str">
        <f>IF(LEFT(TRIM(Raw!G1663),2)="-$","-"&amp;MID(TRIM(Raw!G1663),3,99),IF(LEFT(TRIM(Raw!G1663),1)="$",MID(TRIM(Raw!G1663),2,99),TRIM(Raw!G1663)))</f>
        <v>-53.13</v>
      </c>
      <c r="M1663" s="1">
        <f t="shared" si="203"/>
        <v>-53.13</v>
      </c>
      <c r="N1663" s="10">
        <f t="shared" si="204"/>
        <v>-5313</v>
      </c>
      <c r="O1663" s="1" t="b">
        <f>IFERROR(IF(ISNUMBER(Raw!G1663),TRUE,OR(EXACT(L1663,TEXT(M1663,"0.00")),EXACT(L1663,TEXT(M1663,"#,##0.00")))),FALSE)</f>
        <v>1</v>
      </c>
      <c r="P1663" s="1" t="str">
        <f>LEN(IF(Raw!A1663="","",Raw!A1663))&amp;":"&amp;IF(Raw!A1663="","",Raw!A1663)&amp;"|"&amp;LEN(IF(Raw!B1663="","",Raw!B1663))&amp;":"&amp;IF(Raw!B1663="","",Raw!B1663)&amp;"|"&amp;LEN(IF(Raw!C1663="","",Raw!C1663))&amp;":"&amp;IF(Raw!C1663="","",Raw!C1663)&amp;"|"&amp;LEN(IF(Raw!D1663="","",Raw!D1663))&amp;":"&amp;IF(Raw!D1663="","",Raw!D1663)&amp;"|"&amp;LEN(IF(Raw!E1663="","",Raw!E1663))&amp;":"&amp;IF(Raw!E1663="","",Raw!E1663)&amp;"|"&amp;LEN(IF(Raw!F1663="","",Raw!F1663))&amp;":"&amp;IF(Raw!F1663="","",Raw!F1663)&amp;"|"&amp;LEN(IF(Raw!G1663="","",Raw!G1663))&amp;":"&amp;IF(Raw!G1663="","",Raw!G1663)</f>
        <v>6:L01657|6:T00829|10:2026-02-06|3:P-A|11:Accessories|6:refund|6:-53.13</v>
      </c>
      <c r="Q1663" s="1">
        <f>1</f>
        <v>1</v>
      </c>
      <c r="R1663" s="1" t="b">
        <f>FALSE</f>
        <v>0</v>
      </c>
      <c r="S1663" s="1">
        <f>1</f>
        <v>1</v>
      </c>
      <c r="T1663" s="1" t="str">
        <f>IF(AND(Raw!A1663="",Raw!B1663="",Raw!C1663="",Raw!D1663="",Raw!E1663="",Raw!F1663="",Raw!G1663=""),"UNUSED",IF(A1663="","missing line ID",IF(B1663="","missing transaction ID",IF(G1663="",IF(C1663="","missing date","invalid date"),IF(I1663="","unknown product",IF(J1663="","conflicting category",IF(NOT(OR(EXACT(K1663,"sale"),EXACT(K1663,"refund"))),"unknown event",IF(OR(N1663="",NOT(O1663)),"invalid amount",IF(OR(AND(K1663="sale",N1663&lt;=0),AND(K1663="refund",N1663&gt;=0)),"invalid sign","")))))))))</f>
        <v/>
      </c>
      <c r="U1663" s="1" t="str">
        <f t="shared" si="205"/>
        <v>INCLUDED</v>
      </c>
      <c r="V1663" s="1" t="str">
        <f t="shared" si="206"/>
        <v>2026-02</v>
      </c>
      <c r="W1663" s="1">
        <f>IF(AND(U1663="INCLUDED",X1663&gt;0,EXACT(A1663,'AI output'!A1663)),1,0)</f>
        <v>1</v>
      </c>
      <c r="X1663" s="1">
        <f>1663</f>
        <v>1663</v>
      </c>
      <c r="Y1663" s="1">
        <f>IF(AND(U1663="INCLUDED",W1663=1),--(NOT(EXACT(A1663,'AI output'!A1663)))+--(NOT(EXACT(B1663,'AI output'!B1663)))+--(NOT(EXACT(TEXT(G1663,"yyyy-mm-dd"),'AI output'!C1663)))+--(NOT(EXACT(H1663,'AI output'!D1663)))+--(NOT(EXACT(J1663,'AI output'!E1663)))+--(NOT(EXACT(K1663,'AI output'!F1663)))+--(N1663&lt;&gt;'AI output'!L1663)+--(NOT('AI output'!M1663)),0)</f>
        <v>0</v>
      </c>
      <c r="Z1663" s="1">
        <f t="shared" si="207"/>
        <v>0</v>
      </c>
      <c r="AA1663" s="1">
        <f>--EXACT(A1663,"L01657")</f>
        <v>1</v>
      </c>
    </row>
    <row r="1664" spans="1:27" ht="18.95" customHeight="1">
      <c r="A1664" s="1" t="str">
        <f>IF(Raw!A1664="","",Raw!A1664)</f>
        <v>L01658</v>
      </c>
      <c r="B1664" s="1" t="str">
        <f>IF(Raw!B1664="","",Raw!B1664)</f>
        <v>T00829</v>
      </c>
      <c r="C1664" s="1" t="str">
        <f>IF(Raw!C1664="","",Raw!C1664)</f>
        <v>2026-02-06</v>
      </c>
      <c r="D1664" s="1">
        <f t="shared" si="200"/>
        <v>2026</v>
      </c>
      <c r="E1664" s="1">
        <f>IFERROR(IF(AND(LEN(C1664)=10,MID(C1664,5,1)="-",MID(C1664,8,1)="-"),VALUE(MID(C1664,6,2)),IF(AND(LEN(C1664)=11,MID(C1664,3,1)="-",MID(C1664,7,1)="-"),MATCH(UPPER(MID(C1664,4,3)),Guide!$D$7:$D$18,0),0)),0)</f>
        <v>2</v>
      </c>
      <c r="F1664" s="1">
        <f t="shared" si="201"/>
        <v>6</v>
      </c>
      <c r="G1664" s="9">
        <f t="shared" si="202"/>
        <v>46059</v>
      </c>
      <c r="H1664" s="1" t="str">
        <f>IF(Raw!D1664="","",Raw!D1664)</f>
        <v>P-H</v>
      </c>
      <c r="I1664" s="1" t="str">
        <f>IFERROR(IF(EXACT(H1664,INDEX(Guide!$A$7:$A$9,MATCH(SUBSTITUTE(SUBSTITUTE(SUBSTITUTE(H1664,"~","~~"),"*","~*"),"?","~?"),Guide!$A$7:$A$9,0))),INDEX(Guide!$B$7:$B$9,MATCH(SUBSTITUTE(SUBSTITUTE(SUBSTITUTE(H1664,"~","~~"),"*","~*"),"?","~?"),Guide!$A$7:$A$9,0)),""),"")</f>
        <v>Home</v>
      </c>
      <c r="J1664" s="1" t="str">
        <f>IF(TRIM(Raw!E1664)="",I1664,IF(UPPER(TRIM(Raw!E1664))=UPPER(I1664),I1664,""))</f>
        <v>Home</v>
      </c>
      <c r="K1664" s="1" t="str">
        <f>IF(Raw!F1664="","",Raw!F1664)</f>
        <v>sale</v>
      </c>
      <c r="L1664" s="1" t="str">
        <f>IF(LEFT(TRIM(Raw!G1664),2)="-$","-"&amp;MID(TRIM(Raw!G1664),3,99),IF(LEFT(TRIM(Raw!G1664),1)="$",MID(TRIM(Raw!G1664),2,99),TRIM(Raw!G1664)))</f>
        <v>90.40</v>
      </c>
      <c r="M1664" s="1">
        <f t="shared" si="203"/>
        <v>90.4</v>
      </c>
      <c r="N1664" s="10">
        <f t="shared" si="204"/>
        <v>9040</v>
      </c>
      <c r="O1664" s="1" t="b">
        <f>IFERROR(IF(ISNUMBER(Raw!G1664),TRUE,OR(EXACT(L1664,TEXT(M1664,"0.00")),EXACT(L1664,TEXT(M1664,"#,##0.00")))),FALSE)</f>
        <v>1</v>
      </c>
      <c r="P1664" s="1" t="str">
        <f>LEN(IF(Raw!A1664="","",Raw!A1664))&amp;":"&amp;IF(Raw!A1664="","",Raw!A1664)&amp;"|"&amp;LEN(IF(Raw!B1664="","",Raw!B1664))&amp;":"&amp;IF(Raw!B1664="","",Raw!B1664)&amp;"|"&amp;LEN(IF(Raw!C1664="","",Raw!C1664))&amp;":"&amp;IF(Raw!C1664="","",Raw!C1664)&amp;"|"&amp;LEN(IF(Raw!D1664="","",Raw!D1664))&amp;":"&amp;IF(Raw!D1664="","",Raw!D1664)&amp;"|"&amp;LEN(IF(Raw!E1664="","",Raw!E1664))&amp;":"&amp;IF(Raw!E1664="","",Raw!E1664)&amp;"|"&amp;LEN(IF(Raw!F1664="","",Raw!F1664))&amp;":"&amp;IF(Raw!F1664="","",Raw!F1664)&amp;"|"&amp;LEN(IF(Raw!G1664="","",Raw!G1664))&amp;":"&amp;IF(Raw!G1664="","",Raw!G1664)</f>
        <v>6:L01658|6:T00829|10:2026-02-06|3:P-H|4:Home|4:sale|5:90.40</v>
      </c>
      <c r="Q1664" s="1">
        <f>1</f>
        <v>1</v>
      </c>
      <c r="R1664" s="1" t="b">
        <f>FALSE</f>
        <v>0</v>
      </c>
      <c r="S1664" s="1">
        <f>1</f>
        <v>1</v>
      </c>
      <c r="T1664" s="1" t="str">
        <f>IF(AND(Raw!A1664="",Raw!B1664="",Raw!C1664="",Raw!D1664="",Raw!E1664="",Raw!F1664="",Raw!G1664=""),"UNUSED",IF(A1664="","missing line ID",IF(B1664="","missing transaction ID",IF(G1664="",IF(C1664="","missing date","invalid date"),IF(I1664="","unknown product",IF(J1664="","conflicting category",IF(NOT(OR(EXACT(K1664,"sale"),EXACT(K1664,"refund"))),"unknown event",IF(OR(N1664="",NOT(O1664)),"invalid amount",IF(OR(AND(K1664="sale",N1664&lt;=0),AND(K1664="refund",N1664&gt;=0)),"invalid sign","")))))))))</f>
        <v/>
      </c>
      <c r="U1664" s="1" t="str">
        <f t="shared" si="205"/>
        <v>INCLUDED</v>
      </c>
      <c r="V1664" s="1" t="str">
        <f t="shared" si="206"/>
        <v>2026-02</v>
      </c>
      <c r="W1664" s="1">
        <f>IF(AND(U1664="INCLUDED",X1664&gt;0,EXACT(A1664,'AI output'!A1664)),1,0)</f>
        <v>1</v>
      </c>
      <c r="X1664" s="1">
        <f>1664</f>
        <v>1664</v>
      </c>
      <c r="Y1664" s="1">
        <f>IF(AND(U1664="INCLUDED",W1664=1),--(NOT(EXACT(A1664,'AI output'!A1664)))+--(NOT(EXACT(B1664,'AI output'!B1664)))+--(NOT(EXACT(TEXT(G1664,"yyyy-mm-dd"),'AI output'!C1664)))+--(NOT(EXACT(H1664,'AI output'!D1664)))+--(NOT(EXACT(J1664,'AI output'!E1664)))+--(NOT(EXACT(K1664,'AI output'!F1664)))+--(N1664&lt;&gt;'AI output'!L1664)+--(NOT('AI output'!M1664)),0)</f>
        <v>0</v>
      </c>
      <c r="Z1664" s="1">
        <f t="shared" si="207"/>
        <v>0</v>
      </c>
      <c r="AA1664" s="1">
        <f>--EXACT(A1664,"L01658")</f>
        <v>1</v>
      </c>
    </row>
    <row r="1665" spans="1:27" ht="18.95" customHeight="1">
      <c r="A1665" s="1" t="str">
        <f>IF(Raw!A1665="","",Raw!A1665)</f>
        <v>L01659</v>
      </c>
      <c r="B1665" s="1" t="str">
        <f>IF(Raw!B1665="","",Raw!B1665)</f>
        <v>T00830</v>
      </c>
      <c r="C1665" s="1" t="str">
        <f>IF(Raw!C1665="","",Raw!C1665)</f>
        <v>2026-02-13</v>
      </c>
      <c r="D1665" s="1">
        <f t="shared" si="200"/>
        <v>2026</v>
      </c>
      <c r="E1665" s="1">
        <f>IFERROR(IF(AND(LEN(C1665)=10,MID(C1665,5,1)="-",MID(C1665,8,1)="-"),VALUE(MID(C1665,6,2)),IF(AND(LEN(C1665)=11,MID(C1665,3,1)="-",MID(C1665,7,1)="-"),MATCH(UPPER(MID(C1665,4,3)),Guide!$D$7:$D$18,0),0)),0)</f>
        <v>2</v>
      </c>
      <c r="F1665" s="1">
        <f t="shared" si="201"/>
        <v>13</v>
      </c>
      <c r="G1665" s="9">
        <f t="shared" si="202"/>
        <v>46066</v>
      </c>
      <c r="H1665" s="1" t="str">
        <f>IF(Raw!D1665="","",Raw!D1665)</f>
        <v>P-O</v>
      </c>
      <c r="I1665" s="1" t="str">
        <f>IFERROR(IF(EXACT(H1665,INDEX(Guide!$A$7:$A$9,MATCH(SUBSTITUTE(SUBSTITUTE(SUBSTITUTE(H1665,"~","~~"),"*","~*"),"?","~?"),Guide!$A$7:$A$9,0))),INDEX(Guide!$B$7:$B$9,MATCH(SUBSTITUTE(SUBSTITUTE(SUBSTITUTE(H1665,"~","~~"),"*","~*"),"?","~?"),Guide!$A$7:$A$9,0)),""),"")</f>
        <v>Office</v>
      </c>
      <c r="J1665" s="1" t="str">
        <f>IF(TRIM(Raw!E1665)="",I1665,IF(UPPER(TRIM(Raw!E1665))=UPPER(I1665),I1665,""))</f>
        <v>Office</v>
      </c>
      <c r="K1665" s="1" t="str">
        <f>IF(Raw!F1665="","",Raw!F1665)</f>
        <v>sale</v>
      </c>
      <c r="L1665" s="1" t="str">
        <f>IF(LEFT(TRIM(Raw!G1665),2)="-$","-"&amp;MID(TRIM(Raw!G1665),3,99),IF(LEFT(TRIM(Raw!G1665),1)="$",MID(TRIM(Raw!G1665),2,99),TRIM(Raw!G1665)))</f>
        <v>36.90</v>
      </c>
      <c r="M1665" s="1">
        <f t="shared" si="203"/>
        <v>36.9</v>
      </c>
      <c r="N1665" s="10">
        <f t="shared" si="204"/>
        <v>3690</v>
      </c>
      <c r="O1665" s="1" t="b">
        <f>IFERROR(IF(ISNUMBER(Raw!G1665),TRUE,OR(EXACT(L1665,TEXT(M1665,"0.00")),EXACT(L1665,TEXT(M1665,"#,##0.00")))),FALSE)</f>
        <v>1</v>
      </c>
      <c r="P1665" s="1" t="str">
        <f>LEN(IF(Raw!A1665="","",Raw!A1665))&amp;":"&amp;IF(Raw!A1665="","",Raw!A1665)&amp;"|"&amp;LEN(IF(Raw!B1665="","",Raw!B1665))&amp;":"&amp;IF(Raw!B1665="","",Raw!B1665)&amp;"|"&amp;LEN(IF(Raw!C1665="","",Raw!C1665))&amp;":"&amp;IF(Raw!C1665="","",Raw!C1665)&amp;"|"&amp;LEN(IF(Raw!D1665="","",Raw!D1665))&amp;":"&amp;IF(Raw!D1665="","",Raw!D1665)&amp;"|"&amp;LEN(IF(Raw!E1665="","",Raw!E1665))&amp;":"&amp;IF(Raw!E1665="","",Raw!E1665)&amp;"|"&amp;LEN(IF(Raw!F1665="","",Raw!F1665))&amp;":"&amp;IF(Raw!F1665="","",Raw!F1665)&amp;"|"&amp;LEN(IF(Raw!G1665="","",Raw!G1665))&amp;":"&amp;IF(Raw!G1665="","",Raw!G1665)</f>
        <v>6:L01659|6:T00830|10:2026-02-13|3:P-O|6:Office|4:sale|5:36.90</v>
      </c>
      <c r="Q1665" s="1">
        <f>1</f>
        <v>1</v>
      </c>
      <c r="R1665" s="1" t="b">
        <f>FALSE</f>
        <v>0</v>
      </c>
      <c r="S1665" s="1">
        <f>1</f>
        <v>1</v>
      </c>
      <c r="T1665" s="1" t="str">
        <f>IF(AND(Raw!A1665="",Raw!B1665="",Raw!C1665="",Raw!D1665="",Raw!E1665="",Raw!F1665="",Raw!G1665=""),"UNUSED",IF(A1665="","missing line ID",IF(B1665="","missing transaction ID",IF(G1665="",IF(C1665="","missing date","invalid date"),IF(I1665="","unknown product",IF(J1665="","conflicting category",IF(NOT(OR(EXACT(K1665,"sale"),EXACT(K1665,"refund"))),"unknown event",IF(OR(N1665="",NOT(O1665)),"invalid amount",IF(OR(AND(K1665="sale",N1665&lt;=0),AND(K1665="refund",N1665&gt;=0)),"invalid sign","")))))))))</f>
        <v/>
      </c>
      <c r="U1665" s="1" t="str">
        <f t="shared" si="205"/>
        <v>INCLUDED</v>
      </c>
      <c r="V1665" s="1" t="str">
        <f t="shared" si="206"/>
        <v>2026-02</v>
      </c>
      <c r="W1665" s="1">
        <f>IF(AND(U1665="INCLUDED",X1665&gt;0,EXACT(A1665,'AI output'!A1665)),1,0)</f>
        <v>1</v>
      </c>
      <c r="X1665" s="1">
        <f>1665</f>
        <v>1665</v>
      </c>
      <c r="Y1665" s="1">
        <f>IF(AND(U1665="INCLUDED",W1665=1),--(NOT(EXACT(A1665,'AI output'!A1665)))+--(NOT(EXACT(B1665,'AI output'!B1665)))+--(NOT(EXACT(TEXT(G1665,"yyyy-mm-dd"),'AI output'!C1665)))+--(NOT(EXACT(H1665,'AI output'!D1665)))+--(NOT(EXACT(J1665,'AI output'!E1665)))+--(NOT(EXACT(K1665,'AI output'!F1665)))+--(N1665&lt;&gt;'AI output'!L1665)+--(NOT('AI output'!M1665)),0)</f>
        <v>0</v>
      </c>
      <c r="Z1665" s="1">
        <f t="shared" si="207"/>
        <v>0</v>
      </c>
      <c r="AA1665" s="1">
        <f>--EXACT(A1665,"L01659")</f>
        <v>1</v>
      </c>
    </row>
    <row r="1666" spans="1:27" ht="18.95" customHeight="1">
      <c r="A1666" s="1" t="str">
        <f>IF(Raw!A1666="","",Raw!A1666)</f>
        <v>L01660</v>
      </c>
      <c r="B1666" s="1" t="str">
        <f>IF(Raw!B1666="","",Raw!B1666)</f>
        <v>T00830</v>
      </c>
      <c r="C1666" s="1" t="str">
        <f>IF(Raw!C1666="","",Raw!C1666)</f>
        <v>2026-02-13</v>
      </c>
      <c r="D1666" s="1">
        <f t="shared" si="200"/>
        <v>2026</v>
      </c>
      <c r="E1666" s="1">
        <f>IFERROR(IF(AND(LEN(C1666)=10,MID(C1666,5,1)="-",MID(C1666,8,1)="-"),VALUE(MID(C1666,6,2)),IF(AND(LEN(C1666)=11,MID(C1666,3,1)="-",MID(C1666,7,1)="-"),MATCH(UPPER(MID(C1666,4,3)),Guide!$D$7:$D$18,0),0)),0)</f>
        <v>2</v>
      </c>
      <c r="F1666" s="1">
        <f t="shared" si="201"/>
        <v>13</v>
      </c>
      <c r="G1666" s="9">
        <f t="shared" si="202"/>
        <v>46066</v>
      </c>
      <c r="H1666" s="1" t="str">
        <f>IF(Raw!D1666="","",Raw!D1666)</f>
        <v>P-A</v>
      </c>
      <c r="I1666" s="1" t="str">
        <f>IFERROR(IF(EXACT(H1666,INDEX(Guide!$A$7:$A$9,MATCH(SUBSTITUTE(SUBSTITUTE(SUBSTITUTE(H1666,"~","~~"),"*","~*"),"?","~?"),Guide!$A$7:$A$9,0))),INDEX(Guide!$B$7:$B$9,MATCH(SUBSTITUTE(SUBSTITUTE(SUBSTITUTE(H1666,"~","~~"),"*","~*"),"?","~?"),Guide!$A$7:$A$9,0)),""),"")</f>
        <v>Accessories</v>
      </c>
      <c r="J1666" s="1" t="str">
        <f>IF(TRIM(Raw!E1666)="",I1666,IF(UPPER(TRIM(Raw!E1666))=UPPER(I1666),I1666,""))</f>
        <v>Accessories</v>
      </c>
      <c r="K1666" s="1" t="str">
        <f>IF(Raw!F1666="","",Raw!F1666)</f>
        <v>sale</v>
      </c>
      <c r="L1666" s="1" t="str">
        <f>IF(LEFT(TRIM(Raw!G1666),2)="-$","-"&amp;MID(TRIM(Raw!G1666),3,99),IF(LEFT(TRIM(Raw!G1666),1)="$",MID(TRIM(Raw!G1666),2,99),TRIM(Raw!G1666)))</f>
        <v>75.28</v>
      </c>
      <c r="M1666" s="1">
        <f t="shared" si="203"/>
        <v>75.28</v>
      </c>
      <c r="N1666" s="10">
        <f t="shared" si="204"/>
        <v>7528</v>
      </c>
      <c r="O1666" s="1" t="b">
        <f>IFERROR(IF(ISNUMBER(Raw!G1666),TRUE,OR(EXACT(L1666,TEXT(M1666,"0.00")),EXACT(L1666,TEXT(M1666,"#,##0.00")))),FALSE)</f>
        <v>1</v>
      </c>
      <c r="P1666" s="1" t="str">
        <f>LEN(IF(Raw!A1666="","",Raw!A1666))&amp;":"&amp;IF(Raw!A1666="","",Raw!A1666)&amp;"|"&amp;LEN(IF(Raw!B1666="","",Raw!B1666))&amp;":"&amp;IF(Raw!B1666="","",Raw!B1666)&amp;"|"&amp;LEN(IF(Raw!C1666="","",Raw!C1666))&amp;":"&amp;IF(Raw!C1666="","",Raw!C1666)&amp;"|"&amp;LEN(IF(Raw!D1666="","",Raw!D1666))&amp;":"&amp;IF(Raw!D1666="","",Raw!D1666)&amp;"|"&amp;LEN(IF(Raw!E1666="","",Raw!E1666))&amp;":"&amp;IF(Raw!E1666="","",Raw!E1666)&amp;"|"&amp;LEN(IF(Raw!F1666="","",Raw!F1666))&amp;":"&amp;IF(Raw!F1666="","",Raw!F1666)&amp;"|"&amp;LEN(IF(Raw!G1666="","",Raw!G1666))&amp;":"&amp;IF(Raw!G1666="","",Raw!G1666)</f>
        <v>6:L01660|6:T00830|10:2026-02-13|3:P-A|11:Accessories|4:sale|5:75.28</v>
      </c>
      <c r="Q1666" s="1">
        <f>1</f>
        <v>1</v>
      </c>
      <c r="R1666" s="1" t="b">
        <f>FALSE</f>
        <v>0</v>
      </c>
      <c r="S1666" s="1">
        <f>1</f>
        <v>1</v>
      </c>
      <c r="T1666" s="1" t="str">
        <f>IF(AND(Raw!A1666="",Raw!B1666="",Raw!C1666="",Raw!D1666="",Raw!E1666="",Raw!F1666="",Raw!G1666=""),"UNUSED",IF(A1666="","missing line ID",IF(B1666="","missing transaction ID",IF(G1666="",IF(C1666="","missing date","invalid date"),IF(I1666="","unknown product",IF(J1666="","conflicting category",IF(NOT(OR(EXACT(K1666,"sale"),EXACT(K1666,"refund"))),"unknown event",IF(OR(N1666="",NOT(O1666)),"invalid amount",IF(OR(AND(K1666="sale",N1666&lt;=0),AND(K1666="refund",N1666&gt;=0)),"invalid sign","")))))))))</f>
        <v/>
      </c>
      <c r="U1666" s="1" t="str">
        <f t="shared" si="205"/>
        <v>INCLUDED</v>
      </c>
      <c r="V1666" s="1" t="str">
        <f t="shared" si="206"/>
        <v>2026-02</v>
      </c>
      <c r="W1666" s="1">
        <f>IF(AND(U1666="INCLUDED",X1666&gt;0,EXACT(A1666,'AI output'!A1666)),1,0)</f>
        <v>1</v>
      </c>
      <c r="X1666" s="1">
        <f>1666</f>
        <v>1666</v>
      </c>
      <c r="Y1666" s="1">
        <f>IF(AND(U1666="INCLUDED",W1666=1),--(NOT(EXACT(A1666,'AI output'!A1666)))+--(NOT(EXACT(B1666,'AI output'!B1666)))+--(NOT(EXACT(TEXT(G1666,"yyyy-mm-dd"),'AI output'!C1666)))+--(NOT(EXACT(H1666,'AI output'!D1666)))+--(NOT(EXACT(J1666,'AI output'!E1666)))+--(NOT(EXACT(K1666,'AI output'!F1666)))+--(N1666&lt;&gt;'AI output'!L1666)+--(NOT('AI output'!M1666)),0)</f>
        <v>0</v>
      </c>
      <c r="Z1666" s="1">
        <f t="shared" si="207"/>
        <v>0</v>
      </c>
      <c r="AA1666" s="1">
        <f>--EXACT(A1666,"L01660")</f>
        <v>1</v>
      </c>
    </row>
    <row r="1667" spans="1:27" ht="18.95" customHeight="1">
      <c r="A1667" s="1" t="str">
        <f>IF(Raw!A1667="","",Raw!A1667)</f>
        <v>L01661</v>
      </c>
      <c r="B1667" s="1" t="str">
        <f>IF(Raw!B1667="","",Raw!B1667)</f>
        <v>T00831</v>
      </c>
      <c r="C1667" s="1" t="str">
        <f>IF(Raw!C1667="","",Raw!C1667)</f>
        <v>2026-02-20</v>
      </c>
      <c r="D1667" s="1">
        <f t="shared" si="200"/>
        <v>2026</v>
      </c>
      <c r="E1667" s="1">
        <f>IFERROR(IF(AND(LEN(C1667)=10,MID(C1667,5,1)="-",MID(C1667,8,1)="-"),VALUE(MID(C1667,6,2)),IF(AND(LEN(C1667)=11,MID(C1667,3,1)="-",MID(C1667,7,1)="-"),MATCH(UPPER(MID(C1667,4,3)),Guide!$D$7:$D$18,0),0)),0)</f>
        <v>2</v>
      </c>
      <c r="F1667" s="1">
        <f t="shared" si="201"/>
        <v>20</v>
      </c>
      <c r="G1667" s="9">
        <f t="shared" si="202"/>
        <v>46073</v>
      </c>
      <c r="H1667" s="1" t="str">
        <f>IF(Raw!D1667="","",Raw!D1667)</f>
        <v>P-H</v>
      </c>
      <c r="I1667" s="1" t="str">
        <f>IFERROR(IF(EXACT(H1667,INDEX(Guide!$A$7:$A$9,MATCH(SUBSTITUTE(SUBSTITUTE(SUBSTITUTE(H1667,"~","~~"),"*","~*"),"?","~?"),Guide!$A$7:$A$9,0))),INDEX(Guide!$B$7:$B$9,MATCH(SUBSTITUTE(SUBSTITUTE(SUBSTITUTE(H1667,"~","~~"),"*","~*"),"?","~?"),Guide!$A$7:$A$9,0)),""),"")</f>
        <v>Home</v>
      </c>
      <c r="J1667" s="1" t="str">
        <f>IF(TRIM(Raw!E1667)="",I1667,IF(UPPER(TRIM(Raw!E1667))=UPPER(I1667),I1667,""))</f>
        <v>Home</v>
      </c>
      <c r="K1667" s="1" t="str">
        <f>IF(Raw!F1667="","",Raw!F1667)</f>
        <v>sale</v>
      </c>
      <c r="L1667" s="1" t="str">
        <f>IF(LEFT(TRIM(Raw!G1667),2)="-$","-"&amp;MID(TRIM(Raw!G1667),3,99),IF(LEFT(TRIM(Raw!G1667),1)="$",MID(TRIM(Raw!G1667),2,99),TRIM(Raw!G1667)))</f>
        <v>19.19</v>
      </c>
      <c r="M1667" s="1">
        <f t="shared" si="203"/>
        <v>19.190000000000001</v>
      </c>
      <c r="N1667" s="10">
        <f t="shared" si="204"/>
        <v>1919</v>
      </c>
      <c r="O1667" s="1" t="b">
        <f>IFERROR(IF(ISNUMBER(Raw!G1667),TRUE,OR(EXACT(L1667,TEXT(M1667,"0.00")),EXACT(L1667,TEXT(M1667,"#,##0.00")))),FALSE)</f>
        <v>1</v>
      </c>
      <c r="P1667" s="1" t="str">
        <f>LEN(IF(Raw!A1667="","",Raw!A1667))&amp;":"&amp;IF(Raw!A1667="","",Raw!A1667)&amp;"|"&amp;LEN(IF(Raw!B1667="","",Raw!B1667))&amp;":"&amp;IF(Raw!B1667="","",Raw!B1667)&amp;"|"&amp;LEN(IF(Raw!C1667="","",Raw!C1667))&amp;":"&amp;IF(Raw!C1667="","",Raw!C1667)&amp;"|"&amp;LEN(IF(Raw!D1667="","",Raw!D1667))&amp;":"&amp;IF(Raw!D1667="","",Raw!D1667)&amp;"|"&amp;LEN(IF(Raw!E1667="","",Raw!E1667))&amp;":"&amp;IF(Raw!E1667="","",Raw!E1667)&amp;"|"&amp;LEN(IF(Raw!F1667="","",Raw!F1667))&amp;":"&amp;IF(Raw!F1667="","",Raw!F1667)&amp;"|"&amp;LEN(IF(Raw!G1667="","",Raw!G1667))&amp;":"&amp;IF(Raw!G1667="","",Raw!G1667)</f>
        <v>6:L01661|6:T00831|10:2026-02-20|3:P-H|4:Home|4:sale|5:19.19</v>
      </c>
      <c r="Q1667" s="1">
        <f>1</f>
        <v>1</v>
      </c>
      <c r="R1667" s="1" t="b">
        <f>FALSE</f>
        <v>0</v>
      </c>
      <c r="S1667" s="1">
        <f>1</f>
        <v>1</v>
      </c>
      <c r="T1667" s="1" t="str">
        <f>IF(AND(Raw!A1667="",Raw!B1667="",Raw!C1667="",Raw!D1667="",Raw!E1667="",Raw!F1667="",Raw!G1667=""),"UNUSED",IF(A1667="","missing line ID",IF(B1667="","missing transaction ID",IF(G1667="",IF(C1667="","missing date","invalid date"),IF(I1667="","unknown product",IF(J1667="","conflicting category",IF(NOT(OR(EXACT(K1667,"sale"),EXACT(K1667,"refund"))),"unknown event",IF(OR(N1667="",NOT(O1667)),"invalid amount",IF(OR(AND(K1667="sale",N1667&lt;=0),AND(K1667="refund",N1667&gt;=0)),"invalid sign","")))))))))</f>
        <v/>
      </c>
      <c r="U1667" s="1" t="str">
        <f t="shared" si="205"/>
        <v>INCLUDED</v>
      </c>
      <c r="V1667" s="1" t="str">
        <f t="shared" si="206"/>
        <v>2026-02</v>
      </c>
      <c r="W1667" s="1">
        <f>IF(AND(U1667="INCLUDED",X1667&gt;0,EXACT(A1667,'AI output'!A1667)),1,0)</f>
        <v>1</v>
      </c>
      <c r="X1667" s="1">
        <f>1667</f>
        <v>1667</v>
      </c>
      <c r="Y1667" s="1">
        <f>IF(AND(U1667="INCLUDED",W1667=1),--(NOT(EXACT(A1667,'AI output'!A1667)))+--(NOT(EXACT(B1667,'AI output'!B1667)))+--(NOT(EXACT(TEXT(G1667,"yyyy-mm-dd"),'AI output'!C1667)))+--(NOT(EXACT(H1667,'AI output'!D1667)))+--(NOT(EXACT(J1667,'AI output'!E1667)))+--(NOT(EXACT(K1667,'AI output'!F1667)))+--(N1667&lt;&gt;'AI output'!L1667)+--(NOT('AI output'!M1667)),0)</f>
        <v>0</v>
      </c>
      <c r="Z1667" s="1">
        <f t="shared" si="207"/>
        <v>0</v>
      </c>
      <c r="AA1667" s="1">
        <f>--EXACT(A1667,"L01661")</f>
        <v>1</v>
      </c>
    </row>
    <row r="1668" spans="1:27" ht="18.95" customHeight="1">
      <c r="A1668" s="1" t="str">
        <f>IF(Raw!A1668="","",Raw!A1668)</f>
        <v>L01662</v>
      </c>
      <c r="B1668" s="1" t="str">
        <f>IF(Raw!B1668="","",Raw!B1668)</f>
        <v>T00831</v>
      </c>
      <c r="C1668" s="1" t="str">
        <f>IF(Raw!C1668="","",Raw!C1668)</f>
        <v>2026-02-20</v>
      </c>
      <c r="D1668" s="1">
        <f t="shared" si="200"/>
        <v>2026</v>
      </c>
      <c r="E1668" s="1">
        <f>IFERROR(IF(AND(LEN(C1668)=10,MID(C1668,5,1)="-",MID(C1668,8,1)="-"),VALUE(MID(C1668,6,2)),IF(AND(LEN(C1668)=11,MID(C1668,3,1)="-",MID(C1668,7,1)="-"),MATCH(UPPER(MID(C1668,4,3)),Guide!$D$7:$D$18,0),0)),0)</f>
        <v>2</v>
      </c>
      <c r="F1668" s="1">
        <f t="shared" si="201"/>
        <v>20</v>
      </c>
      <c r="G1668" s="9">
        <f t="shared" si="202"/>
        <v>46073</v>
      </c>
      <c r="H1668" s="1" t="str">
        <f>IF(Raw!D1668="","",Raw!D1668)</f>
        <v>P-O</v>
      </c>
      <c r="I1668" s="1" t="str">
        <f>IFERROR(IF(EXACT(H1668,INDEX(Guide!$A$7:$A$9,MATCH(SUBSTITUTE(SUBSTITUTE(SUBSTITUTE(H1668,"~","~~"),"*","~*"),"?","~?"),Guide!$A$7:$A$9,0))),INDEX(Guide!$B$7:$B$9,MATCH(SUBSTITUTE(SUBSTITUTE(SUBSTITUTE(H1668,"~","~~"),"*","~*"),"?","~?"),Guide!$A$7:$A$9,0)),""),"")</f>
        <v>Office</v>
      </c>
      <c r="J1668" s="1" t="str">
        <f>IF(TRIM(Raw!E1668)="",I1668,IF(UPPER(TRIM(Raw!E1668))=UPPER(I1668),I1668,""))</f>
        <v>Office</v>
      </c>
      <c r="K1668" s="1" t="str">
        <f>IF(Raw!F1668="","",Raw!F1668)</f>
        <v>sale</v>
      </c>
      <c r="L1668" s="1" t="str">
        <f>IF(LEFT(TRIM(Raw!G1668),2)="-$","-"&amp;MID(TRIM(Raw!G1668),3,99),IF(LEFT(TRIM(Raw!G1668),1)="$",MID(TRIM(Raw!G1668),2,99),TRIM(Raw!G1668)))</f>
        <v>58.68</v>
      </c>
      <c r="M1668" s="1">
        <f t="shared" si="203"/>
        <v>58.68</v>
      </c>
      <c r="N1668" s="10">
        <f t="shared" si="204"/>
        <v>5868</v>
      </c>
      <c r="O1668" s="1" t="b">
        <f>IFERROR(IF(ISNUMBER(Raw!G1668),TRUE,OR(EXACT(L1668,TEXT(M1668,"0.00")),EXACT(L1668,TEXT(M1668,"#,##0.00")))),FALSE)</f>
        <v>1</v>
      </c>
      <c r="P1668" s="1" t="str">
        <f>LEN(IF(Raw!A1668="","",Raw!A1668))&amp;":"&amp;IF(Raw!A1668="","",Raw!A1668)&amp;"|"&amp;LEN(IF(Raw!B1668="","",Raw!B1668))&amp;":"&amp;IF(Raw!B1668="","",Raw!B1668)&amp;"|"&amp;LEN(IF(Raw!C1668="","",Raw!C1668))&amp;":"&amp;IF(Raw!C1668="","",Raw!C1668)&amp;"|"&amp;LEN(IF(Raw!D1668="","",Raw!D1668))&amp;":"&amp;IF(Raw!D1668="","",Raw!D1668)&amp;"|"&amp;LEN(IF(Raw!E1668="","",Raw!E1668))&amp;":"&amp;IF(Raw!E1668="","",Raw!E1668)&amp;"|"&amp;LEN(IF(Raw!F1668="","",Raw!F1668))&amp;":"&amp;IF(Raw!F1668="","",Raw!F1668)&amp;"|"&amp;LEN(IF(Raw!G1668="","",Raw!G1668))&amp;":"&amp;IF(Raw!G1668="","",Raw!G1668)</f>
        <v>6:L01662|6:T00831|10:2026-02-20|3:P-O|6:Office|4:sale|5:58.68</v>
      </c>
      <c r="Q1668" s="1">
        <f>1</f>
        <v>1</v>
      </c>
      <c r="R1668" s="1" t="b">
        <f>FALSE</f>
        <v>0</v>
      </c>
      <c r="S1668" s="1">
        <f>1</f>
        <v>1</v>
      </c>
      <c r="T1668" s="1" t="str">
        <f>IF(AND(Raw!A1668="",Raw!B1668="",Raw!C1668="",Raw!D1668="",Raw!E1668="",Raw!F1668="",Raw!G1668=""),"UNUSED",IF(A1668="","missing line ID",IF(B1668="","missing transaction ID",IF(G1668="",IF(C1668="","missing date","invalid date"),IF(I1668="","unknown product",IF(J1668="","conflicting category",IF(NOT(OR(EXACT(K1668,"sale"),EXACT(K1668,"refund"))),"unknown event",IF(OR(N1668="",NOT(O1668)),"invalid amount",IF(OR(AND(K1668="sale",N1668&lt;=0),AND(K1668="refund",N1668&gt;=0)),"invalid sign","")))))))))</f>
        <v/>
      </c>
      <c r="U1668" s="1" t="str">
        <f t="shared" si="205"/>
        <v>INCLUDED</v>
      </c>
      <c r="V1668" s="1" t="str">
        <f t="shared" si="206"/>
        <v>2026-02</v>
      </c>
      <c r="W1668" s="1">
        <f>IF(AND(U1668="INCLUDED",X1668&gt;0,EXACT(A1668,'AI output'!A1668)),1,0)</f>
        <v>1</v>
      </c>
      <c r="X1668" s="1">
        <f>1668</f>
        <v>1668</v>
      </c>
      <c r="Y1668" s="1">
        <f>IF(AND(U1668="INCLUDED",W1668=1),--(NOT(EXACT(A1668,'AI output'!A1668)))+--(NOT(EXACT(B1668,'AI output'!B1668)))+--(NOT(EXACT(TEXT(G1668,"yyyy-mm-dd"),'AI output'!C1668)))+--(NOT(EXACT(H1668,'AI output'!D1668)))+--(NOT(EXACT(J1668,'AI output'!E1668)))+--(NOT(EXACT(K1668,'AI output'!F1668)))+--(N1668&lt;&gt;'AI output'!L1668)+--(NOT('AI output'!M1668)),0)</f>
        <v>0</v>
      </c>
      <c r="Z1668" s="1">
        <f t="shared" si="207"/>
        <v>0</v>
      </c>
      <c r="AA1668" s="1">
        <f>--EXACT(A1668,"L01662")</f>
        <v>1</v>
      </c>
    </row>
    <row r="1669" spans="1:27" ht="18.95" customHeight="1">
      <c r="A1669" s="1" t="str">
        <f>IF(Raw!A1669="","",Raw!A1669)</f>
        <v>L01663</v>
      </c>
      <c r="B1669" s="1" t="str">
        <f>IF(Raw!B1669="","",Raw!B1669)</f>
        <v>T00832</v>
      </c>
      <c r="C1669" s="1" t="str">
        <f>IF(Raw!C1669="","",Raw!C1669)</f>
        <v>2026-02-27</v>
      </c>
      <c r="D1669" s="1">
        <f t="shared" si="200"/>
        <v>2026</v>
      </c>
      <c r="E1669" s="1">
        <f>IFERROR(IF(AND(LEN(C1669)=10,MID(C1669,5,1)="-",MID(C1669,8,1)="-"),VALUE(MID(C1669,6,2)),IF(AND(LEN(C1669)=11,MID(C1669,3,1)="-",MID(C1669,7,1)="-"),MATCH(UPPER(MID(C1669,4,3)),Guide!$D$7:$D$18,0),0)),0)</f>
        <v>2</v>
      </c>
      <c r="F1669" s="1">
        <f t="shared" si="201"/>
        <v>27</v>
      </c>
      <c r="G1669" s="9">
        <f t="shared" si="202"/>
        <v>46080</v>
      </c>
      <c r="H1669" s="1" t="str">
        <f>IF(Raw!D1669="","",Raw!D1669)</f>
        <v>P-A</v>
      </c>
      <c r="I1669" s="1" t="str">
        <f>IFERROR(IF(EXACT(H1669,INDEX(Guide!$A$7:$A$9,MATCH(SUBSTITUTE(SUBSTITUTE(SUBSTITUTE(H1669,"~","~~"),"*","~*"),"?","~?"),Guide!$A$7:$A$9,0))),INDEX(Guide!$B$7:$B$9,MATCH(SUBSTITUTE(SUBSTITUTE(SUBSTITUTE(H1669,"~","~~"),"*","~*"),"?","~?"),Guide!$A$7:$A$9,0)),""),"")</f>
        <v>Accessories</v>
      </c>
      <c r="J1669" s="1" t="str">
        <f>IF(TRIM(Raw!E1669)="",I1669,IF(UPPER(TRIM(Raw!E1669))=UPPER(I1669),I1669,""))</f>
        <v>Accessories</v>
      </c>
      <c r="K1669" s="1" t="str">
        <f>IF(Raw!F1669="","",Raw!F1669)</f>
        <v>sale</v>
      </c>
      <c r="L1669" s="1" t="str">
        <f>IF(LEFT(TRIM(Raw!G1669),2)="-$","-"&amp;MID(TRIM(Raw!G1669),3,99),IF(LEFT(TRIM(Raw!G1669),1)="$",MID(TRIM(Raw!G1669),2,99),TRIM(Raw!G1669)))</f>
        <v>99.65</v>
      </c>
      <c r="M1669" s="1">
        <f t="shared" si="203"/>
        <v>99.65</v>
      </c>
      <c r="N1669" s="10">
        <f t="shared" si="204"/>
        <v>9965</v>
      </c>
      <c r="O1669" s="1" t="b">
        <f>IFERROR(IF(ISNUMBER(Raw!G1669),TRUE,OR(EXACT(L1669,TEXT(M1669,"0.00")),EXACT(L1669,TEXT(M1669,"#,##0.00")))),FALSE)</f>
        <v>1</v>
      </c>
      <c r="P1669" s="1" t="str">
        <f>LEN(IF(Raw!A1669="","",Raw!A1669))&amp;":"&amp;IF(Raw!A1669="","",Raw!A1669)&amp;"|"&amp;LEN(IF(Raw!B1669="","",Raw!B1669))&amp;":"&amp;IF(Raw!B1669="","",Raw!B1669)&amp;"|"&amp;LEN(IF(Raw!C1669="","",Raw!C1669))&amp;":"&amp;IF(Raw!C1669="","",Raw!C1669)&amp;"|"&amp;LEN(IF(Raw!D1669="","",Raw!D1669))&amp;":"&amp;IF(Raw!D1669="","",Raw!D1669)&amp;"|"&amp;LEN(IF(Raw!E1669="","",Raw!E1669))&amp;":"&amp;IF(Raw!E1669="","",Raw!E1669)&amp;"|"&amp;LEN(IF(Raw!F1669="","",Raw!F1669))&amp;":"&amp;IF(Raw!F1669="","",Raw!F1669)&amp;"|"&amp;LEN(IF(Raw!G1669="","",Raw!G1669))&amp;":"&amp;IF(Raw!G1669="","",Raw!G1669)</f>
        <v>6:L01663|6:T00832|10:2026-02-27|3:P-A|11:Accessories|4:sale|5:99.65</v>
      </c>
      <c r="Q1669" s="1">
        <f>1</f>
        <v>1</v>
      </c>
      <c r="R1669" s="1" t="b">
        <f>FALSE</f>
        <v>0</v>
      </c>
      <c r="S1669" s="1">
        <f>1</f>
        <v>1</v>
      </c>
      <c r="T1669" s="1" t="str">
        <f>IF(AND(Raw!A1669="",Raw!B1669="",Raw!C1669="",Raw!D1669="",Raw!E1669="",Raw!F1669="",Raw!G1669=""),"UNUSED",IF(A1669="","missing line ID",IF(B1669="","missing transaction ID",IF(G1669="",IF(C1669="","missing date","invalid date"),IF(I1669="","unknown product",IF(J1669="","conflicting category",IF(NOT(OR(EXACT(K1669,"sale"),EXACT(K1669,"refund"))),"unknown event",IF(OR(N1669="",NOT(O1669)),"invalid amount",IF(OR(AND(K1669="sale",N1669&lt;=0),AND(K1669="refund",N1669&gt;=0)),"invalid sign","")))))))))</f>
        <v/>
      </c>
      <c r="U1669" s="1" t="str">
        <f t="shared" si="205"/>
        <v>INCLUDED</v>
      </c>
      <c r="V1669" s="1" t="str">
        <f t="shared" si="206"/>
        <v>2026-02</v>
      </c>
      <c r="W1669" s="1">
        <f>IF(AND(U1669="INCLUDED",X1669&gt;0,EXACT(A1669,'AI output'!A1669)),1,0)</f>
        <v>1</v>
      </c>
      <c r="X1669" s="1">
        <f>1669</f>
        <v>1669</v>
      </c>
      <c r="Y1669" s="1">
        <f>IF(AND(U1669="INCLUDED",W1669=1),--(NOT(EXACT(A1669,'AI output'!A1669)))+--(NOT(EXACT(B1669,'AI output'!B1669)))+--(NOT(EXACT(TEXT(G1669,"yyyy-mm-dd"),'AI output'!C1669)))+--(NOT(EXACT(H1669,'AI output'!D1669)))+--(NOT(EXACT(J1669,'AI output'!E1669)))+--(NOT(EXACT(K1669,'AI output'!F1669)))+--(N1669&lt;&gt;'AI output'!L1669)+--(NOT('AI output'!M1669)),0)</f>
        <v>0</v>
      </c>
      <c r="Z1669" s="1">
        <f t="shared" si="207"/>
        <v>0</v>
      </c>
      <c r="AA1669" s="1">
        <f>--EXACT(A1669,"L01663")</f>
        <v>1</v>
      </c>
    </row>
    <row r="1670" spans="1:27" ht="18.95" customHeight="1">
      <c r="A1670" s="1" t="str">
        <f>IF(Raw!A1670="","",Raw!A1670)</f>
        <v>L01664</v>
      </c>
      <c r="B1670" s="1" t="str">
        <f>IF(Raw!B1670="","",Raw!B1670)</f>
        <v>T00832</v>
      </c>
      <c r="C1670" s="1" t="str">
        <f>IF(Raw!C1670="","",Raw!C1670)</f>
        <v>2026-02-27</v>
      </c>
      <c r="D1670" s="1">
        <f t="shared" si="200"/>
        <v>2026</v>
      </c>
      <c r="E1670" s="1">
        <f>IFERROR(IF(AND(LEN(C1670)=10,MID(C1670,5,1)="-",MID(C1670,8,1)="-"),VALUE(MID(C1670,6,2)),IF(AND(LEN(C1670)=11,MID(C1670,3,1)="-",MID(C1670,7,1)="-"),MATCH(UPPER(MID(C1670,4,3)),Guide!$D$7:$D$18,0),0)),0)</f>
        <v>2</v>
      </c>
      <c r="F1670" s="1">
        <f t="shared" si="201"/>
        <v>27</v>
      </c>
      <c r="G1670" s="9">
        <f t="shared" si="202"/>
        <v>46080</v>
      </c>
      <c r="H1670" s="1" t="str">
        <f>IF(Raw!D1670="","",Raw!D1670)</f>
        <v>P-H</v>
      </c>
      <c r="I1670" s="1" t="str">
        <f>IFERROR(IF(EXACT(H1670,INDEX(Guide!$A$7:$A$9,MATCH(SUBSTITUTE(SUBSTITUTE(SUBSTITUTE(H1670,"~","~~"),"*","~*"),"?","~?"),Guide!$A$7:$A$9,0))),INDEX(Guide!$B$7:$B$9,MATCH(SUBSTITUTE(SUBSTITUTE(SUBSTITUTE(H1670,"~","~~"),"*","~*"),"?","~?"),Guide!$A$7:$A$9,0)),""),"")</f>
        <v>Home</v>
      </c>
      <c r="J1670" s="1" t="str">
        <f>IF(TRIM(Raw!E1670)="",I1670,IF(UPPER(TRIM(Raw!E1670))=UPPER(I1670),I1670,""))</f>
        <v>Home</v>
      </c>
      <c r="K1670" s="1" t="str">
        <f>IF(Raw!F1670="","",Raw!F1670)</f>
        <v>sale</v>
      </c>
      <c r="L1670" s="1" t="str">
        <f>IF(LEFT(TRIM(Raw!G1670),2)="-$","-"&amp;MID(TRIM(Raw!G1670),3,99),IF(LEFT(TRIM(Raw!G1670),1)="$",MID(TRIM(Raw!G1670),2,99),TRIM(Raw!G1670)))</f>
        <v>40.60</v>
      </c>
      <c r="M1670" s="1">
        <f t="shared" si="203"/>
        <v>40.6</v>
      </c>
      <c r="N1670" s="10">
        <f t="shared" si="204"/>
        <v>4060</v>
      </c>
      <c r="O1670" s="1" t="b">
        <f>IFERROR(IF(ISNUMBER(Raw!G1670),TRUE,OR(EXACT(L1670,TEXT(M1670,"0.00")),EXACT(L1670,TEXT(M1670,"#,##0.00")))),FALSE)</f>
        <v>1</v>
      </c>
      <c r="P1670" s="1" t="str">
        <f>LEN(IF(Raw!A1670="","",Raw!A1670))&amp;":"&amp;IF(Raw!A1670="","",Raw!A1670)&amp;"|"&amp;LEN(IF(Raw!B1670="","",Raw!B1670))&amp;":"&amp;IF(Raw!B1670="","",Raw!B1670)&amp;"|"&amp;LEN(IF(Raw!C1670="","",Raw!C1670))&amp;":"&amp;IF(Raw!C1670="","",Raw!C1670)&amp;"|"&amp;LEN(IF(Raw!D1670="","",Raw!D1670))&amp;":"&amp;IF(Raw!D1670="","",Raw!D1670)&amp;"|"&amp;LEN(IF(Raw!E1670="","",Raw!E1670))&amp;":"&amp;IF(Raw!E1670="","",Raw!E1670)&amp;"|"&amp;LEN(IF(Raw!F1670="","",Raw!F1670))&amp;":"&amp;IF(Raw!F1670="","",Raw!F1670)&amp;"|"&amp;LEN(IF(Raw!G1670="","",Raw!G1670))&amp;":"&amp;IF(Raw!G1670="","",Raw!G1670)</f>
        <v>6:L01664|6:T00832|10:2026-02-27|3:P-H|4:Home|4:sale|5:40.60</v>
      </c>
      <c r="Q1670" s="1">
        <f>1</f>
        <v>1</v>
      </c>
      <c r="R1670" s="1" t="b">
        <f>FALSE</f>
        <v>0</v>
      </c>
      <c r="S1670" s="1">
        <f>1</f>
        <v>1</v>
      </c>
      <c r="T1670" s="1" t="str">
        <f>IF(AND(Raw!A1670="",Raw!B1670="",Raw!C1670="",Raw!D1670="",Raw!E1670="",Raw!F1670="",Raw!G1670=""),"UNUSED",IF(A1670="","missing line ID",IF(B1670="","missing transaction ID",IF(G1670="",IF(C1670="","missing date","invalid date"),IF(I1670="","unknown product",IF(J1670="","conflicting category",IF(NOT(OR(EXACT(K1670,"sale"),EXACT(K1670,"refund"))),"unknown event",IF(OR(N1670="",NOT(O1670)),"invalid amount",IF(OR(AND(K1670="sale",N1670&lt;=0),AND(K1670="refund",N1670&gt;=0)),"invalid sign","")))))))))</f>
        <v/>
      </c>
      <c r="U1670" s="1" t="str">
        <f t="shared" si="205"/>
        <v>INCLUDED</v>
      </c>
      <c r="V1670" s="1" t="str">
        <f t="shared" si="206"/>
        <v>2026-02</v>
      </c>
      <c r="W1670" s="1">
        <f>IF(AND(U1670="INCLUDED",X1670&gt;0,EXACT(A1670,'AI output'!A1670)),1,0)</f>
        <v>1</v>
      </c>
      <c r="X1670" s="1">
        <f>1670</f>
        <v>1670</v>
      </c>
      <c r="Y1670" s="1">
        <f>IF(AND(U1670="INCLUDED",W1670=1),--(NOT(EXACT(A1670,'AI output'!A1670)))+--(NOT(EXACT(B1670,'AI output'!B1670)))+--(NOT(EXACT(TEXT(G1670,"yyyy-mm-dd"),'AI output'!C1670)))+--(NOT(EXACT(H1670,'AI output'!D1670)))+--(NOT(EXACT(J1670,'AI output'!E1670)))+--(NOT(EXACT(K1670,'AI output'!F1670)))+--(N1670&lt;&gt;'AI output'!L1670)+--(NOT('AI output'!M1670)),0)</f>
        <v>0</v>
      </c>
      <c r="Z1670" s="1">
        <f t="shared" si="207"/>
        <v>0</v>
      </c>
      <c r="AA1670" s="1">
        <f>--EXACT(A1670,"L01664")</f>
        <v>1</v>
      </c>
    </row>
    <row r="1671" spans="1:27" ht="18.95" customHeight="1">
      <c r="A1671" s="1" t="str">
        <f>IF(Raw!A1671="","",Raw!A1671)</f>
        <v>L01665</v>
      </c>
      <c r="B1671" s="1" t="str">
        <f>IF(Raw!B1671="","",Raw!B1671)</f>
        <v>T00833</v>
      </c>
      <c r="C1671" s="1" t="str">
        <f>IF(Raw!C1671="","",Raw!C1671)</f>
        <v>2026-03-06</v>
      </c>
      <c r="D1671" s="1">
        <f t="shared" ref="D1671:D1734" si="208">IFERROR(IF(AND(LEN(C1671)=10,MID(C1671,5,1)="-",MID(C1671,8,1)="-"),VALUE(LEFT(C1671,4)),IF(AND(LEN(C1671)=11,MID(C1671,3,1)="-",MID(C1671,7,1)="-"),VALUE(RIGHT(C1671,4)),0)),0)</f>
        <v>2026</v>
      </c>
      <c r="E1671" s="1">
        <f>IFERROR(IF(AND(LEN(C1671)=10,MID(C1671,5,1)="-",MID(C1671,8,1)="-"),VALUE(MID(C1671,6,2)),IF(AND(LEN(C1671)=11,MID(C1671,3,1)="-",MID(C1671,7,1)="-"),MATCH(UPPER(MID(C1671,4,3)),Guide!$D$7:$D$18,0),0)),0)</f>
        <v>3</v>
      </c>
      <c r="F1671" s="1">
        <f t="shared" ref="F1671:F1734" si="209">IFERROR(IF(AND(LEN(C1671)=10,MID(C1671,5,1)="-",MID(C1671,8,1)="-"),VALUE(RIGHT(C1671,2)),IF(AND(LEN(C1671)=11,MID(C1671,3,1)="-",MID(C1671,7,1)="-"),VALUE(LEFT(C1671,2)),0)),0)</f>
        <v>6</v>
      </c>
      <c r="G1671" s="9">
        <f t="shared" ref="G1671:G1734" si="210">IFERROR(IF(AND(D1671&gt;=1900,D1671&lt;=9999,YEAR(DATE(D1671,E1671,F1671))=D1671,MONTH(DATE(D1671,E1671,F1671))=E1671,DAY(DATE(D1671,E1671,F1671))=F1671),DATE(D1671,E1671,F1671),""),"")</f>
        <v>46087</v>
      </c>
      <c r="H1671" s="1" t="str">
        <f>IF(Raw!D1671="","",Raw!D1671)</f>
        <v>P-O</v>
      </c>
      <c r="I1671" s="1" t="str">
        <f>IFERROR(IF(EXACT(H1671,INDEX(Guide!$A$7:$A$9,MATCH(SUBSTITUTE(SUBSTITUTE(SUBSTITUTE(H1671,"~","~~"),"*","~*"),"?","~?"),Guide!$A$7:$A$9,0))),INDEX(Guide!$B$7:$B$9,MATCH(SUBSTITUTE(SUBSTITUTE(SUBSTITUTE(H1671,"~","~~"),"*","~*"),"?","~?"),Guide!$A$7:$A$9,0)),""),"")</f>
        <v>Office</v>
      </c>
      <c r="J1671" s="1" t="str">
        <f>IF(TRIM(Raw!E1671)="",I1671,IF(UPPER(TRIM(Raw!E1671))=UPPER(I1671),I1671,""))</f>
        <v>Office</v>
      </c>
      <c r="K1671" s="1" t="str">
        <f>IF(Raw!F1671="","",Raw!F1671)</f>
        <v>sale</v>
      </c>
      <c r="L1671" s="1" t="str">
        <f>IF(LEFT(TRIM(Raw!G1671),2)="-$","-"&amp;MID(TRIM(Raw!G1671),3,99),IF(LEFT(TRIM(Raw!G1671),1)="$",MID(TRIM(Raw!G1671),2,99),TRIM(Raw!G1671)))</f>
        <v>82.68</v>
      </c>
      <c r="M1671" s="1">
        <f t="shared" ref="M1671:M1734" si="211">IFERROR(VALUE(L1671),"")</f>
        <v>82.68</v>
      </c>
      <c r="N1671" s="10">
        <f t="shared" ref="N1671:N1734" si="212">IF(AND(ISNUMBER(M1671),ABS(M1671*100-ROUND(M1671*100,0))&lt;0.0000001),ROUND(M1671*100,0),"")</f>
        <v>8268</v>
      </c>
      <c r="O1671" s="1" t="b">
        <f>IFERROR(IF(ISNUMBER(Raw!G1671),TRUE,OR(EXACT(L1671,TEXT(M1671,"0.00")),EXACT(L1671,TEXT(M1671,"#,##0.00")))),FALSE)</f>
        <v>1</v>
      </c>
      <c r="P1671" s="1" t="str">
        <f>LEN(IF(Raw!A1671="","",Raw!A1671))&amp;":"&amp;IF(Raw!A1671="","",Raw!A1671)&amp;"|"&amp;LEN(IF(Raw!B1671="","",Raw!B1671))&amp;":"&amp;IF(Raw!B1671="","",Raw!B1671)&amp;"|"&amp;LEN(IF(Raw!C1671="","",Raw!C1671))&amp;":"&amp;IF(Raw!C1671="","",Raw!C1671)&amp;"|"&amp;LEN(IF(Raw!D1671="","",Raw!D1671))&amp;":"&amp;IF(Raw!D1671="","",Raw!D1671)&amp;"|"&amp;LEN(IF(Raw!E1671="","",Raw!E1671))&amp;":"&amp;IF(Raw!E1671="","",Raw!E1671)&amp;"|"&amp;LEN(IF(Raw!F1671="","",Raw!F1671))&amp;":"&amp;IF(Raw!F1671="","",Raw!F1671)&amp;"|"&amp;LEN(IF(Raw!G1671="","",Raw!G1671))&amp;":"&amp;IF(Raw!G1671="","",Raw!G1671)</f>
        <v>6:L01665|6:T00833|10:2026-03-06|3:P-O|6:Office|4:sale|5:82.68</v>
      </c>
      <c r="Q1671" s="1">
        <f>2</f>
        <v>2</v>
      </c>
      <c r="R1671" s="1" t="b">
        <f>OR(NOT(EXACT(P1671,P2006)))</f>
        <v>0</v>
      </c>
      <c r="S1671" s="1">
        <f>1</f>
        <v>1</v>
      </c>
      <c r="T1671" s="1" t="str">
        <f>IF(AND(Raw!A1671="",Raw!B1671="",Raw!C1671="",Raw!D1671="",Raw!E1671="",Raw!F1671="",Raw!G1671=""),"UNUSED",IF(A1671="","missing line ID",IF(B1671="","missing transaction ID",IF(G1671="",IF(C1671="","missing date","invalid date"),IF(I1671="","unknown product",IF(J1671="","conflicting category",IF(NOT(OR(EXACT(K1671,"sale"),EXACT(K1671,"refund"))),"unknown event",IF(OR(N1671="",NOT(O1671)),"invalid amount",IF(OR(AND(K1671="sale",N1671&lt;=0),AND(K1671="refund",N1671&gt;=0)),"invalid sign","")))))))))</f>
        <v/>
      </c>
      <c r="U1671" s="1" t="str">
        <f t="shared" ref="U1671:U1734" si="213">IF(T1671="UNUSED","UNUSED",IF(R1671,"QUARANTINE",IF(S1671&gt;1,"DUPLICATE",IF(T1671&lt;&gt;"","QUARANTINE","INCLUDED"))))</f>
        <v>INCLUDED</v>
      </c>
      <c r="V1671" s="1" t="str">
        <f t="shared" ref="V1671:V1734" si="214">IF(G1671="","",TEXT(G1671,"yyyy-mm"))</f>
        <v>2026-03</v>
      </c>
      <c r="W1671" s="1">
        <f>IF(AND(U1671="INCLUDED",X1671&gt;0,EXACT(A1671,'AI output'!A1671)),1,0)</f>
        <v>1</v>
      </c>
      <c r="X1671" s="1">
        <f>1671</f>
        <v>1671</v>
      </c>
      <c r="Y1671" s="1">
        <f>IF(AND(U1671="INCLUDED",W1671=1),--(NOT(EXACT(A1671,'AI output'!A1671)))+--(NOT(EXACT(B1671,'AI output'!B1671)))+--(NOT(EXACT(TEXT(G1671,"yyyy-mm-dd"),'AI output'!C1671)))+--(NOT(EXACT(H1671,'AI output'!D1671)))+--(NOT(EXACT(J1671,'AI output'!E1671)))+--(NOT(EXACT(K1671,'AI output'!F1671)))+--(N1671&lt;&gt;'AI output'!L1671)+--(NOT('AI output'!M1671)),0)</f>
        <v>0</v>
      </c>
      <c r="Z1671" s="1">
        <f t="shared" ref="Z1671:Z1734" si="215">IF(U1671="INCLUDED",IF(OR(W1671&lt;&gt;1,Y1671&lt;&gt;0),1,0),0)</f>
        <v>0</v>
      </c>
      <c r="AA1671" s="1">
        <f>--EXACT(A1671,"L01665")</f>
        <v>1</v>
      </c>
    </row>
    <row r="1672" spans="1:27" ht="18.95" customHeight="1">
      <c r="A1672" s="1" t="str">
        <f>IF(Raw!A1672="","",Raw!A1672)</f>
        <v>L01666</v>
      </c>
      <c r="B1672" s="1" t="str">
        <f>IF(Raw!B1672="","",Raw!B1672)</f>
        <v>T00833</v>
      </c>
      <c r="C1672" s="1" t="str">
        <f>IF(Raw!C1672="","",Raw!C1672)</f>
        <v>2026-03-06</v>
      </c>
      <c r="D1672" s="1">
        <f t="shared" si="208"/>
        <v>2026</v>
      </c>
      <c r="E1672" s="1">
        <f>IFERROR(IF(AND(LEN(C1672)=10,MID(C1672,5,1)="-",MID(C1672,8,1)="-"),VALUE(MID(C1672,6,2)),IF(AND(LEN(C1672)=11,MID(C1672,3,1)="-",MID(C1672,7,1)="-"),MATCH(UPPER(MID(C1672,4,3)),Guide!$D$7:$D$18,0),0)),0)</f>
        <v>3</v>
      </c>
      <c r="F1672" s="1">
        <f t="shared" si="209"/>
        <v>6</v>
      </c>
      <c r="G1672" s="9">
        <f t="shared" si="210"/>
        <v>46087</v>
      </c>
      <c r="H1672" s="1" t="str">
        <f>IF(Raw!D1672="","",Raw!D1672)</f>
        <v>P-A</v>
      </c>
      <c r="I1672" s="1" t="str">
        <f>IFERROR(IF(EXACT(H1672,INDEX(Guide!$A$7:$A$9,MATCH(SUBSTITUTE(SUBSTITUTE(SUBSTITUTE(H1672,"~","~~"),"*","~*"),"?","~?"),Guide!$A$7:$A$9,0))),INDEX(Guide!$B$7:$B$9,MATCH(SUBSTITUTE(SUBSTITUTE(SUBSTITUTE(H1672,"~","~~"),"*","~*"),"?","~?"),Guide!$A$7:$A$9,0)),""),"")</f>
        <v>Accessories</v>
      </c>
      <c r="J1672" s="1" t="str">
        <f>IF(TRIM(Raw!E1672)="",I1672,IF(UPPER(TRIM(Raw!E1672))=UPPER(I1672),I1672,""))</f>
        <v>Accessories</v>
      </c>
      <c r="K1672" s="1" t="str">
        <f>IF(Raw!F1672="","",Raw!F1672)</f>
        <v>sale</v>
      </c>
      <c r="L1672" s="1" t="str">
        <f>IF(LEFT(TRIM(Raw!G1672),2)="-$","-"&amp;MID(TRIM(Raw!G1672),3,99),IF(LEFT(TRIM(Raw!G1672),1)="$",MID(TRIM(Raw!G1672),2,99),TRIM(Raw!G1672)))</f>
        <v>21.04</v>
      </c>
      <c r="M1672" s="1">
        <f t="shared" si="211"/>
        <v>21.04</v>
      </c>
      <c r="N1672" s="10">
        <f t="shared" si="212"/>
        <v>2104</v>
      </c>
      <c r="O1672" s="1" t="b">
        <f>IFERROR(IF(ISNUMBER(Raw!G1672),TRUE,OR(EXACT(L1672,TEXT(M1672,"0.00")),EXACT(L1672,TEXT(M1672,"#,##0.00")))),FALSE)</f>
        <v>1</v>
      </c>
      <c r="P1672" s="1" t="str">
        <f>LEN(IF(Raw!A1672="","",Raw!A1672))&amp;":"&amp;IF(Raw!A1672="","",Raw!A1672)&amp;"|"&amp;LEN(IF(Raw!B1672="","",Raw!B1672))&amp;":"&amp;IF(Raw!B1672="","",Raw!B1672)&amp;"|"&amp;LEN(IF(Raw!C1672="","",Raw!C1672))&amp;":"&amp;IF(Raw!C1672="","",Raw!C1672)&amp;"|"&amp;LEN(IF(Raw!D1672="","",Raw!D1672))&amp;":"&amp;IF(Raw!D1672="","",Raw!D1672)&amp;"|"&amp;LEN(IF(Raw!E1672="","",Raw!E1672))&amp;":"&amp;IF(Raw!E1672="","",Raw!E1672)&amp;"|"&amp;LEN(IF(Raw!F1672="","",Raw!F1672))&amp;":"&amp;IF(Raw!F1672="","",Raw!F1672)&amp;"|"&amp;LEN(IF(Raw!G1672="","",Raw!G1672))&amp;":"&amp;IF(Raw!G1672="","",Raw!G1672)</f>
        <v>6:L01666|6:T00833|10:2026-03-06|3:P-A|11:Accessories|4:sale|5:21.04</v>
      </c>
      <c r="Q1672" s="1">
        <f>1</f>
        <v>1</v>
      </c>
      <c r="R1672" s="1" t="b">
        <f>FALSE</f>
        <v>0</v>
      </c>
      <c r="S1672" s="1">
        <f>1</f>
        <v>1</v>
      </c>
      <c r="T1672" s="1" t="str">
        <f>IF(AND(Raw!A1672="",Raw!B1672="",Raw!C1672="",Raw!D1672="",Raw!E1672="",Raw!F1672="",Raw!G1672=""),"UNUSED",IF(A1672="","missing line ID",IF(B1672="","missing transaction ID",IF(G1672="",IF(C1672="","missing date","invalid date"),IF(I1672="","unknown product",IF(J1672="","conflicting category",IF(NOT(OR(EXACT(K1672,"sale"),EXACT(K1672,"refund"))),"unknown event",IF(OR(N1672="",NOT(O1672)),"invalid amount",IF(OR(AND(K1672="sale",N1672&lt;=0),AND(K1672="refund",N1672&gt;=0)),"invalid sign","")))))))))</f>
        <v/>
      </c>
      <c r="U1672" s="1" t="str">
        <f t="shared" si="213"/>
        <v>INCLUDED</v>
      </c>
      <c r="V1672" s="1" t="str">
        <f t="shared" si="214"/>
        <v>2026-03</v>
      </c>
      <c r="W1672" s="1">
        <f>IF(AND(U1672="INCLUDED",X1672&gt;0,EXACT(A1672,'AI output'!A1672)),1,0)</f>
        <v>1</v>
      </c>
      <c r="X1672" s="1">
        <f>1672</f>
        <v>1672</v>
      </c>
      <c r="Y1672" s="1">
        <f>IF(AND(U1672="INCLUDED",W1672=1),--(NOT(EXACT(A1672,'AI output'!A1672)))+--(NOT(EXACT(B1672,'AI output'!B1672)))+--(NOT(EXACT(TEXT(G1672,"yyyy-mm-dd"),'AI output'!C1672)))+--(NOT(EXACT(H1672,'AI output'!D1672)))+--(NOT(EXACT(J1672,'AI output'!E1672)))+--(NOT(EXACT(K1672,'AI output'!F1672)))+--(N1672&lt;&gt;'AI output'!L1672)+--(NOT('AI output'!M1672)),0)</f>
        <v>0</v>
      </c>
      <c r="Z1672" s="1">
        <f t="shared" si="215"/>
        <v>0</v>
      </c>
      <c r="AA1672" s="1">
        <f>--EXACT(A1672,"L01666")</f>
        <v>1</v>
      </c>
    </row>
    <row r="1673" spans="1:27" ht="18.95" customHeight="1">
      <c r="A1673" s="1" t="str">
        <f>IF(Raw!A1673="","",Raw!A1673)</f>
        <v>L01667</v>
      </c>
      <c r="B1673" s="1" t="str">
        <f>IF(Raw!B1673="","",Raw!B1673)</f>
        <v>T00834</v>
      </c>
      <c r="C1673" s="1" t="str">
        <f>IF(Raw!C1673="","",Raw!C1673)</f>
        <v>2026-03-13</v>
      </c>
      <c r="D1673" s="1">
        <f t="shared" si="208"/>
        <v>2026</v>
      </c>
      <c r="E1673" s="1">
        <f>IFERROR(IF(AND(LEN(C1673)=10,MID(C1673,5,1)="-",MID(C1673,8,1)="-"),VALUE(MID(C1673,6,2)),IF(AND(LEN(C1673)=11,MID(C1673,3,1)="-",MID(C1673,7,1)="-"),MATCH(UPPER(MID(C1673,4,3)),Guide!$D$7:$D$18,0),0)),0)</f>
        <v>3</v>
      </c>
      <c r="F1673" s="1">
        <f t="shared" si="209"/>
        <v>13</v>
      </c>
      <c r="G1673" s="9">
        <f t="shared" si="210"/>
        <v>46094</v>
      </c>
      <c r="H1673" s="1" t="str">
        <f>IF(Raw!D1673="","",Raw!D1673)</f>
        <v>P-H</v>
      </c>
      <c r="I1673" s="1" t="str">
        <f>IFERROR(IF(EXACT(H1673,INDEX(Guide!$A$7:$A$9,MATCH(SUBSTITUTE(SUBSTITUTE(SUBSTITUTE(H1673,"~","~~"),"*","~*"),"?","~?"),Guide!$A$7:$A$9,0))),INDEX(Guide!$B$7:$B$9,MATCH(SUBSTITUTE(SUBSTITUTE(SUBSTITUTE(H1673,"~","~~"),"*","~*"),"?","~?"),Guide!$A$7:$A$9,0)),""),"")</f>
        <v>Home</v>
      </c>
      <c r="J1673" s="1" t="str">
        <f>IF(TRIM(Raw!E1673)="",I1673,IF(UPPER(TRIM(Raw!E1673))=UPPER(I1673),I1673,""))</f>
        <v>Home</v>
      </c>
      <c r="K1673" s="1" t="str">
        <f>IF(Raw!F1673="","",Raw!F1673)</f>
        <v>sale</v>
      </c>
      <c r="L1673" s="1" t="str">
        <f>IF(LEFT(TRIM(Raw!G1673),2)="-$","-"&amp;MID(TRIM(Raw!G1673),3,99),IF(LEFT(TRIM(Raw!G1673),1)="$",MID(TRIM(Raw!G1673),2,99),TRIM(Raw!G1673)))</f>
        <v>64.23</v>
      </c>
      <c r="M1673" s="1">
        <f t="shared" si="211"/>
        <v>64.23</v>
      </c>
      <c r="N1673" s="10">
        <f t="shared" si="212"/>
        <v>6423</v>
      </c>
      <c r="O1673" s="1" t="b">
        <f>IFERROR(IF(ISNUMBER(Raw!G1673),TRUE,OR(EXACT(L1673,TEXT(M1673,"0.00")),EXACT(L1673,TEXT(M1673,"#,##0.00")))),FALSE)</f>
        <v>1</v>
      </c>
      <c r="P1673" s="1" t="str">
        <f>LEN(IF(Raw!A1673="","",Raw!A1673))&amp;":"&amp;IF(Raw!A1673="","",Raw!A1673)&amp;"|"&amp;LEN(IF(Raw!B1673="","",Raw!B1673))&amp;":"&amp;IF(Raw!B1673="","",Raw!B1673)&amp;"|"&amp;LEN(IF(Raw!C1673="","",Raw!C1673))&amp;":"&amp;IF(Raw!C1673="","",Raw!C1673)&amp;"|"&amp;LEN(IF(Raw!D1673="","",Raw!D1673))&amp;":"&amp;IF(Raw!D1673="","",Raw!D1673)&amp;"|"&amp;LEN(IF(Raw!E1673="","",Raw!E1673))&amp;":"&amp;IF(Raw!E1673="","",Raw!E1673)&amp;"|"&amp;LEN(IF(Raw!F1673="","",Raw!F1673))&amp;":"&amp;IF(Raw!F1673="","",Raw!F1673)&amp;"|"&amp;LEN(IF(Raw!G1673="","",Raw!G1673))&amp;":"&amp;IF(Raw!G1673="","",Raw!G1673)</f>
        <v>6:L01667|6:T00834|10:2026-03-13|3:P-H|4:Home|4:sale|5:64.23</v>
      </c>
      <c r="Q1673" s="1">
        <f>1</f>
        <v>1</v>
      </c>
      <c r="R1673" s="1" t="b">
        <f>FALSE</f>
        <v>0</v>
      </c>
      <c r="S1673" s="1">
        <f>1</f>
        <v>1</v>
      </c>
      <c r="T1673" s="1" t="str">
        <f>IF(AND(Raw!A1673="",Raw!B1673="",Raw!C1673="",Raw!D1673="",Raw!E1673="",Raw!F1673="",Raw!G1673=""),"UNUSED",IF(A1673="","missing line ID",IF(B1673="","missing transaction ID",IF(G1673="",IF(C1673="","missing date","invalid date"),IF(I1673="","unknown product",IF(J1673="","conflicting category",IF(NOT(OR(EXACT(K1673,"sale"),EXACT(K1673,"refund"))),"unknown event",IF(OR(N1673="",NOT(O1673)),"invalid amount",IF(OR(AND(K1673="sale",N1673&lt;=0),AND(K1673="refund",N1673&gt;=0)),"invalid sign","")))))))))</f>
        <v/>
      </c>
      <c r="U1673" s="1" t="str">
        <f t="shared" si="213"/>
        <v>INCLUDED</v>
      </c>
      <c r="V1673" s="1" t="str">
        <f t="shared" si="214"/>
        <v>2026-03</v>
      </c>
      <c r="W1673" s="1">
        <f>IF(AND(U1673="INCLUDED",X1673&gt;0,EXACT(A1673,'AI output'!A1673)),1,0)</f>
        <v>1</v>
      </c>
      <c r="X1673" s="1">
        <f>1673</f>
        <v>1673</v>
      </c>
      <c r="Y1673" s="1">
        <f>IF(AND(U1673="INCLUDED",W1673=1),--(NOT(EXACT(A1673,'AI output'!A1673)))+--(NOT(EXACT(B1673,'AI output'!B1673)))+--(NOT(EXACT(TEXT(G1673,"yyyy-mm-dd"),'AI output'!C1673)))+--(NOT(EXACT(H1673,'AI output'!D1673)))+--(NOT(EXACT(J1673,'AI output'!E1673)))+--(NOT(EXACT(K1673,'AI output'!F1673)))+--(N1673&lt;&gt;'AI output'!L1673)+--(NOT('AI output'!M1673)),0)</f>
        <v>0</v>
      </c>
      <c r="Z1673" s="1">
        <f t="shared" si="215"/>
        <v>0</v>
      </c>
      <c r="AA1673" s="1">
        <f>--EXACT(A1673,"L01667")</f>
        <v>1</v>
      </c>
    </row>
    <row r="1674" spans="1:27" ht="18.95" customHeight="1">
      <c r="A1674" s="1" t="str">
        <f>IF(Raw!A1674="","",Raw!A1674)</f>
        <v>L01668</v>
      </c>
      <c r="B1674" s="1" t="str">
        <f>IF(Raw!B1674="","",Raw!B1674)</f>
        <v>T00834</v>
      </c>
      <c r="C1674" s="1" t="str">
        <f>IF(Raw!C1674="","",Raw!C1674)</f>
        <v>2026-03-13</v>
      </c>
      <c r="D1674" s="1">
        <f t="shared" si="208"/>
        <v>2026</v>
      </c>
      <c r="E1674" s="1">
        <f>IFERROR(IF(AND(LEN(C1674)=10,MID(C1674,5,1)="-",MID(C1674,8,1)="-"),VALUE(MID(C1674,6,2)),IF(AND(LEN(C1674)=11,MID(C1674,3,1)="-",MID(C1674,7,1)="-"),MATCH(UPPER(MID(C1674,4,3)),Guide!$D$7:$D$18,0),0)),0)</f>
        <v>3</v>
      </c>
      <c r="F1674" s="1">
        <f t="shared" si="209"/>
        <v>13</v>
      </c>
      <c r="G1674" s="9">
        <f t="shared" si="210"/>
        <v>46094</v>
      </c>
      <c r="H1674" s="1" t="str">
        <f>IF(Raw!D1674="","",Raw!D1674)</f>
        <v>P-O</v>
      </c>
      <c r="I1674" s="1" t="str">
        <f>IFERROR(IF(EXACT(H1674,INDEX(Guide!$A$7:$A$9,MATCH(SUBSTITUTE(SUBSTITUTE(SUBSTITUTE(H1674,"~","~~"),"*","~*"),"?","~?"),Guide!$A$7:$A$9,0))),INDEX(Guide!$B$7:$B$9,MATCH(SUBSTITUTE(SUBSTITUTE(SUBSTITUTE(H1674,"~","~~"),"*","~*"),"?","~?"),Guide!$A$7:$A$9,0)),""),"")</f>
        <v>Office</v>
      </c>
      <c r="J1674" s="1" t="str">
        <f>IF(TRIM(Raw!E1674)="",I1674,IF(UPPER(TRIM(Raw!E1674))=UPPER(I1674),I1674,""))</f>
        <v>Office</v>
      </c>
      <c r="K1674" s="1" t="str">
        <f>IF(Raw!F1674="","",Raw!F1674)</f>
        <v>sale</v>
      </c>
      <c r="L1674" s="1" t="str">
        <f>IF(LEFT(TRIM(Raw!G1674),2)="-$","-"&amp;MID(TRIM(Raw!G1674),3,99),IF(LEFT(TRIM(Raw!G1674),1)="$",MID(TRIM(Raw!G1674),2,99),TRIM(Raw!G1674)))</f>
        <v>108.90</v>
      </c>
      <c r="M1674" s="1">
        <f t="shared" si="211"/>
        <v>108.9</v>
      </c>
      <c r="N1674" s="10">
        <f t="shared" si="212"/>
        <v>10890</v>
      </c>
      <c r="O1674" s="1" t="b">
        <f>IFERROR(IF(ISNUMBER(Raw!G1674),TRUE,OR(EXACT(L1674,TEXT(M1674,"0.00")),EXACT(L1674,TEXT(M1674,"#,##0.00")))),FALSE)</f>
        <v>1</v>
      </c>
      <c r="P1674" s="1" t="str">
        <f>LEN(IF(Raw!A1674="","",Raw!A1674))&amp;":"&amp;IF(Raw!A1674="","",Raw!A1674)&amp;"|"&amp;LEN(IF(Raw!B1674="","",Raw!B1674))&amp;":"&amp;IF(Raw!B1674="","",Raw!B1674)&amp;"|"&amp;LEN(IF(Raw!C1674="","",Raw!C1674))&amp;":"&amp;IF(Raw!C1674="","",Raw!C1674)&amp;"|"&amp;LEN(IF(Raw!D1674="","",Raw!D1674))&amp;":"&amp;IF(Raw!D1674="","",Raw!D1674)&amp;"|"&amp;LEN(IF(Raw!E1674="","",Raw!E1674))&amp;":"&amp;IF(Raw!E1674="","",Raw!E1674)&amp;"|"&amp;LEN(IF(Raw!F1674="","",Raw!F1674))&amp;":"&amp;IF(Raw!F1674="","",Raw!F1674)&amp;"|"&amp;LEN(IF(Raw!G1674="","",Raw!G1674))&amp;":"&amp;IF(Raw!G1674="","",Raw!G1674)</f>
        <v>6:L01668|6:T00834|10:2026-03-13|3:P-O|6:Office|4:sale|6:108.90</v>
      </c>
      <c r="Q1674" s="1">
        <f>1</f>
        <v>1</v>
      </c>
      <c r="R1674" s="1" t="b">
        <f>FALSE</f>
        <v>0</v>
      </c>
      <c r="S1674" s="1">
        <f>1</f>
        <v>1</v>
      </c>
      <c r="T1674" s="1" t="str">
        <f>IF(AND(Raw!A1674="",Raw!B1674="",Raw!C1674="",Raw!D1674="",Raw!E1674="",Raw!F1674="",Raw!G1674=""),"UNUSED",IF(A1674="","missing line ID",IF(B1674="","missing transaction ID",IF(G1674="",IF(C1674="","missing date","invalid date"),IF(I1674="","unknown product",IF(J1674="","conflicting category",IF(NOT(OR(EXACT(K1674,"sale"),EXACT(K1674,"refund"))),"unknown event",IF(OR(N1674="",NOT(O1674)),"invalid amount",IF(OR(AND(K1674="sale",N1674&lt;=0),AND(K1674="refund",N1674&gt;=0)),"invalid sign","")))))))))</f>
        <v/>
      </c>
      <c r="U1674" s="1" t="str">
        <f t="shared" si="213"/>
        <v>INCLUDED</v>
      </c>
      <c r="V1674" s="1" t="str">
        <f t="shared" si="214"/>
        <v>2026-03</v>
      </c>
      <c r="W1674" s="1">
        <f>IF(AND(U1674="INCLUDED",X1674&gt;0,EXACT(A1674,'AI output'!A1674)),1,0)</f>
        <v>1</v>
      </c>
      <c r="X1674" s="1">
        <f>1674</f>
        <v>1674</v>
      </c>
      <c r="Y1674" s="1">
        <f>IF(AND(U1674="INCLUDED",W1674=1),--(NOT(EXACT(A1674,'AI output'!A1674)))+--(NOT(EXACT(B1674,'AI output'!B1674)))+--(NOT(EXACT(TEXT(G1674,"yyyy-mm-dd"),'AI output'!C1674)))+--(NOT(EXACT(H1674,'AI output'!D1674)))+--(NOT(EXACT(J1674,'AI output'!E1674)))+--(NOT(EXACT(K1674,'AI output'!F1674)))+--(N1674&lt;&gt;'AI output'!L1674)+--(NOT('AI output'!M1674)),0)</f>
        <v>0</v>
      </c>
      <c r="Z1674" s="1">
        <f t="shared" si="215"/>
        <v>0</v>
      </c>
      <c r="AA1674" s="1">
        <f>--EXACT(A1674,"L01668")</f>
        <v>1</v>
      </c>
    </row>
    <row r="1675" spans="1:27" ht="18.95" customHeight="1">
      <c r="A1675" s="1" t="str">
        <f>IF(Raw!A1675="","",Raw!A1675)</f>
        <v>L01669</v>
      </c>
      <c r="B1675" s="1" t="str">
        <f>IF(Raw!B1675="","",Raw!B1675)</f>
        <v>T00835</v>
      </c>
      <c r="C1675" s="1" t="str">
        <f>IF(Raw!C1675="","",Raw!C1675)</f>
        <v>2026-03-20</v>
      </c>
      <c r="D1675" s="1">
        <f t="shared" si="208"/>
        <v>2026</v>
      </c>
      <c r="E1675" s="1">
        <f>IFERROR(IF(AND(LEN(C1675)=10,MID(C1675,5,1)="-",MID(C1675,8,1)="-"),VALUE(MID(C1675,6,2)),IF(AND(LEN(C1675)=11,MID(C1675,3,1)="-",MID(C1675,7,1)="-"),MATCH(UPPER(MID(C1675,4,3)),Guide!$D$7:$D$18,0),0)),0)</f>
        <v>3</v>
      </c>
      <c r="F1675" s="1">
        <f t="shared" si="209"/>
        <v>20</v>
      </c>
      <c r="G1675" s="9">
        <f t="shared" si="210"/>
        <v>46101</v>
      </c>
      <c r="H1675" s="1" t="str">
        <f>IF(Raw!D1675="","",Raw!D1675)</f>
        <v>P-A</v>
      </c>
      <c r="I1675" s="1" t="str">
        <f>IFERROR(IF(EXACT(H1675,INDEX(Guide!$A$7:$A$9,MATCH(SUBSTITUTE(SUBSTITUTE(SUBSTITUTE(H1675,"~","~~"),"*","~*"),"?","~?"),Guide!$A$7:$A$9,0))),INDEX(Guide!$B$7:$B$9,MATCH(SUBSTITUTE(SUBSTITUTE(SUBSTITUTE(H1675,"~","~~"),"*","~*"),"?","~?"),Guide!$A$7:$A$9,0)),""),"")</f>
        <v>Accessories</v>
      </c>
      <c r="J1675" s="1" t="str">
        <f>IF(TRIM(Raw!E1675)="",I1675,IF(UPPER(TRIM(Raw!E1675))=UPPER(I1675),I1675,""))</f>
        <v>Accessories</v>
      </c>
      <c r="K1675" s="1" t="str">
        <f>IF(Raw!F1675="","",Raw!F1675)</f>
        <v>sale</v>
      </c>
      <c r="L1675" s="1" t="str">
        <f>IF(LEFT(TRIM(Raw!G1675),2)="-$","-"&amp;MID(TRIM(Raw!G1675),3,99),IF(LEFT(TRIM(Raw!G1675),1)="$",MID(TRIM(Raw!G1675),2,99),TRIM(Raw!G1675)))</f>
        <v>44.30</v>
      </c>
      <c r="M1675" s="1">
        <f t="shared" si="211"/>
        <v>44.3</v>
      </c>
      <c r="N1675" s="10">
        <f t="shared" si="212"/>
        <v>4430</v>
      </c>
      <c r="O1675" s="1" t="b">
        <f>IFERROR(IF(ISNUMBER(Raw!G1675),TRUE,OR(EXACT(L1675,TEXT(M1675,"0.00")),EXACT(L1675,TEXT(M1675,"#,##0.00")))),FALSE)</f>
        <v>1</v>
      </c>
      <c r="P1675" s="1" t="str">
        <f>LEN(IF(Raw!A1675="","",Raw!A1675))&amp;":"&amp;IF(Raw!A1675="","",Raw!A1675)&amp;"|"&amp;LEN(IF(Raw!B1675="","",Raw!B1675))&amp;":"&amp;IF(Raw!B1675="","",Raw!B1675)&amp;"|"&amp;LEN(IF(Raw!C1675="","",Raw!C1675))&amp;":"&amp;IF(Raw!C1675="","",Raw!C1675)&amp;"|"&amp;LEN(IF(Raw!D1675="","",Raw!D1675))&amp;":"&amp;IF(Raw!D1675="","",Raw!D1675)&amp;"|"&amp;LEN(IF(Raw!E1675="","",Raw!E1675))&amp;":"&amp;IF(Raw!E1675="","",Raw!E1675)&amp;"|"&amp;LEN(IF(Raw!F1675="","",Raw!F1675))&amp;":"&amp;IF(Raw!F1675="","",Raw!F1675)&amp;"|"&amp;LEN(IF(Raw!G1675="","",Raw!G1675))&amp;":"&amp;IF(Raw!G1675="","",Raw!G1675)</f>
        <v>6:L01669|6:T00835|10:2026-03-20|3:P-A|11:Accessories|4:sale|5:44.30</v>
      </c>
      <c r="Q1675" s="1">
        <f>1</f>
        <v>1</v>
      </c>
      <c r="R1675" s="1" t="b">
        <f>FALSE</f>
        <v>0</v>
      </c>
      <c r="S1675" s="1">
        <f>1</f>
        <v>1</v>
      </c>
      <c r="T1675" s="1" t="str">
        <f>IF(AND(Raw!A1675="",Raw!B1675="",Raw!C1675="",Raw!D1675="",Raw!E1675="",Raw!F1675="",Raw!G1675=""),"UNUSED",IF(A1675="","missing line ID",IF(B1675="","missing transaction ID",IF(G1675="",IF(C1675="","missing date","invalid date"),IF(I1675="","unknown product",IF(J1675="","conflicting category",IF(NOT(OR(EXACT(K1675,"sale"),EXACT(K1675,"refund"))),"unknown event",IF(OR(N1675="",NOT(O1675)),"invalid amount",IF(OR(AND(K1675="sale",N1675&lt;=0),AND(K1675="refund",N1675&gt;=0)),"invalid sign","")))))))))</f>
        <v/>
      </c>
      <c r="U1675" s="1" t="str">
        <f t="shared" si="213"/>
        <v>INCLUDED</v>
      </c>
      <c r="V1675" s="1" t="str">
        <f t="shared" si="214"/>
        <v>2026-03</v>
      </c>
      <c r="W1675" s="1">
        <f>IF(AND(U1675="INCLUDED",X1675&gt;0,EXACT(A1675,'AI output'!A1675)),1,0)</f>
        <v>1</v>
      </c>
      <c r="X1675" s="1">
        <f>1675</f>
        <v>1675</v>
      </c>
      <c r="Y1675" s="1">
        <f>IF(AND(U1675="INCLUDED",W1675=1),--(NOT(EXACT(A1675,'AI output'!A1675)))+--(NOT(EXACT(B1675,'AI output'!B1675)))+--(NOT(EXACT(TEXT(G1675,"yyyy-mm-dd"),'AI output'!C1675)))+--(NOT(EXACT(H1675,'AI output'!D1675)))+--(NOT(EXACT(J1675,'AI output'!E1675)))+--(NOT(EXACT(K1675,'AI output'!F1675)))+--(N1675&lt;&gt;'AI output'!L1675)+--(NOT('AI output'!M1675)),0)</f>
        <v>0</v>
      </c>
      <c r="Z1675" s="1">
        <f t="shared" si="215"/>
        <v>0</v>
      </c>
      <c r="AA1675" s="1">
        <f>--EXACT(A1675,"L01669")</f>
        <v>1</v>
      </c>
    </row>
    <row r="1676" spans="1:27" ht="18.95" customHeight="1">
      <c r="A1676" s="1" t="str">
        <f>IF(Raw!A1676="","",Raw!A1676)</f>
        <v>L01670</v>
      </c>
      <c r="B1676" s="1" t="str">
        <f>IF(Raw!B1676="","",Raw!B1676)</f>
        <v>T00835</v>
      </c>
      <c r="C1676" s="1" t="str">
        <f>IF(Raw!C1676="","",Raw!C1676)</f>
        <v>2026-03-20</v>
      </c>
      <c r="D1676" s="1">
        <f t="shared" si="208"/>
        <v>2026</v>
      </c>
      <c r="E1676" s="1">
        <f>IFERROR(IF(AND(LEN(C1676)=10,MID(C1676,5,1)="-",MID(C1676,8,1)="-"),VALUE(MID(C1676,6,2)),IF(AND(LEN(C1676)=11,MID(C1676,3,1)="-",MID(C1676,7,1)="-"),MATCH(UPPER(MID(C1676,4,3)),Guide!$D$7:$D$18,0),0)),0)</f>
        <v>3</v>
      </c>
      <c r="F1676" s="1">
        <f t="shared" si="209"/>
        <v>20</v>
      </c>
      <c r="G1676" s="9">
        <f t="shared" si="210"/>
        <v>46101</v>
      </c>
      <c r="H1676" s="1" t="str">
        <f>IF(Raw!D1676="","",Raw!D1676)</f>
        <v>P-H</v>
      </c>
      <c r="I1676" s="1" t="str">
        <f>IFERROR(IF(EXACT(H1676,INDEX(Guide!$A$7:$A$9,MATCH(SUBSTITUTE(SUBSTITUTE(SUBSTITUTE(H1676,"~","~~"),"*","~*"),"?","~?"),Guide!$A$7:$A$9,0))),INDEX(Guide!$B$7:$B$9,MATCH(SUBSTITUTE(SUBSTITUTE(SUBSTITUTE(H1676,"~","~~"),"*","~*"),"?","~?"),Guide!$A$7:$A$9,0)),""),"")</f>
        <v>Home</v>
      </c>
      <c r="J1676" s="1" t="str">
        <f>IF(TRIM(Raw!E1676)="",I1676,IF(UPPER(TRIM(Raw!E1676))=UPPER(I1676),I1676,""))</f>
        <v>Home</v>
      </c>
      <c r="K1676" s="1" t="str">
        <f>IF(Raw!F1676="","",Raw!F1676)</f>
        <v>sale</v>
      </c>
      <c r="L1676" s="1" t="str">
        <f>IF(LEFT(TRIM(Raw!G1676),2)="-$","-"&amp;MID(TRIM(Raw!G1676),3,99),IF(LEFT(TRIM(Raw!G1676),1)="$",MID(TRIM(Raw!G1676),2,99),TRIM(Raw!G1676)))</f>
        <v>90.08</v>
      </c>
      <c r="M1676" s="1">
        <f t="shared" si="211"/>
        <v>90.08</v>
      </c>
      <c r="N1676" s="10">
        <f t="shared" si="212"/>
        <v>9008</v>
      </c>
      <c r="O1676" s="1" t="b">
        <f>IFERROR(IF(ISNUMBER(Raw!G1676),TRUE,OR(EXACT(L1676,TEXT(M1676,"0.00")),EXACT(L1676,TEXT(M1676,"#,##0.00")))),FALSE)</f>
        <v>1</v>
      </c>
      <c r="P1676" s="1" t="str">
        <f>LEN(IF(Raw!A1676="","",Raw!A1676))&amp;":"&amp;IF(Raw!A1676="","",Raw!A1676)&amp;"|"&amp;LEN(IF(Raw!B1676="","",Raw!B1676))&amp;":"&amp;IF(Raw!B1676="","",Raw!B1676)&amp;"|"&amp;LEN(IF(Raw!C1676="","",Raw!C1676))&amp;":"&amp;IF(Raw!C1676="","",Raw!C1676)&amp;"|"&amp;LEN(IF(Raw!D1676="","",Raw!D1676))&amp;":"&amp;IF(Raw!D1676="","",Raw!D1676)&amp;"|"&amp;LEN(IF(Raw!E1676="","",Raw!E1676))&amp;":"&amp;IF(Raw!E1676="","",Raw!E1676)&amp;"|"&amp;LEN(IF(Raw!F1676="","",Raw!F1676))&amp;":"&amp;IF(Raw!F1676="","",Raw!F1676)&amp;"|"&amp;LEN(IF(Raw!G1676="","",Raw!G1676))&amp;":"&amp;IF(Raw!G1676="","",Raw!G1676)</f>
        <v>6:L01670|6:T00835|10:2026-03-20|3:P-H|4:Home|4:sale|5:90.08</v>
      </c>
      <c r="Q1676" s="1">
        <f>1</f>
        <v>1</v>
      </c>
      <c r="R1676" s="1" t="b">
        <f>FALSE</f>
        <v>0</v>
      </c>
      <c r="S1676" s="1">
        <f>1</f>
        <v>1</v>
      </c>
      <c r="T1676" s="1" t="str">
        <f>IF(AND(Raw!A1676="",Raw!B1676="",Raw!C1676="",Raw!D1676="",Raw!E1676="",Raw!F1676="",Raw!G1676=""),"UNUSED",IF(A1676="","missing line ID",IF(B1676="","missing transaction ID",IF(G1676="",IF(C1676="","missing date","invalid date"),IF(I1676="","unknown product",IF(J1676="","conflicting category",IF(NOT(OR(EXACT(K1676,"sale"),EXACT(K1676,"refund"))),"unknown event",IF(OR(N1676="",NOT(O1676)),"invalid amount",IF(OR(AND(K1676="sale",N1676&lt;=0),AND(K1676="refund",N1676&gt;=0)),"invalid sign","")))))))))</f>
        <v/>
      </c>
      <c r="U1676" s="1" t="str">
        <f t="shared" si="213"/>
        <v>INCLUDED</v>
      </c>
      <c r="V1676" s="1" t="str">
        <f t="shared" si="214"/>
        <v>2026-03</v>
      </c>
      <c r="W1676" s="1">
        <f>IF(AND(U1676="INCLUDED",X1676&gt;0,EXACT(A1676,'AI output'!A1676)),1,0)</f>
        <v>1</v>
      </c>
      <c r="X1676" s="1">
        <f>1676</f>
        <v>1676</v>
      </c>
      <c r="Y1676" s="1">
        <f>IF(AND(U1676="INCLUDED",W1676=1),--(NOT(EXACT(A1676,'AI output'!A1676)))+--(NOT(EXACT(B1676,'AI output'!B1676)))+--(NOT(EXACT(TEXT(G1676,"yyyy-mm-dd"),'AI output'!C1676)))+--(NOT(EXACT(H1676,'AI output'!D1676)))+--(NOT(EXACT(J1676,'AI output'!E1676)))+--(NOT(EXACT(K1676,'AI output'!F1676)))+--(N1676&lt;&gt;'AI output'!L1676)+--(NOT('AI output'!M1676)),0)</f>
        <v>0</v>
      </c>
      <c r="Z1676" s="1">
        <f t="shared" si="215"/>
        <v>0</v>
      </c>
      <c r="AA1676" s="1">
        <f>--EXACT(A1676,"L01670")</f>
        <v>1</v>
      </c>
    </row>
    <row r="1677" spans="1:27" ht="18.95" customHeight="1">
      <c r="A1677" s="1" t="str">
        <f>IF(Raw!A1677="","",Raw!A1677)</f>
        <v>L01671</v>
      </c>
      <c r="B1677" s="1" t="str">
        <f>IF(Raw!B1677="","",Raw!B1677)</f>
        <v>T00836</v>
      </c>
      <c r="C1677" s="1" t="str">
        <f>IF(Raw!C1677="","",Raw!C1677)</f>
        <v>2026-03-27</v>
      </c>
      <c r="D1677" s="1">
        <f t="shared" si="208"/>
        <v>2026</v>
      </c>
      <c r="E1677" s="1">
        <f>IFERROR(IF(AND(LEN(C1677)=10,MID(C1677,5,1)="-",MID(C1677,8,1)="-"),VALUE(MID(C1677,6,2)),IF(AND(LEN(C1677)=11,MID(C1677,3,1)="-",MID(C1677,7,1)="-"),MATCH(UPPER(MID(C1677,4,3)),Guide!$D$7:$D$18,0),0)),0)</f>
        <v>3</v>
      </c>
      <c r="F1677" s="1">
        <f t="shared" si="209"/>
        <v>27</v>
      </c>
      <c r="G1677" s="9">
        <f t="shared" si="210"/>
        <v>46108</v>
      </c>
      <c r="H1677" s="1" t="str">
        <f>IF(Raw!D1677="","",Raw!D1677)</f>
        <v>P-O</v>
      </c>
      <c r="I1677" s="1" t="str">
        <f>IFERROR(IF(EXACT(H1677,INDEX(Guide!$A$7:$A$9,MATCH(SUBSTITUTE(SUBSTITUTE(SUBSTITUTE(H1677,"~","~~"),"*","~*"),"?","~?"),Guide!$A$7:$A$9,0))),INDEX(Guide!$B$7:$B$9,MATCH(SUBSTITUTE(SUBSTITUTE(SUBSTITUTE(H1677,"~","~~"),"*","~*"),"?","~?"),Guide!$A$7:$A$9,0)),""),"")</f>
        <v>Office</v>
      </c>
      <c r="J1677" s="1" t="str">
        <f>IF(TRIM(Raw!E1677)="",I1677,IF(UPPER(TRIM(Raw!E1677))=UPPER(I1677),I1677,""))</f>
        <v>Office</v>
      </c>
      <c r="K1677" s="1" t="str">
        <f>IF(Raw!F1677="","",Raw!F1677)</f>
        <v>sale</v>
      </c>
      <c r="L1677" s="1" t="str">
        <f>IF(LEFT(TRIM(Raw!G1677),2)="-$","-"&amp;MID(TRIM(Raw!G1677),3,99),IF(LEFT(TRIM(Raw!G1677),1)="$",MID(TRIM(Raw!G1677),2,99),TRIM(Raw!G1677)))</f>
        <v>22.89</v>
      </c>
      <c r="M1677" s="1">
        <f t="shared" si="211"/>
        <v>22.89</v>
      </c>
      <c r="N1677" s="10">
        <f t="shared" si="212"/>
        <v>2289</v>
      </c>
      <c r="O1677" s="1" t="b">
        <f>IFERROR(IF(ISNUMBER(Raw!G1677),TRUE,OR(EXACT(L1677,TEXT(M1677,"0.00")),EXACT(L1677,TEXT(M1677,"#,##0.00")))),FALSE)</f>
        <v>1</v>
      </c>
      <c r="P1677" s="1" t="str">
        <f>LEN(IF(Raw!A1677="","",Raw!A1677))&amp;":"&amp;IF(Raw!A1677="","",Raw!A1677)&amp;"|"&amp;LEN(IF(Raw!B1677="","",Raw!B1677))&amp;":"&amp;IF(Raw!B1677="","",Raw!B1677)&amp;"|"&amp;LEN(IF(Raw!C1677="","",Raw!C1677))&amp;":"&amp;IF(Raw!C1677="","",Raw!C1677)&amp;"|"&amp;LEN(IF(Raw!D1677="","",Raw!D1677))&amp;":"&amp;IF(Raw!D1677="","",Raw!D1677)&amp;"|"&amp;LEN(IF(Raw!E1677="","",Raw!E1677))&amp;":"&amp;IF(Raw!E1677="","",Raw!E1677)&amp;"|"&amp;LEN(IF(Raw!F1677="","",Raw!F1677))&amp;":"&amp;IF(Raw!F1677="","",Raw!F1677)&amp;"|"&amp;LEN(IF(Raw!G1677="","",Raw!G1677))&amp;":"&amp;IF(Raw!G1677="","",Raw!G1677)</f>
        <v>6:L01671|6:T00836|10:2026-03-27|3:P-O|6:Office|4:sale|6:$22.89</v>
      </c>
      <c r="Q1677" s="1">
        <f>1</f>
        <v>1</v>
      </c>
      <c r="R1677" s="1" t="b">
        <f>FALSE</f>
        <v>0</v>
      </c>
      <c r="S1677" s="1">
        <f>1</f>
        <v>1</v>
      </c>
      <c r="T1677" s="1" t="str">
        <f>IF(AND(Raw!A1677="",Raw!B1677="",Raw!C1677="",Raw!D1677="",Raw!E1677="",Raw!F1677="",Raw!G1677=""),"UNUSED",IF(A1677="","missing line ID",IF(B1677="","missing transaction ID",IF(G1677="",IF(C1677="","missing date","invalid date"),IF(I1677="","unknown product",IF(J1677="","conflicting category",IF(NOT(OR(EXACT(K1677,"sale"),EXACT(K1677,"refund"))),"unknown event",IF(OR(N1677="",NOT(O1677)),"invalid amount",IF(OR(AND(K1677="sale",N1677&lt;=0),AND(K1677="refund",N1677&gt;=0)),"invalid sign","")))))))))</f>
        <v/>
      </c>
      <c r="U1677" s="1" t="str">
        <f t="shared" si="213"/>
        <v>INCLUDED</v>
      </c>
      <c r="V1677" s="1" t="str">
        <f t="shared" si="214"/>
        <v>2026-03</v>
      </c>
      <c r="W1677" s="1">
        <f>IF(AND(U1677="INCLUDED",X1677&gt;0,EXACT(A1677,'AI output'!A1677)),1,0)</f>
        <v>1</v>
      </c>
      <c r="X1677" s="1">
        <f>1677</f>
        <v>1677</v>
      </c>
      <c r="Y1677" s="1">
        <f>IF(AND(U1677="INCLUDED",W1677=1),--(NOT(EXACT(A1677,'AI output'!A1677)))+--(NOT(EXACT(B1677,'AI output'!B1677)))+--(NOT(EXACT(TEXT(G1677,"yyyy-mm-dd"),'AI output'!C1677)))+--(NOT(EXACT(H1677,'AI output'!D1677)))+--(NOT(EXACT(J1677,'AI output'!E1677)))+--(NOT(EXACT(K1677,'AI output'!F1677)))+--(N1677&lt;&gt;'AI output'!L1677)+--(NOT('AI output'!M1677)),0)</f>
        <v>0</v>
      </c>
      <c r="Z1677" s="1">
        <f t="shared" si="215"/>
        <v>0</v>
      </c>
      <c r="AA1677" s="1">
        <f>--EXACT(A1677,"L01671")</f>
        <v>1</v>
      </c>
    </row>
    <row r="1678" spans="1:27" ht="18.95" customHeight="1">
      <c r="A1678" s="1" t="str">
        <f>IF(Raw!A1678="","",Raw!A1678)</f>
        <v>L01672</v>
      </c>
      <c r="B1678" s="1" t="str">
        <f>IF(Raw!B1678="","",Raw!B1678)</f>
        <v>T00836</v>
      </c>
      <c r="C1678" s="1" t="str">
        <f>IF(Raw!C1678="","",Raw!C1678)</f>
        <v>2026-03-27</v>
      </c>
      <c r="D1678" s="1">
        <f t="shared" si="208"/>
        <v>2026</v>
      </c>
      <c r="E1678" s="1">
        <f>IFERROR(IF(AND(LEN(C1678)=10,MID(C1678,5,1)="-",MID(C1678,8,1)="-"),VALUE(MID(C1678,6,2)),IF(AND(LEN(C1678)=11,MID(C1678,3,1)="-",MID(C1678,7,1)="-"),MATCH(UPPER(MID(C1678,4,3)),Guide!$D$7:$D$18,0),0)),0)</f>
        <v>3</v>
      </c>
      <c r="F1678" s="1">
        <f t="shared" si="209"/>
        <v>27</v>
      </c>
      <c r="G1678" s="9">
        <f t="shared" si="210"/>
        <v>46108</v>
      </c>
      <c r="H1678" s="1" t="str">
        <f>IF(Raw!D1678="","",Raw!D1678)</f>
        <v>P-A</v>
      </c>
      <c r="I1678" s="1" t="str">
        <f>IFERROR(IF(EXACT(H1678,INDEX(Guide!$A$7:$A$9,MATCH(SUBSTITUTE(SUBSTITUTE(SUBSTITUTE(H1678,"~","~~"),"*","~*"),"?","~?"),Guide!$A$7:$A$9,0))),INDEX(Guide!$B$7:$B$9,MATCH(SUBSTITUTE(SUBSTITUTE(SUBSTITUTE(H1678,"~","~~"),"*","~*"),"?","~?"),Guide!$A$7:$A$9,0)),""),"")</f>
        <v>Accessories</v>
      </c>
      <c r="J1678" s="1" t="str">
        <f>IF(TRIM(Raw!E1678)="",I1678,IF(UPPER(TRIM(Raw!E1678))=UPPER(I1678),I1678,""))</f>
        <v>Accessories</v>
      </c>
      <c r="K1678" s="1" t="str">
        <f>IF(Raw!F1678="","",Raw!F1678)</f>
        <v>sale</v>
      </c>
      <c r="L1678" s="1" t="str">
        <f>IF(LEFT(TRIM(Raw!G1678),2)="-$","-"&amp;MID(TRIM(Raw!G1678),3,99),IF(LEFT(TRIM(Raw!G1678),1)="$",MID(TRIM(Raw!G1678),2,99),TRIM(Raw!G1678)))</f>
        <v>69.78</v>
      </c>
      <c r="M1678" s="1">
        <f t="shared" si="211"/>
        <v>69.78</v>
      </c>
      <c r="N1678" s="10">
        <f t="shared" si="212"/>
        <v>6978</v>
      </c>
      <c r="O1678" s="1" t="b">
        <f>IFERROR(IF(ISNUMBER(Raw!G1678),TRUE,OR(EXACT(L1678,TEXT(M1678,"0.00")),EXACT(L1678,TEXT(M1678,"#,##0.00")))),FALSE)</f>
        <v>1</v>
      </c>
      <c r="P1678" s="1" t="str">
        <f>LEN(IF(Raw!A1678="","",Raw!A1678))&amp;":"&amp;IF(Raw!A1678="","",Raw!A1678)&amp;"|"&amp;LEN(IF(Raw!B1678="","",Raw!B1678))&amp;":"&amp;IF(Raw!B1678="","",Raw!B1678)&amp;"|"&amp;LEN(IF(Raw!C1678="","",Raw!C1678))&amp;":"&amp;IF(Raw!C1678="","",Raw!C1678)&amp;"|"&amp;LEN(IF(Raw!D1678="","",Raw!D1678))&amp;":"&amp;IF(Raw!D1678="","",Raw!D1678)&amp;"|"&amp;LEN(IF(Raw!E1678="","",Raw!E1678))&amp;":"&amp;IF(Raw!E1678="","",Raw!E1678)&amp;"|"&amp;LEN(IF(Raw!F1678="","",Raw!F1678))&amp;":"&amp;IF(Raw!F1678="","",Raw!F1678)&amp;"|"&amp;LEN(IF(Raw!G1678="","",Raw!G1678))&amp;":"&amp;IF(Raw!G1678="","",Raw!G1678)</f>
        <v>6:L01672|6:T00836|10:2026-03-27|3:P-A|11:Accessories|4:sale|5:69.78</v>
      </c>
      <c r="Q1678" s="1">
        <f>1</f>
        <v>1</v>
      </c>
      <c r="R1678" s="1" t="b">
        <f>FALSE</f>
        <v>0</v>
      </c>
      <c r="S1678" s="1">
        <f>1</f>
        <v>1</v>
      </c>
      <c r="T1678" s="1" t="str">
        <f>IF(AND(Raw!A1678="",Raw!B1678="",Raw!C1678="",Raw!D1678="",Raw!E1678="",Raw!F1678="",Raw!G1678=""),"UNUSED",IF(A1678="","missing line ID",IF(B1678="","missing transaction ID",IF(G1678="",IF(C1678="","missing date","invalid date"),IF(I1678="","unknown product",IF(J1678="","conflicting category",IF(NOT(OR(EXACT(K1678,"sale"),EXACT(K1678,"refund"))),"unknown event",IF(OR(N1678="",NOT(O1678)),"invalid amount",IF(OR(AND(K1678="sale",N1678&lt;=0),AND(K1678="refund",N1678&gt;=0)),"invalid sign","")))))))))</f>
        <v/>
      </c>
      <c r="U1678" s="1" t="str">
        <f t="shared" si="213"/>
        <v>INCLUDED</v>
      </c>
      <c r="V1678" s="1" t="str">
        <f t="shared" si="214"/>
        <v>2026-03</v>
      </c>
      <c r="W1678" s="1">
        <f>IF(AND(U1678="INCLUDED",X1678&gt;0,EXACT(A1678,'AI output'!A1678)),1,0)</f>
        <v>1</v>
      </c>
      <c r="X1678" s="1">
        <f>1678</f>
        <v>1678</v>
      </c>
      <c r="Y1678" s="1">
        <f>IF(AND(U1678="INCLUDED",W1678=1),--(NOT(EXACT(A1678,'AI output'!A1678)))+--(NOT(EXACT(B1678,'AI output'!B1678)))+--(NOT(EXACT(TEXT(G1678,"yyyy-mm-dd"),'AI output'!C1678)))+--(NOT(EXACT(H1678,'AI output'!D1678)))+--(NOT(EXACT(J1678,'AI output'!E1678)))+--(NOT(EXACT(K1678,'AI output'!F1678)))+--(N1678&lt;&gt;'AI output'!L1678)+--(NOT('AI output'!M1678)),0)</f>
        <v>0</v>
      </c>
      <c r="Z1678" s="1">
        <f t="shared" si="215"/>
        <v>0</v>
      </c>
      <c r="AA1678" s="1">
        <f>--EXACT(A1678,"L01672")</f>
        <v>1</v>
      </c>
    </row>
    <row r="1679" spans="1:27" ht="18.95" customHeight="1">
      <c r="A1679" s="1" t="str">
        <f>IF(Raw!A1679="","",Raw!A1679)</f>
        <v>L01673</v>
      </c>
      <c r="B1679" s="1" t="str">
        <f>IF(Raw!B1679="","",Raw!B1679)</f>
        <v>T00837</v>
      </c>
      <c r="C1679" s="1" t="str">
        <f>IF(Raw!C1679="","",Raw!C1679)</f>
        <v>2026-01-03</v>
      </c>
      <c r="D1679" s="1">
        <f t="shared" si="208"/>
        <v>2026</v>
      </c>
      <c r="E1679" s="1">
        <f>IFERROR(IF(AND(LEN(C1679)=10,MID(C1679,5,1)="-",MID(C1679,8,1)="-"),VALUE(MID(C1679,6,2)),IF(AND(LEN(C1679)=11,MID(C1679,3,1)="-",MID(C1679,7,1)="-"),MATCH(UPPER(MID(C1679,4,3)),Guide!$D$7:$D$18,0),0)),0)</f>
        <v>1</v>
      </c>
      <c r="F1679" s="1">
        <f t="shared" si="209"/>
        <v>3</v>
      </c>
      <c r="G1679" s="9">
        <f t="shared" si="210"/>
        <v>46025</v>
      </c>
      <c r="H1679" s="1" t="str">
        <f>IF(Raw!D1679="","",Raw!D1679)</f>
        <v>P-H</v>
      </c>
      <c r="I1679" s="1" t="str">
        <f>IFERROR(IF(EXACT(H1679,INDEX(Guide!$A$7:$A$9,MATCH(SUBSTITUTE(SUBSTITUTE(SUBSTITUTE(H1679,"~","~~"),"*","~*"),"?","~?"),Guide!$A$7:$A$9,0))),INDEX(Guide!$B$7:$B$9,MATCH(SUBSTITUTE(SUBSTITUTE(SUBSTITUTE(H1679,"~","~~"),"*","~*"),"?","~?"),Guide!$A$7:$A$9,0)),""),"")</f>
        <v>Home</v>
      </c>
      <c r="J1679" s="1" t="str">
        <f>IF(TRIM(Raw!E1679)="",I1679,IF(UPPER(TRIM(Raw!E1679))=UPPER(I1679),I1679,""))</f>
        <v>Home</v>
      </c>
      <c r="K1679" s="1" t="str">
        <f>IF(Raw!F1679="","",Raw!F1679)</f>
        <v>sale</v>
      </c>
      <c r="L1679" s="1" t="str">
        <f>IF(LEFT(TRIM(Raw!G1679),2)="-$","-"&amp;MID(TRIM(Raw!G1679),3,99),IF(LEFT(TRIM(Raw!G1679),1)="$",MID(TRIM(Raw!G1679),2,99),TRIM(Raw!G1679)))</f>
        <v>118.15</v>
      </c>
      <c r="M1679" s="1">
        <f t="shared" si="211"/>
        <v>118.15</v>
      </c>
      <c r="N1679" s="10">
        <f t="shared" si="212"/>
        <v>11815</v>
      </c>
      <c r="O1679" s="1" t="b">
        <f>IFERROR(IF(ISNUMBER(Raw!G1679),TRUE,OR(EXACT(L1679,TEXT(M1679,"0.00")),EXACT(L1679,TEXT(M1679,"#,##0.00")))),FALSE)</f>
        <v>1</v>
      </c>
      <c r="P1679" s="1" t="str">
        <f>LEN(IF(Raw!A1679="","",Raw!A1679))&amp;":"&amp;IF(Raw!A1679="","",Raw!A1679)&amp;"|"&amp;LEN(IF(Raw!B1679="","",Raw!B1679))&amp;":"&amp;IF(Raw!B1679="","",Raw!B1679)&amp;"|"&amp;LEN(IF(Raw!C1679="","",Raw!C1679))&amp;":"&amp;IF(Raw!C1679="","",Raw!C1679)&amp;"|"&amp;LEN(IF(Raw!D1679="","",Raw!D1679))&amp;":"&amp;IF(Raw!D1679="","",Raw!D1679)&amp;"|"&amp;LEN(IF(Raw!E1679="","",Raw!E1679))&amp;":"&amp;IF(Raw!E1679="","",Raw!E1679)&amp;"|"&amp;LEN(IF(Raw!F1679="","",Raw!F1679))&amp;":"&amp;IF(Raw!F1679="","",Raw!F1679)&amp;"|"&amp;LEN(IF(Raw!G1679="","",Raw!G1679))&amp;":"&amp;IF(Raw!G1679="","",Raw!G1679)</f>
        <v>6:L01673|6:T00837|10:2026-01-03|3:P-H|4:Home|4:sale|6:118.15</v>
      </c>
      <c r="Q1679" s="1">
        <f>1</f>
        <v>1</v>
      </c>
      <c r="R1679" s="1" t="b">
        <f>FALSE</f>
        <v>0</v>
      </c>
      <c r="S1679" s="1">
        <f>1</f>
        <v>1</v>
      </c>
      <c r="T1679" s="1" t="str">
        <f>IF(AND(Raw!A1679="",Raw!B1679="",Raw!C1679="",Raw!D1679="",Raw!E1679="",Raw!F1679="",Raw!G1679=""),"UNUSED",IF(A1679="","missing line ID",IF(B1679="","missing transaction ID",IF(G1679="",IF(C1679="","missing date","invalid date"),IF(I1679="","unknown product",IF(J1679="","conflicting category",IF(NOT(OR(EXACT(K1679,"sale"),EXACT(K1679,"refund"))),"unknown event",IF(OR(N1679="",NOT(O1679)),"invalid amount",IF(OR(AND(K1679="sale",N1679&lt;=0),AND(K1679="refund",N1679&gt;=0)),"invalid sign","")))))))))</f>
        <v/>
      </c>
      <c r="U1679" s="1" t="str">
        <f t="shared" si="213"/>
        <v>INCLUDED</v>
      </c>
      <c r="V1679" s="1" t="str">
        <f t="shared" si="214"/>
        <v>2026-01</v>
      </c>
      <c r="W1679" s="1">
        <f>IF(AND(U1679="INCLUDED",X1679&gt;0,EXACT(A1679,'AI output'!A1679)),1,0)</f>
        <v>1</v>
      </c>
      <c r="X1679" s="1">
        <f>1679</f>
        <v>1679</v>
      </c>
      <c r="Y1679" s="1">
        <f>IF(AND(U1679="INCLUDED",W1679=1),--(NOT(EXACT(A1679,'AI output'!A1679)))+--(NOT(EXACT(B1679,'AI output'!B1679)))+--(NOT(EXACT(TEXT(G1679,"yyyy-mm-dd"),'AI output'!C1679)))+--(NOT(EXACT(H1679,'AI output'!D1679)))+--(NOT(EXACT(J1679,'AI output'!E1679)))+--(NOT(EXACT(K1679,'AI output'!F1679)))+--(N1679&lt;&gt;'AI output'!L1679)+--(NOT('AI output'!M1679)),0)</f>
        <v>0</v>
      </c>
      <c r="Z1679" s="1">
        <f t="shared" si="215"/>
        <v>0</v>
      </c>
      <c r="AA1679" s="1">
        <f>--EXACT(A1679,"L01673")</f>
        <v>1</v>
      </c>
    </row>
    <row r="1680" spans="1:27" ht="18.95" customHeight="1">
      <c r="A1680" s="1" t="str">
        <f>IF(Raw!A1680="","",Raw!A1680)</f>
        <v>L01674</v>
      </c>
      <c r="B1680" s="1" t="str">
        <f>IF(Raw!B1680="","",Raw!B1680)</f>
        <v>T00837</v>
      </c>
      <c r="C1680" s="1" t="str">
        <f>IF(Raw!C1680="","",Raw!C1680)</f>
        <v>2026-01-03</v>
      </c>
      <c r="D1680" s="1">
        <f t="shared" si="208"/>
        <v>2026</v>
      </c>
      <c r="E1680" s="1">
        <f>IFERROR(IF(AND(LEN(C1680)=10,MID(C1680,5,1)="-",MID(C1680,8,1)="-"),VALUE(MID(C1680,6,2)),IF(AND(LEN(C1680)=11,MID(C1680,3,1)="-",MID(C1680,7,1)="-"),MATCH(UPPER(MID(C1680,4,3)),Guide!$D$7:$D$18,0),0)),0)</f>
        <v>1</v>
      </c>
      <c r="F1680" s="1">
        <f t="shared" si="209"/>
        <v>3</v>
      </c>
      <c r="G1680" s="9">
        <f t="shared" si="210"/>
        <v>46025</v>
      </c>
      <c r="H1680" s="1" t="str">
        <f>IF(Raw!D1680="","",Raw!D1680)</f>
        <v>P-O</v>
      </c>
      <c r="I1680" s="1" t="str">
        <f>IFERROR(IF(EXACT(H1680,INDEX(Guide!$A$7:$A$9,MATCH(SUBSTITUTE(SUBSTITUTE(SUBSTITUTE(H1680,"~","~~"),"*","~*"),"?","~?"),Guide!$A$7:$A$9,0))),INDEX(Guide!$B$7:$B$9,MATCH(SUBSTITUTE(SUBSTITUTE(SUBSTITUTE(H1680,"~","~~"),"*","~*"),"?","~?"),Guide!$A$7:$A$9,0)),""),"")</f>
        <v>Office</v>
      </c>
      <c r="J1680" s="1" t="str">
        <f>IF(TRIM(Raw!E1680)="",I1680,IF(UPPER(TRIM(Raw!E1680))=UPPER(I1680),I1680,""))</f>
        <v>Office</v>
      </c>
      <c r="K1680" s="1" t="str">
        <f>IF(Raw!F1680="","",Raw!F1680)</f>
        <v>sale</v>
      </c>
      <c r="L1680" s="1" t="str">
        <f>IF(LEFT(TRIM(Raw!G1680),2)="-$","-"&amp;MID(TRIM(Raw!G1680),3,99),IF(LEFT(TRIM(Raw!G1680),1)="$",MID(TRIM(Raw!G1680),2,99),TRIM(Raw!G1680)))</f>
        <v>48.00</v>
      </c>
      <c r="M1680" s="1">
        <f t="shared" si="211"/>
        <v>48</v>
      </c>
      <c r="N1680" s="10">
        <f t="shared" si="212"/>
        <v>4800</v>
      </c>
      <c r="O1680" s="1" t="b">
        <f>IFERROR(IF(ISNUMBER(Raw!G1680),TRUE,OR(EXACT(L1680,TEXT(M1680,"0.00")),EXACT(L1680,TEXT(M1680,"#,##0.00")))),FALSE)</f>
        <v>1</v>
      </c>
      <c r="P1680" s="1" t="str">
        <f>LEN(IF(Raw!A1680="","",Raw!A1680))&amp;":"&amp;IF(Raw!A1680="","",Raw!A1680)&amp;"|"&amp;LEN(IF(Raw!B1680="","",Raw!B1680))&amp;":"&amp;IF(Raw!B1680="","",Raw!B1680)&amp;"|"&amp;LEN(IF(Raw!C1680="","",Raw!C1680))&amp;":"&amp;IF(Raw!C1680="","",Raw!C1680)&amp;"|"&amp;LEN(IF(Raw!D1680="","",Raw!D1680))&amp;":"&amp;IF(Raw!D1680="","",Raw!D1680)&amp;"|"&amp;LEN(IF(Raw!E1680="","",Raw!E1680))&amp;":"&amp;IF(Raw!E1680="","",Raw!E1680)&amp;"|"&amp;LEN(IF(Raw!F1680="","",Raw!F1680))&amp;":"&amp;IF(Raw!F1680="","",Raw!F1680)&amp;"|"&amp;LEN(IF(Raw!G1680="","",Raw!G1680))&amp;":"&amp;IF(Raw!G1680="","",Raw!G1680)</f>
        <v>6:L01674|6:T00837|10:2026-01-03|3:P-O|6:Office|4:sale|5:48.00</v>
      </c>
      <c r="Q1680" s="1">
        <f>1</f>
        <v>1</v>
      </c>
      <c r="R1680" s="1" t="b">
        <f>FALSE</f>
        <v>0</v>
      </c>
      <c r="S1680" s="1">
        <f>1</f>
        <v>1</v>
      </c>
      <c r="T1680" s="1" t="str">
        <f>IF(AND(Raw!A1680="",Raw!B1680="",Raw!C1680="",Raw!D1680="",Raw!E1680="",Raw!F1680="",Raw!G1680=""),"UNUSED",IF(A1680="","missing line ID",IF(B1680="","missing transaction ID",IF(G1680="",IF(C1680="","missing date","invalid date"),IF(I1680="","unknown product",IF(J1680="","conflicting category",IF(NOT(OR(EXACT(K1680,"sale"),EXACT(K1680,"refund"))),"unknown event",IF(OR(N1680="",NOT(O1680)),"invalid amount",IF(OR(AND(K1680="sale",N1680&lt;=0),AND(K1680="refund",N1680&gt;=0)),"invalid sign","")))))))))</f>
        <v/>
      </c>
      <c r="U1680" s="1" t="str">
        <f t="shared" si="213"/>
        <v>INCLUDED</v>
      </c>
      <c r="V1680" s="1" t="str">
        <f t="shared" si="214"/>
        <v>2026-01</v>
      </c>
      <c r="W1680" s="1">
        <f>IF(AND(U1680="INCLUDED",X1680&gt;0,EXACT(A1680,'AI output'!A1680)),1,0)</f>
        <v>1</v>
      </c>
      <c r="X1680" s="1">
        <f>1680</f>
        <v>1680</v>
      </c>
      <c r="Y1680" s="1">
        <f>IF(AND(U1680="INCLUDED",W1680=1),--(NOT(EXACT(A1680,'AI output'!A1680)))+--(NOT(EXACT(B1680,'AI output'!B1680)))+--(NOT(EXACT(TEXT(G1680,"yyyy-mm-dd"),'AI output'!C1680)))+--(NOT(EXACT(H1680,'AI output'!D1680)))+--(NOT(EXACT(J1680,'AI output'!E1680)))+--(NOT(EXACT(K1680,'AI output'!F1680)))+--(N1680&lt;&gt;'AI output'!L1680)+--(NOT('AI output'!M1680)),0)</f>
        <v>0</v>
      </c>
      <c r="Z1680" s="1">
        <f t="shared" si="215"/>
        <v>0</v>
      </c>
      <c r="AA1680" s="1">
        <f>--EXACT(A1680,"L01674")</f>
        <v>1</v>
      </c>
    </row>
    <row r="1681" spans="1:27" ht="18.95" customHeight="1">
      <c r="A1681" s="1" t="str">
        <f>IF(Raw!A1681="","",Raw!A1681)</f>
        <v>L01675</v>
      </c>
      <c r="B1681" s="1" t="str">
        <f>IF(Raw!B1681="","",Raw!B1681)</f>
        <v>T00838</v>
      </c>
      <c r="C1681" s="1" t="str">
        <f>IF(Raw!C1681="","",Raw!C1681)</f>
        <v>2026-01-10</v>
      </c>
      <c r="D1681" s="1">
        <f t="shared" si="208"/>
        <v>2026</v>
      </c>
      <c r="E1681" s="1">
        <f>IFERROR(IF(AND(LEN(C1681)=10,MID(C1681,5,1)="-",MID(C1681,8,1)="-"),VALUE(MID(C1681,6,2)),IF(AND(LEN(C1681)=11,MID(C1681,3,1)="-",MID(C1681,7,1)="-"),MATCH(UPPER(MID(C1681,4,3)),Guide!$D$7:$D$18,0),0)),0)</f>
        <v>1</v>
      </c>
      <c r="F1681" s="1">
        <f t="shared" si="209"/>
        <v>10</v>
      </c>
      <c r="G1681" s="9">
        <f t="shared" si="210"/>
        <v>46032</v>
      </c>
      <c r="H1681" s="1" t="str">
        <f>IF(Raw!D1681="","",Raw!D1681)</f>
        <v>P-A</v>
      </c>
      <c r="I1681" s="1" t="str">
        <f>IFERROR(IF(EXACT(H1681,INDEX(Guide!$A$7:$A$9,MATCH(SUBSTITUTE(SUBSTITUTE(SUBSTITUTE(H1681,"~","~~"),"*","~*"),"?","~?"),Guide!$A$7:$A$9,0))),INDEX(Guide!$B$7:$B$9,MATCH(SUBSTITUTE(SUBSTITUTE(SUBSTITUTE(H1681,"~","~~"),"*","~*"),"?","~?"),Guide!$A$7:$A$9,0)),""),"")</f>
        <v>Accessories</v>
      </c>
      <c r="J1681" s="1" t="str">
        <f>IF(TRIM(Raw!E1681)="",I1681,IF(UPPER(TRIM(Raw!E1681))=UPPER(I1681),I1681,""))</f>
        <v>Accessories</v>
      </c>
      <c r="K1681" s="1" t="str">
        <f>IF(Raw!F1681="","",Raw!F1681)</f>
        <v>sale</v>
      </c>
      <c r="L1681" s="1" t="str">
        <f>IF(LEFT(TRIM(Raw!G1681),2)="-$","-"&amp;MID(TRIM(Raw!G1681),3,99),IF(LEFT(TRIM(Raw!G1681),1)="$",MID(TRIM(Raw!G1681),2,99),TRIM(Raw!G1681)))</f>
        <v>97.48</v>
      </c>
      <c r="M1681" s="1">
        <f t="shared" si="211"/>
        <v>97.48</v>
      </c>
      <c r="N1681" s="10">
        <f t="shared" si="212"/>
        <v>9748</v>
      </c>
      <c r="O1681" s="1" t="b">
        <f>IFERROR(IF(ISNUMBER(Raw!G1681),TRUE,OR(EXACT(L1681,TEXT(M1681,"0.00")),EXACT(L1681,TEXT(M1681,"#,##0.00")))),FALSE)</f>
        <v>1</v>
      </c>
      <c r="P1681" s="1" t="str">
        <f>LEN(IF(Raw!A1681="","",Raw!A1681))&amp;":"&amp;IF(Raw!A1681="","",Raw!A1681)&amp;"|"&amp;LEN(IF(Raw!B1681="","",Raw!B1681))&amp;":"&amp;IF(Raw!B1681="","",Raw!B1681)&amp;"|"&amp;LEN(IF(Raw!C1681="","",Raw!C1681))&amp;":"&amp;IF(Raw!C1681="","",Raw!C1681)&amp;"|"&amp;LEN(IF(Raw!D1681="","",Raw!D1681))&amp;":"&amp;IF(Raw!D1681="","",Raw!D1681)&amp;"|"&amp;LEN(IF(Raw!E1681="","",Raw!E1681))&amp;":"&amp;IF(Raw!E1681="","",Raw!E1681)&amp;"|"&amp;LEN(IF(Raw!F1681="","",Raw!F1681))&amp;":"&amp;IF(Raw!F1681="","",Raw!F1681)&amp;"|"&amp;LEN(IF(Raw!G1681="","",Raw!G1681))&amp;":"&amp;IF(Raw!G1681="","",Raw!G1681)</f>
        <v>6:L01675|6:T00838|10:2026-01-10|3:P-A|11:Accessories|4:sale|5:97.48</v>
      </c>
      <c r="Q1681" s="1">
        <f>1</f>
        <v>1</v>
      </c>
      <c r="R1681" s="1" t="b">
        <f>FALSE</f>
        <v>0</v>
      </c>
      <c r="S1681" s="1">
        <f>1</f>
        <v>1</v>
      </c>
      <c r="T1681" s="1" t="str">
        <f>IF(AND(Raw!A1681="",Raw!B1681="",Raw!C1681="",Raw!D1681="",Raw!E1681="",Raw!F1681="",Raw!G1681=""),"UNUSED",IF(A1681="","missing line ID",IF(B1681="","missing transaction ID",IF(G1681="",IF(C1681="","missing date","invalid date"),IF(I1681="","unknown product",IF(J1681="","conflicting category",IF(NOT(OR(EXACT(K1681,"sale"),EXACT(K1681,"refund"))),"unknown event",IF(OR(N1681="",NOT(O1681)),"invalid amount",IF(OR(AND(K1681="sale",N1681&lt;=0),AND(K1681="refund",N1681&gt;=0)),"invalid sign","")))))))))</f>
        <v/>
      </c>
      <c r="U1681" s="1" t="str">
        <f t="shared" si="213"/>
        <v>INCLUDED</v>
      </c>
      <c r="V1681" s="1" t="str">
        <f t="shared" si="214"/>
        <v>2026-01</v>
      </c>
      <c r="W1681" s="1">
        <f>IF(AND(U1681="INCLUDED",X1681&gt;0,EXACT(A1681,'AI output'!A1681)),1,0)</f>
        <v>1</v>
      </c>
      <c r="X1681" s="1">
        <f>1681</f>
        <v>1681</v>
      </c>
      <c r="Y1681" s="1">
        <f>IF(AND(U1681="INCLUDED",W1681=1),--(NOT(EXACT(A1681,'AI output'!A1681)))+--(NOT(EXACT(B1681,'AI output'!B1681)))+--(NOT(EXACT(TEXT(G1681,"yyyy-mm-dd"),'AI output'!C1681)))+--(NOT(EXACT(H1681,'AI output'!D1681)))+--(NOT(EXACT(J1681,'AI output'!E1681)))+--(NOT(EXACT(K1681,'AI output'!F1681)))+--(N1681&lt;&gt;'AI output'!L1681)+--(NOT('AI output'!M1681)),0)</f>
        <v>0</v>
      </c>
      <c r="Z1681" s="1">
        <f t="shared" si="215"/>
        <v>0</v>
      </c>
      <c r="AA1681" s="1">
        <f>--EXACT(A1681,"L01675")</f>
        <v>1</v>
      </c>
    </row>
    <row r="1682" spans="1:27" ht="18.95" customHeight="1">
      <c r="A1682" s="1" t="str">
        <f>IF(Raw!A1682="","",Raw!A1682)</f>
        <v>L01676</v>
      </c>
      <c r="B1682" s="1" t="str">
        <f>IF(Raw!B1682="","",Raw!B1682)</f>
        <v>T00838</v>
      </c>
      <c r="C1682" s="1" t="str">
        <f>IF(Raw!C1682="","",Raw!C1682)</f>
        <v>2026-01-10</v>
      </c>
      <c r="D1682" s="1">
        <f t="shared" si="208"/>
        <v>2026</v>
      </c>
      <c r="E1682" s="1">
        <f>IFERROR(IF(AND(LEN(C1682)=10,MID(C1682,5,1)="-",MID(C1682,8,1)="-"),VALUE(MID(C1682,6,2)),IF(AND(LEN(C1682)=11,MID(C1682,3,1)="-",MID(C1682,7,1)="-"),MATCH(UPPER(MID(C1682,4,3)),Guide!$D$7:$D$18,0),0)),0)</f>
        <v>1</v>
      </c>
      <c r="F1682" s="1">
        <f t="shared" si="209"/>
        <v>10</v>
      </c>
      <c r="G1682" s="9">
        <f t="shared" si="210"/>
        <v>46032</v>
      </c>
      <c r="H1682" s="1" t="str">
        <f>IF(Raw!D1682="","",Raw!D1682)</f>
        <v>P-H</v>
      </c>
      <c r="I1682" s="1" t="str">
        <f>IFERROR(IF(EXACT(H1682,INDEX(Guide!$A$7:$A$9,MATCH(SUBSTITUTE(SUBSTITUTE(SUBSTITUTE(H1682,"~","~~"),"*","~*"),"?","~?"),Guide!$A$7:$A$9,0))),INDEX(Guide!$B$7:$B$9,MATCH(SUBSTITUTE(SUBSTITUTE(SUBSTITUTE(H1682,"~","~~"),"*","~*"),"?","~?"),Guide!$A$7:$A$9,0)),""),"")</f>
        <v>Home</v>
      </c>
      <c r="J1682" s="1" t="str">
        <f>IF(TRIM(Raw!E1682)="",I1682,IF(UPPER(TRIM(Raw!E1682))=UPPER(I1682),I1682,""))</f>
        <v>Home</v>
      </c>
      <c r="K1682" s="1" t="str">
        <f>IF(Raw!F1682="","",Raw!F1682)</f>
        <v>sale</v>
      </c>
      <c r="L1682" s="1" t="str">
        <f>IF(LEFT(TRIM(Raw!G1682),2)="-$","-"&amp;MID(TRIM(Raw!G1682),3,99),IF(LEFT(TRIM(Raw!G1682),1)="$",MID(TRIM(Raw!G1682),2,99),TRIM(Raw!G1682)))</f>
        <v>24.74</v>
      </c>
      <c r="M1682" s="1">
        <f t="shared" si="211"/>
        <v>24.74</v>
      </c>
      <c r="N1682" s="10">
        <f t="shared" si="212"/>
        <v>2474</v>
      </c>
      <c r="O1682" s="1" t="b">
        <f>IFERROR(IF(ISNUMBER(Raw!G1682),TRUE,OR(EXACT(L1682,TEXT(M1682,"0.00")),EXACT(L1682,TEXT(M1682,"#,##0.00")))),FALSE)</f>
        <v>1</v>
      </c>
      <c r="P1682" s="1" t="str">
        <f>LEN(IF(Raw!A1682="","",Raw!A1682))&amp;":"&amp;IF(Raw!A1682="","",Raw!A1682)&amp;"|"&amp;LEN(IF(Raw!B1682="","",Raw!B1682))&amp;":"&amp;IF(Raw!B1682="","",Raw!B1682)&amp;"|"&amp;LEN(IF(Raw!C1682="","",Raw!C1682))&amp;":"&amp;IF(Raw!C1682="","",Raw!C1682)&amp;"|"&amp;LEN(IF(Raw!D1682="","",Raw!D1682))&amp;":"&amp;IF(Raw!D1682="","",Raw!D1682)&amp;"|"&amp;LEN(IF(Raw!E1682="","",Raw!E1682))&amp;":"&amp;IF(Raw!E1682="","",Raw!E1682)&amp;"|"&amp;LEN(IF(Raw!F1682="","",Raw!F1682))&amp;":"&amp;IF(Raw!F1682="","",Raw!F1682)&amp;"|"&amp;LEN(IF(Raw!G1682="","",Raw!G1682))&amp;":"&amp;IF(Raw!G1682="","",Raw!G1682)</f>
        <v>6:L01676|6:T00838|10:2026-01-10|3:P-H|4:Home|4:sale|5:24.74</v>
      </c>
      <c r="Q1682" s="1">
        <f>1</f>
        <v>1</v>
      </c>
      <c r="R1682" s="1" t="b">
        <f>FALSE</f>
        <v>0</v>
      </c>
      <c r="S1682" s="1">
        <f>1</f>
        <v>1</v>
      </c>
      <c r="T1682" s="1" t="str">
        <f>IF(AND(Raw!A1682="",Raw!B1682="",Raw!C1682="",Raw!D1682="",Raw!E1682="",Raw!F1682="",Raw!G1682=""),"UNUSED",IF(A1682="","missing line ID",IF(B1682="","missing transaction ID",IF(G1682="",IF(C1682="","missing date","invalid date"),IF(I1682="","unknown product",IF(J1682="","conflicting category",IF(NOT(OR(EXACT(K1682,"sale"),EXACT(K1682,"refund"))),"unknown event",IF(OR(N1682="",NOT(O1682)),"invalid amount",IF(OR(AND(K1682="sale",N1682&lt;=0),AND(K1682="refund",N1682&gt;=0)),"invalid sign","")))))))))</f>
        <v/>
      </c>
      <c r="U1682" s="1" t="str">
        <f t="shared" si="213"/>
        <v>INCLUDED</v>
      </c>
      <c r="V1682" s="1" t="str">
        <f t="shared" si="214"/>
        <v>2026-01</v>
      </c>
      <c r="W1682" s="1">
        <f>IF(AND(U1682="INCLUDED",X1682&gt;0,EXACT(A1682,'AI output'!A1682)),1,0)</f>
        <v>1</v>
      </c>
      <c r="X1682" s="1">
        <f>1682</f>
        <v>1682</v>
      </c>
      <c r="Y1682" s="1">
        <f>IF(AND(U1682="INCLUDED",W1682=1),--(NOT(EXACT(A1682,'AI output'!A1682)))+--(NOT(EXACT(B1682,'AI output'!B1682)))+--(NOT(EXACT(TEXT(G1682,"yyyy-mm-dd"),'AI output'!C1682)))+--(NOT(EXACT(H1682,'AI output'!D1682)))+--(NOT(EXACT(J1682,'AI output'!E1682)))+--(NOT(EXACT(K1682,'AI output'!F1682)))+--(N1682&lt;&gt;'AI output'!L1682)+--(NOT('AI output'!M1682)),0)</f>
        <v>0</v>
      </c>
      <c r="Z1682" s="1">
        <f t="shared" si="215"/>
        <v>0</v>
      </c>
      <c r="AA1682" s="1">
        <f>--EXACT(A1682,"L01676")</f>
        <v>1</v>
      </c>
    </row>
    <row r="1683" spans="1:27" ht="18.95" customHeight="1">
      <c r="A1683" s="1" t="str">
        <f>IF(Raw!A1683="","",Raw!A1683)</f>
        <v>L01677</v>
      </c>
      <c r="B1683" s="1" t="str">
        <f>IF(Raw!B1683="","",Raw!B1683)</f>
        <v>T00839</v>
      </c>
      <c r="C1683" s="1" t="str">
        <f>IF(Raw!C1683="","",Raw!C1683)</f>
        <v>2026-01-17</v>
      </c>
      <c r="D1683" s="1">
        <f t="shared" si="208"/>
        <v>2026</v>
      </c>
      <c r="E1683" s="1">
        <f>IFERROR(IF(AND(LEN(C1683)=10,MID(C1683,5,1)="-",MID(C1683,8,1)="-"),VALUE(MID(C1683,6,2)),IF(AND(LEN(C1683)=11,MID(C1683,3,1)="-",MID(C1683,7,1)="-"),MATCH(UPPER(MID(C1683,4,3)),Guide!$D$7:$D$18,0),0)),0)</f>
        <v>1</v>
      </c>
      <c r="F1683" s="1">
        <f t="shared" si="209"/>
        <v>17</v>
      </c>
      <c r="G1683" s="9">
        <f t="shared" si="210"/>
        <v>46039</v>
      </c>
      <c r="H1683" s="1" t="str">
        <f>IF(Raw!D1683="","",Raw!D1683)</f>
        <v>P-O</v>
      </c>
      <c r="I1683" s="1" t="str">
        <f>IFERROR(IF(EXACT(H1683,INDEX(Guide!$A$7:$A$9,MATCH(SUBSTITUTE(SUBSTITUTE(SUBSTITUTE(H1683,"~","~~"),"*","~*"),"?","~?"),Guide!$A$7:$A$9,0))),INDEX(Guide!$B$7:$B$9,MATCH(SUBSTITUTE(SUBSTITUTE(SUBSTITUTE(H1683,"~","~~"),"*","~*"),"?","~?"),Guide!$A$7:$A$9,0)),""),"")</f>
        <v>Office</v>
      </c>
      <c r="J1683" s="1" t="str">
        <f>IF(TRIM(Raw!E1683)="",I1683,IF(UPPER(TRIM(Raw!E1683))=UPPER(I1683),I1683,""))</f>
        <v>Office</v>
      </c>
      <c r="K1683" s="1" t="str">
        <f>IF(Raw!F1683="","",Raw!F1683)</f>
        <v>sale</v>
      </c>
      <c r="L1683" s="1" t="str">
        <f>IF(LEFT(TRIM(Raw!G1683),2)="-$","-"&amp;MID(TRIM(Raw!G1683),3,99),IF(LEFT(TRIM(Raw!G1683),1)="$",MID(TRIM(Raw!G1683),2,99),TRIM(Raw!G1683)))</f>
        <v>75.33</v>
      </c>
      <c r="M1683" s="1">
        <f t="shared" si="211"/>
        <v>75.33</v>
      </c>
      <c r="N1683" s="10">
        <f t="shared" si="212"/>
        <v>7533</v>
      </c>
      <c r="O1683" s="1" t="b">
        <f>IFERROR(IF(ISNUMBER(Raw!G1683),TRUE,OR(EXACT(L1683,TEXT(M1683,"0.00")),EXACT(L1683,TEXT(M1683,"#,##0.00")))),FALSE)</f>
        <v>1</v>
      </c>
      <c r="P1683" s="1" t="str">
        <f>LEN(IF(Raw!A1683="","",Raw!A1683))&amp;":"&amp;IF(Raw!A1683="","",Raw!A1683)&amp;"|"&amp;LEN(IF(Raw!B1683="","",Raw!B1683))&amp;":"&amp;IF(Raw!B1683="","",Raw!B1683)&amp;"|"&amp;LEN(IF(Raw!C1683="","",Raw!C1683))&amp;":"&amp;IF(Raw!C1683="","",Raw!C1683)&amp;"|"&amp;LEN(IF(Raw!D1683="","",Raw!D1683))&amp;":"&amp;IF(Raw!D1683="","",Raw!D1683)&amp;"|"&amp;LEN(IF(Raw!E1683="","",Raw!E1683))&amp;":"&amp;IF(Raw!E1683="","",Raw!E1683)&amp;"|"&amp;LEN(IF(Raw!F1683="","",Raw!F1683))&amp;":"&amp;IF(Raw!F1683="","",Raw!F1683)&amp;"|"&amp;LEN(IF(Raw!G1683="","",Raw!G1683))&amp;":"&amp;IF(Raw!G1683="","",Raw!G1683)</f>
        <v>6:L01677|6:T00839|10:2026-01-17|3:P-O|6:Office|4:sale|5:75.33</v>
      </c>
      <c r="Q1683" s="1">
        <f>1</f>
        <v>1</v>
      </c>
      <c r="R1683" s="1" t="b">
        <f>FALSE</f>
        <v>0</v>
      </c>
      <c r="S1683" s="1">
        <f>1</f>
        <v>1</v>
      </c>
      <c r="T1683" s="1" t="str">
        <f>IF(AND(Raw!A1683="",Raw!B1683="",Raw!C1683="",Raw!D1683="",Raw!E1683="",Raw!F1683="",Raw!G1683=""),"UNUSED",IF(A1683="","missing line ID",IF(B1683="","missing transaction ID",IF(G1683="",IF(C1683="","missing date","invalid date"),IF(I1683="","unknown product",IF(J1683="","conflicting category",IF(NOT(OR(EXACT(K1683,"sale"),EXACT(K1683,"refund"))),"unknown event",IF(OR(N1683="",NOT(O1683)),"invalid amount",IF(OR(AND(K1683="sale",N1683&lt;=0),AND(K1683="refund",N1683&gt;=0)),"invalid sign","")))))))))</f>
        <v/>
      </c>
      <c r="U1683" s="1" t="str">
        <f t="shared" si="213"/>
        <v>INCLUDED</v>
      </c>
      <c r="V1683" s="1" t="str">
        <f t="shared" si="214"/>
        <v>2026-01</v>
      </c>
      <c r="W1683" s="1">
        <f>IF(AND(U1683="INCLUDED",X1683&gt;0,EXACT(A1683,'AI output'!A1683)),1,0)</f>
        <v>1</v>
      </c>
      <c r="X1683" s="1">
        <f>1683</f>
        <v>1683</v>
      </c>
      <c r="Y1683" s="1">
        <f>IF(AND(U1683="INCLUDED",W1683=1),--(NOT(EXACT(A1683,'AI output'!A1683)))+--(NOT(EXACT(B1683,'AI output'!B1683)))+--(NOT(EXACT(TEXT(G1683,"yyyy-mm-dd"),'AI output'!C1683)))+--(NOT(EXACT(H1683,'AI output'!D1683)))+--(NOT(EXACT(J1683,'AI output'!E1683)))+--(NOT(EXACT(K1683,'AI output'!F1683)))+--(N1683&lt;&gt;'AI output'!L1683)+--(NOT('AI output'!M1683)),0)</f>
        <v>0</v>
      </c>
      <c r="Z1683" s="1">
        <f t="shared" si="215"/>
        <v>0</v>
      </c>
      <c r="AA1683" s="1">
        <f>--EXACT(A1683,"L01677")</f>
        <v>1</v>
      </c>
    </row>
    <row r="1684" spans="1:27" ht="18.95" customHeight="1">
      <c r="A1684" s="1" t="str">
        <f>IF(Raw!A1684="","",Raw!A1684)</f>
        <v>L01678</v>
      </c>
      <c r="B1684" s="1" t="str">
        <f>IF(Raw!B1684="","",Raw!B1684)</f>
        <v>T00839</v>
      </c>
      <c r="C1684" s="1" t="str">
        <f>IF(Raw!C1684="","",Raw!C1684)</f>
        <v>2026-01-17</v>
      </c>
      <c r="D1684" s="1">
        <f t="shared" si="208"/>
        <v>2026</v>
      </c>
      <c r="E1684" s="1">
        <f>IFERROR(IF(AND(LEN(C1684)=10,MID(C1684,5,1)="-",MID(C1684,8,1)="-"),VALUE(MID(C1684,6,2)),IF(AND(LEN(C1684)=11,MID(C1684,3,1)="-",MID(C1684,7,1)="-"),MATCH(UPPER(MID(C1684,4,3)),Guide!$D$7:$D$18,0),0)),0)</f>
        <v>1</v>
      </c>
      <c r="F1684" s="1">
        <f t="shared" si="209"/>
        <v>17</v>
      </c>
      <c r="G1684" s="9">
        <f t="shared" si="210"/>
        <v>46039</v>
      </c>
      <c r="H1684" s="1" t="str">
        <f>IF(Raw!D1684="","",Raw!D1684)</f>
        <v>P-A</v>
      </c>
      <c r="I1684" s="1" t="str">
        <f>IFERROR(IF(EXACT(H1684,INDEX(Guide!$A$7:$A$9,MATCH(SUBSTITUTE(SUBSTITUTE(SUBSTITUTE(H1684,"~","~~"),"*","~*"),"?","~?"),Guide!$A$7:$A$9,0))),INDEX(Guide!$B$7:$B$9,MATCH(SUBSTITUTE(SUBSTITUTE(SUBSTITUTE(H1684,"~","~~"),"*","~*"),"?","~?"),Guide!$A$7:$A$9,0)),""),"")</f>
        <v>Accessories</v>
      </c>
      <c r="J1684" s="1" t="str">
        <f>IF(TRIM(Raw!E1684)="",I1684,IF(UPPER(TRIM(Raw!E1684))=UPPER(I1684),I1684,""))</f>
        <v>Accessories</v>
      </c>
      <c r="K1684" s="1" t="str">
        <f>IF(Raw!F1684="","",Raw!F1684)</f>
        <v>sale</v>
      </c>
      <c r="L1684" s="1" t="str">
        <f>IF(LEFT(TRIM(Raw!G1684),2)="-$","-"&amp;MID(TRIM(Raw!G1684),3,99),IF(LEFT(TRIM(Raw!G1684),1)="$",MID(TRIM(Raw!G1684),2,99),TRIM(Raw!G1684)))</f>
        <v>127.40</v>
      </c>
      <c r="M1684" s="1">
        <f t="shared" si="211"/>
        <v>127.4</v>
      </c>
      <c r="N1684" s="10">
        <f t="shared" si="212"/>
        <v>12740</v>
      </c>
      <c r="O1684" s="1" t="b">
        <f>IFERROR(IF(ISNUMBER(Raw!G1684),TRUE,OR(EXACT(L1684,TEXT(M1684,"0.00")),EXACT(L1684,TEXT(M1684,"#,##0.00")))),FALSE)</f>
        <v>1</v>
      </c>
      <c r="P1684" s="1" t="str">
        <f>LEN(IF(Raw!A1684="","",Raw!A1684))&amp;":"&amp;IF(Raw!A1684="","",Raw!A1684)&amp;"|"&amp;LEN(IF(Raw!B1684="","",Raw!B1684))&amp;":"&amp;IF(Raw!B1684="","",Raw!B1684)&amp;"|"&amp;LEN(IF(Raw!C1684="","",Raw!C1684))&amp;":"&amp;IF(Raw!C1684="","",Raw!C1684)&amp;"|"&amp;LEN(IF(Raw!D1684="","",Raw!D1684))&amp;":"&amp;IF(Raw!D1684="","",Raw!D1684)&amp;"|"&amp;LEN(IF(Raw!E1684="","",Raw!E1684))&amp;":"&amp;IF(Raw!E1684="","",Raw!E1684)&amp;"|"&amp;LEN(IF(Raw!F1684="","",Raw!F1684))&amp;":"&amp;IF(Raw!F1684="","",Raw!F1684)&amp;"|"&amp;LEN(IF(Raw!G1684="","",Raw!G1684))&amp;":"&amp;IF(Raw!G1684="","",Raw!G1684)</f>
        <v>6:L01678|6:T00839|10:2026-01-17|3:P-A|11:Accessories|4:sale|6:127.40</v>
      </c>
      <c r="Q1684" s="1">
        <f>1</f>
        <v>1</v>
      </c>
      <c r="R1684" s="1" t="b">
        <f>FALSE</f>
        <v>0</v>
      </c>
      <c r="S1684" s="1">
        <f>1</f>
        <v>1</v>
      </c>
      <c r="T1684" s="1" t="str">
        <f>IF(AND(Raw!A1684="",Raw!B1684="",Raw!C1684="",Raw!D1684="",Raw!E1684="",Raw!F1684="",Raw!G1684=""),"UNUSED",IF(A1684="","missing line ID",IF(B1684="","missing transaction ID",IF(G1684="",IF(C1684="","missing date","invalid date"),IF(I1684="","unknown product",IF(J1684="","conflicting category",IF(NOT(OR(EXACT(K1684,"sale"),EXACT(K1684,"refund"))),"unknown event",IF(OR(N1684="",NOT(O1684)),"invalid amount",IF(OR(AND(K1684="sale",N1684&lt;=0),AND(K1684="refund",N1684&gt;=0)),"invalid sign","")))))))))</f>
        <v/>
      </c>
      <c r="U1684" s="1" t="str">
        <f t="shared" si="213"/>
        <v>INCLUDED</v>
      </c>
      <c r="V1684" s="1" t="str">
        <f t="shared" si="214"/>
        <v>2026-01</v>
      </c>
      <c r="W1684" s="1">
        <f>IF(AND(U1684="INCLUDED",X1684&gt;0,EXACT(A1684,'AI output'!A1684)),1,0)</f>
        <v>1</v>
      </c>
      <c r="X1684" s="1">
        <f>1684</f>
        <v>1684</v>
      </c>
      <c r="Y1684" s="1">
        <f>IF(AND(U1684="INCLUDED",W1684=1),--(NOT(EXACT(A1684,'AI output'!A1684)))+--(NOT(EXACT(B1684,'AI output'!B1684)))+--(NOT(EXACT(TEXT(G1684,"yyyy-mm-dd"),'AI output'!C1684)))+--(NOT(EXACT(H1684,'AI output'!D1684)))+--(NOT(EXACT(J1684,'AI output'!E1684)))+--(NOT(EXACT(K1684,'AI output'!F1684)))+--(N1684&lt;&gt;'AI output'!L1684)+--(NOT('AI output'!M1684)),0)</f>
        <v>0</v>
      </c>
      <c r="Z1684" s="1">
        <f t="shared" si="215"/>
        <v>0</v>
      </c>
      <c r="AA1684" s="1">
        <f>--EXACT(A1684,"L01678")</f>
        <v>1</v>
      </c>
    </row>
    <row r="1685" spans="1:27" ht="18.95" customHeight="1">
      <c r="A1685" s="1" t="str">
        <f>IF(Raw!A1685="","",Raw!A1685)</f>
        <v>L01679</v>
      </c>
      <c r="B1685" s="1" t="str">
        <f>IF(Raw!B1685="","",Raw!B1685)</f>
        <v>T00840</v>
      </c>
      <c r="C1685" s="1" t="str">
        <f>IF(Raw!C1685="","",Raw!C1685)</f>
        <v>2026-01-24</v>
      </c>
      <c r="D1685" s="1">
        <f t="shared" si="208"/>
        <v>2026</v>
      </c>
      <c r="E1685" s="1">
        <f>IFERROR(IF(AND(LEN(C1685)=10,MID(C1685,5,1)="-",MID(C1685,8,1)="-"),VALUE(MID(C1685,6,2)),IF(AND(LEN(C1685)=11,MID(C1685,3,1)="-",MID(C1685,7,1)="-"),MATCH(UPPER(MID(C1685,4,3)),Guide!$D$7:$D$18,0),0)),0)</f>
        <v>1</v>
      </c>
      <c r="F1685" s="1">
        <f t="shared" si="209"/>
        <v>24</v>
      </c>
      <c r="G1685" s="9">
        <f t="shared" si="210"/>
        <v>46046</v>
      </c>
      <c r="H1685" s="1" t="str">
        <f>IF(Raw!D1685="","",Raw!D1685)</f>
        <v>P-H</v>
      </c>
      <c r="I1685" s="1" t="str">
        <f>IFERROR(IF(EXACT(H1685,INDEX(Guide!$A$7:$A$9,MATCH(SUBSTITUTE(SUBSTITUTE(SUBSTITUTE(H1685,"~","~~"),"*","~*"),"?","~?"),Guide!$A$7:$A$9,0))),INDEX(Guide!$B$7:$B$9,MATCH(SUBSTITUTE(SUBSTITUTE(SUBSTITUTE(H1685,"~","~~"),"*","~*"),"?","~?"),Guide!$A$7:$A$9,0)),""),"")</f>
        <v>Home</v>
      </c>
      <c r="J1685" s="1" t="str">
        <f>IF(TRIM(Raw!E1685)="",I1685,IF(UPPER(TRIM(Raw!E1685))=UPPER(I1685),I1685,""))</f>
        <v>Home</v>
      </c>
      <c r="K1685" s="1" t="str">
        <f>IF(Raw!F1685="","",Raw!F1685)</f>
        <v>sale</v>
      </c>
      <c r="L1685" s="1" t="str">
        <f>IF(LEFT(TRIM(Raw!G1685),2)="-$","-"&amp;MID(TRIM(Raw!G1685),3,99),IF(LEFT(TRIM(Raw!G1685),1)="$",MID(TRIM(Raw!G1685),2,99),TRIM(Raw!G1685)))</f>
        <v>51.70</v>
      </c>
      <c r="M1685" s="1">
        <f t="shared" si="211"/>
        <v>51.7</v>
      </c>
      <c r="N1685" s="10">
        <f t="shared" si="212"/>
        <v>5170</v>
      </c>
      <c r="O1685" s="1" t="b">
        <f>IFERROR(IF(ISNUMBER(Raw!G1685),TRUE,OR(EXACT(L1685,TEXT(M1685,"0.00")),EXACT(L1685,TEXT(M1685,"#,##0.00")))),FALSE)</f>
        <v>1</v>
      </c>
      <c r="P1685" s="1" t="str">
        <f>LEN(IF(Raw!A1685="","",Raw!A1685))&amp;":"&amp;IF(Raw!A1685="","",Raw!A1685)&amp;"|"&amp;LEN(IF(Raw!B1685="","",Raw!B1685))&amp;":"&amp;IF(Raw!B1685="","",Raw!B1685)&amp;"|"&amp;LEN(IF(Raw!C1685="","",Raw!C1685))&amp;":"&amp;IF(Raw!C1685="","",Raw!C1685)&amp;"|"&amp;LEN(IF(Raw!D1685="","",Raw!D1685))&amp;":"&amp;IF(Raw!D1685="","",Raw!D1685)&amp;"|"&amp;LEN(IF(Raw!E1685="","",Raw!E1685))&amp;":"&amp;IF(Raw!E1685="","",Raw!E1685)&amp;"|"&amp;LEN(IF(Raw!F1685="","",Raw!F1685))&amp;":"&amp;IF(Raw!F1685="","",Raw!F1685)&amp;"|"&amp;LEN(IF(Raw!G1685="","",Raw!G1685))&amp;":"&amp;IF(Raw!G1685="","",Raw!G1685)</f>
        <v>6:L01679|6:T00840|10:2026-01-24|3:P-H|4:Home|4:sale|5:51.70</v>
      </c>
      <c r="Q1685" s="1">
        <f>1</f>
        <v>1</v>
      </c>
      <c r="R1685" s="1" t="b">
        <f>FALSE</f>
        <v>0</v>
      </c>
      <c r="S1685" s="1">
        <f>1</f>
        <v>1</v>
      </c>
      <c r="T1685" s="1" t="str">
        <f>IF(AND(Raw!A1685="",Raw!B1685="",Raw!C1685="",Raw!D1685="",Raw!E1685="",Raw!F1685="",Raw!G1685=""),"UNUSED",IF(A1685="","missing line ID",IF(B1685="","missing transaction ID",IF(G1685="",IF(C1685="","missing date","invalid date"),IF(I1685="","unknown product",IF(J1685="","conflicting category",IF(NOT(OR(EXACT(K1685,"sale"),EXACT(K1685,"refund"))),"unknown event",IF(OR(N1685="",NOT(O1685)),"invalid amount",IF(OR(AND(K1685="sale",N1685&lt;=0),AND(K1685="refund",N1685&gt;=0)),"invalid sign","")))))))))</f>
        <v/>
      </c>
      <c r="U1685" s="1" t="str">
        <f t="shared" si="213"/>
        <v>INCLUDED</v>
      </c>
      <c r="V1685" s="1" t="str">
        <f t="shared" si="214"/>
        <v>2026-01</v>
      </c>
      <c r="W1685" s="1">
        <f>IF(AND(U1685="INCLUDED",X1685&gt;0,EXACT(A1685,'AI output'!A1685)),1,0)</f>
        <v>1</v>
      </c>
      <c r="X1685" s="1">
        <f>1685</f>
        <v>1685</v>
      </c>
      <c r="Y1685" s="1">
        <f>IF(AND(U1685="INCLUDED",W1685=1),--(NOT(EXACT(A1685,'AI output'!A1685)))+--(NOT(EXACT(B1685,'AI output'!B1685)))+--(NOT(EXACT(TEXT(G1685,"yyyy-mm-dd"),'AI output'!C1685)))+--(NOT(EXACT(H1685,'AI output'!D1685)))+--(NOT(EXACT(J1685,'AI output'!E1685)))+--(NOT(EXACT(K1685,'AI output'!F1685)))+--(N1685&lt;&gt;'AI output'!L1685)+--(NOT('AI output'!M1685)),0)</f>
        <v>0</v>
      </c>
      <c r="Z1685" s="1">
        <f t="shared" si="215"/>
        <v>0</v>
      </c>
      <c r="AA1685" s="1">
        <f>--EXACT(A1685,"L01679")</f>
        <v>1</v>
      </c>
    </row>
    <row r="1686" spans="1:27" ht="18.95" customHeight="1">
      <c r="A1686" s="1" t="str">
        <f>IF(Raw!A1686="","",Raw!A1686)</f>
        <v>L01680</v>
      </c>
      <c r="B1686" s="1" t="str">
        <f>IF(Raw!B1686="","",Raw!B1686)</f>
        <v>T00840</v>
      </c>
      <c r="C1686" s="1" t="str">
        <f>IF(Raw!C1686="","",Raw!C1686)</f>
        <v>2026-01-24</v>
      </c>
      <c r="D1686" s="1">
        <f t="shared" si="208"/>
        <v>2026</v>
      </c>
      <c r="E1686" s="1">
        <f>IFERROR(IF(AND(LEN(C1686)=10,MID(C1686,5,1)="-",MID(C1686,8,1)="-"),VALUE(MID(C1686,6,2)),IF(AND(LEN(C1686)=11,MID(C1686,3,1)="-",MID(C1686,7,1)="-"),MATCH(UPPER(MID(C1686,4,3)),Guide!$D$7:$D$18,0),0)),0)</f>
        <v>1</v>
      </c>
      <c r="F1686" s="1">
        <f t="shared" si="209"/>
        <v>24</v>
      </c>
      <c r="G1686" s="9">
        <f t="shared" si="210"/>
        <v>46046</v>
      </c>
      <c r="H1686" s="1" t="str">
        <f>IF(Raw!D1686="","",Raw!D1686)</f>
        <v>P-O</v>
      </c>
      <c r="I1686" s="1" t="str">
        <f>IFERROR(IF(EXACT(H1686,INDEX(Guide!$A$7:$A$9,MATCH(SUBSTITUTE(SUBSTITUTE(SUBSTITUTE(H1686,"~","~~"),"*","~*"),"?","~?"),Guide!$A$7:$A$9,0))),INDEX(Guide!$B$7:$B$9,MATCH(SUBSTITUTE(SUBSTITUTE(SUBSTITUTE(H1686,"~","~~"),"*","~*"),"?","~?"),Guide!$A$7:$A$9,0)),""),"")</f>
        <v>Office</v>
      </c>
      <c r="J1686" s="1" t="str">
        <f>IF(TRIM(Raw!E1686)="",I1686,IF(UPPER(TRIM(Raw!E1686))=UPPER(I1686),I1686,""))</f>
        <v>Office</v>
      </c>
      <c r="K1686" s="1" t="str">
        <f>IF(Raw!F1686="","",Raw!F1686)</f>
        <v>refund</v>
      </c>
      <c r="L1686" s="1" t="str">
        <f>IF(LEFT(TRIM(Raw!G1686),2)="-$","-"&amp;MID(TRIM(Raw!G1686),3,99),IF(LEFT(TRIM(Raw!G1686),1)="$",MID(TRIM(Raw!G1686),2,99),TRIM(Raw!G1686)))</f>
        <v>-104.88</v>
      </c>
      <c r="M1686" s="1">
        <f t="shared" si="211"/>
        <v>-104.88</v>
      </c>
      <c r="N1686" s="10">
        <f t="shared" si="212"/>
        <v>-10488</v>
      </c>
      <c r="O1686" s="1" t="b">
        <f>IFERROR(IF(ISNUMBER(Raw!G1686),TRUE,OR(EXACT(L1686,TEXT(M1686,"0.00")),EXACT(L1686,TEXT(M1686,"#,##0.00")))),FALSE)</f>
        <v>1</v>
      </c>
      <c r="P1686" s="1" t="str">
        <f>LEN(IF(Raw!A1686="","",Raw!A1686))&amp;":"&amp;IF(Raw!A1686="","",Raw!A1686)&amp;"|"&amp;LEN(IF(Raw!B1686="","",Raw!B1686))&amp;":"&amp;IF(Raw!B1686="","",Raw!B1686)&amp;"|"&amp;LEN(IF(Raw!C1686="","",Raw!C1686))&amp;":"&amp;IF(Raw!C1686="","",Raw!C1686)&amp;"|"&amp;LEN(IF(Raw!D1686="","",Raw!D1686))&amp;":"&amp;IF(Raw!D1686="","",Raw!D1686)&amp;"|"&amp;LEN(IF(Raw!E1686="","",Raw!E1686))&amp;":"&amp;IF(Raw!E1686="","",Raw!E1686)&amp;"|"&amp;LEN(IF(Raw!F1686="","",Raw!F1686))&amp;":"&amp;IF(Raw!F1686="","",Raw!F1686)&amp;"|"&amp;LEN(IF(Raw!G1686="","",Raw!G1686))&amp;":"&amp;IF(Raw!G1686="","",Raw!G1686)</f>
        <v>6:L01680|6:T00840|10:2026-01-24|3:P-O|6:Office|6:refund|7:-104.88</v>
      </c>
      <c r="Q1686" s="1">
        <f>1</f>
        <v>1</v>
      </c>
      <c r="R1686" s="1" t="b">
        <f>FALSE</f>
        <v>0</v>
      </c>
      <c r="S1686" s="1">
        <f>1</f>
        <v>1</v>
      </c>
      <c r="T1686" s="1" t="str">
        <f>IF(AND(Raw!A1686="",Raw!B1686="",Raw!C1686="",Raw!D1686="",Raw!E1686="",Raw!F1686="",Raw!G1686=""),"UNUSED",IF(A1686="","missing line ID",IF(B1686="","missing transaction ID",IF(G1686="",IF(C1686="","missing date","invalid date"),IF(I1686="","unknown product",IF(J1686="","conflicting category",IF(NOT(OR(EXACT(K1686,"sale"),EXACT(K1686,"refund"))),"unknown event",IF(OR(N1686="",NOT(O1686)),"invalid amount",IF(OR(AND(K1686="sale",N1686&lt;=0),AND(K1686="refund",N1686&gt;=0)),"invalid sign","")))))))))</f>
        <v/>
      </c>
      <c r="U1686" s="1" t="str">
        <f t="shared" si="213"/>
        <v>INCLUDED</v>
      </c>
      <c r="V1686" s="1" t="str">
        <f t="shared" si="214"/>
        <v>2026-01</v>
      </c>
      <c r="W1686" s="1">
        <f>IF(AND(U1686="INCLUDED",X1686&gt;0,EXACT(A1686,'AI output'!A1686)),1,0)</f>
        <v>1</v>
      </c>
      <c r="X1686" s="1">
        <f>1686</f>
        <v>1686</v>
      </c>
      <c r="Y1686" s="1">
        <f>IF(AND(U1686="INCLUDED",W1686=1),--(NOT(EXACT(A1686,'AI output'!A1686)))+--(NOT(EXACT(B1686,'AI output'!B1686)))+--(NOT(EXACT(TEXT(G1686,"yyyy-mm-dd"),'AI output'!C1686)))+--(NOT(EXACT(H1686,'AI output'!D1686)))+--(NOT(EXACT(J1686,'AI output'!E1686)))+--(NOT(EXACT(K1686,'AI output'!F1686)))+--(N1686&lt;&gt;'AI output'!L1686)+--(NOT('AI output'!M1686)),0)</f>
        <v>0</v>
      </c>
      <c r="Z1686" s="1">
        <f t="shared" si="215"/>
        <v>0</v>
      </c>
      <c r="AA1686" s="1">
        <f>--EXACT(A1686,"L01680")</f>
        <v>1</v>
      </c>
    </row>
    <row r="1687" spans="1:27" ht="18.95" customHeight="1">
      <c r="A1687" s="1" t="str">
        <f>IF(Raw!A1687="","",Raw!A1687)</f>
        <v>L01681</v>
      </c>
      <c r="B1687" s="1" t="str">
        <f>IF(Raw!B1687="","",Raw!B1687)</f>
        <v>T00841</v>
      </c>
      <c r="C1687" s="1" t="str">
        <f>IF(Raw!C1687="","",Raw!C1687)</f>
        <v>2026-01-31</v>
      </c>
      <c r="D1687" s="1">
        <f t="shared" si="208"/>
        <v>2026</v>
      </c>
      <c r="E1687" s="1">
        <f>IFERROR(IF(AND(LEN(C1687)=10,MID(C1687,5,1)="-",MID(C1687,8,1)="-"),VALUE(MID(C1687,6,2)),IF(AND(LEN(C1687)=11,MID(C1687,3,1)="-",MID(C1687,7,1)="-"),MATCH(UPPER(MID(C1687,4,3)),Guide!$D$7:$D$18,0),0)),0)</f>
        <v>1</v>
      </c>
      <c r="F1687" s="1">
        <f t="shared" si="209"/>
        <v>31</v>
      </c>
      <c r="G1687" s="9">
        <f t="shared" si="210"/>
        <v>46053</v>
      </c>
      <c r="H1687" s="1" t="str">
        <f>IF(Raw!D1687="","",Raw!D1687)</f>
        <v>P-A</v>
      </c>
      <c r="I1687" s="1" t="str">
        <f>IFERROR(IF(EXACT(H1687,INDEX(Guide!$A$7:$A$9,MATCH(SUBSTITUTE(SUBSTITUTE(SUBSTITUTE(H1687,"~","~~"),"*","~*"),"?","~?"),Guide!$A$7:$A$9,0))),INDEX(Guide!$B$7:$B$9,MATCH(SUBSTITUTE(SUBSTITUTE(SUBSTITUTE(H1687,"~","~~"),"*","~*"),"?","~?"),Guide!$A$7:$A$9,0)),""),"")</f>
        <v>Accessories</v>
      </c>
      <c r="J1687" s="1" t="str">
        <f>IF(TRIM(Raw!E1687)="",I1687,IF(UPPER(TRIM(Raw!E1687))=UPPER(I1687),I1687,""))</f>
        <v>Accessories</v>
      </c>
      <c r="K1687" s="1" t="str">
        <f>IF(Raw!F1687="","",Raw!F1687)</f>
        <v>sale</v>
      </c>
      <c r="L1687" s="1" t="str">
        <f>IF(LEFT(TRIM(Raw!G1687),2)="-$","-"&amp;MID(TRIM(Raw!G1687),3,99),IF(LEFT(TRIM(Raw!G1687),1)="$",MID(TRIM(Raw!G1687),2,99),TRIM(Raw!G1687)))</f>
        <v>26.59</v>
      </c>
      <c r="M1687" s="1">
        <f t="shared" si="211"/>
        <v>26.59</v>
      </c>
      <c r="N1687" s="10">
        <f t="shared" si="212"/>
        <v>2659</v>
      </c>
      <c r="O1687" s="1" t="b">
        <f>IFERROR(IF(ISNUMBER(Raw!G1687),TRUE,OR(EXACT(L1687,TEXT(M1687,"0.00")),EXACT(L1687,TEXT(M1687,"#,##0.00")))),FALSE)</f>
        <v>1</v>
      </c>
      <c r="P1687" s="1" t="str">
        <f>LEN(IF(Raw!A1687="","",Raw!A1687))&amp;":"&amp;IF(Raw!A1687="","",Raw!A1687)&amp;"|"&amp;LEN(IF(Raw!B1687="","",Raw!B1687))&amp;":"&amp;IF(Raw!B1687="","",Raw!B1687)&amp;"|"&amp;LEN(IF(Raw!C1687="","",Raw!C1687))&amp;":"&amp;IF(Raw!C1687="","",Raw!C1687)&amp;"|"&amp;LEN(IF(Raw!D1687="","",Raw!D1687))&amp;":"&amp;IF(Raw!D1687="","",Raw!D1687)&amp;"|"&amp;LEN(IF(Raw!E1687="","",Raw!E1687))&amp;":"&amp;IF(Raw!E1687="","",Raw!E1687)&amp;"|"&amp;LEN(IF(Raw!F1687="","",Raw!F1687))&amp;":"&amp;IF(Raw!F1687="","",Raw!F1687)&amp;"|"&amp;LEN(IF(Raw!G1687="","",Raw!G1687))&amp;":"&amp;IF(Raw!G1687="","",Raw!G1687)</f>
        <v>6:L01681|6:T00841|10:2026-01-31|3:P-A|11:Accessories|4:sale|5:26.59</v>
      </c>
      <c r="Q1687" s="1">
        <f>1</f>
        <v>1</v>
      </c>
      <c r="R1687" s="1" t="b">
        <f>FALSE</f>
        <v>0</v>
      </c>
      <c r="S1687" s="1">
        <f>1</f>
        <v>1</v>
      </c>
      <c r="T1687" s="1" t="str">
        <f>IF(AND(Raw!A1687="",Raw!B1687="",Raw!C1687="",Raw!D1687="",Raw!E1687="",Raw!F1687="",Raw!G1687=""),"UNUSED",IF(A1687="","missing line ID",IF(B1687="","missing transaction ID",IF(G1687="",IF(C1687="","missing date","invalid date"),IF(I1687="","unknown product",IF(J1687="","conflicting category",IF(NOT(OR(EXACT(K1687,"sale"),EXACT(K1687,"refund"))),"unknown event",IF(OR(N1687="",NOT(O1687)),"invalid amount",IF(OR(AND(K1687="sale",N1687&lt;=0),AND(K1687="refund",N1687&gt;=0)),"invalid sign","")))))))))</f>
        <v/>
      </c>
      <c r="U1687" s="1" t="str">
        <f t="shared" si="213"/>
        <v>INCLUDED</v>
      </c>
      <c r="V1687" s="1" t="str">
        <f t="shared" si="214"/>
        <v>2026-01</v>
      </c>
      <c r="W1687" s="1">
        <f>IF(AND(U1687="INCLUDED",X1687&gt;0,EXACT(A1687,'AI output'!A1687)),1,0)</f>
        <v>1</v>
      </c>
      <c r="X1687" s="1">
        <f>1687</f>
        <v>1687</v>
      </c>
      <c r="Y1687" s="1">
        <f>IF(AND(U1687="INCLUDED",W1687=1),--(NOT(EXACT(A1687,'AI output'!A1687)))+--(NOT(EXACT(B1687,'AI output'!B1687)))+--(NOT(EXACT(TEXT(G1687,"yyyy-mm-dd"),'AI output'!C1687)))+--(NOT(EXACT(H1687,'AI output'!D1687)))+--(NOT(EXACT(J1687,'AI output'!E1687)))+--(NOT(EXACT(K1687,'AI output'!F1687)))+--(N1687&lt;&gt;'AI output'!L1687)+--(NOT('AI output'!M1687)),0)</f>
        <v>0</v>
      </c>
      <c r="Z1687" s="1">
        <f t="shared" si="215"/>
        <v>0</v>
      </c>
      <c r="AA1687" s="1">
        <f>--EXACT(A1687,"L01681")</f>
        <v>1</v>
      </c>
    </row>
    <row r="1688" spans="1:27" ht="18.95" customHeight="1">
      <c r="A1688" s="1" t="str">
        <f>IF(Raw!A1688="","",Raw!A1688)</f>
        <v>L01682</v>
      </c>
      <c r="B1688" s="1" t="str">
        <f>IF(Raw!B1688="","",Raw!B1688)</f>
        <v>T00841</v>
      </c>
      <c r="C1688" s="1" t="str">
        <f>IF(Raw!C1688="","",Raw!C1688)</f>
        <v>2026-01-31</v>
      </c>
      <c r="D1688" s="1">
        <f t="shared" si="208"/>
        <v>2026</v>
      </c>
      <c r="E1688" s="1">
        <f>IFERROR(IF(AND(LEN(C1688)=10,MID(C1688,5,1)="-",MID(C1688,8,1)="-"),VALUE(MID(C1688,6,2)),IF(AND(LEN(C1688)=11,MID(C1688,3,1)="-",MID(C1688,7,1)="-"),MATCH(UPPER(MID(C1688,4,3)),Guide!$D$7:$D$18,0),0)),0)</f>
        <v>1</v>
      </c>
      <c r="F1688" s="1">
        <f t="shared" si="209"/>
        <v>31</v>
      </c>
      <c r="G1688" s="9">
        <f t="shared" si="210"/>
        <v>46053</v>
      </c>
      <c r="H1688" s="1" t="str">
        <f>IF(Raw!D1688="","",Raw!D1688)</f>
        <v>P-H</v>
      </c>
      <c r="I1688" s="1" t="str">
        <f>IFERROR(IF(EXACT(H1688,INDEX(Guide!$A$7:$A$9,MATCH(SUBSTITUTE(SUBSTITUTE(SUBSTITUTE(H1688,"~","~~"),"*","~*"),"?","~?"),Guide!$A$7:$A$9,0))),INDEX(Guide!$B$7:$B$9,MATCH(SUBSTITUTE(SUBSTITUTE(SUBSTITUTE(H1688,"~","~~"),"*","~*"),"?","~?"),Guide!$A$7:$A$9,0)),""),"")</f>
        <v>Home</v>
      </c>
      <c r="J1688" s="1" t="str">
        <f>IF(TRIM(Raw!E1688)="",I1688,IF(UPPER(TRIM(Raw!E1688))=UPPER(I1688),I1688,""))</f>
        <v>Home</v>
      </c>
      <c r="K1688" s="1" t="str">
        <f>IF(Raw!F1688="","",Raw!F1688)</f>
        <v>sale</v>
      </c>
      <c r="L1688" s="1" t="str">
        <f>IF(LEFT(TRIM(Raw!G1688),2)="-$","-"&amp;MID(TRIM(Raw!G1688),3,99),IF(LEFT(TRIM(Raw!G1688),1)="$",MID(TRIM(Raw!G1688),2,99),TRIM(Raw!G1688)))</f>
        <v>80.88</v>
      </c>
      <c r="M1688" s="1">
        <f t="shared" si="211"/>
        <v>80.88</v>
      </c>
      <c r="N1688" s="10">
        <f t="shared" si="212"/>
        <v>8088</v>
      </c>
      <c r="O1688" s="1" t="b">
        <f>IFERROR(IF(ISNUMBER(Raw!G1688),TRUE,OR(EXACT(L1688,TEXT(M1688,"0.00")),EXACT(L1688,TEXT(M1688,"#,##0.00")))),FALSE)</f>
        <v>1</v>
      </c>
      <c r="P1688" s="1" t="str">
        <f>LEN(IF(Raw!A1688="","",Raw!A1688))&amp;":"&amp;IF(Raw!A1688="","",Raw!A1688)&amp;"|"&amp;LEN(IF(Raw!B1688="","",Raw!B1688))&amp;":"&amp;IF(Raw!B1688="","",Raw!B1688)&amp;"|"&amp;LEN(IF(Raw!C1688="","",Raw!C1688))&amp;":"&amp;IF(Raw!C1688="","",Raw!C1688)&amp;"|"&amp;LEN(IF(Raw!D1688="","",Raw!D1688))&amp;":"&amp;IF(Raw!D1688="","",Raw!D1688)&amp;"|"&amp;LEN(IF(Raw!E1688="","",Raw!E1688))&amp;":"&amp;IF(Raw!E1688="","",Raw!E1688)&amp;"|"&amp;LEN(IF(Raw!F1688="","",Raw!F1688))&amp;":"&amp;IF(Raw!F1688="","",Raw!F1688)&amp;"|"&amp;LEN(IF(Raw!G1688="","",Raw!G1688))&amp;":"&amp;IF(Raw!G1688="","",Raw!G1688)</f>
        <v>6:L01682|6:T00841|10:2026-01-31|3:P-H|4:Home|4:sale|5:80.88</v>
      </c>
      <c r="Q1688" s="1">
        <f>1</f>
        <v>1</v>
      </c>
      <c r="R1688" s="1" t="b">
        <f>FALSE</f>
        <v>0</v>
      </c>
      <c r="S1688" s="1">
        <f>1</f>
        <v>1</v>
      </c>
      <c r="T1688" s="1" t="str">
        <f>IF(AND(Raw!A1688="",Raw!B1688="",Raw!C1688="",Raw!D1688="",Raw!E1688="",Raw!F1688="",Raw!G1688=""),"UNUSED",IF(A1688="","missing line ID",IF(B1688="","missing transaction ID",IF(G1688="",IF(C1688="","missing date","invalid date"),IF(I1688="","unknown product",IF(J1688="","conflicting category",IF(NOT(OR(EXACT(K1688,"sale"),EXACT(K1688,"refund"))),"unknown event",IF(OR(N1688="",NOT(O1688)),"invalid amount",IF(OR(AND(K1688="sale",N1688&lt;=0),AND(K1688="refund",N1688&gt;=0)),"invalid sign","")))))))))</f>
        <v/>
      </c>
      <c r="U1688" s="1" t="str">
        <f t="shared" si="213"/>
        <v>INCLUDED</v>
      </c>
      <c r="V1688" s="1" t="str">
        <f t="shared" si="214"/>
        <v>2026-01</v>
      </c>
      <c r="W1688" s="1">
        <f>IF(AND(U1688="INCLUDED",X1688&gt;0,EXACT(A1688,'AI output'!A1688)),1,0)</f>
        <v>1</v>
      </c>
      <c r="X1688" s="1">
        <f>1688</f>
        <v>1688</v>
      </c>
      <c r="Y1688" s="1">
        <f>IF(AND(U1688="INCLUDED",W1688=1),--(NOT(EXACT(A1688,'AI output'!A1688)))+--(NOT(EXACT(B1688,'AI output'!B1688)))+--(NOT(EXACT(TEXT(G1688,"yyyy-mm-dd"),'AI output'!C1688)))+--(NOT(EXACT(H1688,'AI output'!D1688)))+--(NOT(EXACT(J1688,'AI output'!E1688)))+--(NOT(EXACT(K1688,'AI output'!F1688)))+--(N1688&lt;&gt;'AI output'!L1688)+--(NOT('AI output'!M1688)),0)</f>
        <v>0</v>
      </c>
      <c r="Z1688" s="1">
        <f t="shared" si="215"/>
        <v>0</v>
      </c>
      <c r="AA1688" s="1">
        <f>--EXACT(A1688,"L01682")</f>
        <v>1</v>
      </c>
    </row>
    <row r="1689" spans="1:27" ht="18.95" customHeight="1">
      <c r="A1689" s="1" t="str">
        <f>IF(Raw!A1689="","",Raw!A1689)</f>
        <v>L01683</v>
      </c>
      <c r="B1689" s="1" t="str">
        <f>IF(Raw!B1689="","",Raw!B1689)</f>
        <v>T00842</v>
      </c>
      <c r="C1689" s="1" t="str">
        <f>IF(Raw!C1689="","",Raw!C1689)</f>
        <v>2026-02-07</v>
      </c>
      <c r="D1689" s="1">
        <f t="shared" si="208"/>
        <v>2026</v>
      </c>
      <c r="E1689" s="1">
        <f>IFERROR(IF(AND(LEN(C1689)=10,MID(C1689,5,1)="-",MID(C1689,8,1)="-"),VALUE(MID(C1689,6,2)),IF(AND(LEN(C1689)=11,MID(C1689,3,1)="-",MID(C1689,7,1)="-"),MATCH(UPPER(MID(C1689,4,3)),Guide!$D$7:$D$18,0),0)),0)</f>
        <v>2</v>
      </c>
      <c r="F1689" s="1">
        <f t="shared" si="209"/>
        <v>7</v>
      </c>
      <c r="G1689" s="9">
        <f t="shared" si="210"/>
        <v>46060</v>
      </c>
      <c r="H1689" s="1" t="str">
        <f>IF(Raw!D1689="","",Raw!D1689)</f>
        <v>P-O</v>
      </c>
      <c r="I1689" s="1" t="str">
        <f>IFERROR(IF(EXACT(H1689,INDEX(Guide!$A$7:$A$9,MATCH(SUBSTITUTE(SUBSTITUTE(SUBSTITUTE(H1689,"~","~~"),"*","~*"),"?","~?"),Guide!$A$7:$A$9,0))),INDEX(Guide!$B$7:$B$9,MATCH(SUBSTITUTE(SUBSTITUTE(SUBSTITUTE(H1689,"~","~~"),"*","~*"),"?","~?"),Guide!$A$7:$A$9,0)),""),"")</f>
        <v>Office</v>
      </c>
      <c r="J1689" s="1" t="str">
        <f>IF(TRIM(Raw!E1689)="",I1689,IF(UPPER(TRIM(Raw!E1689))=UPPER(I1689),I1689,""))</f>
        <v>Office</v>
      </c>
      <c r="K1689" s="1" t="str">
        <f>IF(Raw!F1689="","",Raw!F1689)</f>
        <v>sale</v>
      </c>
      <c r="L1689" s="1" t="str">
        <f>IF(LEFT(TRIM(Raw!G1689),2)="-$","-"&amp;MID(TRIM(Raw!G1689),3,99),IF(LEFT(TRIM(Raw!G1689),1)="$",MID(TRIM(Raw!G1689),2,99),TRIM(Raw!G1689)))</f>
        <v>136.65</v>
      </c>
      <c r="M1689" s="1">
        <f t="shared" si="211"/>
        <v>136.65</v>
      </c>
      <c r="N1689" s="10">
        <f t="shared" si="212"/>
        <v>13665</v>
      </c>
      <c r="O1689" s="1" t="b">
        <f>IFERROR(IF(ISNUMBER(Raw!G1689),TRUE,OR(EXACT(L1689,TEXT(M1689,"0.00")),EXACT(L1689,TEXT(M1689,"#,##0.00")))),FALSE)</f>
        <v>1</v>
      </c>
      <c r="P1689" s="1" t="str">
        <f>LEN(IF(Raw!A1689="","",Raw!A1689))&amp;":"&amp;IF(Raw!A1689="","",Raw!A1689)&amp;"|"&amp;LEN(IF(Raw!B1689="","",Raw!B1689))&amp;":"&amp;IF(Raw!B1689="","",Raw!B1689)&amp;"|"&amp;LEN(IF(Raw!C1689="","",Raw!C1689))&amp;":"&amp;IF(Raw!C1689="","",Raw!C1689)&amp;"|"&amp;LEN(IF(Raw!D1689="","",Raw!D1689))&amp;":"&amp;IF(Raw!D1689="","",Raw!D1689)&amp;"|"&amp;LEN(IF(Raw!E1689="","",Raw!E1689))&amp;":"&amp;IF(Raw!E1689="","",Raw!E1689)&amp;"|"&amp;LEN(IF(Raw!F1689="","",Raw!F1689))&amp;":"&amp;IF(Raw!F1689="","",Raw!F1689)&amp;"|"&amp;LEN(IF(Raw!G1689="","",Raw!G1689))&amp;":"&amp;IF(Raw!G1689="","",Raw!G1689)</f>
        <v>6:L01683|6:T00842|10:2026-02-07|3:P-O|6:Office|4:sale|6:136.65</v>
      </c>
      <c r="Q1689" s="1">
        <f>1</f>
        <v>1</v>
      </c>
      <c r="R1689" s="1" t="b">
        <f>FALSE</f>
        <v>0</v>
      </c>
      <c r="S1689" s="1">
        <f>1</f>
        <v>1</v>
      </c>
      <c r="T1689" s="1" t="str">
        <f>IF(AND(Raw!A1689="",Raw!B1689="",Raw!C1689="",Raw!D1689="",Raw!E1689="",Raw!F1689="",Raw!G1689=""),"UNUSED",IF(A1689="","missing line ID",IF(B1689="","missing transaction ID",IF(G1689="",IF(C1689="","missing date","invalid date"),IF(I1689="","unknown product",IF(J1689="","conflicting category",IF(NOT(OR(EXACT(K1689,"sale"),EXACT(K1689,"refund"))),"unknown event",IF(OR(N1689="",NOT(O1689)),"invalid amount",IF(OR(AND(K1689="sale",N1689&lt;=0),AND(K1689="refund",N1689&gt;=0)),"invalid sign","")))))))))</f>
        <v/>
      </c>
      <c r="U1689" s="1" t="str">
        <f t="shared" si="213"/>
        <v>INCLUDED</v>
      </c>
      <c r="V1689" s="1" t="str">
        <f t="shared" si="214"/>
        <v>2026-02</v>
      </c>
      <c r="W1689" s="1">
        <f>IF(AND(U1689="INCLUDED",X1689&gt;0,EXACT(A1689,'AI output'!A1689)),1,0)</f>
        <v>1</v>
      </c>
      <c r="X1689" s="1">
        <f>1689</f>
        <v>1689</v>
      </c>
      <c r="Y1689" s="1">
        <f>IF(AND(U1689="INCLUDED",W1689=1),--(NOT(EXACT(A1689,'AI output'!A1689)))+--(NOT(EXACT(B1689,'AI output'!B1689)))+--(NOT(EXACT(TEXT(G1689,"yyyy-mm-dd"),'AI output'!C1689)))+--(NOT(EXACT(H1689,'AI output'!D1689)))+--(NOT(EXACT(J1689,'AI output'!E1689)))+--(NOT(EXACT(K1689,'AI output'!F1689)))+--(N1689&lt;&gt;'AI output'!L1689)+--(NOT('AI output'!M1689)),0)</f>
        <v>0</v>
      </c>
      <c r="Z1689" s="1">
        <f t="shared" si="215"/>
        <v>0</v>
      </c>
      <c r="AA1689" s="1">
        <f>--EXACT(A1689,"L01683")</f>
        <v>1</v>
      </c>
    </row>
    <row r="1690" spans="1:27" ht="18.95" customHeight="1">
      <c r="A1690" s="1" t="str">
        <f>IF(Raw!A1690="","",Raw!A1690)</f>
        <v>L01684</v>
      </c>
      <c r="B1690" s="1" t="str">
        <f>IF(Raw!B1690="","",Raw!B1690)</f>
        <v>T00842</v>
      </c>
      <c r="C1690" s="1" t="str">
        <f>IF(Raw!C1690="","",Raw!C1690)</f>
        <v>2026-02-07</v>
      </c>
      <c r="D1690" s="1">
        <f t="shared" si="208"/>
        <v>2026</v>
      </c>
      <c r="E1690" s="1">
        <f>IFERROR(IF(AND(LEN(C1690)=10,MID(C1690,5,1)="-",MID(C1690,8,1)="-"),VALUE(MID(C1690,6,2)),IF(AND(LEN(C1690)=11,MID(C1690,3,1)="-",MID(C1690,7,1)="-"),MATCH(UPPER(MID(C1690,4,3)),Guide!$D$7:$D$18,0),0)),0)</f>
        <v>2</v>
      </c>
      <c r="F1690" s="1">
        <f t="shared" si="209"/>
        <v>7</v>
      </c>
      <c r="G1690" s="9">
        <f t="shared" si="210"/>
        <v>46060</v>
      </c>
      <c r="H1690" s="1" t="str">
        <f>IF(Raw!D1690="","",Raw!D1690)</f>
        <v>P-A</v>
      </c>
      <c r="I1690" s="1" t="str">
        <f>IFERROR(IF(EXACT(H1690,INDEX(Guide!$A$7:$A$9,MATCH(SUBSTITUTE(SUBSTITUTE(SUBSTITUTE(H1690,"~","~~"),"*","~*"),"?","~?"),Guide!$A$7:$A$9,0))),INDEX(Guide!$B$7:$B$9,MATCH(SUBSTITUTE(SUBSTITUTE(SUBSTITUTE(H1690,"~","~~"),"*","~*"),"?","~?"),Guide!$A$7:$A$9,0)),""),"")</f>
        <v>Accessories</v>
      </c>
      <c r="J1690" s="1" t="str">
        <f>IF(TRIM(Raw!E1690)="",I1690,IF(UPPER(TRIM(Raw!E1690))=UPPER(I1690),I1690,""))</f>
        <v>Accessories</v>
      </c>
      <c r="K1690" s="1" t="str">
        <f>IF(Raw!F1690="","",Raw!F1690)</f>
        <v>sale</v>
      </c>
      <c r="L1690" s="1" t="str">
        <f>IF(LEFT(TRIM(Raw!G1690),2)="-$","-"&amp;MID(TRIM(Raw!G1690),3,99),IF(LEFT(TRIM(Raw!G1690),1)="$",MID(TRIM(Raw!G1690),2,99),TRIM(Raw!G1690)))</f>
        <v>55.40</v>
      </c>
      <c r="M1690" s="1">
        <f t="shared" si="211"/>
        <v>55.4</v>
      </c>
      <c r="N1690" s="10">
        <f t="shared" si="212"/>
        <v>5540</v>
      </c>
      <c r="O1690" s="1" t="b">
        <f>IFERROR(IF(ISNUMBER(Raw!G1690),TRUE,OR(EXACT(L1690,TEXT(M1690,"0.00")),EXACT(L1690,TEXT(M1690,"#,##0.00")))),FALSE)</f>
        <v>1</v>
      </c>
      <c r="P1690" s="1" t="str">
        <f>LEN(IF(Raw!A1690="","",Raw!A1690))&amp;":"&amp;IF(Raw!A1690="","",Raw!A1690)&amp;"|"&amp;LEN(IF(Raw!B1690="","",Raw!B1690))&amp;":"&amp;IF(Raw!B1690="","",Raw!B1690)&amp;"|"&amp;LEN(IF(Raw!C1690="","",Raw!C1690))&amp;":"&amp;IF(Raw!C1690="","",Raw!C1690)&amp;"|"&amp;LEN(IF(Raw!D1690="","",Raw!D1690))&amp;":"&amp;IF(Raw!D1690="","",Raw!D1690)&amp;"|"&amp;LEN(IF(Raw!E1690="","",Raw!E1690))&amp;":"&amp;IF(Raw!E1690="","",Raw!E1690)&amp;"|"&amp;LEN(IF(Raw!F1690="","",Raw!F1690))&amp;":"&amp;IF(Raw!F1690="","",Raw!F1690)&amp;"|"&amp;LEN(IF(Raw!G1690="","",Raw!G1690))&amp;":"&amp;IF(Raw!G1690="","",Raw!G1690)</f>
        <v>6:L01684|6:T00842|10:2026-02-07|3:P-A|11:Accessories|4:sale|5:55.40</v>
      </c>
      <c r="Q1690" s="1">
        <f>1</f>
        <v>1</v>
      </c>
      <c r="R1690" s="1" t="b">
        <f>FALSE</f>
        <v>0</v>
      </c>
      <c r="S1690" s="1">
        <f>1</f>
        <v>1</v>
      </c>
      <c r="T1690" s="1" t="str">
        <f>IF(AND(Raw!A1690="",Raw!B1690="",Raw!C1690="",Raw!D1690="",Raw!E1690="",Raw!F1690="",Raw!G1690=""),"UNUSED",IF(A1690="","missing line ID",IF(B1690="","missing transaction ID",IF(G1690="",IF(C1690="","missing date","invalid date"),IF(I1690="","unknown product",IF(J1690="","conflicting category",IF(NOT(OR(EXACT(K1690,"sale"),EXACT(K1690,"refund"))),"unknown event",IF(OR(N1690="",NOT(O1690)),"invalid amount",IF(OR(AND(K1690="sale",N1690&lt;=0),AND(K1690="refund",N1690&gt;=0)),"invalid sign","")))))))))</f>
        <v/>
      </c>
      <c r="U1690" s="1" t="str">
        <f t="shared" si="213"/>
        <v>INCLUDED</v>
      </c>
      <c r="V1690" s="1" t="str">
        <f t="shared" si="214"/>
        <v>2026-02</v>
      </c>
      <c r="W1690" s="1">
        <f>IF(AND(U1690="INCLUDED",X1690&gt;0,EXACT(A1690,'AI output'!A1690)),1,0)</f>
        <v>1</v>
      </c>
      <c r="X1690" s="1">
        <f>1690</f>
        <v>1690</v>
      </c>
      <c r="Y1690" s="1">
        <f>IF(AND(U1690="INCLUDED",W1690=1),--(NOT(EXACT(A1690,'AI output'!A1690)))+--(NOT(EXACT(B1690,'AI output'!B1690)))+--(NOT(EXACT(TEXT(G1690,"yyyy-mm-dd"),'AI output'!C1690)))+--(NOT(EXACT(H1690,'AI output'!D1690)))+--(NOT(EXACT(J1690,'AI output'!E1690)))+--(NOT(EXACT(K1690,'AI output'!F1690)))+--(N1690&lt;&gt;'AI output'!L1690)+--(NOT('AI output'!M1690)),0)</f>
        <v>0</v>
      </c>
      <c r="Z1690" s="1">
        <f t="shared" si="215"/>
        <v>0</v>
      </c>
      <c r="AA1690" s="1">
        <f>--EXACT(A1690,"L01684")</f>
        <v>1</v>
      </c>
    </row>
    <row r="1691" spans="1:27" ht="18.95" customHeight="1">
      <c r="A1691" s="1" t="str">
        <f>IF(Raw!A1691="","",Raw!A1691)</f>
        <v>L01685</v>
      </c>
      <c r="B1691" s="1" t="str">
        <f>IF(Raw!B1691="","",Raw!B1691)</f>
        <v>T00843</v>
      </c>
      <c r="C1691" s="1" t="str">
        <f>IF(Raw!C1691="","",Raw!C1691)</f>
        <v>2026-02-14</v>
      </c>
      <c r="D1691" s="1">
        <f t="shared" si="208"/>
        <v>2026</v>
      </c>
      <c r="E1691" s="1">
        <f>IFERROR(IF(AND(LEN(C1691)=10,MID(C1691,5,1)="-",MID(C1691,8,1)="-"),VALUE(MID(C1691,6,2)),IF(AND(LEN(C1691)=11,MID(C1691,3,1)="-",MID(C1691,7,1)="-"),MATCH(UPPER(MID(C1691,4,3)),Guide!$D$7:$D$18,0),0)),0)</f>
        <v>2</v>
      </c>
      <c r="F1691" s="1">
        <f t="shared" si="209"/>
        <v>14</v>
      </c>
      <c r="G1691" s="9">
        <f t="shared" si="210"/>
        <v>46067</v>
      </c>
      <c r="H1691" s="1" t="str">
        <f>IF(Raw!D1691="","",Raw!D1691)</f>
        <v>P-H</v>
      </c>
      <c r="I1691" s="1" t="str">
        <f>IFERROR(IF(EXACT(H1691,INDEX(Guide!$A$7:$A$9,MATCH(SUBSTITUTE(SUBSTITUTE(SUBSTITUTE(H1691,"~","~~"),"*","~*"),"?","~?"),Guide!$A$7:$A$9,0))),INDEX(Guide!$B$7:$B$9,MATCH(SUBSTITUTE(SUBSTITUTE(SUBSTITUTE(H1691,"~","~~"),"*","~*"),"?","~?"),Guide!$A$7:$A$9,0)),""),"")</f>
        <v>Home</v>
      </c>
      <c r="J1691" s="1" t="str">
        <f>IF(TRIM(Raw!E1691)="",I1691,IF(UPPER(TRIM(Raw!E1691))=UPPER(I1691),I1691,""))</f>
        <v>Home</v>
      </c>
      <c r="K1691" s="1" t="str">
        <f>IF(Raw!F1691="","",Raw!F1691)</f>
        <v>sale</v>
      </c>
      <c r="L1691" s="1" t="str">
        <f>IF(LEFT(TRIM(Raw!G1691),2)="-$","-"&amp;MID(TRIM(Raw!G1691),3,99),IF(LEFT(TRIM(Raw!G1691),1)="$",MID(TRIM(Raw!G1691),2,99),TRIM(Raw!G1691)))</f>
        <v>112.28</v>
      </c>
      <c r="M1691" s="1">
        <f t="shared" si="211"/>
        <v>112.28</v>
      </c>
      <c r="N1691" s="10">
        <f t="shared" si="212"/>
        <v>11228</v>
      </c>
      <c r="O1691" s="1" t="b">
        <f>IFERROR(IF(ISNUMBER(Raw!G1691),TRUE,OR(EXACT(L1691,TEXT(M1691,"0.00")),EXACT(L1691,TEXT(M1691,"#,##0.00")))),FALSE)</f>
        <v>1</v>
      </c>
      <c r="P1691" s="1" t="str">
        <f>LEN(IF(Raw!A1691="","",Raw!A1691))&amp;":"&amp;IF(Raw!A1691="","",Raw!A1691)&amp;"|"&amp;LEN(IF(Raw!B1691="","",Raw!B1691))&amp;":"&amp;IF(Raw!B1691="","",Raw!B1691)&amp;"|"&amp;LEN(IF(Raw!C1691="","",Raw!C1691))&amp;":"&amp;IF(Raw!C1691="","",Raw!C1691)&amp;"|"&amp;LEN(IF(Raw!D1691="","",Raw!D1691))&amp;":"&amp;IF(Raw!D1691="","",Raw!D1691)&amp;"|"&amp;LEN(IF(Raw!E1691="","",Raw!E1691))&amp;":"&amp;IF(Raw!E1691="","",Raw!E1691)&amp;"|"&amp;LEN(IF(Raw!F1691="","",Raw!F1691))&amp;":"&amp;IF(Raw!F1691="","",Raw!F1691)&amp;"|"&amp;LEN(IF(Raw!G1691="","",Raw!G1691))&amp;":"&amp;IF(Raw!G1691="","",Raw!G1691)</f>
        <v>6:L01685|6:T00843|10:2026-02-14|3:P-H|4:Home|4:sale|6:112.28</v>
      </c>
      <c r="Q1691" s="1">
        <f>1</f>
        <v>1</v>
      </c>
      <c r="R1691" s="1" t="b">
        <f>FALSE</f>
        <v>0</v>
      </c>
      <c r="S1691" s="1">
        <f>1</f>
        <v>1</v>
      </c>
      <c r="T1691" s="1" t="str">
        <f>IF(AND(Raw!A1691="",Raw!B1691="",Raw!C1691="",Raw!D1691="",Raw!E1691="",Raw!F1691="",Raw!G1691=""),"UNUSED",IF(A1691="","missing line ID",IF(B1691="","missing transaction ID",IF(G1691="",IF(C1691="","missing date","invalid date"),IF(I1691="","unknown product",IF(J1691="","conflicting category",IF(NOT(OR(EXACT(K1691,"sale"),EXACT(K1691,"refund"))),"unknown event",IF(OR(N1691="",NOT(O1691)),"invalid amount",IF(OR(AND(K1691="sale",N1691&lt;=0),AND(K1691="refund",N1691&gt;=0)),"invalid sign","")))))))))</f>
        <v/>
      </c>
      <c r="U1691" s="1" t="str">
        <f t="shared" si="213"/>
        <v>INCLUDED</v>
      </c>
      <c r="V1691" s="1" t="str">
        <f t="shared" si="214"/>
        <v>2026-02</v>
      </c>
      <c r="W1691" s="1">
        <f>IF(AND(U1691="INCLUDED",X1691&gt;0,EXACT(A1691,'AI output'!A1691)),1,0)</f>
        <v>1</v>
      </c>
      <c r="X1691" s="1">
        <f>1691</f>
        <v>1691</v>
      </c>
      <c r="Y1691" s="1">
        <f>IF(AND(U1691="INCLUDED",W1691=1),--(NOT(EXACT(A1691,'AI output'!A1691)))+--(NOT(EXACT(B1691,'AI output'!B1691)))+--(NOT(EXACT(TEXT(G1691,"yyyy-mm-dd"),'AI output'!C1691)))+--(NOT(EXACT(H1691,'AI output'!D1691)))+--(NOT(EXACT(J1691,'AI output'!E1691)))+--(NOT(EXACT(K1691,'AI output'!F1691)))+--(N1691&lt;&gt;'AI output'!L1691)+--(NOT('AI output'!M1691)),0)</f>
        <v>0</v>
      </c>
      <c r="Z1691" s="1">
        <f t="shared" si="215"/>
        <v>0</v>
      </c>
      <c r="AA1691" s="1">
        <f>--EXACT(A1691,"L01685")</f>
        <v>1</v>
      </c>
    </row>
    <row r="1692" spans="1:27" ht="18.95" customHeight="1">
      <c r="A1692" s="1" t="str">
        <f>IF(Raw!A1692="","",Raw!A1692)</f>
        <v>L01686</v>
      </c>
      <c r="B1692" s="1" t="str">
        <f>IF(Raw!B1692="","",Raw!B1692)</f>
        <v>T00843</v>
      </c>
      <c r="C1692" s="1" t="str">
        <f>IF(Raw!C1692="","",Raw!C1692)</f>
        <v>2026-02-14</v>
      </c>
      <c r="D1692" s="1">
        <f t="shared" si="208"/>
        <v>2026</v>
      </c>
      <c r="E1692" s="1">
        <f>IFERROR(IF(AND(LEN(C1692)=10,MID(C1692,5,1)="-",MID(C1692,8,1)="-"),VALUE(MID(C1692,6,2)),IF(AND(LEN(C1692)=11,MID(C1692,3,1)="-",MID(C1692,7,1)="-"),MATCH(UPPER(MID(C1692,4,3)),Guide!$D$7:$D$18,0),0)),0)</f>
        <v>2</v>
      </c>
      <c r="F1692" s="1">
        <f t="shared" si="209"/>
        <v>14</v>
      </c>
      <c r="G1692" s="9">
        <f t="shared" si="210"/>
        <v>46067</v>
      </c>
      <c r="H1692" s="1" t="str">
        <f>IF(Raw!D1692="","",Raw!D1692)</f>
        <v>P-O</v>
      </c>
      <c r="I1692" s="1" t="str">
        <f>IFERROR(IF(EXACT(H1692,INDEX(Guide!$A$7:$A$9,MATCH(SUBSTITUTE(SUBSTITUTE(SUBSTITUTE(H1692,"~","~~"),"*","~*"),"?","~?"),Guide!$A$7:$A$9,0))),INDEX(Guide!$B$7:$B$9,MATCH(SUBSTITUTE(SUBSTITUTE(SUBSTITUTE(H1692,"~","~~"),"*","~*"),"?","~?"),Guide!$A$7:$A$9,0)),""),"")</f>
        <v>Office</v>
      </c>
      <c r="J1692" s="1" t="str">
        <f>IF(TRIM(Raw!E1692)="",I1692,IF(UPPER(TRIM(Raw!E1692))=UPPER(I1692),I1692,""))</f>
        <v>Office</v>
      </c>
      <c r="K1692" s="1" t="str">
        <f>IF(Raw!F1692="","",Raw!F1692)</f>
        <v>sale</v>
      </c>
      <c r="L1692" s="1" t="str">
        <f>IF(LEFT(TRIM(Raw!G1692),2)="-$","-"&amp;MID(TRIM(Raw!G1692),3,99),IF(LEFT(TRIM(Raw!G1692),1)="$",MID(TRIM(Raw!G1692),2,99),TRIM(Raw!G1692)))</f>
        <v>28.44</v>
      </c>
      <c r="M1692" s="1">
        <f t="shared" si="211"/>
        <v>28.44</v>
      </c>
      <c r="N1692" s="10">
        <f t="shared" si="212"/>
        <v>2844</v>
      </c>
      <c r="O1692" s="1" t="b">
        <f>IFERROR(IF(ISNUMBER(Raw!G1692),TRUE,OR(EXACT(L1692,TEXT(M1692,"0.00")),EXACT(L1692,TEXT(M1692,"#,##0.00")))),FALSE)</f>
        <v>1</v>
      </c>
      <c r="P1692" s="1" t="str">
        <f>LEN(IF(Raw!A1692="","",Raw!A1692))&amp;":"&amp;IF(Raw!A1692="","",Raw!A1692)&amp;"|"&amp;LEN(IF(Raw!B1692="","",Raw!B1692))&amp;":"&amp;IF(Raw!B1692="","",Raw!B1692)&amp;"|"&amp;LEN(IF(Raw!C1692="","",Raw!C1692))&amp;":"&amp;IF(Raw!C1692="","",Raw!C1692)&amp;"|"&amp;LEN(IF(Raw!D1692="","",Raw!D1692))&amp;":"&amp;IF(Raw!D1692="","",Raw!D1692)&amp;"|"&amp;LEN(IF(Raw!E1692="","",Raw!E1692))&amp;":"&amp;IF(Raw!E1692="","",Raw!E1692)&amp;"|"&amp;LEN(IF(Raw!F1692="","",Raw!F1692))&amp;":"&amp;IF(Raw!F1692="","",Raw!F1692)&amp;"|"&amp;LEN(IF(Raw!G1692="","",Raw!G1692))&amp;":"&amp;IF(Raw!G1692="","",Raw!G1692)</f>
        <v>6:L01686|6:T00843|10:2026-02-14|3:P-O|6:Office|4:sale|5:28.44</v>
      </c>
      <c r="Q1692" s="1">
        <f>1</f>
        <v>1</v>
      </c>
      <c r="R1692" s="1" t="b">
        <f>FALSE</f>
        <v>0</v>
      </c>
      <c r="S1692" s="1">
        <f>1</f>
        <v>1</v>
      </c>
      <c r="T1692" s="1" t="str">
        <f>IF(AND(Raw!A1692="",Raw!B1692="",Raw!C1692="",Raw!D1692="",Raw!E1692="",Raw!F1692="",Raw!G1692=""),"UNUSED",IF(A1692="","missing line ID",IF(B1692="","missing transaction ID",IF(G1692="",IF(C1692="","missing date","invalid date"),IF(I1692="","unknown product",IF(J1692="","conflicting category",IF(NOT(OR(EXACT(K1692,"sale"),EXACT(K1692,"refund"))),"unknown event",IF(OR(N1692="",NOT(O1692)),"invalid amount",IF(OR(AND(K1692="sale",N1692&lt;=0),AND(K1692="refund",N1692&gt;=0)),"invalid sign","")))))))))</f>
        <v/>
      </c>
      <c r="U1692" s="1" t="str">
        <f t="shared" si="213"/>
        <v>INCLUDED</v>
      </c>
      <c r="V1692" s="1" t="str">
        <f t="shared" si="214"/>
        <v>2026-02</v>
      </c>
      <c r="W1692" s="1">
        <f>IF(AND(U1692="INCLUDED",X1692&gt;0,EXACT(A1692,'AI output'!A1692)),1,0)</f>
        <v>1</v>
      </c>
      <c r="X1692" s="1">
        <f>1692</f>
        <v>1692</v>
      </c>
      <c r="Y1692" s="1">
        <f>IF(AND(U1692="INCLUDED",W1692=1),--(NOT(EXACT(A1692,'AI output'!A1692)))+--(NOT(EXACT(B1692,'AI output'!B1692)))+--(NOT(EXACT(TEXT(G1692,"yyyy-mm-dd"),'AI output'!C1692)))+--(NOT(EXACT(H1692,'AI output'!D1692)))+--(NOT(EXACT(J1692,'AI output'!E1692)))+--(NOT(EXACT(K1692,'AI output'!F1692)))+--(N1692&lt;&gt;'AI output'!L1692)+--(NOT('AI output'!M1692)),0)</f>
        <v>0</v>
      </c>
      <c r="Z1692" s="1">
        <f t="shared" si="215"/>
        <v>0</v>
      </c>
      <c r="AA1692" s="1">
        <f>--EXACT(A1692,"L01686")</f>
        <v>1</v>
      </c>
    </row>
    <row r="1693" spans="1:27" ht="18.95" customHeight="1">
      <c r="A1693" s="1" t="str">
        <f>IF(Raw!A1693="","",Raw!A1693)</f>
        <v>L01687</v>
      </c>
      <c r="B1693" s="1" t="str">
        <f>IF(Raw!B1693="","",Raw!B1693)</f>
        <v>T00844</v>
      </c>
      <c r="C1693" s="1" t="str">
        <f>IF(Raw!C1693="","",Raw!C1693)</f>
        <v>2026-02-21</v>
      </c>
      <c r="D1693" s="1">
        <f t="shared" si="208"/>
        <v>2026</v>
      </c>
      <c r="E1693" s="1">
        <f>IFERROR(IF(AND(LEN(C1693)=10,MID(C1693,5,1)="-",MID(C1693,8,1)="-"),VALUE(MID(C1693,6,2)),IF(AND(LEN(C1693)=11,MID(C1693,3,1)="-",MID(C1693,7,1)="-"),MATCH(UPPER(MID(C1693,4,3)),Guide!$D$7:$D$18,0),0)),0)</f>
        <v>2</v>
      </c>
      <c r="F1693" s="1">
        <f t="shared" si="209"/>
        <v>21</v>
      </c>
      <c r="G1693" s="9">
        <f t="shared" si="210"/>
        <v>46074</v>
      </c>
      <c r="H1693" s="1" t="str">
        <f>IF(Raw!D1693="","",Raw!D1693)</f>
        <v>P-A</v>
      </c>
      <c r="I1693" s="1" t="str">
        <f>IFERROR(IF(EXACT(H1693,INDEX(Guide!$A$7:$A$9,MATCH(SUBSTITUTE(SUBSTITUTE(SUBSTITUTE(H1693,"~","~~"),"*","~*"),"?","~?"),Guide!$A$7:$A$9,0))),INDEX(Guide!$B$7:$B$9,MATCH(SUBSTITUTE(SUBSTITUTE(SUBSTITUTE(H1693,"~","~~"),"*","~*"),"?","~?"),Guide!$A$7:$A$9,0)),""),"")</f>
        <v>Accessories</v>
      </c>
      <c r="J1693" s="1" t="str">
        <f>IF(TRIM(Raw!E1693)="",I1693,IF(UPPER(TRIM(Raw!E1693))=UPPER(I1693),I1693,""))</f>
        <v>Accessories</v>
      </c>
      <c r="K1693" s="1" t="str">
        <f>IF(Raw!F1693="","",Raw!F1693)</f>
        <v>sale</v>
      </c>
      <c r="L1693" s="1" t="str">
        <f>IF(LEFT(TRIM(Raw!G1693),2)="-$","-"&amp;MID(TRIM(Raw!G1693),3,99),IF(LEFT(TRIM(Raw!G1693),1)="$",MID(TRIM(Raw!G1693),2,99),TRIM(Raw!G1693)))</f>
        <v>86.43</v>
      </c>
      <c r="M1693" s="1">
        <f t="shared" si="211"/>
        <v>86.43</v>
      </c>
      <c r="N1693" s="10">
        <f t="shared" si="212"/>
        <v>8643</v>
      </c>
      <c r="O1693" s="1" t="b">
        <f>IFERROR(IF(ISNUMBER(Raw!G1693),TRUE,OR(EXACT(L1693,TEXT(M1693,"0.00")),EXACT(L1693,TEXT(M1693,"#,##0.00")))),FALSE)</f>
        <v>1</v>
      </c>
      <c r="P1693" s="1" t="str">
        <f>LEN(IF(Raw!A1693="","",Raw!A1693))&amp;":"&amp;IF(Raw!A1693="","",Raw!A1693)&amp;"|"&amp;LEN(IF(Raw!B1693="","",Raw!B1693))&amp;":"&amp;IF(Raw!B1693="","",Raw!B1693)&amp;"|"&amp;LEN(IF(Raw!C1693="","",Raw!C1693))&amp;":"&amp;IF(Raw!C1693="","",Raw!C1693)&amp;"|"&amp;LEN(IF(Raw!D1693="","",Raw!D1693))&amp;":"&amp;IF(Raw!D1693="","",Raw!D1693)&amp;"|"&amp;LEN(IF(Raw!E1693="","",Raw!E1693))&amp;":"&amp;IF(Raw!E1693="","",Raw!E1693)&amp;"|"&amp;LEN(IF(Raw!F1693="","",Raw!F1693))&amp;":"&amp;IF(Raw!F1693="","",Raw!F1693)&amp;"|"&amp;LEN(IF(Raw!G1693="","",Raw!G1693))&amp;":"&amp;IF(Raw!G1693="","",Raw!G1693)</f>
        <v>6:L01687|6:T00844|10:2026-02-21|3:P-A|11:Accessories|4:sale|5:86.43</v>
      </c>
      <c r="Q1693" s="1">
        <f>1</f>
        <v>1</v>
      </c>
      <c r="R1693" s="1" t="b">
        <f>FALSE</f>
        <v>0</v>
      </c>
      <c r="S1693" s="1">
        <f>1</f>
        <v>1</v>
      </c>
      <c r="T1693" s="1" t="str">
        <f>IF(AND(Raw!A1693="",Raw!B1693="",Raw!C1693="",Raw!D1693="",Raw!E1693="",Raw!F1693="",Raw!G1693=""),"UNUSED",IF(A1693="","missing line ID",IF(B1693="","missing transaction ID",IF(G1693="",IF(C1693="","missing date","invalid date"),IF(I1693="","unknown product",IF(J1693="","conflicting category",IF(NOT(OR(EXACT(K1693,"sale"),EXACT(K1693,"refund"))),"unknown event",IF(OR(N1693="",NOT(O1693)),"invalid amount",IF(OR(AND(K1693="sale",N1693&lt;=0),AND(K1693="refund",N1693&gt;=0)),"invalid sign","")))))))))</f>
        <v/>
      </c>
      <c r="U1693" s="1" t="str">
        <f t="shared" si="213"/>
        <v>INCLUDED</v>
      </c>
      <c r="V1693" s="1" t="str">
        <f t="shared" si="214"/>
        <v>2026-02</v>
      </c>
      <c r="W1693" s="1">
        <f>IF(AND(U1693="INCLUDED",X1693&gt;0,EXACT(A1693,'AI output'!A1693)),1,0)</f>
        <v>1</v>
      </c>
      <c r="X1693" s="1">
        <f>1693</f>
        <v>1693</v>
      </c>
      <c r="Y1693" s="1">
        <f>IF(AND(U1693="INCLUDED",W1693=1),--(NOT(EXACT(A1693,'AI output'!A1693)))+--(NOT(EXACT(B1693,'AI output'!B1693)))+--(NOT(EXACT(TEXT(G1693,"yyyy-mm-dd"),'AI output'!C1693)))+--(NOT(EXACT(H1693,'AI output'!D1693)))+--(NOT(EXACT(J1693,'AI output'!E1693)))+--(NOT(EXACT(K1693,'AI output'!F1693)))+--(N1693&lt;&gt;'AI output'!L1693)+--(NOT('AI output'!M1693)),0)</f>
        <v>0</v>
      </c>
      <c r="Z1693" s="1">
        <f t="shared" si="215"/>
        <v>0</v>
      </c>
      <c r="AA1693" s="1">
        <f>--EXACT(A1693,"L01687")</f>
        <v>1</v>
      </c>
    </row>
    <row r="1694" spans="1:27" ht="18.95" customHeight="1">
      <c r="A1694" s="1" t="str">
        <f>IF(Raw!A1694="","",Raw!A1694)</f>
        <v>L01688</v>
      </c>
      <c r="B1694" s="1" t="str">
        <f>IF(Raw!B1694="","",Raw!B1694)</f>
        <v>T00844</v>
      </c>
      <c r="C1694" s="1" t="str">
        <f>IF(Raw!C1694="","",Raw!C1694)</f>
        <v>2026-02-21</v>
      </c>
      <c r="D1694" s="1">
        <f t="shared" si="208"/>
        <v>2026</v>
      </c>
      <c r="E1694" s="1">
        <f>IFERROR(IF(AND(LEN(C1694)=10,MID(C1694,5,1)="-",MID(C1694,8,1)="-"),VALUE(MID(C1694,6,2)),IF(AND(LEN(C1694)=11,MID(C1694,3,1)="-",MID(C1694,7,1)="-"),MATCH(UPPER(MID(C1694,4,3)),Guide!$D$7:$D$18,0),0)),0)</f>
        <v>2</v>
      </c>
      <c r="F1694" s="1">
        <f t="shared" si="209"/>
        <v>21</v>
      </c>
      <c r="G1694" s="9">
        <f t="shared" si="210"/>
        <v>46074</v>
      </c>
      <c r="H1694" s="1" t="str">
        <f>IF(Raw!D1694="","",Raw!D1694)</f>
        <v>P-H</v>
      </c>
      <c r="I1694" s="1" t="str">
        <f>IFERROR(IF(EXACT(H1694,INDEX(Guide!$A$7:$A$9,MATCH(SUBSTITUTE(SUBSTITUTE(SUBSTITUTE(H1694,"~","~~"),"*","~*"),"?","~?"),Guide!$A$7:$A$9,0))),INDEX(Guide!$B$7:$B$9,MATCH(SUBSTITUTE(SUBSTITUTE(SUBSTITUTE(H1694,"~","~~"),"*","~*"),"?","~?"),Guide!$A$7:$A$9,0)),""),"")</f>
        <v>Home</v>
      </c>
      <c r="J1694" s="1" t="str">
        <f>IF(TRIM(Raw!E1694)="",I1694,IF(UPPER(TRIM(Raw!E1694))=UPPER(I1694),I1694,""))</f>
        <v>Home</v>
      </c>
      <c r="K1694" s="1" t="str">
        <f>IF(Raw!F1694="","",Raw!F1694)</f>
        <v>sale</v>
      </c>
      <c r="L1694" s="1" t="str">
        <f>IF(LEFT(TRIM(Raw!G1694),2)="-$","-"&amp;MID(TRIM(Raw!G1694),3,99),IF(LEFT(TRIM(Raw!G1694),1)="$",MID(TRIM(Raw!G1694),2,99),TRIM(Raw!G1694)))</f>
        <v>145.90</v>
      </c>
      <c r="M1694" s="1">
        <f t="shared" si="211"/>
        <v>145.9</v>
      </c>
      <c r="N1694" s="10">
        <f t="shared" si="212"/>
        <v>14590</v>
      </c>
      <c r="O1694" s="1" t="b">
        <f>IFERROR(IF(ISNUMBER(Raw!G1694),TRUE,OR(EXACT(L1694,TEXT(M1694,"0.00")),EXACT(L1694,TEXT(M1694,"#,##0.00")))),FALSE)</f>
        <v>1</v>
      </c>
      <c r="P1694" s="1" t="str">
        <f>LEN(IF(Raw!A1694="","",Raw!A1694))&amp;":"&amp;IF(Raw!A1694="","",Raw!A1694)&amp;"|"&amp;LEN(IF(Raw!B1694="","",Raw!B1694))&amp;":"&amp;IF(Raw!B1694="","",Raw!B1694)&amp;"|"&amp;LEN(IF(Raw!C1694="","",Raw!C1694))&amp;":"&amp;IF(Raw!C1694="","",Raw!C1694)&amp;"|"&amp;LEN(IF(Raw!D1694="","",Raw!D1694))&amp;":"&amp;IF(Raw!D1694="","",Raw!D1694)&amp;"|"&amp;LEN(IF(Raw!E1694="","",Raw!E1694))&amp;":"&amp;IF(Raw!E1694="","",Raw!E1694)&amp;"|"&amp;LEN(IF(Raw!F1694="","",Raw!F1694))&amp;":"&amp;IF(Raw!F1694="","",Raw!F1694)&amp;"|"&amp;LEN(IF(Raw!G1694="","",Raw!G1694))&amp;":"&amp;IF(Raw!G1694="","",Raw!G1694)</f>
        <v>6:L01688|6:T00844|10:2026-02-21|3:P-H|4:Home|4:sale|6:145.90</v>
      </c>
      <c r="Q1694" s="1">
        <f>1</f>
        <v>1</v>
      </c>
      <c r="R1694" s="1" t="b">
        <f>FALSE</f>
        <v>0</v>
      </c>
      <c r="S1694" s="1">
        <f>1</f>
        <v>1</v>
      </c>
      <c r="T1694" s="1" t="str">
        <f>IF(AND(Raw!A1694="",Raw!B1694="",Raw!C1694="",Raw!D1694="",Raw!E1694="",Raw!F1694="",Raw!G1694=""),"UNUSED",IF(A1694="","missing line ID",IF(B1694="","missing transaction ID",IF(G1694="",IF(C1694="","missing date","invalid date"),IF(I1694="","unknown product",IF(J1694="","conflicting category",IF(NOT(OR(EXACT(K1694,"sale"),EXACT(K1694,"refund"))),"unknown event",IF(OR(N1694="",NOT(O1694)),"invalid amount",IF(OR(AND(K1694="sale",N1694&lt;=0),AND(K1694="refund",N1694&gt;=0)),"invalid sign","")))))))))</f>
        <v/>
      </c>
      <c r="U1694" s="1" t="str">
        <f t="shared" si="213"/>
        <v>INCLUDED</v>
      </c>
      <c r="V1694" s="1" t="str">
        <f t="shared" si="214"/>
        <v>2026-02</v>
      </c>
      <c r="W1694" s="1">
        <f>IF(AND(U1694="INCLUDED",X1694&gt;0,EXACT(A1694,'AI output'!A1694)),1,0)</f>
        <v>1</v>
      </c>
      <c r="X1694" s="1">
        <f>1694</f>
        <v>1694</v>
      </c>
      <c r="Y1694" s="1">
        <f>IF(AND(U1694="INCLUDED",W1694=1),--(NOT(EXACT(A1694,'AI output'!A1694)))+--(NOT(EXACT(B1694,'AI output'!B1694)))+--(NOT(EXACT(TEXT(G1694,"yyyy-mm-dd"),'AI output'!C1694)))+--(NOT(EXACT(H1694,'AI output'!D1694)))+--(NOT(EXACT(J1694,'AI output'!E1694)))+--(NOT(EXACT(K1694,'AI output'!F1694)))+--(N1694&lt;&gt;'AI output'!L1694)+--(NOT('AI output'!M1694)),0)</f>
        <v>0</v>
      </c>
      <c r="Z1694" s="1">
        <f t="shared" si="215"/>
        <v>0</v>
      </c>
      <c r="AA1694" s="1">
        <f>--EXACT(A1694,"L01688")</f>
        <v>1</v>
      </c>
    </row>
    <row r="1695" spans="1:27" ht="18.95" customHeight="1">
      <c r="A1695" s="1" t="str">
        <f>IF(Raw!A1695="","",Raw!A1695)</f>
        <v>L01689</v>
      </c>
      <c r="B1695" s="1" t="str">
        <f>IF(Raw!B1695="","",Raw!B1695)</f>
        <v>T00845</v>
      </c>
      <c r="C1695" s="1" t="str">
        <f>IF(Raw!C1695="","",Raw!C1695)</f>
        <v>2026-02-28</v>
      </c>
      <c r="D1695" s="1">
        <f t="shared" si="208"/>
        <v>2026</v>
      </c>
      <c r="E1695" s="1">
        <f>IFERROR(IF(AND(LEN(C1695)=10,MID(C1695,5,1)="-",MID(C1695,8,1)="-"),VALUE(MID(C1695,6,2)),IF(AND(LEN(C1695)=11,MID(C1695,3,1)="-",MID(C1695,7,1)="-"),MATCH(UPPER(MID(C1695,4,3)),Guide!$D$7:$D$18,0),0)),0)</f>
        <v>2</v>
      </c>
      <c r="F1695" s="1">
        <f t="shared" si="209"/>
        <v>28</v>
      </c>
      <c r="G1695" s="9">
        <f t="shared" si="210"/>
        <v>46081</v>
      </c>
      <c r="H1695" s="1" t="str">
        <f>IF(Raw!D1695="","",Raw!D1695)</f>
        <v>P-O</v>
      </c>
      <c r="I1695" s="1" t="str">
        <f>IFERROR(IF(EXACT(H1695,INDEX(Guide!$A$7:$A$9,MATCH(SUBSTITUTE(SUBSTITUTE(SUBSTITUTE(H1695,"~","~~"),"*","~*"),"?","~?"),Guide!$A$7:$A$9,0))),INDEX(Guide!$B$7:$B$9,MATCH(SUBSTITUTE(SUBSTITUTE(SUBSTITUTE(H1695,"~","~~"),"*","~*"),"?","~?"),Guide!$A$7:$A$9,0)),""),"")</f>
        <v>Office</v>
      </c>
      <c r="J1695" s="1" t="str">
        <f>IF(TRIM(Raw!E1695)="",I1695,IF(UPPER(TRIM(Raw!E1695))=UPPER(I1695),I1695,""))</f>
        <v>Office</v>
      </c>
      <c r="K1695" s="1" t="str">
        <f>IF(Raw!F1695="","",Raw!F1695)</f>
        <v>sale</v>
      </c>
      <c r="L1695" s="1" t="str">
        <f>IF(LEFT(TRIM(Raw!G1695),2)="-$","-"&amp;MID(TRIM(Raw!G1695),3,99),IF(LEFT(TRIM(Raw!G1695),1)="$",MID(TRIM(Raw!G1695),2,99),TRIM(Raw!G1695)))</f>
        <v>59.10</v>
      </c>
      <c r="M1695" s="1">
        <f t="shared" si="211"/>
        <v>59.1</v>
      </c>
      <c r="N1695" s="10">
        <f t="shared" si="212"/>
        <v>5910</v>
      </c>
      <c r="O1695" s="1" t="b">
        <f>IFERROR(IF(ISNUMBER(Raw!G1695),TRUE,OR(EXACT(L1695,TEXT(M1695,"0.00")),EXACT(L1695,TEXT(M1695,"#,##0.00")))),FALSE)</f>
        <v>1</v>
      </c>
      <c r="P1695" s="1" t="str">
        <f>LEN(IF(Raw!A1695="","",Raw!A1695))&amp;":"&amp;IF(Raw!A1695="","",Raw!A1695)&amp;"|"&amp;LEN(IF(Raw!B1695="","",Raw!B1695))&amp;":"&amp;IF(Raw!B1695="","",Raw!B1695)&amp;"|"&amp;LEN(IF(Raw!C1695="","",Raw!C1695))&amp;":"&amp;IF(Raw!C1695="","",Raw!C1695)&amp;"|"&amp;LEN(IF(Raw!D1695="","",Raw!D1695))&amp;":"&amp;IF(Raw!D1695="","",Raw!D1695)&amp;"|"&amp;LEN(IF(Raw!E1695="","",Raw!E1695))&amp;":"&amp;IF(Raw!E1695="","",Raw!E1695)&amp;"|"&amp;LEN(IF(Raw!F1695="","",Raw!F1695))&amp;":"&amp;IF(Raw!F1695="","",Raw!F1695)&amp;"|"&amp;LEN(IF(Raw!G1695="","",Raw!G1695))&amp;":"&amp;IF(Raw!G1695="","",Raw!G1695)</f>
        <v>6:L01689|6:T00845|10:2026-02-28|3:P-O|6:Office|4:sale|5:59.10</v>
      </c>
      <c r="Q1695" s="1">
        <f>1</f>
        <v>1</v>
      </c>
      <c r="R1695" s="1" t="b">
        <f>FALSE</f>
        <v>0</v>
      </c>
      <c r="S1695" s="1">
        <f>1</f>
        <v>1</v>
      </c>
      <c r="T1695" s="1" t="str">
        <f>IF(AND(Raw!A1695="",Raw!B1695="",Raw!C1695="",Raw!D1695="",Raw!E1695="",Raw!F1695="",Raw!G1695=""),"UNUSED",IF(A1695="","missing line ID",IF(B1695="","missing transaction ID",IF(G1695="",IF(C1695="","missing date","invalid date"),IF(I1695="","unknown product",IF(J1695="","conflicting category",IF(NOT(OR(EXACT(K1695,"sale"),EXACT(K1695,"refund"))),"unknown event",IF(OR(N1695="",NOT(O1695)),"invalid amount",IF(OR(AND(K1695="sale",N1695&lt;=0),AND(K1695="refund",N1695&gt;=0)),"invalid sign","")))))))))</f>
        <v/>
      </c>
      <c r="U1695" s="1" t="str">
        <f t="shared" si="213"/>
        <v>INCLUDED</v>
      </c>
      <c r="V1695" s="1" t="str">
        <f t="shared" si="214"/>
        <v>2026-02</v>
      </c>
      <c r="W1695" s="1">
        <f>IF(AND(U1695="INCLUDED",X1695&gt;0,EXACT(A1695,'AI output'!A1695)),1,0)</f>
        <v>1</v>
      </c>
      <c r="X1695" s="1">
        <f>1695</f>
        <v>1695</v>
      </c>
      <c r="Y1695" s="1">
        <f>IF(AND(U1695="INCLUDED",W1695=1),--(NOT(EXACT(A1695,'AI output'!A1695)))+--(NOT(EXACT(B1695,'AI output'!B1695)))+--(NOT(EXACT(TEXT(G1695,"yyyy-mm-dd"),'AI output'!C1695)))+--(NOT(EXACT(H1695,'AI output'!D1695)))+--(NOT(EXACT(J1695,'AI output'!E1695)))+--(NOT(EXACT(K1695,'AI output'!F1695)))+--(N1695&lt;&gt;'AI output'!L1695)+--(NOT('AI output'!M1695)),0)</f>
        <v>0</v>
      </c>
      <c r="Z1695" s="1">
        <f t="shared" si="215"/>
        <v>0</v>
      </c>
      <c r="AA1695" s="1">
        <f>--EXACT(A1695,"L01689")</f>
        <v>1</v>
      </c>
    </row>
    <row r="1696" spans="1:27" ht="18.95" customHeight="1">
      <c r="A1696" s="1" t="str">
        <f>IF(Raw!A1696="","",Raw!A1696)</f>
        <v>L01690</v>
      </c>
      <c r="B1696" s="1" t="str">
        <f>IF(Raw!B1696="","",Raw!B1696)</f>
        <v>T00845</v>
      </c>
      <c r="C1696" s="1" t="str">
        <f>IF(Raw!C1696="","",Raw!C1696)</f>
        <v>2026-02-28</v>
      </c>
      <c r="D1696" s="1">
        <f t="shared" si="208"/>
        <v>2026</v>
      </c>
      <c r="E1696" s="1">
        <f>IFERROR(IF(AND(LEN(C1696)=10,MID(C1696,5,1)="-",MID(C1696,8,1)="-"),VALUE(MID(C1696,6,2)),IF(AND(LEN(C1696)=11,MID(C1696,3,1)="-",MID(C1696,7,1)="-"),MATCH(UPPER(MID(C1696,4,3)),Guide!$D$7:$D$18,0),0)),0)</f>
        <v>2</v>
      </c>
      <c r="F1696" s="1">
        <f t="shared" si="209"/>
        <v>28</v>
      </c>
      <c r="G1696" s="9">
        <f t="shared" si="210"/>
        <v>46081</v>
      </c>
      <c r="H1696" s="1" t="str">
        <f>IF(Raw!D1696="","",Raw!D1696)</f>
        <v>P-A</v>
      </c>
      <c r="I1696" s="1" t="str">
        <f>IFERROR(IF(EXACT(H1696,INDEX(Guide!$A$7:$A$9,MATCH(SUBSTITUTE(SUBSTITUTE(SUBSTITUTE(H1696,"~","~~"),"*","~*"),"?","~?"),Guide!$A$7:$A$9,0))),INDEX(Guide!$B$7:$B$9,MATCH(SUBSTITUTE(SUBSTITUTE(SUBSTITUTE(H1696,"~","~~"),"*","~*"),"?","~?"),Guide!$A$7:$A$9,0)),""),"")</f>
        <v>Accessories</v>
      </c>
      <c r="J1696" s="1" t="str">
        <f>IF(TRIM(Raw!E1696)="",I1696,IF(UPPER(TRIM(Raw!E1696))=UPPER(I1696),I1696,""))</f>
        <v>Accessories</v>
      </c>
      <c r="K1696" s="1" t="str">
        <f>IF(Raw!F1696="","",Raw!F1696)</f>
        <v>sale</v>
      </c>
      <c r="L1696" s="1" t="str">
        <f>IF(LEFT(TRIM(Raw!G1696),2)="-$","-"&amp;MID(TRIM(Raw!G1696),3,99),IF(LEFT(TRIM(Raw!G1696),1)="$",MID(TRIM(Raw!G1696),2,99),TRIM(Raw!G1696)))</f>
        <v>119.68</v>
      </c>
      <c r="M1696" s="1">
        <f t="shared" si="211"/>
        <v>119.68</v>
      </c>
      <c r="N1696" s="10">
        <f t="shared" si="212"/>
        <v>11968</v>
      </c>
      <c r="O1696" s="1" t="b">
        <f>IFERROR(IF(ISNUMBER(Raw!G1696),TRUE,OR(EXACT(L1696,TEXT(M1696,"0.00")),EXACT(L1696,TEXT(M1696,"#,##0.00")))),FALSE)</f>
        <v>1</v>
      </c>
      <c r="P1696" s="1" t="str">
        <f>LEN(IF(Raw!A1696="","",Raw!A1696))&amp;":"&amp;IF(Raw!A1696="","",Raw!A1696)&amp;"|"&amp;LEN(IF(Raw!B1696="","",Raw!B1696))&amp;":"&amp;IF(Raw!B1696="","",Raw!B1696)&amp;"|"&amp;LEN(IF(Raw!C1696="","",Raw!C1696))&amp;":"&amp;IF(Raw!C1696="","",Raw!C1696)&amp;"|"&amp;LEN(IF(Raw!D1696="","",Raw!D1696))&amp;":"&amp;IF(Raw!D1696="","",Raw!D1696)&amp;"|"&amp;LEN(IF(Raw!E1696="","",Raw!E1696))&amp;":"&amp;IF(Raw!E1696="","",Raw!E1696)&amp;"|"&amp;LEN(IF(Raw!F1696="","",Raw!F1696))&amp;":"&amp;IF(Raw!F1696="","",Raw!F1696)&amp;"|"&amp;LEN(IF(Raw!G1696="","",Raw!G1696))&amp;":"&amp;IF(Raw!G1696="","",Raw!G1696)</f>
        <v>6:L01690|6:T00845|10:2026-02-28|3:P-A|11:Accessories|4:sale|6:119.68</v>
      </c>
      <c r="Q1696" s="1">
        <f>1</f>
        <v>1</v>
      </c>
      <c r="R1696" s="1" t="b">
        <f>FALSE</f>
        <v>0</v>
      </c>
      <c r="S1696" s="1">
        <f>1</f>
        <v>1</v>
      </c>
      <c r="T1696" s="1" t="str">
        <f>IF(AND(Raw!A1696="",Raw!B1696="",Raw!C1696="",Raw!D1696="",Raw!E1696="",Raw!F1696="",Raw!G1696=""),"UNUSED",IF(A1696="","missing line ID",IF(B1696="","missing transaction ID",IF(G1696="",IF(C1696="","missing date","invalid date"),IF(I1696="","unknown product",IF(J1696="","conflicting category",IF(NOT(OR(EXACT(K1696,"sale"),EXACT(K1696,"refund"))),"unknown event",IF(OR(N1696="",NOT(O1696)),"invalid amount",IF(OR(AND(K1696="sale",N1696&lt;=0),AND(K1696="refund",N1696&gt;=0)),"invalid sign","")))))))))</f>
        <v/>
      </c>
      <c r="U1696" s="1" t="str">
        <f t="shared" si="213"/>
        <v>INCLUDED</v>
      </c>
      <c r="V1696" s="1" t="str">
        <f t="shared" si="214"/>
        <v>2026-02</v>
      </c>
      <c r="W1696" s="1">
        <f>IF(AND(U1696="INCLUDED",X1696&gt;0,EXACT(A1696,'AI output'!A1696)),1,0)</f>
        <v>1</v>
      </c>
      <c r="X1696" s="1">
        <f>1696</f>
        <v>1696</v>
      </c>
      <c r="Y1696" s="1">
        <f>IF(AND(U1696="INCLUDED",W1696=1),--(NOT(EXACT(A1696,'AI output'!A1696)))+--(NOT(EXACT(B1696,'AI output'!B1696)))+--(NOT(EXACT(TEXT(G1696,"yyyy-mm-dd"),'AI output'!C1696)))+--(NOT(EXACT(H1696,'AI output'!D1696)))+--(NOT(EXACT(J1696,'AI output'!E1696)))+--(NOT(EXACT(K1696,'AI output'!F1696)))+--(N1696&lt;&gt;'AI output'!L1696)+--(NOT('AI output'!M1696)),0)</f>
        <v>0</v>
      </c>
      <c r="Z1696" s="1">
        <f t="shared" si="215"/>
        <v>0</v>
      </c>
      <c r="AA1696" s="1">
        <f>--EXACT(A1696,"L01690")</f>
        <v>1</v>
      </c>
    </row>
    <row r="1697" spans="1:27" ht="18.95" customHeight="1">
      <c r="A1697" s="1" t="str">
        <f>IF(Raw!A1697="","",Raw!A1697)</f>
        <v>L01691</v>
      </c>
      <c r="B1697" s="1" t="str">
        <f>IF(Raw!B1697="","",Raw!B1697)</f>
        <v>T00846</v>
      </c>
      <c r="C1697" s="1" t="str">
        <f>IF(Raw!C1697="","",Raw!C1697)</f>
        <v>2026-03-07</v>
      </c>
      <c r="D1697" s="1">
        <f t="shared" si="208"/>
        <v>2026</v>
      </c>
      <c r="E1697" s="1">
        <f>IFERROR(IF(AND(LEN(C1697)=10,MID(C1697,5,1)="-",MID(C1697,8,1)="-"),VALUE(MID(C1697,6,2)),IF(AND(LEN(C1697)=11,MID(C1697,3,1)="-",MID(C1697,7,1)="-"),MATCH(UPPER(MID(C1697,4,3)),Guide!$D$7:$D$18,0),0)),0)</f>
        <v>3</v>
      </c>
      <c r="F1697" s="1">
        <f t="shared" si="209"/>
        <v>7</v>
      </c>
      <c r="G1697" s="9">
        <f t="shared" si="210"/>
        <v>46088</v>
      </c>
      <c r="H1697" s="1" t="str">
        <f>IF(Raw!D1697="","",Raw!D1697)</f>
        <v>P-H</v>
      </c>
      <c r="I1697" s="1" t="str">
        <f>IFERROR(IF(EXACT(H1697,INDEX(Guide!$A$7:$A$9,MATCH(SUBSTITUTE(SUBSTITUTE(SUBSTITUTE(H1697,"~","~~"),"*","~*"),"?","~?"),Guide!$A$7:$A$9,0))),INDEX(Guide!$B$7:$B$9,MATCH(SUBSTITUTE(SUBSTITUTE(SUBSTITUTE(H1697,"~","~~"),"*","~*"),"?","~?"),Guide!$A$7:$A$9,0)),""),"")</f>
        <v>Home</v>
      </c>
      <c r="J1697" s="1" t="str">
        <f>IF(TRIM(Raw!E1697)="",I1697,IF(UPPER(TRIM(Raw!E1697))=UPPER(I1697),I1697,""))</f>
        <v>Home</v>
      </c>
      <c r="K1697" s="1" t="str">
        <f>IF(Raw!F1697="","",Raw!F1697)</f>
        <v>sale</v>
      </c>
      <c r="L1697" s="1" t="str">
        <f>IF(LEFT(TRIM(Raw!G1697),2)="-$","-"&amp;MID(TRIM(Raw!G1697),3,99),IF(LEFT(TRIM(Raw!G1697),1)="$",MID(TRIM(Raw!G1697),2,99),TRIM(Raw!G1697)))</f>
        <v>30.29</v>
      </c>
      <c r="M1697" s="1">
        <f t="shared" si="211"/>
        <v>30.29</v>
      </c>
      <c r="N1697" s="10">
        <f t="shared" si="212"/>
        <v>3029</v>
      </c>
      <c r="O1697" s="1" t="b">
        <f>IFERROR(IF(ISNUMBER(Raw!G1697),TRUE,OR(EXACT(L1697,TEXT(M1697,"0.00")),EXACT(L1697,TEXT(M1697,"#,##0.00")))),FALSE)</f>
        <v>1</v>
      </c>
      <c r="P1697" s="1" t="str">
        <f>LEN(IF(Raw!A1697="","",Raw!A1697))&amp;":"&amp;IF(Raw!A1697="","",Raw!A1697)&amp;"|"&amp;LEN(IF(Raw!B1697="","",Raw!B1697))&amp;":"&amp;IF(Raw!B1697="","",Raw!B1697)&amp;"|"&amp;LEN(IF(Raw!C1697="","",Raw!C1697))&amp;":"&amp;IF(Raw!C1697="","",Raw!C1697)&amp;"|"&amp;LEN(IF(Raw!D1697="","",Raw!D1697))&amp;":"&amp;IF(Raw!D1697="","",Raw!D1697)&amp;"|"&amp;LEN(IF(Raw!E1697="","",Raw!E1697))&amp;":"&amp;IF(Raw!E1697="","",Raw!E1697)&amp;"|"&amp;LEN(IF(Raw!F1697="","",Raw!F1697))&amp;":"&amp;IF(Raw!F1697="","",Raw!F1697)&amp;"|"&amp;LEN(IF(Raw!G1697="","",Raw!G1697))&amp;":"&amp;IF(Raw!G1697="","",Raw!G1697)</f>
        <v>6:L01691|6:T00846|10:2026-03-07|3:P-H|4:Home|4:sale|5:30.29</v>
      </c>
      <c r="Q1697" s="1">
        <f>1</f>
        <v>1</v>
      </c>
      <c r="R1697" s="1" t="b">
        <f>FALSE</f>
        <v>0</v>
      </c>
      <c r="S1697" s="1">
        <f>1</f>
        <v>1</v>
      </c>
      <c r="T1697" s="1" t="str">
        <f>IF(AND(Raw!A1697="",Raw!B1697="",Raw!C1697="",Raw!D1697="",Raw!E1697="",Raw!F1697="",Raw!G1697=""),"UNUSED",IF(A1697="","missing line ID",IF(B1697="","missing transaction ID",IF(G1697="",IF(C1697="","missing date","invalid date"),IF(I1697="","unknown product",IF(J1697="","conflicting category",IF(NOT(OR(EXACT(K1697,"sale"),EXACT(K1697,"refund"))),"unknown event",IF(OR(N1697="",NOT(O1697)),"invalid amount",IF(OR(AND(K1697="sale",N1697&lt;=0),AND(K1697="refund",N1697&gt;=0)),"invalid sign","")))))))))</f>
        <v/>
      </c>
      <c r="U1697" s="1" t="str">
        <f t="shared" si="213"/>
        <v>INCLUDED</v>
      </c>
      <c r="V1697" s="1" t="str">
        <f t="shared" si="214"/>
        <v>2026-03</v>
      </c>
      <c r="W1697" s="1">
        <f>IF(AND(U1697="INCLUDED",X1697&gt;0,EXACT(A1697,'AI output'!A1697)),1,0)</f>
        <v>1</v>
      </c>
      <c r="X1697" s="1">
        <f>1697</f>
        <v>1697</v>
      </c>
      <c r="Y1697" s="1">
        <f>IF(AND(U1697="INCLUDED",W1697=1),--(NOT(EXACT(A1697,'AI output'!A1697)))+--(NOT(EXACT(B1697,'AI output'!B1697)))+--(NOT(EXACT(TEXT(G1697,"yyyy-mm-dd"),'AI output'!C1697)))+--(NOT(EXACT(H1697,'AI output'!D1697)))+--(NOT(EXACT(J1697,'AI output'!E1697)))+--(NOT(EXACT(K1697,'AI output'!F1697)))+--(N1697&lt;&gt;'AI output'!L1697)+--(NOT('AI output'!M1697)),0)</f>
        <v>0</v>
      </c>
      <c r="Z1697" s="1">
        <f t="shared" si="215"/>
        <v>0</v>
      </c>
      <c r="AA1697" s="1">
        <f>--EXACT(A1697,"L01691")</f>
        <v>1</v>
      </c>
    </row>
    <row r="1698" spans="1:27" ht="18.95" customHeight="1">
      <c r="A1698" s="1" t="str">
        <f>IF(Raw!A1698="","",Raw!A1698)</f>
        <v>L01692</v>
      </c>
      <c r="B1698" s="1" t="str">
        <f>IF(Raw!B1698="","",Raw!B1698)</f>
        <v>T00846</v>
      </c>
      <c r="C1698" s="1" t="str">
        <f>IF(Raw!C1698="","",Raw!C1698)</f>
        <v>2026-03-07</v>
      </c>
      <c r="D1698" s="1">
        <f t="shared" si="208"/>
        <v>2026</v>
      </c>
      <c r="E1698" s="1">
        <f>IFERROR(IF(AND(LEN(C1698)=10,MID(C1698,5,1)="-",MID(C1698,8,1)="-"),VALUE(MID(C1698,6,2)),IF(AND(LEN(C1698)=11,MID(C1698,3,1)="-",MID(C1698,7,1)="-"),MATCH(UPPER(MID(C1698,4,3)),Guide!$D$7:$D$18,0),0)),0)</f>
        <v>3</v>
      </c>
      <c r="F1698" s="1">
        <f t="shared" si="209"/>
        <v>7</v>
      </c>
      <c r="G1698" s="9">
        <f t="shared" si="210"/>
        <v>46088</v>
      </c>
      <c r="H1698" s="1" t="str">
        <f>IF(Raw!D1698="","",Raw!D1698)</f>
        <v>P-O</v>
      </c>
      <c r="I1698" s="1" t="str">
        <f>IFERROR(IF(EXACT(H1698,INDEX(Guide!$A$7:$A$9,MATCH(SUBSTITUTE(SUBSTITUTE(SUBSTITUTE(H1698,"~","~~"),"*","~*"),"?","~?"),Guide!$A$7:$A$9,0))),INDEX(Guide!$B$7:$B$9,MATCH(SUBSTITUTE(SUBSTITUTE(SUBSTITUTE(H1698,"~","~~"),"*","~*"),"?","~?"),Guide!$A$7:$A$9,0)),""),"")</f>
        <v>Office</v>
      </c>
      <c r="J1698" s="1" t="str">
        <f>IF(TRIM(Raw!E1698)="",I1698,IF(UPPER(TRIM(Raw!E1698))=UPPER(I1698),I1698,""))</f>
        <v>Office</v>
      </c>
      <c r="K1698" s="1" t="str">
        <f>IF(Raw!F1698="","",Raw!F1698)</f>
        <v>sale</v>
      </c>
      <c r="L1698" s="1" t="str">
        <f>IF(LEFT(TRIM(Raw!G1698),2)="-$","-"&amp;MID(TRIM(Raw!G1698),3,99),IF(LEFT(TRIM(Raw!G1698),1)="$",MID(TRIM(Raw!G1698),2,99),TRIM(Raw!G1698)))</f>
        <v>91.98</v>
      </c>
      <c r="M1698" s="1">
        <f t="shared" si="211"/>
        <v>91.98</v>
      </c>
      <c r="N1698" s="10">
        <f t="shared" si="212"/>
        <v>9198</v>
      </c>
      <c r="O1698" s="1" t="b">
        <f>IFERROR(IF(ISNUMBER(Raw!G1698),TRUE,OR(EXACT(L1698,TEXT(M1698,"0.00")),EXACT(L1698,TEXT(M1698,"#,##0.00")))),FALSE)</f>
        <v>1</v>
      </c>
      <c r="P1698" s="1" t="str">
        <f>LEN(IF(Raw!A1698="","",Raw!A1698))&amp;":"&amp;IF(Raw!A1698="","",Raw!A1698)&amp;"|"&amp;LEN(IF(Raw!B1698="","",Raw!B1698))&amp;":"&amp;IF(Raw!B1698="","",Raw!B1698)&amp;"|"&amp;LEN(IF(Raw!C1698="","",Raw!C1698))&amp;":"&amp;IF(Raw!C1698="","",Raw!C1698)&amp;"|"&amp;LEN(IF(Raw!D1698="","",Raw!D1698))&amp;":"&amp;IF(Raw!D1698="","",Raw!D1698)&amp;"|"&amp;LEN(IF(Raw!E1698="","",Raw!E1698))&amp;":"&amp;IF(Raw!E1698="","",Raw!E1698)&amp;"|"&amp;LEN(IF(Raw!F1698="","",Raw!F1698))&amp;":"&amp;IF(Raw!F1698="","",Raw!F1698)&amp;"|"&amp;LEN(IF(Raw!G1698="","",Raw!G1698))&amp;":"&amp;IF(Raw!G1698="","",Raw!G1698)</f>
        <v>6:L01692|6:T00846|10:2026-03-07|3:P-O|6:Office|4:sale|5:91.98</v>
      </c>
      <c r="Q1698" s="1">
        <f>1</f>
        <v>1</v>
      </c>
      <c r="R1698" s="1" t="b">
        <f>FALSE</f>
        <v>0</v>
      </c>
      <c r="S1698" s="1">
        <f>1</f>
        <v>1</v>
      </c>
      <c r="T1698" s="1" t="str">
        <f>IF(AND(Raw!A1698="",Raw!B1698="",Raw!C1698="",Raw!D1698="",Raw!E1698="",Raw!F1698="",Raw!G1698=""),"UNUSED",IF(A1698="","missing line ID",IF(B1698="","missing transaction ID",IF(G1698="",IF(C1698="","missing date","invalid date"),IF(I1698="","unknown product",IF(J1698="","conflicting category",IF(NOT(OR(EXACT(K1698,"sale"),EXACT(K1698,"refund"))),"unknown event",IF(OR(N1698="",NOT(O1698)),"invalid amount",IF(OR(AND(K1698="sale",N1698&lt;=0),AND(K1698="refund",N1698&gt;=0)),"invalid sign","")))))))))</f>
        <v/>
      </c>
      <c r="U1698" s="1" t="str">
        <f t="shared" si="213"/>
        <v>INCLUDED</v>
      </c>
      <c r="V1698" s="1" t="str">
        <f t="shared" si="214"/>
        <v>2026-03</v>
      </c>
      <c r="W1698" s="1">
        <f>IF(AND(U1698="INCLUDED",X1698&gt;0,EXACT(A1698,'AI output'!A1698)),1,0)</f>
        <v>1</v>
      </c>
      <c r="X1698" s="1">
        <f>1698</f>
        <v>1698</v>
      </c>
      <c r="Y1698" s="1">
        <f>IF(AND(U1698="INCLUDED",W1698=1),--(NOT(EXACT(A1698,'AI output'!A1698)))+--(NOT(EXACT(B1698,'AI output'!B1698)))+--(NOT(EXACT(TEXT(G1698,"yyyy-mm-dd"),'AI output'!C1698)))+--(NOT(EXACT(H1698,'AI output'!D1698)))+--(NOT(EXACT(J1698,'AI output'!E1698)))+--(NOT(EXACT(K1698,'AI output'!F1698)))+--(N1698&lt;&gt;'AI output'!L1698)+--(NOT('AI output'!M1698)),0)</f>
        <v>0</v>
      </c>
      <c r="Z1698" s="1">
        <f t="shared" si="215"/>
        <v>0</v>
      </c>
      <c r="AA1698" s="1">
        <f>--EXACT(A1698,"L01692")</f>
        <v>1</v>
      </c>
    </row>
    <row r="1699" spans="1:27" ht="18.95" customHeight="1">
      <c r="A1699" s="1" t="str">
        <f>IF(Raw!A1699="","",Raw!A1699)</f>
        <v>L01693</v>
      </c>
      <c r="B1699" s="1" t="str">
        <f>IF(Raw!B1699="","",Raw!B1699)</f>
        <v>T00847</v>
      </c>
      <c r="C1699" s="1" t="str">
        <f>IF(Raw!C1699="","",Raw!C1699)</f>
        <v>2026-03-14</v>
      </c>
      <c r="D1699" s="1">
        <f t="shared" si="208"/>
        <v>2026</v>
      </c>
      <c r="E1699" s="1">
        <f>IFERROR(IF(AND(LEN(C1699)=10,MID(C1699,5,1)="-",MID(C1699,8,1)="-"),VALUE(MID(C1699,6,2)),IF(AND(LEN(C1699)=11,MID(C1699,3,1)="-",MID(C1699,7,1)="-"),MATCH(UPPER(MID(C1699,4,3)),Guide!$D$7:$D$18,0),0)),0)</f>
        <v>3</v>
      </c>
      <c r="F1699" s="1">
        <f t="shared" si="209"/>
        <v>14</v>
      </c>
      <c r="G1699" s="9">
        <f t="shared" si="210"/>
        <v>46095</v>
      </c>
      <c r="H1699" s="1" t="str">
        <f>IF(Raw!D1699="","",Raw!D1699)</f>
        <v>P-A</v>
      </c>
      <c r="I1699" s="1" t="str">
        <f>IFERROR(IF(EXACT(H1699,INDEX(Guide!$A$7:$A$9,MATCH(SUBSTITUTE(SUBSTITUTE(SUBSTITUTE(H1699,"~","~~"),"*","~*"),"?","~?"),Guide!$A$7:$A$9,0))),INDEX(Guide!$B$7:$B$9,MATCH(SUBSTITUTE(SUBSTITUTE(SUBSTITUTE(H1699,"~","~~"),"*","~*"),"?","~?"),Guide!$A$7:$A$9,0)),""),"")</f>
        <v>Accessories</v>
      </c>
      <c r="J1699" s="1" t="str">
        <f>IF(TRIM(Raw!E1699)="",I1699,IF(UPPER(TRIM(Raw!E1699))=UPPER(I1699),I1699,""))</f>
        <v>Accessories</v>
      </c>
      <c r="K1699" s="1" t="str">
        <f>IF(Raw!F1699="","",Raw!F1699)</f>
        <v>sale</v>
      </c>
      <c r="L1699" s="1" t="str">
        <f>IF(LEFT(TRIM(Raw!G1699),2)="-$","-"&amp;MID(TRIM(Raw!G1699),3,99),IF(LEFT(TRIM(Raw!G1699),1)="$",MID(TRIM(Raw!G1699),2,99),TRIM(Raw!G1699)))</f>
        <v>155.15</v>
      </c>
      <c r="M1699" s="1">
        <f t="shared" si="211"/>
        <v>155.15</v>
      </c>
      <c r="N1699" s="10">
        <f t="shared" si="212"/>
        <v>15515</v>
      </c>
      <c r="O1699" s="1" t="b">
        <f>IFERROR(IF(ISNUMBER(Raw!G1699),TRUE,OR(EXACT(L1699,TEXT(M1699,"0.00")),EXACT(L1699,TEXT(M1699,"#,##0.00")))),FALSE)</f>
        <v>1</v>
      </c>
      <c r="P1699" s="1" t="str">
        <f>LEN(IF(Raw!A1699="","",Raw!A1699))&amp;":"&amp;IF(Raw!A1699="","",Raw!A1699)&amp;"|"&amp;LEN(IF(Raw!B1699="","",Raw!B1699))&amp;":"&amp;IF(Raw!B1699="","",Raw!B1699)&amp;"|"&amp;LEN(IF(Raw!C1699="","",Raw!C1699))&amp;":"&amp;IF(Raw!C1699="","",Raw!C1699)&amp;"|"&amp;LEN(IF(Raw!D1699="","",Raw!D1699))&amp;":"&amp;IF(Raw!D1699="","",Raw!D1699)&amp;"|"&amp;LEN(IF(Raw!E1699="","",Raw!E1699))&amp;":"&amp;IF(Raw!E1699="","",Raw!E1699)&amp;"|"&amp;LEN(IF(Raw!F1699="","",Raw!F1699))&amp;":"&amp;IF(Raw!F1699="","",Raw!F1699)&amp;"|"&amp;LEN(IF(Raw!G1699="","",Raw!G1699))&amp;":"&amp;IF(Raw!G1699="","",Raw!G1699)</f>
        <v>6:L01693|6:T00847|10:2026-03-14|3:P-A|11:Accessories|4:sale|6:155.15</v>
      </c>
      <c r="Q1699" s="1">
        <f>1</f>
        <v>1</v>
      </c>
      <c r="R1699" s="1" t="b">
        <f>FALSE</f>
        <v>0</v>
      </c>
      <c r="S1699" s="1">
        <f>1</f>
        <v>1</v>
      </c>
      <c r="T1699" s="1" t="str">
        <f>IF(AND(Raw!A1699="",Raw!B1699="",Raw!C1699="",Raw!D1699="",Raw!E1699="",Raw!F1699="",Raw!G1699=""),"UNUSED",IF(A1699="","missing line ID",IF(B1699="","missing transaction ID",IF(G1699="",IF(C1699="","missing date","invalid date"),IF(I1699="","unknown product",IF(J1699="","conflicting category",IF(NOT(OR(EXACT(K1699,"sale"),EXACT(K1699,"refund"))),"unknown event",IF(OR(N1699="",NOT(O1699)),"invalid amount",IF(OR(AND(K1699="sale",N1699&lt;=0),AND(K1699="refund",N1699&gt;=0)),"invalid sign","")))))))))</f>
        <v/>
      </c>
      <c r="U1699" s="1" t="str">
        <f t="shared" si="213"/>
        <v>INCLUDED</v>
      </c>
      <c r="V1699" s="1" t="str">
        <f t="shared" si="214"/>
        <v>2026-03</v>
      </c>
      <c r="W1699" s="1">
        <f>IF(AND(U1699="INCLUDED",X1699&gt;0,EXACT(A1699,'AI output'!A1699)),1,0)</f>
        <v>1</v>
      </c>
      <c r="X1699" s="1">
        <f>1699</f>
        <v>1699</v>
      </c>
      <c r="Y1699" s="1">
        <f>IF(AND(U1699="INCLUDED",W1699=1),--(NOT(EXACT(A1699,'AI output'!A1699)))+--(NOT(EXACT(B1699,'AI output'!B1699)))+--(NOT(EXACT(TEXT(G1699,"yyyy-mm-dd"),'AI output'!C1699)))+--(NOT(EXACT(H1699,'AI output'!D1699)))+--(NOT(EXACT(J1699,'AI output'!E1699)))+--(NOT(EXACT(K1699,'AI output'!F1699)))+--(N1699&lt;&gt;'AI output'!L1699)+--(NOT('AI output'!M1699)),0)</f>
        <v>0</v>
      </c>
      <c r="Z1699" s="1">
        <f t="shared" si="215"/>
        <v>0</v>
      </c>
      <c r="AA1699" s="1">
        <f>--EXACT(A1699,"L01693")</f>
        <v>1</v>
      </c>
    </row>
    <row r="1700" spans="1:27" ht="18.95" customHeight="1">
      <c r="A1700" s="1" t="str">
        <f>IF(Raw!A1700="","",Raw!A1700)</f>
        <v>L01694</v>
      </c>
      <c r="B1700" s="1" t="str">
        <f>IF(Raw!B1700="","",Raw!B1700)</f>
        <v>T00847</v>
      </c>
      <c r="C1700" s="1" t="str">
        <f>IF(Raw!C1700="","",Raw!C1700)</f>
        <v>2026-03-14</v>
      </c>
      <c r="D1700" s="1">
        <f t="shared" si="208"/>
        <v>2026</v>
      </c>
      <c r="E1700" s="1">
        <f>IFERROR(IF(AND(LEN(C1700)=10,MID(C1700,5,1)="-",MID(C1700,8,1)="-"),VALUE(MID(C1700,6,2)),IF(AND(LEN(C1700)=11,MID(C1700,3,1)="-",MID(C1700,7,1)="-"),MATCH(UPPER(MID(C1700,4,3)),Guide!$D$7:$D$18,0),0)),0)</f>
        <v>3</v>
      </c>
      <c r="F1700" s="1">
        <f t="shared" si="209"/>
        <v>14</v>
      </c>
      <c r="G1700" s="9">
        <f t="shared" si="210"/>
        <v>46095</v>
      </c>
      <c r="H1700" s="1" t="str">
        <f>IF(Raw!D1700="","",Raw!D1700)</f>
        <v>P-H</v>
      </c>
      <c r="I1700" s="1" t="str">
        <f>IFERROR(IF(EXACT(H1700,INDEX(Guide!$A$7:$A$9,MATCH(SUBSTITUTE(SUBSTITUTE(SUBSTITUTE(H1700,"~","~~"),"*","~*"),"?","~?"),Guide!$A$7:$A$9,0))),INDEX(Guide!$B$7:$B$9,MATCH(SUBSTITUTE(SUBSTITUTE(SUBSTITUTE(H1700,"~","~~"),"*","~*"),"?","~?"),Guide!$A$7:$A$9,0)),""),"")</f>
        <v>Home</v>
      </c>
      <c r="J1700" s="1" t="str">
        <f>IF(TRIM(Raw!E1700)="",I1700,IF(UPPER(TRIM(Raw!E1700))=UPPER(I1700),I1700,""))</f>
        <v>Home</v>
      </c>
      <c r="K1700" s="1" t="str">
        <f>IF(Raw!F1700="","",Raw!F1700)</f>
        <v>sale</v>
      </c>
      <c r="L1700" s="1" t="str">
        <f>IF(LEFT(TRIM(Raw!G1700),2)="-$","-"&amp;MID(TRIM(Raw!G1700),3,99),IF(LEFT(TRIM(Raw!G1700),1)="$",MID(TRIM(Raw!G1700),2,99),TRIM(Raw!G1700)))</f>
        <v>62.80</v>
      </c>
      <c r="M1700" s="1">
        <f t="shared" si="211"/>
        <v>62.8</v>
      </c>
      <c r="N1700" s="10">
        <f t="shared" si="212"/>
        <v>6280</v>
      </c>
      <c r="O1700" s="1" t="b">
        <f>IFERROR(IF(ISNUMBER(Raw!G1700),TRUE,OR(EXACT(L1700,TEXT(M1700,"0.00")),EXACT(L1700,TEXT(M1700,"#,##0.00")))),FALSE)</f>
        <v>1</v>
      </c>
      <c r="P1700" s="1" t="str">
        <f>LEN(IF(Raw!A1700="","",Raw!A1700))&amp;":"&amp;IF(Raw!A1700="","",Raw!A1700)&amp;"|"&amp;LEN(IF(Raw!B1700="","",Raw!B1700))&amp;":"&amp;IF(Raw!B1700="","",Raw!B1700)&amp;"|"&amp;LEN(IF(Raw!C1700="","",Raw!C1700))&amp;":"&amp;IF(Raw!C1700="","",Raw!C1700)&amp;"|"&amp;LEN(IF(Raw!D1700="","",Raw!D1700))&amp;":"&amp;IF(Raw!D1700="","",Raw!D1700)&amp;"|"&amp;LEN(IF(Raw!E1700="","",Raw!E1700))&amp;":"&amp;IF(Raw!E1700="","",Raw!E1700)&amp;"|"&amp;LEN(IF(Raw!F1700="","",Raw!F1700))&amp;":"&amp;IF(Raw!F1700="","",Raw!F1700)&amp;"|"&amp;LEN(IF(Raw!G1700="","",Raw!G1700))&amp;":"&amp;IF(Raw!G1700="","",Raw!G1700)</f>
        <v>6:L01694|6:T00847|10:2026-03-14|3:P-H|4:Home|4:sale|5:62.80</v>
      </c>
      <c r="Q1700" s="1">
        <f>1</f>
        <v>1</v>
      </c>
      <c r="R1700" s="1" t="b">
        <f>FALSE</f>
        <v>0</v>
      </c>
      <c r="S1700" s="1">
        <f>1</f>
        <v>1</v>
      </c>
      <c r="T1700" s="1" t="str">
        <f>IF(AND(Raw!A1700="",Raw!B1700="",Raw!C1700="",Raw!D1700="",Raw!E1700="",Raw!F1700="",Raw!G1700=""),"UNUSED",IF(A1700="","missing line ID",IF(B1700="","missing transaction ID",IF(G1700="",IF(C1700="","missing date","invalid date"),IF(I1700="","unknown product",IF(J1700="","conflicting category",IF(NOT(OR(EXACT(K1700,"sale"),EXACT(K1700,"refund"))),"unknown event",IF(OR(N1700="",NOT(O1700)),"invalid amount",IF(OR(AND(K1700="sale",N1700&lt;=0),AND(K1700="refund",N1700&gt;=0)),"invalid sign","")))))))))</f>
        <v/>
      </c>
      <c r="U1700" s="1" t="str">
        <f t="shared" si="213"/>
        <v>INCLUDED</v>
      </c>
      <c r="V1700" s="1" t="str">
        <f t="shared" si="214"/>
        <v>2026-03</v>
      </c>
      <c r="W1700" s="1">
        <f>IF(AND(U1700="INCLUDED",X1700&gt;0,EXACT(A1700,'AI output'!A1700)),1,0)</f>
        <v>1</v>
      </c>
      <c r="X1700" s="1">
        <f>1700</f>
        <v>1700</v>
      </c>
      <c r="Y1700" s="1">
        <f>IF(AND(U1700="INCLUDED",W1700=1),--(NOT(EXACT(A1700,'AI output'!A1700)))+--(NOT(EXACT(B1700,'AI output'!B1700)))+--(NOT(EXACT(TEXT(G1700,"yyyy-mm-dd"),'AI output'!C1700)))+--(NOT(EXACT(H1700,'AI output'!D1700)))+--(NOT(EXACT(J1700,'AI output'!E1700)))+--(NOT(EXACT(K1700,'AI output'!F1700)))+--(N1700&lt;&gt;'AI output'!L1700)+--(NOT('AI output'!M1700)),0)</f>
        <v>0</v>
      </c>
      <c r="Z1700" s="1">
        <f t="shared" si="215"/>
        <v>0</v>
      </c>
      <c r="AA1700" s="1">
        <f>--EXACT(A1700,"L01694")</f>
        <v>1</v>
      </c>
    </row>
    <row r="1701" spans="1:27" ht="18.95" customHeight="1">
      <c r="A1701" s="1" t="str">
        <f>IF(Raw!A1701="","",Raw!A1701)</f>
        <v>L01695</v>
      </c>
      <c r="B1701" s="1" t="str">
        <f>IF(Raw!B1701="","",Raw!B1701)</f>
        <v>T00848</v>
      </c>
      <c r="C1701" s="1" t="str">
        <f>IF(Raw!C1701="","",Raw!C1701)</f>
        <v>2026-03-21</v>
      </c>
      <c r="D1701" s="1">
        <f t="shared" si="208"/>
        <v>2026</v>
      </c>
      <c r="E1701" s="1">
        <f>IFERROR(IF(AND(LEN(C1701)=10,MID(C1701,5,1)="-",MID(C1701,8,1)="-"),VALUE(MID(C1701,6,2)),IF(AND(LEN(C1701)=11,MID(C1701,3,1)="-",MID(C1701,7,1)="-"),MATCH(UPPER(MID(C1701,4,3)),Guide!$D$7:$D$18,0),0)),0)</f>
        <v>3</v>
      </c>
      <c r="F1701" s="1">
        <f t="shared" si="209"/>
        <v>21</v>
      </c>
      <c r="G1701" s="9">
        <f t="shared" si="210"/>
        <v>46102</v>
      </c>
      <c r="H1701" s="1" t="str">
        <f>IF(Raw!D1701="","",Raw!D1701)</f>
        <v>P-O</v>
      </c>
      <c r="I1701" s="1" t="str">
        <f>IFERROR(IF(EXACT(H1701,INDEX(Guide!$A$7:$A$9,MATCH(SUBSTITUTE(SUBSTITUTE(SUBSTITUTE(H1701,"~","~~"),"*","~*"),"?","~?"),Guide!$A$7:$A$9,0))),INDEX(Guide!$B$7:$B$9,MATCH(SUBSTITUTE(SUBSTITUTE(SUBSTITUTE(H1701,"~","~~"),"*","~*"),"?","~?"),Guide!$A$7:$A$9,0)),""),"")</f>
        <v>Office</v>
      </c>
      <c r="J1701" s="1" t="str">
        <f>IF(TRIM(Raw!E1701)="",I1701,IF(UPPER(TRIM(Raw!E1701))=UPPER(I1701),I1701,""))</f>
        <v>Office</v>
      </c>
      <c r="K1701" s="1" t="str">
        <f>IF(Raw!F1701="","",Raw!F1701)</f>
        <v>sale</v>
      </c>
      <c r="L1701" s="1" t="str">
        <f>IF(LEFT(TRIM(Raw!G1701),2)="-$","-"&amp;MID(TRIM(Raw!G1701),3,99),IF(LEFT(TRIM(Raw!G1701),1)="$",MID(TRIM(Raw!G1701),2,99),TRIM(Raw!G1701)))</f>
        <v>127.08</v>
      </c>
      <c r="M1701" s="1">
        <f t="shared" si="211"/>
        <v>127.08</v>
      </c>
      <c r="N1701" s="10">
        <f t="shared" si="212"/>
        <v>12708</v>
      </c>
      <c r="O1701" s="1" t="b">
        <f>IFERROR(IF(ISNUMBER(Raw!G1701),TRUE,OR(EXACT(L1701,TEXT(M1701,"0.00")),EXACT(L1701,TEXT(M1701,"#,##0.00")))),FALSE)</f>
        <v>1</v>
      </c>
      <c r="P1701" s="1" t="str">
        <f>LEN(IF(Raw!A1701="","",Raw!A1701))&amp;":"&amp;IF(Raw!A1701="","",Raw!A1701)&amp;"|"&amp;LEN(IF(Raw!B1701="","",Raw!B1701))&amp;":"&amp;IF(Raw!B1701="","",Raw!B1701)&amp;"|"&amp;LEN(IF(Raw!C1701="","",Raw!C1701))&amp;":"&amp;IF(Raw!C1701="","",Raw!C1701)&amp;"|"&amp;LEN(IF(Raw!D1701="","",Raw!D1701))&amp;":"&amp;IF(Raw!D1701="","",Raw!D1701)&amp;"|"&amp;LEN(IF(Raw!E1701="","",Raw!E1701))&amp;":"&amp;IF(Raw!E1701="","",Raw!E1701)&amp;"|"&amp;LEN(IF(Raw!F1701="","",Raw!F1701))&amp;":"&amp;IF(Raw!F1701="","",Raw!F1701)&amp;"|"&amp;LEN(IF(Raw!G1701="","",Raw!G1701))&amp;":"&amp;IF(Raw!G1701="","",Raw!G1701)</f>
        <v>6:L01695|6:T00848|10:2026-03-21|3:P-O|6:Office|4:sale|6:127.08</v>
      </c>
      <c r="Q1701" s="1">
        <f>1</f>
        <v>1</v>
      </c>
      <c r="R1701" s="1" t="b">
        <f>FALSE</f>
        <v>0</v>
      </c>
      <c r="S1701" s="1">
        <f>1</f>
        <v>1</v>
      </c>
      <c r="T1701" s="1" t="str">
        <f>IF(AND(Raw!A1701="",Raw!B1701="",Raw!C1701="",Raw!D1701="",Raw!E1701="",Raw!F1701="",Raw!G1701=""),"UNUSED",IF(A1701="","missing line ID",IF(B1701="","missing transaction ID",IF(G1701="",IF(C1701="","missing date","invalid date"),IF(I1701="","unknown product",IF(J1701="","conflicting category",IF(NOT(OR(EXACT(K1701,"sale"),EXACT(K1701,"refund"))),"unknown event",IF(OR(N1701="",NOT(O1701)),"invalid amount",IF(OR(AND(K1701="sale",N1701&lt;=0),AND(K1701="refund",N1701&gt;=0)),"invalid sign","")))))))))</f>
        <v/>
      </c>
      <c r="U1701" s="1" t="str">
        <f t="shared" si="213"/>
        <v>INCLUDED</v>
      </c>
      <c r="V1701" s="1" t="str">
        <f t="shared" si="214"/>
        <v>2026-03</v>
      </c>
      <c r="W1701" s="1">
        <f>IF(AND(U1701="INCLUDED",X1701&gt;0,EXACT(A1701,'AI output'!A1701)),1,0)</f>
        <v>1</v>
      </c>
      <c r="X1701" s="1">
        <f>1701</f>
        <v>1701</v>
      </c>
      <c r="Y1701" s="1">
        <f>IF(AND(U1701="INCLUDED",W1701=1),--(NOT(EXACT(A1701,'AI output'!A1701)))+--(NOT(EXACT(B1701,'AI output'!B1701)))+--(NOT(EXACT(TEXT(G1701,"yyyy-mm-dd"),'AI output'!C1701)))+--(NOT(EXACT(H1701,'AI output'!D1701)))+--(NOT(EXACT(J1701,'AI output'!E1701)))+--(NOT(EXACT(K1701,'AI output'!F1701)))+--(N1701&lt;&gt;'AI output'!L1701)+--(NOT('AI output'!M1701)),0)</f>
        <v>0</v>
      </c>
      <c r="Z1701" s="1">
        <f t="shared" si="215"/>
        <v>0</v>
      </c>
      <c r="AA1701" s="1">
        <f>--EXACT(A1701,"L01695")</f>
        <v>1</v>
      </c>
    </row>
    <row r="1702" spans="1:27" ht="18.95" customHeight="1">
      <c r="A1702" s="1" t="str">
        <f>IF(Raw!A1702="","",Raw!A1702)</f>
        <v>L01696</v>
      </c>
      <c r="B1702" s="1" t="str">
        <f>IF(Raw!B1702="","",Raw!B1702)</f>
        <v>T00848</v>
      </c>
      <c r="C1702" s="1" t="str">
        <f>IF(Raw!C1702="","",Raw!C1702)</f>
        <v>2026-03-21</v>
      </c>
      <c r="D1702" s="1">
        <f t="shared" si="208"/>
        <v>2026</v>
      </c>
      <c r="E1702" s="1">
        <f>IFERROR(IF(AND(LEN(C1702)=10,MID(C1702,5,1)="-",MID(C1702,8,1)="-"),VALUE(MID(C1702,6,2)),IF(AND(LEN(C1702)=11,MID(C1702,3,1)="-",MID(C1702,7,1)="-"),MATCH(UPPER(MID(C1702,4,3)),Guide!$D$7:$D$18,0),0)),0)</f>
        <v>3</v>
      </c>
      <c r="F1702" s="1">
        <f t="shared" si="209"/>
        <v>21</v>
      </c>
      <c r="G1702" s="9">
        <f t="shared" si="210"/>
        <v>46102</v>
      </c>
      <c r="H1702" s="1" t="str">
        <f>IF(Raw!D1702="","",Raw!D1702)</f>
        <v>P-A</v>
      </c>
      <c r="I1702" s="1" t="str">
        <f>IFERROR(IF(EXACT(H1702,INDEX(Guide!$A$7:$A$9,MATCH(SUBSTITUTE(SUBSTITUTE(SUBSTITUTE(H1702,"~","~~"),"*","~*"),"?","~?"),Guide!$A$7:$A$9,0))),INDEX(Guide!$B$7:$B$9,MATCH(SUBSTITUTE(SUBSTITUTE(SUBSTITUTE(H1702,"~","~~"),"*","~*"),"?","~?"),Guide!$A$7:$A$9,0)),""),"")</f>
        <v>Accessories</v>
      </c>
      <c r="J1702" s="1" t="str">
        <f>IF(TRIM(Raw!E1702)="",I1702,IF(UPPER(TRIM(Raw!E1702))=UPPER(I1702),I1702,""))</f>
        <v>Accessories</v>
      </c>
      <c r="K1702" s="1" t="str">
        <f>IF(Raw!F1702="","",Raw!F1702)</f>
        <v>sale</v>
      </c>
      <c r="L1702" s="1" t="str">
        <f>IF(LEFT(TRIM(Raw!G1702),2)="-$","-"&amp;MID(TRIM(Raw!G1702),3,99),IF(LEFT(TRIM(Raw!G1702),1)="$",MID(TRIM(Raw!G1702),2,99),TRIM(Raw!G1702)))</f>
        <v>32.14</v>
      </c>
      <c r="M1702" s="1">
        <f t="shared" si="211"/>
        <v>32.14</v>
      </c>
      <c r="N1702" s="10">
        <f t="shared" si="212"/>
        <v>3214</v>
      </c>
      <c r="O1702" s="1" t="b">
        <f>IFERROR(IF(ISNUMBER(Raw!G1702),TRUE,OR(EXACT(L1702,TEXT(M1702,"0.00")),EXACT(L1702,TEXT(M1702,"#,##0.00")))),FALSE)</f>
        <v>1</v>
      </c>
      <c r="P1702" s="1" t="str">
        <f>LEN(IF(Raw!A1702="","",Raw!A1702))&amp;":"&amp;IF(Raw!A1702="","",Raw!A1702)&amp;"|"&amp;LEN(IF(Raw!B1702="","",Raw!B1702))&amp;":"&amp;IF(Raw!B1702="","",Raw!B1702)&amp;"|"&amp;LEN(IF(Raw!C1702="","",Raw!C1702))&amp;":"&amp;IF(Raw!C1702="","",Raw!C1702)&amp;"|"&amp;LEN(IF(Raw!D1702="","",Raw!D1702))&amp;":"&amp;IF(Raw!D1702="","",Raw!D1702)&amp;"|"&amp;LEN(IF(Raw!E1702="","",Raw!E1702))&amp;":"&amp;IF(Raw!E1702="","",Raw!E1702)&amp;"|"&amp;LEN(IF(Raw!F1702="","",Raw!F1702))&amp;":"&amp;IF(Raw!F1702="","",Raw!F1702)&amp;"|"&amp;LEN(IF(Raw!G1702="","",Raw!G1702))&amp;":"&amp;IF(Raw!G1702="","",Raw!G1702)</f>
        <v>6:L01696|6:T00848|10:2026-03-21|3:P-A|11:Accessories|4:sale|5:32.14</v>
      </c>
      <c r="Q1702" s="1">
        <f>1</f>
        <v>1</v>
      </c>
      <c r="R1702" s="1" t="b">
        <f>FALSE</f>
        <v>0</v>
      </c>
      <c r="S1702" s="1">
        <f>1</f>
        <v>1</v>
      </c>
      <c r="T1702" s="1" t="str">
        <f>IF(AND(Raw!A1702="",Raw!B1702="",Raw!C1702="",Raw!D1702="",Raw!E1702="",Raw!F1702="",Raw!G1702=""),"UNUSED",IF(A1702="","missing line ID",IF(B1702="","missing transaction ID",IF(G1702="",IF(C1702="","missing date","invalid date"),IF(I1702="","unknown product",IF(J1702="","conflicting category",IF(NOT(OR(EXACT(K1702,"sale"),EXACT(K1702,"refund"))),"unknown event",IF(OR(N1702="",NOT(O1702)),"invalid amount",IF(OR(AND(K1702="sale",N1702&lt;=0),AND(K1702="refund",N1702&gt;=0)),"invalid sign","")))))))))</f>
        <v/>
      </c>
      <c r="U1702" s="1" t="str">
        <f t="shared" si="213"/>
        <v>INCLUDED</v>
      </c>
      <c r="V1702" s="1" t="str">
        <f t="shared" si="214"/>
        <v>2026-03</v>
      </c>
      <c r="W1702" s="1">
        <f>IF(AND(U1702="INCLUDED",X1702&gt;0,EXACT(A1702,'AI output'!A1702)),1,0)</f>
        <v>1</v>
      </c>
      <c r="X1702" s="1">
        <f>1702</f>
        <v>1702</v>
      </c>
      <c r="Y1702" s="1">
        <f>IF(AND(U1702="INCLUDED",W1702=1),--(NOT(EXACT(A1702,'AI output'!A1702)))+--(NOT(EXACT(B1702,'AI output'!B1702)))+--(NOT(EXACT(TEXT(G1702,"yyyy-mm-dd"),'AI output'!C1702)))+--(NOT(EXACT(H1702,'AI output'!D1702)))+--(NOT(EXACT(J1702,'AI output'!E1702)))+--(NOT(EXACT(K1702,'AI output'!F1702)))+--(N1702&lt;&gt;'AI output'!L1702)+--(NOT('AI output'!M1702)),0)</f>
        <v>0</v>
      </c>
      <c r="Z1702" s="1">
        <f t="shared" si="215"/>
        <v>0</v>
      </c>
      <c r="AA1702" s="1">
        <f>--EXACT(A1702,"L01696")</f>
        <v>1</v>
      </c>
    </row>
    <row r="1703" spans="1:27" ht="18.95" customHeight="1">
      <c r="A1703" s="1" t="str">
        <f>IF(Raw!A1703="","",Raw!A1703)</f>
        <v>L01697</v>
      </c>
      <c r="B1703" s="1" t="str">
        <f>IF(Raw!B1703="","",Raw!B1703)</f>
        <v>T00849</v>
      </c>
      <c r="C1703" s="1" t="str">
        <f>IF(Raw!C1703="","",Raw!C1703)</f>
        <v>2026-03-28</v>
      </c>
      <c r="D1703" s="1">
        <f t="shared" si="208"/>
        <v>2026</v>
      </c>
      <c r="E1703" s="1">
        <f>IFERROR(IF(AND(LEN(C1703)=10,MID(C1703,5,1)="-",MID(C1703,8,1)="-"),VALUE(MID(C1703,6,2)),IF(AND(LEN(C1703)=11,MID(C1703,3,1)="-",MID(C1703,7,1)="-"),MATCH(UPPER(MID(C1703,4,3)),Guide!$D$7:$D$18,0),0)),0)</f>
        <v>3</v>
      </c>
      <c r="F1703" s="1">
        <f t="shared" si="209"/>
        <v>28</v>
      </c>
      <c r="G1703" s="9">
        <f t="shared" si="210"/>
        <v>46109</v>
      </c>
      <c r="H1703" s="1" t="str">
        <f>IF(Raw!D1703="","",Raw!D1703)</f>
        <v>P-H</v>
      </c>
      <c r="I1703" s="1" t="str">
        <f>IFERROR(IF(EXACT(H1703,INDEX(Guide!$A$7:$A$9,MATCH(SUBSTITUTE(SUBSTITUTE(SUBSTITUTE(H1703,"~","~~"),"*","~*"),"?","~?"),Guide!$A$7:$A$9,0))),INDEX(Guide!$B$7:$B$9,MATCH(SUBSTITUTE(SUBSTITUTE(SUBSTITUTE(H1703,"~","~~"),"*","~*"),"?","~?"),Guide!$A$7:$A$9,0)),""),"")</f>
        <v>Home</v>
      </c>
      <c r="J1703" s="1" t="str">
        <f>IF(TRIM(Raw!E1703)="",I1703,IF(UPPER(TRIM(Raw!E1703))=UPPER(I1703),I1703,""))</f>
        <v>Home</v>
      </c>
      <c r="K1703" s="1" t="str">
        <f>IF(Raw!F1703="","",Raw!F1703)</f>
        <v>sale</v>
      </c>
      <c r="L1703" s="1" t="str">
        <f>IF(LEFT(TRIM(Raw!G1703),2)="-$","-"&amp;MID(TRIM(Raw!G1703),3,99),IF(LEFT(TRIM(Raw!G1703),1)="$",MID(TRIM(Raw!G1703),2,99),TRIM(Raw!G1703)))</f>
        <v>97.53</v>
      </c>
      <c r="M1703" s="1">
        <f t="shared" si="211"/>
        <v>97.53</v>
      </c>
      <c r="N1703" s="10">
        <f t="shared" si="212"/>
        <v>9753</v>
      </c>
      <c r="O1703" s="1" t="b">
        <f>IFERROR(IF(ISNUMBER(Raw!G1703),TRUE,OR(EXACT(L1703,TEXT(M1703,"0.00")),EXACT(L1703,TEXT(M1703,"#,##0.00")))),FALSE)</f>
        <v>1</v>
      </c>
      <c r="P1703" s="1" t="str">
        <f>LEN(IF(Raw!A1703="","",Raw!A1703))&amp;":"&amp;IF(Raw!A1703="","",Raw!A1703)&amp;"|"&amp;LEN(IF(Raw!B1703="","",Raw!B1703))&amp;":"&amp;IF(Raw!B1703="","",Raw!B1703)&amp;"|"&amp;LEN(IF(Raw!C1703="","",Raw!C1703))&amp;":"&amp;IF(Raw!C1703="","",Raw!C1703)&amp;"|"&amp;LEN(IF(Raw!D1703="","",Raw!D1703))&amp;":"&amp;IF(Raw!D1703="","",Raw!D1703)&amp;"|"&amp;LEN(IF(Raw!E1703="","",Raw!E1703))&amp;":"&amp;IF(Raw!E1703="","",Raw!E1703)&amp;"|"&amp;LEN(IF(Raw!F1703="","",Raw!F1703))&amp;":"&amp;IF(Raw!F1703="","",Raw!F1703)&amp;"|"&amp;LEN(IF(Raw!G1703="","",Raw!G1703))&amp;":"&amp;IF(Raw!G1703="","",Raw!G1703)</f>
        <v>6:L01697|6:T00849|10:2026-03-28|3:P-H|4:Home|4:sale|5:97.53</v>
      </c>
      <c r="Q1703" s="1">
        <f>1</f>
        <v>1</v>
      </c>
      <c r="R1703" s="1" t="b">
        <f>FALSE</f>
        <v>0</v>
      </c>
      <c r="S1703" s="1">
        <f>1</f>
        <v>1</v>
      </c>
      <c r="T1703" s="1" t="str">
        <f>IF(AND(Raw!A1703="",Raw!B1703="",Raw!C1703="",Raw!D1703="",Raw!E1703="",Raw!F1703="",Raw!G1703=""),"UNUSED",IF(A1703="","missing line ID",IF(B1703="","missing transaction ID",IF(G1703="",IF(C1703="","missing date","invalid date"),IF(I1703="","unknown product",IF(J1703="","conflicting category",IF(NOT(OR(EXACT(K1703,"sale"),EXACT(K1703,"refund"))),"unknown event",IF(OR(N1703="",NOT(O1703)),"invalid amount",IF(OR(AND(K1703="sale",N1703&lt;=0),AND(K1703="refund",N1703&gt;=0)),"invalid sign","")))))))))</f>
        <v/>
      </c>
      <c r="U1703" s="1" t="str">
        <f t="shared" si="213"/>
        <v>INCLUDED</v>
      </c>
      <c r="V1703" s="1" t="str">
        <f t="shared" si="214"/>
        <v>2026-03</v>
      </c>
      <c r="W1703" s="1">
        <f>IF(AND(U1703="INCLUDED",X1703&gt;0,EXACT(A1703,'AI output'!A1703)),1,0)</f>
        <v>1</v>
      </c>
      <c r="X1703" s="1">
        <f>1703</f>
        <v>1703</v>
      </c>
      <c r="Y1703" s="1">
        <f>IF(AND(U1703="INCLUDED",W1703=1),--(NOT(EXACT(A1703,'AI output'!A1703)))+--(NOT(EXACT(B1703,'AI output'!B1703)))+--(NOT(EXACT(TEXT(G1703,"yyyy-mm-dd"),'AI output'!C1703)))+--(NOT(EXACT(H1703,'AI output'!D1703)))+--(NOT(EXACT(J1703,'AI output'!E1703)))+--(NOT(EXACT(K1703,'AI output'!F1703)))+--(N1703&lt;&gt;'AI output'!L1703)+--(NOT('AI output'!M1703)),0)</f>
        <v>0</v>
      </c>
      <c r="Z1703" s="1">
        <f t="shared" si="215"/>
        <v>0</v>
      </c>
      <c r="AA1703" s="1">
        <f>--EXACT(A1703,"L01697")</f>
        <v>1</v>
      </c>
    </row>
    <row r="1704" spans="1:27" ht="18.95" customHeight="1">
      <c r="A1704" s="1" t="str">
        <f>IF(Raw!A1704="","",Raw!A1704)</f>
        <v>L01698</v>
      </c>
      <c r="B1704" s="1" t="str">
        <f>IF(Raw!B1704="","",Raw!B1704)</f>
        <v>T00849</v>
      </c>
      <c r="C1704" s="1" t="str">
        <f>IF(Raw!C1704="","",Raw!C1704)</f>
        <v>2026-03-28</v>
      </c>
      <c r="D1704" s="1">
        <f t="shared" si="208"/>
        <v>2026</v>
      </c>
      <c r="E1704" s="1">
        <f>IFERROR(IF(AND(LEN(C1704)=10,MID(C1704,5,1)="-",MID(C1704,8,1)="-"),VALUE(MID(C1704,6,2)),IF(AND(LEN(C1704)=11,MID(C1704,3,1)="-",MID(C1704,7,1)="-"),MATCH(UPPER(MID(C1704,4,3)),Guide!$D$7:$D$18,0),0)),0)</f>
        <v>3</v>
      </c>
      <c r="F1704" s="1">
        <f t="shared" si="209"/>
        <v>28</v>
      </c>
      <c r="G1704" s="9">
        <f t="shared" si="210"/>
        <v>46109</v>
      </c>
      <c r="H1704" s="1" t="str">
        <f>IF(Raw!D1704="","",Raw!D1704)</f>
        <v>P-O</v>
      </c>
      <c r="I1704" s="1" t="str">
        <f>IFERROR(IF(EXACT(H1704,INDEX(Guide!$A$7:$A$9,MATCH(SUBSTITUTE(SUBSTITUTE(SUBSTITUTE(H1704,"~","~~"),"*","~*"),"?","~?"),Guide!$A$7:$A$9,0))),INDEX(Guide!$B$7:$B$9,MATCH(SUBSTITUTE(SUBSTITUTE(SUBSTITUTE(H1704,"~","~~"),"*","~*"),"?","~?"),Guide!$A$7:$A$9,0)),""),"")</f>
        <v>Office</v>
      </c>
      <c r="J1704" s="1" t="str">
        <f>IF(TRIM(Raw!E1704)="",I1704,IF(UPPER(TRIM(Raw!E1704))=UPPER(I1704),I1704,""))</f>
        <v>Office</v>
      </c>
      <c r="K1704" s="1" t="str">
        <f>IF(Raw!F1704="","",Raw!F1704)</f>
        <v>sale</v>
      </c>
      <c r="L1704" s="1" t="str">
        <f>IF(LEFT(TRIM(Raw!G1704),2)="-$","-"&amp;MID(TRIM(Raw!G1704),3,99),IF(LEFT(TRIM(Raw!G1704),1)="$",MID(TRIM(Raw!G1704),2,99),TRIM(Raw!G1704)))</f>
        <v>164.40</v>
      </c>
      <c r="M1704" s="1">
        <f t="shared" si="211"/>
        <v>164.4</v>
      </c>
      <c r="N1704" s="10">
        <f t="shared" si="212"/>
        <v>16440</v>
      </c>
      <c r="O1704" s="1" t="b">
        <f>IFERROR(IF(ISNUMBER(Raw!G1704),TRUE,OR(EXACT(L1704,TEXT(M1704,"0.00")),EXACT(L1704,TEXT(M1704,"#,##0.00")))),FALSE)</f>
        <v>1</v>
      </c>
      <c r="P1704" s="1" t="str">
        <f>LEN(IF(Raw!A1704="","",Raw!A1704))&amp;":"&amp;IF(Raw!A1704="","",Raw!A1704)&amp;"|"&amp;LEN(IF(Raw!B1704="","",Raw!B1704))&amp;":"&amp;IF(Raw!B1704="","",Raw!B1704)&amp;"|"&amp;LEN(IF(Raw!C1704="","",Raw!C1704))&amp;":"&amp;IF(Raw!C1704="","",Raw!C1704)&amp;"|"&amp;LEN(IF(Raw!D1704="","",Raw!D1704))&amp;":"&amp;IF(Raw!D1704="","",Raw!D1704)&amp;"|"&amp;LEN(IF(Raw!E1704="","",Raw!E1704))&amp;":"&amp;IF(Raw!E1704="","",Raw!E1704)&amp;"|"&amp;LEN(IF(Raw!F1704="","",Raw!F1704))&amp;":"&amp;IF(Raw!F1704="","",Raw!F1704)&amp;"|"&amp;LEN(IF(Raw!G1704="","",Raw!G1704))&amp;":"&amp;IF(Raw!G1704="","",Raw!G1704)</f>
        <v>6:L01698|6:T00849|10:2026-03-28|3:P-O|6:Office|4:sale|6:164.40</v>
      </c>
      <c r="Q1704" s="1">
        <f>1</f>
        <v>1</v>
      </c>
      <c r="R1704" s="1" t="b">
        <f>FALSE</f>
        <v>0</v>
      </c>
      <c r="S1704" s="1">
        <f>1</f>
        <v>1</v>
      </c>
      <c r="T1704" s="1" t="str">
        <f>IF(AND(Raw!A1704="",Raw!B1704="",Raw!C1704="",Raw!D1704="",Raw!E1704="",Raw!F1704="",Raw!G1704=""),"UNUSED",IF(A1704="","missing line ID",IF(B1704="","missing transaction ID",IF(G1704="",IF(C1704="","missing date","invalid date"),IF(I1704="","unknown product",IF(J1704="","conflicting category",IF(NOT(OR(EXACT(K1704,"sale"),EXACT(K1704,"refund"))),"unknown event",IF(OR(N1704="",NOT(O1704)),"invalid amount",IF(OR(AND(K1704="sale",N1704&lt;=0),AND(K1704="refund",N1704&gt;=0)),"invalid sign","")))))))))</f>
        <v/>
      </c>
      <c r="U1704" s="1" t="str">
        <f t="shared" si="213"/>
        <v>INCLUDED</v>
      </c>
      <c r="V1704" s="1" t="str">
        <f t="shared" si="214"/>
        <v>2026-03</v>
      </c>
      <c r="W1704" s="1">
        <f>IF(AND(U1704="INCLUDED",X1704&gt;0,EXACT(A1704,'AI output'!A1704)),1,0)</f>
        <v>1</v>
      </c>
      <c r="X1704" s="1">
        <f>1704</f>
        <v>1704</v>
      </c>
      <c r="Y1704" s="1">
        <f>IF(AND(U1704="INCLUDED",W1704=1),--(NOT(EXACT(A1704,'AI output'!A1704)))+--(NOT(EXACT(B1704,'AI output'!B1704)))+--(NOT(EXACT(TEXT(G1704,"yyyy-mm-dd"),'AI output'!C1704)))+--(NOT(EXACT(H1704,'AI output'!D1704)))+--(NOT(EXACT(J1704,'AI output'!E1704)))+--(NOT(EXACT(K1704,'AI output'!F1704)))+--(N1704&lt;&gt;'AI output'!L1704)+--(NOT('AI output'!M1704)),0)</f>
        <v>0</v>
      </c>
      <c r="Z1704" s="1">
        <f t="shared" si="215"/>
        <v>0</v>
      </c>
      <c r="AA1704" s="1">
        <f>--EXACT(A1704,"L01698")</f>
        <v>1</v>
      </c>
    </row>
    <row r="1705" spans="1:27" ht="18.95" customHeight="1">
      <c r="A1705" s="1" t="str">
        <f>IF(Raw!A1705="","",Raw!A1705)</f>
        <v>L01699</v>
      </c>
      <c r="B1705" s="1" t="str">
        <f>IF(Raw!B1705="","",Raw!B1705)</f>
        <v>T00850</v>
      </c>
      <c r="C1705" s="1" t="str">
        <f>IF(Raw!C1705="","",Raw!C1705)</f>
        <v>2026-01-04</v>
      </c>
      <c r="D1705" s="1">
        <f t="shared" si="208"/>
        <v>2026</v>
      </c>
      <c r="E1705" s="1">
        <f>IFERROR(IF(AND(LEN(C1705)=10,MID(C1705,5,1)="-",MID(C1705,8,1)="-"),VALUE(MID(C1705,6,2)),IF(AND(LEN(C1705)=11,MID(C1705,3,1)="-",MID(C1705,7,1)="-"),MATCH(UPPER(MID(C1705,4,3)),Guide!$D$7:$D$18,0),0)),0)</f>
        <v>1</v>
      </c>
      <c r="F1705" s="1">
        <f t="shared" si="209"/>
        <v>4</v>
      </c>
      <c r="G1705" s="9">
        <f t="shared" si="210"/>
        <v>46026</v>
      </c>
      <c r="H1705" s="1" t="str">
        <f>IF(Raw!D1705="","",Raw!D1705)</f>
        <v>P-A</v>
      </c>
      <c r="I1705" s="1" t="str">
        <f>IFERROR(IF(EXACT(H1705,INDEX(Guide!$A$7:$A$9,MATCH(SUBSTITUTE(SUBSTITUTE(SUBSTITUTE(H1705,"~","~~"),"*","~*"),"?","~?"),Guide!$A$7:$A$9,0))),INDEX(Guide!$B$7:$B$9,MATCH(SUBSTITUTE(SUBSTITUTE(SUBSTITUTE(H1705,"~","~~"),"*","~*"),"?","~?"),Guide!$A$7:$A$9,0)),""),"")</f>
        <v>Accessories</v>
      </c>
      <c r="J1705" s="1" t="str">
        <f>IF(TRIM(Raw!E1705)="",I1705,IF(UPPER(TRIM(Raw!E1705))=UPPER(I1705),I1705,""))</f>
        <v>Accessories</v>
      </c>
      <c r="K1705" s="1" t="str">
        <f>IF(Raw!F1705="","",Raw!F1705)</f>
        <v>sale</v>
      </c>
      <c r="L1705" s="1" t="str">
        <f>IF(LEFT(TRIM(Raw!G1705),2)="-$","-"&amp;MID(TRIM(Raw!G1705),3,99),IF(LEFT(TRIM(Raw!G1705),1)="$",MID(TRIM(Raw!G1705),2,99),TRIM(Raw!G1705)))</f>
        <v>66.50</v>
      </c>
      <c r="M1705" s="1">
        <f t="shared" si="211"/>
        <v>66.5</v>
      </c>
      <c r="N1705" s="10">
        <f t="shared" si="212"/>
        <v>6650</v>
      </c>
      <c r="O1705" s="1" t="b">
        <f>IFERROR(IF(ISNUMBER(Raw!G1705),TRUE,OR(EXACT(L1705,TEXT(M1705,"0.00")),EXACT(L1705,TEXT(M1705,"#,##0.00")))),FALSE)</f>
        <v>1</v>
      </c>
      <c r="P1705" s="1" t="str">
        <f>LEN(IF(Raw!A1705="","",Raw!A1705))&amp;":"&amp;IF(Raw!A1705="","",Raw!A1705)&amp;"|"&amp;LEN(IF(Raw!B1705="","",Raw!B1705))&amp;":"&amp;IF(Raw!B1705="","",Raw!B1705)&amp;"|"&amp;LEN(IF(Raw!C1705="","",Raw!C1705))&amp;":"&amp;IF(Raw!C1705="","",Raw!C1705)&amp;"|"&amp;LEN(IF(Raw!D1705="","",Raw!D1705))&amp;":"&amp;IF(Raw!D1705="","",Raw!D1705)&amp;"|"&amp;LEN(IF(Raw!E1705="","",Raw!E1705))&amp;":"&amp;IF(Raw!E1705="","",Raw!E1705)&amp;"|"&amp;LEN(IF(Raw!F1705="","",Raw!F1705))&amp;":"&amp;IF(Raw!F1705="","",Raw!F1705)&amp;"|"&amp;LEN(IF(Raw!G1705="","",Raw!G1705))&amp;":"&amp;IF(Raw!G1705="","",Raw!G1705)</f>
        <v>6:L01699|6:T00850|10:2026-01-04|3:P-A|11:Accessories|4:sale|5:66.50</v>
      </c>
      <c r="Q1705" s="1">
        <f>1</f>
        <v>1</v>
      </c>
      <c r="R1705" s="1" t="b">
        <f>FALSE</f>
        <v>0</v>
      </c>
      <c r="S1705" s="1">
        <f>1</f>
        <v>1</v>
      </c>
      <c r="T1705" s="1" t="str">
        <f>IF(AND(Raw!A1705="",Raw!B1705="",Raw!C1705="",Raw!D1705="",Raw!E1705="",Raw!F1705="",Raw!G1705=""),"UNUSED",IF(A1705="","missing line ID",IF(B1705="","missing transaction ID",IF(G1705="",IF(C1705="","missing date","invalid date"),IF(I1705="","unknown product",IF(J1705="","conflicting category",IF(NOT(OR(EXACT(K1705,"sale"),EXACT(K1705,"refund"))),"unknown event",IF(OR(N1705="",NOT(O1705)),"invalid amount",IF(OR(AND(K1705="sale",N1705&lt;=0),AND(K1705="refund",N1705&gt;=0)),"invalid sign","")))))))))</f>
        <v/>
      </c>
      <c r="U1705" s="1" t="str">
        <f t="shared" si="213"/>
        <v>INCLUDED</v>
      </c>
      <c r="V1705" s="1" t="str">
        <f t="shared" si="214"/>
        <v>2026-01</v>
      </c>
      <c r="W1705" s="1">
        <f>IF(AND(U1705="INCLUDED",X1705&gt;0,EXACT(A1705,'AI output'!A1705)),1,0)</f>
        <v>1</v>
      </c>
      <c r="X1705" s="1">
        <f>1705</f>
        <v>1705</v>
      </c>
      <c r="Y1705" s="1">
        <f>IF(AND(U1705="INCLUDED",W1705=1),--(NOT(EXACT(A1705,'AI output'!A1705)))+--(NOT(EXACT(B1705,'AI output'!B1705)))+--(NOT(EXACT(TEXT(G1705,"yyyy-mm-dd"),'AI output'!C1705)))+--(NOT(EXACT(H1705,'AI output'!D1705)))+--(NOT(EXACT(J1705,'AI output'!E1705)))+--(NOT(EXACT(K1705,'AI output'!F1705)))+--(N1705&lt;&gt;'AI output'!L1705)+--(NOT('AI output'!M1705)),0)</f>
        <v>0</v>
      </c>
      <c r="Z1705" s="1">
        <f t="shared" si="215"/>
        <v>0</v>
      </c>
      <c r="AA1705" s="1">
        <f>--EXACT(A1705,"L01699")</f>
        <v>1</v>
      </c>
    </row>
    <row r="1706" spans="1:27" ht="18.95" customHeight="1">
      <c r="A1706" s="1" t="str">
        <f>IF(Raw!A1706="","",Raw!A1706)</f>
        <v>L01700</v>
      </c>
      <c r="B1706" s="1" t="str">
        <f>IF(Raw!B1706="","",Raw!B1706)</f>
        <v>T00850</v>
      </c>
      <c r="C1706" s="1" t="str">
        <f>IF(Raw!C1706="","",Raw!C1706)</f>
        <v>2026-01-04</v>
      </c>
      <c r="D1706" s="1">
        <f t="shared" si="208"/>
        <v>2026</v>
      </c>
      <c r="E1706" s="1">
        <f>IFERROR(IF(AND(LEN(C1706)=10,MID(C1706,5,1)="-",MID(C1706,8,1)="-"),VALUE(MID(C1706,6,2)),IF(AND(LEN(C1706)=11,MID(C1706,3,1)="-",MID(C1706,7,1)="-"),MATCH(UPPER(MID(C1706,4,3)),Guide!$D$7:$D$18,0),0)),0)</f>
        <v>1</v>
      </c>
      <c r="F1706" s="1">
        <f t="shared" si="209"/>
        <v>4</v>
      </c>
      <c r="G1706" s="9">
        <f t="shared" si="210"/>
        <v>46026</v>
      </c>
      <c r="H1706" s="1" t="str">
        <f>IF(Raw!D1706="","",Raw!D1706)</f>
        <v>P-H</v>
      </c>
      <c r="I1706" s="1" t="str">
        <f>IFERROR(IF(EXACT(H1706,INDEX(Guide!$A$7:$A$9,MATCH(SUBSTITUTE(SUBSTITUTE(SUBSTITUTE(H1706,"~","~~"),"*","~*"),"?","~?"),Guide!$A$7:$A$9,0))),INDEX(Guide!$B$7:$B$9,MATCH(SUBSTITUTE(SUBSTITUTE(SUBSTITUTE(H1706,"~","~~"),"*","~*"),"?","~?"),Guide!$A$7:$A$9,0)),""),"")</f>
        <v>Home</v>
      </c>
      <c r="J1706" s="1" t="str">
        <f>IF(TRIM(Raw!E1706)="",I1706,IF(UPPER(TRIM(Raw!E1706))=UPPER(I1706),I1706,""))</f>
        <v>Home</v>
      </c>
      <c r="K1706" s="1" t="str">
        <f>IF(Raw!F1706="","",Raw!F1706)</f>
        <v>sale</v>
      </c>
      <c r="L1706" s="1" t="str">
        <f>IF(LEFT(TRIM(Raw!G1706),2)="-$","-"&amp;MID(TRIM(Raw!G1706),3,99),IF(LEFT(TRIM(Raw!G1706),1)="$",MID(TRIM(Raw!G1706),2,99),TRIM(Raw!G1706)))</f>
        <v>134.48</v>
      </c>
      <c r="M1706" s="1">
        <f t="shared" si="211"/>
        <v>134.47999999999999</v>
      </c>
      <c r="N1706" s="10">
        <f t="shared" si="212"/>
        <v>13448</v>
      </c>
      <c r="O1706" s="1" t="b">
        <f>IFERROR(IF(ISNUMBER(Raw!G1706),TRUE,OR(EXACT(L1706,TEXT(M1706,"0.00")),EXACT(L1706,TEXT(M1706,"#,##0.00")))),FALSE)</f>
        <v>1</v>
      </c>
      <c r="P1706" s="1" t="str">
        <f>LEN(IF(Raw!A1706="","",Raw!A1706))&amp;":"&amp;IF(Raw!A1706="","",Raw!A1706)&amp;"|"&amp;LEN(IF(Raw!B1706="","",Raw!B1706))&amp;":"&amp;IF(Raw!B1706="","",Raw!B1706)&amp;"|"&amp;LEN(IF(Raw!C1706="","",Raw!C1706))&amp;":"&amp;IF(Raw!C1706="","",Raw!C1706)&amp;"|"&amp;LEN(IF(Raw!D1706="","",Raw!D1706))&amp;":"&amp;IF(Raw!D1706="","",Raw!D1706)&amp;"|"&amp;LEN(IF(Raw!E1706="","",Raw!E1706))&amp;":"&amp;IF(Raw!E1706="","",Raw!E1706)&amp;"|"&amp;LEN(IF(Raw!F1706="","",Raw!F1706))&amp;":"&amp;IF(Raw!F1706="","",Raw!F1706)&amp;"|"&amp;LEN(IF(Raw!G1706="","",Raw!G1706))&amp;":"&amp;IF(Raw!G1706="","",Raw!G1706)</f>
        <v>6:L01700|6:T00850|10:2026-01-04|3:P-H|4:Home|4:sale|6:134.48</v>
      </c>
      <c r="Q1706" s="1">
        <f>1</f>
        <v>1</v>
      </c>
      <c r="R1706" s="1" t="b">
        <f>FALSE</f>
        <v>0</v>
      </c>
      <c r="S1706" s="1">
        <f>1</f>
        <v>1</v>
      </c>
      <c r="T1706" s="1" t="str">
        <f>IF(AND(Raw!A1706="",Raw!B1706="",Raw!C1706="",Raw!D1706="",Raw!E1706="",Raw!F1706="",Raw!G1706=""),"UNUSED",IF(A1706="","missing line ID",IF(B1706="","missing transaction ID",IF(G1706="",IF(C1706="","missing date","invalid date"),IF(I1706="","unknown product",IF(J1706="","conflicting category",IF(NOT(OR(EXACT(K1706,"sale"),EXACT(K1706,"refund"))),"unknown event",IF(OR(N1706="",NOT(O1706)),"invalid amount",IF(OR(AND(K1706="sale",N1706&lt;=0),AND(K1706="refund",N1706&gt;=0)),"invalid sign","")))))))))</f>
        <v/>
      </c>
      <c r="U1706" s="1" t="str">
        <f t="shared" si="213"/>
        <v>INCLUDED</v>
      </c>
      <c r="V1706" s="1" t="str">
        <f t="shared" si="214"/>
        <v>2026-01</v>
      </c>
      <c r="W1706" s="1">
        <f>IF(AND(U1706="INCLUDED",X1706&gt;0,EXACT(A1706,'AI output'!A1706)),1,0)</f>
        <v>1</v>
      </c>
      <c r="X1706" s="1">
        <f>1706</f>
        <v>1706</v>
      </c>
      <c r="Y1706" s="1">
        <f>IF(AND(U1706="INCLUDED",W1706=1),--(NOT(EXACT(A1706,'AI output'!A1706)))+--(NOT(EXACT(B1706,'AI output'!B1706)))+--(NOT(EXACT(TEXT(G1706,"yyyy-mm-dd"),'AI output'!C1706)))+--(NOT(EXACT(H1706,'AI output'!D1706)))+--(NOT(EXACT(J1706,'AI output'!E1706)))+--(NOT(EXACT(K1706,'AI output'!F1706)))+--(N1706&lt;&gt;'AI output'!L1706)+--(NOT('AI output'!M1706)),0)</f>
        <v>0</v>
      </c>
      <c r="Z1706" s="1">
        <f t="shared" si="215"/>
        <v>0</v>
      </c>
      <c r="AA1706" s="1">
        <f>--EXACT(A1706,"L01700")</f>
        <v>1</v>
      </c>
    </row>
    <row r="1707" spans="1:27" ht="18.95" customHeight="1">
      <c r="A1707" s="1" t="str">
        <f>IF(Raw!A1707="","",Raw!A1707)</f>
        <v>L01701</v>
      </c>
      <c r="B1707" s="1" t="str">
        <f>IF(Raw!B1707="","",Raw!B1707)</f>
        <v>T00851</v>
      </c>
      <c r="C1707" s="1" t="str">
        <f>IF(Raw!C1707="","",Raw!C1707)</f>
        <v>2026-01-11</v>
      </c>
      <c r="D1707" s="1">
        <f t="shared" si="208"/>
        <v>2026</v>
      </c>
      <c r="E1707" s="1">
        <f>IFERROR(IF(AND(LEN(C1707)=10,MID(C1707,5,1)="-",MID(C1707,8,1)="-"),VALUE(MID(C1707,6,2)),IF(AND(LEN(C1707)=11,MID(C1707,3,1)="-",MID(C1707,7,1)="-"),MATCH(UPPER(MID(C1707,4,3)),Guide!$D$7:$D$18,0),0)),0)</f>
        <v>1</v>
      </c>
      <c r="F1707" s="1">
        <f t="shared" si="209"/>
        <v>11</v>
      </c>
      <c r="G1707" s="9">
        <f t="shared" si="210"/>
        <v>46033</v>
      </c>
      <c r="H1707" s="1" t="str">
        <f>IF(Raw!D1707="","",Raw!D1707)</f>
        <v>P-O</v>
      </c>
      <c r="I1707" s="1" t="str">
        <f>IFERROR(IF(EXACT(H1707,INDEX(Guide!$A$7:$A$9,MATCH(SUBSTITUTE(SUBSTITUTE(SUBSTITUTE(H1707,"~","~~"),"*","~*"),"?","~?"),Guide!$A$7:$A$9,0))),INDEX(Guide!$B$7:$B$9,MATCH(SUBSTITUTE(SUBSTITUTE(SUBSTITUTE(H1707,"~","~~"),"*","~*"),"?","~?"),Guide!$A$7:$A$9,0)),""),"")</f>
        <v>Office</v>
      </c>
      <c r="J1707" s="1" t="str">
        <f>IF(TRIM(Raw!E1707)="",I1707,IF(UPPER(TRIM(Raw!E1707))=UPPER(I1707),I1707,""))</f>
        <v>Office</v>
      </c>
      <c r="K1707" s="1" t="str">
        <f>IF(Raw!F1707="","",Raw!F1707)</f>
        <v>sale</v>
      </c>
      <c r="L1707" s="1" t="str">
        <f>IF(LEFT(TRIM(Raw!G1707),2)="-$","-"&amp;MID(TRIM(Raw!G1707),3,99),IF(LEFT(TRIM(Raw!G1707),1)="$",MID(TRIM(Raw!G1707),2,99),TRIM(Raw!G1707)))</f>
        <v>33.99</v>
      </c>
      <c r="M1707" s="1">
        <f t="shared" si="211"/>
        <v>33.99</v>
      </c>
      <c r="N1707" s="10">
        <f t="shared" si="212"/>
        <v>3399</v>
      </c>
      <c r="O1707" s="1" t="b">
        <f>IFERROR(IF(ISNUMBER(Raw!G1707),TRUE,OR(EXACT(L1707,TEXT(M1707,"0.00")),EXACT(L1707,TEXT(M1707,"#,##0.00")))),FALSE)</f>
        <v>1</v>
      </c>
      <c r="P1707" s="1" t="str">
        <f>LEN(IF(Raw!A1707="","",Raw!A1707))&amp;":"&amp;IF(Raw!A1707="","",Raw!A1707)&amp;"|"&amp;LEN(IF(Raw!B1707="","",Raw!B1707))&amp;":"&amp;IF(Raw!B1707="","",Raw!B1707)&amp;"|"&amp;LEN(IF(Raw!C1707="","",Raw!C1707))&amp;":"&amp;IF(Raw!C1707="","",Raw!C1707)&amp;"|"&amp;LEN(IF(Raw!D1707="","",Raw!D1707))&amp;":"&amp;IF(Raw!D1707="","",Raw!D1707)&amp;"|"&amp;LEN(IF(Raw!E1707="","",Raw!E1707))&amp;":"&amp;IF(Raw!E1707="","",Raw!E1707)&amp;"|"&amp;LEN(IF(Raw!F1707="","",Raw!F1707))&amp;":"&amp;IF(Raw!F1707="","",Raw!F1707)&amp;"|"&amp;LEN(IF(Raw!G1707="","",Raw!G1707))&amp;":"&amp;IF(Raw!G1707="","",Raw!G1707)</f>
        <v>6:L01701|6:T00851|10:2026-01-11|3:P-O|6:Office|4:sale|5:33.99</v>
      </c>
      <c r="Q1707" s="1">
        <f>1</f>
        <v>1</v>
      </c>
      <c r="R1707" s="1" t="b">
        <f>FALSE</f>
        <v>0</v>
      </c>
      <c r="S1707" s="1">
        <f>1</f>
        <v>1</v>
      </c>
      <c r="T1707" s="1" t="str">
        <f>IF(AND(Raw!A1707="",Raw!B1707="",Raw!C1707="",Raw!D1707="",Raw!E1707="",Raw!F1707="",Raw!G1707=""),"UNUSED",IF(A1707="","missing line ID",IF(B1707="","missing transaction ID",IF(G1707="",IF(C1707="","missing date","invalid date"),IF(I1707="","unknown product",IF(J1707="","conflicting category",IF(NOT(OR(EXACT(K1707,"sale"),EXACT(K1707,"refund"))),"unknown event",IF(OR(N1707="",NOT(O1707)),"invalid amount",IF(OR(AND(K1707="sale",N1707&lt;=0),AND(K1707="refund",N1707&gt;=0)),"invalid sign","")))))))))</f>
        <v/>
      </c>
      <c r="U1707" s="1" t="str">
        <f t="shared" si="213"/>
        <v>INCLUDED</v>
      </c>
      <c r="V1707" s="1" t="str">
        <f t="shared" si="214"/>
        <v>2026-01</v>
      </c>
      <c r="W1707" s="1">
        <f>IF(AND(U1707="INCLUDED",X1707&gt;0,EXACT(A1707,'AI output'!A1707)),1,0)</f>
        <v>1</v>
      </c>
      <c r="X1707" s="1">
        <f>1707</f>
        <v>1707</v>
      </c>
      <c r="Y1707" s="1">
        <f>IF(AND(U1707="INCLUDED",W1707=1),--(NOT(EXACT(A1707,'AI output'!A1707)))+--(NOT(EXACT(B1707,'AI output'!B1707)))+--(NOT(EXACT(TEXT(G1707,"yyyy-mm-dd"),'AI output'!C1707)))+--(NOT(EXACT(H1707,'AI output'!D1707)))+--(NOT(EXACT(J1707,'AI output'!E1707)))+--(NOT(EXACT(K1707,'AI output'!F1707)))+--(N1707&lt;&gt;'AI output'!L1707)+--(NOT('AI output'!M1707)),0)</f>
        <v>0</v>
      </c>
      <c r="Z1707" s="1">
        <f t="shared" si="215"/>
        <v>0</v>
      </c>
      <c r="AA1707" s="1">
        <f>--EXACT(A1707,"L01701")</f>
        <v>1</v>
      </c>
    </row>
    <row r="1708" spans="1:27" ht="18.95" customHeight="1">
      <c r="A1708" s="1" t="str">
        <f>IF(Raw!A1708="","",Raw!A1708)</f>
        <v>L01702</v>
      </c>
      <c r="B1708" s="1" t="str">
        <f>IF(Raw!B1708="","",Raw!B1708)</f>
        <v>T00851</v>
      </c>
      <c r="C1708" s="1" t="str">
        <f>IF(Raw!C1708="","",Raw!C1708)</f>
        <v>2026-01-11</v>
      </c>
      <c r="D1708" s="1">
        <f t="shared" si="208"/>
        <v>2026</v>
      </c>
      <c r="E1708" s="1">
        <f>IFERROR(IF(AND(LEN(C1708)=10,MID(C1708,5,1)="-",MID(C1708,8,1)="-"),VALUE(MID(C1708,6,2)),IF(AND(LEN(C1708)=11,MID(C1708,3,1)="-",MID(C1708,7,1)="-"),MATCH(UPPER(MID(C1708,4,3)),Guide!$D$7:$D$18,0),0)),0)</f>
        <v>1</v>
      </c>
      <c r="F1708" s="1">
        <f t="shared" si="209"/>
        <v>11</v>
      </c>
      <c r="G1708" s="9">
        <f t="shared" si="210"/>
        <v>46033</v>
      </c>
      <c r="H1708" s="1" t="str">
        <f>IF(Raw!D1708="","",Raw!D1708)</f>
        <v>P-A</v>
      </c>
      <c r="I1708" s="1" t="str">
        <f>IFERROR(IF(EXACT(H1708,INDEX(Guide!$A$7:$A$9,MATCH(SUBSTITUTE(SUBSTITUTE(SUBSTITUTE(H1708,"~","~~"),"*","~*"),"?","~?"),Guide!$A$7:$A$9,0))),INDEX(Guide!$B$7:$B$9,MATCH(SUBSTITUTE(SUBSTITUTE(SUBSTITUTE(H1708,"~","~~"),"*","~*"),"?","~?"),Guide!$A$7:$A$9,0)),""),"")</f>
        <v>Accessories</v>
      </c>
      <c r="J1708" s="1" t="str">
        <f>IF(TRIM(Raw!E1708)="",I1708,IF(UPPER(TRIM(Raw!E1708))=UPPER(I1708),I1708,""))</f>
        <v>Accessories</v>
      </c>
      <c r="K1708" s="1" t="str">
        <f>IF(Raw!F1708="","",Raw!F1708)</f>
        <v>sale</v>
      </c>
      <c r="L1708" s="1" t="str">
        <f>IF(LEFT(TRIM(Raw!G1708),2)="-$","-"&amp;MID(TRIM(Raw!G1708),3,99),IF(LEFT(TRIM(Raw!G1708),1)="$",MID(TRIM(Raw!G1708),2,99),TRIM(Raw!G1708)))</f>
        <v>103.08</v>
      </c>
      <c r="M1708" s="1">
        <f t="shared" si="211"/>
        <v>103.08</v>
      </c>
      <c r="N1708" s="10">
        <f t="shared" si="212"/>
        <v>10308</v>
      </c>
      <c r="O1708" s="1" t="b">
        <f>IFERROR(IF(ISNUMBER(Raw!G1708),TRUE,OR(EXACT(L1708,TEXT(M1708,"0.00")),EXACT(L1708,TEXT(M1708,"#,##0.00")))),FALSE)</f>
        <v>1</v>
      </c>
      <c r="P1708" s="1" t="str">
        <f>LEN(IF(Raw!A1708="","",Raw!A1708))&amp;":"&amp;IF(Raw!A1708="","",Raw!A1708)&amp;"|"&amp;LEN(IF(Raw!B1708="","",Raw!B1708))&amp;":"&amp;IF(Raw!B1708="","",Raw!B1708)&amp;"|"&amp;LEN(IF(Raw!C1708="","",Raw!C1708))&amp;":"&amp;IF(Raw!C1708="","",Raw!C1708)&amp;"|"&amp;LEN(IF(Raw!D1708="","",Raw!D1708))&amp;":"&amp;IF(Raw!D1708="","",Raw!D1708)&amp;"|"&amp;LEN(IF(Raw!E1708="","",Raw!E1708))&amp;":"&amp;IF(Raw!E1708="","",Raw!E1708)&amp;"|"&amp;LEN(IF(Raw!F1708="","",Raw!F1708))&amp;":"&amp;IF(Raw!F1708="","",Raw!F1708)&amp;"|"&amp;LEN(IF(Raw!G1708="","",Raw!G1708))&amp;":"&amp;IF(Raw!G1708="","",Raw!G1708)</f>
        <v>6:L01702|6:T00851|10:2026-01-11|3:P-A|11:Accessories|4:sale|6:103.08</v>
      </c>
      <c r="Q1708" s="1">
        <f>1</f>
        <v>1</v>
      </c>
      <c r="R1708" s="1" t="b">
        <f>FALSE</f>
        <v>0</v>
      </c>
      <c r="S1708" s="1">
        <f>1</f>
        <v>1</v>
      </c>
      <c r="T1708" s="1" t="str">
        <f>IF(AND(Raw!A1708="",Raw!B1708="",Raw!C1708="",Raw!D1708="",Raw!E1708="",Raw!F1708="",Raw!G1708=""),"UNUSED",IF(A1708="","missing line ID",IF(B1708="","missing transaction ID",IF(G1708="",IF(C1708="","missing date","invalid date"),IF(I1708="","unknown product",IF(J1708="","conflicting category",IF(NOT(OR(EXACT(K1708,"sale"),EXACT(K1708,"refund"))),"unknown event",IF(OR(N1708="",NOT(O1708)),"invalid amount",IF(OR(AND(K1708="sale",N1708&lt;=0),AND(K1708="refund",N1708&gt;=0)),"invalid sign","")))))))))</f>
        <v/>
      </c>
      <c r="U1708" s="1" t="str">
        <f t="shared" si="213"/>
        <v>INCLUDED</v>
      </c>
      <c r="V1708" s="1" t="str">
        <f t="shared" si="214"/>
        <v>2026-01</v>
      </c>
      <c r="W1708" s="1">
        <f>IF(AND(U1708="INCLUDED",X1708&gt;0,EXACT(A1708,'AI output'!A1708)),1,0)</f>
        <v>1</v>
      </c>
      <c r="X1708" s="1">
        <f>1708</f>
        <v>1708</v>
      </c>
      <c r="Y1708" s="1">
        <f>IF(AND(U1708="INCLUDED",W1708=1),--(NOT(EXACT(A1708,'AI output'!A1708)))+--(NOT(EXACT(B1708,'AI output'!B1708)))+--(NOT(EXACT(TEXT(G1708,"yyyy-mm-dd"),'AI output'!C1708)))+--(NOT(EXACT(H1708,'AI output'!D1708)))+--(NOT(EXACT(J1708,'AI output'!E1708)))+--(NOT(EXACT(K1708,'AI output'!F1708)))+--(N1708&lt;&gt;'AI output'!L1708)+--(NOT('AI output'!M1708)),0)</f>
        <v>0</v>
      </c>
      <c r="Z1708" s="1">
        <f t="shared" si="215"/>
        <v>0</v>
      </c>
      <c r="AA1708" s="1">
        <f>--EXACT(A1708,"L01702")</f>
        <v>1</v>
      </c>
    </row>
    <row r="1709" spans="1:27" ht="18.95" customHeight="1">
      <c r="A1709" s="1" t="str">
        <f>IF(Raw!A1709="","",Raw!A1709)</f>
        <v>L01703</v>
      </c>
      <c r="B1709" s="1" t="str">
        <f>IF(Raw!B1709="","",Raw!B1709)</f>
        <v>T00852</v>
      </c>
      <c r="C1709" s="1" t="str">
        <f>IF(Raw!C1709="","",Raw!C1709)</f>
        <v>2026-01-18</v>
      </c>
      <c r="D1709" s="1">
        <f t="shared" si="208"/>
        <v>2026</v>
      </c>
      <c r="E1709" s="1">
        <f>IFERROR(IF(AND(LEN(C1709)=10,MID(C1709,5,1)="-",MID(C1709,8,1)="-"),VALUE(MID(C1709,6,2)),IF(AND(LEN(C1709)=11,MID(C1709,3,1)="-",MID(C1709,7,1)="-"),MATCH(UPPER(MID(C1709,4,3)),Guide!$D$7:$D$18,0),0)),0)</f>
        <v>1</v>
      </c>
      <c r="F1709" s="1">
        <f t="shared" si="209"/>
        <v>18</v>
      </c>
      <c r="G1709" s="9">
        <f t="shared" si="210"/>
        <v>46040</v>
      </c>
      <c r="H1709" s="1" t="str">
        <f>IF(Raw!D1709="","",Raw!D1709)</f>
        <v>P-H</v>
      </c>
      <c r="I1709" s="1" t="str">
        <f>IFERROR(IF(EXACT(H1709,INDEX(Guide!$A$7:$A$9,MATCH(SUBSTITUTE(SUBSTITUTE(SUBSTITUTE(H1709,"~","~~"),"*","~*"),"?","~?"),Guide!$A$7:$A$9,0))),INDEX(Guide!$B$7:$B$9,MATCH(SUBSTITUTE(SUBSTITUTE(SUBSTITUTE(H1709,"~","~~"),"*","~*"),"?","~?"),Guide!$A$7:$A$9,0)),""),"")</f>
        <v>Home</v>
      </c>
      <c r="J1709" s="1" t="str">
        <f>IF(TRIM(Raw!E1709)="",I1709,IF(UPPER(TRIM(Raw!E1709))=UPPER(I1709),I1709,""))</f>
        <v>Home</v>
      </c>
      <c r="K1709" s="1" t="str">
        <f>IF(Raw!F1709="","",Raw!F1709)</f>
        <v>refund</v>
      </c>
      <c r="L1709" s="1" t="str">
        <f>IF(LEFT(TRIM(Raw!G1709),2)="-$","-"&amp;MID(TRIM(Raw!G1709),3,99),IF(LEFT(TRIM(Raw!G1709),1)="$",MID(TRIM(Raw!G1709),2,99),TRIM(Raw!G1709)))</f>
        <v>-173.65</v>
      </c>
      <c r="M1709" s="1">
        <f t="shared" si="211"/>
        <v>-173.65</v>
      </c>
      <c r="N1709" s="10">
        <f t="shared" si="212"/>
        <v>-17365</v>
      </c>
      <c r="O1709" s="1" t="b">
        <f>IFERROR(IF(ISNUMBER(Raw!G1709),TRUE,OR(EXACT(L1709,TEXT(M1709,"0.00")),EXACT(L1709,TEXT(M1709,"#,##0.00")))),FALSE)</f>
        <v>1</v>
      </c>
      <c r="P1709" s="1" t="str">
        <f>LEN(IF(Raw!A1709="","",Raw!A1709))&amp;":"&amp;IF(Raw!A1709="","",Raw!A1709)&amp;"|"&amp;LEN(IF(Raw!B1709="","",Raw!B1709))&amp;":"&amp;IF(Raw!B1709="","",Raw!B1709)&amp;"|"&amp;LEN(IF(Raw!C1709="","",Raw!C1709))&amp;":"&amp;IF(Raw!C1709="","",Raw!C1709)&amp;"|"&amp;LEN(IF(Raw!D1709="","",Raw!D1709))&amp;":"&amp;IF(Raw!D1709="","",Raw!D1709)&amp;"|"&amp;LEN(IF(Raw!E1709="","",Raw!E1709))&amp;":"&amp;IF(Raw!E1709="","",Raw!E1709)&amp;"|"&amp;LEN(IF(Raw!F1709="","",Raw!F1709))&amp;":"&amp;IF(Raw!F1709="","",Raw!F1709)&amp;"|"&amp;LEN(IF(Raw!G1709="","",Raw!G1709))&amp;":"&amp;IF(Raw!G1709="","",Raw!G1709)</f>
        <v>6:L01703|6:T00852|10:2026-01-18|3:P-H|4:Home|6:refund|7:-173.65</v>
      </c>
      <c r="Q1709" s="1">
        <f>1</f>
        <v>1</v>
      </c>
      <c r="R1709" s="1" t="b">
        <f>FALSE</f>
        <v>0</v>
      </c>
      <c r="S1709" s="1">
        <f>1</f>
        <v>1</v>
      </c>
      <c r="T1709" s="1" t="str">
        <f>IF(AND(Raw!A1709="",Raw!B1709="",Raw!C1709="",Raw!D1709="",Raw!E1709="",Raw!F1709="",Raw!G1709=""),"UNUSED",IF(A1709="","missing line ID",IF(B1709="","missing transaction ID",IF(G1709="",IF(C1709="","missing date","invalid date"),IF(I1709="","unknown product",IF(J1709="","conflicting category",IF(NOT(OR(EXACT(K1709,"sale"),EXACT(K1709,"refund"))),"unknown event",IF(OR(N1709="",NOT(O1709)),"invalid amount",IF(OR(AND(K1709="sale",N1709&lt;=0),AND(K1709="refund",N1709&gt;=0)),"invalid sign","")))))))))</f>
        <v/>
      </c>
      <c r="U1709" s="1" t="str">
        <f t="shared" si="213"/>
        <v>INCLUDED</v>
      </c>
      <c r="V1709" s="1" t="str">
        <f t="shared" si="214"/>
        <v>2026-01</v>
      </c>
      <c r="W1709" s="1">
        <f>IF(AND(U1709="INCLUDED",X1709&gt;0,EXACT(A1709,'AI output'!A1709)),1,0)</f>
        <v>1</v>
      </c>
      <c r="X1709" s="1">
        <f>1709</f>
        <v>1709</v>
      </c>
      <c r="Y1709" s="1">
        <f>IF(AND(U1709="INCLUDED",W1709=1),--(NOT(EXACT(A1709,'AI output'!A1709)))+--(NOT(EXACT(B1709,'AI output'!B1709)))+--(NOT(EXACT(TEXT(G1709,"yyyy-mm-dd"),'AI output'!C1709)))+--(NOT(EXACT(H1709,'AI output'!D1709)))+--(NOT(EXACT(J1709,'AI output'!E1709)))+--(NOT(EXACT(K1709,'AI output'!F1709)))+--(N1709&lt;&gt;'AI output'!L1709)+--(NOT('AI output'!M1709)),0)</f>
        <v>0</v>
      </c>
      <c r="Z1709" s="1">
        <f t="shared" si="215"/>
        <v>0</v>
      </c>
      <c r="AA1709" s="1">
        <f>--EXACT(A1709,"L01703")</f>
        <v>1</v>
      </c>
    </row>
    <row r="1710" spans="1:27" ht="18.95" customHeight="1">
      <c r="A1710" s="1" t="str">
        <f>IF(Raw!A1710="","",Raw!A1710)</f>
        <v>L01704</v>
      </c>
      <c r="B1710" s="1" t="str">
        <f>IF(Raw!B1710="","",Raw!B1710)</f>
        <v>T00852</v>
      </c>
      <c r="C1710" s="1" t="str">
        <f>IF(Raw!C1710="","",Raw!C1710)</f>
        <v>2026-01-18</v>
      </c>
      <c r="D1710" s="1">
        <f t="shared" si="208"/>
        <v>2026</v>
      </c>
      <c r="E1710" s="1">
        <f>IFERROR(IF(AND(LEN(C1710)=10,MID(C1710,5,1)="-",MID(C1710,8,1)="-"),VALUE(MID(C1710,6,2)),IF(AND(LEN(C1710)=11,MID(C1710,3,1)="-",MID(C1710,7,1)="-"),MATCH(UPPER(MID(C1710,4,3)),Guide!$D$7:$D$18,0),0)),0)</f>
        <v>1</v>
      </c>
      <c r="F1710" s="1">
        <f t="shared" si="209"/>
        <v>18</v>
      </c>
      <c r="G1710" s="9">
        <f t="shared" si="210"/>
        <v>46040</v>
      </c>
      <c r="H1710" s="1" t="str">
        <f>IF(Raw!D1710="","",Raw!D1710)</f>
        <v>P-O</v>
      </c>
      <c r="I1710" s="1" t="str">
        <f>IFERROR(IF(EXACT(H1710,INDEX(Guide!$A$7:$A$9,MATCH(SUBSTITUTE(SUBSTITUTE(SUBSTITUTE(H1710,"~","~~"),"*","~*"),"?","~?"),Guide!$A$7:$A$9,0))),INDEX(Guide!$B$7:$B$9,MATCH(SUBSTITUTE(SUBSTITUTE(SUBSTITUTE(H1710,"~","~~"),"*","~*"),"?","~?"),Guide!$A$7:$A$9,0)),""),"")</f>
        <v>Office</v>
      </c>
      <c r="J1710" s="1" t="str">
        <f>IF(TRIM(Raw!E1710)="",I1710,IF(UPPER(TRIM(Raw!E1710))=UPPER(I1710),I1710,""))</f>
        <v>Office</v>
      </c>
      <c r="K1710" s="1" t="str">
        <f>IF(Raw!F1710="","",Raw!F1710)</f>
        <v>sale</v>
      </c>
      <c r="L1710" s="1" t="str">
        <f>IF(LEFT(TRIM(Raw!G1710),2)="-$","-"&amp;MID(TRIM(Raw!G1710),3,99),IF(LEFT(TRIM(Raw!G1710),1)="$",MID(TRIM(Raw!G1710),2,99),TRIM(Raw!G1710)))</f>
        <v>70.20</v>
      </c>
      <c r="M1710" s="1">
        <f t="shared" si="211"/>
        <v>70.2</v>
      </c>
      <c r="N1710" s="10">
        <f t="shared" si="212"/>
        <v>7020</v>
      </c>
      <c r="O1710" s="1" t="b">
        <f>IFERROR(IF(ISNUMBER(Raw!G1710),TRUE,OR(EXACT(L1710,TEXT(M1710,"0.00")),EXACT(L1710,TEXT(M1710,"#,##0.00")))),FALSE)</f>
        <v>1</v>
      </c>
      <c r="P1710" s="1" t="str">
        <f>LEN(IF(Raw!A1710="","",Raw!A1710))&amp;":"&amp;IF(Raw!A1710="","",Raw!A1710)&amp;"|"&amp;LEN(IF(Raw!B1710="","",Raw!B1710))&amp;":"&amp;IF(Raw!B1710="","",Raw!B1710)&amp;"|"&amp;LEN(IF(Raw!C1710="","",Raw!C1710))&amp;":"&amp;IF(Raw!C1710="","",Raw!C1710)&amp;"|"&amp;LEN(IF(Raw!D1710="","",Raw!D1710))&amp;":"&amp;IF(Raw!D1710="","",Raw!D1710)&amp;"|"&amp;LEN(IF(Raw!E1710="","",Raw!E1710))&amp;":"&amp;IF(Raw!E1710="","",Raw!E1710)&amp;"|"&amp;LEN(IF(Raw!F1710="","",Raw!F1710))&amp;":"&amp;IF(Raw!F1710="","",Raw!F1710)&amp;"|"&amp;LEN(IF(Raw!G1710="","",Raw!G1710))&amp;":"&amp;IF(Raw!G1710="","",Raw!G1710)</f>
        <v>6:L01704|6:T00852|10:2026-01-18|3:P-O|6:Office|4:sale|5:70.20</v>
      </c>
      <c r="Q1710" s="1">
        <f>1</f>
        <v>1</v>
      </c>
      <c r="R1710" s="1" t="b">
        <f>FALSE</f>
        <v>0</v>
      </c>
      <c r="S1710" s="1">
        <f>1</f>
        <v>1</v>
      </c>
      <c r="T1710" s="1" t="str">
        <f>IF(AND(Raw!A1710="",Raw!B1710="",Raw!C1710="",Raw!D1710="",Raw!E1710="",Raw!F1710="",Raw!G1710=""),"UNUSED",IF(A1710="","missing line ID",IF(B1710="","missing transaction ID",IF(G1710="",IF(C1710="","missing date","invalid date"),IF(I1710="","unknown product",IF(J1710="","conflicting category",IF(NOT(OR(EXACT(K1710,"sale"),EXACT(K1710,"refund"))),"unknown event",IF(OR(N1710="",NOT(O1710)),"invalid amount",IF(OR(AND(K1710="sale",N1710&lt;=0),AND(K1710="refund",N1710&gt;=0)),"invalid sign","")))))))))</f>
        <v/>
      </c>
      <c r="U1710" s="1" t="str">
        <f t="shared" si="213"/>
        <v>INCLUDED</v>
      </c>
      <c r="V1710" s="1" t="str">
        <f t="shared" si="214"/>
        <v>2026-01</v>
      </c>
      <c r="W1710" s="1">
        <f>IF(AND(U1710="INCLUDED",X1710&gt;0,EXACT(A1710,'AI output'!A1710)),1,0)</f>
        <v>1</v>
      </c>
      <c r="X1710" s="1">
        <f>1710</f>
        <v>1710</v>
      </c>
      <c r="Y1710" s="1">
        <f>IF(AND(U1710="INCLUDED",W1710=1),--(NOT(EXACT(A1710,'AI output'!A1710)))+--(NOT(EXACT(B1710,'AI output'!B1710)))+--(NOT(EXACT(TEXT(G1710,"yyyy-mm-dd"),'AI output'!C1710)))+--(NOT(EXACT(H1710,'AI output'!D1710)))+--(NOT(EXACT(J1710,'AI output'!E1710)))+--(NOT(EXACT(K1710,'AI output'!F1710)))+--(N1710&lt;&gt;'AI output'!L1710)+--(NOT('AI output'!M1710)),0)</f>
        <v>0</v>
      </c>
      <c r="Z1710" s="1">
        <f t="shared" si="215"/>
        <v>0</v>
      </c>
      <c r="AA1710" s="1">
        <f>--EXACT(A1710,"L01704")</f>
        <v>1</v>
      </c>
    </row>
    <row r="1711" spans="1:27" ht="18.95" customHeight="1">
      <c r="A1711" s="1" t="str">
        <f>IF(Raw!A1711="","",Raw!A1711)</f>
        <v>L01705</v>
      </c>
      <c r="B1711" s="1" t="str">
        <f>IF(Raw!B1711="","",Raw!B1711)</f>
        <v>T00853</v>
      </c>
      <c r="C1711" s="1" t="str">
        <f>IF(Raw!C1711="","",Raw!C1711)</f>
        <v>2026-01-25</v>
      </c>
      <c r="D1711" s="1">
        <f t="shared" si="208"/>
        <v>2026</v>
      </c>
      <c r="E1711" s="1">
        <f>IFERROR(IF(AND(LEN(C1711)=10,MID(C1711,5,1)="-",MID(C1711,8,1)="-"),VALUE(MID(C1711,6,2)),IF(AND(LEN(C1711)=11,MID(C1711,3,1)="-",MID(C1711,7,1)="-"),MATCH(UPPER(MID(C1711,4,3)),Guide!$D$7:$D$18,0),0)),0)</f>
        <v>1</v>
      </c>
      <c r="F1711" s="1">
        <f t="shared" si="209"/>
        <v>25</v>
      </c>
      <c r="G1711" s="9">
        <f t="shared" si="210"/>
        <v>46047</v>
      </c>
      <c r="H1711" s="1" t="str">
        <f>IF(Raw!D1711="","",Raw!D1711)</f>
        <v>P-A</v>
      </c>
      <c r="I1711" s="1" t="str">
        <f>IFERROR(IF(EXACT(H1711,INDEX(Guide!$A$7:$A$9,MATCH(SUBSTITUTE(SUBSTITUTE(SUBSTITUTE(H1711,"~","~~"),"*","~*"),"?","~?"),Guide!$A$7:$A$9,0))),INDEX(Guide!$B$7:$B$9,MATCH(SUBSTITUTE(SUBSTITUTE(SUBSTITUTE(H1711,"~","~~"),"*","~*"),"?","~?"),Guide!$A$7:$A$9,0)),""),"")</f>
        <v>Accessories</v>
      </c>
      <c r="J1711" s="1" t="str">
        <f>IF(TRIM(Raw!E1711)="",I1711,IF(UPPER(TRIM(Raw!E1711))=UPPER(I1711),I1711,""))</f>
        <v>Accessories</v>
      </c>
      <c r="K1711" s="1" t="str">
        <f>IF(Raw!F1711="","",Raw!F1711)</f>
        <v>sale</v>
      </c>
      <c r="L1711" s="1" t="str">
        <f>IF(LEFT(TRIM(Raw!G1711),2)="-$","-"&amp;MID(TRIM(Raw!G1711),3,99),IF(LEFT(TRIM(Raw!G1711),1)="$",MID(TRIM(Raw!G1711),2,99),TRIM(Raw!G1711)))</f>
        <v>141.88</v>
      </c>
      <c r="M1711" s="1">
        <f t="shared" si="211"/>
        <v>141.88</v>
      </c>
      <c r="N1711" s="10">
        <f t="shared" si="212"/>
        <v>14188</v>
      </c>
      <c r="O1711" s="1" t="b">
        <f>IFERROR(IF(ISNUMBER(Raw!G1711),TRUE,OR(EXACT(L1711,TEXT(M1711,"0.00")),EXACT(L1711,TEXT(M1711,"#,##0.00")))),FALSE)</f>
        <v>1</v>
      </c>
      <c r="P1711" s="1" t="str">
        <f>LEN(IF(Raw!A1711="","",Raw!A1711))&amp;":"&amp;IF(Raw!A1711="","",Raw!A1711)&amp;"|"&amp;LEN(IF(Raw!B1711="","",Raw!B1711))&amp;":"&amp;IF(Raw!B1711="","",Raw!B1711)&amp;"|"&amp;LEN(IF(Raw!C1711="","",Raw!C1711))&amp;":"&amp;IF(Raw!C1711="","",Raw!C1711)&amp;"|"&amp;LEN(IF(Raw!D1711="","",Raw!D1711))&amp;":"&amp;IF(Raw!D1711="","",Raw!D1711)&amp;"|"&amp;LEN(IF(Raw!E1711="","",Raw!E1711))&amp;":"&amp;IF(Raw!E1711="","",Raw!E1711)&amp;"|"&amp;LEN(IF(Raw!F1711="","",Raw!F1711))&amp;":"&amp;IF(Raw!F1711="","",Raw!F1711)&amp;"|"&amp;LEN(IF(Raw!G1711="","",Raw!G1711))&amp;":"&amp;IF(Raw!G1711="","",Raw!G1711)</f>
        <v>6:L01705|6:T00853|10:2026-01-25|3:P-A|11:Accessories|4:sale|6:141.88</v>
      </c>
      <c r="Q1711" s="1">
        <f>1</f>
        <v>1</v>
      </c>
      <c r="R1711" s="1" t="b">
        <f>FALSE</f>
        <v>0</v>
      </c>
      <c r="S1711" s="1">
        <f>1</f>
        <v>1</v>
      </c>
      <c r="T1711" s="1" t="str">
        <f>IF(AND(Raw!A1711="",Raw!B1711="",Raw!C1711="",Raw!D1711="",Raw!E1711="",Raw!F1711="",Raw!G1711=""),"UNUSED",IF(A1711="","missing line ID",IF(B1711="","missing transaction ID",IF(G1711="",IF(C1711="","missing date","invalid date"),IF(I1711="","unknown product",IF(J1711="","conflicting category",IF(NOT(OR(EXACT(K1711,"sale"),EXACT(K1711,"refund"))),"unknown event",IF(OR(N1711="",NOT(O1711)),"invalid amount",IF(OR(AND(K1711="sale",N1711&lt;=0),AND(K1711="refund",N1711&gt;=0)),"invalid sign","")))))))))</f>
        <v/>
      </c>
      <c r="U1711" s="1" t="str">
        <f t="shared" si="213"/>
        <v>INCLUDED</v>
      </c>
      <c r="V1711" s="1" t="str">
        <f t="shared" si="214"/>
        <v>2026-01</v>
      </c>
      <c r="W1711" s="1">
        <f>IF(AND(U1711="INCLUDED",X1711&gt;0,EXACT(A1711,'AI output'!A1711)),1,0)</f>
        <v>1</v>
      </c>
      <c r="X1711" s="1">
        <f>1711</f>
        <v>1711</v>
      </c>
      <c r="Y1711" s="1">
        <f>IF(AND(U1711="INCLUDED",W1711=1),--(NOT(EXACT(A1711,'AI output'!A1711)))+--(NOT(EXACT(B1711,'AI output'!B1711)))+--(NOT(EXACT(TEXT(G1711,"yyyy-mm-dd"),'AI output'!C1711)))+--(NOT(EXACT(H1711,'AI output'!D1711)))+--(NOT(EXACT(J1711,'AI output'!E1711)))+--(NOT(EXACT(K1711,'AI output'!F1711)))+--(N1711&lt;&gt;'AI output'!L1711)+--(NOT('AI output'!M1711)),0)</f>
        <v>0</v>
      </c>
      <c r="Z1711" s="1">
        <f t="shared" si="215"/>
        <v>0</v>
      </c>
      <c r="AA1711" s="1">
        <f>--EXACT(A1711,"L01705")</f>
        <v>1</v>
      </c>
    </row>
    <row r="1712" spans="1:27" ht="18.95" customHeight="1">
      <c r="A1712" s="1" t="str">
        <f>IF(Raw!A1712="","",Raw!A1712)</f>
        <v>L01706</v>
      </c>
      <c r="B1712" s="1" t="str">
        <f>IF(Raw!B1712="","",Raw!B1712)</f>
        <v>T00853</v>
      </c>
      <c r="C1712" s="1" t="str">
        <f>IF(Raw!C1712="","",Raw!C1712)</f>
        <v>2026-01-25</v>
      </c>
      <c r="D1712" s="1">
        <f t="shared" si="208"/>
        <v>2026</v>
      </c>
      <c r="E1712" s="1">
        <f>IFERROR(IF(AND(LEN(C1712)=10,MID(C1712,5,1)="-",MID(C1712,8,1)="-"),VALUE(MID(C1712,6,2)),IF(AND(LEN(C1712)=11,MID(C1712,3,1)="-",MID(C1712,7,1)="-"),MATCH(UPPER(MID(C1712,4,3)),Guide!$D$7:$D$18,0),0)),0)</f>
        <v>1</v>
      </c>
      <c r="F1712" s="1">
        <f t="shared" si="209"/>
        <v>25</v>
      </c>
      <c r="G1712" s="9">
        <f t="shared" si="210"/>
        <v>46047</v>
      </c>
      <c r="H1712" s="1" t="str">
        <f>IF(Raw!D1712="","",Raw!D1712)</f>
        <v>P-H</v>
      </c>
      <c r="I1712" s="1" t="str">
        <f>IFERROR(IF(EXACT(H1712,INDEX(Guide!$A$7:$A$9,MATCH(SUBSTITUTE(SUBSTITUTE(SUBSTITUTE(H1712,"~","~~"),"*","~*"),"?","~?"),Guide!$A$7:$A$9,0))),INDEX(Guide!$B$7:$B$9,MATCH(SUBSTITUTE(SUBSTITUTE(SUBSTITUTE(H1712,"~","~~"),"*","~*"),"?","~?"),Guide!$A$7:$A$9,0)),""),"")</f>
        <v>Home</v>
      </c>
      <c r="J1712" s="1" t="str">
        <f>IF(TRIM(Raw!E1712)="",I1712,IF(UPPER(TRIM(Raw!E1712))=UPPER(I1712),I1712,""))</f>
        <v>Home</v>
      </c>
      <c r="K1712" s="1" t="str">
        <f>IF(Raw!F1712="","",Raw!F1712)</f>
        <v>sale</v>
      </c>
      <c r="L1712" s="1" t="str">
        <f>IF(LEFT(TRIM(Raw!G1712),2)="-$","-"&amp;MID(TRIM(Raw!G1712),3,99),IF(LEFT(TRIM(Raw!G1712),1)="$",MID(TRIM(Raw!G1712),2,99),TRIM(Raw!G1712)))</f>
        <v>35.84</v>
      </c>
      <c r="M1712" s="1">
        <f t="shared" si="211"/>
        <v>35.840000000000003</v>
      </c>
      <c r="N1712" s="10">
        <f t="shared" si="212"/>
        <v>3584</v>
      </c>
      <c r="O1712" s="1" t="b">
        <f>IFERROR(IF(ISNUMBER(Raw!G1712),TRUE,OR(EXACT(L1712,TEXT(M1712,"0.00")),EXACT(L1712,TEXT(M1712,"#,##0.00")))),FALSE)</f>
        <v>1</v>
      </c>
      <c r="P1712" s="1" t="str">
        <f>LEN(IF(Raw!A1712="","",Raw!A1712))&amp;":"&amp;IF(Raw!A1712="","",Raw!A1712)&amp;"|"&amp;LEN(IF(Raw!B1712="","",Raw!B1712))&amp;":"&amp;IF(Raw!B1712="","",Raw!B1712)&amp;"|"&amp;LEN(IF(Raw!C1712="","",Raw!C1712))&amp;":"&amp;IF(Raw!C1712="","",Raw!C1712)&amp;"|"&amp;LEN(IF(Raw!D1712="","",Raw!D1712))&amp;":"&amp;IF(Raw!D1712="","",Raw!D1712)&amp;"|"&amp;LEN(IF(Raw!E1712="","",Raw!E1712))&amp;":"&amp;IF(Raw!E1712="","",Raw!E1712)&amp;"|"&amp;LEN(IF(Raw!F1712="","",Raw!F1712))&amp;":"&amp;IF(Raw!F1712="","",Raw!F1712)&amp;"|"&amp;LEN(IF(Raw!G1712="","",Raw!G1712))&amp;":"&amp;IF(Raw!G1712="","",Raw!G1712)</f>
        <v>6:L01706|6:T00853|10:2026-01-25|3:P-H|4:Home|4:sale|5:35.84</v>
      </c>
      <c r="Q1712" s="1">
        <f>1</f>
        <v>1</v>
      </c>
      <c r="R1712" s="1" t="b">
        <f>FALSE</f>
        <v>0</v>
      </c>
      <c r="S1712" s="1">
        <f>1</f>
        <v>1</v>
      </c>
      <c r="T1712" s="1" t="str">
        <f>IF(AND(Raw!A1712="",Raw!B1712="",Raw!C1712="",Raw!D1712="",Raw!E1712="",Raw!F1712="",Raw!G1712=""),"UNUSED",IF(A1712="","missing line ID",IF(B1712="","missing transaction ID",IF(G1712="",IF(C1712="","missing date","invalid date"),IF(I1712="","unknown product",IF(J1712="","conflicting category",IF(NOT(OR(EXACT(K1712,"sale"),EXACT(K1712,"refund"))),"unknown event",IF(OR(N1712="",NOT(O1712)),"invalid amount",IF(OR(AND(K1712="sale",N1712&lt;=0),AND(K1712="refund",N1712&gt;=0)),"invalid sign","")))))))))</f>
        <v/>
      </c>
      <c r="U1712" s="1" t="str">
        <f t="shared" si="213"/>
        <v>INCLUDED</v>
      </c>
      <c r="V1712" s="1" t="str">
        <f t="shared" si="214"/>
        <v>2026-01</v>
      </c>
      <c r="W1712" s="1">
        <f>IF(AND(U1712="INCLUDED",X1712&gt;0,EXACT(A1712,'AI output'!A1712)),1,0)</f>
        <v>1</v>
      </c>
      <c r="X1712" s="1">
        <f>1712</f>
        <v>1712</v>
      </c>
      <c r="Y1712" s="1">
        <f>IF(AND(U1712="INCLUDED",W1712=1),--(NOT(EXACT(A1712,'AI output'!A1712)))+--(NOT(EXACT(B1712,'AI output'!B1712)))+--(NOT(EXACT(TEXT(G1712,"yyyy-mm-dd"),'AI output'!C1712)))+--(NOT(EXACT(H1712,'AI output'!D1712)))+--(NOT(EXACT(J1712,'AI output'!E1712)))+--(NOT(EXACT(K1712,'AI output'!F1712)))+--(N1712&lt;&gt;'AI output'!L1712)+--(NOT('AI output'!M1712)),0)</f>
        <v>0</v>
      </c>
      <c r="Z1712" s="1">
        <f t="shared" si="215"/>
        <v>0</v>
      </c>
      <c r="AA1712" s="1">
        <f>--EXACT(A1712,"L01706")</f>
        <v>1</v>
      </c>
    </row>
    <row r="1713" spans="1:27" ht="18.95" customHeight="1">
      <c r="A1713" s="1" t="str">
        <f>IF(Raw!A1713="","",Raw!A1713)</f>
        <v>L01707</v>
      </c>
      <c r="B1713" s="1" t="str">
        <f>IF(Raw!B1713="","",Raw!B1713)</f>
        <v>T00854</v>
      </c>
      <c r="C1713" s="1" t="str">
        <f>IF(Raw!C1713="","",Raw!C1713)</f>
        <v>2026-02-01</v>
      </c>
      <c r="D1713" s="1">
        <f t="shared" si="208"/>
        <v>2026</v>
      </c>
      <c r="E1713" s="1">
        <f>IFERROR(IF(AND(LEN(C1713)=10,MID(C1713,5,1)="-",MID(C1713,8,1)="-"),VALUE(MID(C1713,6,2)),IF(AND(LEN(C1713)=11,MID(C1713,3,1)="-",MID(C1713,7,1)="-"),MATCH(UPPER(MID(C1713,4,3)),Guide!$D$7:$D$18,0),0)),0)</f>
        <v>2</v>
      </c>
      <c r="F1713" s="1">
        <f t="shared" si="209"/>
        <v>1</v>
      </c>
      <c r="G1713" s="9">
        <f t="shared" si="210"/>
        <v>46054</v>
      </c>
      <c r="H1713" s="1" t="str">
        <f>IF(Raw!D1713="","",Raw!D1713)</f>
        <v>P-O</v>
      </c>
      <c r="I1713" s="1" t="str">
        <f>IFERROR(IF(EXACT(H1713,INDEX(Guide!$A$7:$A$9,MATCH(SUBSTITUTE(SUBSTITUTE(SUBSTITUTE(H1713,"~","~~"),"*","~*"),"?","~?"),Guide!$A$7:$A$9,0))),INDEX(Guide!$B$7:$B$9,MATCH(SUBSTITUTE(SUBSTITUTE(SUBSTITUTE(H1713,"~","~~"),"*","~*"),"?","~?"),Guide!$A$7:$A$9,0)),""),"")</f>
        <v>Office</v>
      </c>
      <c r="J1713" s="1" t="str">
        <f>IF(TRIM(Raw!E1713)="",I1713,IF(UPPER(TRIM(Raw!E1713))=UPPER(I1713),I1713,""))</f>
        <v>Office</v>
      </c>
      <c r="K1713" s="1" t="str">
        <f>IF(Raw!F1713="","",Raw!F1713)</f>
        <v>sale</v>
      </c>
      <c r="L1713" s="1" t="str">
        <f>IF(LEFT(TRIM(Raw!G1713),2)="-$","-"&amp;MID(TRIM(Raw!G1713),3,99),IF(LEFT(TRIM(Raw!G1713),1)="$",MID(TRIM(Raw!G1713),2,99),TRIM(Raw!G1713)))</f>
        <v>108.63</v>
      </c>
      <c r="M1713" s="1">
        <f t="shared" si="211"/>
        <v>108.63</v>
      </c>
      <c r="N1713" s="10">
        <f t="shared" si="212"/>
        <v>10863</v>
      </c>
      <c r="O1713" s="1" t="b">
        <f>IFERROR(IF(ISNUMBER(Raw!G1713),TRUE,OR(EXACT(L1713,TEXT(M1713,"0.00")),EXACT(L1713,TEXT(M1713,"#,##0.00")))),FALSE)</f>
        <v>1</v>
      </c>
      <c r="P1713" s="1" t="str">
        <f>LEN(IF(Raw!A1713="","",Raw!A1713))&amp;":"&amp;IF(Raw!A1713="","",Raw!A1713)&amp;"|"&amp;LEN(IF(Raw!B1713="","",Raw!B1713))&amp;":"&amp;IF(Raw!B1713="","",Raw!B1713)&amp;"|"&amp;LEN(IF(Raw!C1713="","",Raw!C1713))&amp;":"&amp;IF(Raw!C1713="","",Raw!C1713)&amp;"|"&amp;LEN(IF(Raw!D1713="","",Raw!D1713))&amp;":"&amp;IF(Raw!D1713="","",Raw!D1713)&amp;"|"&amp;LEN(IF(Raw!E1713="","",Raw!E1713))&amp;":"&amp;IF(Raw!E1713="","",Raw!E1713)&amp;"|"&amp;LEN(IF(Raw!F1713="","",Raw!F1713))&amp;":"&amp;IF(Raw!F1713="","",Raw!F1713)&amp;"|"&amp;LEN(IF(Raw!G1713="","",Raw!G1713))&amp;":"&amp;IF(Raw!G1713="","",Raw!G1713)</f>
        <v>6:L01707|6:T00854|10:2026-02-01|3:P-O|6:Office|4:sale|6:108.63</v>
      </c>
      <c r="Q1713" s="1">
        <f>1</f>
        <v>1</v>
      </c>
      <c r="R1713" s="1" t="b">
        <f>FALSE</f>
        <v>0</v>
      </c>
      <c r="S1713" s="1">
        <f>1</f>
        <v>1</v>
      </c>
      <c r="T1713" s="1" t="str">
        <f>IF(AND(Raw!A1713="",Raw!B1713="",Raw!C1713="",Raw!D1713="",Raw!E1713="",Raw!F1713="",Raw!G1713=""),"UNUSED",IF(A1713="","missing line ID",IF(B1713="","missing transaction ID",IF(G1713="",IF(C1713="","missing date","invalid date"),IF(I1713="","unknown product",IF(J1713="","conflicting category",IF(NOT(OR(EXACT(K1713,"sale"),EXACT(K1713,"refund"))),"unknown event",IF(OR(N1713="",NOT(O1713)),"invalid amount",IF(OR(AND(K1713="sale",N1713&lt;=0),AND(K1713="refund",N1713&gt;=0)),"invalid sign","")))))))))</f>
        <v/>
      </c>
      <c r="U1713" s="1" t="str">
        <f t="shared" si="213"/>
        <v>INCLUDED</v>
      </c>
      <c r="V1713" s="1" t="str">
        <f t="shared" si="214"/>
        <v>2026-02</v>
      </c>
      <c r="W1713" s="1">
        <f>IF(AND(U1713="INCLUDED",X1713&gt;0,EXACT(A1713,'AI output'!A1713)),1,0)</f>
        <v>1</v>
      </c>
      <c r="X1713" s="1">
        <f>1713</f>
        <v>1713</v>
      </c>
      <c r="Y1713" s="1">
        <f>IF(AND(U1713="INCLUDED",W1713=1),--(NOT(EXACT(A1713,'AI output'!A1713)))+--(NOT(EXACT(B1713,'AI output'!B1713)))+--(NOT(EXACT(TEXT(G1713,"yyyy-mm-dd"),'AI output'!C1713)))+--(NOT(EXACT(H1713,'AI output'!D1713)))+--(NOT(EXACT(J1713,'AI output'!E1713)))+--(NOT(EXACT(K1713,'AI output'!F1713)))+--(N1713&lt;&gt;'AI output'!L1713)+--(NOT('AI output'!M1713)),0)</f>
        <v>0</v>
      </c>
      <c r="Z1713" s="1">
        <f t="shared" si="215"/>
        <v>0</v>
      </c>
      <c r="AA1713" s="1">
        <f>--EXACT(A1713,"L01707")</f>
        <v>1</v>
      </c>
    </row>
    <row r="1714" spans="1:27" ht="18.95" customHeight="1">
      <c r="A1714" s="1" t="str">
        <f>IF(Raw!A1714="","",Raw!A1714)</f>
        <v>L01708</v>
      </c>
      <c r="B1714" s="1" t="str">
        <f>IF(Raw!B1714="","",Raw!B1714)</f>
        <v>T00854</v>
      </c>
      <c r="C1714" s="1" t="str">
        <f>IF(Raw!C1714="","",Raw!C1714)</f>
        <v>2026-02-01</v>
      </c>
      <c r="D1714" s="1">
        <f t="shared" si="208"/>
        <v>2026</v>
      </c>
      <c r="E1714" s="1">
        <f>IFERROR(IF(AND(LEN(C1714)=10,MID(C1714,5,1)="-",MID(C1714,8,1)="-"),VALUE(MID(C1714,6,2)),IF(AND(LEN(C1714)=11,MID(C1714,3,1)="-",MID(C1714,7,1)="-"),MATCH(UPPER(MID(C1714,4,3)),Guide!$D$7:$D$18,0),0)),0)</f>
        <v>2</v>
      </c>
      <c r="F1714" s="1">
        <f t="shared" si="209"/>
        <v>1</v>
      </c>
      <c r="G1714" s="9">
        <f t="shared" si="210"/>
        <v>46054</v>
      </c>
      <c r="H1714" s="1" t="str">
        <f>IF(Raw!D1714="","",Raw!D1714)</f>
        <v>P-A</v>
      </c>
      <c r="I1714" s="1" t="str">
        <f>IFERROR(IF(EXACT(H1714,INDEX(Guide!$A$7:$A$9,MATCH(SUBSTITUTE(SUBSTITUTE(SUBSTITUTE(H1714,"~","~~"),"*","~*"),"?","~?"),Guide!$A$7:$A$9,0))),INDEX(Guide!$B$7:$B$9,MATCH(SUBSTITUTE(SUBSTITUTE(SUBSTITUTE(H1714,"~","~~"),"*","~*"),"?","~?"),Guide!$A$7:$A$9,0)),""),"")</f>
        <v>Accessories</v>
      </c>
      <c r="J1714" s="1" t="str">
        <f>IF(TRIM(Raw!E1714)="",I1714,IF(UPPER(TRIM(Raw!E1714))=UPPER(I1714),I1714,""))</f>
        <v>Accessories</v>
      </c>
      <c r="K1714" s="1" t="str">
        <f>IF(Raw!F1714="","",Raw!F1714)</f>
        <v>sale</v>
      </c>
      <c r="L1714" s="1" t="str">
        <f>IF(LEFT(TRIM(Raw!G1714),2)="-$","-"&amp;MID(TRIM(Raw!G1714),3,99),IF(LEFT(TRIM(Raw!G1714),1)="$",MID(TRIM(Raw!G1714),2,99),TRIM(Raw!G1714)))</f>
        <v>182.90</v>
      </c>
      <c r="M1714" s="1">
        <f t="shared" si="211"/>
        <v>182.9</v>
      </c>
      <c r="N1714" s="10">
        <f t="shared" si="212"/>
        <v>18290</v>
      </c>
      <c r="O1714" s="1" t="b">
        <f>IFERROR(IF(ISNUMBER(Raw!G1714),TRUE,OR(EXACT(L1714,TEXT(M1714,"0.00")),EXACT(L1714,TEXT(M1714,"#,##0.00")))),FALSE)</f>
        <v>1</v>
      </c>
      <c r="P1714" s="1" t="str">
        <f>LEN(IF(Raw!A1714="","",Raw!A1714))&amp;":"&amp;IF(Raw!A1714="","",Raw!A1714)&amp;"|"&amp;LEN(IF(Raw!B1714="","",Raw!B1714))&amp;":"&amp;IF(Raw!B1714="","",Raw!B1714)&amp;"|"&amp;LEN(IF(Raw!C1714="","",Raw!C1714))&amp;":"&amp;IF(Raw!C1714="","",Raw!C1714)&amp;"|"&amp;LEN(IF(Raw!D1714="","",Raw!D1714))&amp;":"&amp;IF(Raw!D1714="","",Raw!D1714)&amp;"|"&amp;LEN(IF(Raw!E1714="","",Raw!E1714))&amp;":"&amp;IF(Raw!E1714="","",Raw!E1714)&amp;"|"&amp;LEN(IF(Raw!F1714="","",Raw!F1714))&amp;":"&amp;IF(Raw!F1714="","",Raw!F1714)&amp;"|"&amp;LEN(IF(Raw!G1714="","",Raw!G1714))&amp;":"&amp;IF(Raw!G1714="","",Raw!G1714)</f>
        <v>6:L01708|6:T00854|10:2026-02-01|3:P-A|11:Accessories|4:sale|6:182.90</v>
      </c>
      <c r="Q1714" s="1">
        <f>1</f>
        <v>1</v>
      </c>
      <c r="R1714" s="1" t="b">
        <f>FALSE</f>
        <v>0</v>
      </c>
      <c r="S1714" s="1">
        <f>1</f>
        <v>1</v>
      </c>
      <c r="T1714" s="1" t="str">
        <f>IF(AND(Raw!A1714="",Raw!B1714="",Raw!C1714="",Raw!D1714="",Raw!E1714="",Raw!F1714="",Raw!G1714=""),"UNUSED",IF(A1714="","missing line ID",IF(B1714="","missing transaction ID",IF(G1714="",IF(C1714="","missing date","invalid date"),IF(I1714="","unknown product",IF(J1714="","conflicting category",IF(NOT(OR(EXACT(K1714,"sale"),EXACT(K1714,"refund"))),"unknown event",IF(OR(N1714="",NOT(O1714)),"invalid amount",IF(OR(AND(K1714="sale",N1714&lt;=0),AND(K1714="refund",N1714&gt;=0)),"invalid sign","")))))))))</f>
        <v/>
      </c>
      <c r="U1714" s="1" t="str">
        <f t="shared" si="213"/>
        <v>INCLUDED</v>
      </c>
      <c r="V1714" s="1" t="str">
        <f t="shared" si="214"/>
        <v>2026-02</v>
      </c>
      <c r="W1714" s="1">
        <f>IF(AND(U1714="INCLUDED",X1714&gt;0,EXACT(A1714,'AI output'!A1714)),1,0)</f>
        <v>1</v>
      </c>
      <c r="X1714" s="1">
        <f>1714</f>
        <v>1714</v>
      </c>
      <c r="Y1714" s="1">
        <f>IF(AND(U1714="INCLUDED",W1714=1),--(NOT(EXACT(A1714,'AI output'!A1714)))+--(NOT(EXACT(B1714,'AI output'!B1714)))+--(NOT(EXACT(TEXT(G1714,"yyyy-mm-dd"),'AI output'!C1714)))+--(NOT(EXACT(H1714,'AI output'!D1714)))+--(NOT(EXACT(J1714,'AI output'!E1714)))+--(NOT(EXACT(K1714,'AI output'!F1714)))+--(N1714&lt;&gt;'AI output'!L1714)+--(NOT('AI output'!M1714)),0)</f>
        <v>0</v>
      </c>
      <c r="Z1714" s="1">
        <f t="shared" si="215"/>
        <v>0</v>
      </c>
      <c r="AA1714" s="1">
        <f>--EXACT(A1714,"L01708")</f>
        <v>1</v>
      </c>
    </row>
    <row r="1715" spans="1:27" ht="18.95" customHeight="1">
      <c r="A1715" s="1" t="str">
        <f>IF(Raw!A1715="","",Raw!A1715)</f>
        <v>L01709</v>
      </c>
      <c r="B1715" s="1" t="str">
        <f>IF(Raw!B1715="","",Raw!B1715)</f>
        <v>T00855</v>
      </c>
      <c r="C1715" s="1" t="str">
        <f>IF(Raw!C1715="","",Raw!C1715)</f>
        <v>2026-02-08</v>
      </c>
      <c r="D1715" s="1">
        <f t="shared" si="208"/>
        <v>2026</v>
      </c>
      <c r="E1715" s="1">
        <f>IFERROR(IF(AND(LEN(C1715)=10,MID(C1715,5,1)="-",MID(C1715,8,1)="-"),VALUE(MID(C1715,6,2)),IF(AND(LEN(C1715)=11,MID(C1715,3,1)="-",MID(C1715,7,1)="-"),MATCH(UPPER(MID(C1715,4,3)),Guide!$D$7:$D$18,0),0)),0)</f>
        <v>2</v>
      </c>
      <c r="F1715" s="1">
        <f t="shared" si="209"/>
        <v>8</v>
      </c>
      <c r="G1715" s="9">
        <f t="shared" si="210"/>
        <v>46061</v>
      </c>
      <c r="H1715" s="1" t="str">
        <f>IF(Raw!D1715="","",Raw!D1715)</f>
        <v>P-H</v>
      </c>
      <c r="I1715" s="1" t="str">
        <f>IFERROR(IF(EXACT(H1715,INDEX(Guide!$A$7:$A$9,MATCH(SUBSTITUTE(SUBSTITUTE(SUBSTITUTE(H1715,"~","~~"),"*","~*"),"?","~?"),Guide!$A$7:$A$9,0))),INDEX(Guide!$B$7:$B$9,MATCH(SUBSTITUTE(SUBSTITUTE(SUBSTITUTE(H1715,"~","~~"),"*","~*"),"?","~?"),Guide!$A$7:$A$9,0)),""),"")</f>
        <v>Home</v>
      </c>
      <c r="J1715" s="1" t="str">
        <f>IF(TRIM(Raw!E1715)="",I1715,IF(UPPER(TRIM(Raw!E1715))=UPPER(I1715),I1715,""))</f>
        <v>Home</v>
      </c>
      <c r="K1715" s="1" t="str">
        <f>IF(Raw!F1715="","",Raw!F1715)</f>
        <v>sale</v>
      </c>
      <c r="L1715" s="1" t="str">
        <f>IF(LEFT(TRIM(Raw!G1715),2)="-$","-"&amp;MID(TRIM(Raw!G1715),3,99),IF(LEFT(TRIM(Raw!G1715),1)="$",MID(TRIM(Raw!G1715),2,99),TRIM(Raw!G1715)))</f>
        <v>73.90</v>
      </c>
      <c r="M1715" s="1">
        <f t="shared" si="211"/>
        <v>73.900000000000006</v>
      </c>
      <c r="N1715" s="10">
        <f t="shared" si="212"/>
        <v>7390</v>
      </c>
      <c r="O1715" s="1" t="b">
        <f>IFERROR(IF(ISNUMBER(Raw!G1715),TRUE,OR(EXACT(L1715,TEXT(M1715,"0.00")),EXACT(L1715,TEXT(M1715,"#,##0.00")))),FALSE)</f>
        <v>1</v>
      </c>
      <c r="P1715" s="1" t="str">
        <f>LEN(IF(Raw!A1715="","",Raw!A1715))&amp;":"&amp;IF(Raw!A1715="","",Raw!A1715)&amp;"|"&amp;LEN(IF(Raw!B1715="","",Raw!B1715))&amp;":"&amp;IF(Raw!B1715="","",Raw!B1715)&amp;"|"&amp;LEN(IF(Raw!C1715="","",Raw!C1715))&amp;":"&amp;IF(Raw!C1715="","",Raw!C1715)&amp;"|"&amp;LEN(IF(Raw!D1715="","",Raw!D1715))&amp;":"&amp;IF(Raw!D1715="","",Raw!D1715)&amp;"|"&amp;LEN(IF(Raw!E1715="","",Raw!E1715))&amp;":"&amp;IF(Raw!E1715="","",Raw!E1715)&amp;"|"&amp;LEN(IF(Raw!F1715="","",Raw!F1715))&amp;":"&amp;IF(Raw!F1715="","",Raw!F1715)&amp;"|"&amp;LEN(IF(Raw!G1715="","",Raw!G1715))&amp;":"&amp;IF(Raw!G1715="","",Raw!G1715)</f>
        <v>6:L01709|6:T00855|10:2026-02-08|3:P-H|4:Home|4:sale|5:73.90</v>
      </c>
      <c r="Q1715" s="1">
        <f>1</f>
        <v>1</v>
      </c>
      <c r="R1715" s="1" t="b">
        <f>FALSE</f>
        <v>0</v>
      </c>
      <c r="S1715" s="1">
        <f>1</f>
        <v>1</v>
      </c>
      <c r="T1715" s="1" t="str">
        <f>IF(AND(Raw!A1715="",Raw!B1715="",Raw!C1715="",Raw!D1715="",Raw!E1715="",Raw!F1715="",Raw!G1715=""),"UNUSED",IF(A1715="","missing line ID",IF(B1715="","missing transaction ID",IF(G1715="",IF(C1715="","missing date","invalid date"),IF(I1715="","unknown product",IF(J1715="","conflicting category",IF(NOT(OR(EXACT(K1715,"sale"),EXACT(K1715,"refund"))),"unknown event",IF(OR(N1715="",NOT(O1715)),"invalid amount",IF(OR(AND(K1715="sale",N1715&lt;=0),AND(K1715="refund",N1715&gt;=0)),"invalid sign","")))))))))</f>
        <v/>
      </c>
      <c r="U1715" s="1" t="str">
        <f t="shared" si="213"/>
        <v>INCLUDED</v>
      </c>
      <c r="V1715" s="1" t="str">
        <f t="shared" si="214"/>
        <v>2026-02</v>
      </c>
      <c r="W1715" s="1">
        <f>IF(AND(U1715="INCLUDED",X1715&gt;0,EXACT(A1715,'AI output'!A1715)),1,0)</f>
        <v>1</v>
      </c>
      <c r="X1715" s="1">
        <f>1715</f>
        <v>1715</v>
      </c>
      <c r="Y1715" s="1">
        <f>IF(AND(U1715="INCLUDED",W1715=1),--(NOT(EXACT(A1715,'AI output'!A1715)))+--(NOT(EXACT(B1715,'AI output'!B1715)))+--(NOT(EXACT(TEXT(G1715,"yyyy-mm-dd"),'AI output'!C1715)))+--(NOT(EXACT(H1715,'AI output'!D1715)))+--(NOT(EXACT(J1715,'AI output'!E1715)))+--(NOT(EXACT(K1715,'AI output'!F1715)))+--(N1715&lt;&gt;'AI output'!L1715)+--(NOT('AI output'!M1715)),0)</f>
        <v>0</v>
      </c>
      <c r="Z1715" s="1">
        <f t="shared" si="215"/>
        <v>0</v>
      </c>
      <c r="AA1715" s="1">
        <f>--EXACT(A1715,"L01709")</f>
        <v>1</v>
      </c>
    </row>
    <row r="1716" spans="1:27" ht="18.95" customHeight="1">
      <c r="A1716" s="1" t="str">
        <f>IF(Raw!A1716="","",Raw!A1716)</f>
        <v>L01710</v>
      </c>
      <c r="B1716" s="1" t="str">
        <f>IF(Raw!B1716="","",Raw!B1716)</f>
        <v>T00855</v>
      </c>
      <c r="C1716" s="1" t="str">
        <f>IF(Raw!C1716="","",Raw!C1716)</f>
        <v>2026-02-08</v>
      </c>
      <c r="D1716" s="1">
        <f t="shared" si="208"/>
        <v>2026</v>
      </c>
      <c r="E1716" s="1">
        <f>IFERROR(IF(AND(LEN(C1716)=10,MID(C1716,5,1)="-",MID(C1716,8,1)="-"),VALUE(MID(C1716,6,2)),IF(AND(LEN(C1716)=11,MID(C1716,3,1)="-",MID(C1716,7,1)="-"),MATCH(UPPER(MID(C1716,4,3)),Guide!$D$7:$D$18,0),0)),0)</f>
        <v>2</v>
      </c>
      <c r="F1716" s="1">
        <f t="shared" si="209"/>
        <v>8</v>
      </c>
      <c r="G1716" s="9">
        <f t="shared" si="210"/>
        <v>46061</v>
      </c>
      <c r="H1716" s="1" t="str">
        <f>IF(Raw!D1716="","",Raw!D1716)</f>
        <v>P-O</v>
      </c>
      <c r="I1716" s="1" t="str">
        <f>IFERROR(IF(EXACT(H1716,INDEX(Guide!$A$7:$A$9,MATCH(SUBSTITUTE(SUBSTITUTE(SUBSTITUTE(H1716,"~","~~"),"*","~*"),"?","~?"),Guide!$A$7:$A$9,0))),INDEX(Guide!$B$7:$B$9,MATCH(SUBSTITUTE(SUBSTITUTE(SUBSTITUTE(H1716,"~","~~"),"*","~*"),"?","~?"),Guide!$A$7:$A$9,0)),""),"")</f>
        <v>Office</v>
      </c>
      <c r="J1716" s="1" t="str">
        <f>IF(TRIM(Raw!E1716)="",I1716,IF(UPPER(TRIM(Raw!E1716))=UPPER(I1716),I1716,""))</f>
        <v>Office</v>
      </c>
      <c r="K1716" s="1" t="str">
        <f>IF(Raw!F1716="","",Raw!F1716)</f>
        <v>sale</v>
      </c>
      <c r="L1716" s="1" t="str">
        <f>IF(LEFT(TRIM(Raw!G1716),2)="-$","-"&amp;MID(TRIM(Raw!G1716),3,99),IF(LEFT(TRIM(Raw!G1716),1)="$",MID(TRIM(Raw!G1716),2,99),TRIM(Raw!G1716)))</f>
        <v>149.28</v>
      </c>
      <c r="M1716" s="1">
        <f t="shared" si="211"/>
        <v>149.28</v>
      </c>
      <c r="N1716" s="10">
        <f t="shared" si="212"/>
        <v>14928</v>
      </c>
      <c r="O1716" s="1" t="b">
        <f>IFERROR(IF(ISNUMBER(Raw!G1716),TRUE,OR(EXACT(L1716,TEXT(M1716,"0.00")),EXACT(L1716,TEXT(M1716,"#,##0.00")))),FALSE)</f>
        <v>1</v>
      </c>
      <c r="P1716" s="1" t="str">
        <f>LEN(IF(Raw!A1716="","",Raw!A1716))&amp;":"&amp;IF(Raw!A1716="","",Raw!A1716)&amp;"|"&amp;LEN(IF(Raw!B1716="","",Raw!B1716))&amp;":"&amp;IF(Raw!B1716="","",Raw!B1716)&amp;"|"&amp;LEN(IF(Raw!C1716="","",Raw!C1716))&amp;":"&amp;IF(Raw!C1716="","",Raw!C1716)&amp;"|"&amp;LEN(IF(Raw!D1716="","",Raw!D1716))&amp;":"&amp;IF(Raw!D1716="","",Raw!D1716)&amp;"|"&amp;LEN(IF(Raw!E1716="","",Raw!E1716))&amp;":"&amp;IF(Raw!E1716="","",Raw!E1716)&amp;"|"&amp;LEN(IF(Raw!F1716="","",Raw!F1716))&amp;":"&amp;IF(Raw!F1716="","",Raw!F1716)&amp;"|"&amp;LEN(IF(Raw!G1716="","",Raw!G1716))&amp;":"&amp;IF(Raw!G1716="","",Raw!G1716)</f>
        <v>6:L01710|6:T00855|10:2026-02-08|3:P-O|6:Office|4:sale|6:149.28</v>
      </c>
      <c r="Q1716" s="1">
        <f>1</f>
        <v>1</v>
      </c>
      <c r="R1716" s="1" t="b">
        <f>FALSE</f>
        <v>0</v>
      </c>
      <c r="S1716" s="1">
        <f>1</f>
        <v>1</v>
      </c>
      <c r="T1716" s="1" t="str">
        <f>IF(AND(Raw!A1716="",Raw!B1716="",Raw!C1716="",Raw!D1716="",Raw!E1716="",Raw!F1716="",Raw!G1716=""),"UNUSED",IF(A1716="","missing line ID",IF(B1716="","missing transaction ID",IF(G1716="",IF(C1716="","missing date","invalid date"),IF(I1716="","unknown product",IF(J1716="","conflicting category",IF(NOT(OR(EXACT(K1716,"sale"),EXACT(K1716,"refund"))),"unknown event",IF(OR(N1716="",NOT(O1716)),"invalid amount",IF(OR(AND(K1716="sale",N1716&lt;=0),AND(K1716="refund",N1716&gt;=0)),"invalid sign","")))))))))</f>
        <v/>
      </c>
      <c r="U1716" s="1" t="str">
        <f t="shared" si="213"/>
        <v>INCLUDED</v>
      </c>
      <c r="V1716" s="1" t="str">
        <f t="shared" si="214"/>
        <v>2026-02</v>
      </c>
      <c r="W1716" s="1">
        <f>IF(AND(U1716="INCLUDED",X1716&gt;0,EXACT(A1716,'AI output'!A1716)),1,0)</f>
        <v>1</v>
      </c>
      <c r="X1716" s="1">
        <f>1716</f>
        <v>1716</v>
      </c>
      <c r="Y1716" s="1">
        <f>IF(AND(U1716="INCLUDED",W1716=1),--(NOT(EXACT(A1716,'AI output'!A1716)))+--(NOT(EXACT(B1716,'AI output'!B1716)))+--(NOT(EXACT(TEXT(G1716,"yyyy-mm-dd"),'AI output'!C1716)))+--(NOT(EXACT(H1716,'AI output'!D1716)))+--(NOT(EXACT(J1716,'AI output'!E1716)))+--(NOT(EXACT(K1716,'AI output'!F1716)))+--(N1716&lt;&gt;'AI output'!L1716)+--(NOT('AI output'!M1716)),0)</f>
        <v>0</v>
      </c>
      <c r="Z1716" s="1">
        <f t="shared" si="215"/>
        <v>0</v>
      </c>
      <c r="AA1716" s="1">
        <f>--EXACT(A1716,"L01710")</f>
        <v>1</v>
      </c>
    </row>
    <row r="1717" spans="1:27" ht="18.95" customHeight="1">
      <c r="A1717" s="1" t="str">
        <f>IF(Raw!A1717="","",Raw!A1717)</f>
        <v>L01711</v>
      </c>
      <c r="B1717" s="1" t="str">
        <f>IF(Raw!B1717="","",Raw!B1717)</f>
        <v>T00856</v>
      </c>
      <c r="C1717" s="1" t="str">
        <f>IF(Raw!C1717="","",Raw!C1717)</f>
        <v>2026-02-15</v>
      </c>
      <c r="D1717" s="1">
        <f t="shared" si="208"/>
        <v>2026</v>
      </c>
      <c r="E1717" s="1">
        <f>IFERROR(IF(AND(LEN(C1717)=10,MID(C1717,5,1)="-",MID(C1717,8,1)="-"),VALUE(MID(C1717,6,2)),IF(AND(LEN(C1717)=11,MID(C1717,3,1)="-",MID(C1717,7,1)="-"),MATCH(UPPER(MID(C1717,4,3)),Guide!$D$7:$D$18,0),0)),0)</f>
        <v>2</v>
      </c>
      <c r="F1717" s="1">
        <f t="shared" si="209"/>
        <v>15</v>
      </c>
      <c r="G1717" s="9">
        <f t="shared" si="210"/>
        <v>46068</v>
      </c>
      <c r="H1717" s="1" t="str">
        <f>IF(Raw!D1717="","",Raw!D1717)</f>
        <v>P-A</v>
      </c>
      <c r="I1717" s="1" t="str">
        <f>IFERROR(IF(EXACT(H1717,INDEX(Guide!$A$7:$A$9,MATCH(SUBSTITUTE(SUBSTITUTE(SUBSTITUTE(H1717,"~","~~"),"*","~*"),"?","~?"),Guide!$A$7:$A$9,0))),INDEX(Guide!$B$7:$B$9,MATCH(SUBSTITUTE(SUBSTITUTE(SUBSTITUTE(H1717,"~","~~"),"*","~*"),"?","~?"),Guide!$A$7:$A$9,0)),""),"")</f>
        <v>Accessories</v>
      </c>
      <c r="J1717" s="1" t="str">
        <f>IF(TRIM(Raw!E1717)="",I1717,IF(UPPER(TRIM(Raw!E1717))=UPPER(I1717),I1717,""))</f>
        <v>Accessories</v>
      </c>
      <c r="K1717" s="1" t="str">
        <f>IF(Raw!F1717="","",Raw!F1717)</f>
        <v>sale</v>
      </c>
      <c r="L1717" s="1" t="str">
        <f>IF(LEFT(TRIM(Raw!G1717),2)="-$","-"&amp;MID(TRIM(Raw!G1717),3,99),IF(LEFT(TRIM(Raw!G1717),1)="$",MID(TRIM(Raw!G1717),2,99),TRIM(Raw!G1717)))</f>
        <v>37.69</v>
      </c>
      <c r="M1717" s="1">
        <f t="shared" si="211"/>
        <v>37.69</v>
      </c>
      <c r="N1717" s="10">
        <f t="shared" si="212"/>
        <v>3769</v>
      </c>
      <c r="O1717" s="1" t="b">
        <f>IFERROR(IF(ISNUMBER(Raw!G1717),TRUE,OR(EXACT(L1717,TEXT(M1717,"0.00")),EXACT(L1717,TEXT(M1717,"#,##0.00")))),FALSE)</f>
        <v>1</v>
      </c>
      <c r="P1717" s="1" t="str">
        <f>LEN(IF(Raw!A1717="","",Raw!A1717))&amp;":"&amp;IF(Raw!A1717="","",Raw!A1717)&amp;"|"&amp;LEN(IF(Raw!B1717="","",Raw!B1717))&amp;":"&amp;IF(Raw!B1717="","",Raw!B1717)&amp;"|"&amp;LEN(IF(Raw!C1717="","",Raw!C1717))&amp;":"&amp;IF(Raw!C1717="","",Raw!C1717)&amp;"|"&amp;LEN(IF(Raw!D1717="","",Raw!D1717))&amp;":"&amp;IF(Raw!D1717="","",Raw!D1717)&amp;"|"&amp;LEN(IF(Raw!E1717="","",Raw!E1717))&amp;":"&amp;IF(Raw!E1717="","",Raw!E1717)&amp;"|"&amp;LEN(IF(Raw!F1717="","",Raw!F1717))&amp;":"&amp;IF(Raw!F1717="","",Raw!F1717)&amp;"|"&amp;LEN(IF(Raw!G1717="","",Raw!G1717))&amp;":"&amp;IF(Raw!G1717="","",Raw!G1717)</f>
        <v>6:L01711|6:T00856|10:2026-02-15|3:P-A|11:Accessories|4:sale|5:37.69</v>
      </c>
      <c r="Q1717" s="1">
        <f>1</f>
        <v>1</v>
      </c>
      <c r="R1717" s="1" t="b">
        <f>FALSE</f>
        <v>0</v>
      </c>
      <c r="S1717" s="1">
        <f>1</f>
        <v>1</v>
      </c>
      <c r="T1717" s="1" t="str">
        <f>IF(AND(Raw!A1717="",Raw!B1717="",Raw!C1717="",Raw!D1717="",Raw!E1717="",Raw!F1717="",Raw!G1717=""),"UNUSED",IF(A1717="","missing line ID",IF(B1717="","missing transaction ID",IF(G1717="",IF(C1717="","missing date","invalid date"),IF(I1717="","unknown product",IF(J1717="","conflicting category",IF(NOT(OR(EXACT(K1717,"sale"),EXACT(K1717,"refund"))),"unknown event",IF(OR(N1717="",NOT(O1717)),"invalid amount",IF(OR(AND(K1717="sale",N1717&lt;=0),AND(K1717="refund",N1717&gt;=0)),"invalid sign","")))))))))</f>
        <v/>
      </c>
      <c r="U1717" s="1" t="str">
        <f t="shared" si="213"/>
        <v>INCLUDED</v>
      </c>
      <c r="V1717" s="1" t="str">
        <f t="shared" si="214"/>
        <v>2026-02</v>
      </c>
      <c r="W1717" s="1">
        <f>IF(AND(U1717="INCLUDED",X1717&gt;0,EXACT(A1717,'AI output'!A1717)),1,0)</f>
        <v>1</v>
      </c>
      <c r="X1717" s="1">
        <f>1717</f>
        <v>1717</v>
      </c>
      <c r="Y1717" s="1">
        <f>IF(AND(U1717="INCLUDED",W1717=1),--(NOT(EXACT(A1717,'AI output'!A1717)))+--(NOT(EXACT(B1717,'AI output'!B1717)))+--(NOT(EXACT(TEXT(G1717,"yyyy-mm-dd"),'AI output'!C1717)))+--(NOT(EXACT(H1717,'AI output'!D1717)))+--(NOT(EXACT(J1717,'AI output'!E1717)))+--(NOT(EXACT(K1717,'AI output'!F1717)))+--(N1717&lt;&gt;'AI output'!L1717)+--(NOT('AI output'!M1717)),0)</f>
        <v>0</v>
      </c>
      <c r="Z1717" s="1">
        <f t="shared" si="215"/>
        <v>0</v>
      </c>
      <c r="AA1717" s="1">
        <f>--EXACT(A1717,"L01711")</f>
        <v>1</v>
      </c>
    </row>
    <row r="1718" spans="1:27" ht="18.95" customHeight="1">
      <c r="A1718" s="1" t="str">
        <f>IF(Raw!A1718="","",Raw!A1718)</f>
        <v>L01712</v>
      </c>
      <c r="B1718" s="1" t="str">
        <f>IF(Raw!B1718="","",Raw!B1718)</f>
        <v>T00856</v>
      </c>
      <c r="C1718" s="1" t="str">
        <f>IF(Raw!C1718="","",Raw!C1718)</f>
        <v>2026-02-15</v>
      </c>
      <c r="D1718" s="1">
        <f t="shared" si="208"/>
        <v>2026</v>
      </c>
      <c r="E1718" s="1">
        <f>IFERROR(IF(AND(LEN(C1718)=10,MID(C1718,5,1)="-",MID(C1718,8,1)="-"),VALUE(MID(C1718,6,2)),IF(AND(LEN(C1718)=11,MID(C1718,3,1)="-",MID(C1718,7,1)="-"),MATCH(UPPER(MID(C1718,4,3)),Guide!$D$7:$D$18,0),0)),0)</f>
        <v>2</v>
      </c>
      <c r="F1718" s="1">
        <f t="shared" si="209"/>
        <v>15</v>
      </c>
      <c r="G1718" s="9">
        <f t="shared" si="210"/>
        <v>46068</v>
      </c>
      <c r="H1718" s="1" t="str">
        <f>IF(Raw!D1718="","",Raw!D1718)</f>
        <v>P-H</v>
      </c>
      <c r="I1718" s="1" t="str">
        <f>IFERROR(IF(EXACT(H1718,INDEX(Guide!$A$7:$A$9,MATCH(SUBSTITUTE(SUBSTITUTE(SUBSTITUTE(H1718,"~","~~"),"*","~*"),"?","~?"),Guide!$A$7:$A$9,0))),INDEX(Guide!$B$7:$B$9,MATCH(SUBSTITUTE(SUBSTITUTE(SUBSTITUTE(H1718,"~","~~"),"*","~*"),"?","~?"),Guide!$A$7:$A$9,0)),""),"")</f>
        <v>Home</v>
      </c>
      <c r="J1718" s="1" t="str">
        <f>IF(TRIM(Raw!E1718)="",I1718,IF(UPPER(TRIM(Raw!E1718))=UPPER(I1718),I1718,""))</f>
        <v>Home</v>
      </c>
      <c r="K1718" s="1" t="str">
        <f>IF(Raw!F1718="","",Raw!F1718)</f>
        <v>sale</v>
      </c>
      <c r="L1718" s="1" t="str">
        <f>IF(LEFT(TRIM(Raw!G1718),2)="-$","-"&amp;MID(TRIM(Raw!G1718),3,99),IF(LEFT(TRIM(Raw!G1718),1)="$",MID(TRIM(Raw!G1718),2,99),TRIM(Raw!G1718)))</f>
        <v>114.18</v>
      </c>
      <c r="M1718" s="1">
        <f t="shared" si="211"/>
        <v>114.18</v>
      </c>
      <c r="N1718" s="10">
        <f t="shared" si="212"/>
        <v>11418</v>
      </c>
      <c r="O1718" s="1" t="b">
        <f>IFERROR(IF(ISNUMBER(Raw!G1718),TRUE,OR(EXACT(L1718,TEXT(M1718,"0.00")),EXACT(L1718,TEXT(M1718,"#,##0.00")))),FALSE)</f>
        <v>1</v>
      </c>
      <c r="P1718" s="1" t="str">
        <f>LEN(IF(Raw!A1718="","",Raw!A1718))&amp;":"&amp;IF(Raw!A1718="","",Raw!A1718)&amp;"|"&amp;LEN(IF(Raw!B1718="","",Raw!B1718))&amp;":"&amp;IF(Raw!B1718="","",Raw!B1718)&amp;"|"&amp;LEN(IF(Raw!C1718="","",Raw!C1718))&amp;":"&amp;IF(Raw!C1718="","",Raw!C1718)&amp;"|"&amp;LEN(IF(Raw!D1718="","",Raw!D1718))&amp;":"&amp;IF(Raw!D1718="","",Raw!D1718)&amp;"|"&amp;LEN(IF(Raw!E1718="","",Raw!E1718))&amp;":"&amp;IF(Raw!E1718="","",Raw!E1718)&amp;"|"&amp;LEN(IF(Raw!F1718="","",Raw!F1718))&amp;":"&amp;IF(Raw!F1718="","",Raw!F1718)&amp;"|"&amp;LEN(IF(Raw!G1718="","",Raw!G1718))&amp;":"&amp;IF(Raw!G1718="","",Raw!G1718)</f>
        <v>6:L01712|6:T00856|10:2026-02-15|3:P-H|4:Home|4:sale|6:114.18</v>
      </c>
      <c r="Q1718" s="1">
        <f>1</f>
        <v>1</v>
      </c>
      <c r="R1718" s="1" t="b">
        <f>FALSE</f>
        <v>0</v>
      </c>
      <c r="S1718" s="1">
        <f>1</f>
        <v>1</v>
      </c>
      <c r="T1718" s="1" t="str">
        <f>IF(AND(Raw!A1718="",Raw!B1718="",Raw!C1718="",Raw!D1718="",Raw!E1718="",Raw!F1718="",Raw!G1718=""),"UNUSED",IF(A1718="","missing line ID",IF(B1718="","missing transaction ID",IF(G1718="",IF(C1718="","missing date","invalid date"),IF(I1718="","unknown product",IF(J1718="","conflicting category",IF(NOT(OR(EXACT(K1718,"sale"),EXACT(K1718,"refund"))),"unknown event",IF(OR(N1718="",NOT(O1718)),"invalid amount",IF(OR(AND(K1718="sale",N1718&lt;=0),AND(K1718="refund",N1718&gt;=0)),"invalid sign","")))))))))</f>
        <v/>
      </c>
      <c r="U1718" s="1" t="str">
        <f t="shared" si="213"/>
        <v>INCLUDED</v>
      </c>
      <c r="V1718" s="1" t="str">
        <f t="shared" si="214"/>
        <v>2026-02</v>
      </c>
      <c r="W1718" s="1">
        <f>IF(AND(U1718="INCLUDED",X1718&gt;0,EXACT(A1718,'AI output'!A1718)),1,0)</f>
        <v>1</v>
      </c>
      <c r="X1718" s="1">
        <f>1718</f>
        <v>1718</v>
      </c>
      <c r="Y1718" s="1">
        <f>IF(AND(U1718="INCLUDED",W1718=1),--(NOT(EXACT(A1718,'AI output'!A1718)))+--(NOT(EXACT(B1718,'AI output'!B1718)))+--(NOT(EXACT(TEXT(G1718,"yyyy-mm-dd"),'AI output'!C1718)))+--(NOT(EXACT(H1718,'AI output'!D1718)))+--(NOT(EXACT(J1718,'AI output'!E1718)))+--(NOT(EXACT(K1718,'AI output'!F1718)))+--(N1718&lt;&gt;'AI output'!L1718)+--(NOT('AI output'!M1718)),0)</f>
        <v>0</v>
      </c>
      <c r="Z1718" s="1">
        <f t="shared" si="215"/>
        <v>0</v>
      </c>
      <c r="AA1718" s="1">
        <f>--EXACT(A1718,"L01712")</f>
        <v>1</v>
      </c>
    </row>
    <row r="1719" spans="1:27" ht="18.95" customHeight="1">
      <c r="A1719" s="1" t="str">
        <f>IF(Raw!A1719="","",Raw!A1719)</f>
        <v>L01713</v>
      </c>
      <c r="B1719" s="1" t="str">
        <f>IF(Raw!B1719="","",Raw!B1719)</f>
        <v>T00857</v>
      </c>
      <c r="C1719" s="1" t="str">
        <f>IF(Raw!C1719="","",Raw!C1719)</f>
        <v>2026-02-22</v>
      </c>
      <c r="D1719" s="1">
        <f t="shared" si="208"/>
        <v>2026</v>
      </c>
      <c r="E1719" s="1">
        <f>IFERROR(IF(AND(LEN(C1719)=10,MID(C1719,5,1)="-",MID(C1719,8,1)="-"),VALUE(MID(C1719,6,2)),IF(AND(LEN(C1719)=11,MID(C1719,3,1)="-",MID(C1719,7,1)="-"),MATCH(UPPER(MID(C1719,4,3)),Guide!$D$7:$D$18,0),0)),0)</f>
        <v>2</v>
      </c>
      <c r="F1719" s="1">
        <f t="shared" si="209"/>
        <v>22</v>
      </c>
      <c r="G1719" s="9">
        <f t="shared" si="210"/>
        <v>46075</v>
      </c>
      <c r="H1719" s="1" t="str">
        <f>IF(Raw!D1719="","",Raw!D1719)</f>
        <v>P-O</v>
      </c>
      <c r="I1719" s="1" t="str">
        <f>IFERROR(IF(EXACT(H1719,INDEX(Guide!$A$7:$A$9,MATCH(SUBSTITUTE(SUBSTITUTE(SUBSTITUTE(H1719,"~","~~"),"*","~*"),"?","~?"),Guide!$A$7:$A$9,0))),INDEX(Guide!$B$7:$B$9,MATCH(SUBSTITUTE(SUBSTITUTE(SUBSTITUTE(H1719,"~","~~"),"*","~*"),"?","~?"),Guide!$A$7:$A$9,0)),""),"")</f>
        <v>Office</v>
      </c>
      <c r="J1719" s="1" t="str">
        <f>IF(TRIM(Raw!E1719)="",I1719,IF(UPPER(TRIM(Raw!E1719))=UPPER(I1719),I1719,""))</f>
        <v>Office</v>
      </c>
      <c r="K1719" s="1" t="str">
        <f>IF(Raw!F1719="","",Raw!F1719)</f>
        <v>sale</v>
      </c>
      <c r="L1719" s="1" t="str">
        <f>IF(LEFT(TRIM(Raw!G1719),2)="-$","-"&amp;MID(TRIM(Raw!G1719),3,99),IF(LEFT(TRIM(Raw!G1719),1)="$",MID(TRIM(Raw!G1719),2,99),TRIM(Raw!G1719)))</f>
        <v>192.15</v>
      </c>
      <c r="M1719" s="1">
        <f t="shared" si="211"/>
        <v>192.15</v>
      </c>
      <c r="N1719" s="10">
        <f t="shared" si="212"/>
        <v>19215</v>
      </c>
      <c r="O1719" s="1" t="b">
        <f>IFERROR(IF(ISNUMBER(Raw!G1719),TRUE,OR(EXACT(L1719,TEXT(M1719,"0.00")),EXACT(L1719,TEXT(M1719,"#,##0.00")))),FALSE)</f>
        <v>1</v>
      </c>
      <c r="P1719" s="1" t="str">
        <f>LEN(IF(Raw!A1719="","",Raw!A1719))&amp;":"&amp;IF(Raw!A1719="","",Raw!A1719)&amp;"|"&amp;LEN(IF(Raw!B1719="","",Raw!B1719))&amp;":"&amp;IF(Raw!B1719="","",Raw!B1719)&amp;"|"&amp;LEN(IF(Raw!C1719="","",Raw!C1719))&amp;":"&amp;IF(Raw!C1719="","",Raw!C1719)&amp;"|"&amp;LEN(IF(Raw!D1719="","",Raw!D1719))&amp;":"&amp;IF(Raw!D1719="","",Raw!D1719)&amp;"|"&amp;LEN(IF(Raw!E1719="","",Raw!E1719))&amp;":"&amp;IF(Raw!E1719="","",Raw!E1719)&amp;"|"&amp;LEN(IF(Raw!F1719="","",Raw!F1719))&amp;":"&amp;IF(Raw!F1719="","",Raw!F1719)&amp;"|"&amp;LEN(IF(Raw!G1719="","",Raw!G1719))&amp;":"&amp;IF(Raw!G1719="","",Raw!G1719)</f>
        <v>6:L01713|6:T00857|10:2026-02-22|3:P-O|6:Office|4:sale|6:192.15</v>
      </c>
      <c r="Q1719" s="1">
        <f>1</f>
        <v>1</v>
      </c>
      <c r="R1719" s="1" t="b">
        <f>FALSE</f>
        <v>0</v>
      </c>
      <c r="S1719" s="1">
        <f>1</f>
        <v>1</v>
      </c>
      <c r="T1719" s="1" t="str">
        <f>IF(AND(Raw!A1719="",Raw!B1719="",Raw!C1719="",Raw!D1719="",Raw!E1719="",Raw!F1719="",Raw!G1719=""),"UNUSED",IF(A1719="","missing line ID",IF(B1719="","missing transaction ID",IF(G1719="",IF(C1719="","missing date","invalid date"),IF(I1719="","unknown product",IF(J1719="","conflicting category",IF(NOT(OR(EXACT(K1719,"sale"),EXACT(K1719,"refund"))),"unknown event",IF(OR(N1719="",NOT(O1719)),"invalid amount",IF(OR(AND(K1719="sale",N1719&lt;=0),AND(K1719="refund",N1719&gt;=0)),"invalid sign","")))))))))</f>
        <v/>
      </c>
      <c r="U1719" s="1" t="str">
        <f t="shared" si="213"/>
        <v>INCLUDED</v>
      </c>
      <c r="V1719" s="1" t="str">
        <f t="shared" si="214"/>
        <v>2026-02</v>
      </c>
      <c r="W1719" s="1">
        <f>IF(AND(U1719="INCLUDED",X1719&gt;0,EXACT(A1719,'AI output'!A1719)),1,0)</f>
        <v>1</v>
      </c>
      <c r="X1719" s="1">
        <f>1719</f>
        <v>1719</v>
      </c>
      <c r="Y1719" s="1">
        <f>IF(AND(U1719="INCLUDED",W1719=1),--(NOT(EXACT(A1719,'AI output'!A1719)))+--(NOT(EXACT(B1719,'AI output'!B1719)))+--(NOT(EXACT(TEXT(G1719,"yyyy-mm-dd"),'AI output'!C1719)))+--(NOT(EXACT(H1719,'AI output'!D1719)))+--(NOT(EXACT(J1719,'AI output'!E1719)))+--(NOT(EXACT(K1719,'AI output'!F1719)))+--(N1719&lt;&gt;'AI output'!L1719)+--(NOT('AI output'!M1719)),0)</f>
        <v>0</v>
      </c>
      <c r="Z1719" s="1">
        <f t="shared" si="215"/>
        <v>0</v>
      </c>
      <c r="AA1719" s="1">
        <f>--EXACT(A1719,"L01713")</f>
        <v>1</v>
      </c>
    </row>
    <row r="1720" spans="1:27" ht="18.95" customHeight="1">
      <c r="A1720" s="1" t="str">
        <f>IF(Raw!A1720="","",Raw!A1720)</f>
        <v>L01714</v>
      </c>
      <c r="B1720" s="1" t="str">
        <f>IF(Raw!B1720="","",Raw!B1720)</f>
        <v>T00857</v>
      </c>
      <c r="C1720" s="1" t="str">
        <f>IF(Raw!C1720="","",Raw!C1720)</f>
        <v>2026-02-22</v>
      </c>
      <c r="D1720" s="1">
        <f t="shared" si="208"/>
        <v>2026</v>
      </c>
      <c r="E1720" s="1">
        <f>IFERROR(IF(AND(LEN(C1720)=10,MID(C1720,5,1)="-",MID(C1720,8,1)="-"),VALUE(MID(C1720,6,2)),IF(AND(LEN(C1720)=11,MID(C1720,3,1)="-",MID(C1720,7,1)="-"),MATCH(UPPER(MID(C1720,4,3)),Guide!$D$7:$D$18,0),0)),0)</f>
        <v>2</v>
      </c>
      <c r="F1720" s="1">
        <f t="shared" si="209"/>
        <v>22</v>
      </c>
      <c r="G1720" s="9">
        <f t="shared" si="210"/>
        <v>46075</v>
      </c>
      <c r="H1720" s="1" t="str">
        <f>IF(Raw!D1720="","",Raw!D1720)</f>
        <v>P-A</v>
      </c>
      <c r="I1720" s="1" t="str">
        <f>IFERROR(IF(EXACT(H1720,INDEX(Guide!$A$7:$A$9,MATCH(SUBSTITUTE(SUBSTITUTE(SUBSTITUTE(H1720,"~","~~"),"*","~*"),"?","~?"),Guide!$A$7:$A$9,0))),INDEX(Guide!$B$7:$B$9,MATCH(SUBSTITUTE(SUBSTITUTE(SUBSTITUTE(H1720,"~","~~"),"*","~*"),"?","~?"),Guide!$A$7:$A$9,0)),""),"")</f>
        <v>Accessories</v>
      </c>
      <c r="J1720" s="1" t="str">
        <f>IF(TRIM(Raw!E1720)="",I1720,IF(UPPER(TRIM(Raw!E1720))=UPPER(I1720),I1720,""))</f>
        <v>Accessories</v>
      </c>
      <c r="K1720" s="1" t="str">
        <f>IF(Raw!F1720="","",Raw!F1720)</f>
        <v>sale</v>
      </c>
      <c r="L1720" s="1" t="str">
        <f>IF(LEFT(TRIM(Raw!G1720),2)="-$","-"&amp;MID(TRIM(Raw!G1720),3,99),IF(LEFT(TRIM(Raw!G1720),1)="$",MID(TRIM(Raw!G1720),2,99),TRIM(Raw!G1720)))</f>
        <v>77.60</v>
      </c>
      <c r="M1720" s="1">
        <f t="shared" si="211"/>
        <v>77.599999999999994</v>
      </c>
      <c r="N1720" s="10">
        <f t="shared" si="212"/>
        <v>7760</v>
      </c>
      <c r="O1720" s="1" t="b">
        <f>IFERROR(IF(ISNUMBER(Raw!G1720),TRUE,OR(EXACT(L1720,TEXT(M1720,"0.00")),EXACT(L1720,TEXT(M1720,"#,##0.00")))),FALSE)</f>
        <v>1</v>
      </c>
      <c r="P1720" s="1" t="str">
        <f>LEN(IF(Raw!A1720="","",Raw!A1720))&amp;":"&amp;IF(Raw!A1720="","",Raw!A1720)&amp;"|"&amp;LEN(IF(Raw!B1720="","",Raw!B1720))&amp;":"&amp;IF(Raw!B1720="","",Raw!B1720)&amp;"|"&amp;LEN(IF(Raw!C1720="","",Raw!C1720))&amp;":"&amp;IF(Raw!C1720="","",Raw!C1720)&amp;"|"&amp;LEN(IF(Raw!D1720="","",Raw!D1720))&amp;":"&amp;IF(Raw!D1720="","",Raw!D1720)&amp;"|"&amp;LEN(IF(Raw!E1720="","",Raw!E1720))&amp;":"&amp;IF(Raw!E1720="","",Raw!E1720)&amp;"|"&amp;LEN(IF(Raw!F1720="","",Raw!F1720))&amp;":"&amp;IF(Raw!F1720="","",Raw!F1720)&amp;"|"&amp;LEN(IF(Raw!G1720="","",Raw!G1720))&amp;":"&amp;IF(Raw!G1720="","",Raw!G1720)</f>
        <v>6:L01714|6:T00857|10:2026-02-22|3:P-A|11:Accessories|4:sale|5:77.60</v>
      </c>
      <c r="Q1720" s="1">
        <f>1</f>
        <v>1</v>
      </c>
      <c r="R1720" s="1" t="b">
        <f>FALSE</f>
        <v>0</v>
      </c>
      <c r="S1720" s="1">
        <f>1</f>
        <v>1</v>
      </c>
      <c r="T1720" s="1" t="str">
        <f>IF(AND(Raw!A1720="",Raw!B1720="",Raw!C1720="",Raw!D1720="",Raw!E1720="",Raw!F1720="",Raw!G1720=""),"UNUSED",IF(A1720="","missing line ID",IF(B1720="","missing transaction ID",IF(G1720="",IF(C1720="","missing date","invalid date"),IF(I1720="","unknown product",IF(J1720="","conflicting category",IF(NOT(OR(EXACT(K1720,"sale"),EXACT(K1720,"refund"))),"unknown event",IF(OR(N1720="",NOT(O1720)),"invalid amount",IF(OR(AND(K1720="sale",N1720&lt;=0),AND(K1720="refund",N1720&gt;=0)),"invalid sign","")))))))))</f>
        <v/>
      </c>
      <c r="U1720" s="1" t="str">
        <f t="shared" si="213"/>
        <v>INCLUDED</v>
      </c>
      <c r="V1720" s="1" t="str">
        <f t="shared" si="214"/>
        <v>2026-02</v>
      </c>
      <c r="W1720" s="1">
        <f>IF(AND(U1720="INCLUDED",X1720&gt;0,EXACT(A1720,'AI output'!A1720)),1,0)</f>
        <v>1</v>
      </c>
      <c r="X1720" s="1">
        <f>1720</f>
        <v>1720</v>
      </c>
      <c r="Y1720" s="1">
        <f>IF(AND(U1720="INCLUDED",W1720=1),--(NOT(EXACT(A1720,'AI output'!A1720)))+--(NOT(EXACT(B1720,'AI output'!B1720)))+--(NOT(EXACT(TEXT(G1720,"yyyy-mm-dd"),'AI output'!C1720)))+--(NOT(EXACT(H1720,'AI output'!D1720)))+--(NOT(EXACT(J1720,'AI output'!E1720)))+--(NOT(EXACT(K1720,'AI output'!F1720)))+--(N1720&lt;&gt;'AI output'!L1720)+--(NOT('AI output'!M1720)),0)</f>
        <v>0</v>
      </c>
      <c r="Z1720" s="1">
        <f t="shared" si="215"/>
        <v>0</v>
      </c>
      <c r="AA1720" s="1">
        <f>--EXACT(A1720,"L01714")</f>
        <v>1</v>
      </c>
    </row>
    <row r="1721" spans="1:27" ht="18.95" customHeight="1">
      <c r="A1721" s="1" t="str">
        <f>IF(Raw!A1721="","",Raw!A1721)</f>
        <v>L01715</v>
      </c>
      <c r="B1721" s="1" t="str">
        <f>IF(Raw!B1721="","",Raw!B1721)</f>
        <v>T00858</v>
      </c>
      <c r="C1721" s="1" t="str">
        <f>IF(Raw!C1721="","",Raw!C1721)</f>
        <v>2026-03-01</v>
      </c>
      <c r="D1721" s="1">
        <f t="shared" si="208"/>
        <v>2026</v>
      </c>
      <c r="E1721" s="1">
        <f>IFERROR(IF(AND(LEN(C1721)=10,MID(C1721,5,1)="-",MID(C1721,8,1)="-"),VALUE(MID(C1721,6,2)),IF(AND(LEN(C1721)=11,MID(C1721,3,1)="-",MID(C1721,7,1)="-"),MATCH(UPPER(MID(C1721,4,3)),Guide!$D$7:$D$18,0),0)),0)</f>
        <v>3</v>
      </c>
      <c r="F1721" s="1">
        <f t="shared" si="209"/>
        <v>1</v>
      </c>
      <c r="G1721" s="9">
        <f t="shared" si="210"/>
        <v>46082</v>
      </c>
      <c r="H1721" s="1" t="str">
        <f>IF(Raw!D1721="","",Raw!D1721)</f>
        <v>P-H</v>
      </c>
      <c r="I1721" s="1" t="str">
        <f>IFERROR(IF(EXACT(H1721,INDEX(Guide!$A$7:$A$9,MATCH(SUBSTITUTE(SUBSTITUTE(SUBSTITUTE(H1721,"~","~~"),"*","~*"),"?","~?"),Guide!$A$7:$A$9,0))),INDEX(Guide!$B$7:$B$9,MATCH(SUBSTITUTE(SUBSTITUTE(SUBSTITUTE(H1721,"~","~~"),"*","~*"),"?","~?"),Guide!$A$7:$A$9,0)),""),"")</f>
        <v>Home</v>
      </c>
      <c r="J1721" s="1" t="str">
        <f>IF(TRIM(Raw!E1721)="",I1721,IF(UPPER(TRIM(Raw!E1721))=UPPER(I1721),I1721,""))</f>
        <v>Home</v>
      </c>
      <c r="K1721" s="1" t="str">
        <f>IF(Raw!F1721="","",Raw!F1721)</f>
        <v>sale</v>
      </c>
      <c r="L1721" s="1" t="str">
        <f>IF(LEFT(TRIM(Raw!G1721),2)="-$","-"&amp;MID(TRIM(Raw!G1721),3,99),IF(LEFT(TRIM(Raw!G1721),1)="$",MID(TRIM(Raw!G1721),2,99),TRIM(Raw!G1721)))</f>
        <v>156.68</v>
      </c>
      <c r="M1721" s="1">
        <f t="shared" si="211"/>
        <v>156.68</v>
      </c>
      <c r="N1721" s="10">
        <f t="shared" si="212"/>
        <v>15668</v>
      </c>
      <c r="O1721" s="1" t="b">
        <f>IFERROR(IF(ISNUMBER(Raw!G1721),TRUE,OR(EXACT(L1721,TEXT(M1721,"0.00")),EXACT(L1721,TEXT(M1721,"#,##0.00")))),FALSE)</f>
        <v>1</v>
      </c>
      <c r="P1721" s="1" t="str">
        <f>LEN(IF(Raw!A1721="","",Raw!A1721))&amp;":"&amp;IF(Raw!A1721="","",Raw!A1721)&amp;"|"&amp;LEN(IF(Raw!B1721="","",Raw!B1721))&amp;":"&amp;IF(Raw!B1721="","",Raw!B1721)&amp;"|"&amp;LEN(IF(Raw!C1721="","",Raw!C1721))&amp;":"&amp;IF(Raw!C1721="","",Raw!C1721)&amp;"|"&amp;LEN(IF(Raw!D1721="","",Raw!D1721))&amp;":"&amp;IF(Raw!D1721="","",Raw!D1721)&amp;"|"&amp;LEN(IF(Raw!E1721="","",Raw!E1721))&amp;":"&amp;IF(Raw!E1721="","",Raw!E1721)&amp;"|"&amp;LEN(IF(Raw!F1721="","",Raw!F1721))&amp;":"&amp;IF(Raw!F1721="","",Raw!F1721)&amp;"|"&amp;LEN(IF(Raw!G1721="","",Raw!G1721))&amp;":"&amp;IF(Raw!G1721="","",Raw!G1721)</f>
        <v>6:L01715|6:T00858|10:2026-03-01|3:P-H|4:Home|4:sale|6:156.68</v>
      </c>
      <c r="Q1721" s="1">
        <f>1</f>
        <v>1</v>
      </c>
      <c r="R1721" s="1" t="b">
        <f>FALSE</f>
        <v>0</v>
      </c>
      <c r="S1721" s="1">
        <f>1</f>
        <v>1</v>
      </c>
      <c r="T1721" s="1" t="str">
        <f>IF(AND(Raw!A1721="",Raw!B1721="",Raw!C1721="",Raw!D1721="",Raw!E1721="",Raw!F1721="",Raw!G1721=""),"UNUSED",IF(A1721="","missing line ID",IF(B1721="","missing transaction ID",IF(G1721="",IF(C1721="","missing date","invalid date"),IF(I1721="","unknown product",IF(J1721="","conflicting category",IF(NOT(OR(EXACT(K1721,"sale"),EXACT(K1721,"refund"))),"unknown event",IF(OR(N1721="",NOT(O1721)),"invalid amount",IF(OR(AND(K1721="sale",N1721&lt;=0),AND(K1721="refund",N1721&gt;=0)),"invalid sign","")))))))))</f>
        <v/>
      </c>
      <c r="U1721" s="1" t="str">
        <f t="shared" si="213"/>
        <v>INCLUDED</v>
      </c>
      <c r="V1721" s="1" t="str">
        <f t="shared" si="214"/>
        <v>2026-03</v>
      </c>
      <c r="W1721" s="1">
        <f>IF(AND(U1721="INCLUDED",X1721&gt;0,EXACT(A1721,'AI output'!A1721)),1,0)</f>
        <v>1</v>
      </c>
      <c r="X1721" s="1">
        <f>1721</f>
        <v>1721</v>
      </c>
      <c r="Y1721" s="1">
        <f>IF(AND(U1721="INCLUDED",W1721=1),--(NOT(EXACT(A1721,'AI output'!A1721)))+--(NOT(EXACT(B1721,'AI output'!B1721)))+--(NOT(EXACT(TEXT(G1721,"yyyy-mm-dd"),'AI output'!C1721)))+--(NOT(EXACT(H1721,'AI output'!D1721)))+--(NOT(EXACT(J1721,'AI output'!E1721)))+--(NOT(EXACT(K1721,'AI output'!F1721)))+--(N1721&lt;&gt;'AI output'!L1721)+--(NOT('AI output'!M1721)),0)</f>
        <v>0</v>
      </c>
      <c r="Z1721" s="1">
        <f t="shared" si="215"/>
        <v>0</v>
      </c>
      <c r="AA1721" s="1">
        <f>--EXACT(A1721,"L01715")</f>
        <v>1</v>
      </c>
    </row>
    <row r="1722" spans="1:27" ht="18.95" customHeight="1">
      <c r="A1722" s="1" t="str">
        <f>IF(Raw!A1722="","",Raw!A1722)</f>
        <v>L01716</v>
      </c>
      <c r="B1722" s="1" t="str">
        <f>IF(Raw!B1722="","",Raw!B1722)</f>
        <v>T00858</v>
      </c>
      <c r="C1722" s="1" t="str">
        <f>IF(Raw!C1722="","",Raw!C1722)</f>
        <v>2026-03-01</v>
      </c>
      <c r="D1722" s="1">
        <f t="shared" si="208"/>
        <v>2026</v>
      </c>
      <c r="E1722" s="1">
        <f>IFERROR(IF(AND(LEN(C1722)=10,MID(C1722,5,1)="-",MID(C1722,8,1)="-"),VALUE(MID(C1722,6,2)),IF(AND(LEN(C1722)=11,MID(C1722,3,1)="-",MID(C1722,7,1)="-"),MATCH(UPPER(MID(C1722,4,3)),Guide!$D$7:$D$18,0),0)),0)</f>
        <v>3</v>
      </c>
      <c r="F1722" s="1">
        <f t="shared" si="209"/>
        <v>1</v>
      </c>
      <c r="G1722" s="9">
        <f t="shared" si="210"/>
        <v>46082</v>
      </c>
      <c r="H1722" s="1" t="str">
        <f>IF(Raw!D1722="","",Raw!D1722)</f>
        <v>P-O</v>
      </c>
      <c r="I1722" s="1" t="str">
        <f>IFERROR(IF(EXACT(H1722,INDEX(Guide!$A$7:$A$9,MATCH(SUBSTITUTE(SUBSTITUTE(SUBSTITUTE(H1722,"~","~~"),"*","~*"),"?","~?"),Guide!$A$7:$A$9,0))),INDEX(Guide!$B$7:$B$9,MATCH(SUBSTITUTE(SUBSTITUTE(SUBSTITUTE(H1722,"~","~~"),"*","~*"),"?","~?"),Guide!$A$7:$A$9,0)),""),"")</f>
        <v>Office</v>
      </c>
      <c r="J1722" s="1" t="str">
        <f>IF(TRIM(Raw!E1722)="",I1722,IF(UPPER(TRIM(Raw!E1722))=UPPER(I1722),I1722,""))</f>
        <v>Office</v>
      </c>
      <c r="K1722" s="1" t="str">
        <f>IF(Raw!F1722="","",Raw!F1722)</f>
        <v>sale</v>
      </c>
      <c r="L1722" s="1" t="str">
        <f>IF(LEFT(TRIM(Raw!G1722),2)="-$","-"&amp;MID(TRIM(Raw!G1722),3,99),IF(LEFT(TRIM(Raw!G1722),1)="$",MID(TRIM(Raw!G1722),2,99),TRIM(Raw!G1722)))</f>
        <v>39.54</v>
      </c>
      <c r="M1722" s="1">
        <f t="shared" si="211"/>
        <v>39.54</v>
      </c>
      <c r="N1722" s="10">
        <f t="shared" si="212"/>
        <v>3954</v>
      </c>
      <c r="O1722" s="1" t="b">
        <f>IFERROR(IF(ISNUMBER(Raw!G1722),TRUE,OR(EXACT(L1722,TEXT(M1722,"0.00")),EXACT(L1722,TEXT(M1722,"#,##0.00")))),FALSE)</f>
        <v>1</v>
      </c>
      <c r="P1722" s="1" t="str">
        <f>LEN(IF(Raw!A1722="","",Raw!A1722))&amp;":"&amp;IF(Raw!A1722="","",Raw!A1722)&amp;"|"&amp;LEN(IF(Raw!B1722="","",Raw!B1722))&amp;":"&amp;IF(Raw!B1722="","",Raw!B1722)&amp;"|"&amp;LEN(IF(Raw!C1722="","",Raw!C1722))&amp;":"&amp;IF(Raw!C1722="","",Raw!C1722)&amp;"|"&amp;LEN(IF(Raw!D1722="","",Raw!D1722))&amp;":"&amp;IF(Raw!D1722="","",Raw!D1722)&amp;"|"&amp;LEN(IF(Raw!E1722="","",Raw!E1722))&amp;":"&amp;IF(Raw!E1722="","",Raw!E1722)&amp;"|"&amp;LEN(IF(Raw!F1722="","",Raw!F1722))&amp;":"&amp;IF(Raw!F1722="","",Raw!F1722)&amp;"|"&amp;LEN(IF(Raw!G1722="","",Raw!G1722))&amp;":"&amp;IF(Raw!G1722="","",Raw!G1722)</f>
        <v>6:L01716|6:T00858|10:2026-03-01|3:P-O|6:Office|4:sale|5:39.54</v>
      </c>
      <c r="Q1722" s="1">
        <f>1</f>
        <v>1</v>
      </c>
      <c r="R1722" s="1" t="b">
        <f>FALSE</f>
        <v>0</v>
      </c>
      <c r="S1722" s="1">
        <f>1</f>
        <v>1</v>
      </c>
      <c r="T1722" s="1" t="str">
        <f>IF(AND(Raw!A1722="",Raw!B1722="",Raw!C1722="",Raw!D1722="",Raw!E1722="",Raw!F1722="",Raw!G1722=""),"UNUSED",IF(A1722="","missing line ID",IF(B1722="","missing transaction ID",IF(G1722="",IF(C1722="","missing date","invalid date"),IF(I1722="","unknown product",IF(J1722="","conflicting category",IF(NOT(OR(EXACT(K1722,"sale"),EXACT(K1722,"refund"))),"unknown event",IF(OR(N1722="",NOT(O1722)),"invalid amount",IF(OR(AND(K1722="sale",N1722&lt;=0),AND(K1722="refund",N1722&gt;=0)),"invalid sign","")))))))))</f>
        <v/>
      </c>
      <c r="U1722" s="1" t="str">
        <f t="shared" si="213"/>
        <v>INCLUDED</v>
      </c>
      <c r="V1722" s="1" t="str">
        <f t="shared" si="214"/>
        <v>2026-03</v>
      </c>
      <c r="W1722" s="1">
        <f>IF(AND(U1722="INCLUDED",X1722&gt;0,EXACT(A1722,'AI output'!A1722)),1,0)</f>
        <v>1</v>
      </c>
      <c r="X1722" s="1">
        <f>1722</f>
        <v>1722</v>
      </c>
      <c r="Y1722" s="1">
        <f>IF(AND(U1722="INCLUDED",W1722=1),--(NOT(EXACT(A1722,'AI output'!A1722)))+--(NOT(EXACT(B1722,'AI output'!B1722)))+--(NOT(EXACT(TEXT(G1722,"yyyy-mm-dd"),'AI output'!C1722)))+--(NOT(EXACT(H1722,'AI output'!D1722)))+--(NOT(EXACT(J1722,'AI output'!E1722)))+--(NOT(EXACT(K1722,'AI output'!F1722)))+--(N1722&lt;&gt;'AI output'!L1722)+--(NOT('AI output'!M1722)),0)</f>
        <v>0</v>
      </c>
      <c r="Z1722" s="1">
        <f t="shared" si="215"/>
        <v>0</v>
      </c>
      <c r="AA1722" s="1">
        <f>--EXACT(A1722,"L01716")</f>
        <v>1</v>
      </c>
    </row>
    <row r="1723" spans="1:27" ht="18.95" customHeight="1">
      <c r="A1723" s="1" t="str">
        <f>IF(Raw!A1723="","",Raw!A1723)</f>
        <v>L01717</v>
      </c>
      <c r="B1723" s="1" t="str">
        <f>IF(Raw!B1723="","",Raw!B1723)</f>
        <v>T00859</v>
      </c>
      <c r="C1723" s="1" t="str">
        <f>IF(Raw!C1723="","",Raw!C1723)</f>
        <v>2026-03-08</v>
      </c>
      <c r="D1723" s="1">
        <f t="shared" si="208"/>
        <v>2026</v>
      </c>
      <c r="E1723" s="1">
        <f>IFERROR(IF(AND(LEN(C1723)=10,MID(C1723,5,1)="-",MID(C1723,8,1)="-"),VALUE(MID(C1723,6,2)),IF(AND(LEN(C1723)=11,MID(C1723,3,1)="-",MID(C1723,7,1)="-"),MATCH(UPPER(MID(C1723,4,3)),Guide!$D$7:$D$18,0),0)),0)</f>
        <v>3</v>
      </c>
      <c r="F1723" s="1">
        <f t="shared" si="209"/>
        <v>8</v>
      </c>
      <c r="G1723" s="9">
        <f t="shared" si="210"/>
        <v>46089</v>
      </c>
      <c r="H1723" s="1" t="str">
        <f>IF(Raw!D1723="","",Raw!D1723)</f>
        <v>P-A</v>
      </c>
      <c r="I1723" s="1" t="str">
        <f>IFERROR(IF(EXACT(H1723,INDEX(Guide!$A$7:$A$9,MATCH(SUBSTITUTE(SUBSTITUTE(SUBSTITUTE(H1723,"~","~~"),"*","~*"),"?","~?"),Guide!$A$7:$A$9,0))),INDEX(Guide!$B$7:$B$9,MATCH(SUBSTITUTE(SUBSTITUTE(SUBSTITUTE(H1723,"~","~~"),"*","~*"),"?","~?"),Guide!$A$7:$A$9,0)),""),"")</f>
        <v>Accessories</v>
      </c>
      <c r="J1723" s="1" t="str">
        <f>IF(TRIM(Raw!E1723)="",I1723,IF(UPPER(TRIM(Raw!E1723))=UPPER(I1723),I1723,""))</f>
        <v>Accessories</v>
      </c>
      <c r="K1723" s="1" t="str">
        <f>IF(Raw!F1723="","",Raw!F1723)</f>
        <v>sale</v>
      </c>
      <c r="L1723" s="1" t="str">
        <f>IF(LEFT(TRIM(Raw!G1723),2)="-$","-"&amp;MID(TRIM(Raw!G1723),3,99),IF(LEFT(TRIM(Raw!G1723),1)="$",MID(TRIM(Raw!G1723),2,99),TRIM(Raw!G1723)))</f>
        <v>119.73</v>
      </c>
      <c r="M1723" s="1">
        <f t="shared" si="211"/>
        <v>119.73</v>
      </c>
      <c r="N1723" s="10">
        <f t="shared" si="212"/>
        <v>11973</v>
      </c>
      <c r="O1723" s="1" t="b">
        <f>IFERROR(IF(ISNUMBER(Raw!G1723),TRUE,OR(EXACT(L1723,TEXT(M1723,"0.00")),EXACT(L1723,TEXT(M1723,"#,##0.00")))),FALSE)</f>
        <v>1</v>
      </c>
      <c r="P1723" s="1" t="str">
        <f>LEN(IF(Raw!A1723="","",Raw!A1723))&amp;":"&amp;IF(Raw!A1723="","",Raw!A1723)&amp;"|"&amp;LEN(IF(Raw!B1723="","",Raw!B1723))&amp;":"&amp;IF(Raw!B1723="","",Raw!B1723)&amp;"|"&amp;LEN(IF(Raw!C1723="","",Raw!C1723))&amp;":"&amp;IF(Raw!C1723="","",Raw!C1723)&amp;"|"&amp;LEN(IF(Raw!D1723="","",Raw!D1723))&amp;":"&amp;IF(Raw!D1723="","",Raw!D1723)&amp;"|"&amp;LEN(IF(Raw!E1723="","",Raw!E1723))&amp;":"&amp;IF(Raw!E1723="","",Raw!E1723)&amp;"|"&amp;LEN(IF(Raw!F1723="","",Raw!F1723))&amp;":"&amp;IF(Raw!F1723="","",Raw!F1723)&amp;"|"&amp;LEN(IF(Raw!G1723="","",Raw!G1723))&amp;":"&amp;IF(Raw!G1723="","",Raw!G1723)</f>
        <v>6:L01717|6:T00859|10:2026-03-08|3:P-A|11:Accessories|4:sale|6:119.73</v>
      </c>
      <c r="Q1723" s="1">
        <f>1</f>
        <v>1</v>
      </c>
      <c r="R1723" s="1" t="b">
        <f>FALSE</f>
        <v>0</v>
      </c>
      <c r="S1723" s="1">
        <f>1</f>
        <v>1</v>
      </c>
      <c r="T1723" s="1" t="str">
        <f>IF(AND(Raw!A1723="",Raw!B1723="",Raw!C1723="",Raw!D1723="",Raw!E1723="",Raw!F1723="",Raw!G1723=""),"UNUSED",IF(A1723="","missing line ID",IF(B1723="","missing transaction ID",IF(G1723="",IF(C1723="","missing date","invalid date"),IF(I1723="","unknown product",IF(J1723="","conflicting category",IF(NOT(OR(EXACT(K1723,"sale"),EXACT(K1723,"refund"))),"unknown event",IF(OR(N1723="",NOT(O1723)),"invalid amount",IF(OR(AND(K1723="sale",N1723&lt;=0),AND(K1723="refund",N1723&gt;=0)),"invalid sign","")))))))))</f>
        <v/>
      </c>
      <c r="U1723" s="1" t="str">
        <f t="shared" si="213"/>
        <v>INCLUDED</v>
      </c>
      <c r="V1723" s="1" t="str">
        <f t="shared" si="214"/>
        <v>2026-03</v>
      </c>
      <c r="W1723" s="1">
        <f>IF(AND(U1723="INCLUDED",X1723&gt;0,EXACT(A1723,'AI output'!A1723)),1,0)</f>
        <v>1</v>
      </c>
      <c r="X1723" s="1">
        <f>1723</f>
        <v>1723</v>
      </c>
      <c r="Y1723" s="1">
        <f>IF(AND(U1723="INCLUDED",W1723=1),--(NOT(EXACT(A1723,'AI output'!A1723)))+--(NOT(EXACT(B1723,'AI output'!B1723)))+--(NOT(EXACT(TEXT(G1723,"yyyy-mm-dd"),'AI output'!C1723)))+--(NOT(EXACT(H1723,'AI output'!D1723)))+--(NOT(EXACT(J1723,'AI output'!E1723)))+--(NOT(EXACT(K1723,'AI output'!F1723)))+--(N1723&lt;&gt;'AI output'!L1723)+--(NOT('AI output'!M1723)),0)</f>
        <v>0</v>
      </c>
      <c r="Z1723" s="1">
        <f t="shared" si="215"/>
        <v>0</v>
      </c>
      <c r="AA1723" s="1">
        <f>--EXACT(A1723,"L01717")</f>
        <v>1</v>
      </c>
    </row>
    <row r="1724" spans="1:27" ht="18.95" customHeight="1">
      <c r="A1724" s="1" t="str">
        <f>IF(Raw!A1724="","",Raw!A1724)</f>
        <v>L01718</v>
      </c>
      <c r="B1724" s="1" t="str">
        <f>IF(Raw!B1724="","",Raw!B1724)</f>
        <v>T00859</v>
      </c>
      <c r="C1724" s="1" t="str">
        <f>IF(Raw!C1724="","",Raw!C1724)</f>
        <v>2026-03-08</v>
      </c>
      <c r="D1724" s="1">
        <f t="shared" si="208"/>
        <v>2026</v>
      </c>
      <c r="E1724" s="1">
        <f>IFERROR(IF(AND(LEN(C1724)=10,MID(C1724,5,1)="-",MID(C1724,8,1)="-"),VALUE(MID(C1724,6,2)),IF(AND(LEN(C1724)=11,MID(C1724,3,1)="-",MID(C1724,7,1)="-"),MATCH(UPPER(MID(C1724,4,3)),Guide!$D$7:$D$18,0),0)),0)</f>
        <v>3</v>
      </c>
      <c r="F1724" s="1">
        <f t="shared" si="209"/>
        <v>8</v>
      </c>
      <c r="G1724" s="9">
        <f t="shared" si="210"/>
        <v>46089</v>
      </c>
      <c r="H1724" s="1" t="str">
        <f>IF(Raw!D1724="","",Raw!D1724)</f>
        <v>P-H</v>
      </c>
      <c r="I1724" s="1" t="str">
        <f>IFERROR(IF(EXACT(H1724,INDEX(Guide!$A$7:$A$9,MATCH(SUBSTITUTE(SUBSTITUTE(SUBSTITUTE(H1724,"~","~~"),"*","~*"),"?","~?"),Guide!$A$7:$A$9,0))),INDEX(Guide!$B$7:$B$9,MATCH(SUBSTITUTE(SUBSTITUTE(SUBSTITUTE(H1724,"~","~~"),"*","~*"),"?","~?"),Guide!$A$7:$A$9,0)),""),"")</f>
        <v>Home</v>
      </c>
      <c r="J1724" s="1" t="str">
        <f>IF(TRIM(Raw!E1724)="",I1724,IF(UPPER(TRIM(Raw!E1724))=UPPER(I1724),I1724,""))</f>
        <v>Home</v>
      </c>
      <c r="K1724" s="1" t="str">
        <f>IF(Raw!F1724="","",Raw!F1724)</f>
        <v>sale</v>
      </c>
      <c r="L1724" s="1" t="str">
        <f>IF(LEFT(TRIM(Raw!G1724),2)="-$","-"&amp;MID(TRIM(Raw!G1724),3,99),IF(LEFT(TRIM(Raw!G1724),1)="$",MID(TRIM(Raw!G1724),2,99),TRIM(Raw!G1724)))</f>
        <v>201.40</v>
      </c>
      <c r="M1724" s="1">
        <f t="shared" si="211"/>
        <v>201.4</v>
      </c>
      <c r="N1724" s="10">
        <f t="shared" si="212"/>
        <v>20140</v>
      </c>
      <c r="O1724" s="1" t="b">
        <f>IFERROR(IF(ISNUMBER(Raw!G1724),TRUE,OR(EXACT(L1724,TEXT(M1724,"0.00")),EXACT(L1724,TEXT(M1724,"#,##0.00")))),FALSE)</f>
        <v>1</v>
      </c>
      <c r="P1724" s="1" t="str">
        <f>LEN(IF(Raw!A1724="","",Raw!A1724))&amp;":"&amp;IF(Raw!A1724="","",Raw!A1724)&amp;"|"&amp;LEN(IF(Raw!B1724="","",Raw!B1724))&amp;":"&amp;IF(Raw!B1724="","",Raw!B1724)&amp;"|"&amp;LEN(IF(Raw!C1724="","",Raw!C1724))&amp;":"&amp;IF(Raw!C1724="","",Raw!C1724)&amp;"|"&amp;LEN(IF(Raw!D1724="","",Raw!D1724))&amp;":"&amp;IF(Raw!D1724="","",Raw!D1724)&amp;"|"&amp;LEN(IF(Raw!E1724="","",Raw!E1724))&amp;":"&amp;IF(Raw!E1724="","",Raw!E1724)&amp;"|"&amp;LEN(IF(Raw!F1724="","",Raw!F1724))&amp;":"&amp;IF(Raw!F1724="","",Raw!F1724)&amp;"|"&amp;LEN(IF(Raw!G1724="","",Raw!G1724))&amp;":"&amp;IF(Raw!G1724="","",Raw!G1724)</f>
        <v>6:L01718|6:T00859|10:2026-03-08|3:P-H|4:Home|4:sale|6:201.40</v>
      </c>
      <c r="Q1724" s="1">
        <f>1</f>
        <v>1</v>
      </c>
      <c r="R1724" s="1" t="b">
        <f>FALSE</f>
        <v>0</v>
      </c>
      <c r="S1724" s="1">
        <f>1</f>
        <v>1</v>
      </c>
      <c r="T1724" s="1" t="str">
        <f>IF(AND(Raw!A1724="",Raw!B1724="",Raw!C1724="",Raw!D1724="",Raw!E1724="",Raw!F1724="",Raw!G1724=""),"UNUSED",IF(A1724="","missing line ID",IF(B1724="","missing transaction ID",IF(G1724="",IF(C1724="","missing date","invalid date"),IF(I1724="","unknown product",IF(J1724="","conflicting category",IF(NOT(OR(EXACT(K1724,"sale"),EXACT(K1724,"refund"))),"unknown event",IF(OR(N1724="",NOT(O1724)),"invalid amount",IF(OR(AND(K1724="sale",N1724&lt;=0),AND(K1724="refund",N1724&gt;=0)),"invalid sign","")))))))))</f>
        <v/>
      </c>
      <c r="U1724" s="1" t="str">
        <f t="shared" si="213"/>
        <v>INCLUDED</v>
      </c>
      <c r="V1724" s="1" t="str">
        <f t="shared" si="214"/>
        <v>2026-03</v>
      </c>
      <c r="W1724" s="1">
        <f>IF(AND(U1724="INCLUDED",X1724&gt;0,EXACT(A1724,'AI output'!A1724)),1,0)</f>
        <v>1</v>
      </c>
      <c r="X1724" s="1">
        <f>1724</f>
        <v>1724</v>
      </c>
      <c r="Y1724" s="1">
        <f>IF(AND(U1724="INCLUDED",W1724=1),--(NOT(EXACT(A1724,'AI output'!A1724)))+--(NOT(EXACT(B1724,'AI output'!B1724)))+--(NOT(EXACT(TEXT(G1724,"yyyy-mm-dd"),'AI output'!C1724)))+--(NOT(EXACT(H1724,'AI output'!D1724)))+--(NOT(EXACT(J1724,'AI output'!E1724)))+--(NOT(EXACT(K1724,'AI output'!F1724)))+--(N1724&lt;&gt;'AI output'!L1724)+--(NOT('AI output'!M1724)),0)</f>
        <v>0</v>
      </c>
      <c r="Z1724" s="1">
        <f t="shared" si="215"/>
        <v>0</v>
      </c>
      <c r="AA1724" s="1">
        <f>--EXACT(A1724,"L01718")</f>
        <v>1</v>
      </c>
    </row>
    <row r="1725" spans="1:27" ht="18.95" customHeight="1">
      <c r="A1725" s="1" t="str">
        <f>IF(Raw!A1725="","",Raw!A1725)</f>
        <v>L01719</v>
      </c>
      <c r="B1725" s="1" t="str">
        <f>IF(Raw!B1725="","",Raw!B1725)</f>
        <v>T00860</v>
      </c>
      <c r="C1725" s="1" t="str">
        <f>IF(Raw!C1725="","",Raw!C1725)</f>
        <v>2026-03-15</v>
      </c>
      <c r="D1725" s="1">
        <f t="shared" si="208"/>
        <v>2026</v>
      </c>
      <c r="E1725" s="1">
        <f>IFERROR(IF(AND(LEN(C1725)=10,MID(C1725,5,1)="-",MID(C1725,8,1)="-"),VALUE(MID(C1725,6,2)),IF(AND(LEN(C1725)=11,MID(C1725,3,1)="-",MID(C1725,7,1)="-"),MATCH(UPPER(MID(C1725,4,3)),Guide!$D$7:$D$18,0),0)),0)</f>
        <v>3</v>
      </c>
      <c r="F1725" s="1">
        <f t="shared" si="209"/>
        <v>15</v>
      </c>
      <c r="G1725" s="9">
        <f t="shared" si="210"/>
        <v>46096</v>
      </c>
      <c r="H1725" s="1" t="str">
        <f>IF(Raw!D1725="","",Raw!D1725)</f>
        <v>P-O</v>
      </c>
      <c r="I1725" s="1" t="str">
        <f>IFERROR(IF(EXACT(H1725,INDEX(Guide!$A$7:$A$9,MATCH(SUBSTITUTE(SUBSTITUTE(SUBSTITUTE(H1725,"~","~~"),"*","~*"),"?","~?"),Guide!$A$7:$A$9,0))),INDEX(Guide!$B$7:$B$9,MATCH(SUBSTITUTE(SUBSTITUTE(SUBSTITUTE(H1725,"~","~~"),"*","~*"),"?","~?"),Guide!$A$7:$A$9,0)),""),"")</f>
        <v>Office</v>
      </c>
      <c r="J1725" s="1" t="str">
        <f>IF(TRIM(Raw!E1725)="",I1725,IF(UPPER(TRIM(Raw!E1725))=UPPER(I1725),I1725,""))</f>
        <v>Office</v>
      </c>
      <c r="K1725" s="1" t="str">
        <f>IF(Raw!F1725="","",Raw!F1725)</f>
        <v>sale</v>
      </c>
      <c r="L1725" s="1" t="str">
        <f>IF(LEFT(TRIM(Raw!G1725),2)="-$","-"&amp;MID(TRIM(Raw!G1725),3,99),IF(LEFT(TRIM(Raw!G1725),1)="$",MID(TRIM(Raw!G1725),2,99),TRIM(Raw!G1725)))</f>
        <v>81.30</v>
      </c>
      <c r="M1725" s="1">
        <f t="shared" si="211"/>
        <v>81.3</v>
      </c>
      <c r="N1725" s="10">
        <f t="shared" si="212"/>
        <v>8130</v>
      </c>
      <c r="O1725" s="1" t="b">
        <f>IFERROR(IF(ISNUMBER(Raw!G1725),TRUE,OR(EXACT(L1725,TEXT(M1725,"0.00")),EXACT(L1725,TEXT(M1725,"#,##0.00")))),FALSE)</f>
        <v>1</v>
      </c>
      <c r="P1725" s="1" t="str">
        <f>LEN(IF(Raw!A1725="","",Raw!A1725))&amp;":"&amp;IF(Raw!A1725="","",Raw!A1725)&amp;"|"&amp;LEN(IF(Raw!B1725="","",Raw!B1725))&amp;":"&amp;IF(Raw!B1725="","",Raw!B1725)&amp;"|"&amp;LEN(IF(Raw!C1725="","",Raw!C1725))&amp;":"&amp;IF(Raw!C1725="","",Raw!C1725)&amp;"|"&amp;LEN(IF(Raw!D1725="","",Raw!D1725))&amp;":"&amp;IF(Raw!D1725="","",Raw!D1725)&amp;"|"&amp;LEN(IF(Raw!E1725="","",Raw!E1725))&amp;":"&amp;IF(Raw!E1725="","",Raw!E1725)&amp;"|"&amp;LEN(IF(Raw!F1725="","",Raw!F1725))&amp;":"&amp;IF(Raw!F1725="","",Raw!F1725)&amp;"|"&amp;LEN(IF(Raw!G1725="","",Raw!G1725))&amp;":"&amp;IF(Raw!G1725="","",Raw!G1725)</f>
        <v>6:L01719|6:T00860|10:2026-03-15|3:P-O|6:Office|4:sale|5:81.30</v>
      </c>
      <c r="Q1725" s="1">
        <f>1</f>
        <v>1</v>
      </c>
      <c r="R1725" s="1" t="b">
        <f>FALSE</f>
        <v>0</v>
      </c>
      <c r="S1725" s="1">
        <f>1</f>
        <v>1</v>
      </c>
      <c r="T1725" s="1" t="str">
        <f>IF(AND(Raw!A1725="",Raw!B1725="",Raw!C1725="",Raw!D1725="",Raw!E1725="",Raw!F1725="",Raw!G1725=""),"UNUSED",IF(A1725="","missing line ID",IF(B1725="","missing transaction ID",IF(G1725="",IF(C1725="","missing date","invalid date"),IF(I1725="","unknown product",IF(J1725="","conflicting category",IF(NOT(OR(EXACT(K1725,"sale"),EXACT(K1725,"refund"))),"unknown event",IF(OR(N1725="",NOT(O1725)),"invalid amount",IF(OR(AND(K1725="sale",N1725&lt;=0),AND(K1725="refund",N1725&gt;=0)),"invalid sign","")))))))))</f>
        <v/>
      </c>
      <c r="U1725" s="1" t="str">
        <f t="shared" si="213"/>
        <v>INCLUDED</v>
      </c>
      <c r="V1725" s="1" t="str">
        <f t="shared" si="214"/>
        <v>2026-03</v>
      </c>
      <c r="W1725" s="1">
        <f>IF(AND(U1725="INCLUDED",X1725&gt;0,EXACT(A1725,'AI output'!A1725)),1,0)</f>
        <v>1</v>
      </c>
      <c r="X1725" s="1">
        <f>1725</f>
        <v>1725</v>
      </c>
      <c r="Y1725" s="1">
        <f>IF(AND(U1725="INCLUDED",W1725=1),--(NOT(EXACT(A1725,'AI output'!A1725)))+--(NOT(EXACT(B1725,'AI output'!B1725)))+--(NOT(EXACT(TEXT(G1725,"yyyy-mm-dd"),'AI output'!C1725)))+--(NOT(EXACT(H1725,'AI output'!D1725)))+--(NOT(EXACT(J1725,'AI output'!E1725)))+--(NOT(EXACT(K1725,'AI output'!F1725)))+--(N1725&lt;&gt;'AI output'!L1725)+--(NOT('AI output'!M1725)),0)</f>
        <v>0</v>
      </c>
      <c r="Z1725" s="1">
        <f t="shared" si="215"/>
        <v>0</v>
      </c>
      <c r="AA1725" s="1">
        <f>--EXACT(A1725,"L01719")</f>
        <v>1</v>
      </c>
    </row>
    <row r="1726" spans="1:27" ht="18.95" customHeight="1">
      <c r="A1726" s="1" t="str">
        <f>IF(Raw!A1726="","",Raw!A1726)</f>
        <v>L01720</v>
      </c>
      <c r="B1726" s="1" t="str">
        <f>IF(Raw!B1726="","",Raw!B1726)</f>
        <v>T00860</v>
      </c>
      <c r="C1726" s="1" t="str">
        <f>IF(Raw!C1726="","",Raw!C1726)</f>
        <v>2026-03-15</v>
      </c>
      <c r="D1726" s="1">
        <f t="shared" si="208"/>
        <v>2026</v>
      </c>
      <c r="E1726" s="1">
        <f>IFERROR(IF(AND(LEN(C1726)=10,MID(C1726,5,1)="-",MID(C1726,8,1)="-"),VALUE(MID(C1726,6,2)),IF(AND(LEN(C1726)=11,MID(C1726,3,1)="-",MID(C1726,7,1)="-"),MATCH(UPPER(MID(C1726,4,3)),Guide!$D$7:$D$18,0),0)),0)</f>
        <v>3</v>
      </c>
      <c r="F1726" s="1">
        <f t="shared" si="209"/>
        <v>15</v>
      </c>
      <c r="G1726" s="9">
        <f t="shared" si="210"/>
        <v>46096</v>
      </c>
      <c r="H1726" s="1" t="str">
        <f>IF(Raw!D1726="","",Raw!D1726)</f>
        <v>P-A</v>
      </c>
      <c r="I1726" s="1" t="str">
        <f>IFERROR(IF(EXACT(H1726,INDEX(Guide!$A$7:$A$9,MATCH(SUBSTITUTE(SUBSTITUTE(SUBSTITUTE(H1726,"~","~~"),"*","~*"),"?","~?"),Guide!$A$7:$A$9,0))),INDEX(Guide!$B$7:$B$9,MATCH(SUBSTITUTE(SUBSTITUTE(SUBSTITUTE(H1726,"~","~~"),"*","~*"),"?","~?"),Guide!$A$7:$A$9,0)),""),"")</f>
        <v>Accessories</v>
      </c>
      <c r="J1726" s="1" t="str">
        <f>IF(TRIM(Raw!E1726)="",I1726,IF(UPPER(TRIM(Raw!E1726))=UPPER(I1726),I1726,""))</f>
        <v>Accessories</v>
      </c>
      <c r="K1726" s="1" t="str">
        <f>IF(Raw!F1726="","",Raw!F1726)</f>
        <v>sale</v>
      </c>
      <c r="L1726" s="1" t="str">
        <f>IF(LEFT(TRIM(Raw!G1726),2)="-$","-"&amp;MID(TRIM(Raw!G1726),3,99),IF(LEFT(TRIM(Raw!G1726),1)="$",MID(TRIM(Raw!G1726),2,99),TRIM(Raw!G1726)))</f>
        <v>164.08</v>
      </c>
      <c r="M1726" s="1">
        <f t="shared" si="211"/>
        <v>164.08</v>
      </c>
      <c r="N1726" s="10">
        <f t="shared" si="212"/>
        <v>16408</v>
      </c>
      <c r="O1726" s="1" t="b">
        <f>IFERROR(IF(ISNUMBER(Raw!G1726),TRUE,OR(EXACT(L1726,TEXT(M1726,"0.00")),EXACT(L1726,TEXT(M1726,"#,##0.00")))),FALSE)</f>
        <v>1</v>
      </c>
      <c r="P1726" s="1" t="str">
        <f>LEN(IF(Raw!A1726="","",Raw!A1726))&amp;":"&amp;IF(Raw!A1726="","",Raw!A1726)&amp;"|"&amp;LEN(IF(Raw!B1726="","",Raw!B1726))&amp;":"&amp;IF(Raw!B1726="","",Raw!B1726)&amp;"|"&amp;LEN(IF(Raw!C1726="","",Raw!C1726))&amp;":"&amp;IF(Raw!C1726="","",Raw!C1726)&amp;"|"&amp;LEN(IF(Raw!D1726="","",Raw!D1726))&amp;":"&amp;IF(Raw!D1726="","",Raw!D1726)&amp;"|"&amp;LEN(IF(Raw!E1726="","",Raw!E1726))&amp;":"&amp;IF(Raw!E1726="","",Raw!E1726)&amp;"|"&amp;LEN(IF(Raw!F1726="","",Raw!F1726))&amp;":"&amp;IF(Raw!F1726="","",Raw!F1726)&amp;"|"&amp;LEN(IF(Raw!G1726="","",Raw!G1726))&amp;":"&amp;IF(Raw!G1726="","",Raw!G1726)</f>
        <v>6:L01720|6:T00860|10:2026-03-15|3:P-A|11:Accessories|4:sale|6:164.08</v>
      </c>
      <c r="Q1726" s="1">
        <f>1</f>
        <v>1</v>
      </c>
      <c r="R1726" s="1" t="b">
        <f>FALSE</f>
        <v>0</v>
      </c>
      <c r="S1726" s="1">
        <f>1</f>
        <v>1</v>
      </c>
      <c r="T1726" s="1" t="str">
        <f>IF(AND(Raw!A1726="",Raw!B1726="",Raw!C1726="",Raw!D1726="",Raw!E1726="",Raw!F1726="",Raw!G1726=""),"UNUSED",IF(A1726="","missing line ID",IF(B1726="","missing transaction ID",IF(G1726="",IF(C1726="","missing date","invalid date"),IF(I1726="","unknown product",IF(J1726="","conflicting category",IF(NOT(OR(EXACT(K1726,"sale"),EXACT(K1726,"refund"))),"unknown event",IF(OR(N1726="",NOT(O1726)),"invalid amount",IF(OR(AND(K1726="sale",N1726&lt;=0),AND(K1726="refund",N1726&gt;=0)),"invalid sign","")))))))))</f>
        <v/>
      </c>
      <c r="U1726" s="1" t="str">
        <f t="shared" si="213"/>
        <v>INCLUDED</v>
      </c>
      <c r="V1726" s="1" t="str">
        <f t="shared" si="214"/>
        <v>2026-03</v>
      </c>
      <c r="W1726" s="1">
        <f>IF(AND(U1726="INCLUDED",X1726&gt;0,EXACT(A1726,'AI output'!A1726)),1,0)</f>
        <v>1</v>
      </c>
      <c r="X1726" s="1">
        <f>1726</f>
        <v>1726</v>
      </c>
      <c r="Y1726" s="1">
        <f>IF(AND(U1726="INCLUDED",W1726=1),--(NOT(EXACT(A1726,'AI output'!A1726)))+--(NOT(EXACT(B1726,'AI output'!B1726)))+--(NOT(EXACT(TEXT(G1726,"yyyy-mm-dd"),'AI output'!C1726)))+--(NOT(EXACT(H1726,'AI output'!D1726)))+--(NOT(EXACT(J1726,'AI output'!E1726)))+--(NOT(EXACT(K1726,'AI output'!F1726)))+--(N1726&lt;&gt;'AI output'!L1726)+--(NOT('AI output'!M1726)),0)</f>
        <v>0</v>
      </c>
      <c r="Z1726" s="1">
        <f t="shared" si="215"/>
        <v>0</v>
      </c>
      <c r="AA1726" s="1">
        <f>--EXACT(A1726,"L01720")</f>
        <v>1</v>
      </c>
    </row>
    <row r="1727" spans="1:27" ht="18.95" customHeight="1">
      <c r="A1727" s="1" t="str">
        <f>IF(Raw!A1727="","",Raw!A1727)</f>
        <v>L01721</v>
      </c>
      <c r="B1727" s="1" t="str">
        <f>IF(Raw!B1727="","",Raw!B1727)</f>
        <v>T00861</v>
      </c>
      <c r="C1727" s="1" t="str">
        <f>IF(Raw!C1727="","",Raw!C1727)</f>
        <v>2026-03-22</v>
      </c>
      <c r="D1727" s="1">
        <f t="shared" si="208"/>
        <v>2026</v>
      </c>
      <c r="E1727" s="1">
        <f>IFERROR(IF(AND(LEN(C1727)=10,MID(C1727,5,1)="-",MID(C1727,8,1)="-"),VALUE(MID(C1727,6,2)),IF(AND(LEN(C1727)=11,MID(C1727,3,1)="-",MID(C1727,7,1)="-"),MATCH(UPPER(MID(C1727,4,3)),Guide!$D$7:$D$18,0),0)),0)</f>
        <v>3</v>
      </c>
      <c r="F1727" s="1">
        <f t="shared" si="209"/>
        <v>22</v>
      </c>
      <c r="G1727" s="9">
        <f t="shared" si="210"/>
        <v>46103</v>
      </c>
      <c r="H1727" s="1" t="str">
        <f>IF(Raw!D1727="","",Raw!D1727)</f>
        <v>P-H</v>
      </c>
      <c r="I1727" s="1" t="str">
        <f>IFERROR(IF(EXACT(H1727,INDEX(Guide!$A$7:$A$9,MATCH(SUBSTITUTE(SUBSTITUTE(SUBSTITUTE(H1727,"~","~~"),"*","~*"),"?","~?"),Guide!$A$7:$A$9,0))),INDEX(Guide!$B$7:$B$9,MATCH(SUBSTITUTE(SUBSTITUTE(SUBSTITUTE(H1727,"~","~~"),"*","~*"),"?","~?"),Guide!$A$7:$A$9,0)),""),"")</f>
        <v>Home</v>
      </c>
      <c r="J1727" s="1" t="str">
        <f>IF(TRIM(Raw!E1727)="",I1727,IF(UPPER(TRIM(Raw!E1727))=UPPER(I1727),I1727,""))</f>
        <v>Home</v>
      </c>
      <c r="K1727" s="1" t="str">
        <f>IF(Raw!F1727="","",Raw!F1727)</f>
        <v>sale</v>
      </c>
      <c r="L1727" s="1" t="str">
        <f>IF(LEFT(TRIM(Raw!G1727),2)="-$","-"&amp;MID(TRIM(Raw!G1727),3,99),IF(LEFT(TRIM(Raw!G1727),1)="$",MID(TRIM(Raw!G1727),2,99),TRIM(Raw!G1727)))</f>
        <v>41.39</v>
      </c>
      <c r="M1727" s="1">
        <f t="shared" si="211"/>
        <v>41.39</v>
      </c>
      <c r="N1727" s="10">
        <f t="shared" si="212"/>
        <v>4139</v>
      </c>
      <c r="O1727" s="1" t="b">
        <f>IFERROR(IF(ISNUMBER(Raw!G1727),TRUE,OR(EXACT(L1727,TEXT(M1727,"0.00")),EXACT(L1727,TEXT(M1727,"#,##0.00")))),FALSE)</f>
        <v>1</v>
      </c>
      <c r="P1727" s="1" t="str">
        <f>LEN(IF(Raw!A1727="","",Raw!A1727))&amp;":"&amp;IF(Raw!A1727="","",Raw!A1727)&amp;"|"&amp;LEN(IF(Raw!B1727="","",Raw!B1727))&amp;":"&amp;IF(Raw!B1727="","",Raw!B1727)&amp;"|"&amp;LEN(IF(Raw!C1727="","",Raw!C1727))&amp;":"&amp;IF(Raw!C1727="","",Raw!C1727)&amp;"|"&amp;LEN(IF(Raw!D1727="","",Raw!D1727))&amp;":"&amp;IF(Raw!D1727="","",Raw!D1727)&amp;"|"&amp;LEN(IF(Raw!E1727="","",Raw!E1727))&amp;":"&amp;IF(Raw!E1727="","",Raw!E1727)&amp;"|"&amp;LEN(IF(Raw!F1727="","",Raw!F1727))&amp;":"&amp;IF(Raw!F1727="","",Raw!F1727)&amp;"|"&amp;LEN(IF(Raw!G1727="","",Raw!G1727))&amp;":"&amp;IF(Raw!G1727="","",Raw!G1727)</f>
        <v>6:L01721|6:T00861|10:2026-03-22|3:P-H|4:Home|4:sale|5:41.39</v>
      </c>
      <c r="Q1727" s="1">
        <f>1</f>
        <v>1</v>
      </c>
      <c r="R1727" s="1" t="b">
        <f>FALSE</f>
        <v>0</v>
      </c>
      <c r="S1727" s="1">
        <f>1</f>
        <v>1</v>
      </c>
      <c r="T1727" s="1" t="str">
        <f>IF(AND(Raw!A1727="",Raw!B1727="",Raw!C1727="",Raw!D1727="",Raw!E1727="",Raw!F1727="",Raw!G1727=""),"UNUSED",IF(A1727="","missing line ID",IF(B1727="","missing transaction ID",IF(G1727="",IF(C1727="","missing date","invalid date"),IF(I1727="","unknown product",IF(J1727="","conflicting category",IF(NOT(OR(EXACT(K1727,"sale"),EXACT(K1727,"refund"))),"unknown event",IF(OR(N1727="",NOT(O1727)),"invalid amount",IF(OR(AND(K1727="sale",N1727&lt;=0),AND(K1727="refund",N1727&gt;=0)),"invalid sign","")))))))))</f>
        <v/>
      </c>
      <c r="U1727" s="1" t="str">
        <f t="shared" si="213"/>
        <v>INCLUDED</v>
      </c>
      <c r="V1727" s="1" t="str">
        <f t="shared" si="214"/>
        <v>2026-03</v>
      </c>
      <c r="W1727" s="1">
        <f>IF(AND(U1727="INCLUDED",X1727&gt;0,EXACT(A1727,'AI output'!A1727)),1,0)</f>
        <v>1</v>
      </c>
      <c r="X1727" s="1">
        <f>1727</f>
        <v>1727</v>
      </c>
      <c r="Y1727" s="1">
        <f>IF(AND(U1727="INCLUDED",W1727=1),--(NOT(EXACT(A1727,'AI output'!A1727)))+--(NOT(EXACT(B1727,'AI output'!B1727)))+--(NOT(EXACT(TEXT(G1727,"yyyy-mm-dd"),'AI output'!C1727)))+--(NOT(EXACT(H1727,'AI output'!D1727)))+--(NOT(EXACT(J1727,'AI output'!E1727)))+--(NOT(EXACT(K1727,'AI output'!F1727)))+--(N1727&lt;&gt;'AI output'!L1727)+--(NOT('AI output'!M1727)),0)</f>
        <v>0</v>
      </c>
      <c r="Z1727" s="1">
        <f t="shared" si="215"/>
        <v>0</v>
      </c>
      <c r="AA1727" s="1">
        <f>--EXACT(A1727,"L01721")</f>
        <v>1</v>
      </c>
    </row>
    <row r="1728" spans="1:27" ht="18.95" customHeight="1">
      <c r="A1728" s="1" t="str">
        <f>IF(Raw!A1728="","",Raw!A1728)</f>
        <v>L01722</v>
      </c>
      <c r="B1728" s="1" t="str">
        <f>IF(Raw!B1728="","",Raw!B1728)</f>
        <v>T00861</v>
      </c>
      <c r="C1728" s="1" t="str">
        <f>IF(Raw!C1728="","",Raw!C1728)</f>
        <v>2026-03-22</v>
      </c>
      <c r="D1728" s="1">
        <f t="shared" si="208"/>
        <v>2026</v>
      </c>
      <c r="E1728" s="1">
        <f>IFERROR(IF(AND(LEN(C1728)=10,MID(C1728,5,1)="-",MID(C1728,8,1)="-"),VALUE(MID(C1728,6,2)),IF(AND(LEN(C1728)=11,MID(C1728,3,1)="-",MID(C1728,7,1)="-"),MATCH(UPPER(MID(C1728,4,3)),Guide!$D$7:$D$18,0),0)),0)</f>
        <v>3</v>
      </c>
      <c r="F1728" s="1">
        <f t="shared" si="209"/>
        <v>22</v>
      </c>
      <c r="G1728" s="9">
        <f t="shared" si="210"/>
        <v>46103</v>
      </c>
      <c r="H1728" s="1" t="str">
        <f>IF(Raw!D1728="","",Raw!D1728)</f>
        <v>P-O</v>
      </c>
      <c r="I1728" s="1" t="str">
        <f>IFERROR(IF(EXACT(H1728,INDEX(Guide!$A$7:$A$9,MATCH(SUBSTITUTE(SUBSTITUTE(SUBSTITUTE(H1728,"~","~~"),"*","~*"),"?","~?"),Guide!$A$7:$A$9,0))),INDEX(Guide!$B$7:$B$9,MATCH(SUBSTITUTE(SUBSTITUTE(SUBSTITUTE(H1728,"~","~~"),"*","~*"),"?","~?"),Guide!$A$7:$A$9,0)),""),"")</f>
        <v>Office</v>
      </c>
      <c r="J1728" s="1" t="str">
        <f>IF(TRIM(Raw!E1728)="",I1728,IF(UPPER(TRIM(Raw!E1728))=UPPER(I1728),I1728,""))</f>
        <v>Office</v>
      </c>
      <c r="K1728" s="1" t="str">
        <f>IF(Raw!F1728="","",Raw!F1728)</f>
        <v>sale</v>
      </c>
      <c r="L1728" s="1" t="str">
        <f>IF(LEFT(TRIM(Raw!G1728),2)="-$","-"&amp;MID(TRIM(Raw!G1728),3,99),IF(LEFT(TRIM(Raw!G1728),1)="$",MID(TRIM(Raw!G1728),2,99),TRIM(Raw!G1728)))</f>
        <v>125.28</v>
      </c>
      <c r="M1728" s="1">
        <f t="shared" si="211"/>
        <v>125.28</v>
      </c>
      <c r="N1728" s="10">
        <f t="shared" si="212"/>
        <v>12528</v>
      </c>
      <c r="O1728" s="1" t="b">
        <f>IFERROR(IF(ISNUMBER(Raw!G1728),TRUE,OR(EXACT(L1728,TEXT(M1728,"0.00")),EXACT(L1728,TEXT(M1728,"#,##0.00")))),FALSE)</f>
        <v>1</v>
      </c>
      <c r="P1728" s="1" t="str">
        <f>LEN(IF(Raw!A1728="","",Raw!A1728))&amp;":"&amp;IF(Raw!A1728="","",Raw!A1728)&amp;"|"&amp;LEN(IF(Raw!B1728="","",Raw!B1728))&amp;":"&amp;IF(Raw!B1728="","",Raw!B1728)&amp;"|"&amp;LEN(IF(Raw!C1728="","",Raw!C1728))&amp;":"&amp;IF(Raw!C1728="","",Raw!C1728)&amp;"|"&amp;LEN(IF(Raw!D1728="","",Raw!D1728))&amp;":"&amp;IF(Raw!D1728="","",Raw!D1728)&amp;"|"&amp;LEN(IF(Raw!E1728="","",Raw!E1728))&amp;":"&amp;IF(Raw!E1728="","",Raw!E1728)&amp;"|"&amp;LEN(IF(Raw!F1728="","",Raw!F1728))&amp;":"&amp;IF(Raw!F1728="","",Raw!F1728)&amp;"|"&amp;LEN(IF(Raw!G1728="","",Raw!G1728))&amp;":"&amp;IF(Raw!G1728="","",Raw!G1728)</f>
        <v>6:L01722|6:T00861|10:2026-03-22|3:P-O|6:Office|4:sale|6:125.28</v>
      </c>
      <c r="Q1728" s="1">
        <f>1</f>
        <v>1</v>
      </c>
      <c r="R1728" s="1" t="b">
        <f>FALSE</f>
        <v>0</v>
      </c>
      <c r="S1728" s="1">
        <f>1</f>
        <v>1</v>
      </c>
      <c r="T1728" s="1" t="str">
        <f>IF(AND(Raw!A1728="",Raw!B1728="",Raw!C1728="",Raw!D1728="",Raw!E1728="",Raw!F1728="",Raw!G1728=""),"UNUSED",IF(A1728="","missing line ID",IF(B1728="","missing transaction ID",IF(G1728="",IF(C1728="","missing date","invalid date"),IF(I1728="","unknown product",IF(J1728="","conflicting category",IF(NOT(OR(EXACT(K1728,"sale"),EXACT(K1728,"refund"))),"unknown event",IF(OR(N1728="",NOT(O1728)),"invalid amount",IF(OR(AND(K1728="sale",N1728&lt;=0),AND(K1728="refund",N1728&gt;=0)),"invalid sign","")))))))))</f>
        <v/>
      </c>
      <c r="U1728" s="1" t="str">
        <f t="shared" si="213"/>
        <v>INCLUDED</v>
      </c>
      <c r="V1728" s="1" t="str">
        <f t="shared" si="214"/>
        <v>2026-03</v>
      </c>
      <c r="W1728" s="1">
        <f>IF(AND(U1728="INCLUDED",X1728&gt;0,EXACT(A1728,'AI output'!A1728)),1,0)</f>
        <v>1</v>
      </c>
      <c r="X1728" s="1">
        <f>1728</f>
        <v>1728</v>
      </c>
      <c r="Y1728" s="1">
        <f>IF(AND(U1728="INCLUDED",W1728=1),--(NOT(EXACT(A1728,'AI output'!A1728)))+--(NOT(EXACT(B1728,'AI output'!B1728)))+--(NOT(EXACT(TEXT(G1728,"yyyy-mm-dd"),'AI output'!C1728)))+--(NOT(EXACT(H1728,'AI output'!D1728)))+--(NOT(EXACT(J1728,'AI output'!E1728)))+--(NOT(EXACT(K1728,'AI output'!F1728)))+--(N1728&lt;&gt;'AI output'!L1728)+--(NOT('AI output'!M1728)),0)</f>
        <v>0</v>
      </c>
      <c r="Z1728" s="1">
        <f t="shared" si="215"/>
        <v>0</v>
      </c>
      <c r="AA1728" s="1">
        <f>--EXACT(A1728,"L01722")</f>
        <v>1</v>
      </c>
    </row>
    <row r="1729" spans="1:27" ht="18.95" customHeight="1">
      <c r="A1729" s="1" t="str">
        <f>IF(Raw!A1729="","",Raw!A1729)</f>
        <v>L01723</v>
      </c>
      <c r="B1729" s="1" t="str">
        <f>IF(Raw!B1729="","",Raw!B1729)</f>
        <v>T00862</v>
      </c>
      <c r="C1729" s="1" t="str">
        <f>IF(Raw!C1729="","",Raw!C1729)</f>
        <v>2026-03-29</v>
      </c>
      <c r="D1729" s="1">
        <f t="shared" si="208"/>
        <v>2026</v>
      </c>
      <c r="E1729" s="1">
        <f>IFERROR(IF(AND(LEN(C1729)=10,MID(C1729,5,1)="-",MID(C1729,8,1)="-"),VALUE(MID(C1729,6,2)),IF(AND(LEN(C1729)=11,MID(C1729,3,1)="-",MID(C1729,7,1)="-"),MATCH(UPPER(MID(C1729,4,3)),Guide!$D$7:$D$18,0),0)),0)</f>
        <v>3</v>
      </c>
      <c r="F1729" s="1">
        <f t="shared" si="209"/>
        <v>29</v>
      </c>
      <c r="G1729" s="9">
        <f t="shared" si="210"/>
        <v>46110</v>
      </c>
      <c r="H1729" s="1" t="str">
        <f>IF(Raw!D1729="","",Raw!D1729)</f>
        <v>P-A</v>
      </c>
      <c r="I1729" s="1" t="str">
        <f>IFERROR(IF(EXACT(H1729,INDEX(Guide!$A$7:$A$9,MATCH(SUBSTITUTE(SUBSTITUTE(SUBSTITUTE(H1729,"~","~~"),"*","~*"),"?","~?"),Guide!$A$7:$A$9,0))),INDEX(Guide!$B$7:$B$9,MATCH(SUBSTITUTE(SUBSTITUTE(SUBSTITUTE(H1729,"~","~~"),"*","~*"),"?","~?"),Guide!$A$7:$A$9,0)),""),"")</f>
        <v>Accessories</v>
      </c>
      <c r="J1729" s="1" t="str">
        <f>IF(TRIM(Raw!E1729)="",I1729,IF(UPPER(TRIM(Raw!E1729))=UPPER(I1729),I1729,""))</f>
        <v>Accessories</v>
      </c>
      <c r="K1729" s="1" t="str">
        <f>IF(Raw!F1729="","",Raw!F1729)</f>
        <v>sale</v>
      </c>
      <c r="L1729" s="1" t="str">
        <f>IF(LEFT(TRIM(Raw!G1729),2)="-$","-"&amp;MID(TRIM(Raw!G1729),3,99),IF(LEFT(TRIM(Raw!G1729),1)="$",MID(TRIM(Raw!G1729),2,99),TRIM(Raw!G1729)))</f>
        <v>210.65</v>
      </c>
      <c r="M1729" s="1">
        <f t="shared" si="211"/>
        <v>210.65</v>
      </c>
      <c r="N1729" s="10">
        <f t="shared" si="212"/>
        <v>21065</v>
      </c>
      <c r="O1729" s="1" t="b">
        <f>IFERROR(IF(ISNUMBER(Raw!G1729),TRUE,OR(EXACT(L1729,TEXT(M1729,"0.00")),EXACT(L1729,TEXT(M1729,"#,##0.00")))),FALSE)</f>
        <v>1</v>
      </c>
      <c r="P1729" s="1" t="str">
        <f>LEN(IF(Raw!A1729="","",Raw!A1729))&amp;":"&amp;IF(Raw!A1729="","",Raw!A1729)&amp;"|"&amp;LEN(IF(Raw!B1729="","",Raw!B1729))&amp;":"&amp;IF(Raw!B1729="","",Raw!B1729)&amp;"|"&amp;LEN(IF(Raw!C1729="","",Raw!C1729))&amp;":"&amp;IF(Raw!C1729="","",Raw!C1729)&amp;"|"&amp;LEN(IF(Raw!D1729="","",Raw!D1729))&amp;":"&amp;IF(Raw!D1729="","",Raw!D1729)&amp;"|"&amp;LEN(IF(Raw!E1729="","",Raw!E1729))&amp;":"&amp;IF(Raw!E1729="","",Raw!E1729)&amp;"|"&amp;LEN(IF(Raw!F1729="","",Raw!F1729))&amp;":"&amp;IF(Raw!F1729="","",Raw!F1729)&amp;"|"&amp;LEN(IF(Raw!G1729="","",Raw!G1729))&amp;":"&amp;IF(Raw!G1729="","",Raw!G1729)</f>
        <v>6:L01723|6:T00862|10:2026-03-29|3:P-A|11:Accessories|4:sale|6:210.65</v>
      </c>
      <c r="Q1729" s="1">
        <f>1</f>
        <v>1</v>
      </c>
      <c r="R1729" s="1" t="b">
        <f>FALSE</f>
        <v>0</v>
      </c>
      <c r="S1729" s="1">
        <f>1</f>
        <v>1</v>
      </c>
      <c r="T1729" s="1" t="str">
        <f>IF(AND(Raw!A1729="",Raw!B1729="",Raw!C1729="",Raw!D1729="",Raw!E1729="",Raw!F1729="",Raw!G1729=""),"UNUSED",IF(A1729="","missing line ID",IF(B1729="","missing transaction ID",IF(G1729="",IF(C1729="","missing date","invalid date"),IF(I1729="","unknown product",IF(J1729="","conflicting category",IF(NOT(OR(EXACT(K1729,"sale"),EXACT(K1729,"refund"))),"unknown event",IF(OR(N1729="",NOT(O1729)),"invalid amount",IF(OR(AND(K1729="sale",N1729&lt;=0),AND(K1729="refund",N1729&gt;=0)),"invalid sign","")))))))))</f>
        <v/>
      </c>
      <c r="U1729" s="1" t="str">
        <f t="shared" si="213"/>
        <v>INCLUDED</v>
      </c>
      <c r="V1729" s="1" t="str">
        <f t="shared" si="214"/>
        <v>2026-03</v>
      </c>
      <c r="W1729" s="1">
        <f>IF(AND(U1729="INCLUDED",X1729&gt;0,EXACT(A1729,'AI output'!A1729)),1,0)</f>
        <v>1</v>
      </c>
      <c r="X1729" s="1">
        <f>1729</f>
        <v>1729</v>
      </c>
      <c r="Y1729" s="1">
        <f>IF(AND(U1729="INCLUDED",W1729=1),--(NOT(EXACT(A1729,'AI output'!A1729)))+--(NOT(EXACT(B1729,'AI output'!B1729)))+--(NOT(EXACT(TEXT(G1729,"yyyy-mm-dd"),'AI output'!C1729)))+--(NOT(EXACT(H1729,'AI output'!D1729)))+--(NOT(EXACT(J1729,'AI output'!E1729)))+--(NOT(EXACT(K1729,'AI output'!F1729)))+--(N1729&lt;&gt;'AI output'!L1729)+--(NOT('AI output'!M1729)),0)</f>
        <v>0</v>
      </c>
      <c r="Z1729" s="1">
        <f t="shared" si="215"/>
        <v>0</v>
      </c>
      <c r="AA1729" s="1">
        <f>--EXACT(A1729,"L01723")</f>
        <v>1</v>
      </c>
    </row>
    <row r="1730" spans="1:27" ht="18.95" customHeight="1">
      <c r="A1730" s="1" t="str">
        <f>IF(Raw!A1730="","",Raw!A1730)</f>
        <v>L01724</v>
      </c>
      <c r="B1730" s="1" t="str">
        <f>IF(Raw!B1730="","",Raw!B1730)</f>
        <v>T00862</v>
      </c>
      <c r="C1730" s="1" t="str">
        <f>IF(Raw!C1730="","",Raw!C1730)</f>
        <v>2026-03-29</v>
      </c>
      <c r="D1730" s="1">
        <f t="shared" si="208"/>
        <v>2026</v>
      </c>
      <c r="E1730" s="1">
        <f>IFERROR(IF(AND(LEN(C1730)=10,MID(C1730,5,1)="-",MID(C1730,8,1)="-"),VALUE(MID(C1730,6,2)),IF(AND(LEN(C1730)=11,MID(C1730,3,1)="-",MID(C1730,7,1)="-"),MATCH(UPPER(MID(C1730,4,3)),Guide!$D$7:$D$18,0),0)),0)</f>
        <v>3</v>
      </c>
      <c r="F1730" s="1">
        <f t="shared" si="209"/>
        <v>29</v>
      </c>
      <c r="G1730" s="9">
        <f t="shared" si="210"/>
        <v>46110</v>
      </c>
      <c r="H1730" s="1" t="str">
        <f>IF(Raw!D1730="","",Raw!D1730)</f>
        <v>P-H</v>
      </c>
      <c r="I1730" s="1" t="str">
        <f>IFERROR(IF(EXACT(H1730,INDEX(Guide!$A$7:$A$9,MATCH(SUBSTITUTE(SUBSTITUTE(SUBSTITUTE(H1730,"~","~~"),"*","~*"),"?","~?"),Guide!$A$7:$A$9,0))),INDEX(Guide!$B$7:$B$9,MATCH(SUBSTITUTE(SUBSTITUTE(SUBSTITUTE(H1730,"~","~~"),"*","~*"),"?","~?"),Guide!$A$7:$A$9,0)),""),"")</f>
        <v>Home</v>
      </c>
      <c r="J1730" s="1" t="str">
        <f>IF(TRIM(Raw!E1730)="",I1730,IF(UPPER(TRIM(Raw!E1730))=UPPER(I1730),I1730,""))</f>
        <v>Home</v>
      </c>
      <c r="K1730" s="1" t="str">
        <f>IF(Raw!F1730="","",Raw!F1730)</f>
        <v>sale</v>
      </c>
      <c r="L1730" s="1" t="str">
        <f>IF(LEFT(TRIM(Raw!G1730),2)="-$","-"&amp;MID(TRIM(Raw!G1730),3,99),IF(LEFT(TRIM(Raw!G1730),1)="$",MID(TRIM(Raw!G1730),2,99),TRIM(Raw!G1730)))</f>
        <v>85.00</v>
      </c>
      <c r="M1730" s="1">
        <f t="shared" si="211"/>
        <v>85</v>
      </c>
      <c r="N1730" s="10">
        <f t="shared" si="212"/>
        <v>8500</v>
      </c>
      <c r="O1730" s="1" t="b">
        <f>IFERROR(IF(ISNUMBER(Raw!G1730),TRUE,OR(EXACT(L1730,TEXT(M1730,"0.00")),EXACT(L1730,TEXT(M1730,"#,##0.00")))),FALSE)</f>
        <v>1</v>
      </c>
      <c r="P1730" s="1" t="str">
        <f>LEN(IF(Raw!A1730="","",Raw!A1730))&amp;":"&amp;IF(Raw!A1730="","",Raw!A1730)&amp;"|"&amp;LEN(IF(Raw!B1730="","",Raw!B1730))&amp;":"&amp;IF(Raw!B1730="","",Raw!B1730)&amp;"|"&amp;LEN(IF(Raw!C1730="","",Raw!C1730))&amp;":"&amp;IF(Raw!C1730="","",Raw!C1730)&amp;"|"&amp;LEN(IF(Raw!D1730="","",Raw!D1730))&amp;":"&amp;IF(Raw!D1730="","",Raw!D1730)&amp;"|"&amp;LEN(IF(Raw!E1730="","",Raw!E1730))&amp;":"&amp;IF(Raw!E1730="","",Raw!E1730)&amp;"|"&amp;LEN(IF(Raw!F1730="","",Raw!F1730))&amp;":"&amp;IF(Raw!F1730="","",Raw!F1730)&amp;"|"&amp;LEN(IF(Raw!G1730="","",Raw!G1730))&amp;":"&amp;IF(Raw!G1730="","",Raw!G1730)</f>
        <v>6:L01724|6:T00862|10:2026-03-29|3:P-H|4:Home|4:sale|5:85.00</v>
      </c>
      <c r="Q1730" s="1">
        <f>1</f>
        <v>1</v>
      </c>
      <c r="R1730" s="1" t="b">
        <f>FALSE</f>
        <v>0</v>
      </c>
      <c r="S1730" s="1">
        <f>1</f>
        <v>1</v>
      </c>
      <c r="T1730" s="1" t="str">
        <f>IF(AND(Raw!A1730="",Raw!B1730="",Raw!C1730="",Raw!D1730="",Raw!E1730="",Raw!F1730="",Raw!G1730=""),"UNUSED",IF(A1730="","missing line ID",IF(B1730="","missing transaction ID",IF(G1730="",IF(C1730="","missing date","invalid date"),IF(I1730="","unknown product",IF(J1730="","conflicting category",IF(NOT(OR(EXACT(K1730,"sale"),EXACT(K1730,"refund"))),"unknown event",IF(OR(N1730="",NOT(O1730)),"invalid amount",IF(OR(AND(K1730="sale",N1730&lt;=0),AND(K1730="refund",N1730&gt;=0)),"invalid sign","")))))))))</f>
        <v/>
      </c>
      <c r="U1730" s="1" t="str">
        <f t="shared" si="213"/>
        <v>INCLUDED</v>
      </c>
      <c r="V1730" s="1" t="str">
        <f t="shared" si="214"/>
        <v>2026-03</v>
      </c>
      <c r="W1730" s="1">
        <f>IF(AND(U1730="INCLUDED",X1730&gt;0,EXACT(A1730,'AI output'!A1730)),1,0)</f>
        <v>1</v>
      </c>
      <c r="X1730" s="1">
        <f>1730</f>
        <v>1730</v>
      </c>
      <c r="Y1730" s="1">
        <f>IF(AND(U1730="INCLUDED",W1730=1),--(NOT(EXACT(A1730,'AI output'!A1730)))+--(NOT(EXACT(B1730,'AI output'!B1730)))+--(NOT(EXACT(TEXT(G1730,"yyyy-mm-dd"),'AI output'!C1730)))+--(NOT(EXACT(H1730,'AI output'!D1730)))+--(NOT(EXACT(J1730,'AI output'!E1730)))+--(NOT(EXACT(K1730,'AI output'!F1730)))+--(N1730&lt;&gt;'AI output'!L1730)+--(NOT('AI output'!M1730)),0)</f>
        <v>0</v>
      </c>
      <c r="Z1730" s="1">
        <f t="shared" si="215"/>
        <v>0</v>
      </c>
      <c r="AA1730" s="1">
        <f>--EXACT(A1730,"L01724")</f>
        <v>1</v>
      </c>
    </row>
    <row r="1731" spans="1:27" ht="18.95" customHeight="1">
      <c r="A1731" s="1" t="str">
        <f>IF(Raw!A1731="","",Raw!A1731)</f>
        <v>L01725</v>
      </c>
      <c r="B1731" s="1" t="str">
        <f>IF(Raw!B1731="","",Raw!B1731)</f>
        <v>T00863</v>
      </c>
      <c r="C1731" s="1" t="str">
        <f>IF(Raw!C1731="","",Raw!C1731)</f>
        <v>2026-01-05</v>
      </c>
      <c r="D1731" s="1">
        <f t="shared" si="208"/>
        <v>2026</v>
      </c>
      <c r="E1731" s="1">
        <f>IFERROR(IF(AND(LEN(C1731)=10,MID(C1731,5,1)="-",MID(C1731,8,1)="-"),VALUE(MID(C1731,6,2)),IF(AND(LEN(C1731)=11,MID(C1731,3,1)="-",MID(C1731,7,1)="-"),MATCH(UPPER(MID(C1731,4,3)),Guide!$D$7:$D$18,0),0)),0)</f>
        <v>1</v>
      </c>
      <c r="F1731" s="1">
        <f t="shared" si="209"/>
        <v>5</v>
      </c>
      <c r="G1731" s="9">
        <f t="shared" si="210"/>
        <v>46027</v>
      </c>
      <c r="H1731" s="1" t="str">
        <f>IF(Raw!D1731="","",Raw!D1731)</f>
        <v>P-O</v>
      </c>
      <c r="I1731" s="1" t="str">
        <f>IFERROR(IF(EXACT(H1731,INDEX(Guide!$A$7:$A$9,MATCH(SUBSTITUTE(SUBSTITUTE(SUBSTITUTE(H1731,"~","~~"),"*","~*"),"?","~?"),Guide!$A$7:$A$9,0))),INDEX(Guide!$B$7:$B$9,MATCH(SUBSTITUTE(SUBSTITUTE(SUBSTITUTE(H1731,"~","~~"),"*","~*"),"?","~?"),Guide!$A$7:$A$9,0)),""),"")</f>
        <v>Office</v>
      </c>
      <c r="J1731" s="1" t="str">
        <f>IF(TRIM(Raw!E1731)="",I1731,IF(UPPER(TRIM(Raw!E1731))=UPPER(I1731),I1731,""))</f>
        <v>Office</v>
      </c>
      <c r="K1731" s="1" t="str">
        <f>IF(Raw!F1731="","",Raw!F1731)</f>
        <v>sale</v>
      </c>
      <c r="L1731" s="1" t="str">
        <f>IF(LEFT(TRIM(Raw!G1731),2)="-$","-"&amp;MID(TRIM(Raw!G1731),3,99),IF(LEFT(TRIM(Raw!G1731),1)="$",MID(TRIM(Raw!G1731),2,99),TRIM(Raw!G1731)))</f>
        <v>171.48</v>
      </c>
      <c r="M1731" s="1">
        <f t="shared" si="211"/>
        <v>171.48</v>
      </c>
      <c r="N1731" s="10">
        <f t="shared" si="212"/>
        <v>17148</v>
      </c>
      <c r="O1731" s="1" t="b">
        <f>IFERROR(IF(ISNUMBER(Raw!G1731),TRUE,OR(EXACT(L1731,TEXT(M1731,"0.00")),EXACT(L1731,TEXT(M1731,"#,##0.00")))),FALSE)</f>
        <v>1</v>
      </c>
      <c r="P1731" s="1" t="str">
        <f>LEN(IF(Raw!A1731="","",Raw!A1731))&amp;":"&amp;IF(Raw!A1731="","",Raw!A1731)&amp;"|"&amp;LEN(IF(Raw!B1731="","",Raw!B1731))&amp;":"&amp;IF(Raw!B1731="","",Raw!B1731)&amp;"|"&amp;LEN(IF(Raw!C1731="","",Raw!C1731))&amp;":"&amp;IF(Raw!C1731="","",Raw!C1731)&amp;"|"&amp;LEN(IF(Raw!D1731="","",Raw!D1731))&amp;":"&amp;IF(Raw!D1731="","",Raw!D1731)&amp;"|"&amp;LEN(IF(Raw!E1731="","",Raw!E1731))&amp;":"&amp;IF(Raw!E1731="","",Raw!E1731)&amp;"|"&amp;LEN(IF(Raw!F1731="","",Raw!F1731))&amp;":"&amp;IF(Raw!F1731="","",Raw!F1731)&amp;"|"&amp;LEN(IF(Raw!G1731="","",Raw!G1731))&amp;":"&amp;IF(Raw!G1731="","",Raw!G1731)</f>
        <v>6:L01725|6:T00863|10:2026-01-05|3:P-O|6:Office|4:sale|6:171.48</v>
      </c>
      <c r="Q1731" s="1">
        <f>1</f>
        <v>1</v>
      </c>
      <c r="R1731" s="1" t="b">
        <f>FALSE</f>
        <v>0</v>
      </c>
      <c r="S1731" s="1">
        <f>1</f>
        <v>1</v>
      </c>
      <c r="T1731" s="1" t="str">
        <f>IF(AND(Raw!A1731="",Raw!B1731="",Raw!C1731="",Raw!D1731="",Raw!E1731="",Raw!F1731="",Raw!G1731=""),"UNUSED",IF(A1731="","missing line ID",IF(B1731="","missing transaction ID",IF(G1731="",IF(C1731="","missing date","invalid date"),IF(I1731="","unknown product",IF(J1731="","conflicting category",IF(NOT(OR(EXACT(K1731,"sale"),EXACT(K1731,"refund"))),"unknown event",IF(OR(N1731="",NOT(O1731)),"invalid amount",IF(OR(AND(K1731="sale",N1731&lt;=0),AND(K1731="refund",N1731&gt;=0)),"invalid sign","")))))))))</f>
        <v/>
      </c>
      <c r="U1731" s="1" t="str">
        <f t="shared" si="213"/>
        <v>INCLUDED</v>
      </c>
      <c r="V1731" s="1" t="str">
        <f t="shared" si="214"/>
        <v>2026-01</v>
      </c>
      <c r="W1731" s="1">
        <f>IF(AND(U1731="INCLUDED",X1731&gt;0,EXACT(A1731,'AI output'!A1731)),1,0)</f>
        <v>1</v>
      </c>
      <c r="X1731" s="1">
        <f>1731</f>
        <v>1731</v>
      </c>
      <c r="Y1731" s="1">
        <f>IF(AND(U1731="INCLUDED",W1731=1),--(NOT(EXACT(A1731,'AI output'!A1731)))+--(NOT(EXACT(B1731,'AI output'!B1731)))+--(NOT(EXACT(TEXT(G1731,"yyyy-mm-dd"),'AI output'!C1731)))+--(NOT(EXACT(H1731,'AI output'!D1731)))+--(NOT(EXACT(J1731,'AI output'!E1731)))+--(NOT(EXACT(K1731,'AI output'!F1731)))+--(N1731&lt;&gt;'AI output'!L1731)+--(NOT('AI output'!M1731)),0)</f>
        <v>0</v>
      </c>
      <c r="Z1731" s="1">
        <f t="shared" si="215"/>
        <v>0</v>
      </c>
      <c r="AA1731" s="1">
        <f>--EXACT(A1731,"L01725")</f>
        <v>1</v>
      </c>
    </row>
    <row r="1732" spans="1:27" ht="18.95" customHeight="1">
      <c r="A1732" s="1" t="str">
        <f>IF(Raw!A1732="","",Raw!A1732)</f>
        <v>L01726</v>
      </c>
      <c r="B1732" s="1" t="str">
        <f>IF(Raw!B1732="","",Raw!B1732)</f>
        <v>T00863</v>
      </c>
      <c r="C1732" s="1" t="str">
        <f>IF(Raw!C1732="","",Raw!C1732)</f>
        <v>2026-01-05</v>
      </c>
      <c r="D1732" s="1">
        <f t="shared" si="208"/>
        <v>2026</v>
      </c>
      <c r="E1732" s="1">
        <f>IFERROR(IF(AND(LEN(C1732)=10,MID(C1732,5,1)="-",MID(C1732,8,1)="-"),VALUE(MID(C1732,6,2)),IF(AND(LEN(C1732)=11,MID(C1732,3,1)="-",MID(C1732,7,1)="-"),MATCH(UPPER(MID(C1732,4,3)),Guide!$D$7:$D$18,0),0)),0)</f>
        <v>1</v>
      </c>
      <c r="F1732" s="1">
        <f t="shared" si="209"/>
        <v>5</v>
      </c>
      <c r="G1732" s="9">
        <f t="shared" si="210"/>
        <v>46027</v>
      </c>
      <c r="H1732" s="1" t="str">
        <f>IF(Raw!D1732="","",Raw!D1732)</f>
        <v>P-A</v>
      </c>
      <c r="I1732" s="1" t="str">
        <f>IFERROR(IF(EXACT(H1732,INDEX(Guide!$A$7:$A$9,MATCH(SUBSTITUTE(SUBSTITUTE(SUBSTITUTE(H1732,"~","~~"),"*","~*"),"?","~?"),Guide!$A$7:$A$9,0))),INDEX(Guide!$B$7:$B$9,MATCH(SUBSTITUTE(SUBSTITUTE(SUBSTITUTE(H1732,"~","~~"),"*","~*"),"?","~?"),Guide!$A$7:$A$9,0)),""),"")</f>
        <v>Accessories</v>
      </c>
      <c r="J1732" s="1" t="str">
        <f>IF(TRIM(Raw!E1732)="",I1732,IF(UPPER(TRIM(Raw!E1732))=UPPER(I1732),I1732,""))</f>
        <v>Accessories</v>
      </c>
      <c r="K1732" s="1" t="str">
        <f>IF(Raw!F1732="","",Raw!F1732)</f>
        <v>refund</v>
      </c>
      <c r="L1732" s="1" t="str">
        <f>IF(LEFT(TRIM(Raw!G1732),2)="-$","-"&amp;MID(TRIM(Raw!G1732),3,99),IF(LEFT(TRIM(Raw!G1732),1)="$",MID(TRIM(Raw!G1732),2,99),TRIM(Raw!G1732)))</f>
        <v>-43.24</v>
      </c>
      <c r="M1732" s="1">
        <f t="shared" si="211"/>
        <v>-43.24</v>
      </c>
      <c r="N1732" s="10">
        <f t="shared" si="212"/>
        <v>-4324</v>
      </c>
      <c r="O1732" s="1" t="b">
        <f>IFERROR(IF(ISNUMBER(Raw!G1732),TRUE,OR(EXACT(L1732,TEXT(M1732,"0.00")),EXACT(L1732,TEXT(M1732,"#,##0.00")))),FALSE)</f>
        <v>1</v>
      </c>
      <c r="P1732" s="1" t="str">
        <f>LEN(IF(Raw!A1732="","",Raw!A1732))&amp;":"&amp;IF(Raw!A1732="","",Raw!A1732)&amp;"|"&amp;LEN(IF(Raw!B1732="","",Raw!B1732))&amp;":"&amp;IF(Raw!B1732="","",Raw!B1732)&amp;"|"&amp;LEN(IF(Raw!C1732="","",Raw!C1732))&amp;":"&amp;IF(Raw!C1732="","",Raw!C1732)&amp;"|"&amp;LEN(IF(Raw!D1732="","",Raw!D1732))&amp;":"&amp;IF(Raw!D1732="","",Raw!D1732)&amp;"|"&amp;LEN(IF(Raw!E1732="","",Raw!E1732))&amp;":"&amp;IF(Raw!E1732="","",Raw!E1732)&amp;"|"&amp;LEN(IF(Raw!F1732="","",Raw!F1732))&amp;":"&amp;IF(Raw!F1732="","",Raw!F1732)&amp;"|"&amp;LEN(IF(Raw!G1732="","",Raw!G1732))&amp;":"&amp;IF(Raw!G1732="","",Raw!G1732)</f>
        <v>6:L01726|6:T00863|10:2026-01-05|3:P-A|11:Accessories|6:refund|6:-43.24</v>
      </c>
      <c r="Q1732" s="1">
        <f>1</f>
        <v>1</v>
      </c>
      <c r="R1732" s="1" t="b">
        <f>FALSE</f>
        <v>0</v>
      </c>
      <c r="S1732" s="1">
        <f>1</f>
        <v>1</v>
      </c>
      <c r="T1732" s="1" t="str">
        <f>IF(AND(Raw!A1732="",Raw!B1732="",Raw!C1732="",Raw!D1732="",Raw!E1732="",Raw!F1732="",Raw!G1732=""),"UNUSED",IF(A1732="","missing line ID",IF(B1732="","missing transaction ID",IF(G1732="",IF(C1732="","missing date","invalid date"),IF(I1732="","unknown product",IF(J1732="","conflicting category",IF(NOT(OR(EXACT(K1732,"sale"),EXACT(K1732,"refund"))),"unknown event",IF(OR(N1732="",NOT(O1732)),"invalid amount",IF(OR(AND(K1732="sale",N1732&lt;=0),AND(K1732="refund",N1732&gt;=0)),"invalid sign","")))))))))</f>
        <v/>
      </c>
      <c r="U1732" s="1" t="str">
        <f t="shared" si="213"/>
        <v>INCLUDED</v>
      </c>
      <c r="V1732" s="1" t="str">
        <f t="shared" si="214"/>
        <v>2026-01</v>
      </c>
      <c r="W1732" s="1">
        <f>IF(AND(U1732="INCLUDED",X1732&gt;0,EXACT(A1732,'AI output'!A1732)),1,0)</f>
        <v>1</v>
      </c>
      <c r="X1732" s="1">
        <f>1732</f>
        <v>1732</v>
      </c>
      <c r="Y1732" s="1">
        <f>IF(AND(U1732="INCLUDED",W1732=1),--(NOT(EXACT(A1732,'AI output'!A1732)))+--(NOT(EXACT(B1732,'AI output'!B1732)))+--(NOT(EXACT(TEXT(G1732,"yyyy-mm-dd"),'AI output'!C1732)))+--(NOT(EXACT(H1732,'AI output'!D1732)))+--(NOT(EXACT(J1732,'AI output'!E1732)))+--(NOT(EXACT(K1732,'AI output'!F1732)))+--(N1732&lt;&gt;'AI output'!L1732)+--(NOT('AI output'!M1732)),0)</f>
        <v>0</v>
      </c>
      <c r="Z1732" s="1">
        <f t="shared" si="215"/>
        <v>0</v>
      </c>
      <c r="AA1732" s="1">
        <f>--EXACT(A1732,"L01726")</f>
        <v>1</v>
      </c>
    </row>
    <row r="1733" spans="1:27" ht="18.95" customHeight="1">
      <c r="A1733" s="1" t="str">
        <f>IF(Raw!A1733="","",Raw!A1733)</f>
        <v>L01727</v>
      </c>
      <c r="B1733" s="1" t="str">
        <f>IF(Raw!B1733="","",Raw!B1733)</f>
        <v>T00864</v>
      </c>
      <c r="C1733" s="1" t="str">
        <f>IF(Raw!C1733="","",Raw!C1733)</f>
        <v>2026-01-12</v>
      </c>
      <c r="D1733" s="1">
        <f t="shared" si="208"/>
        <v>2026</v>
      </c>
      <c r="E1733" s="1">
        <f>IFERROR(IF(AND(LEN(C1733)=10,MID(C1733,5,1)="-",MID(C1733,8,1)="-"),VALUE(MID(C1733,6,2)),IF(AND(LEN(C1733)=11,MID(C1733,3,1)="-",MID(C1733,7,1)="-"),MATCH(UPPER(MID(C1733,4,3)),Guide!$D$7:$D$18,0),0)),0)</f>
        <v>1</v>
      </c>
      <c r="F1733" s="1">
        <f t="shared" si="209"/>
        <v>12</v>
      </c>
      <c r="G1733" s="9">
        <f t="shared" si="210"/>
        <v>46034</v>
      </c>
      <c r="H1733" s="1" t="str">
        <f>IF(Raw!D1733="","",Raw!D1733)</f>
        <v>P-H</v>
      </c>
      <c r="I1733" s="1" t="str">
        <f>IFERROR(IF(EXACT(H1733,INDEX(Guide!$A$7:$A$9,MATCH(SUBSTITUTE(SUBSTITUTE(SUBSTITUTE(H1733,"~","~~"),"*","~*"),"?","~?"),Guide!$A$7:$A$9,0))),INDEX(Guide!$B$7:$B$9,MATCH(SUBSTITUTE(SUBSTITUTE(SUBSTITUTE(H1733,"~","~~"),"*","~*"),"?","~?"),Guide!$A$7:$A$9,0)),""),"")</f>
        <v>Home</v>
      </c>
      <c r="J1733" s="1" t="str">
        <f>IF(TRIM(Raw!E1733)="",I1733,IF(UPPER(TRIM(Raw!E1733))=UPPER(I1733),I1733,""))</f>
        <v>Home</v>
      </c>
      <c r="K1733" s="1" t="str">
        <f>IF(Raw!F1733="","",Raw!F1733)</f>
        <v>sale</v>
      </c>
      <c r="L1733" s="1" t="str">
        <f>IF(LEFT(TRIM(Raw!G1733),2)="-$","-"&amp;MID(TRIM(Raw!G1733),3,99),IF(LEFT(TRIM(Raw!G1733),1)="$",MID(TRIM(Raw!G1733),2,99),TRIM(Raw!G1733)))</f>
        <v>130.83</v>
      </c>
      <c r="M1733" s="1">
        <f t="shared" si="211"/>
        <v>130.83000000000001</v>
      </c>
      <c r="N1733" s="10">
        <f t="shared" si="212"/>
        <v>13083</v>
      </c>
      <c r="O1733" s="1" t="b">
        <f>IFERROR(IF(ISNUMBER(Raw!G1733),TRUE,OR(EXACT(L1733,TEXT(M1733,"0.00")),EXACT(L1733,TEXT(M1733,"#,##0.00")))),FALSE)</f>
        <v>1</v>
      </c>
      <c r="P1733" s="1" t="str">
        <f>LEN(IF(Raw!A1733="","",Raw!A1733))&amp;":"&amp;IF(Raw!A1733="","",Raw!A1733)&amp;"|"&amp;LEN(IF(Raw!B1733="","",Raw!B1733))&amp;":"&amp;IF(Raw!B1733="","",Raw!B1733)&amp;"|"&amp;LEN(IF(Raw!C1733="","",Raw!C1733))&amp;":"&amp;IF(Raw!C1733="","",Raw!C1733)&amp;"|"&amp;LEN(IF(Raw!D1733="","",Raw!D1733))&amp;":"&amp;IF(Raw!D1733="","",Raw!D1733)&amp;"|"&amp;LEN(IF(Raw!E1733="","",Raw!E1733))&amp;":"&amp;IF(Raw!E1733="","",Raw!E1733)&amp;"|"&amp;LEN(IF(Raw!F1733="","",Raw!F1733))&amp;":"&amp;IF(Raw!F1733="","",Raw!F1733)&amp;"|"&amp;LEN(IF(Raw!G1733="","",Raw!G1733))&amp;":"&amp;IF(Raw!G1733="","",Raw!G1733)</f>
        <v>6:L01727|6:T00864|10:2026-01-12|3:P-H|4:Home|4:sale|6:130.83</v>
      </c>
      <c r="Q1733" s="1">
        <f>1</f>
        <v>1</v>
      </c>
      <c r="R1733" s="1" t="b">
        <f>FALSE</f>
        <v>0</v>
      </c>
      <c r="S1733" s="1">
        <f>1</f>
        <v>1</v>
      </c>
      <c r="T1733" s="1" t="str">
        <f>IF(AND(Raw!A1733="",Raw!B1733="",Raw!C1733="",Raw!D1733="",Raw!E1733="",Raw!F1733="",Raw!G1733=""),"UNUSED",IF(A1733="","missing line ID",IF(B1733="","missing transaction ID",IF(G1733="",IF(C1733="","missing date","invalid date"),IF(I1733="","unknown product",IF(J1733="","conflicting category",IF(NOT(OR(EXACT(K1733,"sale"),EXACT(K1733,"refund"))),"unknown event",IF(OR(N1733="",NOT(O1733)),"invalid amount",IF(OR(AND(K1733="sale",N1733&lt;=0),AND(K1733="refund",N1733&gt;=0)),"invalid sign","")))))))))</f>
        <v/>
      </c>
      <c r="U1733" s="1" t="str">
        <f t="shared" si="213"/>
        <v>INCLUDED</v>
      </c>
      <c r="V1733" s="1" t="str">
        <f t="shared" si="214"/>
        <v>2026-01</v>
      </c>
      <c r="W1733" s="1">
        <f>IF(AND(U1733="INCLUDED",X1733&gt;0,EXACT(A1733,'AI output'!A1733)),1,0)</f>
        <v>1</v>
      </c>
      <c r="X1733" s="1">
        <f>1733</f>
        <v>1733</v>
      </c>
      <c r="Y1733" s="1">
        <f>IF(AND(U1733="INCLUDED",W1733=1),--(NOT(EXACT(A1733,'AI output'!A1733)))+--(NOT(EXACT(B1733,'AI output'!B1733)))+--(NOT(EXACT(TEXT(G1733,"yyyy-mm-dd"),'AI output'!C1733)))+--(NOT(EXACT(H1733,'AI output'!D1733)))+--(NOT(EXACT(J1733,'AI output'!E1733)))+--(NOT(EXACT(K1733,'AI output'!F1733)))+--(N1733&lt;&gt;'AI output'!L1733)+--(NOT('AI output'!M1733)),0)</f>
        <v>0</v>
      </c>
      <c r="Z1733" s="1">
        <f t="shared" si="215"/>
        <v>0</v>
      </c>
      <c r="AA1733" s="1">
        <f>--EXACT(A1733,"L01727")</f>
        <v>1</v>
      </c>
    </row>
    <row r="1734" spans="1:27" ht="18.95" customHeight="1">
      <c r="A1734" s="1" t="str">
        <f>IF(Raw!A1734="","",Raw!A1734)</f>
        <v>L01728</v>
      </c>
      <c r="B1734" s="1" t="str">
        <f>IF(Raw!B1734="","",Raw!B1734)</f>
        <v>T00864</v>
      </c>
      <c r="C1734" s="1" t="str">
        <f>IF(Raw!C1734="","",Raw!C1734)</f>
        <v>2026-01-12</v>
      </c>
      <c r="D1734" s="1">
        <f t="shared" si="208"/>
        <v>2026</v>
      </c>
      <c r="E1734" s="1">
        <f>IFERROR(IF(AND(LEN(C1734)=10,MID(C1734,5,1)="-",MID(C1734,8,1)="-"),VALUE(MID(C1734,6,2)),IF(AND(LEN(C1734)=11,MID(C1734,3,1)="-",MID(C1734,7,1)="-"),MATCH(UPPER(MID(C1734,4,3)),Guide!$D$7:$D$18,0),0)),0)</f>
        <v>1</v>
      </c>
      <c r="F1734" s="1">
        <f t="shared" si="209"/>
        <v>12</v>
      </c>
      <c r="G1734" s="9">
        <f t="shared" si="210"/>
        <v>46034</v>
      </c>
      <c r="H1734" s="1" t="str">
        <f>IF(Raw!D1734="","",Raw!D1734)</f>
        <v>P-O</v>
      </c>
      <c r="I1734" s="1" t="str">
        <f>IFERROR(IF(EXACT(H1734,INDEX(Guide!$A$7:$A$9,MATCH(SUBSTITUTE(SUBSTITUTE(SUBSTITUTE(H1734,"~","~~"),"*","~*"),"?","~?"),Guide!$A$7:$A$9,0))),INDEX(Guide!$B$7:$B$9,MATCH(SUBSTITUTE(SUBSTITUTE(SUBSTITUTE(H1734,"~","~~"),"*","~*"),"?","~?"),Guide!$A$7:$A$9,0)),""),"")</f>
        <v>Office</v>
      </c>
      <c r="J1734" s="1" t="str">
        <f>IF(TRIM(Raw!E1734)="",I1734,IF(UPPER(TRIM(Raw!E1734))=UPPER(I1734),I1734,""))</f>
        <v>Office</v>
      </c>
      <c r="K1734" s="1" t="str">
        <f>IF(Raw!F1734="","",Raw!F1734)</f>
        <v>sale</v>
      </c>
      <c r="L1734" s="1" t="str">
        <f>IF(LEFT(TRIM(Raw!G1734),2)="-$","-"&amp;MID(TRIM(Raw!G1734),3,99),IF(LEFT(TRIM(Raw!G1734),1)="$",MID(TRIM(Raw!G1734),2,99),TRIM(Raw!G1734)))</f>
        <v>219.90</v>
      </c>
      <c r="M1734" s="1">
        <f t="shared" si="211"/>
        <v>219.9</v>
      </c>
      <c r="N1734" s="10">
        <f t="shared" si="212"/>
        <v>21990</v>
      </c>
      <c r="O1734" s="1" t="b">
        <f>IFERROR(IF(ISNUMBER(Raw!G1734),TRUE,OR(EXACT(L1734,TEXT(M1734,"0.00")),EXACT(L1734,TEXT(M1734,"#,##0.00")))),FALSE)</f>
        <v>1</v>
      </c>
      <c r="P1734" s="1" t="str">
        <f>LEN(IF(Raw!A1734="","",Raw!A1734))&amp;":"&amp;IF(Raw!A1734="","",Raw!A1734)&amp;"|"&amp;LEN(IF(Raw!B1734="","",Raw!B1734))&amp;":"&amp;IF(Raw!B1734="","",Raw!B1734)&amp;"|"&amp;LEN(IF(Raw!C1734="","",Raw!C1734))&amp;":"&amp;IF(Raw!C1734="","",Raw!C1734)&amp;"|"&amp;LEN(IF(Raw!D1734="","",Raw!D1734))&amp;":"&amp;IF(Raw!D1734="","",Raw!D1734)&amp;"|"&amp;LEN(IF(Raw!E1734="","",Raw!E1734))&amp;":"&amp;IF(Raw!E1734="","",Raw!E1734)&amp;"|"&amp;LEN(IF(Raw!F1734="","",Raw!F1734))&amp;":"&amp;IF(Raw!F1734="","",Raw!F1734)&amp;"|"&amp;LEN(IF(Raw!G1734="","",Raw!G1734))&amp;":"&amp;IF(Raw!G1734="","",Raw!G1734)</f>
        <v>6:L01728|6:T00864|10:2026-01-12|3:P-O|6:Office|4:sale|6:219.90</v>
      </c>
      <c r="Q1734" s="1">
        <f>1</f>
        <v>1</v>
      </c>
      <c r="R1734" s="1" t="b">
        <f>FALSE</f>
        <v>0</v>
      </c>
      <c r="S1734" s="1">
        <f>1</f>
        <v>1</v>
      </c>
      <c r="T1734" s="1" t="str">
        <f>IF(AND(Raw!A1734="",Raw!B1734="",Raw!C1734="",Raw!D1734="",Raw!E1734="",Raw!F1734="",Raw!G1734=""),"UNUSED",IF(A1734="","missing line ID",IF(B1734="","missing transaction ID",IF(G1734="",IF(C1734="","missing date","invalid date"),IF(I1734="","unknown product",IF(J1734="","conflicting category",IF(NOT(OR(EXACT(K1734,"sale"),EXACT(K1734,"refund"))),"unknown event",IF(OR(N1734="",NOT(O1734)),"invalid amount",IF(OR(AND(K1734="sale",N1734&lt;=0),AND(K1734="refund",N1734&gt;=0)),"invalid sign","")))))))))</f>
        <v/>
      </c>
      <c r="U1734" s="1" t="str">
        <f t="shared" si="213"/>
        <v>INCLUDED</v>
      </c>
      <c r="V1734" s="1" t="str">
        <f t="shared" si="214"/>
        <v>2026-01</v>
      </c>
      <c r="W1734" s="1">
        <f>IF(AND(U1734="INCLUDED",X1734&gt;0,EXACT(A1734,'AI output'!A1734)),1,0)</f>
        <v>1</v>
      </c>
      <c r="X1734" s="1">
        <f>1734</f>
        <v>1734</v>
      </c>
      <c r="Y1734" s="1">
        <f>IF(AND(U1734="INCLUDED",W1734=1),--(NOT(EXACT(A1734,'AI output'!A1734)))+--(NOT(EXACT(B1734,'AI output'!B1734)))+--(NOT(EXACT(TEXT(G1734,"yyyy-mm-dd"),'AI output'!C1734)))+--(NOT(EXACT(H1734,'AI output'!D1734)))+--(NOT(EXACT(J1734,'AI output'!E1734)))+--(NOT(EXACT(K1734,'AI output'!F1734)))+--(N1734&lt;&gt;'AI output'!L1734)+--(NOT('AI output'!M1734)),0)</f>
        <v>0</v>
      </c>
      <c r="Z1734" s="1">
        <f t="shared" si="215"/>
        <v>0</v>
      </c>
      <c r="AA1734" s="1">
        <f>--EXACT(A1734,"L01728")</f>
        <v>1</v>
      </c>
    </row>
    <row r="1735" spans="1:27" ht="18.95" customHeight="1">
      <c r="A1735" s="1" t="str">
        <f>IF(Raw!A1735="","",Raw!A1735)</f>
        <v>L01729</v>
      </c>
      <c r="B1735" s="1" t="str">
        <f>IF(Raw!B1735="","",Raw!B1735)</f>
        <v>T00865</v>
      </c>
      <c r="C1735" s="1" t="str">
        <f>IF(Raw!C1735="","",Raw!C1735)</f>
        <v>2026-01-19</v>
      </c>
      <c r="D1735" s="1">
        <f t="shared" ref="D1735:D1798" si="216">IFERROR(IF(AND(LEN(C1735)=10,MID(C1735,5,1)="-",MID(C1735,8,1)="-"),VALUE(LEFT(C1735,4)),IF(AND(LEN(C1735)=11,MID(C1735,3,1)="-",MID(C1735,7,1)="-"),VALUE(RIGHT(C1735,4)),0)),0)</f>
        <v>2026</v>
      </c>
      <c r="E1735" s="1">
        <f>IFERROR(IF(AND(LEN(C1735)=10,MID(C1735,5,1)="-",MID(C1735,8,1)="-"),VALUE(MID(C1735,6,2)),IF(AND(LEN(C1735)=11,MID(C1735,3,1)="-",MID(C1735,7,1)="-"),MATCH(UPPER(MID(C1735,4,3)),Guide!$D$7:$D$18,0),0)),0)</f>
        <v>1</v>
      </c>
      <c r="F1735" s="1">
        <f t="shared" ref="F1735:F1798" si="217">IFERROR(IF(AND(LEN(C1735)=10,MID(C1735,5,1)="-",MID(C1735,8,1)="-"),VALUE(RIGHT(C1735,2)),IF(AND(LEN(C1735)=11,MID(C1735,3,1)="-",MID(C1735,7,1)="-"),VALUE(LEFT(C1735,2)),0)),0)</f>
        <v>19</v>
      </c>
      <c r="G1735" s="9">
        <f t="shared" ref="G1735:G1798" si="218">IFERROR(IF(AND(D1735&gt;=1900,D1735&lt;=9999,YEAR(DATE(D1735,E1735,F1735))=D1735,MONTH(DATE(D1735,E1735,F1735))=E1735,DAY(DATE(D1735,E1735,F1735))=F1735),DATE(D1735,E1735,F1735),""),"")</f>
        <v>46041</v>
      </c>
      <c r="H1735" s="1" t="str">
        <f>IF(Raw!D1735="","",Raw!D1735)</f>
        <v>P-A</v>
      </c>
      <c r="I1735" s="1" t="str">
        <f>IFERROR(IF(EXACT(H1735,INDEX(Guide!$A$7:$A$9,MATCH(SUBSTITUTE(SUBSTITUTE(SUBSTITUTE(H1735,"~","~~"),"*","~*"),"?","~?"),Guide!$A$7:$A$9,0))),INDEX(Guide!$B$7:$B$9,MATCH(SUBSTITUTE(SUBSTITUTE(SUBSTITUTE(H1735,"~","~~"),"*","~*"),"?","~?"),Guide!$A$7:$A$9,0)),""),"")</f>
        <v>Accessories</v>
      </c>
      <c r="J1735" s="1" t="str">
        <f>IF(TRIM(Raw!E1735)="",I1735,IF(UPPER(TRIM(Raw!E1735))=UPPER(I1735),I1735,""))</f>
        <v>Accessories</v>
      </c>
      <c r="K1735" s="1" t="str">
        <f>IF(Raw!F1735="","",Raw!F1735)</f>
        <v>sale</v>
      </c>
      <c r="L1735" s="1" t="str">
        <f>IF(LEFT(TRIM(Raw!G1735),2)="-$","-"&amp;MID(TRIM(Raw!G1735),3,99),IF(LEFT(TRIM(Raw!G1735),1)="$",MID(TRIM(Raw!G1735),2,99),TRIM(Raw!G1735)))</f>
        <v>88.70</v>
      </c>
      <c r="M1735" s="1">
        <f t="shared" ref="M1735:M1798" si="219">IFERROR(VALUE(L1735),"")</f>
        <v>88.7</v>
      </c>
      <c r="N1735" s="10">
        <f t="shared" ref="N1735:N1798" si="220">IF(AND(ISNUMBER(M1735),ABS(M1735*100-ROUND(M1735*100,0))&lt;0.0000001),ROUND(M1735*100,0),"")</f>
        <v>8870</v>
      </c>
      <c r="O1735" s="1" t="b">
        <f>IFERROR(IF(ISNUMBER(Raw!G1735),TRUE,OR(EXACT(L1735,TEXT(M1735,"0.00")),EXACT(L1735,TEXT(M1735,"#,##0.00")))),FALSE)</f>
        <v>1</v>
      </c>
      <c r="P1735" s="1" t="str">
        <f>LEN(IF(Raw!A1735="","",Raw!A1735))&amp;":"&amp;IF(Raw!A1735="","",Raw!A1735)&amp;"|"&amp;LEN(IF(Raw!B1735="","",Raw!B1735))&amp;":"&amp;IF(Raw!B1735="","",Raw!B1735)&amp;"|"&amp;LEN(IF(Raw!C1735="","",Raw!C1735))&amp;":"&amp;IF(Raw!C1735="","",Raw!C1735)&amp;"|"&amp;LEN(IF(Raw!D1735="","",Raw!D1735))&amp;":"&amp;IF(Raw!D1735="","",Raw!D1735)&amp;"|"&amp;LEN(IF(Raw!E1735="","",Raw!E1735))&amp;":"&amp;IF(Raw!E1735="","",Raw!E1735)&amp;"|"&amp;LEN(IF(Raw!F1735="","",Raw!F1735))&amp;":"&amp;IF(Raw!F1735="","",Raw!F1735)&amp;"|"&amp;LEN(IF(Raw!G1735="","",Raw!G1735))&amp;":"&amp;IF(Raw!G1735="","",Raw!G1735)</f>
        <v>6:L01729|6:T00865|10:2026-01-19|3:P-A|11:Accessories|4:sale|5:88.70</v>
      </c>
      <c r="Q1735" s="1">
        <f>1</f>
        <v>1</v>
      </c>
      <c r="R1735" s="1" t="b">
        <f>FALSE</f>
        <v>0</v>
      </c>
      <c r="S1735" s="1">
        <f>1</f>
        <v>1</v>
      </c>
      <c r="T1735" s="1" t="str">
        <f>IF(AND(Raw!A1735="",Raw!B1735="",Raw!C1735="",Raw!D1735="",Raw!E1735="",Raw!F1735="",Raw!G1735=""),"UNUSED",IF(A1735="","missing line ID",IF(B1735="","missing transaction ID",IF(G1735="",IF(C1735="","missing date","invalid date"),IF(I1735="","unknown product",IF(J1735="","conflicting category",IF(NOT(OR(EXACT(K1735,"sale"),EXACT(K1735,"refund"))),"unknown event",IF(OR(N1735="",NOT(O1735)),"invalid amount",IF(OR(AND(K1735="sale",N1735&lt;=0),AND(K1735="refund",N1735&gt;=0)),"invalid sign","")))))))))</f>
        <v/>
      </c>
      <c r="U1735" s="1" t="str">
        <f t="shared" ref="U1735:U1798" si="221">IF(T1735="UNUSED","UNUSED",IF(R1735,"QUARANTINE",IF(S1735&gt;1,"DUPLICATE",IF(T1735&lt;&gt;"","QUARANTINE","INCLUDED"))))</f>
        <v>INCLUDED</v>
      </c>
      <c r="V1735" s="1" t="str">
        <f t="shared" ref="V1735:V1798" si="222">IF(G1735="","",TEXT(G1735,"yyyy-mm"))</f>
        <v>2026-01</v>
      </c>
      <c r="W1735" s="1">
        <f>IF(AND(U1735="INCLUDED",X1735&gt;0,EXACT(A1735,'AI output'!A1735)),1,0)</f>
        <v>1</v>
      </c>
      <c r="X1735" s="1">
        <f>1735</f>
        <v>1735</v>
      </c>
      <c r="Y1735" s="1">
        <f>IF(AND(U1735="INCLUDED",W1735=1),--(NOT(EXACT(A1735,'AI output'!A1735)))+--(NOT(EXACT(B1735,'AI output'!B1735)))+--(NOT(EXACT(TEXT(G1735,"yyyy-mm-dd"),'AI output'!C1735)))+--(NOT(EXACT(H1735,'AI output'!D1735)))+--(NOT(EXACT(J1735,'AI output'!E1735)))+--(NOT(EXACT(K1735,'AI output'!F1735)))+--(N1735&lt;&gt;'AI output'!L1735)+--(NOT('AI output'!M1735)),0)</f>
        <v>0</v>
      </c>
      <c r="Z1735" s="1">
        <f t="shared" ref="Z1735:Z1798" si="223">IF(U1735="INCLUDED",IF(OR(W1735&lt;&gt;1,Y1735&lt;&gt;0),1,0),0)</f>
        <v>0</v>
      </c>
      <c r="AA1735" s="1">
        <f>--EXACT(A1735,"L01729")</f>
        <v>1</v>
      </c>
    </row>
    <row r="1736" spans="1:27" ht="18.95" customHeight="1">
      <c r="A1736" s="1" t="str">
        <f>IF(Raw!A1736="","",Raw!A1736)</f>
        <v>L01730</v>
      </c>
      <c r="B1736" s="1" t="str">
        <f>IF(Raw!B1736="","",Raw!B1736)</f>
        <v>T00865</v>
      </c>
      <c r="C1736" s="1" t="str">
        <f>IF(Raw!C1736="","",Raw!C1736)</f>
        <v>2026-01-19</v>
      </c>
      <c r="D1736" s="1">
        <f t="shared" si="216"/>
        <v>2026</v>
      </c>
      <c r="E1736" s="1">
        <f>IFERROR(IF(AND(LEN(C1736)=10,MID(C1736,5,1)="-",MID(C1736,8,1)="-"),VALUE(MID(C1736,6,2)),IF(AND(LEN(C1736)=11,MID(C1736,3,1)="-",MID(C1736,7,1)="-"),MATCH(UPPER(MID(C1736,4,3)),Guide!$D$7:$D$18,0),0)),0)</f>
        <v>1</v>
      </c>
      <c r="F1736" s="1">
        <f t="shared" si="217"/>
        <v>19</v>
      </c>
      <c r="G1736" s="9">
        <f t="shared" si="218"/>
        <v>46041</v>
      </c>
      <c r="H1736" s="1" t="str">
        <f>IF(Raw!D1736="","",Raw!D1736)</f>
        <v>P-H</v>
      </c>
      <c r="I1736" s="1" t="str">
        <f>IFERROR(IF(EXACT(H1736,INDEX(Guide!$A$7:$A$9,MATCH(SUBSTITUTE(SUBSTITUTE(SUBSTITUTE(H1736,"~","~~"),"*","~*"),"?","~?"),Guide!$A$7:$A$9,0))),INDEX(Guide!$B$7:$B$9,MATCH(SUBSTITUTE(SUBSTITUTE(SUBSTITUTE(H1736,"~","~~"),"*","~*"),"?","~?"),Guide!$A$7:$A$9,0)),""),"")</f>
        <v>Home</v>
      </c>
      <c r="J1736" s="1" t="str">
        <f>IF(TRIM(Raw!E1736)="",I1736,IF(UPPER(TRIM(Raw!E1736))=UPPER(I1736),I1736,""))</f>
        <v>Home</v>
      </c>
      <c r="K1736" s="1" t="str">
        <f>IF(Raw!F1736="","",Raw!F1736)</f>
        <v>sale</v>
      </c>
      <c r="L1736" s="1" t="str">
        <f>IF(LEFT(TRIM(Raw!G1736),2)="-$","-"&amp;MID(TRIM(Raw!G1736),3,99),IF(LEFT(TRIM(Raw!G1736),1)="$",MID(TRIM(Raw!G1736),2,99),TRIM(Raw!G1736)))</f>
        <v>178.88</v>
      </c>
      <c r="M1736" s="1">
        <f t="shared" si="219"/>
        <v>178.88</v>
      </c>
      <c r="N1736" s="10">
        <f t="shared" si="220"/>
        <v>17888</v>
      </c>
      <c r="O1736" s="1" t="b">
        <f>IFERROR(IF(ISNUMBER(Raw!G1736),TRUE,OR(EXACT(L1736,TEXT(M1736,"0.00")),EXACT(L1736,TEXT(M1736,"#,##0.00")))),FALSE)</f>
        <v>1</v>
      </c>
      <c r="P1736" s="1" t="str">
        <f>LEN(IF(Raw!A1736="","",Raw!A1736))&amp;":"&amp;IF(Raw!A1736="","",Raw!A1736)&amp;"|"&amp;LEN(IF(Raw!B1736="","",Raw!B1736))&amp;":"&amp;IF(Raw!B1736="","",Raw!B1736)&amp;"|"&amp;LEN(IF(Raw!C1736="","",Raw!C1736))&amp;":"&amp;IF(Raw!C1736="","",Raw!C1736)&amp;"|"&amp;LEN(IF(Raw!D1736="","",Raw!D1736))&amp;":"&amp;IF(Raw!D1736="","",Raw!D1736)&amp;"|"&amp;LEN(IF(Raw!E1736="","",Raw!E1736))&amp;":"&amp;IF(Raw!E1736="","",Raw!E1736)&amp;"|"&amp;LEN(IF(Raw!F1736="","",Raw!F1736))&amp;":"&amp;IF(Raw!F1736="","",Raw!F1736)&amp;"|"&amp;LEN(IF(Raw!G1736="","",Raw!G1736))&amp;":"&amp;IF(Raw!G1736="","",Raw!G1736)</f>
        <v>6:L01730|6:T00865|10:2026-01-19|3:P-H|4:Home|4:sale|6:178.88</v>
      </c>
      <c r="Q1736" s="1">
        <f>1</f>
        <v>1</v>
      </c>
      <c r="R1736" s="1" t="b">
        <f>FALSE</f>
        <v>0</v>
      </c>
      <c r="S1736" s="1">
        <f>1</f>
        <v>1</v>
      </c>
      <c r="T1736" s="1" t="str">
        <f>IF(AND(Raw!A1736="",Raw!B1736="",Raw!C1736="",Raw!D1736="",Raw!E1736="",Raw!F1736="",Raw!G1736=""),"UNUSED",IF(A1736="","missing line ID",IF(B1736="","missing transaction ID",IF(G1736="",IF(C1736="","missing date","invalid date"),IF(I1736="","unknown product",IF(J1736="","conflicting category",IF(NOT(OR(EXACT(K1736,"sale"),EXACT(K1736,"refund"))),"unknown event",IF(OR(N1736="",NOT(O1736)),"invalid amount",IF(OR(AND(K1736="sale",N1736&lt;=0),AND(K1736="refund",N1736&gt;=0)),"invalid sign","")))))))))</f>
        <v/>
      </c>
      <c r="U1736" s="1" t="str">
        <f t="shared" si="221"/>
        <v>INCLUDED</v>
      </c>
      <c r="V1736" s="1" t="str">
        <f t="shared" si="222"/>
        <v>2026-01</v>
      </c>
      <c r="W1736" s="1">
        <f>IF(AND(U1736="INCLUDED",X1736&gt;0,EXACT(A1736,'AI output'!A1736)),1,0)</f>
        <v>1</v>
      </c>
      <c r="X1736" s="1">
        <f>1736</f>
        <v>1736</v>
      </c>
      <c r="Y1736" s="1">
        <f>IF(AND(U1736="INCLUDED",W1736=1),--(NOT(EXACT(A1736,'AI output'!A1736)))+--(NOT(EXACT(B1736,'AI output'!B1736)))+--(NOT(EXACT(TEXT(G1736,"yyyy-mm-dd"),'AI output'!C1736)))+--(NOT(EXACT(H1736,'AI output'!D1736)))+--(NOT(EXACT(J1736,'AI output'!E1736)))+--(NOT(EXACT(K1736,'AI output'!F1736)))+--(N1736&lt;&gt;'AI output'!L1736)+--(NOT('AI output'!M1736)),0)</f>
        <v>0</v>
      </c>
      <c r="Z1736" s="1">
        <f t="shared" si="223"/>
        <v>0</v>
      </c>
      <c r="AA1736" s="1">
        <f>--EXACT(A1736,"L01730")</f>
        <v>1</v>
      </c>
    </row>
    <row r="1737" spans="1:27" ht="18.95" customHeight="1">
      <c r="A1737" s="1" t="str">
        <f>IF(Raw!A1737="","",Raw!A1737)</f>
        <v>L01731</v>
      </c>
      <c r="B1737" s="1" t="str">
        <f>IF(Raw!B1737="","",Raw!B1737)</f>
        <v>T00866</v>
      </c>
      <c r="C1737" s="1" t="str">
        <f>IF(Raw!C1737="","",Raw!C1737)</f>
        <v>2026-01-26</v>
      </c>
      <c r="D1737" s="1">
        <f t="shared" si="216"/>
        <v>2026</v>
      </c>
      <c r="E1737" s="1">
        <f>IFERROR(IF(AND(LEN(C1737)=10,MID(C1737,5,1)="-",MID(C1737,8,1)="-"),VALUE(MID(C1737,6,2)),IF(AND(LEN(C1737)=11,MID(C1737,3,1)="-",MID(C1737,7,1)="-"),MATCH(UPPER(MID(C1737,4,3)),Guide!$D$7:$D$18,0),0)),0)</f>
        <v>1</v>
      </c>
      <c r="F1737" s="1">
        <f t="shared" si="217"/>
        <v>26</v>
      </c>
      <c r="G1737" s="9">
        <f t="shared" si="218"/>
        <v>46048</v>
      </c>
      <c r="H1737" s="1" t="str">
        <f>IF(Raw!D1737="","",Raw!D1737)</f>
        <v>P-O</v>
      </c>
      <c r="I1737" s="1" t="str">
        <f>IFERROR(IF(EXACT(H1737,INDEX(Guide!$A$7:$A$9,MATCH(SUBSTITUTE(SUBSTITUTE(SUBSTITUTE(H1737,"~","~~"),"*","~*"),"?","~?"),Guide!$A$7:$A$9,0))),INDEX(Guide!$B$7:$B$9,MATCH(SUBSTITUTE(SUBSTITUTE(SUBSTITUTE(H1737,"~","~~"),"*","~*"),"?","~?"),Guide!$A$7:$A$9,0)),""),"")</f>
        <v>Office</v>
      </c>
      <c r="J1737" s="1" t="str">
        <f>IF(TRIM(Raw!E1737)="",I1737,IF(UPPER(TRIM(Raw!E1737))=UPPER(I1737),I1737,""))</f>
        <v>Office</v>
      </c>
      <c r="K1737" s="1" t="str">
        <f>IF(Raw!F1737="","",Raw!F1737)</f>
        <v>sale</v>
      </c>
      <c r="L1737" s="1" t="str">
        <f>IF(LEFT(TRIM(Raw!G1737),2)="-$","-"&amp;MID(TRIM(Raw!G1737),3,99),IF(LEFT(TRIM(Raw!G1737),1)="$",MID(TRIM(Raw!G1737),2,99),TRIM(Raw!G1737)))</f>
        <v>45.09</v>
      </c>
      <c r="M1737" s="1">
        <f t="shared" si="219"/>
        <v>45.09</v>
      </c>
      <c r="N1737" s="10">
        <f t="shared" si="220"/>
        <v>4509</v>
      </c>
      <c r="O1737" s="1" t="b">
        <f>IFERROR(IF(ISNUMBER(Raw!G1737),TRUE,OR(EXACT(L1737,TEXT(M1737,"0.00")),EXACT(L1737,TEXT(M1737,"#,##0.00")))),FALSE)</f>
        <v>1</v>
      </c>
      <c r="P1737" s="1" t="str">
        <f>LEN(IF(Raw!A1737="","",Raw!A1737))&amp;":"&amp;IF(Raw!A1737="","",Raw!A1737)&amp;"|"&amp;LEN(IF(Raw!B1737="","",Raw!B1737))&amp;":"&amp;IF(Raw!B1737="","",Raw!B1737)&amp;"|"&amp;LEN(IF(Raw!C1737="","",Raw!C1737))&amp;":"&amp;IF(Raw!C1737="","",Raw!C1737)&amp;"|"&amp;LEN(IF(Raw!D1737="","",Raw!D1737))&amp;":"&amp;IF(Raw!D1737="","",Raw!D1737)&amp;"|"&amp;LEN(IF(Raw!E1737="","",Raw!E1737))&amp;":"&amp;IF(Raw!E1737="","",Raw!E1737)&amp;"|"&amp;LEN(IF(Raw!F1737="","",Raw!F1737))&amp;":"&amp;IF(Raw!F1737="","",Raw!F1737)&amp;"|"&amp;LEN(IF(Raw!G1737="","",Raw!G1737))&amp;":"&amp;IF(Raw!G1737="","",Raw!G1737)</f>
        <v>6:L01731|6:T00866|10:2026-01-26|3:P-O|6:Office|4:sale|5:45.09</v>
      </c>
      <c r="Q1737" s="1">
        <f>1</f>
        <v>1</v>
      </c>
      <c r="R1737" s="1" t="b">
        <f>FALSE</f>
        <v>0</v>
      </c>
      <c r="S1737" s="1">
        <f>1</f>
        <v>1</v>
      </c>
      <c r="T1737" s="1" t="str">
        <f>IF(AND(Raw!A1737="",Raw!B1737="",Raw!C1737="",Raw!D1737="",Raw!E1737="",Raw!F1737="",Raw!G1737=""),"UNUSED",IF(A1737="","missing line ID",IF(B1737="","missing transaction ID",IF(G1737="",IF(C1737="","missing date","invalid date"),IF(I1737="","unknown product",IF(J1737="","conflicting category",IF(NOT(OR(EXACT(K1737,"sale"),EXACT(K1737,"refund"))),"unknown event",IF(OR(N1737="",NOT(O1737)),"invalid amount",IF(OR(AND(K1737="sale",N1737&lt;=0),AND(K1737="refund",N1737&gt;=0)),"invalid sign","")))))))))</f>
        <v/>
      </c>
      <c r="U1737" s="1" t="str">
        <f t="shared" si="221"/>
        <v>INCLUDED</v>
      </c>
      <c r="V1737" s="1" t="str">
        <f t="shared" si="222"/>
        <v>2026-01</v>
      </c>
      <c r="W1737" s="1">
        <f>IF(AND(U1737="INCLUDED",X1737&gt;0,EXACT(A1737,'AI output'!A1737)),1,0)</f>
        <v>1</v>
      </c>
      <c r="X1737" s="1">
        <f>1737</f>
        <v>1737</v>
      </c>
      <c r="Y1737" s="1">
        <f>IF(AND(U1737="INCLUDED",W1737=1),--(NOT(EXACT(A1737,'AI output'!A1737)))+--(NOT(EXACT(B1737,'AI output'!B1737)))+--(NOT(EXACT(TEXT(G1737,"yyyy-mm-dd"),'AI output'!C1737)))+--(NOT(EXACT(H1737,'AI output'!D1737)))+--(NOT(EXACT(J1737,'AI output'!E1737)))+--(NOT(EXACT(K1737,'AI output'!F1737)))+--(N1737&lt;&gt;'AI output'!L1737)+--(NOT('AI output'!M1737)),0)</f>
        <v>0</v>
      </c>
      <c r="Z1737" s="1">
        <f t="shared" si="223"/>
        <v>0</v>
      </c>
      <c r="AA1737" s="1">
        <f>--EXACT(A1737,"L01731")</f>
        <v>1</v>
      </c>
    </row>
    <row r="1738" spans="1:27" ht="18.95" customHeight="1">
      <c r="A1738" s="1" t="str">
        <f>IF(Raw!A1738="","",Raw!A1738)</f>
        <v>L01732</v>
      </c>
      <c r="B1738" s="1" t="str">
        <f>IF(Raw!B1738="","",Raw!B1738)</f>
        <v>T00866</v>
      </c>
      <c r="C1738" s="1" t="str">
        <f>IF(Raw!C1738="","",Raw!C1738)</f>
        <v>2026-01-26</v>
      </c>
      <c r="D1738" s="1">
        <f t="shared" si="216"/>
        <v>2026</v>
      </c>
      <c r="E1738" s="1">
        <f>IFERROR(IF(AND(LEN(C1738)=10,MID(C1738,5,1)="-",MID(C1738,8,1)="-"),VALUE(MID(C1738,6,2)),IF(AND(LEN(C1738)=11,MID(C1738,3,1)="-",MID(C1738,7,1)="-"),MATCH(UPPER(MID(C1738,4,3)),Guide!$D$7:$D$18,0),0)),0)</f>
        <v>1</v>
      </c>
      <c r="F1738" s="1">
        <f t="shared" si="217"/>
        <v>26</v>
      </c>
      <c r="G1738" s="9">
        <f t="shared" si="218"/>
        <v>46048</v>
      </c>
      <c r="H1738" s="1" t="str">
        <f>IF(Raw!D1738="","",Raw!D1738)</f>
        <v>P-A</v>
      </c>
      <c r="I1738" s="1" t="str">
        <f>IFERROR(IF(EXACT(H1738,INDEX(Guide!$A$7:$A$9,MATCH(SUBSTITUTE(SUBSTITUTE(SUBSTITUTE(H1738,"~","~~"),"*","~*"),"?","~?"),Guide!$A$7:$A$9,0))),INDEX(Guide!$B$7:$B$9,MATCH(SUBSTITUTE(SUBSTITUTE(SUBSTITUTE(H1738,"~","~~"),"*","~*"),"?","~?"),Guide!$A$7:$A$9,0)),""),"")</f>
        <v>Accessories</v>
      </c>
      <c r="J1738" s="1" t="str">
        <f>IF(TRIM(Raw!E1738)="",I1738,IF(UPPER(TRIM(Raw!E1738))=UPPER(I1738),I1738,""))</f>
        <v>Accessories</v>
      </c>
      <c r="K1738" s="1" t="str">
        <f>IF(Raw!F1738="","",Raw!F1738)</f>
        <v>sale</v>
      </c>
      <c r="L1738" s="1" t="str">
        <f>IF(LEFT(TRIM(Raw!G1738),2)="-$","-"&amp;MID(TRIM(Raw!G1738),3,99),IF(LEFT(TRIM(Raw!G1738),1)="$",MID(TRIM(Raw!G1738),2,99),TRIM(Raw!G1738)))</f>
        <v>136.38</v>
      </c>
      <c r="M1738" s="1">
        <f t="shared" si="219"/>
        <v>136.38</v>
      </c>
      <c r="N1738" s="10">
        <f t="shared" si="220"/>
        <v>13638</v>
      </c>
      <c r="O1738" s="1" t="b">
        <f>IFERROR(IF(ISNUMBER(Raw!G1738),TRUE,OR(EXACT(L1738,TEXT(M1738,"0.00")),EXACT(L1738,TEXT(M1738,"#,##0.00")))),FALSE)</f>
        <v>1</v>
      </c>
      <c r="P1738" s="1" t="str">
        <f>LEN(IF(Raw!A1738="","",Raw!A1738))&amp;":"&amp;IF(Raw!A1738="","",Raw!A1738)&amp;"|"&amp;LEN(IF(Raw!B1738="","",Raw!B1738))&amp;":"&amp;IF(Raw!B1738="","",Raw!B1738)&amp;"|"&amp;LEN(IF(Raw!C1738="","",Raw!C1738))&amp;":"&amp;IF(Raw!C1738="","",Raw!C1738)&amp;"|"&amp;LEN(IF(Raw!D1738="","",Raw!D1738))&amp;":"&amp;IF(Raw!D1738="","",Raw!D1738)&amp;"|"&amp;LEN(IF(Raw!E1738="","",Raw!E1738))&amp;":"&amp;IF(Raw!E1738="","",Raw!E1738)&amp;"|"&amp;LEN(IF(Raw!F1738="","",Raw!F1738))&amp;":"&amp;IF(Raw!F1738="","",Raw!F1738)&amp;"|"&amp;LEN(IF(Raw!G1738="","",Raw!G1738))&amp;":"&amp;IF(Raw!G1738="","",Raw!G1738)</f>
        <v>6:L01732|6:T00866|10:2026-01-26|3:P-A|11:Accessories|4:sale|6:136.38</v>
      </c>
      <c r="Q1738" s="1">
        <f>1</f>
        <v>1</v>
      </c>
      <c r="R1738" s="1" t="b">
        <f>FALSE</f>
        <v>0</v>
      </c>
      <c r="S1738" s="1">
        <f>1</f>
        <v>1</v>
      </c>
      <c r="T1738" s="1" t="str">
        <f>IF(AND(Raw!A1738="",Raw!B1738="",Raw!C1738="",Raw!D1738="",Raw!E1738="",Raw!F1738="",Raw!G1738=""),"UNUSED",IF(A1738="","missing line ID",IF(B1738="","missing transaction ID",IF(G1738="",IF(C1738="","missing date","invalid date"),IF(I1738="","unknown product",IF(J1738="","conflicting category",IF(NOT(OR(EXACT(K1738,"sale"),EXACT(K1738,"refund"))),"unknown event",IF(OR(N1738="",NOT(O1738)),"invalid amount",IF(OR(AND(K1738="sale",N1738&lt;=0),AND(K1738="refund",N1738&gt;=0)),"invalid sign","")))))))))</f>
        <v/>
      </c>
      <c r="U1738" s="1" t="str">
        <f t="shared" si="221"/>
        <v>INCLUDED</v>
      </c>
      <c r="V1738" s="1" t="str">
        <f t="shared" si="222"/>
        <v>2026-01</v>
      </c>
      <c r="W1738" s="1">
        <f>IF(AND(U1738="INCLUDED",X1738&gt;0,EXACT(A1738,'AI output'!A1738)),1,0)</f>
        <v>1</v>
      </c>
      <c r="X1738" s="1">
        <f>1738</f>
        <v>1738</v>
      </c>
      <c r="Y1738" s="1">
        <f>IF(AND(U1738="INCLUDED",W1738=1),--(NOT(EXACT(A1738,'AI output'!A1738)))+--(NOT(EXACT(B1738,'AI output'!B1738)))+--(NOT(EXACT(TEXT(G1738,"yyyy-mm-dd"),'AI output'!C1738)))+--(NOT(EXACT(H1738,'AI output'!D1738)))+--(NOT(EXACT(J1738,'AI output'!E1738)))+--(NOT(EXACT(K1738,'AI output'!F1738)))+--(N1738&lt;&gt;'AI output'!L1738)+--(NOT('AI output'!M1738)),0)</f>
        <v>0</v>
      </c>
      <c r="Z1738" s="1">
        <f t="shared" si="223"/>
        <v>0</v>
      </c>
      <c r="AA1738" s="1">
        <f>--EXACT(A1738,"L01732")</f>
        <v>1</v>
      </c>
    </row>
    <row r="1739" spans="1:27" ht="18.95" customHeight="1">
      <c r="A1739" s="1" t="str">
        <f>IF(Raw!A1739="","",Raw!A1739)</f>
        <v>L01733</v>
      </c>
      <c r="B1739" s="1" t="str">
        <f>IF(Raw!B1739="","",Raw!B1739)</f>
        <v>T00867</v>
      </c>
      <c r="C1739" s="1" t="str">
        <f>IF(Raw!C1739="","",Raw!C1739)</f>
        <v>2026-02-02</v>
      </c>
      <c r="D1739" s="1">
        <f t="shared" si="216"/>
        <v>2026</v>
      </c>
      <c r="E1739" s="1">
        <f>IFERROR(IF(AND(LEN(C1739)=10,MID(C1739,5,1)="-",MID(C1739,8,1)="-"),VALUE(MID(C1739,6,2)),IF(AND(LEN(C1739)=11,MID(C1739,3,1)="-",MID(C1739,7,1)="-"),MATCH(UPPER(MID(C1739,4,3)),Guide!$D$7:$D$18,0),0)),0)</f>
        <v>2</v>
      </c>
      <c r="F1739" s="1">
        <f t="shared" si="217"/>
        <v>2</v>
      </c>
      <c r="G1739" s="9">
        <f t="shared" si="218"/>
        <v>46055</v>
      </c>
      <c r="H1739" s="1" t="str">
        <f>IF(Raw!D1739="","",Raw!D1739)</f>
        <v>P-H</v>
      </c>
      <c r="I1739" s="1" t="str">
        <f>IFERROR(IF(EXACT(H1739,INDEX(Guide!$A$7:$A$9,MATCH(SUBSTITUTE(SUBSTITUTE(SUBSTITUTE(H1739,"~","~~"),"*","~*"),"?","~?"),Guide!$A$7:$A$9,0))),INDEX(Guide!$B$7:$B$9,MATCH(SUBSTITUTE(SUBSTITUTE(SUBSTITUTE(H1739,"~","~~"),"*","~*"),"?","~?"),Guide!$A$7:$A$9,0)),""),"")</f>
        <v>Home</v>
      </c>
      <c r="J1739" s="1" t="str">
        <f>IF(TRIM(Raw!E1739)="",I1739,IF(UPPER(TRIM(Raw!E1739))=UPPER(I1739),I1739,""))</f>
        <v>Home</v>
      </c>
      <c r="K1739" s="1" t="str">
        <f>IF(Raw!F1739="","",Raw!F1739)</f>
        <v>sale</v>
      </c>
      <c r="L1739" s="1" t="str">
        <f>IF(LEFT(TRIM(Raw!G1739),2)="-$","-"&amp;MID(TRIM(Raw!G1739),3,99),IF(LEFT(TRIM(Raw!G1739),1)="$",MID(TRIM(Raw!G1739),2,99),TRIM(Raw!G1739)))</f>
        <v>229.15</v>
      </c>
      <c r="M1739" s="1">
        <f t="shared" si="219"/>
        <v>229.15</v>
      </c>
      <c r="N1739" s="10">
        <f t="shared" si="220"/>
        <v>22915</v>
      </c>
      <c r="O1739" s="1" t="b">
        <f>IFERROR(IF(ISNUMBER(Raw!G1739),TRUE,OR(EXACT(L1739,TEXT(M1739,"0.00")),EXACT(L1739,TEXT(M1739,"#,##0.00")))),FALSE)</f>
        <v>1</v>
      </c>
      <c r="P1739" s="1" t="str">
        <f>LEN(IF(Raw!A1739="","",Raw!A1739))&amp;":"&amp;IF(Raw!A1739="","",Raw!A1739)&amp;"|"&amp;LEN(IF(Raw!B1739="","",Raw!B1739))&amp;":"&amp;IF(Raw!B1739="","",Raw!B1739)&amp;"|"&amp;LEN(IF(Raw!C1739="","",Raw!C1739))&amp;":"&amp;IF(Raw!C1739="","",Raw!C1739)&amp;"|"&amp;LEN(IF(Raw!D1739="","",Raw!D1739))&amp;":"&amp;IF(Raw!D1739="","",Raw!D1739)&amp;"|"&amp;LEN(IF(Raw!E1739="","",Raw!E1739))&amp;":"&amp;IF(Raw!E1739="","",Raw!E1739)&amp;"|"&amp;LEN(IF(Raw!F1739="","",Raw!F1739))&amp;":"&amp;IF(Raw!F1739="","",Raw!F1739)&amp;"|"&amp;LEN(IF(Raw!G1739="","",Raw!G1739))&amp;":"&amp;IF(Raw!G1739="","",Raw!G1739)</f>
        <v>6:L01733|6:T00867|10:2026-02-02|3:P-H|4:Home|4:sale|6:229.15</v>
      </c>
      <c r="Q1739" s="1">
        <f>1</f>
        <v>1</v>
      </c>
      <c r="R1739" s="1" t="b">
        <f>FALSE</f>
        <v>0</v>
      </c>
      <c r="S1739" s="1">
        <f>1</f>
        <v>1</v>
      </c>
      <c r="T1739" s="1" t="str">
        <f>IF(AND(Raw!A1739="",Raw!B1739="",Raw!C1739="",Raw!D1739="",Raw!E1739="",Raw!F1739="",Raw!G1739=""),"UNUSED",IF(A1739="","missing line ID",IF(B1739="","missing transaction ID",IF(G1739="",IF(C1739="","missing date","invalid date"),IF(I1739="","unknown product",IF(J1739="","conflicting category",IF(NOT(OR(EXACT(K1739,"sale"),EXACT(K1739,"refund"))),"unknown event",IF(OR(N1739="",NOT(O1739)),"invalid amount",IF(OR(AND(K1739="sale",N1739&lt;=0),AND(K1739="refund",N1739&gt;=0)),"invalid sign","")))))))))</f>
        <v/>
      </c>
      <c r="U1739" s="1" t="str">
        <f t="shared" si="221"/>
        <v>INCLUDED</v>
      </c>
      <c r="V1739" s="1" t="str">
        <f t="shared" si="222"/>
        <v>2026-02</v>
      </c>
      <c r="W1739" s="1">
        <f>IF(AND(U1739="INCLUDED",X1739&gt;0,EXACT(A1739,'AI output'!A1739)),1,0)</f>
        <v>1</v>
      </c>
      <c r="X1739" s="1">
        <f>1739</f>
        <v>1739</v>
      </c>
      <c r="Y1739" s="1">
        <f>IF(AND(U1739="INCLUDED",W1739=1),--(NOT(EXACT(A1739,'AI output'!A1739)))+--(NOT(EXACT(B1739,'AI output'!B1739)))+--(NOT(EXACT(TEXT(G1739,"yyyy-mm-dd"),'AI output'!C1739)))+--(NOT(EXACT(H1739,'AI output'!D1739)))+--(NOT(EXACT(J1739,'AI output'!E1739)))+--(NOT(EXACT(K1739,'AI output'!F1739)))+--(N1739&lt;&gt;'AI output'!L1739)+--(NOT('AI output'!M1739)),0)</f>
        <v>0</v>
      </c>
      <c r="Z1739" s="1">
        <f t="shared" si="223"/>
        <v>0</v>
      </c>
      <c r="AA1739" s="1">
        <f>--EXACT(A1739,"L01733")</f>
        <v>1</v>
      </c>
    </row>
    <row r="1740" spans="1:27" ht="18.95" customHeight="1">
      <c r="A1740" s="1" t="str">
        <f>IF(Raw!A1740="","",Raw!A1740)</f>
        <v>L01734</v>
      </c>
      <c r="B1740" s="1" t="str">
        <f>IF(Raw!B1740="","",Raw!B1740)</f>
        <v>T00867</v>
      </c>
      <c r="C1740" s="1" t="str">
        <f>IF(Raw!C1740="","",Raw!C1740)</f>
        <v>2026-02-02</v>
      </c>
      <c r="D1740" s="1">
        <f t="shared" si="216"/>
        <v>2026</v>
      </c>
      <c r="E1740" s="1">
        <f>IFERROR(IF(AND(LEN(C1740)=10,MID(C1740,5,1)="-",MID(C1740,8,1)="-"),VALUE(MID(C1740,6,2)),IF(AND(LEN(C1740)=11,MID(C1740,3,1)="-",MID(C1740,7,1)="-"),MATCH(UPPER(MID(C1740,4,3)),Guide!$D$7:$D$18,0),0)),0)</f>
        <v>2</v>
      </c>
      <c r="F1740" s="1">
        <f t="shared" si="217"/>
        <v>2</v>
      </c>
      <c r="G1740" s="9">
        <f t="shared" si="218"/>
        <v>46055</v>
      </c>
      <c r="H1740" s="1" t="str">
        <f>IF(Raw!D1740="","",Raw!D1740)</f>
        <v>P-O</v>
      </c>
      <c r="I1740" s="1" t="str">
        <f>IFERROR(IF(EXACT(H1740,INDEX(Guide!$A$7:$A$9,MATCH(SUBSTITUTE(SUBSTITUTE(SUBSTITUTE(H1740,"~","~~"),"*","~*"),"?","~?"),Guide!$A$7:$A$9,0))),INDEX(Guide!$B$7:$B$9,MATCH(SUBSTITUTE(SUBSTITUTE(SUBSTITUTE(H1740,"~","~~"),"*","~*"),"?","~?"),Guide!$A$7:$A$9,0)),""),"")</f>
        <v>Office</v>
      </c>
      <c r="J1740" s="1" t="str">
        <f>IF(TRIM(Raw!E1740)="",I1740,IF(UPPER(TRIM(Raw!E1740))=UPPER(I1740),I1740,""))</f>
        <v>Office</v>
      </c>
      <c r="K1740" s="1" t="str">
        <f>IF(Raw!F1740="","",Raw!F1740)</f>
        <v>sale</v>
      </c>
      <c r="L1740" s="1" t="str">
        <f>IF(LEFT(TRIM(Raw!G1740),2)="-$","-"&amp;MID(TRIM(Raw!G1740),3,99),IF(LEFT(TRIM(Raw!G1740),1)="$",MID(TRIM(Raw!G1740),2,99),TRIM(Raw!G1740)))</f>
        <v>92.40</v>
      </c>
      <c r="M1740" s="1">
        <f t="shared" si="219"/>
        <v>92.4</v>
      </c>
      <c r="N1740" s="10">
        <f t="shared" si="220"/>
        <v>9240</v>
      </c>
      <c r="O1740" s="1" t="b">
        <f>IFERROR(IF(ISNUMBER(Raw!G1740),TRUE,OR(EXACT(L1740,TEXT(M1740,"0.00")),EXACT(L1740,TEXT(M1740,"#,##0.00")))),FALSE)</f>
        <v>1</v>
      </c>
      <c r="P1740" s="1" t="str">
        <f>LEN(IF(Raw!A1740="","",Raw!A1740))&amp;":"&amp;IF(Raw!A1740="","",Raw!A1740)&amp;"|"&amp;LEN(IF(Raw!B1740="","",Raw!B1740))&amp;":"&amp;IF(Raw!B1740="","",Raw!B1740)&amp;"|"&amp;LEN(IF(Raw!C1740="","",Raw!C1740))&amp;":"&amp;IF(Raw!C1740="","",Raw!C1740)&amp;"|"&amp;LEN(IF(Raw!D1740="","",Raw!D1740))&amp;":"&amp;IF(Raw!D1740="","",Raw!D1740)&amp;"|"&amp;LEN(IF(Raw!E1740="","",Raw!E1740))&amp;":"&amp;IF(Raw!E1740="","",Raw!E1740)&amp;"|"&amp;LEN(IF(Raw!F1740="","",Raw!F1740))&amp;":"&amp;IF(Raw!F1740="","",Raw!F1740)&amp;"|"&amp;LEN(IF(Raw!G1740="","",Raw!G1740))&amp;":"&amp;IF(Raw!G1740="","",Raw!G1740)</f>
        <v>6:L01734|6:T00867|10:2026-02-02|3:P-O|6:Office|4:sale|5:92.40</v>
      </c>
      <c r="Q1740" s="1">
        <f>1</f>
        <v>1</v>
      </c>
      <c r="R1740" s="1" t="b">
        <f>FALSE</f>
        <v>0</v>
      </c>
      <c r="S1740" s="1">
        <f>1</f>
        <v>1</v>
      </c>
      <c r="T1740" s="1" t="str">
        <f>IF(AND(Raw!A1740="",Raw!B1740="",Raw!C1740="",Raw!D1740="",Raw!E1740="",Raw!F1740="",Raw!G1740=""),"UNUSED",IF(A1740="","missing line ID",IF(B1740="","missing transaction ID",IF(G1740="",IF(C1740="","missing date","invalid date"),IF(I1740="","unknown product",IF(J1740="","conflicting category",IF(NOT(OR(EXACT(K1740,"sale"),EXACT(K1740,"refund"))),"unknown event",IF(OR(N1740="",NOT(O1740)),"invalid amount",IF(OR(AND(K1740="sale",N1740&lt;=0),AND(K1740="refund",N1740&gt;=0)),"invalid sign","")))))))))</f>
        <v/>
      </c>
      <c r="U1740" s="1" t="str">
        <f t="shared" si="221"/>
        <v>INCLUDED</v>
      </c>
      <c r="V1740" s="1" t="str">
        <f t="shared" si="222"/>
        <v>2026-02</v>
      </c>
      <c r="W1740" s="1">
        <f>IF(AND(U1740="INCLUDED",X1740&gt;0,EXACT(A1740,'AI output'!A1740)),1,0)</f>
        <v>1</v>
      </c>
      <c r="X1740" s="1">
        <f>1740</f>
        <v>1740</v>
      </c>
      <c r="Y1740" s="1">
        <f>IF(AND(U1740="INCLUDED",W1740=1),--(NOT(EXACT(A1740,'AI output'!A1740)))+--(NOT(EXACT(B1740,'AI output'!B1740)))+--(NOT(EXACT(TEXT(G1740,"yyyy-mm-dd"),'AI output'!C1740)))+--(NOT(EXACT(H1740,'AI output'!D1740)))+--(NOT(EXACT(J1740,'AI output'!E1740)))+--(NOT(EXACT(K1740,'AI output'!F1740)))+--(N1740&lt;&gt;'AI output'!L1740)+--(NOT('AI output'!M1740)),0)</f>
        <v>0</v>
      </c>
      <c r="Z1740" s="1">
        <f t="shared" si="223"/>
        <v>0</v>
      </c>
      <c r="AA1740" s="1">
        <f>--EXACT(A1740,"L01734")</f>
        <v>1</v>
      </c>
    </row>
    <row r="1741" spans="1:27" ht="18.95" customHeight="1">
      <c r="A1741" s="1" t="str">
        <f>IF(Raw!A1741="","",Raw!A1741)</f>
        <v>L01735</v>
      </c>
      <c r="B1741" s="1" t="str">
        <f>IF(Raw!B1741="","",Raw!B1741)</f>
        <v>T00868</v>
      </c>
      <c r="C1741" s="1" t="str">
        <f>IF(Raw!C1741="","",Raw!C1741)</f>
        <v>2026-02-09</v>
      </c>
      <c r="D1741" s="1">
        <f t="shared" si="216"/>
        <v>2026</v>
      </c>
      <c r="E1741" s="1">
        <f>IFERROR(IF(AND(LEN(C1741)=10,MID(C1741,5,1)="-",MID(C1741,8,1)="-"),VALUE(MID(C1741,6,2)),IF(AND(LEN(C1741)=11,MID(C1741,3,1)="-",MID(C1741,7,1)="-"),MATCH(UPPER(MID(C1741,4,3)),Guide!$D$7:$D$18,0),0)),0)</f>
        <v>2</v>
      </c>
      <c r="F1741" s="1">
        <f t="shared" si="217"/>
        <v>9</v>
      </c>
      <c r="G1741" s="9">
        <f t="shared" si="218"/>
        <v>46062</v>
      </c>
      <c r="H1741" s="1" t="str">
        <f>IF(Raw!D1741="","",Raw!D1741)</f>
        <v>P-A</v>
      </c>
      <c r="I1741" s="1" t="str">
        <f>IFERROR(IF(EXACT(H1741,INDEX(Guide!$A$7:$A$9,MATCH(SUBSTITUTE(SUBSTITUTE(SUBSTITUTE(H1741,"~","~~"),"*","~*"),"?","~?"),Guide!$A$7:$A$9,0))),INDEX(Guide!$B$7:$B$9,MATCH(SUBSTITUTE(SUBSTITUTE(SUBSTITUTE(H1741,"~","~~"),"*","~*"),"?","~?"),Guide!$A$7:$A$9,0)),""),"")</f>
        <v>Accessories</v>
      </c>
      <c r="J1741" s="1" t="str">
        <f>IF(TRIM(Raw!E1741)="",I1741,IF(UPPER(TRIM(Raw!E1741))=UPPER(I1741),I1741,""))</f>
        <v>Accessories</v>
      </c>
      <c r="K1741" s="1" t="str">
        <f>IF(Raw!F1741="","",Raw!F1741)</f>
        <v>sale</v>
      </c>
      <c r="L1741" s="1" t="str">
        <f>IF(LEFT(TRIM(Raw!G1741),2)="-$","-"&amp;MID(TRIM(Raw!G1741),3,99),IF(LEFT(TRIM(Raw!G1741),1)="$",MID(TRIM(Raw!G1741),2,99),TRIM(Raw!G1741)))</f>
        <v>186.28</v>
      </c>
      <c r="M1741" s="1">
        <f t="shared" si="219"/>
        <v>186.28</v>
      </c>
      <c r="N1741" s="10">
        <f t="shared" si="220"/>
        <v>18628</v>
      </c>
      <c r="O1741" s="1" t="b">
        <f>IFERROR(IF(ISNUMBER(Raw!G1741),TRUE,OR(EXACT(L1741,TEXT(M1741,"0.00")),EXACT(L1741,TEXT(M1741,"#,##0.00")))),FALSE)</f>
        <v>1</v>
      </c>
      <c r="P1741" s="1" t="str">
        <f>LEN(IF(Raw!A1741="","",Raw!A1741))&amp;":"&amp;IF(Raw!A1741="","",Raw!A1741)&amp;"|"&amp;LEN(IF(Raw!B1741="","",Raw!B1741))&amp;":"&amp;IF(Raw!B1741="","",Raw!B1741)&amp;"|"&amp;LEN(IF(Raw!C1741="","",Raw!C1741))&amp;":"&amp;IF(Raw!C1741="","",Raw!C1741)&amp;"|"&amp;LEN(IF(Raw!D1741="","",Raw!D1741))&amp;":"&amp;IF(Raw!D1741="","",Raw!D1741)&amp;"|"&amp;LEN(IF(Raw!E1741="","",Raw!E1741))&amp;":"&amp;IF(Raw!E1741="","",Raw!E1741)&amp;"|"&amp;LEN(IF(Raw!F1741="","",Raw!F1741))&amp;":"&amp;IF(Raw!F1741="","",Raw!F1741)&amp;"|"&amp;LEN(IF(Raw!G1741="","",Raw!G1741))&amp;":"&amp;IF(Raw!G1741="","",Raw!G1741)</f>
        <v>6:L01735|6:T00868|10:2026-02-09|3:P-A|11:Accessories|4:sale|6:186.28</v>
      </c>
      <c r="Q1741" s="1">
        <f>1</f>
        <v>1</v>
      </c>
      <c r="R1741" s="1" t="b">
        <f>FALSE</f>
        <v>0</v>
      </c>
      <c r="S1741" s="1">
        <f>1</f>
        <v>1</v>
      </c>
      <c r="T1741" s="1" t="str">
        <f>IF(AND(Raw!A1741="",Raw!B1741="",Raw!C1741="",Raw!D1741="",Raw!E1741="",Raw!F1741="",Raw!G1741=""),"UNUSED",IF(A1741="","missing line ID",IF(B1741="","missing transaction ID",IF(G1741="",IF(C1741="","missing date","invalid date"),IF(I1741="","unknown product",IF(J1741="","conflicting category",IF(NOT(OR(EXACT(K1741,"sale"),EXACT(K1741,"refund"))),"unknown event",IF(OR(N1741="",NOT(O1741)),"invalid amount",IF(OR(AND(K1741="sale",N1741&lt;=0),AND(K1741="refund",N1741&gt;=0)),"invalid sign","")))))))))</f>
        <v/>
      </c>
      <c r="U1741" s="1" t="str">
        <f t="shared" si="221"/>
        <v>INCLUDED</v>
      </c>
      <c r="V1741" s="1" t="str">
        <f t="shared" si="222"/>
        <v>2026-02</v>
      </c>
      <c r="W1741" s="1">
        <f>IF(AND(U1741="INCLUDED",X1741&gt;0,EXACT(A1741,'AI output'!A1741)),1,0)</f>
        <v>1</v>
      </c>
      <c r="X1741" s="1">
        <f>1741</f>
        <v>1741</v>
      </c>
      <c r="Y1741" s="1">
        <f>IF(AND(U1741="INCLUDED",W1741=1),--(NOT(EXACT(A1741,'AI output'!A1741)))+--(NOT(EXACT(B1741,'AI output'!B1741)))+--(NOT(EXACT(TEXT(G1741,"yyyy-mm-dd"),'AI output'!C1741)))+--(NOT(EXACT(H1741,'AI output'!D1741)))+--(NOT(EXACT(J1741,'AI output'!E1741)))+--(NOT(EXACT(K1741,'AI output'!F1741)))+--(N1741&lt;&gt;'AI output'!L1741)+--(NOT('AI output'!M1741)),0)</f>
        <v>0</v>
      </c>
      <c r="Z1741" s="1">
        <f t="shared" si="223"/>
        <v>0</v>
      </c>
      <c r="AA1741" s="1">
        <f>--EXACT(A1741,"L01735")</f>
        <v>1</v>
      </c>
    </row>
    <row r="1742" spans="1:27" ht="18.95" customHeight="1">
      <c r="A1742" s="1" t="str">
        <f>IF(Raw!A1742="","",Raw!A1742)</f>
        <v>L01736</v>
      </c>
      <c r="B1742" s="1" t="str">
        <f>IF(Raw!B1742="","",Raw!B1742)</f>
        <v>T00868</v>
      </c>
      <c r="C1742" s="1" t="str">
        <f>IF(Raw!C1742="","",Raw!C1742)</f>
        <v>2026-02-09</v>
      </c>
      <c r="D1742" s="1">
        <f t="shared" si="216"/>
        <v>2026</v>
      </c>
      <c r="E1742" s="1">
        <f>IFERROR(IF(AND(LEN(C1742)=10,MID(C1742,5,1)="-",MID(C1742,8,1)="-"),VALUE(MID(C1742,6,2)),IF(AND(LEN(C1742)=11,MID(C1742,3,1)="-",MID(C1742,7,1)="-"),MATCH(UPPER(MID(C1742,4,3)),Guide!$D$7:$D$18,0),0)),0)</f>
        <v>2</v>
      </c>
      <c r="F1742" s="1">
        <f t="shared" si="217"/>
        <v>9</v>
      </c>
      <c r="G1742" s="9">
        <f t="shared" si="218"/>
        <v>46062</v>
      </c>
      <c r="H1742" s="1" t="str">
        <f>IF(Raw!D1742="","",Raw!D1742)</f>
        <v>P-H</v>
      </c>
      <c r="I1742" s="1" t="str">
        <f>IFERROR(IF(EXACT(H1742,INDEX(Guide!$A$7:$A$9,MATCH(SUBSTITUTE(SUBSTITUTE(SUBSTITUTE(H1742,"~","~~"),"*","~*"),"?","~?"),Guide!$A$7:$A$9,0))),INDEX(Guide!$B$7:$B$9,MATCH(SUBSTITUTE(SUBSTITUTE(SUBSTITUTE(H1742,"~","~~"),"*","~*"),"?","~?"),Guide!$A$7:$A$9,0)),""),"")</f>
        <v>Home</v>
      </c>
      <c r="J1742" s="1" t="str">
        <f>IF(TRIM(Raw!E1742)="",I1742,IF(UPPER(TRIM(Raw!E1742))=UPPER(I1742),I1742,""))</f>
        <v>Home</v>
      </c>
      <c r="K1742" s="1" t="str">
        <f>IF(Raw!F1742="","",Raw!F1742)</f>
        <v>sale</v>
      </c>
      <c r="L1742" s="1" t="str">
        <f>IF(LEFT(TRIM(Raw!G1742),2)="-$","-"&amp;MID(TRIM(Raw!G1742),3,99),IF(LEFT(TRIM(Raw!G1742),1)="$",MID(TRIM(Raw!G1742),2,99),TRIM(Raw!G1742)))</f>
        <v>46.94</v>
      </c>
      <c r="M1742" s="1">
        <f t="shared" si="219"/>
        <v>46.94</v>
      </c>
      <c r="N1742" s="10">
        <f t="shared" si="220"/>
        <v>4694</v>
      </c>
      <c r="O1742" s="1" t="b">
        <f>IFERROR(IF(ISNUMBER(Raw!G1742),TRUE,OR(EXACT(L1742,TEXT(M1742,"0.00")),EXACT(L1742,TEXT(M1742,"#,##0.00")))),FALSE)</f>
        <v>1</v>
      </c>
      <c r="P1742" s="1" t="str">
        <f>LEN(IF(Raw!A1742="","",Raw!A1742))&amp;":"&amp;IF(Raw!A1742="","",Raw!A1742)&amp;"|"&amp;LEN(IF(Raw!B1742="","",Raw!B1742))&amp;":"&amp;IF(Raw!B1742="","",Raw!B1742)&amp;"|"&amp;LEN(IF(Raw!C1742="","",Raw!C1742))&amp;":"&amp;IF(Raw!C1742="","",Raw!C1742)&amp;"|"&amp;LEN(IF(Raw!D1742="","",Raw!D1742))&amp;":"&amp;IF(Raw!D1742="","",Raw!D1742)&amp;"|"&amp;LEN(IF(Raw!E1742="","",Raw!E1742))&amp;":"&amp;IF(Raw!E1742="","",Raw!E1742)&amp;"|"&amp;LEN(IF(Raw!F1742="","",Raw!F1742))&amp;":"&amp;IF(Raw!F1742="","",Raw!F1742)&amp;"|"&amp;LEN(IF(Raw!G1742="","",Raw!G1742))&amp;":"&amp;IF(Raw!G1742="","",Raw!G1742)</f>
        <v>6:L01736|6:T00868|10:2026-02-09|3:P-H|4:Home|4:sale|5:46.94</v>
      </c>
      <c r="Q1742" s="1">
        <f>1</f>
        <v>1</v>
      </c>
      <c r="R1742" s="1" t="b">
        <f>FALSE</f>
        <v>0</v>
      </c>
      <c r="S1742" s="1">
        <f>1</f>
        <v>1</v>
      </c>
      <c r="T1742" s="1" t="str">
        <f>IF(AND(Raw!A1742="",Raw!B1742="",Raw!C1742="",Raw!D1742="",Raw!E1742="",Raw!F1742="",Raw!G1742=""),"UNUSED",IF(A1742="","missing line ID",IF(B1742="","missing transaction ID",IF(G1742="",IF(C1742="","missing date","invalid date"),IF(I1742="","unknown product",IF(J1742="","conflicting category",IF(NOT(OR(EXACT(K1742,"sale"),EXACT(K1742,"refund"))),"unknown event",IF(OR(N1742="",NOT(O1742)),"invalid amount",IF(OR(AND(K1742="sale",N1742&lt;=0),AND(K1742="refund",N1742&gt;=0)),"invalid sign","")))))))))</f>
        <v/>
      </c>
      <c r="U1742" s="1" t="str">
        <f t="shared" si="221"/>
        <v>INCLUDED</v>
      </c>
      <c r="V1742" s="1" t="str">
        <f t="shared" si="222"/>
        <v>2026-02</v>
      </c>
      <c r="W1742" s="1">
        <f>IF(AND(U1742="INCLUDED",X1742&gt;0,EXACT(A1742,'AI output'!A1742)),1,0)</f>
        <v>1</v>
      </c>
      <c r="X1742" s="1">
        <f>1742</f>
        <v>1742</v>
      </c>
      <c r="Y1742" s="1">
        <f>IF(AND(U1742="INCLUDED",W1742=1),--(NOT(EXACT(A1742,'AI output'!A1742)))+--(NOT(EXACT(B1742,'AI output'!B1742)))+--(NOT(EXACT(TEXT(G1742,"yyyy-mm-dd"),'AI output'!C1742)))+--(NOT(EXACT(H1742,'AI output'!D1742)))+--(NOT(EXACT(J1742,'AI output'!E1742)))+--(NOT(EXACT(K1742,'AI output'!F1742)))+--(N1742&lt;&gt;'AI output'!L1742)+--(NOT('AI output'!M1742)),0)</f>
        <v>0</v>
      </c>
      <c r="Z1742" s="1">
        <f t="shared" si="223"/>
        <v>0</v>
      </c>
      <c r="AA1742" s="1">
        <f>--EXACT(A1742,"L01736")</f>
        <v>1</v>
      </c>
    </row>
    <row r="1743" spans="1:27" ht="18.95" customHeight="1">
      <c r="A1743" s="1" t="str">
        <f>IF(Raw!A1743="","",Raw!A1743)</f>
        <v>L01737</v>
      </c>
      <c r="B1743" s="1" t="str">
        <f>IF(Raw!B1743="","",Raw!B1743)</f>
        <v>T00869</v>
      </c>
      <c r="C1743" s="1" t="str">
        <f>IF(Raw!C1743="","",Raw!C1743)</f>
        <v>2026-02-16</v>
      </c>
      <c r="D1743" s="1">
        <f t="shared" si="216"/>
        <v>2026</v>
      </c>
      <c r="E1743" s="1">
        <f>IFERROR(IF(AND(LEN(C1743)=10,MID(C1743,5,1)="-",MID(C1743,8,1)="-"),VALUE(MID(C1743,6,2)),IF(AND(LEN(C1743)=11,MID(C1743,3,1)="-",MID(C1743,7,1)="-"),MATCH(UPPER(MID(C1743,4,3)),Guide!$D$7:$D$18,0),0)),0)</f>
        <v>2</v>
      </c>
      <c r="F1743" s="1">
        <f t="shared" si="217"/>
        <v>16</v>
      </c>
      <c r="G1743" s="9">
        <f t="shared" si="218"/>
        <v>46069</v>
      </c>
      <c r="H1743" s="1" t="str">
        <f>IF(Raw!D1743="","",Raw!D1743)</f>
        <v>P-O</v>
      </c>
      <c r="I1743" s="1" t="str">
        <f>IFERROR(IF(EXACT(H1743,INDEX(Guide!$A$7:$A$9,MATCH(SUBSTITUTE(SUBSTITUTE(SUBSTITUTE(H1743,"~","~~"),"*","~*"),"?","~?"),Guide!$A$7:$A$9,0))),INDEX(Guide!$B$7:$B$9,MATCH(SUBSTITUTE(SUBSTITUTE(SUBSTITUTE(H1743,"~","~~"),"*","~*"),"?","~?"),Guide!$A$7:$A$9,0)),""),"")</f>
        <v>Office</v>
      </c>
      <c r="J1743" s="1" t="str">
        <f>IF(TRIM(Raw!E1743)="",I1743,IF(UPPER(TRIM(Raw!E1743))=UPPER(I1743),I1743,""))</f>
        <v>Office</v>
      </c>
      <c r="K1743" s="1" t="str">
        <f>IF(Raw!F1743="","",Raw!F1743)</f>
        <v>sale</v>
      </c>
      <c r="L1743" s="1" t="str">
        <f>IF(LEFT(TRIM(Raw!G1743),2)="-$","-"&amp;MID(TRIM(Raw!G1743),3,99),IF(LEFT(TRIM(Raw!G1743),1)="$",MID(TRIM(Raw!G1743),2,99),TRIM(Raw!G1743)))</f>
        <v>141.93</v>
      </c>
      <c r="M1743" s="1">
        <f t="shared" si="219"/>
        <v>141.93</v>
      </c>
      <c r="N1743" s="10">
        <f t="shared" si="220"/>
        <v>14193</v>
      </c>
      <c r="O1743" s="1" t="b">
        <f>IFERROR(IF(ISNUMBER(Raw!G1743),TRUE,OR(EXACT(L1743,TEXT(M1743,"0.00")),EXACT(L1743,TEXT(M1743,"#,##0.00")))),FALSE)</f>
        <v>1</v>
      </c>
      <c r="P1743" s="1" t="str">
        <f>LEN(IF(Raw!A1743="","",Raw!A1743))&amp;":"&amp;IF(Raw!A1743="","",Raw!A1743)&amp;"|"&amp;LEN(IF(Raw!B1743="","",Raw!B1743))&amp;":"&amp;IF(Raw!B1743="","",Raw!B1743)&amp;"|"&amp;LEN(IF(Raw!C1743="","",Raw!C1743))&amp;":"&amp;IF(Raw!C1743="","",Raw!C1743)&amp;"|"&amp;LEN(IF(Raw!D1743="","",Raw!D1743))&amp;":"&amp;IF(Raw!D1743="","",Raw!D1743)&amp;"|"&amp;LEN(IF(Raw!E1743="","",Raw!E1743))&amp;":"&amp;IF(Raw!E1743="","",Raw!E1743)&amp;"|"&amp;LEN(IF(Raw!F1743="","",Raw!F1743))&amp;":"&amp;IF(Raw!F1743="","",Raw!F1743)&amp;"|"&amp;LEN(IF(Raw!G1743="","",Raw!G1743))&amp;":"&amp;IF(Raw!G1743="","",Raw!G1743)</f>
        <v>6:L01737|6:T00869|10:2026-02-16|3:P-O|6:Office|4:sale|6:141.93</v>
      </c>
      <c r="Q1743" s="1">
        <f>1</f>
        <v>1</v>
      </c>
      <c r="R1743" s="1" t="b">
        <f>FALSE</f>
        <v>0</v>
      </c>
      <c r="S1743" s="1">
        <f>1</f>
        <v>1</v>
      </c>
      <c r="T1743" s="1" t="str">
        <f>IF(AND(Raw!A1743="",Raw!B1743="",Raw!C1743="",Raw!D1743="",Raw!E1743="",Raw!F1743="",Raw!G1743=""),"UNUSED",IF(A1743="","missing line ID",IF(B1743="","missing transaction ID",IF(G1743="",IF(C1743="","missing date","invalid date"),IF(I1743="","unknown product",IF(J1743="","conflicting category",IF(NOT(OR(EXACT(K1743,"sale"),EXACT(K1743,"refund"))),"unknown event",IF(OR(N1743="",NOT(O1743)),"invalid amount",IF(OR(AND(K1743="sale",N1743&lt;=0),AND(K1743="refund",N1743&gt;=0)),"invalid sign","")))))))))</f>
        <v/>
      </c>
      <c r="U1743" s="1" t="str">
        <f t="shared" si="221"/>
        <v>INCLUDED</v>
      </c>
      <c r="V1743" s="1" t="str">
        <f t="shared" si="222"/>
        <v>2026-02</v>
      </c>
      <c r="W1743" s="1">
        <f>IF(AND(U1743="INCLUDED",X1743&gt;0,EXACT(A1743,'AI output'!A1743)),1,0)</f>
        <v>1</v>
      </c>
      <c r="X1743" s="1">
        <f>1743</f>
        <v>1743</v>
      </c>
      <c r="Y1743" s="1">
        <f>IF(AND(U1743="INCLUDED",W1743=1),--(NOT(EXACT(A1743,'AI output'!A1743)))+--(NOT(EXACT(B1743,'AI output'!B1743)))+--(NOT(EXACT(TEXT(G1743,"yyyy-mm-dd"),'AI output'!C1743)))+--(NOT(EXACT(H1743,'AI output'!D1743)))+--(NOT(EXACT(J1743,'AI output'!E1743)))+--(NOT(EXACT(K1743,'AI output'!F1743)))+--(N1743&lt;&gt;'AI output'!L1743)+--(NOT('AI output'!M1743)),0)</f>
        <v>0</v>
      </c>
      <c r="Z1743" s="1">
        <f t="shared" si="223"/>
        <v>0</v>
      </c>
      <c r="AA1743" s="1">
        <f>--EXACT(A1743,"L01737")</f>
        <v>1</v>
      </c>
    </row>
    <row r="1744" spans="1:27" ht="18.95" customHeight="1">
      <c r="A1744" s="1" t="str">
        <f>IF(Raw!A1744="","",Raw!A1744)</f>
        <v>L01738</v>
      </c>
      <c r="B1744" s="1" t="str">
        <f>IF(Raw!B1744="","",Raw!B1744)</f>
        <v>T00869</v>
      </c>
      <c r="C1744" s="1" t="str">
        <f>IF(Raw!C1744="","",Raw!C1744)</f>
        <v>2026-02-16</v>
      </c>
      <c r="D1744" s="1">
        <f t="shared" si="216"/>
        <v>2026</v>
      </c>
      <c r="E1744" s="1">
        <f>IFERROR(IF(AND(LEN(C1744)=10,MID(C1744,5,1)="-",MID(C1744,8,1)="-"),VALUE(MID(C1744,6,2)),IF(AND(LEN(C1744)=11,MID(C1744,3,1)="-",MID(C1744,7,1)="-"),MATCH(UPPER(MID(C1744,4,3)),Guide!$D$7:$D$18,0),0)),0)</f>
        <v>2</v>
      </c>
      <c r="F1744" s="1">
        <f t="shared" si="217"/>
        <v>16</v>
      </c>
      <c r="G1744" s="9">
        <f t="shared" si="218"/>
        <v>46069</v>
      </c>
      <c r="H1744" s="1" t="str">
        <f>IF(Raw!D1744="","",Raw!D1744)</f>
        <v>P-A</v>
      </c>
      <c r="I1744" s="1" t="str">
        <f>IFERROR(IF(EXACT(H1744,INDEX(Guide!$A$7:$A$9,MATCH(SUBSTITUTE(SUBSTITUTE(SUBSTITUTE(H1744,"~","~~"),"*","~*"),"?","~?"),Guide!$A$7:$A$9,0))),INDEX(Guide!$B$7:$B$9,MATCH(SUBSTITUTE(SUBSTITUTE(SUBSTITUTE(H1744,"~","~~"),"*","~*"),"?","~?"),Guide!$A$7:$A$9,0)),""),"")</f>
        <v>Accessories</v>
      </c>
      <c r="J1744" s="1" t="str">
        <f>IF(TRIM(Raw!E1744)="",I1744,IF(UPPER(TRIM(Raw!E1744))=UPPER(I1744),I1744,""))</f>
        <v>Accessories</v>
      </c>
      <c r="K1744" s="1" t="str">
        <f>IF(Raw!F1744="","",Raw!F1744)</f>
        <v>sale</v>
      </c>
      <c r="L1744" s="1" t="str">
        <f>IF(LEFT(TRIM(Raw!G1744),2)="-$","-"&amp;MID(TRIM(Raw!G1744),3,99),IF(LEFT(TRIM(Raw!G1744),1)="$",MID(TRIM(Raw!G1744),2,99),TRIM(Raw!G1744)))</f>
        <v>238.40</v>
      </c>
      <c r="M1744" s="1">
        <f t="shared" si="219"/>
        <v>238.4</v>
      </c>
      <c r="N1744" s="10">
        <f t="shared" si="220"/>
        <v>23840</v>
      </c>
      <c r="O1744" s="1" t="b">
        <f>IFERROR(IF(ISNUMBER(Raw!G1744),TRUE,OR(EXACT(L1744,TEXT(M1744,"0.00")),EXACT(L1744,TEXT(M1744,"#,##0.00")))),FALSE)</f>
        <v>1</v>
      </c>
      <c r="P1744" s="1" t="str">
        <f>LEN(IF(Raw!A1744="","",Raw!A1744))&amp;":"&amp;IF(Raw!A1744="","",Raw!A1744)&amp;"|"&amp;LEN(IF(Raw!B1744="","",Raw!B1744))&amp;":"&amp;IF(Raw!B1744="","",Raw!B1744)&amp;"|"&amp;LEN(IF(Raw!C1744="","",Raw!C1744))&amp;":"&amp;IF(Raw!C1744="","",Raw!C1744)&amp;"|"&amp;LEN(IF(Raw!D1744="","",Raw!D1744))&amp;":"&amp;IF(Raw!D1744="","",Raw!D1744)&amp;"|"&amp;LEN(IF(Raw!E1744="","",Raw!E1744))&amp;":"&amp;IF(Raw!E1744="","",Raw!E1744)&amp;"|"&amp;LEN(IF(Raw!F1744="","",Raw!F1744))&amp;":"&amp;IF(Raw!F1744="","",Raw!F1744)&amp;"|"&amp;LEN(IF(Raw!G1744="","",Raw!G1744))&amp;":"&amp;IF(Raw!G1744="","",Raw!G1744)</f>
        <v>6:L01738|6:T00869|10:2026-02-16|3:P-A|11:Accessories|4:sale|6:238.40</v>
      </c>
      <c r="Q1744" s="1">
        <f>1</f>
        <v>1</v>
      </c>
      <c r="R1744" s="1" t="b">
        <f>FALSE</f>
        <v>0</v>
      </c>
      <c r="S1744" s="1">
        <f>1</f>
        <v>1</v>
      </c>
      <c r="T1744" s="1" t="str">
        <f>IF(AND(Raw!A1744="",Raw!B1744="",Raw!C1744="",Raw!D1744="",Raw!E1744="",Raw!F1744="",Raw!G1744=""),"UNUSED",IF(A1744="","missing line ID",IF(B1744="","missing transaction ID",IF(G1744="",IF(C1744="","missing date","invalid date"),IF(I1744="","unknown product",IF(J1744="","conflicting category",IF(NOT(OR(EXACT(K1744,"sale"),EXACT(K1744,"refund"))),"unknown event",IF(OR(N1744="",NOT(O1744)),"invalid amount",IF(OR(AND(K1744="sale",N1744&lt;=0),AND(K1744="refund",N1744&gt;=0)),"invalid sign","")))))))))</f>
        <v/>
      </c>
      <c r="U1744" s="1" t="str">
        <f t="shared" si="221"/>
        <v>INCLUDED</v>
      </c>
      <c r="V1744" s="1" t="str">
        <f t="shared" si="222"/>
        <v>2026-02</v>
      </c>
      <c r="W1744" s="1">
        <f>IF(AND(U1744="INCLUDED",X1744&gt;0,EXACT(A1744,'AI output'!A1744)),1,0)</f>
        <v>1</v>
      </c>
      <c r="X1744" s="1">
        <f>1744</f>
        <v>1744</v>
      </c>
      <c r="Y1744" s="1">
        <f>IF(AND(U1744="INCLUDED",W1744=1),--(NOT(EXACT(A1744,'AI output'!A1744)))+--(NOT(EXACT(B1744,'AI output'!B1744)))+--(NOT(EXACT(TEXT(G1744,"yyyy-mm-dd"),'AI output'!C1744)))+--(NOT(EXACT(H1744,'AI output'!D1744)))+--(NOT(EXACT(J1744,'AI output'!E1744)))+--(NOT(EXACT(K1744,'AI output'!F1744)))+--(N1744&lt;&gt;'AI output'!L1744)+--(NOT('AI output'!M1744)),0)</f>
        <v>0</v>
      </c>
      <c r="Z1744" s="1">
        <f t="shared" si="223"/>
        <v>0</v>
      </c>
      <c r="AA1744" s="1">
        <f>--EXACT(A1744,"L01738")</f>
        <v>1</v>
      </c>
    </row>
    <row r="1745" spans="1:27" ht="18.95" customHeight="1">
      <c r="A1745" s="1" t="str">
        <f>IF(Raw!A1745="","",Raw!A1745)</f>
        <v>L01739</v>
      </c>
      <c r="B1745" s="1" t="str">
        <f>IF(Raw!B1745="","",Raw!B1745)</f>
        <v>T00870</v>
      </c>
      <c r="C1745" s="1" t="str">
        <f>IF(Raw!C1745="","",Raw!C1745)</f>
        <v>2026-02-23</v>
      </c>
      <c r="D1745" s="1">
        <f t="shared" si="216"/>
        <v>2026</v>
      </c>
      <c r="E1745" s="1">
        <f>IFERROR(IF(AND(LEN(C1745)=10,MID(C1745,5,1)="-",MID(C1745,8,1)="-"),VALUE(MID(C1745,6,2)),IF(AND(LEN(C1745)=11,MID(C1745,3,1)="-",MID(C1745,7,1)="-"),MATCH(UPPER(MID(C1745,4,3)),Guide!$D$7:$D$18,0),0)),0)</f>
        <v>2</v>
      </c>
      <c r="F1745" s="1">
        <f t="shared" si="217"/>
        <v>23</v>
      </c>
      <c r="G1745" s="9">
        <f t="shared" si="218"/>
        <v>46076</v>
      </c>
      <c r="H1745" s="1" t="str">
        <f>IF(Raw!D1745="","",Raw!D1745)</f>
        <v>P-H</v>
      </c>
      <c r="I1745" s="1" t="str">
        <f>IFERROR(IF(EXACT(H1745,INDEX(Guide!$A$7:$A$9,MATCH(SUBSTITUTE(SUBSTITUTE(SUBSTITUTE(H1745,"~","~~"),"*","~*"),"?","~?"),Guide!$A$7:$A$9,0))),INDEX(Guide!$B$7:$B$9,MATCH(SUBSTITUTE(SUBSTITUTE(SUBSTITUTE(H1745,"~","~~"),"*","~*"),"?","~?"),Guide!$A$7:$A$9,0)),""),"")</f>
        <v>Home</v>
      </c>
      <c r="J1745" s="1" t="str">
        <f>IF(TRIM(Raw!E1745)="",I1745,IF(UPPER(TRIM(Raw!E1745))=UPPER(I1745),I1745,""))</f>
        <v>Home</v>
      </c>
      <c r="K1745" s="1" t="str">
        <f>IF(Raw!F1745="","",Raw!F1745)</f>
        <v>sale</v>
      </c>
      <c r="L1745" s="1" t="str">
        <f>IF(LEFT(TRIM(Raw!G1745),2)="-$","-"&amp;MID(TRIM(Raw!G1745),3,99),IF(LEFT(TRIM(Raw!G1745),1)="$",MID(TRIM(Raw!G1745),2,99),TRIM(Raw!G1745)))</f>
        <v>96.10</v>
      </c>
      <c r="M1745" s="1">
        <f t="shared" si="219"/>
        <v>96.1</v>
      </c>
      <c r="N1745" s="10">
        <f t="shared" si="220"/>
        <v>9610</v>
      </c>
      <c r="O1745" s="1" t="b">
        <f>IFERROR(IF(ISNUMBER(Raw!G1745),TRUE,OR(EXACT(L1745,TEXT(M1745,"0.00")),EXACT(L1745,TEXT(M1745,"#,##0.00")))),FALSE)</f>
        <v>1</v>
      </c>
      <c r="P1745" s="1" t="str">
        <f>LEN(IF(Raw!A1745="","",Raw!A1745))&amp;":"&amp;IF(Raw!A1745="","",Raw!A1745)&amp;"|"&amp;LEN(IF(Raw!B1745="","",Raw!B1745))&amp;":"&amp;IF(Raw!B1745="","",Raw!B1745)&amp;"|"&amp;LEN(IF(Raw!C1745="","",Raw!C1745))&amp;":"&amp;IF(Raw!C1745="","",Raw!C1745)&amp;"|"&amp;LEN(IF(Raw!D1745="","",Raw!D1745))&amp;":"&amp;IF(Raw!D1745="","",Raw!D1745)&amp;"|"&amp;LEN(IF(Raw!E1745="","",Raw!E1745))&amp;":"&amp;IF(Raw!E1745="","",Raw!E1745)&amp;"|"&amp;LEN(IF(Raw!F1745="","",Raw!F1745))&amp;":"&amp;IF(Raw!F1745="","",Raw!F1745)&amp;"|"&amp;LEN(IF(Raw!G1745="","",Raw!G1745))&amp;":"&amp;IF(Raw!G1745="","",Raw!G1745)</f>
        <v>6:L01739|6:T00870|10:2026-02-23|3:P-H|4:Home|4:sale|5:96.10</v>
      </c>
      <c r="Q1745" s="1">
        <f>1</f>
        <v>1</v>
      </c>
      <c r="R1745" s="1" t="b">
        <f>FALSE</f>
        <v>0</v>
      </c>
      <c r="S1745" s="1">
        <f>1</f>
        <v>1</v>
      </c>
      <c r="T1745" s="1" t="str">
        <f>IF(AND(Raw!A1745="",Raw!B1745="",Raw!C1745="",Raw!D1745="",Raw!E1745="",Raw!F1745="",Raw!G1745=""),"UNUSED",IF(A1745="","missing line ID",IF(B1745="","missing transaction ID",IF(G1745="",IF(C1745="","missing date","invalid date"),IF(I1745="","unknown product",IF(J1745="","conflicting category",IF(NOT(OR(EXACT(K1745,"sale"),EXACT(K1745,"refund"))),"unknown event",IF(OR(N1745="",NOT(O1745)),"invalid amount",IF(OR(AND(K1745="sale",N1745&lt;=0),AND(K1745="refund",N1745&gt;=0)),"invalid sign","")))))))))</f>
        <v/>
      </c>
      <c r="U1745" s="1" t="str">
        <f t="shared" si="221"/>
        <v>INCLUDED</v>
      </c>
      <c r="V1745" s="1" t="str">
        <f t="shared" si="222"/>
        <v>2026-02</v>
      </c>
      <c r="W1745" s="1">
        <f>IF(AND(U1745="INCLUDED",X1745&gt;0,EXACT(A1745,'AI output'!A1745)),1,0)</f>
        <v>1</v>
      </c>
      <c r="X1745" s="1">
        <f>1745</f>
        <v>1745</v>
      </c>
      <c r="Y1745" s="1">
        <f>IF(AND(U1745="INCLUDED",W1745=1),--(NOT(EXACT(A1745,'AI output'!A1745)))+--(NOT(EXACT(B1745,'AI output'!B1745)))+--(NOT(EXACT(TEXT(G1745,"yyyy-mm-dd"),'AI output'!C1745)))+--(NOT(EXACT(H1745,'AI output'!D1745)))+--(NOT(EXACT(J1745,'AI output'!E1745)))+--(NOT(EXACT(K1745,'AI output'!F1745)))+--(N1745&lt;&gt;'AI output'!L1745)+--(NOT('AI output'!M1745)),0)</f>
        <v>0</v>
      </c>
      <c r="Z1745" s="1">
        <f t="shared" si="223"/>
        <v>0</v>
      </c>
      <c r="AA1745" s="1">
        <f>--EXACT(A1745,"L01739")</f>
        <v>1</v>
      </c>
    </row>
    <row r="1746" spans="1:27" ht="18.95" customHeight="1">
      <c r="A1746" s="1" t="str">
        <f>IF(Raw!A1746="","",Raw!A1746)</f>
        <v>L01740</v>
      </c>
      <c r="B1746" s="1" t="str">
        <f>IF(Raw!B1746="","",Raw!B1746)</f>
        <v>T00870</v>
      </c>
      <c r="C1746" s="1" t="str">
        <f>IF(Raw!C1746="","",Raw!C1746)</f>
        <v>2026-02-23</v>
      </c>
      <c r="D1746" s="1">
        <f t="shared" si="216"/>
        <v>2026</v>
      </c>
      <c r="E1746" s="1">
        <f>IFERROR(IF(AND(LEN(C1746)=10,MID(C1746,5,1)="-",MID(C1746,8,1)="-"),VALUE(MID(C1746,6,2)),IF(AND(LEN(C1746)=11,MID(C1746,3,1)="-",MID(C1746,7,1)="-"),MATCH(UPPER(MID(C1746,4,3)),Guide!$D$7:$D$18,0),0)),0)</f>
        <v>2</v>
      </c>
      <c r="F1746" s="1">
        <f t="shared" si="217"/>
        <v>23</v>
      </c>
      <c r="G1746" s="9">
        <f t="shared" si="218"/>
        <v>46076</v>
      </c>
      <c r="H1746" s="1" t="str">
        <f>IF(Raw!D1746="","",Raw!D1746)</f>
        <v>P-O</v>
      </c>
      <c r="I1746" s="1" t="str">
        <f>IFERROR(IF(EXACT(H1746,INDEX(Guide!$A$7:$A$9,MATCH(SUBSTITUTE(SUBSTITUTE(SUBSTITUTE(H1746,"~","~~"),"*","~*"),"?","~?"),Guide!$A$7:$A$9,0))),INDEX(Guide!$B$7:$B$9,MATCH(SUBSTITUTE(SUBSTITUTE(SUBSTITUTE(H1746,"~","~~"),"*","~*"),"?","~?"),Guide!$A$7:$A$9,0)),""),"")</f>
        <v>Office</v>
      </c>
      <c r="J1746" s="1" t="str">
        <f>IF(TRIM(Raw!E1746)="",I1746,IF(UPPER(TRIM(Raw!E1746))=UPPER(I1746),I1746,""))</f>
        <v>Office</v>
      </c>
      <c r="K1746" s="1" t="str">
        <f>IF(Raw!F1746="","",Raw!F1746)</f>
        <v>sale</v>
      </c>
      <c r="L1746" s="1" t="str">
        <f>IF(LEFT(TRIM(Raw!G1746),2)="-$","-"&amp;MID(TRIM(Raw!G1746),3,99),IF(LEFT(TRIM(Raw!G1746),1)="$",MID(TRIM(Raw!G1746),2,99),TRIM(Raw!G1746)))</f>
        <v>193.68</v>
      </c>
      <c r="M1746" s="1">
        <f t="shared" si="219"/>
        <v>193.68</v>
      </c>
      <c r="N1746" s="10">
        <f t="shared" si="220"/>
        <v>19368</v>
      </c>
      <c r="O1746" s="1" t="b">
        <f>IFERROR(IF(ISNUMBER(Raw!G1746),TRUE,OR(EXACT(L1746,TEXT(M1746,"0.00")),EXACT(L1746,TEXT(M1746,"#,##0.00")))),FALSE)</f>
        <v>1</v>
      </c>
      <c r="P1746" s="1" t="str">
        <f>LEN(IF(Raw!A1746="","",Raw!A1746))&amp;":"&amp;IF(Raw!A1746="","",Raw!A1746)&amp;"|"&amp;LEN(IF(Raw!B1746="","",Raw!B1746))&amp;":"&amp;IF(Raw!B1746="","",Raw!B1746)&amp;"|"&amp;LEN(IF(Raw!C1746="","",Raw!C1746))&amp;":"&amp;IF(Raw!C1746="","",Raw!C1746)&amp;"|"&amp;LEN(IF(Raw!D1746="","",Raw!D1746))&amp;":"&amp;IF(Raw!D1746="","",Raw!D1746)&amp;"|"&amp;LEN(IF(Raw!E1746="","",Raw!E1746))&amp;":"&amp;IF(Raw!E1746="","",Raw!E1746)&amp;"|"&amp;LEN(IF(Raw!F1746="","",Raw!F1746))&amp;":"&amp;IF(Raw!F1746="","",Raw!F1746)&amp;"|"&amp;LEN(IF(Raw!G1746="","",Raw!G1746))&amp;":"&amp;IF(Raw!G1746="","",Raw!G1746)</f>
        <v>6:L01740|6:T00870|10:2026-02-23|3:P-O|6:Office|4:sale|6:193.68</v>
      </c>
      <c r="Q1746" s="1">
        <f>1</f>
        <v>1</v>
      </c>
      <c r="R1746" s="1" t="b">
        <f>FALSE</f>
        <v>0</v>
      </c>
      <c r="S1746" s="1">
        <f>1</f>
        <v>1</v>
      </c>
      <c r="T1746" s="1" t="str">
        <f>IF(AND(Raw!A1746="",Raw!B1746="",Raw!C1746="",Raw!D1746="",Raw!E1746="",Raw!F1746="",Raw!G1746=""),"UNUSED",IF(A1746="","missing line ID",IF(B1746="","missing transaction ID",IF(G1746="",IF(C1746="","missing date","invalid date"),IF(I1746="","unknown product",IF(J1746="","conflicting category",IF(NOT(OR(EXACT(K1746,"sale"),EXACT(K1746,"refund"))),"unknown event",IF(OR(N1746="",NOT(O1746)),"invalid amount",IF(OR(AND(K1746="sale",N1746&lt;=0),AND(K1746="refund",N1746&gt;=0)),"invalid sign","")))))))))</f>
        <v/>
      </c>
      <c r="U1746" s="1" t="str">
        <f t="shared" si="221"/>
        <v>INCLUDED</v>
      </c>
      <c r="V1746" s="1" t="str">
        <f t="shared" si="222"/>
        <v>2026-02</v>
      </c>
      <c r="W1746" s="1">
        <f>IF(AND(U1746="INCLUDED",X1746&gt;0,EXACT(A1746,'AI output'!A1746)),1,0)</f>
        <v>1</v>
      </c>
      <c r="X1746" s="1">
        <f>1746</f>
        <v>1746</v>
      </c>
      <c r="Y1746" s="1">
        <f>IF(AND(U1746="INCLUDED",W1746=1),--(NOT(EXACT(A1746,'AI output'!A1746)))+--(NOT(EXACT(B1746,'AI output'!B1746)))+--(NOT(EXACT(TEXT(G1746,"yyyy-mm-dd"),'AI output'!C1746)))+--(NOT(EXACT(H1746,'AI output'!D1746)))+--(NOT(EXACT(J1746,'AI output'!E1746)))+--(NOT(EXACT(K1746,'AI output'!F1746)))+--(N1746&lt;&gt;'AI output'!L1746)+--(NOT('AI output'!M1746)),0)</f>
        <v>0</v>
      </c>
      <c r="Z1746" s="1">
        <f t="shared" si="223"/>
        <v>0</v>
      </c>
      <c r="AA1746" s="1">
        <f>--EXACT(A1746,"L01740")</f>
        <v>1</v>
      </c>
    </row>
    <row r="1747" spans="1:27" ht="18.95" customHeight="1">
      <c r="A1747" s="1" t="str">
        <f>IF(Raw!A1747="","",Raw!A1747)</f>
        <v>L01741</v>
      </c>
      <c r="B1747" s="1" t="str">
        <f>IF(Raw!B1747="","",Raw!B1747)</f>
        <v>T00871</v>
      </c>
      <c r="C1747" s="1" t="str">
        <f>IF(Raw!C1747="","",Raw!C1747)</f>
        <v>2026-03-02</v>
      </c>
      <c r="D1747" s="1">
        <f t="shared" si="216"/>
        <v>2026</v>
      </c>
      <c r="E1747" s="1">
        <f>IFERROR(IF(AND(LEN(C1747)=10,MID(C1747,5,1)="-",MID(C1747,8,1)="-"),VALUE(MID(C1747,6,2)),IF(AND(LEN(C1747)=11,MID(C1747,3,1)="-",MID(C1747,7,1)="-"),MATCH(UPPER(MID(C1747,4,3)),Guide!$D$7:$D$18,0),0)),0)</f>
        <v>3</v>
      </c>
      <c r="F1747" s="1">
        <f t="shared" si="217"/>
        <v>2</v>
      </c>
      <c r="G1747" s="9">
        <f t="shared" si="218"/>
        <v>46083</v>
      </c>
      <c r="H1747" s="1" t="str">
        <f>IF(Raw!D1747="","",Raw!D1747)</f>
        <v>P-A</v>
      </c>
      <c r="I1747" s="1" t="str">
        <f>IFERROR(IF(EXACT(H1747,INDEX(Guide!$A$7:$A$9,MATCH(SUBSTITUTE(SUBSTITUTE(SUBSTITUTE(H1747,"~","~~"),"*","~*"),"?","~?"),Guide!$A$7:$A$9,0))),INDEX(Guide!$B$7:$B$9,MATCH(SUBSTITUTE(SUBSTITUTE(SUBSTITUTE(H1747,"~","~~"),"*","~*"),"?","~?"),Guide!$A$7:$A$9,0)),""),"")</f>
        <v>Accessories</v>
      </c>
      <c r="J1747" s="1" t="str">
        <f>IF(TRIM(Raw!E1747)="",I1747,IF(UPPER(TRIM(Raw!E1747))=UPPER(I1747),I1747,""))</f>
        <v>Accessories</v>
      </c>
      <c r="K1747" s="1" t="str">
        <f>IF(Raw!F1747="","",Raw!F1747)</f>
        <v>sale</v>
      </c>
      <c r="L1747" s="1" t="str">
        <f>IF(LEFT(TRIM(Raw!G1747),2)="-$","-"&amp;MID(TRIM(Raw!G1747),3,99),IF(LEFT(TRIM(Raw!G1747),1)="$",MID(TRIM(Raw!G1747),2,99),TRIM(Raw!G1747)))</f>
        <v>48.79</v>
      </c>
      <c r="M1747" s="1">
        <f t="shared" si="219"/>
        <v>48.79</v>
      </c>
      <c r="N1747" s="10">
        <f t="shared" si="220"/>
        <v>4879</v>
      </c>
      <c r="O1747" s="1" t="b">
        <f>IFERROR(IF(ISNUMBER(Raw!G1747),TRUE,OR(EXACT(L1747,TEXT(M1747,"0.00")),EXACT(L1747,TEXT(M1747,"#,##0.00")))),FALSE)</f>
        <v>1</v>
      </c>
      <c r="P1747" s="1" t="str">
        <f>LEN(IF(Raw!A1747="","",Raw!A1747))&amp;":"&amp;IF(Raw!A1747="","",Raw!A1747)&amp;"|"&amp;LEN(IF(Raw!B1747="","",Raw!B1747))&amp;":"&amp;IF(Raw!B1747="","",Raw!B1747)&amp;"|"&amp;LEN(IF(Raw!C1747="","",Raw!C1747))&amp;":"&amp;IF(Raw!C1747="","",Raw!C1747)&amp;"|"&amp;LEN(IF(Raw!D1747="","",Raw!D1747))&amp;":"&amp;IF(Raw!D1747="","",Raw!D1747)&amp;"|"&amp;LEN(IF(Raw!E1747="","",Raw!E1747))&amp;":"&amp;IF(Raw!E1747="","",Raw!E1747)&amp;"|"&amp;LEN(IF(Raw!F1747="","",Raw!F1747))&amp;":"&amp;IF(Raw!F1747="","",Raw!F1747)&amp;"|"&amp;LEN(IF(Raw!G1747="","",Raw!G1747))&amp;":"&amp;IF(Raw!G1747="","",Raw!G1747)</f>
        <v>6:L01741|6:T00871|10:2026-03-02|3:P-A|11:Accessories|4:sale|5:48.79</v>
      </c>
      <c r="Q1747" s="1">
        <f>1</f>
        <v>1</v>
      </c>
      <c r="R1747" s="1" t="b">
        <f>FALSE</f>
        <v>0</v>
      </c>
      <c r="S1747" s="1">
        <f>1</f>
        <v>1</v>
      </c>
      <c r="T1747" s="1" t="str">
        <f>IF(AND(Raw!A1747="",Raw!B1747="",Raw!C1747="",Raw!D1747="",Raw!E1747="",Raw!F1747="",Raw!G1747=""),"UNUSED",IF(A1747="","missing line ID",IF(B1747="","missing transaction ID",IF(G1747="",IF(C1747="","missing date","invalid date"),IF(I1747="","unknown product",IF(J1747="","conflicting category",IF(NOT(OR(EXACT(K1747,"sale"),EXACT(K1747,"refund"))),"unknown event",IF(OR(N1747="",NOT(O1747)),"invalid amount",IF(OR(AND(K1747="sale",N1747&lt;=0),AND(K1747="refund",N1747&gt;=0)),"invalid sign","")))))))))</f>
        <v/>
      </c>
      <c r="U1747" s="1" t="str">
        <f t="shared" si="221"/>
        <v>INCLUDED</v>
      </c>
      <c r="V1747" s="1" t="str">
        <f t="shared" si="222"/>
        <v>2026-03</v>
      </c>
      <c r="W1747" s="1">
        <f>IF(AND(U1747="INCLUDED",X1747&gt;0,EXACT(A1747,'AI output'!A1747)),1,0)</f>
        <v>1</v>
      </c>
      <c r="X1747" s="1">
        <f>1747</f>
        <v>1747</v>
      </c>
      <c r="Y1747" s="1">
        <f>IF(AND(U1747="INCLUDED",W1747=1),--(NOT(EXACT(A1747,'AI output'!A1747)))+--(NOT(EXACT(B1747,'AI output'!B1747)))+--(NOT(EXACT(TEXT(G1747,"yyyy-mm-dd"),'AI output'!C1747)))+--(NOT(EXACT(H1747,'AI output'!D1747)))+--(NOT(EXACT(J1747,'AI output'!E1747)))+--(NOT(EXACT(K1747,'AI output'!F1747)))+--(N1747&lt;&gt;'AI output'!L1747)+--(NOT('AI output'!M1747)),0)</f>
        <v>0</v>
      </c>
      <c r="Z1747" s="1">
        <f t="shared" si="223"/>
        <v>0</v>
      </c>
      <c r="AA1747" s="1">
        <f>--EXACT(A1747,"L01741")</f>
        <v>1</v>
      </c>
    </row>
    <row r="1748" spans="1:27" ht="18.95" customHeight="1">
      <c r="A1748" s="1" t="str">
        <f>IF(Raw!A1748="","",Raw!A1748)</f>
        <v>L01742</v>
      </c>
      <c r="B1748" s="1" t="str">
        <f>IF(Raw!B1748="","",Raw!B1748)</f>
        <v>T00871</v>
      </c>
      <c r="C1748" s="1" t="str">
        <f>IF(Raw!C1748="","",Raw!C1748)</f>
        <v>2026-03-02</v>
      </c>
      <c r="D1748" s="1">
        <f t="shared" si="216"/>
        <v>2026</v>
      </c>
      <c r="E1748" s="1">
        <f>IFERROR(IF(AND(LEN(C1748)=10,MID(C1748,5,1)="-",MID(C1748,8,1)="-"),VALUE(MID(C1748,6,2)),IF(AND(LEN(C1748)=11,MID(C1748,3,1)="-",MID(C1748,7,1)="-"),MATCH(UPPER(MID(C1748,4,3)),Guide!$D$7:$D$18,0),0)),0)</f>
        <v>3</v>
      </c>
      <c r="F1748" s="1">
        <f t="shared" si="217"/>
        <v>2</v>
      </c>
      <c r="G1748" s="9">
        <f t="shared" si="218"/>
        <v>46083</v>
      </c>
      <c r="H1748" s="1" t="str">
        <f>IF(Raw!D1748="","",Raw!D1748)</f>
        <v>P-H</v>
      </c>
      <c r="I1748" s="1" t="str">
        <f>IFERROR(IF(EXACT(H1748,INDEX(Guide!$A$7:$A$9,MATCH(SUBSTITUTE(SUBSTITUTE(SUBSTITUTE(H1748,"~","~~"),"*","~*"),"?","~?"),Guide!$A$7:$A$9,0))),INDEX(Guide!$B$7:$B$9,MATCH(SUBSTITUTE(SUBSTITUTE(SUBSTITUTE(H1748,"~","~~"),"*","~*"),"?","~?"),Guide!$A$7:$A$9,0)),""),"")</f>
        <v>Home</v>
      </c>
      <c r="J1748" s="1" t="str">
        <f>IF(TRIM(Raw!E1748)="",I1748,IF(UPPER(TRIM(Raw!E1748))=UPPER(I1748),I1748,""))</f>
        <v>Home</v>
      </c>
      <c r="K1748" s="1" t="str">
        <f>IF(Raw!F1748="","",Raw!F1748)</f>
        <v>sale</v>
      </c>
      <c r="L1748" s="1" t="str">
        <f>IF(LEFT(TRIM(Raw!G1748),2)="-$","-"&amp;MID(TRIM(Raw!G1748),3,99),IF(LEFT(TRIM(Raw!G1748),1)="$",MID(TRIM(Raw!G1748),2,99),TRIM(Raw!G1748)))</f>
        <v>147.48</v>
      </c>
      <c r="M1748" s="1">
        <f t="shared" si="219"/>
        <v>147.47999999999999</v>
      </c>
      <c r="N1748" s="10">
        <f t="shared" si="220"/>
        <v>14748</v>
      </c>
      <c r="O1748" s="1" t="b">
        <f>IFERROR(IF(ISNUMBER(Raw!G1748),TRUE,OR(EXACT(L1748,TEXT(M1748,"0.00")),EXACT(L1748,TEXT(M1748,"#,##0.00")))),FALSE)</f>
        <v>1</v>
      </c>
      <c r="P1748" s="1" t="str">
        <f>LEN(IF(Raw!A1748="","",Raw!A1748))&amp;":"&amp;IF(Raw!A1748="","",Raw!A1748)&amp;"|"&amp;LEN(IF(Raw!B1748="","",Raw!B1748))&amp;":"&amp;IF(Raw!B1748="","",Raw!B1748)&amp;"|"&amp;LEN(IF(Raw!C1748="","",Raw!C1748))&amp;":"&amp;IF(Raw!C1748="","",Raw!C1748)&amp;"|"&amp;LEN(IF(Raw!D1748="","",Raw!D1748))&amp;":"&amp;IF(Raw!D1748="","",Raw!D1748)&amp;"|"&amp;LEN(IF(Raw!E1748="","",Raw!E1748))&amp;":"&amp;IF(Raw!E1748="","",Raw!E1748)&amp;"|"&amp;LEN(IF(Raw!F1748="","",Raw!F1748))&amp;":"&amp;IF(Raw!F1748="","",Raw!F1748)&amp;"|"&amp;LEN(IF(Raw!G1748="","",Raw!G1748))&amp;":"&amp;IF(Raw!G1748="","",Raw!G1748)</f>
        <v>6:L01742|6:T00871|10:2026-03-02|3:P-H|4:Home|4:sale|6:147.48</v>
      </c>
      <c r="Q1748" s="1">
        <f>1</f>
        <v>1</v>
      </c>
      <c r="R1748" s="1" t="b">
        <f>FALSE</f>
        <v>0</v>
      </c>
      <c r="S1748" s="1">
        <f>1</f>
        <v>1</v>
      </c>
      <c r="T1748" s="1" t="str">
        <f>IF(AND(Raw!A1748="",Raw!B1748="",Raw!C1748="",Raw!D1748="",Raw!E1748="",Raw!F1748="",Raw!G1748=""),"UNUSED",IF(A1748="","missing line ID",IF(B1748="","missing transaction ID",IF(G1748="",IF(C1748="","missing date","invalid date"),IF(I1748="","unknown product",IF(J1748="","conflicting category",IF(NOT(OR(EXACT(K1748,"sale"),EXACT(K1748,"refund"))),"unknown event",IF(OR(N1748="",NOT(O1748)),"invalid amount",IF(OR(AND(K1748="sale",N1748&lt;=0),AND(K1748="refund",N1748&gt;=0)),"invalid sign","")))))))))</f>
        <v/>
      </c>
      <c r="U1748" s="1" t="str">
        <f t="shared" si="221"/>
        <v>INCLUDED</v>
      </c>
      <c r="V1748" s="1" t="str">
        <f t="shared" si="222"/>
        <v>2026-03</v>
      </c>
      <c r="W1748" s="1">
        <f>IF(AND(U1748="INCLUDED",X1748&gt;0,EXACT(A1748,'AI output'!A1748)),1,0)</f>
        <v>1</v>
      </c>
      <c r="X1748" s="1">
        <f>1748</f>
        <v>1748</v>
      </c>
      <c r="Y1748" s="1">
        <f>IF(AND(U1748="INCLUDED",W1748=1),--(NOT(EXACT(A1748,'AI output'!A1748)))+--(NOT(EXACT(B1748,'AI output'!B1748)))+--(NOT(EXACT(TEXT(G1748,"yyyy-mm-dd"),'AI output'!C1748)))+--(NOT(EXACT(H1748,'AI output'!D1748)))+--(NOT(EXACT(J1748,'AI output'!E1748)))+--(NOT(EXACT(K1748,'AI output'!F1748)))+--(N1748&lt;&gt;'AI output'!L1748)+--(NOT('AI output'!M1748)),0)</f>
        <v>0</v>
      </c>
      <c r="Z1748" s="1">
        <f t="shared" si="223"/>
        <v>0</v>
      </c>
      <c r="AA1748" s="1">
        <f>--EXACT(A1748,"L01742")</f>
        <v>1</v>
      </c>
    </row>
    <row r="1749" spans="1:27" ht="18.95" customHeight="1">
      <c r="A1749" s="1" t="str">
        <f>IF(Raw!A1749="","",Raw!A1749)</f>
        <v>L01743</v>
      </c>
      <c r="B1749" s="1" t="str">
        <f>IF(Raw!B1749="","",Raw!B1749)</f>
        <v>T00872</v>
      </c>
      <c r="C1749" s="1" t="str">
        <f>IF(Raw!C1749="","",Raw!C1749)</f>
        <v>2026-03-09</v>
      </c>
      <c r="D1749" s="1">
        <f t="shared" si="216"/>
        <v>2026</v>
      </c>
      <c r="E1749" s="1">
        <f>IFERROR(IF(AND(LEN(C1749)=10,MID(C1749,5,1)="-",MID(C1749,8,1)="-"),VALUE(MID(C1749,6,2)),IF(AND(LEN(C1749)=11,MID(C1749,3,1)="-",MID(C1749,7,1)="-"),MATCH(UPPER(MID(C1749,4,3)),Guide!$D$7:$D$18,0),0)),0)</f>
        <v>3</v>
      </c>
      <c r="F1749" s="1">
        <f t="shared" si="217"/>
        <v>9</v>
      </c>
      <c r="G1749" s="9">
        <f t="shared" si="218"/>
        <v>46090</v>
      </c>
      <c r="H1749" s="1" t="str">
        <f>IF(Raw!D1749="","",Raw!D1749)</f>
        <v>P-O</v>
      </c>
      <c r="I1749" s="1" t="str">
        <f>IFERROR(IF(EXACT(H1749,INDEX(Guide!$A$7:$A$9,MATCH(SUBSTITUTE(SUBSTITUTE(SUBSTITUTE(H1749,"~","~~"),"*","~*"),"?","~?"),Guide!$A$7:$A$9,0))),INDEX(Guide!$B$7:$B$9,MATCH(SUBSTITUTE(SUBSTITUTE(SUBSTITUTE(H1749,"~","~~"),"*","~*"),"?","~?"),Guide!$A$7:$A$9,0)),""),"")</f>
        <v>Office</v>
      </c>
      <c r="J1749" s="1" t="str">
        <f>IF(TRIM(Raw!E1749)="",I1749,IF(UPPER(TRIM(Raw!E1749))=UPPER(I1749),I1749,""))</f>
        <v>Office</v>
      </c>
      <c r="K1749" s="1" t="str">
        <f>IF(Raw!F1749="","",Raw!F1749)</f>
        <v>sale</v>
      </c>
      <c r="L1749" s="1" t="str">
        <f>IF(LEFT(TRIM(Raw!G1749),2)="-$","-"&amp;MID(TRIM(Raw!G1749),3,99),IF(LEFT(TRIM(Raw!G1749),1)="$",MID(TRIM(Raw!G1749),2,99),TRIM(Raw!G1749)))</f>
        <v>247.65</v>
      </c>
      <c r="M1749" s="1">
        <f t="shared" si="219"/>
        <v>247.65</v>
      </c>
      <c r="N1749" s="10">
        <f t="shared" si="220"/>
        <v>24765</v>
      </c>
      <c r="O1749" s="1" t="b">
        <f>IFERROR(IF(ISNUMBER(Raw!G1749),TRUE,OR(EXACT(L1749,TEXT(M1749,"0.00")),EXACT(L1749,TEXT(M1749,"#,##0.00")))),FALSE)</f>
        <v>1</v>
      </c>
      <c r="P1749" s="1" t="str">
        <f>LEN(IF(Raw!A1749="","",Raw!A1749))&amp;":"&amp;IF(Raw!A1749="","",Raw!A1749)&amp;"|"&amp;LEN(IF(Raw!B1749="","",Raw!B1749))&amp;":"&amp;IF(Raw!B1749="","",Raw!B1749)&amp;"|"&amp;LEN(IF(Raw!C1749="","",Raw!C1749))&amp;":"&amp;IF(Raw!C1749="","",Raw!C1749)&amp;"|"&amp;LEN(IF(Raw!D1749="","",Raw!D1749))&amp;":"&amp;IF(Raw!D1749="","",Raw!D1749)&amp;"|"&amp;LEN(IF(Raw!E1749="","",Raw!E1749))&amp;":"&amp;IF(Raw!E1749="","",Raw!E1749)&amp;"|"&amp;LEN(IF(Raw!F1749="","",Raw!F1749))&amp;":"&amp;IF(Raw!F1749="","",Raw!F1749)&amp;"|"&amp;LEN(IF(Raw!G1749="","",Raw!G1749))&amp;":"&amp;IF(Raw!G1749="","",Raw!G1749)</f>
        <v>6:L01743|6:T00872|10:2026-03-09|3:P-O|6:Office|4:sale|6:247.65</v>
      </c>
      <c r="Q1749" s="1">
        <f>1</f>
        <v>1</v>
      </c>
      <c r="R1749" s="1" t="b">
        <f>FALSE</f>
        <v>0</v>
      </c>
      <c r="S1749" s="1">
        <f>1</f>
        <v>1</v>
      </c>
      <c r="T1749" s="1" t="str">
        <f>IF(AND(Raw!A1749="",Raw!B1749="",Raw!C1749="",Raw!D1749="",Raw!E1749="",Raw!F1749="",Raw!G1749=""),"UNUSED",IF(A1749="","missing line ID",IF(B1749="","missing transaction ID",IF(G1749="",IF(C1749="","missing date","invalid date"),IF(I1749="","unknown product",IF(J1749="","conflicting category",IF(NOT(OR(EXACT(K1749,"sale"),EXACT(K1749,"refund"))),"unknown event",IF(OR(N1749="",NOT(O1749)),"invalid amount",IF(OR(AND(K1749="sale",N1749&lt;=0),AND(K1749="refund",N1749&gt;=0)),"invalid sign","")))))))))</f>
        <v/>
      </c>
      <c r="U1749" s="1" t="str">
        <f t="shared" si="221"/>
        <v>INCLUDED</v>
      </c>
      <c r="V1749" s="1" t="str">
        <f t="shared" si="222"/>
        <v>2026-03</v>
      </c>
      <c r="W1749" s="1">
        <f>IF(AND(U1749="INCLUDED",X1749&gt;0,EXACT(A1749,'AI output'!A1749)),1,0)</f>
        <v>1</v>
      </c>
      <c r="X1749" s="1">
        <f>1749</f>
        <v>1749</v>
      </c>
      <c r="Y1749" s="1">
        <f>IF(AND(U1749="INCLUDED",W1749=1),--(NOT(EXACT(A1749,'AI output'!A1749)))+--(NOT(EXACT(B1749,'AI output'!B1749)))+--(NOT(EXACT(TEXT(G1749,"yyyy-mm-dd"),'AI output'!C1749)))+--(NOT(EXACT(H1749,'AI output'!D1749)))+--(NOT(EXACT(J1749,'AI output'!E1749)))+--(NOT(EXACT(K1749,'AI output'!F1749)))+--(N1749&lt;&gt;'AI output'!L1749)+--(NOT('AI output'!M1749)),0)</f>
        <v>0</v>
      </c>
      <c r="Z1749" s="1">
        <f t="shared" si="223"/>
        <v>0</v>
      </c>
      <c r="AA1749" s="1">
        <f>--EXACT(A1749,"L01743")</f>
        <v>1</v>
      </c>
    </row>
    <row r="1750" spans="1:27" ht="18.95" customHeight="1">
      <c r="A1750" s="1" t="str">
        <f>IF(Raw!A1750="","",Raw!A1750)</f>
        <v>L01744</v>
      </c>
      <c r="B1750" s="1" t="str">
        <f>IF(Raw!B1750="","",Raw!B1750)</f>
        <v>T00872</v>
      </c>
      <c r="C1750" s="1" t="str">
        <f>IF(Raw!C1750="","",Raw!C1750)</f>
        <v>2026-03-09</v>
      </c>
      <c r="D1750" s="1">
        <f t="shared" si="216"/>
        <v>2026</v>
      </c>
      <c r="E1750" s="1">
        <f>IFERROR(IF(AND(LEN(C1750)=10,MID(C1750,5,1)="-",MID(C1750,8,1)="-"),VALUE(MID(C1750,6,2)),IF(AND(LEN(C1750)=11,MID(C1750,3,1)="-",MID(C1750,7,1)="-"),MATCH(UPPER(MID(C1750,4,3)),Guide!$D$7:$D$18,0),0)),0)</f>
        <v>3</v>
      </c>
      <c r="F1750" s="1">
        <f t="shared" si="217"/>
        <v>9</v>
      </c>
      <c r="G1750" s="9">
        <f t="shared" si="218"/>
        <v>46090</v>
      </c>
      <c r="H1750" s="1" t="str">
        <f>IF(Raw!D1750="","",Raw!D1750)</f>
        <v>P-A</v>
      </c>
      <c r="I1750" s="1" t="str">
        <f>IFERROR(IF(EXACT(H1750,INDEX(Guide!$A$7:$A$9,MATCH(SUBSTITUTE(SUBSTITUTE(SUBSTITUTE(H1750,"~","~~"),"*","~*"),"?","~?"),Guide!$A$7:$A$9,0))),INDEX(Guide!$B$7:$B$9,MATCH(SUBSTITUTE(SUBSTITUTE(SUBSTITUTE(H1750,"~","~~"),"*","~*"),"?","~?"),Guide!$A$7:$A$9,0)),""),"")</f>
        <v>Accessories</v>
      </c>
      <c r="J1750" s="1" t="str">
        <f>IF(TRIM(Raw!E1750)="",I1750,IF(UPPER(TRIM(Raw!E1750))=UPPER(I1750),I1750,""))</f>
        <v>Accessories</v>
      </c>
      <c r="K1750" s="1" t="str">
        <f>IF(Raw!F1750="","",Raw!F1750)</f>
        <v>sale</v>
      </c>
      <c r="L1750" s="1" t="str">
        <f>IF(LEFT(TRIM(Raw!G1750),2)="-$","-"&amp;MID(TRIM(Raw!G1750),3,99),IF(LEFT(TRIM(Raw!G1750),1)="$",MID(TRIM(Raw!G1750),2,99),TRIM(Raw!G1750)))</f>
        <v>99.80</v>
      </c>
      <c r="M1750" s="1">
        <f t="shared" si="219"/>
        <v>99.8</v>
      </c>
      <c r="N1750" s="10">
        <f t="shared" si="220"/>
        <v>9980</v>
      </c>
      <c r="O1750" s="1" t="b">
        <f>IFERROR(IF(ISNUMBER(Raw!G1750),TRUE,OR(EXACT(L1750,TEXT(M1750,"0.00")),EXACT(L1750,TEXT(M1750,"#,##0.00")))),FALSE)</f>
        <v>1</v>
      </c>
      <c r="P1750" s="1" t="str">
        <f>LEN(IF(Raw!A1750="","",Raw!A1750))&amp;":"&amp;IF(Raw!A1750="","",Raw!A1750)&amp;"|"&amp;LEN(IF(Raw!B1750="","",Raw!B1750))&amp;":"&amp;IF(Raw!B1750="","",Raw!B1750)&amp;"|"&amp;LEN(IF(Raw!C1750="","",Raw!C1750))&amp;":"&amp;IF(Raw!C1750="","",Raw!C1750)&amp;"|"&amp;LEN(IF(Raw!D1750="","",Raw!D1750))&amp;":"&amp;IF(Raw!D1750="","",Raw!D1750)&amp;"|"&amp;LEN(IF(Raw!E1750="","",Raw!E1750))&amp;":"&amp;IF(Raw!E1750="","",Raw!E1750)&amp;"|"&amp;LEN(IF(Raw!F1750="","",Raw!F1750))&amp;":"&amp;IF(Raw!F1750="","",Raw!F1750)&amp;"|"&amp;LEN(IF(Raw!G1750="","",Raw!G1750))&amp;":"&amp;IF(Raw!G1750="","",Raw!G1750)</f>
        <v>6:L01744|6:T00872|10:2026-03-09|3:P-A|11:Accessories|4:sale|5:99.80</v>
      </c>
      <c r="Q1750" s="1">
        <f>1</f>
        <v>1</v>
      </c>
      <c r="R1750" s="1" t="b">
        <f>FALSE</f>
        <v>0</v>
      </c>
      <c r="S1750" s="1">
        <f>1</f>
        <v>1</v>
      </c>
      <c r="T1750" s="1" t="str">
        <f>IF(AND(Raw!A1750="",Raw!B1750="",Raw!C1750="",Raw!D1750="",Raw!E1750="",Raw!F1750="",Raw!G1750=""),"UNUSED",IF(A1750="","missing line ID",IF(B1750="","missing transaction ID",IF(G1750="",IF(C1750="","missing date","invalid date"),IF(I1750="","unknown product",IF(J1750="","conflicting category",IF(NOT(OR(EXACT(K1750,"sale"),EXACT(K1750,"refund"))),"unknown event",IF(OR(N1750="",NOT(O1750)),"invalid amount",IF(OR(AND(K1750="sale",N1750&lt;=0),AND(K1750="refund",N1750&gt;=0)),"invalid sign","")))))))))</f>
        <v/>
      </c>
      <c r="U1750" s="1" t="str">
        <f t="shared" si="221"/>
        <v>INCLUDED</v>
      </c>
      <c r="V1750" s="1" t="str">
        <f t="shared" si="222"/>
        <v>2026-03</v>
      </c>
      <c r="W1750" s="1">
        <f>IF(AND(U1750="INCLUDED",X1750&gt;0,EXACT(A1750,'AI output'!A1750)),1,0)</f>
        <v>1</v>
      </c>
      <c r="X1750" s="1">
        <f>1750</f>
        <v>1750</v>
      </c>
      <c r="Y1750" s="1">
        <f>IF(AND(U1750="INCLUDED",W1750=1),--(NOT(EXACT(A1750,'AI output'!A1750)))+--(NOT(EXACT(B1750,'AI output'!B1750)))+--(NOT(EXACT(TEXT(G1750,"yyyy-mm-dd"),'AI output'!C1750)))+--(NOT(EXACT(H1750,'AI output'!D1750)))+--(NOT(EXACT(J1750,'AI output'!E1750)))+--(NOT(EXACT(K1750,'AI output'!F1750)))+--(N1750&lt;&gt;'AI output'!L1750)+--(NOT('AI output'!M1750)),0)</f>
        <v>0</v>
      </c>
      <c r="Z1750" s="1">
        <f t="shared" si="223"/>
        <v>0</v>
      </c>
      <c r="AA1750" s="1">
        <f>--EXACT(A1750,"L01744")</f>
        <v>1</v>
      </c>
    </row>
    <row r="1751" spans="1:27" ht="18.95" customHeight="1">
      <c r="A1751" s="1" t="str">
        <f>IF(Raw!A1751="","",Raw!A1751)</f>
        <v>L01745</v>
      </c>
      <c r="B1751" s="1" t="str">
        <f>IF(Raw!B1751="","",Raw!B1751)</f>
        <v>T00873</v>
      </c>
      <c r="C1751" s="1" t="str">
        <f>IF(Raw!C1751="","",Raw!C1751)</f>
        <v>2026-03-16</v>
      </c>
      <c r="D1751" s="1">
        <f t="shared" si="216"/>
        <v>2026</v>
      </c>
      <c r="E1751" s="1">
        <f>IFERROR(IF(AND(LEN(C1751)=10,MID(C1751,5,1)="-",MID(C1751,8,1)="-"),VALUE(MID(C1751,6,2)),IF(AND(LEN(C1751)=11,MID(C1751,3,1)="-",MID(C1751,7,1)="-"),MATCH(UPPER(MID(C1751,4,3)),Guide!$D$7:$D$18,0),0)),0)</f>
        <v>3</v>
      </c>
      <c r="F1751" s="1">
        <f t="shared" si="217"/>
        <v>16</v>
      </c>
      <c r="G1751" s="9">
        <f t="shared" si="218"/>
        <v>46097</v>
      </c>
      <c r="H1751" s="1" t="str">
        <f>IF(Raw!D1751="","",Raw!D1751)</f>
        <v>P-H</v>
      </c>
      <c r="I1751" s="1" t="str">
        <f>IFERROR(IF(EXACT(H1751,INDEX(Guide!$A$7:$A$9,MATCH(SUBSTITUTE(SUBSTITUTE(SUBSTITUTE(H1751,"~","~~"),"*","~*"),"?","~?"),Guide!$A$7:$A$9,0))),INDEX(Guide!$B$7:$B$9,MATCH(SUBSTITUTE(SUBSTITUTE(SUBSTITUTE(H1751,"~","~~"),"*","~*"),"?","~?"),Guide!$A$7:$A$9,0)),""),"")</f>
        <v>Home</v>
      </c>
      <c r="J1751" s="1" t="str">
        <f>IF(TRIM(Raw!E1751)="",I1751,IF(UPPER(TRIM(Raw!E1751))=UPPER(I1751),I1751,""))</f>
        <v>Home</v>
      </c>
      <c r="K1751" s="1" t="str">
        <f>IF(Raw!F1751="","",Raw!F1751)</f>
        <v>sale</v>
      </c>
      <c r="L1751" s="1" t="str">
        <f>IF(LEFT(TRIM(Raw!G1751),2)="-$","-"&amp;MID(TRIM(Raw!G1751),3,99),IF(LEFT(TRIM(Raw!G1751),1)="$",MID(TRIM(Raw!G1751),2,99),TRIM(Raw!G1751)))</f>
        <v>201.08</v>
      </c>
      <c r="M1751" s="1">
        <f t="shared" si="219"/>
        <v>201.08</v>
      </c>
      <c r="N1751" s="10">
        <f t="shared" si="220"/>
        <v>20108</v>
      </c>
      <c r="O1751" s="1" t="b">
        <f>IFERROR(IF(ISNUMBER(Raw!G1751),TRUE,OR(EXACT(L1751,TEXT(M1751,"0.00")),EXACT(L1751,TEXT(M1751,"#,##0.00")))),FALSE)</f>
        <v>1</v>
      </c>
      <c r="P1751" s="1" t="str">
        <f>LEN(IF(Raw!A1751="","",Raw!A1751))&amp;":"&amp;IF(Raw!A1751="","",Raw!A1751)&amp;"|"&amp;LEN(IF(Raw!B1751="","",Raw!B1751))&amp;":"&amp;IF(Raw!B1751="","",Raw!B1751)&amp;"|"&amp;LEN(IF(Raw!C1751="","",Raw!C1751))&amp;":"&amp;IF(Raw!C1751="","",Raw!C1751)&amp;"|"&amp;LEN(IF(Raw!D1751="","",Raw!D1751))&amp;":"&amp;IF(Raw!D1751="","",Raw!D1751)&amp;"|"&amp;LEN(IF(Raw!E1751="","",Raw!E1751))&amp;":"&amp;IF(Raw!E1751="","",Raw!E1751)&amp;"|"&amp;LEN(IF(Raw!F1751="","",Raw!F1751))&amp;":"&amp;IF(Raw!F1751="","",Raw!F1751)&amp;"|"&amp;LEN(IF(Raw!G1751="","",Raw!G1751))&amp;":"&amp;IF(Raw!G1751="","",Raw!G1751)</f>
        <v>6:L01745|6:T00873|10:2026-03-16|3:P-H|4:Home|4:sale|6:201.08</v>
      </c>
      <c r="Q1751" s="1">
        <f>1</f>
        <v>1</v>
      </c>
      <c r="R1751" s="1" t="b">
        <f>FALSE</f>
        <v>0</v>
      </c>
      <c r="S1751" s="1">
        <f>1</f>
        <v>1</v>
      </c>
      <c r="T1751" s="1" t="str">
        <f>IF(AND(Raw!A1751="",Raw!B1751="",Raw!C1751="",Raw!D1751="",Raw!E1751="",Raw!F1751="",Raw!G1751=""),"UNUSED",IF(A1751="","missing line ID",IF(B1751="","missing transaction ID",IF(G1751="",IF(C1751="","missing date","invalid date"),IF(I1751="","unknown product",IF(J1751="","conflicting category",IF(NOT(OR(EXACT(K1751,"sale"),EXACT(K1751,"refund"))),"unknown event",IF(OR(N1751="",NOT(O1751)),"invalid amount",IF(OR(AND(K1751="sale",N1751&lt;=0),AND(K1751="refund",N1751&gt;=0)),"invalid sign","")))))))))</f>
        <v/>
      </c>
      <c r="U1751" s="1" t="str">
        <f t="shared" si="221"/>
        <v>INCLUDED</v>
      </c>
      <c r="V1751" s="1" t="str">
        <f t="shared" si="222"/>
        <v>2026-03</v>
      </c>
      <c r="W1751" s="1">
        <f>IF(AND(U1751="INCLUDED",X1751&gt;0,EXACT(A1751,'AI output'!A1751)),1,0)</f>
        <v>1</v>
      </c>
      <c r="X1751" s="1">
        <f>1751</f>
        <v>1751</v>
      </c>
      <c r="Y1751" s="1">
        <f>IF(AND(U1751="INCLUDED",W1751=1),--(NOT(EXACT(A1751,'AI output'!A1751)))+--(NOT(EXACT(B1751,'AI output'!B1751)))+--(NOT(EXACT(TEXT(G1751,"yyyy-mm-dd"),'AI output'!C1751)))+--(NOT(EXACT(H1751,'AI output'!D1751)))+--(NOT(EXACT(J1751,'AI output'!E1751)))+--(NOT(EXACT(K1751,'AI output'!F1751)))+--(N1751&lt;&gt;'AI output'!L1751)+--(NOT('AI output'!M1751)),0)</f>
        <v>0</v>
      </c>
      <c r="Z1751" s="1">
        <f t="shared" si="223"/>
        <v>0</v>
      </c>
      <c r="AA1751" s="1">
        <f>--EXACT(A1751,"L01745")</f>
        <v>1</v>
      </c>
    </row>
    <row r="1752" spans="1:27" ht="18.95" customHeight="1">
      <c r="A1752" s="1" t="str">
        <f>IF(Raw!A1752="","",Raw!A1752)</f>
        <v>L01746</v>
      </c>
      <c r="B1752" s="1" t="str">
        <f>IF(Raw!B1752="","",Raw!B1752)</f>
        <v>T00873</v>
      </c>
      <c r="C1752" s="1" t="str">
        <f>IF(Raw!C1752="","",Raw!C1752)</f>
        <v>2026-03-16</v>
      </c>
      <c r="D1752" s="1">
        <f t="shared" si="216"/>
        <v>2026</v>
      </c>
      <c r="E1752" s="1">
        <f>IFERROR(IF(AND(LEN(C1752)=10,MID(C1752,5,1)="-",MID(C1752,8,1)="-"),VALUE(MID(C1752,6,2)),IF(AND(LEN(C1752)=11,MID(C1752,3,1)="-",MID(C1752,7,1)="-"),MATCH(UPPER(MID(C1752,4,3)),Guide!$D$7:$D$18,0),0)),0)</f>
        <v>3</v>
      </c>
      <c r="F1752" s="1">
        <f t="shared" si="217"/>
        <v>16</v>
      </c>
      <c r="G1752" s="9">
        <f t="shared" si="218"/>
        <v>46097</v>
      </c>
      <c r="H1752" s="1" t="str">
        <f>IF(Raw!D1752="","",Raw!D1752)</f>
        <v>P-O</v>
      </c>
      <c r="I1752" s="1" t="str">
        <f>IFERROR(IF(EXACT(H1752,INDEX(Guide!$A$7:$A$9,MATCH(SUBSTITUTE(SUBSTITUTE(SUBSTITUTE(H1752,"~","~~"),"*","~*"),"?","~?"),Guide!$A$7:$A$9,0))),INDEX(Guide!$B$7:$B$9,MATCH(SUBSTITUTE(SUBSTITUTE(SUBSTITUTE(H1752,"~","~~"),"*","~*"),"?","~?"),Guide!$A$7:$A$9,0)),""),"")</f>
        <v>Office</v>
      </c>
      <c r="J1752" s="1" t="str">
        <f>IF(TRIM(Raw!E1752)="",I1752,IF(UPPER(TRIM(Raw!E1752))=UPPER(I1752),I1752,""))</f>
        <v>Office</v>
      </c>
      <c r="K1752" s="1" t="str">
        <f>IF(Raw!F1752="","",Raw!F1752)</f>
        <v>sale</v>
      </c>
      <c r="L1752" s="1" t="str">
        <f>IF(LEFT(TRIM(Raw!G1752),2)="-$","-"&amp;MID(TRIM(Raw!G1752),3,99),IF(LEFT(TRIM(Raw!G1752),1)="$",MID(TRIM(Raw!G1752),2,99),TRIM(Raw!G1752)))</f>
        <v>50.64</v>
      </c>
      <c r="M1752" s="1">
        <f t="shared" si="219"/>
        <v>50.64</v>
      </c>
      <c r="N1752" s="10">
        <f t="shared" si="220"/>
        <v>5064</v>
      </c>
      <c r="O1752" s="1" t="b">
        <f>IFERROR(IF(ISNUMBER(Raw!G1752),TRUE,OR(EXACT(L1752,TEXT(M1752,"0.00")),EXACT(L1752,TEXT(M1752,"#,##0.00")))),FALSE)</f>
        <v>1</v>
      </c>
      <c r="P1752" s="1" t="str">
        <f>LEN(IF(Raw!A1752="","",Raw!A1752))&amp;":"&amp;IF(Raw!A1752="","",Raw!A1752)&amp;"|"&amp;LEN(IF(Raw!B1752="","",Raw!B1752))&amp;":"&amp;IF(Raw!B1752="","",Raw!B1752)&amp;"|"&amp;LEN(IF(Raw!C1752="","",Raw!C1752))&amp;":"&amp;IF(Raw!C1752="","",Raw!C1752)&amp;"|"&amp;LEN(IF(Raw!D1752="","",Raw!D1752))&amp;":"&amp;IF(Raw!D1752="","",Raw!D1752)&amp;"|"&amp;LEN(IF(Raw!E1752="","",Raw!E1752))&amp;":"&amp;IF(Raw!E1752="","",Raw!E1752)&amp;"|"&amp;LEN(IF(Raw!F1752="","",Raw!F1752))&amp;":"&amp;IF(Raw!F1752="","",Raw!F1752)&amp;"|"&amp;LEN(IF(Raw!G1752="","",Raw!G1752))&amp;":"&amp;IF(Raw!G1752="","",Raw!G1752)</f>
        <v>6:L01746|6:T00873|10:2026-03-16|3:P-O|6:Office|4:sale|5:50.64</v>
      </c>
      <c r="Q1752" s="1">
        <f>1</f>
        <v>1</v>
      </c>
      <c r="R1752" s="1" t="b">
        <f>FALSE</f>
        <v>0</v>
      </c>
      <c r="S1752" s="1">
        <f>1</f>
        <v>1</v>
      </c>
      <c r="T1752" s="1" t="str">
        <f>IF(AND(Raw!A1752="",Raw!B1752="",Raw!C1752="",Raw!D1752="",Raw!E1752="",Raw!F1752="",Raw!G1752=""),"UNUSED",IF(A1752="","missing line ID",IF(B1752="","missing transaction ID",IF(G1752="",IF(C1752="","missing date","invalid date"),IF(I1752="","unknown product",IF(J1752="","conflicting category",IF(NOT(OR(EXACT(K1752,"sale"),EXACT(K1752,"refund"))),"unknown event",IF(OR(N1752="",NOT(O1752)),"invalid amount",IF(OR(AND(K1752="sale",N1752&lt;=0),AND(K1752="refund",N1752&gt;=0)),"invalid sign","")))))))))</f>
        <v/>
      </c>
      <c r="U1752" s="1" t="str">
        <f t="shared" si="221"/>
        <v>INCLUDED</v>
      </c>
      <c r="V1752" s="1" t="str">
        <f t="shared" si="222"/>
        <v>2026-03</v>
      </c>
      <c r="W1752" s="1">
        <f>IF(AND(U1752="INCLUDED",X1752&gt;0,EXACT(A1752,'AI output'!A1752)),1,0)</f>
        <v>1</v>
      </c>
      <c r="X1752" s="1">
        <f>1752</f>
        <v>1752</v>
      </c>
      <c r="Y1752" s="1">
        <f>IF(AND(U1752="INCLUDED",W1752=1),--(NOT(EXACT(A1752,'AI output'!A1752)))+--(NOT(EXACT(B1752,'AI output'!B1752)))+--(NOT(EXACT(TEXT(G1752,"yyyy-mm-dd"),'AI output'!C1752)))+--(NOT(EXACT(H1752,'AI output'!D1752)))+--(NOT(EXACT(J1752,'AI output'!E1752)))+--(NOT(EXACT(K1752,'AI output'!F1752)))+--(N1752&lt;&gt;'AI output'!L1752)+--(NOT('AI output'!M1752)),0)</f>
        <v>0</v>
      </c>
      <c r="Z1752" s="1">
        <f t="shared" si="223"/>
        <v>0</v>
      </c>
      <c r="AA1752" s="1">
        <f>--EXACT(A1752,"L01746")</f>
        <v>1</v>
      </c>
    </row>
    <row r="1753" spans="1:27" ht="18.95" customHeight="1">
      <c r="A1753" s="1" t="str">
        <f>IF(Raw!A1753="","",Raw!A1753)</f>
        <v>L01747</v>
      </c>
      <c r="B1753" s="1" t="str">
        <f>IF(Raw!B1753="","",Raw!B1753)</f>
        <v>T00874</v>
      </c>
      <c r="C1753" s="1" t="str">
        <f>IF(Raw!C1753="","",Raw!C1753)</f>
        <v>2026-03-23</v>
      </c>
      <c r="D1753" s="1">
        <f t="shared" si="216"/>
        <v>2026</v>
      </c>
      <c r="E1753" s="1">
        <f>IFERROR(IF(AND(LEN(C1753)=10,MID(C1753,5,1)="-",MID(C1753,8,1)="-"),VALUE(MID(C1753,6,2)),IF(AND(LEN(C1753)=11,MID(C1753,3,1)="-",MID(C1753,7,1)="-"),MATCH(UPPER(MID(C1753,4,3)),Guide!$D$7:$D$18,0),0)),0)</f>
        <v>3</v>
      </c>
      <c r="F1753" s="1">
        <f t="shared" si="217"/>
        <v>23</v>
      </c>
      <c r="G1753" s="9">
        <f t="shared" si="218"/>
        <v>46104</v>
      </c>
      <c r="H1753" s="1" t="str">
        <f>IF(Raw!D1753="","",Raw!D1753)</f>
        <v>P-A</v>
      </c>
      <c r="I1753" s="1" t="str">
        <f>IFERROR(IF(EXACT(H1753,INDEX(Guide!$A$7:$A$9,MATCH(SUBSTITUTE(SUBSTITUTE(SUBSTITUTE(H1753,"~","~~"),"*","~*"),"?","~?"),Guide!$A$7:$A$9,0))),INDEX(Guide!$B$7:$B$9,MATCH(SUBSTITUTE(SUBSTITUTE(SUBSTITUTE(H1753,"~","~~"),"*","~*"),"?","~?"),Guide!$A$7:$A$9,0)),""),"")</f>
        <v>Accessories</v>
      </c>
      <c r="J1753" s="1" t="str">
        <f>IF(TRIM(Raw!E1753)="",I1753,IF(UPPER(TRIM(Raw!E1753))=UPPER(I1753),I1753,""))</f>
        <v>Accessories</v>
      </c>
      <c r="K1753" s="1" t="str">
        <f>IF(Raw!F1753="","",Raw!F1753)</f>
        <v>sale</v>
      </c>
      <c r="L1753" s="1" t="str">
        <f>IF(LEFT(TRIM(Raw!G1753),2)="-$","-"&amp;MID(TRIM(Raw!G1753),3,99),IF(LEFT(TRIM(Raw!G1753),1)="$",MID(TRIM(Raw!G1753),2,99),TRIM(Raw!G1753)))</f>
        <v>153.03</v>
      </c>
      <c r="M1753" s="1">
        <f t="shared" si="219"/>
        <v>153.03</v>
      </c>
      <c r="N1753" s="10">
        <f t="shared" si="220"/>
        <v>15303</v>
      </c>
      <c r="O1753" s="1" t="b">
        <f>IFERROR(IF(ISNUMBER(Raw!G1753),TRUE,OR(EXACT(L1753,TEXT(M1753,"0.00")),EXACT(L1753,TEXT(M1753,"#,##0.00")))),FALSE)</f>
        <v>1</v>
      </c>
      <c r="P1753" s="1" t="str">
        <f>LEN(IF(Raw!A1753="","",Raw!A1753))&amp;":"&amp;IF(Raw!A1753="","",Raw!A1753)&amp;"|"&amp;LEN(IF(Raw!B1753="","",Raw!B1753))&amp;":"&amp;IF(Raw!B1753="","",Raw!B1753)&amp;"|"&amp;LEN(IF(Raw!C1753="","",Raw!C1753))&amp;":"&amp;IF(Raw!C1753="","",Raw!C1753)&amp;"|"&amp;LEN(IF(Raw!D1753="","",Raw!D1753))&amp;":"&amp;IF(Raw!D1753="","",Raw!D1753)&amp;"|"&amp;LEN(IF(Raw!E1753="","",Raw!E1753))&amp;":"&amp;IF(Raw!E1753="","",Raw!E1753)&amp;"|"&amp;LEN(IF(Raw!F1753="","",Raw!F1753))&amp;":"&amp;IF(Raw!F1753="","",Raw!F1753)&amp;"|"&amp;LEN(IF(Raw!G1753="","",Raw!G1753))&amp;":"&amp;IF(Raw!G1753="","",Raw!G1753)</f>
        <v>6:L01747|6:T00874|10:2026-03-23|3:P-A|11:Accessories|4:sale|6:153.03</v>
      </c>
      <c r="Q1753" s="1">
        <f>1</f>
        <v>1</v>
      </c>
      <c r="R1753" s="1" t="b">
        <f>FALSE</f>
        <v>0</v>
      </c>
      <c r="S1753" s="1">
        <f>1</f>
        <v>1</v>
      </c>
      <c r="T1753" s="1" t="str">
        <f>IF(AND(Raw!A1753="",Raw!B1753="",Raw!C1753="",Raw!D1753="",Raw!E1753="",Raw!F1753="",Raw!G1753=""),"UNUSED",IF(A1753="","missing line ID",IF(B1753="","missing transaction ID",IF(G1753="",IF(C1753="","missing date","invalid date"),IF(I1753="","unknown product",IF(J1753="","conflicting category",IF(NOT(OR(EXACT(K1753,"sale"),EXACT(K1753,"refund"))),"unknown event",IF(OR(N1753="",NOT(O1753)),"invalid amount",IF(OR(AND(K1753="sale",N1753&lt;=0),AND(K1753="refund",N1753&gt;=0)),"invalid sign","")))))))))</f>
        <v/>
      </c>
      <c r="U1753" s="1" t="str">
        <f t="shared" si="221"/>
        <v>INCLUDED</v>
      </c>
      <c r="V1753" s="1" t="str">
        <f t="shared" si="222"/>
        <v>2026-03</v>
      </c>
      <c r="W1753" s="1">
        <f>IF(AND(U1753="INCLUDED",X1753&gt;0,EXACT(A1753,'AI output'!A1753)),1,0)</f>
        <v>1</v>
      </c>
      <c r="X1753" s="1">
        <f>1753</f>
        <v>1753</v>
      </c>
      <c r="Y1753" s="1">
        <f>IF(AND(U1753="INCLUDED",W1753=1),--(NOT(EXACT(A1753,'AI output'!A1753)))+--(NOT(EXACT(B1753,'AI output'!B1753)))+--(NOT(EXACT(TEXT(G1753,"yyyy-mm-dd"),'AI output'!C1753)))+--(NOT(EXACT(H1753,'AI output'!D1753)))+--(NOT(EXACT(J1753,'AI output'!E1753)))+--(NOT(EXACT(K1753,'AI output'!F1753)))+--(N1753&lt;&gt;'AI output'!L1753)+--(NOT('AI output'!M1753)),0)</f>
        <v>0</v>
      </c>
      <c r="Z1753" s="1">
        <f t="shared" si="223"/>
        <v>0</v>
      </c>
      <c r="AA1753" s="1">
        <f>--EXACT(A1753,"L01747")</f>
        <v>1</v>
      </c>
    </row>
    <row r="1754" spans="1:27" ht="18.95" customHeight="1">
      <c r="A1754" s="1" t="str">
        <f>IF(Raw!A1754="","",Raw!A1754)</f>
        <v>L01748</v>
      </c>
      <c r="B1754" s="1" t="str">
        <f>IF(Raw!B1754="","",Raw!B1754)</f>
        <v>T00874</v>
      </c>
      <c r="C1754" s="1" t="str">
        <f>IF(Raw!C1754="","",Raw!C1754)</f>
        <v>2026-03-23</v>
      </c>
      <c r="D1754" s="1">
        <f t="shared" si="216"/>
        <v>2026</v>
      </c>
      <c r="E1754" s="1">
        <f>IFERROR(IF(AND(LEN(C1754)=10,MID(C1754,5,1)="-",MID(C1754,8,1)="-"),VALUE(MID(C1754,6,2)),IF(AND(LEN(C1754)=11,MID(C1754,3,1)="-",MID(C1754,7,1)="-"),MATCH(UPPER(MID(C1754,4,3)),Guide!$D$7:$D$18,0),0)),0)</f>
        <v>3</v>
      </c>
      <c r="F1754" s="1">
        <f t="shared" si="217"/>
        <v>23</v>
      </c>
      <c r="G1754" s="9">
        <f t="shared" si="218"/>
        <v>46104</v>
      </c>
      <c r="H1754" s="1" t="str">
        <f>IF(Raw!D1754="","",Raw!D1754)</f>
        <v>P-H</v>
      </c>
      <c r="I1754" s="1" t="str">
        <f>IFERROR(IF(EXACT(H1754,INDEX(Guide!$A$7:$A$9,MATCH(SUBSTITUTE(SUBSTITUTE(SUBSTITUTE(H1754,"~","~~"),"*","~*"),"?","~?"),Guide!$A$7:$A$9,0))),INDEX(Guide!$B$7:$B$9,MATCH(SUBSTITUTE(SUBSTITUTE(SUBSTITUTE(H1754,"~","~~"),"*","~*"),"?","~?"),Guide!$A$7:$A$9,0)),""),"")</f>
        <v>Home</v>
      </c>
      <c r="J1754" s="1" t="str">
        <f>IF(TRIM(Raw!E1754)="",I1754,IF(UPPER(TRIM(Raw!E1754))=UPPER(I1754),I1754,""))</f>
        <v>Home</v>
      </c>
      <c r="K1754" s="1" t="str">
        <f>IF(Raw!F1754="","",Raw!F1754)</f>
        <v>sale</v>
      </c>
      <c r="L1754" s="1" t="str">
        <f>IF(LEFT(TRIM(Raw!G1754),2)="-$","-"&amp;MID(TRIM(Raw!G1754),3,99),IF(LEFT(TRIM(Raw!G1754),1)="$",MID(TRIM(Raw!G1754),2,99),TRIM(Raw!G1754)))</f>
        <v>256.90</v>
      </c>
      <c r="M1754" s="1">
        <f t="shared" si="219"/>
        <v>256.89999999999998</v>
      </c>
      <c r="N1754" s="10">
        <f t="shared" si="220"/>
        <v>25690</v>
      </c>
      <c r="O1754" s="1" t="b">
        <f>IFERROR(IF(ISNUMBER(Raw!G1754),TRUE,OR(EXACT(L1754,TEXT(M1754,"0.00")),EXACT(L1754,TEXT(M1754,"#,##0.00")))),FALSE)</f>
        <v>1</v>
      </c>
      <c r="P1754" s="1" t="str">
        <f>LEN(IF(Raw!A1754="","",Raw!A1754))&amp;":"&amp;IF(Raw!A1754="","",Raw!A1754)&amp;"|"&amp;LEN(IF(Raw!B1754="","",Raw!B1754))&amp;":"&amp;IF(Raw!B1754="","",Raw!B1754)&amp;"|"&amp;LEN(IF(Raw!C1754="","",Raw!C1754))&amp;":"&amp;IF(Raw!C1754="","",Raw!C1754)&amp;"|"&amp;LEN(IF(Raw!D1754="","",Raw!D1754))&amp;":"&amp;IF(Raw!D1754="","",Raw!D1754)&amp;"|"&amp;LEN(IF(Raw!E1754="","",Raw!E1754))&amp;":"&amp;IF(Raw!E1754="","",Raw!E1754)&amp;"|"&amp;LEN(IF(Raw!F1754="","",Raw!F1754))&amp;":"&amp;IF(Raw!F1754="","",Raw!F1754)&amp;"|"&amp;LEN(IF(Raw!G1754="","",Raw!G1754))&amp;":"&amp;IF(Raw!G1754="","",Raw!G1754)</f>
        <v>6:L01748|6:T00874|10:2026-03-23|3:P-H|4:Home|4:sale|6:256.90</v>
      </c>
      <c r="Q1754" s="1">
        <f>1</f>
        <v>1</v>
      </c>
      <c r="R1754" s="1" t="b">
        <f>FALSE</f>
        <v>0</v>
      </c>
      <c r="S1754" s="1">
        <f>1</f>
        <v>1</v>
      </c>
      <c r="T1754" s="1" t="str">
        <f>IF(AND(Raw!A1754="",Raw!B1754="",Raw!C1754="",Raw!D1754="",Raw!E1754="",Raw!F1754="",Raw!G1754=""),"UNUSED",IF(A1754="","missing line ID",IF(B1754="","missing transaction ID",IF(G1754="",IF(C1754="","missing date","invalid date"),IF(I1754="","unknown product",IF(J1754="","conflicting category",IF(NOT(OR(EXACT(K1754,"sale"),EXACT(K1754,"refund"))),"unknown event",IF(OR(N1754="",NOT(O1754)),"invalid amount",IF(OR(AND(K1754="sale",N1754&lt;=0),AND(K1754="refund",N1754&gt;=0)),"invalid sign","")))))))))</f>
        <v/>
      </c>
      <c r="U1754" s="1" t="str">
        <f t="shared" si="221"/>
        <v>INCLUDED</v>
      </c>
      <c r="V1754" s="1" t="str">
        <f t="shared" si="222"/>
        <v>2026-03</v>
      </c>
      <c r="W1754" s="1">
        <f>IF(AND(U1754="INCLUDED",X1754&gt;0,EXACT(A1754,'AI output'!A1754)),1,0)</f>
        <v>1</v>
      </c>
      <c r="X1754" s="1">
        <f>1754</f>
        <v>1754</v>
      </c>
      <c r="Y1754" s="1">
        <f>IF(AND(U1754="INCLUDED",W1754=1),--(NOT(EXACT(A1754,'AI output'!A1754)))+--(NOT(EXACT(B1754,'AI output'!B1754)))+--(NOT(EXACT(TEXT(G1754,"yyyy-mm-dd"),'AI output'!C1754)))+--(NOT(EXACT(H1754,'AI output'!D1754)))+--(NOT(EXACT(J1754,'AI output'!E1754)))+--(NOT(EXACT(K1754,'AI output'!F1754)))+--(N1754&lt;&gt;'AI output'!L1754)+--(NOT('AI output'!M1754)),0)</f>
        <v>0</v>
      </c>
      <c r="Z1754" s="1">
        <f t="shared" si="223"/>
        <v>0</v>
      </c>
      <c r="AA1754" s="1">
        <f>--EXACT(A1754,"L01748")</f>
        <v>1</v>
      </c>
    </row>
    <row r="1755" spans="1:27" ht="18.95" customHeight="1">
      <c r="A1755" s="1" t="str">
        <f>IF(Raw!A1755="","",Raw!A1755)</f>
        <v>L01749</v>
      </c>
      <c r="B1755" s="1" t="str">
        <f>IF(Raw!B1755="","",Raw!B1755)</f>
        <v>T00875</v>
      </c>
      <c r="C1755" s="1" t="str">
        <f>IF(Raw!C1755="","",Raw!C1755)</f>
        <v>2026-03-30</v>
      </c>
      <c r="D1755" s="1">
        <f t="shared" si="216"/>
        <v>2026</v>
      </c>
      <c r="E1755" s="1">
        <f>IFERROR(IF(AND(LEN(C1755)=10,MID(C1755,5,1)="-",MID(C1755,8,1)="-"),VALUE(MID(C1755,6,2)),IF(AND(LEN(C1755)=11,MID(C1755,3,1)="-",MID(C1755,7,1)="-"),MATCH(UPPER(MID(C1755,4,3)),Guide!$D$7:$D$18,0),0)),0)</f>
        <v>3</v>
      </c>
      <c r="F1755" s="1">
        <f t="shared" si="217"/>
        <v>30</v>
      </c>
      <c r="G1755" s="9">
        <f t="shared" si="218"/>
        <v>46111</v>
      </c>
      <c r="H1755" s="1" t="str">
        <f>IF(Raw!D1755="","",Raw!D1755)</f>
        <v>P-O</v>
      </c>
      <c r="I1755" s="1" t="str">
        <f>IFERROR(IF(EXACT(H1755,INDEX(Guide!$A$7:$A$9,MATCH(SUBSTITUTE(SUBSTITUTE(SUBSTITUTE(H1755,"~","~~"),"*","~*"),"?","~?"),Guide!$A$7:$A$9,0))),INDEX(Guide!$B$7:$B$9,MATCH(SUBSTITUTE(SUBSTITUTE(SUBSTITUTE(H1755,"~","~~"),"*","~*"),"?","~?"),Guide!$A$7:$A$9,0)),""),"")</f>
        <v>Office</v>
      </c>
      <c r="J1755" s="1" t="str">
        <f>IF(TRIM(Raw!E1755)="",I1755,IF(UPPER(TRIM(Raw!E1755))=UPPER(I1755),I1755,""))</f>
        <v>Office</v>
      </c>
      <c r="K1755" s="1" t="str">
        <f>IF(Raw!F1755="","",Raw!F1755)</f>
        <v>refund</v>
      </c>
      <c r="L1755" s="1" t="str">
        <f>IF(LEFT(TRIM(Raw!G1755),2)="-$","-"&amp;MID(TRIM(Raw!G1755),3,99),IF(LEFT(TRIM(Raw!G1755),1)="$",MID(TRIM(Raw!G1755),2,99),TRIM(Raw!G1755)))</f>
        <v>-103.50</v>
      </c>
      <c r="M1755" s="1">
        <f t="shared" si="219"/>
        <v>-103.5</v>
      </c>
      <c r="N1755" s="10">
        <f t="shared" si="220"/>
        <v>-10350</v>
      </c>
      <c r="O1755" s="1" t="b">
        <f>IFERROR(IF(ISNUMBER(Raw!G1755),TRUE,OR(EXACT(L1755,TEXT(M1755,"0.00")),EXACT(L1755,TEXT(M1755,"#,##0.00")))),FALSE)</f>
        <v>1</v>
      </c>
      <c r="P1755" s="1" t="str">
        <f>LEN(IF(Raw!A1755="","",Raw!A1755))&amp;":"&amp;IF(Raw!A1755="","",Raw!A1755)&amp;"|"&amp;LEN(IF(Raw!B1755="","",Raw!B1755))&amp;":"&amp;IF(Raw!B1755="","",Raw!B1755)&amp;"|"&amp;LEN(IF(Raw!C1755="","",Raw!C1755))&amp;":"&amp;IF(Raw!C1755="","",Raw!C1755)&amp;"|"&amp;LEN(IF(Raw!D1755="","",Raw!D1755))&amp;":"&amp;IF(Raw!D1755="","",Raw!D1755)&amp;"|"&amp;LEN(IF(Raw!E1755="","",Raw!E1755))&amp;":"&amp;IF(Raw!E1755="","",Raw!E1755)&amp;"|"&amp;LEN(IF(Raw!F1755="","",Raw!F1755))&amp;":"&amp;IF(Raw!F1755="","",Raw!F1755)&amp;"|"&amp;LEN(IF(Raw!G1755="","",Raw!G1755))&amp;":"&amp;IF(Raw!G1755="","",Raw!G1755)</f>
        <v>6:L01749|6:T00875|10:2026-03-30|3:P-O|6:Office|6:refund|7:-103.50</v>
      </c>
      <c r="Q1755" s="1">
        <f>1</f>
        <v>1</v>
      </c>
      <c r="R1755" s="1" t="b">
        <f>FALSE</f>
        <v>0</v>
      </c>
      <c r="S1755" s="1">
        <f>1</f>
        <v>1</v>
      </c>
      <c r="T1755" s="1" t="str">
        <f>IF(AND(Raw!A1755="",Raw!B1755="",Raw!C1755="",Raw!D1755="",Raw!E1755="",Raw!F1755="",Raw!G1755=""),"UNUSED",IF(A1755="","missing line ID",IF(B1755="","missing transaction ID",IF(G1755="",IF(C1755="","missing date","invalid date"),IF(I1755="","unknown product",IF(J1755="","conflicting category",IF(NOT(OR(EXACT(K1755,"sale"),EXACT(K1755,"refund"))),"unknown event",IF(OR(N1755="",NOT(O1755)),"invalid amount",IF(OR(AND(K1755="sale",N1755&lt;=0),AND(K1755="refund",N1755&gt;=0)),"invalid sign","")))))))))</f>
        <v/>
      </c>
      <c r="U1755" s="1" t="str">
        <f t="shared" si="221"/>
        <v>INCLUDED</v>
      </c>
      <c r="V1755" s="1" t="str">
        <f t="shared" si="222"/>
        <v>2026-03</v>
      </c>
      <c r="W1755" s="1">
        <f>IF(AND(U1755="INCLUDED",X1755&gt;0,EXACT(A1755,'AI output'!A1755)),1,0)</f>
        <v>1</v>
      </c>
      <c r="X1755" s="1">
        <f>1755</f>
        <v>1755</v>
      </c>
      <c r="Y1755" s="1">
        <f>IF(AND(U1755="INCLUDED",W1755=1),--(NOT(EXACT(A1755,'AI output'!A1755)))+--(NOT(EXACT(B1755,'AI output'!B1755)))+--(NOT(EXACT(TEXT(G1755,"yyyy-mm-dd"),'AI output'!C1755)))+--(NOT(EXACT(H1755,'AI output'!D1755)))+--(NOT(EXACT(J1755,'AI output'!E1755)))+--(NOT(EXACT(K1755,'AI output'!F1755)))+--(N1755&lt;&gt;'AI output'!L1755)+--(NOT('AI output'!M1755)),0)</f>
        <v>0</v>
      </c>
      <c r="Z1755" s="1">
        <f t="shared" si="223"/>
        <v>0</v>
      </c>
      <c r="AA1755" s="1">
        <f>--EXACT(A1755,"L01749")</f>
        <v>1</v>
      </c>
    </row>
    <row r="1756" spans="1:27" ht="18.95" customHeight="1">
      <c r="A1756" s="1" t="str">
        <f>IF(Raw!A1756="","",Raw!A1756)</f>
        <v>L01750</v>
      </c>
      <c r="B1756" s="1" t="str">
        <f>IF(Raw!B1756="","",Raw!B1756)</f>
        <v>T00875</v>
      </c>
      <c r="C1756" s="1" t="str">
        <f>IF(Raw!C1756="","",Raw!C1756)</f>
        <v>2026-03-30</v>
      </c>
      <c r="D1756" s="1">
        <f t="shared" si="216"/>
        <v>2026</v>
      </c>
      <c r="E1756" s="1">
        <f>IFERROR(IF(AND(LEN(C1756)=10,MID(C1756,5,1)="-",MID(C1756,8,1)="-"),VALUE(MID(C1756,6,2)),IF(AND(LEN(C1756)=11,MID(C1756,3,1)="-",MID(C1756,7,1)="-"),MATCH(UPPER(MID(C1756,4,3)),Guide!$D$7:$D$18,0),0)),0)</f>
        <v>3</v>
      </c>
      <c r="F1756" s="1">
        <f t="shared" si="217"/>
        <v>30</v>
      </c>
      <c r="G1756" s="9">
        <f t="shared" si="218"/>
        <v>46111</v>
      </c>
      <c r="H1756" s="1" t="str">
        <f>IF(Raw!D1756="","",Raw!D1756)</f>
        <v>P-A</v>
      </c>
      <c r="I1756" s="1" t="str">
        <f>IFERROR(IF(EXACT(H1756,INDEX(Guide!$A$7:$A$9,MATCH(SUBSTITUTE(SUBSTITUTE(SUBSTITUTE(H1756,"~","~~"),"*","~*"),"?","~?"),Guide!$A$7:$A$9,0))),INDEX(Guide!$B$7:$B$9,MATCH(SUBSTITUTE(SUBSTITUTE(SUBSTITUTE(H1756,"~","~~"),"*","~*"),"?","~?"),Guide!$A$7:$A$9,0)),""),"")</f>
        <v>Accessories</v>
      </c>
      <c r="J1756" s="1" t="str">
        <f>IF(TRIM(Raw!E1756)="",I1756,IF(UPPER(TRIM(Raw!E1756))=UPPER(I1756),I1756,""))</f>
        <v>Accessories</v>
      </c>
      <c r="K1756" s="1" t="str">
        <f>IF(Raw!F1756="","",Raw!F1756)</f>
        <v>sale</v>
      </c>
      <c r="L1756" s="1" t="str">
        <f>IF(LEFT(TRIM(Raw!G1756),2)="-$","-"&amp;MID(TRIM(Raw!G1756),3,99),IF(LEFT(TRIM(Raw!G1756),1)="$",MID(TRIM(Raw!G1756),2,99),TRIM(Raw!G1756)))</f>
        <v>208.48</v>
      </c>
      <c r="M1756" s="1">
        <f t="shared" si="219"/>
        <v>208.48</v>
      </c>
      <c r="N1756" s="10">
        <f t="shared" si="220"/>
        <v>20848</v>
      </c>
      <c r="O1756" s="1" t="b">
        <f>IFERROR(IF(ISNUMBER(Raw!G1756),TRUE,OR(EXACT(L1756,TEXT(M1756,"0.00")),EXACT(L1756,TEXT(M1756,"#,##0.00")))),FALSE)</f>
        <v>1</v>
      </c>
      <c r="P1756" s="1" t="str">
        <f>LEN(IF(Raw!A1756="","",Raw!A1756))&amp;":"&amp;IF(Raw!A1756="","",Raw!A1756)&amp;"|"&amp;LEN(IF(Raw!B1756="","",Raw!B1756))&amp;":"&amp;IF(Raw!B1756="","",Raw!B1756)&amp;"|"&amp;LEN(IF(Raw!C1756="","",Raw!C1756))&amp;":"&amp;IF(Raw!C1756="","",Raw!C1756)&amp;"|"&amp;LEN(IF(Raw!D1756="","",Raw!D1756))&amp;":"&amp;IF(Raw!D1756="","",Raw!D1756)&amp;"|"&amp;LEN(IF(Raw!E1756="","",Raw!E1756))&amp;":"&amp;IF(Raw!E1756="","",Raw!E1756)&amp;"|"&amp;LEN(IF(Raw!F1756="","",Raw!F1756))&amp;":"&amp;IF(Raw!F1756="","",Raw!F1756)&amp;"|"&amp;LEN(IF(Raw!G1756="","",Raw!G1756))&amp;":"&amp;IF(Raw!G1756="","",Raw!G1756)</f>
        <v>6:L01750|6:T00875|10:2026-03-30|3:P-A|11:Accessories|4:sale|6:208.48</v>
      </c>
      <c r="Q1756" s="1">
        <f>1</f>
        <v>1</v>
      </c>
      <c r="R1756" s="1" t="b">
        <f>FALSE</f>
        <v>0</v>
      </c>
      <c r="S1756" s="1">
        <f>1</f>
        <v>1</v>
      </c>
      <c r="T1756" s="1" t="str">
        <f>IF(AND(Raw!A1756="",Raw!B1756="",Raw!C1756="",Raw!D1756="",Raw!E1756="",Raw!F1756="",Raw!G1756=""),"UNUSED",IF(A1756="","missing line ID",IF(B1756="","missing transaction ID",IF(G1756="",IF(C1756="","missing date","invalid date"),IF(I1756="","unknown product",IF(J1756="","conflicting category",IF(NOT(OR(EXACT(K1756,"sale"),EXACT(K1756,"refund"))),"unknown event",IF(OR(N1756="",NOT(O1756)),"invalid amount",IF(OR(AND(K1756="sale",N1756&lt;=0),AND(K1756="refund",N1756&gt;=0)),"invalid sign","")))))))))</f>
        <v/>
      </c>
      <c r="U1756" s="1" t="str">
        <f t="shared" si="221"/>
        <v>INCLUDED</v>
      </c>
      <c r="V1756" s="1" t="str">
        <f t="shared" si="222"/>
        <v>2026-03</v>
      </c>
      <c r="W1756" s="1">
        <f>IF(AND(U1756="INCLUDED",X1756&gt;0,EXACT(A1756,'AI output'!A1756)),1,0)</f>
        <v>1</v>
      </c>
      <c r="X1756" s="1">
        <f>1756</f>
        <v>1756</v>
      </c>
      <c r="Y1756" s="1">
        <f>IF(AND(U1756="INCLUDED",W1756=1),--(NOT(EXACT(A1756,'AI output'!A1756)))+--(NOT(EXACT(B1756,'AI output'!B1756)))+--(NOT(EXACT(TEXT(G1756,"yyyy-mm-dd"),'AI output'!C1756)))+--(NOT(EXACT(H1756,'AI output'!D1756)))+--(NOT(EXACT(J1756,'AI output'!E1756)))+--(NOT(EXACT(K1756,'AI output'!F1756)))+--(N1756&lt;&gt;'AI output'!L1756)+--(NOT('AI output'!M1756)),0)</f>
        <v>0</v>
      </c>
      <c r="Z1756" s="1">
        <f t="shared" si="223"/>
        <v>0</v>
      </c>
      <c r="AA1756" s="1">
        <f>--EXACT(A1756,"L01750")</f>
        <v>1</v>
      </c>
    </row>
    <row r="1757" spans="1:27" ht="18.95" customHeight="1">
      <c r="A1757" s="1" t="str">
        <f>IF(Raw!A1757="","",Raw!A1757)</f>
        <v>L01751</v>
      </c>
      <c r="B1757" s="1" t="str">
        <f>IF(Raw!B1757="","",Raw!B1757)</f>
        <v>T00876</v>
      </c>
      <c r="C1757" s="1" t="str">
        <f>IF(Raw!C1757="","",Raw!C1757)</f>
        <v>2026-01-06</v>
      </c>
      <c r="D1757" s="1">
        <f t="shared" si="216"/>
        <v>2026</v>
      </c>
      <c r="E1757" s="1">
        <f>IFERROR(IF(AND(LEN(C1757)=10,MID(C1757,5,1)="-",MID(C1757,8,1)="-"),VALUE(MID(C1757,6,2)),IF(AND(LEN(C1757)=11,MID(C1757,3,1)="-",MID(C1757,7,1)="-"),MATCH(UPPER(MID(C1757,4,3)),Guide!$D$7:$D$18,0),0)),0)</f>
        <v>1</v>
      </c>
      <c r="F1757" s="1">
        <f t="shared" si="217"/>
        <v>6</v>
      </c>
      <c r="G1757" s="9">
        <f t="shared" si="218"/>
        <v>46028</v>
      </c>
      <c r="H1757" s="1" t="str">
        <f>IF(Raw!D1757="","",Raw!D1757)</f>
        <v>P-H</v>
      </c>
      <c r="I1757" s="1" t="str">
        <f>IFERROR(IF(EXACT(H1757,INDEX(Guide!$A$7:$A$9,MATCH(SUBSTITUTE(SUBSTITUTE(SUBSTITUTE(H1757,"~","~~"),"*","~*"),"?","~?"),Guide!$A$7:$A$9,0))),INDEX(Guide!$B$7:$B$9,MATCH(SUBSTITUTE(SUBSTITUTE(SUBSTITUTE(H1757,"~","~~"),"*","~*"),"?","~?"),Guide!$A$7:$A$9,0)),""),"")</f>
        <v>Home</v>
      </c>
      <c r="J1757" s="1" t="str">
        <f>IF(TRIM(Raw!E1757)="",I1757,IF(UPPER(TRIM(Raw!E1757))=UPPER(I1757),I1757,""))</f>
        <v>Home</v>
      </c>
      <c r="K1757" s="1" t="str">
        <f>IF(Raw!F1757="","",Raw!F1757)</f>
        <v>sale</v>
      </c>
      <c r="L1757" s="1" t="str">
        <f>IF(LEFT(TRIM(Raw!G1757),2)="-$","-"&amp;MID(TRIM(Raw!G1757),3,99),IF(LEFT(TRIM(Raw!G1757),1)="$",MID(TRIM(Raw!G1757),2,99),TRIM(Raw!G1757)))</f>
        <v>52.49</v>
      </c>
      <c r="M1757" s="1">
        <f t="shared" si="219"/>
        <v>52.49</v>
      </c>
      <c r="N1757" s="10">
        <f t="shared" si="220"/>
        <v>5249</v>
      </c>
      <c r="O1757" s="1" t="b">
        <f>IFERROR(IF(ISNUMBER(Raw!G1757),TRUE,OR(EXACT(L1757,TEXT(M1757,"0.00")),EXACT(L1757,TEXT(M1757,"#,##0.00")))),FALSE)</f>
        <v>1</v>
      </c>
      <c r="P1757" s="1" t="str">
        <f>LEN(IF(Raw!A1757="","",Raw!A1757))&amp;":"&amp;IF(Raw!A1757="","",Raw!A1757)&amp;"|"&amp;LEN(IF(Raw!B1757="","",Raw!B1757))&amp;":"&amp;IF(Raw!B1757="","",Raw!B1757)&amp;"|"&amp;LEN(IF(Raw!C1757="","",Raw!C1757))&amp;":"&amp;IF(Raw!C1757="","",Raw!C1757)&amp;"|"&amp;LEN(IF(Raw!D1757="","",Raw!D1757))&amp;":"&amp;IF(Raw!D1757="","",Raw!D1757)&amp;"|"&amp;LEN(IF(Raw!E1757="","",Raw!E1757))&amp;":"&amp;IF(Raw!E1757="","",Raw!E1757)&amp;"|"&amp;LEN(IF(Raw!F1757="","",Raw!F1757))&amp;":"&amp;IF(Raw!F1757="","",Raw!F1757)&amp;"|"&amp;LEN(IF(Raw!G1757="","",Raw!G1757))&amp;":"&amp;IF(Raw!G1757="","",Raw!G1757)</f>
        <v>6:L01751|6:T00876|10:2026-01-06|3:P-H|4:Home|4:sale|5:52.49</v>
      </c>
      <c r="Q1757" s="1">
        <f>1</f>
        <v>1</v>
      </c>
      <c r="R1757" s="1" t="b">
        <f>FALSE</f>
        <v>0</v>
      </c>
      <c r="S1757" s="1">
        <f>1</f>
        <v>1</v>
      </c>
      <c r="T1757" s="1" t="str">
        <f>IF(AND(Raw!A1757="",Raw!B1757="",Raw!C1757="",Raw!D1757="",Raw!E1757="",Raw!F1757="",Raw!G1757=""),"UNUSED",IF(A1757="","missing line ID",IF(B1757="","missing transaction ID",IF(G1757="",IF(C1757="","missing date","invalid date"),IF(I1757="","unknown product",IF(J1757="","conflicting category",IF(NOT(OR(EXACT(K1757,"sale"),EXACT(K1757,"refund"))),"unknown event",IF(OR(N1757="",NOT(O1757)),"invalid amount",IF(OR(AND(K1757="sale",N1757&lt;=0),AND(K1757="refund",N1757&gt;=0)),"invalid sign","")))))))))</f>
        <v/>
      </c>
      <c r="U1757" s="1" t="str">
        <f t="shared" si="221"/>
        <v>INCLUDED</v>
      </c>
      <c r="V1757" s="1" t="str">
        <f t="shared" si="222"/>
        <v>2026-01</v>
      </c>
      <c r="W1757" s="1">
        <f>IF(AND(U1757="INCLUDED",X1757&gt;0,EXACT(A1757,'AI output'!A1757)),1,0)</f>
        <v>1</v>
      </c>
      <c r="X1757" s="1">
        <f>1757</f>
        <v>1757</v>
      </c>
      <c r="Y1757" s="1">
        <f>IF(AND(U1757="INCLUDED",W1757=1),--(NOT(EXACT(A1757,'AI output'!A1757)))+--(NOT(EXACT(B1757,'AI output'!B1757)))+--(NOT(EXACT(TEXT(G1757,"yyyy-mm-dd"),'AI output'!C1757)))+--(NOT(EXACT(H1757,'AI output'!D1757)))+--(NOT(EXACT(J1757,'AI output'!E1757)))+--(NOT(EXACT(K1757,'AI output'!F1757)))+--(N1757&lt;&gt;'AI output'!L1757)+--(NOT('AI output'!M1757)),0)</f>
        <v>0</v>
      </c>
      <c r="Z1757" s="1">
        <f t="shared" si="223"/>
        <v>0</v>
      </c>
      <c r="AA1757" s="1">
        <f>--EXACT(A1757,"L01751")</f>
        <v>1</v>
      </c>
    </row>
    <row r="1758" spans="1:27" ht="18.95" customHeight="1">
      <c r="A1758" s="1" t="str">
        <f>IF(Raw!A1758="","",Raw!A1758)</f>
        <v>L01752</v>
      </c>
      <c r="B1758" s="1" t="str">
        <f>IF(Raw!B1758="","",Raw!B1758)</f>
        <v>T00876</v>
      </c>
      <c r="C1758" s="1" t="str">
        <f>IF(Raw!C1758="","",Raw!C1758)</f>
        <v>2026-01-06</v>
      </c>
      <c r="D1758" s="1">
        <f t="shared" si="216"/>
        <v>2026</v>
      </c>
      <c r="E1758" s="1">
        <f>IFERROR(IF(AND(LEN(C1758)=10,MID(C1758,5,1)="-",MID(C1758,8,1)="-"),VALUE(MID(C1758,6,2)),IF(AND(LEN(C1758)=11,MID(C1758,3,1)="-",MID(C1758,7,1)="-"),MATCH(UPPER(MID(C1758,4,3)),Guide!$D$7:$D$18,0),0)),0)</f>
        <v>1</v>
      </c>
      <c r="F1758" s="1">
        <f t="shared" si="217"/>
        <v>6</v>
      </c>
      <c r="G1758" s="9">
        <f t="shared" si="218"/>
        <v>46028</v>
      </c>
      <c r="H1758" s="1" t="str">
        <f>IF(Raw!D1758="","",Raw!D1758)</f>
        <v>P-O</v>
      </c>
      <c r="I1758" s="1" t="str">
        <f>IFERROR(IF(EXACT(H1758,INDEX(Guide!$A$7:$A$9,MATCH(SUBSTITUTE(SUBSTITUTE(SUBSTITUTE(H1758,"~","~~"),"*","~*"),"?","~?"),Guide!$A$7:$A$9,0))),INDEX(Guide!$B$7:$B$9,MATCH(SUBSTITUTE(SUBSTITUTE(SUBSTITUTE(H1758,"~","~~"),"*","~*"),"?","~?"),Guide!$A$7:$A$9,0)),""),"")</f>
        <v>Office</v>
      </c>
      <c r="J1758" s="1" t="str">
        <f>IF(TRIM(Raw!E1758)="",I1758,IF(UPPER(TRIM(Raw!E1758))=UPPER(I1758),I1758,""))</f>
        <v>Office</v>
      </c>
      <c r="K1758" s="1" t="str">
        <f>IF(Raw!F1758="","",Raw!F1758)</f>
        <v>sale</v>
      </c>
      <c r="L1758" s="1" t="str">
        <f>IF(LEFT(TRIM(Raw!G1758),2)="-$","-"&amp;MID(TRIM(Raw!G1758),3,99),IF(LEFT(TRIM(Raw!G1758),1)="$",MID(TRIM(Raw!G1758),2,99),TRIM(Raw!G1758)))</f>
        <v>158.58</v>
      </c>
      <c r="M1758" s="1">
        <f t="shared" si="219"/>
        <v>158.58000000000001</v>
      </c>
      <c r="N1758" s="10">
        <f t="shared" si="220"/>
        <v>15858</v>
      </c>
      <c r="O1758" s="1" t="b">
        <f>IFERROR(IF(ISNUMBER(Raw!G1758),TRUE,OR(EXACT(L1758,TEXT(M1758,"0.00")),EXACT(L1758,TEXT(M1758,"#,##0.00")))),FALSE)</f>
        <v>1</v>
      </c>
      <c r="P1758" s="1" t="str">
        <f>LEN(IF(Raw!A1758="","",Raw!A1758))&amp;":"&amp;IF(Raw!A1758="","",Raw!A1758)&amp;"|"&amp;LEN(IF(Raw!B1758="","",Raw!B1758))&amp;":"&amp;IF(Raw!B1758="","",Raw!B1758)&amp;"|"&amp;LEN(IF(Raw!C1758="","",Raw!C1758))&amp;":"&amp;IF(Raw!C1758="","",Raw!C1758)&amp;"|"&amp;LEN(IF(Raw!D1758="","",Raw!D1758))&amp;":"&amp;IF(Raw!D1758="","",Raw!D1758)&amp;"|"&amp;LEN(IF(Raw!E1758="","",Raw!E1758))&amp;":"&amp;IF(Raw!E1758="","",Raw!E1758)&amp;"|"&amp;LEN(IF(Raw!F1758="","",Raw!F1758))&amp;":"&amp;IF(Raw!F1758="","",Raw!F1758)&amp;"|"&amp;LEN(IF(Raw!G1758="","",Raw!G1758))&amp;":"&amp;IF(Raw!G1758="","",Raw!G1758)</f>
        <v>6:L01752|6:T00876|10:2026-01-06|3:P-O|6:Office|4:sale|6:158.58</v>
      </c>
      <c r="Q1758" s="1">
        <f>1</f>
        <v>1</v>
      </c>
      <c r="R1758" s="1" t="b">
        <f>FALSE</f>
        <v>0</v>
      </c>
      <c r="S1758" s="1">
        <f>1</f>
        <v>1</v>
      </c>
      <c r="T1758" s="1" t="str">
        <f>IF(AND(Raw!A1758="",Raw!B1758="",Raw!C1758="",Raw!D1758="",Raw!E1758="",Raw!F1758="",Raw!G1758=""),"UNUSED",IF(A1758="","missing line ID",IF(B1758="","missing transaction ID",IF(G1758="",IF(C1758="","missing date","invalid date"),IF(I1758="","unknown product",IF(J1758="","conflicting category",IF(NOT(OR(EXACT(K1758,"sale"),EXACT(K1758,"refund"))),"unknown event",IF(OR(N1758="",NOT(O1758)),"invalid amount",IF(OR(AND(K1758="sale",N1758&lt;=0),AND(K1758="refund",N1758&gt;=0)),"invalid sign","")))))))))</f>
        <v/>
      </c>
      <c r="U1758" s="1" t="str">
        <f t="shared" si="221"/>
        <v>INCLUDED</v>
      </c>
      <c r="V1758" s="1" t="str">
        <f t="shared" si="222"/>
        <v>2026-01</v>
      </c>
      <c r="W1758" s="1">
        <f>IF(AND(U1758="INCLUDED",X1758&gt;0,EXACT(A1758,'AI output'!A1758)),1,0)</f>
        <v>1</v>
      </c>
      <c r="X1758" s="1">
        <f>1758</f>
        <v>1758</v>
      </c>
      <c r="Y1758" s="1">
        <f>IF(AND(U1758="INCLUDED",W1758=1),--(NOT(EXACT(A1758,'AI output'!A1758)))+--(NOT(EXACT(B1758,'AI output'!B1758)))+--(NOT(EXACT(TEXT(G1758,"yyyy-mm-dd"),'AI output'!C1758)))+--(NOT(EXACT(H1758,'AI output'!D1758)))+--(NOT(EXACT(J1758,'AI output'!E1758)))+--(NOT(EXACT(K1758,'AI output'!F1758)))+--(N1758&lt;&gt;'AI output'!L1758)+--(NOT('AI output'!M1758)),0)</f>
        <v>0</v>
      </c>
      <c r="Z1758" s="1">
        <f t="shared" si="223"/>
        <v>0</v>
      </c>
      <c r="AA1758" s="1">
        <f>--EXACT(A1758,"L01752")</f>
        <v>1</v>
      </c>
    </row>
    <row r="1759" spans="1:27" ht="18.95" customHeight="1">
      <c r="A1759" s="1" t="str">
        <f>IF(Raw!A1759="","",Raw!A1759)</f>
        <v>L01753</v>
      </c>
      <c r="B1759" s="1" t="str">
        <f>IF(Raw!B1759="","",Raw!B1759)</f>
        <v>T00877</v>
      </c>
      <c r="C1759" s="1" t="str">
        <f>IF(Raw!C1759="","",Raw!C1759)</f>
        <v>2026-01-13</v>
      </c>
      <c r="D1759" s="1">
        <f t="shared" si="216"/>
        <v>2026</v>
      </c>
      <c r="E1759" s="1">
        <f>IFERROR(IF(AND(LEN(C1759)=10,MID(C1759,5,1)="-",MID(C1759,8,1)="-"),VALUE(MID(C1759,6,2)),IF(AND(LEN(C1759)=11,MID(C1759,3,1)="-",MID(C1759,7,1)="-"),MATCH(UPPER(MID(C1759,4,3)),Guide!$D$7:$D$18,0),0)),0)</f>
        <v>1</v>
      </c>
      <c r="F1759" s="1">
        <f t="shared" si="217"/>
        <v>13</v>
      </c>
      <c r="G1759" s="9">
        <f t="shared" si="218"/>
        <v>46035</v>
      </c>
      <c r="H1759" s="1" t="str">
        <f>IF(Raw!D1759="","",Raw!D1759)</f>
        <v>P-A</v>
      </c>
      <c r="I1759" s="1" t="str">
        <f>IFERROR(IF(EXACT(H1759,INDEX(Guide!$A$7:$A$9,MATCH(SUBSTITUTE(SUBSTITUTE(SUBSTITUTE(H1759,"~","~~"),"*","~*"),"?","~?"),Guide!$A$7:$A$9,0))),INDEX(Guide!$B$7:$B$9,MATCH(SUBSTITUTE(SUBSTITUTE(SUBSTITUTE(H1759,"~","~~"),"*","~*"),"?","~?"),Guide!$A$7:$A$9,0)),""),"")</f>
        <v>Accessories</v>
      </c>
      <c r="J1759" s="1" t="str">
        <f>IF(TRIM(Raw!E1759)="",I1759,IF(UPPER(TRIM(Raw!E1759))=UPPER(I1759),I1759,""))</f>
        <v>Accessories</v>
      </c>
      <c r="K1759" s="1" t="str">
        <f>IF(Raw!F1759="","",Raw!F1759)</f>
        <v>sale</v>
      </c>
      <c r="L1759" s="1" t="str">
        <f>IF(LEFT(TRIM(Raw!G1759),2)="-$","-"&amp;MID(TRIM(Raw!G1759),3,99),IF(LEFT(TRIM(Raw!G1759),1)="$",MID(TRIM(Raw!G1759),2,99),TRIM(Raw!G1759)))</f>
        <v>266.15</v>
      </c>
      <c r="M1759" s="1">
        <f t="shared" si="219"/>
        <v>266.14999999999998</v>
      </c>
      <c r="N1759" s="10">
        <f t="shared" si="220"/>
        <v>26615</v>
      </c>
      <c r="O1759" s="1" t="b">
        <f>IFERROR(IF(ISNUMBER(Raw!G1759),TRUE,OR(EXACT(L1759,TEXT(M1759,"0.00")),EXACT(L1759,TEXT(M1759,"#,##0.00")))),FALSE)</f>
        <v>1</v>
      </c>
      <c r="P1759" s="1" t="str">
        <f>LEN(IF(Raw!A1759="","",Raw!A1759))&amp;":"&amp;IF(Raw!A1759="","",Raw!A1759)&amp;"|"&amp;LEN(IF(Raw!B1759="","",Raw!B1759))&amp;":"&amp;IF(Raw!B1759="","",Raw!B1759)&amp;"|"&amp;LEN(IF(Raw!C1759="","",Raw!C1759))&amp;":"&amp;IF(Raw!C1759="","",Raw!C1759)&amp;"|"&amp;LEN(IF(Raw!D1759="","",Raw!D1759))&amp;":"&amp;IF(Raw!D1759="","",Raw!D1759)&amp;"|"&amp;LEN(IF(Raw!E1759="","",Raw!E1759))&amp;":"&amp;IF(Raw!E1759="","",Raw!E1759)&amp;"|"&amp;LEN(IF(Raw!F1759="","",Raw!F1759))&amp;":"&amp;IF(Raw!F1759="","",Raw!F1759)&amp;"|"&amp;LEN(IF(Raw!G1759="","",Raw!G1759))&amp;":"&amp;IF(Raw!G1759="","",Raw!G1759)</f>
        <v>6:L01753|6:T00877|10:2026-01-13|3:P-A|11:Accessories|4:sale|6:266.15</v>
      </c>
      <c r="Q1759" s="1">
        <f>1</f>
        <v>1</v>
      </c>
      <c r="R1759" s="1" t="b">
        <f>FALSE</f>
        <v>0</v>
      </c>
      <c r="S1759" s="1">
        <f>1</f>
        <v>1</v>
      </c>
      <c r="T1759" s="1" t="str">
        <f>IF(AND(Raw!A1759="",Raw!B1759="",Raw!C1759="",Raw!D1759="",Raw!E1759="",Raw!F1759="",Raw!G1759=""),"UNUSED",IF(A1759="","missing line ID",IF(B1759="","missing transaction ID",IF(G1759="",IF(C1759="","missing date","invalid date"),IF(I1759="","unknown product",IF(J1759="","conflicting category",IF(NOT(OR(EXACT(K1759,"sale"),EXACT(K1759,"refund"))),"unknown event",IF(OR(N1759="",NOT(O1759)),"invalid amount",IF(OR(AND(K1759="sale",N1759&lt;=0),AND(K1759="refund",N1759&gt;=0)),"invalid sign","")))))))))</f>
        <v/>
      </c>
      <c r="U1759" s="1" t="str">
        <f t="shared" si="221"/>
        <v>INCLUDED</v>
      </c>
      <c r="V1759" s="1" t="str">
        <f t="shared" si="222"/>
        <v>2026-01</v>
      </c>
      <c r="W1759" s="1">
        <f>IF(AND(U1759="INCLUDED",X1759&gt;0,EXACT(A1759,'AI output'!A1759)),1,0)</f>
        <v>1</v>
      </c>
      <c r="X1759" s="1">
        <f>1759</f>
        <v>1759</v>
      </c>
      <c r="Y1759" s="1">
        <f>IF(AND(U1759="INCLUDED",W1759=1),--(NOT(EXACT(A1759,'AI output'!A1759)))+--(NOT(EXACT(B1759,'AI output'!B1759)))+--(NOT(EXACT(TEXT(G1759,"yyyy-mm-dd"),'AI output'!C1759)))+--(NOT(EXACT(H1759,'AI output'!D1759)))+--(NOT(EXACT(J1759,'AI output'!E1759)))+--(NOT(EXACT(K1759,'AI output'!F1759)))+--(N1759&lt;&gt;'AI output'!L1759)+--(NOT('AI output'!M1759)),0)</f>
        <v>0</v>
      </c>
      <c r="Z1759" s="1">
        <f t="shared" si="223"/>
        <v>0</v>
      </c>
      <c r="AA1759" s="1">
        <f>--EXACT(A1759,"L01753")</f>
        <v>1</v>
      </c>
    </row>
    <row r="1760" spans="1:27" ht="18.95" customHeight="1">
      <c r="A1760" s="1" t="str">
        <f>IF(Raw!A1760="","",Raw!A1760)</f>
        <v>L01754</v>
      </c>
      <c r="B1760" s="1" t="str">
        <f>IF(Raw!B1760="","",Raw!B1760)</f>
        <v>T00877</v>
      </c>
      <c r="C1760" s="1" t="str">
        <f>IF(Raw!C1760="","",Raw!C1760)</f>
        <v>2026-01-13</v>
      </c>
      <c r="D1760" s="1">
        <f t="shared" si="216"/>
        <v>2026</v>
      </c>
      <c r="E1760" s="1">
        <f>IFERROR(IF(AND(LEN(C1760)=10,MID(C1760,5,1)="-",MID(C1760,8,1)="-"),VALUE(MID(C1760,6,2)),IF(AND(LEN(C1760)=11,MID(C1760,3,1)="-",MID(C1760,7,1)="-"),MATCH(UPPER(MID(C1760,4,3)),Guide!$D$7:$D$18,0),0)),0)</f>
        <v>1</v>
      </c>
      <c r="F1760" s="1">
        <f t="shared" si="217"/>
        <v>13</v>
      </c>
      <c r="G1760" s="9">
        <f t="shared" si="218"/>
        <v>46035</v>
      </c>
      <c r="H1760" s="1" t="str">
        <f>IF(Raw!D1760="","",Raw!D1760)</f>
        <v>P-H</v>
      </c>
      <c r="I1760" s="1" t="str">
        <f>IFERROR(IF(EXACT(H1760,INDEX(Guide!$A$7:$A$9,MATCH(SUBSTITUTE(SUBSTITUTE(SUBSTITUTE(H1760,"~","~~"),"*","~*"),"?","~?"),Guide!$A$7:$A$9,0))),INDEX(Guide!$B$7:$B$9,MATCH(SUBSTITUTE(SUBSTITUTE(SUBSTITUTE(H1760,"~","~~"),"*","~*"),"?","~?"),Guide!$A$7:$A$9,0)),""),"")</f>
        <v>Home</v>
      </c>
      <c r="J1760" s="1" t="str">
        <f>IF(TRIM(Raw!E1760)="",I1760,IF(UPPER(TRIM(Raw!E1760))=UPPER(I1760),I1760,""))</f>
        <v>Home</v>
      </c>
      <c r="K1760" s="1" t="str">
        <f>IF(Raw!F1760="","",Raw!F1760)</f>
        <v>sale</v>
      </c>
      <c r="L1760" s="1" t="str">
        <f>IF(LEFT(TRIM(Raw!G1760),2)="-$","-"&amp;MID(TRIM(Raw!G1760),3,99),IF(LEFT(TRIM(Raw!G1760),1)="$",MID(TRIM(Raw!G1760),2,99),TRIM(Raw!G1760)))</f>
        <v>107.20</v>
      </c>
      <c r="M1760" s="1">
        <f t="shared" si="219"/>
        <v>107.2</v>
      </c>
      <c r="N1760" s="10">
        <f t="shared" si="220"/>
        <v>10720</v>
      </c>
      <c r="O1760" s="1" t="b">
        <f>IFERROR(IF(ISNUMBER(Raw!G1760),TRUE,OR(EXACT(L1760,TEXT(M1760,"0.00")),EXACT(L1760,TEXT(M1760,"#,##0.00")))),FALSE)</f>
        <v>1</v>
      </c>
      <c r="P1760" s="1" t="str">
        <f>LEN(IF(Raw!A1760="","",Raw!A1760))&amp;":"&amp;IF(Raw!A1760="","",Raw!A1760)&amp;"|"&amp;LEN(IF(Raw!B1760="","",Raw!B1760))&amp;":"&amp;IF(Raw!B1760="","",Raw!B1760)&amp;"|"&amp;LEN(IF(Raw!C1760="","",Raw!C1760))&amp;":"&amp;IF(Raw!C1760="","",Raw!C1760)&amp;"|"&amp;LEN(IF(Raw!D1760="","",Raw!D1760))&amp;":"&amp;IF(Raw!D1760="","",Raw!D1760)&amp;"|"&amp;LEN(IF(Raw!E1760="","",Raw!E1760))&amp;":"&amp;IF(Raw!E1760="","",Raw!E1760)&amp;"|"&amp;LEN(IF(Raw!F1760="","",Raw!F1760))&amp;":"&amp;IF(Raw!F1760="","",Raw!F1760)&amp;"|"&amp;LEN(IF(Raw!G1760="","",Raw!G1760))&amp;":"&amp;IF(Raw!G1760="","",Raw!G1760)</f>
        <v>6:L01754|6:T00877|10:2026-01-13|3:P-H|4:Home|4:sale|6:107.20</v>
      </c>
      <c r="Q1760" s="1">
        <f>1</f>
        <v>1</v>
      </c>
      <c r="R1760" s="1" t="b">
        <f>FALSE</f>
        <v>0</v>
      </c>
      <c r="S1760" s="1">
        <f>1</f>
        <v>1</v>
      </c>
      <c r="T1760" s="1" t="str">
        <f>IF(AND(Raw!A1760="",Raw!B1760="",Raw!C1760="",Raw!D1760="",Raw!E1760="",Raw!F1760="",Raw!G1760=""),"UNUSED",IF(A1760="","missing line ID",IF(B1760="","missing transaction ID",IF(G1760="",IF(C1760="","missing date","invalid date"),IF(I1760="","unknown product",IF(J1760="","conflicting category",IF(NOT(OR(EXACT(K1760,"sale"),EXACT(K1760,"refund"))),"unknown event",IF(OR(N1760="",NOT(O1760)),"invalid amount",IF(OR(AND(K1760="sale",N1760&lt;=0),AND(K1760="refund",N1760&gt;=0)),"invalid sign","")))))))))</f>
        <v/>
      </c>
      <c r="U1760" s="1" t="str">
        <f t="shared" si="221"/>
        <v>INCLUDED</v>
      </c>
      <c r="V1760" s="1" t="str">
        <f t="shared" si="222"/>
        <v>2026-01</v>
      </c>
      <c r="W1760" s="1">
        <f>IF(AND(U1760="INCLUDED",X1760&gt;0,EXACT(A1760,'AI output'!A1760)),1,0)</f>
        <v>1</v>
      </c>
      <c r="X1760" s="1">
        <f>1760</f>
        <v>1760</v>
      </c>
      <c r="Y1760" s="1">
        <f>IF(AND(U1760="INCLUDED",W1760=1),--(NOT(EXACT(A1760,'AI output'!A1760)))+--(NOT(EXACT(B1760,'AI output'!B1760)))+--(NOT(EXACT(TEXT(G1760,"yyyy-mm-dd"),'AI output'!C1760)))+--(NOT(EXACT(H1760,'AI output'!D1760)))+--(NOT(EXACT(J1760,'AI output'!E1760)))+--(NOT(EXACT(K1760,'AI output'!F1760)))+--(N1760&lt;&gt;'AI output'!L1760)+--(NOT('AI output'!M1760)),0)</f>
        <v>0</v>
      </c>
      <c r="Z1760" s="1">
        <f t="shared" si="223"/>
        <v>0</v>
      </c>
      <c r="AA1760" s="1">
        <f>--EXACT(A1760,"L01754")</f>
        <v>1</v>
      </c>
    </row>
    <row r="1761" spans="1:27" ht="18.95" customHeight="1">
      <c r="A1761" s="1" t="str">
        <f>IF(Raw!A1761="","",Raw!A1761)</f>
        <v>L01755</v>
      </c>
      <c r="B1761" s="1" t="str">
        <f>IF(Raw!B1761="","",Raw!B1761)</f>
        <v>T00878</v>
      </c>
      <c r="C1761" s="1" t="str">
        <f>IF(Raw!C1761="","",Raw!C1761)</f>
        <v>2026-01-20</v>
      </c>
      <c r="D1761" s="1">
        <f t="shared" si="216"/>
        <v>2026</v>
      </c>
      <c r="E1761" s="1">
        <f>IFERROR(IF(AND(LEN(C1761)=10,MID(C1761,5,1)="-",MID(C1761,8,1)="-"),VALUE(MID(C1761,6,2)),IF(AND(LEN(C1761)=11,MID(C1761,3,1)="-",MID(C1761,7,1)="-"),MATCH(UPPER(MID(C1761,4,3)),Guide!$D$7:$D$18,0),0)),0)</f>
        <v>1</v>
      </c>
      <c r="F1761" s="1">
        <f t="shared" si="217"/>
        <v>20</v>
      </c>
      <c r="G1761" s="9">
        <f t="shared" si="218"/>
        <v>46042</v>
      </c>
      <c r="H1761" s="1" t="str">
        <f>IF(Raw!D1761="","",Raw!D1761)</f>
        <v>P-O</v>
      </c>
      <c r="I1761" s="1" t="str">
        <f>IFERROR(IF(EXACT(H1761,INDEX(Guide!$A$7:$A$9,MATCH(SUBSTITUTE(SUBSTITUTE(SUBSTITUTE(H1761,"~","~~"),"*","~*"),"?","~?"),Guide!$A$7:$A$9,0))),INDEX(Guide!$B$7:$B$9,MATCH(SUBSTITUTE(SUBSTITUTE(SUBSTITUTE(H1761,"~","~~"),"*","~*"),"?","~?"),Guide!$A$7:$A$9,0)),""),"")</f>
        <v>Office</v>
      </c>
      <c r="J1761" s="1" t="str">
        <f>IF(TRIM(Raw!E1761)="",I1761,IF(UPPER(TRIM(Raw!E1761))=UPPER(I1761),I1761,""))</f>
        <v>Office</v>
      </c>
      <c r="K1761" s="1" t="str">
        <f>IF(Raw!F1761="","",Raw!F1761)</f>
        <v>sale</v>
      </c>
      <c r="L1761" s="1" t="str">
        <f>IF(LEFT(TRIM(Raw!G1761),2)="-$","-"&amp;MID(TRIM(Raw!G1761),3,99),IF(LEFT(TRIM(Raw!G1761),1)="$",MID(TRIM(Raw!G1761),2,99),TRIM(Raw!G1761)))</f>
        <v>215.88</v>
      </c>
      <c r="M1761" s="1">
        <f t="shared" si="219"/>
        <v>215.88</v>
      </c>
      <c r="N1761" s="10">
        <f t="shared" si="220"/>
        <v>21588</v>
      </c>
      <c r="O1761" s="1" t="b">
        <f>IFERROR(IF(ISNUMBER(Raw!G1761),TRUE,OR(EXACT(L1761,TEXT(M1761,"0.00")),EXACT(L1761,TEXT(M1761,"#,##0.00")))),FALSE)</f>
        <v>1</v>
      </c>
      <c r="P1761" s="1" t="str">
        <f>LEN(IF(Raw!A1761="","",Raw!A1761))&amp;":"&amp;IF(Raw!A1761="","",Raw!A1761)&amp;"|"&amp;LEN(IF(Raw!B1761="","",Raw!B1761))&amp;":"&amp;IF(Raw!B1761="","",Raw!B1761)&amp;"|"&amp;LEN(IF(Raw!C1761="","",Raw!C1761))&amp;":"&amp;IF(Raw!C1761="","",Raw!C1761)&amp;"|"&amp;LEN(IF(Raw!D1761="","",Raw!D1761))&amp;":"&amp;IF(Raw!D1761="","",Raw!D1761)&amp;"|"&amp;LEN(IF(Raw!E1761="","",Raw!E1761))&amp;":"&amp;IF(Raw!E1761="","",Raw!E1761)&amp;"|"&amp;LEN(IF(Raw!F1761="","",Raw!F1761))&amp;":"&amp;IF(Raw!F1761="","",Raw!F1761)&amp;"|"&amp;LEN(IF(Raw!G1761="","",Raw!G1761))&amp;":"&amp;IF(Raw!G1761="","",Raw!G1761)</f>
        <v>6:L01755|6:T00878|10:2026-01-20|3:P-O|6:Office|4:sale|6:215.88</v>
      </c>
      <c r="Q1761" s="1">
        <f>1</f>
        <v>1</v>
      </c>
      <c r="R1761" s="1" t="b">
        <f>FALSE</f>
        <v>0</v>
      </c>
      <c r="S1761" s="1">
        <f>1</f>
        <v>1</v>
      </c>
      <c r="T1761" s="1" t="str">
        <f>IF(AND(Raw!A1761="",Raw!B1761="",Raw!C1761="",Raw!D1761="",Raw!E1761="",Raw!F1761="",Raw!G1761=""),"UNUSED",IF(A1761="","missing line ID",IF(B1761="","missing transaction ID",IF(G1761="",IF(C1761="","missing date","invalid date"),IF(I1761="","unknown product",IF(J1761="","conflicting category",IF(NOT(OR(EXACT(K1761,"sale"),EXACT(K1761,"refund"))),"unknown event",IF(OR(N1761="",NOT(O1761)),"invalid amount",IF(OR(AND(K1761="sale",N1761&lt;=0),AND(K1761="refund",N1761&gt;=0)),"invalid sign","")))))))))</f>
        <v/>
      </c>
      <c r="U1761" s="1" t="str">
        <f t="shared" si="221"/>
        <v>INCLUDED</v>
      </c>
      <c r="V1761" s="1" t="str">
        <f t="shared" si="222"/>
        <v>2026-01</v>
      </c>
      <c r="W1761" s="1">
        <f>IF(AND(U1761="INCLUDED",X1761&gt;0,EXACT(A1761,'AI output'!A1761)),1,0)</f>
        <v>1</v>
      </c>
      <c r="X1761" s="1">
        <f>1761</f>
        <v>1761</v>
      </c>
      <c r="Y1761" s="1">
        <f>IF(AND(U1761="INCLUDED",W1761=1),--(NOT(EXACT(A1761,'AI output'!A1761)))+--(NOT(EXACT(B1761,'AI output'!B1761)))+--(NOT(EXACT(TEXT(G1761,"yyyy-mm-dd"),'AI output'!C1761)))+--(NOT(EXACT(H1761,'AI output'!D1761)))+--(NOT(EXACT(J1761,'AI output'!E1761)))+--(NOT(EXACT(K1761,'AI output'!F1761)))+--(N1761&lt;&gt;'AI output'!L1761)+--(NOT('AI output'!M1761)),0)</f>
        <v>0</v>
      </c>
      <c r="Z1761" s="1">
        <f t="shared" si="223"/>
        <v>0</v>
      </c>
      <c r="AA1761" s="1">
        <f>--EXACT(A1761,"L01755")</f>
        <v>1</v>
      </c>
    </row>
    <row r="1762" spans="1:27" ht="18.95" customHeight="1">
      <c r="A1762" s="1" t="str">
        <f>IF(Raw!A1762="","",Raw!A1762)</f>
        <v>L01756</v>
      </c>
      <c r="B1762" s="1" t="str">
        <f>IF(Raw!B1762="","",Raw!B1762)</f>
        <v>T00878</v>
      </c>
      <c r="C1762" s="1" t="str">
        <f>IF(Raw!C1762="","",Raw!C1762)</f>
        <v>2026-01-20</v>
      </c>
      <c r="D1762" s="1">
        <f t="shared" si="216"/>
        <v>2026</v>
      </c>
      <c r="E1762" s="1">
        <f>IFERROR(IF(AND(LEN(C1762)=10,MID(C1762,5,1)="-",MID(C1762,8,1)="-"),VALUE(MID(C1762,6,2)),IF(AND(LEN(C1762)=11,MID(C1762,3,1)="-",MID(C1762,7,1)="-"),MATCH(UPPER(MID(C1762,4,3)),Guide!$D$7:$D$18,0),0)),0)</f>
        <v>1</v>
      </c>
      <c r="F1762" s="1">
        <f t="shared" si="217"/>
        <v>20</v>
      </c>
      <c r="G1762" s="9">
        <f t="shared" si="218"/>
        <v>46042</v>
      </c>
      <c r="H1762" s="1" t="str">
        <f>IF(Raw!D1762="","",Raw!D1762)</f>
        <v>P-A</v>
      </c>
      <c r="I1762" s="1" t="str">
        <f>IFERROR(IF(EXACT(H1762,INDEX(Guide!$A$7:$A$9,MATCH(SUBSTITUTE(SUBSTITUTE(SUBSTITUTE(H1762,"~","~~"),"*","~*"),"?","~?"),Guide!$A$7:$A$9,0))),INDEX(Guide!$B$7:$B$9,MATCH(SUBSTITUTE(SUBSTITUTE(SUBSTITUTE(H1762,"~","~~"),"*","~*"),"?","~?"),Guide!$A$7:$A$9,0)),""),"")</f>
        <v>Accessories</v>
      </c>
      <c r="J1762" s="1" t="str">
        <f>IF(TRIM(Raw!E1762)="",I1762,IF(UPPER(TRIM(Raw!E1762))=UPPER(I1762),I1762,""))</f>
        <v>Accessories</v>
      </c>
      <c r="K1762" s="1" t="str">
        <f>IF(Raw!F1762="","",Raw!F1762)</f>
        <v>sale</v>
      </c>
      <c r="L1762" s="1" t="str">
        <f>IF(LEFT(TRIM(Raw!G1762),2)="-$","-"&amp;MID(TRIM(Raw!G1762),3,99),IF(LEFT(TRIM(Raw!G1762),1)="$",MID(TRIM(Raw!G1762),2,99),TRIM(Raw!G1762)))</f>
        <v>54.34</v>
      </c>
      <c r="M1762" s="1">
        <f t="shared" si="219"/>
        <v>54.34</v>
      </c>
      <c r="N1762" s="10">
        <f t="shared" si="220"/>
        <v>5434</v>
      </c>
      <c r="O1762" s="1" t="b">
        <f>IFERROR(IF(ISNUMBER(Raw!G1762),TRUE,OR(EXACT(L1762,TEXT(M1762,"0.00")),EXACT(L1762,TEXT(M1762,"#,##0.00")))),FALSE)</f>
        <v>1</v>
      </c>
      <c r="P1762" s="1" t="str">
        <f>LEN(IF(Raw!A1762="","",Raw!A1762))&amp;":"&amp;IF(Raw!A1762="","",Raw!A1762)&amp;"|"&amp;LEN(IF(Raw!B1762="","",Raw!B1762))&amp;":"&amp;IF(Raw!B1762="","",Raw!B1762)&amp;"|"&amp;LEN(IF(Raw!C1762="","",Raw!C1762))&amp;":"&amp;IF(Raw!C1762="","",Raw!C1762)&amp;"|"&amp;LEN(IF(Raw!D1762="","",Raw!D1762))&amp;":"&amp;IF(Raw!D1762="","",Raw!D1762)&amp;"|"&amp;LEN(IF(Raw!E1762="","",Raw!E1762))&amp;":"&amp;IF(Raw!E1762="","",Raw!E1762)&amp;"|"&amp;LEN(IF(Raw!F1762="","",Raw!F1762))&amp;":"&amp;IF(Raw!F1762="","",Raw!F1762)&amp;"|"&amp;LEN(IF(Raw!G1762="","",Raw!G1762))&amp;":"&amp;IF(Raw!G1762="","",Raw!G1762)</f>
        <v>6:L01756|6:T00878|10:2026-01-20|3:P-A|11:Accessories|4:sale|5:54.34</v>
      </c>
      <c r="Q1762" s="1">
        <f>1</f>
        <v>1</v>
      </c>
      <c r="R1762" s="1" t="b">
        <f>FALSE</f>
        <v>0</v>
      </c>
      <c r="S1762" s="1">
        <f>1</f>
        <v>1</v>
      </c>
      <c r="T1762" s="1" t="str">
        <f>IF(AND(Raw!A1762="",Raw!B1762="",Raw!C1762="",Raw!D1762="",Raw!E1762="",Raw!F1762="",Raw!G1762=""),"UNUSED",IF(A1762="","missing line ID",IF(B1762="","missing transaction ID",IF(G1762="",IF(C1762="","missing date","invalid date"),IF(I1762="","unknown product",IF(J1762="","conflicting category",IF(NOT(OR(EXACT(K1762,"sale"),EXACT(K1762,"refund"))),"unknown event",IF(OR(N1762="",NOT(O1762)),"invalid amount",IF(OR(AND(K1762="sale",N1762&lt;=0),AND(K1762="refund",N1762&gt;=0)),"invalid sign","")))))))))</f>
        <v/>
      </c>
      <c r="U1762" s="1" t="str">
        <f t="shared" si="221"/>
        <v>INCLUDED</v>
      </c>
      <c r="V1762" s="1" t="str">
        <f t="shared" si="222"/>
        <v>2026-01</v>
      </c>
      <c r="W1762" s="1">
        <f>IF(AND(U1762="INCLUDED",X1762&gt;0,EXACT(A1762,'AI output'!A1762)),1,0)</f>
        <v>1</v>
      </c>
      <c r="X1762" s="1">
        <f>1762</f>
        <v>1762</v>
      </c>
      <c r="Y1762" s="1">
        <f>IF(AND(U1762="INCLUDED",W1762=1),--(NOT(EXACT(A1762,'AI output'!A1762)))+--(NOT(EXACT(B1762,'AI output'!B1762)))+--(NOT(EXACT(TEXT(G1762,"yyyy-mm-dd"),'AI output'!C1762)))+--(NOT(EXACT(H1762,'AI output'!D1762)))+--(NOT(EXACT(J1762,'AI output'!E1762)))+--(NOT(EXACT(K1762,'AI output'!F1762)))+--(N1762&lt;&gt;'AI output'!L1762)+--(NOT('AI output'!M1762)),0)</f>
        <v>0</v>
      </c>
      <c r="Z1762" s="1">
        <f t="shared" si="223"/>
        <v>0</v>
      </c>
      <c r="AA1762" s="1">
        <f>--EXACT(A1762,"L01756")</f>
        <v>1</v>
      </c>
    </row>
    <row r="1763" spans="1:27" ht="18.95" customHeight="1">
      <c r="A1763" s="1" t="str">
        <f>IF(Raw!A1763="","",Raw!A1763)</f>
        <v>L01757</v>
      </c>
      <c r="B1763" s="1" t="str">
        <f>IF(Raw!B1763="","",Raw!B1763)</f>
        <v>T00879</v>
      </c>
      <c r="C1763" s="1" t="str">
        <f>IF(Raw!C1763="","",Raw!C1763)</f>
        <v>2026-01-27</v>
      </c>
      <c r="D1763" s="1">
        <f t="shared" si="216"/>
        <v>2026</v>
      </c>
      <c r="E1763" s="1">
        <f>IFERROR(IF(AND(LEN(C1763)=10,MID(C1763,5,1)="-",MID(C1763,8,1)="-"),VALUE(MID(C1763,6,2)),IF(AND(LEN(C1763)=11,MID(C1763,3,1)="-",MID(C1763,7,1)="-"),MATCH(UPPER(MID(C1763,4,3)),Guide!$D$7:$D$18,0),0)),0)</f>
        <v>1</v>
      </c>
      <c r="F1763" s="1">
        <f t="shared" si="217"/>
        <v>27</v>
      </c>
      <c r="G1763" s="9">
        <f t="shared" si="218"/>
        <v>46049</v>
      </c>
      <c r="H1763" s="1" t="str">
        <f>IF(Raw!D1763="","",Raw!D1763)</f>
        <v>P-H</v>
      </c>
      <c r="I1763" s="1" t="str">
        <f>IFERROR(IF(EXACT(H1763,INDEX(Guide!$A$7:$A$9,MATCH(SUBSTITUTE(SUBSTITUTE(SUBSTITUTE(H1763,"~","~~"),"*","~*"),"?","~?"),Guide!$A$7:$A$9,0))),INDEX(Guide!$B$7:$B$9,MATCH(SUBSTITUTE(SUBSTITUTE(SUBSTITUTE(H1763,"~","~~"),"*","~*"),"?","~?"),Guide!$A$7:$A$9,0)),""),"")</f>
        <v>Home</v>
      </c>
      <c r="J1763" s="1" t="str">
        <f>IF(TRIM(Raw!E1763)="",I1763,IF(UPPER(TRIM(Raw!E1763))=UPPER(I1763),I1763,""))</f>
        <v>Home</v>
      </c>
      <c r="K1763" s="1" t="str">
        <f>IF(Raw!F1763="","",Raw!F1763)</f>
        <v>sale</v>
      </c>
      <c r="L1763" s="1" t="str">
        <f>IF(LEFT(TRIM(Raw!G1763),2)="-$","-"&amp;MID(TRIM(Raw!G1763),3,99),IF(LEFT(TRIM(Raw!G1763),1)="$",MID(TRIM(Raw!G1763),2,99),TRIM(Raw!G1763)))</f>
        <v>164.13</v>
      </c>
      <c r="M1763" s="1">
        <f t="shared" si="219"/>
        <v>164.13</v>
      </c>
      <c r="N1763" s="10">
        <f t="shared" si="220"/>
        <v>16413</v>
      </c>
      <c r="O1763" s="1" t="b">
        <f>IFERROR(IF(ISNUMBER(Raw!G1763),TRUE,OR(EXACT(L1763,TEXT(M1763,"0.00")),EXACT(L1763,TEXT(M1763,"#,##0.00")))),FALSE)</f>
        <v>1</v>
      </c>
      <c r="P1763" s="1" t="str">
        <f>LEN(IF(Raw!A1763="","",Raw!A1763))&amp;":"&amp;IF(Raw!A1763="","",Raw!A1763)&amp;"|"&amp;LEN(IF(Raw!B1763="","",Raw!B1763))&amp;":"&amp;IF(Raw!B1763="","",Raw!B1763)&amp;"|"&amp;LEN(IF(Raw!C1763="","",Raw!C1763))&amp;":"&amp;IF(Raw!C1763="","",Raw!C1763)&amp;"|"&amp;LEN(IF(Raw!D1763="","",Raw!D1763))&amp;":"&amp;IF(Raw!D1763="","",Raw!D1763)&amp;"|"&amp;LEN(IF(Raw!E1763="","",Raw!E1763))&amp;":"&amp;IF(Raw!E1763="","",Raw!E1763)&amp;"|"&amp;LEN(IF(Raw!F1763="","",Raw!F1763))&amp;":"&amp;IF(Raw!F1763="","",Raw!F1763)&amp;"|"&amp;LEN(IF(Raw!G1763="","",Raw!G1763))&amp;":"&amp;IF(Raw!G1763="","",Raw!G1763)</f>
        <v>6:L01757|6:T00879|10:2026-01-27|3:P-H|4:Home|4:sale|6:164.13</v>
      </c>
      <c r="Q1763" s="1">
        <f>1</f>
        <v>1</v>
      </c>
      <c r="R1763" s="1" t="b">
        <f>FALSE</f>
        <v>0</v>
      </c>
      <c r="S1763" s="1">
        <f>1</f>
        <v>1</v>
      </c>
      <c r="T1763" s="1" t="str">
        <f>IF(AND(Raw!A1763="",Raw!B1763="",Raw!C1763="",Raw!D1763="",Raw!E1763="",Raw!F1763="",Raw!G1763=""),"UNUSED",IF(A1763="","missing line ID",IF(B1763="","missing transaction ID",IF(G1763="",IF(C1763="","missing date","invalid date"),IF(I1763="","unknown product",IF(J1763="","conflicting category",IF(NOT(OR(EXACT(K1763,"sale"),EXACT(K1763,"refund"))),"unknown event",IF(OR(N1763="",NOT(O1763)),"invalid amount",IF(OR(AND(K1763="sale",N1763&lt;=0),AND(K1763="refund",N1763&gt;=0)),"invalid sign","")))))))))</f>
        <v/>
      </c>
      <c r="U1763" s="1" t="str">
        <f t="shared" si="221"/>
        <v>INCLUDED</v>
      </c>
      <c r="V1763" s="1" t="str">
        <f t="shared" si="222"/>
        <v>2026-01</v>
      </c>
      <c r="W1763" s="1">
        <f>IF(AND(U1763="INCLUDED",X1763&gt;0,EXACT(A1763,'AI output'!A1763)),1,0)</f>
        <v>1</v>
      </c>
      <c r="X1763" s="1">
        <f>1763</f>
        <v>1763</v>
      </c>
      <c r="Y1763" s="1">
        <f>IF(AND(U1763="INCLUDED",W1763=1),--(NOT(EXACT(A1763,'AI output'!A1763)))+--(NOT(EXACT(B1763,'AI output'!B1763)))+--(NOT(EXACT(TEXT(G1763,"yyyy-mm-dd"),'AI output'!C1763)))+--(NOT(EXACT(H1763,'AI output'!D1763)))+--(NOT(EXACT(J1763,'AI output'!E1763)))+--(NOT(EXACT(K1763,'AI output'!F1763)))+--(N1763&lt;&gt;'AI output'!L1763)+--(NOT('AI output'!M1763)),0)</f>
        <v>0</v>
      </c>
      <c r="Z1763" s="1">
        <f t="shared" si="223"/>
        <v>0</v>
      </c>
      <c r="AA1763" s="1">
        <f>--EXACT(A1763,"L01757")</f>
        <v>1</v>
      </c>
    </row>
    <row r="1764" spans="1:27" ht="18.95" customHeight="1">
      <c r="A1764" s="1" t="str">
        <f>IF(Raw!A1764="","",Raw!A1764)</f>
        <v>L01758</v>
      </c>
      <c r="B1764" s="1" t="str">
        <f>IF(Raw!B1764="","",Raw!B1764)</f>
        <v>T00879</v>
      </c>
      <c r="C1764" s="1" t="str">
        <f>IF(Raw!C1764="","",Raw!C1764)</f>
        <v>2026-01-27</v>
      </c>
      <c r="D1764" s="1">
        <f t="shared" si="216"/>
        <v>2026</v>
      </c>
      <c r="E1764" s="1">
        <f>IFERROR(IF(AND(LEN(C1764)=10,MID(C1764,5,1)="-",MID(C1764,8,1)="-"),VALUE(MID(C1764,6,2)),IF(AND(LEN(C1764)=11,MID(C1764,3,1)="-",MID(C1764,7,1)="-"),MATCH(UPPER(MID(C1764,4,3)),Guide!$D$7:$D$18,0),0)),0)</f>
        <v>1</v>
      </c>
      <c r="F1764" s="1">
        <f t="shared" si="217"/>
        <v>27</v>
      </c>
      <c r="G1764" s="9">
        <f t="shared" si="218"/>
        <v>46049</v>
      </c>
      <c r="H1764" s="1" t="str">
        <f>IF(Raw!D1764="","",Raw!D1764)</f>
        <v>P-O</v>
      </c>
      <c r="I1764" s="1" t="str">
        <f>IFERROR(IF(EXACT(H1764,INDEX(Guide!$A$7:$A$9,MATCH(SUBSTITUTE(SUBSTITUTE(SUBSTITUTE(H1764,"~","~~"),"*","~*"),"?","~?"),Guide!$A$7:$A$9,0))),INDEX(Guide!$B$7:$B$9,MATCH(SUBSTITUTE(SUBSTITUTE(SUBSTITUTE(H1764,"~","~~"),"*","~*"),"?","~?"),Guide!$A$7:$A$9,0)),""),"")</f>
        <v>Office</v>
      </c>
      <c r="J1764" s="1" t="str">
        <f>IF(TRIM(Raw!E1764)="",I1764,IF(UPPER(TRIM(Raw!E1764))=UPPER(I1764),I1764,""))</f>
        <v>Office</v>
      </c>
      <c r="K1764" s="1" t="str">
        <f>IF(Raw!F1764="","",Raw!F1764)</f>
        <v>sale</v>
      </c>
      <c r="L1764" s="1" t="str">
        <f>IF(LEFT(TRIM(Raw!G1764),2)="-$","-"&amp;MID(TRIM(Raw!G1764),3,99),IF(LEFT(TRIM(Raw!G1764),1)="$",MID(TRIM(Raw!G1764),2,99),TRIM(Raw!G1764)))</f>
        <v>275.40</v>
      </c>
      <c r="M1764" s="1">
        <f t="shared" si="219"/>
        <v>275.39999999999998</v>
      </c>
      <c r="N1764" s="10">
        <f t="shared" si="220"/>
        <v>27540</v>
      </c>
      <c r="O1764" s="1" t="b">
        <f>IFERROR(IF(ISNUMBER(Raw!G1764),TRUE,OR(EXACT(L1764,TEXT(M1764,"0.00")),EXACT(L1764,TEXT(M1764,"#,##0.00")))),FALSE)</f>
        <v>1</v>
      </c>
      <c r="P1764" s="1" t="str">
        <f>LEN(IF(Raw!A1764="","",Raw!A1764))&amp;":"&amp;IF(Raw!A1764="","",Raw!A1764)&amp;"|"&amp;LEN(IF(Raw!B1764="","",Raw!B1764))&amp;":"&amp;IF(Raw!B1764="","",Raw!B1764)&amp;"|"&amp;LEN(IF(Raw!C1764="","",Raw!C1764))&amp;":"&amp;IF(Raw!C1764="","",Raw!C1764)&amp;"|"&amp;LEN(IF(Raw!D1764="","",Raw!D1764))&amp;":"&amp;IF(Raw!D1764="","",Raw!D1764)&amp;"|"&amp;LEN(IF(Raw!E1764="","",Raw!E1764))&amp;":"&amp;IF(Raw!E1764="","",Raw!E1764)&amp;"|"&amp;LEN(IF(Raw!F1764="","",Raw!F1764))&amp;":"&amp;IF(Raw!F1764="","",Raw!F1764)&amp;"|"&amp;LEN(IF(Raw!G1764="","",Raw!G1764))&amp;":"&amp;IF(Raw!G1764="","",Raw!G1764)</f>
        <v>6:L01758|6:T00879|10:2026-01-27|3:P-O|6:Office|4:sale|6:275.40</v>
      </c>
      <c r="Q1764" s="1">
        <f>1</f>
        <v>1</v>
      </c>
      <c r="R1764" s="1" t="b">
        <f>FALSE</f>
        <v>0</v>
      </c>
      <c r="S1764" s="1">
        <f>1</f>
        <v>1</v>
      </c>
      <c r="T1764" s="1" t="str">
        <f>IF(AND(Raw!A1764="",Raw!B1764="",Raw!C1764="",Raw!D1764="",Raw!E1764="",Raw!F1764="",Raw!G1764=""),"UNUSED",IF(A1764="","missing line ID",IF(B1764="","missing transaction ID",IF(G1764="",IF(C1764="","missing date","invalid date"),IF(I1764="","unknown product",IF(J1764="","conflicting category",IF(NOT(OR(EXACT(K1764,"sale"),EXACT(K1764,"refund"))),"unknown event",IF(OR(N1764="",NOT(O1764)),"invalid amount",IF(OR(AND(K1764="sale",N1764&lt;=0),AND(K1764="refund",N1764&gt;=0)),"invalid sign","")))))))))</f>
        <v/>
      </c>
      <c r="U1764" s="1" t="str">
        <f t="shared" si="221"/>
        <v>INCLUDED</v>
      </c>
      <c r="V1764" s="1" t="str">
        <f t="shared" si="222"/>
        <v>2026-01</v>
      </c>
      <c r="W1764" s="1">
        <f>IF(AND(U1764="INCLUDED",X1764&gt;0,EXACT(A1764,'AI output'!A1764)),1,0)</f>
        <v>1</v>
      </c>
      <c r="X1764" s="1">
        <f>1764</f>
        <v>1764</v>
      </c>
      <c r="Y1764" s="1">
        <f>IF(AND(U1764="INCLUDED",W1764=1),--(NOT(EXACT(A1764,'AI output'!A1764)))+--(NOT(EXACT(B1764,'AI output'!B1764)))+--(NOT(EXACT(TEXT(G1764,"yyyy-mm-dd"),'AI output'!C1764)))+--(NOT(EXACT(H1764,'AI output'!D1764)))+--(NOT(EXACT(J1764,'AI output'!E1764)))+--(NOT(EXACT(K1764,'AI output'!F1764)))+--(N1764&lt;&gt;'AI output'!L1764)+--(NOT('AI output'!M1764)),0)</f>
        <v>0</v>
      </c>
      <c r="Z1764" s="1">
        <f t="shared" si="223"/>
        <v>0</v>
      </c>
      <c r="AA1764" s="1">
        <f>--EXACT(A1764,"L01758")</f>
        <v>1</v>
      </c>
    </row>
    <row r="1765" spans="1:27" ht="18.95" customHeight="1">
      <c r="A1765" s="1" t="str">
        <f>IF(Raw!A1765="","",Raw!A1765)</f>
        <v>L01759</v>
      </c>
      <c r="B1765" s="1" t="str">
        <f>IF(Raw!B1765="","",Raw!B1765)</f>
        <v>T00880</v>
      </c>
      <c r="C1765" s="1" t="str">
        <f>IF(Raw!C1765="","",Raw!C1765)</f>
        <v>2026-02-03</v>
      </c>
      <c r="D1765" s="1">
        <f t="shared" si="216"/>
        <v>2026</v>
      </c>
      <c r="E1765" s="1">
        <f>IFERROR(IF(AND(LEN(C1765)=10,MID(C1765,5,1)="-",MID(C1765,8,1)="-"),VALUE(MID(C1765,6,2)),IF(AND(LEN(C1765)=11,MID(C1765,3,1)="-",MID(C1765,7,1)="-"),MATCH(UPPER(MID(C1765,4,3)),Guide!$D$7:$D$18,0),0)),0)</f>
        <v>2</v>
      </c>
      <c r="F1765" s="1">
        <f t="shared" si="217"/>
        <v>3</v>
      </c>
      <c r="G1765" s="9">
        <f t="shared" si="218"/>
        <v>46056</v>
      </c>
      <c r="H1765" s="1" t="str">
        <f>IF(Raw!D1765="","",Raw!D1765)</f>
        <v>P-A</v>
      </c>
      <c r="I1765" s="1" t="str">
        <f>IFERROR(IF(EXACT(H1765,INDEX(Guide!$A$7:$A$9,MATCH(SUBSTITUTE(SUBSTITUTE(SUBSTITUTE(H1765,"~","~~"),"*","~*"),"?","~?"),Guide!$A$7:$A$9,0))),INDEX(Guide!$B$7:$B$9,MATCH(SUBSTITUTE(SUBSTITUTE(SUBSTITUTE(H1765,"~","~~"),"*","~*"),"?","~?"),Guide!$A$7:$A$9,0)),""),"")</f>
        <v>Accessories</v>
      </c>
      <c r="J1765" s="1" t="str">
        <f>IF(TRIM(Raw!E1765)="",I1765,IF(UPPER(TRIM(Raw!E1765))=UPPER(I1765),I1765,""))</f>
        <v>Accessories</v>
      </c>
      <c r="K1765" s="1" t="str">
        <f>IF(Raw!F1765="","",Raw!F1765)</f>
        <v>sale</v>
      </c>
      <c r="L1765" s="1" t="str">
        <f>IF(LEFT(TRIM(Raw!G1765),2)="-$","-"&amp;MID(TRIM(Raw!G1765),3,99),IF(LEFT(TRIM(Raw!G1765),1)="$",MID(TRIM(Raw!G1765),2,99),TRIM(Raw!G1765)))</f>
        <v>110.90</v>
      </c>
      <c r="M1765" s="1">
        <f t="shared" si="219"/>
        <v>110.9</v>
      </c>
      <c r="N1765" s="10">
        <f t="shared" si="220"/>
        <v>11090</v>
      </c>
      <c r="O1765" s="1" t="b">
        <f>IFERROR(IF(ISNUMBER(Raw!G1765),TRUE,OR(EXACT(L1765,TEXT(M1765,"0.00")),EXACT(L1765,TEXT(M1765,"#,##0.00")))),FALSE)</f>
        <v>1</v>
      </c>
      <c r="P1765" s="1" t="str">
        <f>LEN(IF(Raw!A1765="","",Raw!A1765))&amp;":"&amp;IF(Raw!A1765="","",Raw!A1765)&amp;"|"&amp;LEN(IF(Raw!B1765="","",Raw!B1765))&amp;":"&amp;IF(Raw!B1765="","",Raw!B1765)&amp;"|"&amp;LEN(IF(Raw!C1765="","",Raw!C1765))&amp;":"&amp;IF(Raw!C1765="","",Raw!C1765)&amp;"|"&amp;LEN(IF(Raw!D1765="","",Raw!D1765))&amp;":"&amp;IF(Raw!D1765="","",Raw!D1765)&amp;"|"&amp;LEN(IF(Raw!E1765="","",Raw!E1765))&amp;":"&amp;IF(Raw!E1765="","",Raw!E1765)&amp;"|"&amp;LEN(IF(Raw!F1765="","",Raw!F1765))&amp;":"&amp;IF(Raw!F1765="","",Raw!F1765)&amp;"|"&amp;LEN(IF(Raw!G1765="","",Raw!G1765))&amp;":"&amp;IF(Raw!G1765="","",Raw!G1765)</f>
        <v>6:L01759|6:T00880|10:2026-02-03|3:P-A|11:Accessories|4:sale|6:110.90</v>
      </c>
      <c r="Q1765" s="1">
        <f>1</f>
        <v>1</v>
      </c>
      <c r="R1765" s="1" t="b">
        <f>FALSE</f>
        <v>0</v>
      </c>
      <c r="S1765" s="1">
        <f>1</f>
        <v>1</v>
      </c>
      <c r="T1765" s="1" t="str">
        <f>IF(AND(Raw!A1765="",Raw!B1765="",Raw!C1765="",Raw!D1765="",Raw!E1765="",Raw!F1765="",Raw!G1765=""),"UNUSED",IF(A1765="","missing line ID",IF(B1765="","missing transaction ID",IF(G1765="",IF(C1765="","missing date","invalid date"),IF(I1765="","unknown product",IF(J1765="","conflicting category",IF(NOT(OR(EXACT(K1765,"sale"),EXACT(K1765,"refund"))),"unknown event",IF(OR(N1765="",NOT(O1765)),"invalid amount",IF(OR(AND(K1765="sale",N1765&lt;=0),AND(K1765="refund",N1765&gt;=0)),"invalid sign","")))))))))</f>
        <v/>
      </c>
      <c r="U1765" s="1" t="str">
        <f t="shared" si="221"/>
        <v>INCLUDED</v>
      </c>
      <c r="V1765" s="1" t="str">
        <f t="shared" si="222"/>
        <v>2026-02</v>
      </c>
      <c r="W1765" s="1">
        <f>IF(AND(U1765="INCLUDED",X1765&gt;0,EXACT(A1765,'AI output'!A1765)),1,0)</f>
        <v>1</v>
      </c>
      <c r="X1765" s="1">
        <f>1765</f>
        <v>1765</v>
      </c>
      <c r="Y1765" s="1">
        <f>IF(AND(U1765="INCLUDED",W1765=1),--(NOT(EXACT(A1765,'AI output'!A1765)))+--(NOT(EXACT(B1765,'AI output'!B1765)))+--(NOT(EXACT(TEXT(G1765,"yyyy-mm-dd"),'AI output'!C1765)))+--(NOT(EXACT(H1765,'AI output'!D1765)))+--(NOT(EXACT(J1765,'AI output'!E1765)))+--(NOT(EXACT(K1765,'AI output'!F1765)))+--(N1765&lt;&gt;'AI output'!L1765)+--(NOT('AI output'!M1765)),0)</f>
        <v>0</v>
      </c>
      <c r="Z1765" s="1">
        <f t="shared" si="223"/>
        <v>0</v>
      </c>
      <c r="AA1765" s="1">
        <f>--EXACT(A1765,"L01759")</f>
        <v>1</v>
      </c>
    </row>
    <row r="1766" spans="1:27" ht="18.95" customHeight="1">
      <c r="A1766" s="1" t="str">
        <f>IF(Raw!A1766="","",Raw!A1766)</f>
        <v>L01760</v>
      </c>
      <c r="B1766" s="1" t="str">
        <f>IF(Raw!B1766="","",Raw!B1766)</f>
        <v>T00880</v>
      </c>
      <c r="C1766" s="1" t="str">
        <f>IF(Raw!C1766="","",Raw!C1766)</f>
        <v>2026-02-03</v>
      </c>
      <c r="D1766" s="1">
        <f t="shared" si="216"/>
        <v>2026</v>
      </c>
      <c r="E1766" s="1">
        <f>IFERROR(IF(AND(LEN(C1766)=10,MID(C1766,5,1)="-",MID(C1766,8,1)="-"),VALUE(MID(C1766,6,2)),IF(AND(LEN(C1766)=11,MID(C1766,3,1)="-",MID(C1766,7,1)="-"),MATCH(UPPER(MID(C1766,4,3)),Guide!$D$7:$D$18,0),0)),0)</f>
        <v>2</v>
      </c>
      <c r="F1766" s="1">
        <f t="shared" si="217"/>
        <v>3</v>
      </c>
      <c r="G1766" s="9">
        <f t="shared" si="218"/>
        <v>46056</v>
      </c>
      <c r="H1766" s="1" t="str">
        <f>IF(Raw!D1766="","",Raw!D1766)</f>
        <v>P-H</v>
      </c>
      <c r="I1766" s="1" t="str">
        <f>IFERROR(IF(EXACT(H1766,INDEX(Guide!$A$7:$A$9,MATCH(SUBSTITUTE(SUBSTITUTE(SUBSTITUTE(H1766,"~","~~"),"*","~*"),"?","~?"),Guide!$A$7:$A$9,0))),INDEX(Guide!$B$7:$B$9,MATCH(SUBSTITUTE(SUBSTITUTE(SUBSTITUTE(H1766,"~","~~"),"*","~*"),"?","~?"),Guide!$A$7:$A$9,0)),""),"")</f>
        <v>Home</v>
      </c>
      <c r="J1766" s="1" t="str">
        <f>IF(TRIM(Raw!E1766)="",I1766,IF(UPPER(TRIM(Raw!E1766))=UPPER(I1766),I1766,""))</f>
        <v>Home</v>
      </c>
      <c r="K1766" s="1" t="str">
        <f>IF(Raw!F1766="","",Raw!F1766)</f>
        <v>sale</v>
      </c>
      <c r="L1766" s="1" t="str">
        <f>IF(LEFT(TRIM(Raw!G1766),2)="-$","-"&amp;MID(TRIM(Raw!G1766),3,99),IF(LEFT(TRIM(Raw!G1766),1)="$",MID(TRIM(Raw!G1766),2,99),TRIM(Raw!G1766)))</f>
        <v>223.28</v>
      </c>
      <c r="M1766" s="1">
        <f t="shared" si="219"/>
        <v>223.28</v>
      </c>
      <c r="N1766" s="10">
        <f t="shared" si="220"/>
        <v>22328</v>
      </c>
      <c r="O1766" s="1" t="b">
        <f>IFERROR(IF(ISNUMBER(Raw!G1766),TRUE,OR(EXACT(L1766,TEXT(M1766,"0.00")),EXACT(L1766,TEXT(M1766,"#,##0.00")))),FALSE)</f>
        <v>1</v>
      </c>
      <c r="P1766" s="1" t="str">
        <f>LEN(IF(Raw!A1766="","",Raw!A1766))&amp;":"&amp;IF(Raw!A1766="","",Raw!A1766)&amp;"|"&amp;LEN(IF(Raw!B1766="","",Raw!B1766))&amp;":"&amp;IF(Raw!B1766="","",Raw!B1766)&amp;"|"&amp;LEN(IF(Raw!C1766="","",Raw!C1766))&amp;":"&amp;IF(Raw!C1766="","",Raw!C1766)&amp;"|"&amp;LEN(IF(Raw!D1766="","",Raw!D1766))&amp;":"&amp;IF(Raw!D1766="","",Raw!D1766)&amp;"|"&amp;LEN(IF(Raw!E1766="","",Raw!E1766))&amp;":"&amp;IF(Raw!E1766="","",Raw!E1766)&amp;"|"&amp;LEN(IF(Raw!F1766="","",Raw!F1766))&amp;":"&amp;IF(Raw!F1766="","",Raw!F1766)&amp;"|"&amp;LEN(IF(Raw!G1766="","",Raw!G1766))&amp;":"&amp;IF(Raw!G1766="","",Raw!G1766)</f>
        <v>6:L01760|6:T00880|10:2026-02-03|3:P-H|4:Home|4:sale|6:223.28</v>
      </c>
      <c r="Q1766" s="1">
        <f>1</f>
        <v>1</v>
      </c>
      <c r="R1766" s="1" t="b">
        <f>FALSE</f>
        <v>0</v>
      </c>
      <c r="S1766" s="1">
        <f>1</f>
        <v>1</v>
      </c>
      <c r="T1766" s="1" t="str">
        <f>IF(AND(Raw!A1766="",Raw!B1766="",Raw!C1766="",Raw!D1766="",Raw!E1766="",Raw!F1766="",Raw!G1766=""),"UNUSED",IF(A1766="","missing line ID",IF(B1766="","missing transaction ID",IF(G1766="",IF(C1766="","missing date","invalid date"),IF(I1766="","unknown product",IF(J1766="","conflicting category",IF(NOT(OR(EXACT(K1766,"sale"),EXACT(K1766,"refund"))),"unknown event",IF(OR(N1766="",NOT(O1766)),"invalid amount",IF(OR(AND(K1766="sale",N1766&lt;=0),AND(K1766="refund",N1766&gt;=0)),"invalid sign","")))))))))</f>
        <v/>
      </c>
      <c r="U1766" s="1" t="str">
        <f t="shared" si="221"/>
        <v>INCLUDED</v>
      </c>
      <c r="V1766" s="1" t="str">
        <f t="shared" si="222"/>
        <v>2026-02</v>
      </c>
      <c r="W1766" s="1">
        <f>IF(AND(U1766="INCLUDED",X1766&gt;0,EXACT(A1766,'AI output'!A1766)),1,0)</f>
        <v>1</v>
      </c>
      <c r="X1766" s="1">
        <f>1766</f>
        <v>1766</v>
      </c>
      <c r="Y1766" s="1">
        <f>IF(AND(U1766="INCLUDED",W1766=1),--(NOT(EXACT(A1766,'AI output'!A1766)))+--(NOT(EXACT(B1766,'AI output'!B1766)))+--(NOT(EXACT(TEXT(G1766,"yyyy-mm-dd"),'AI output'!C1766)))+--(NOT(EXACT(H1766,'AI output'!D1766)))+--(NOT(EXACT(J1766,'AI output'!E1766)))+--(NOT(EXACT(K1766,'AI output'!F1766)))+--(N1766&lt;&gt;'AI output'!L1766)+--(NOT('AI output'!M1766)),0)</f>
        <v>0</v>
      </c>
      <c r="Z1766" s="1">
        <f t="shared" si="223"/>
        <v>0</v>
      </c>
      <c r="AA1766" s="1">
        <f>--EXACT(A1766,"L01760")</f>
        <v>1</v>
      </c>
    </row>
    <row r="1767" spans="1:27" ht="18.95" customHeight="1">
      <c r="A1767" s="1" t="str">
        <f>IF(Raw!A1767="","",Raw!A1767)</f>
        <v>L01761</v>
      </c>
      <c r="B1767" s="1" t="str">
        <f>IF(Raw!B1767="","",Raw!B1767)</f>
        <v>T00881</v>
      </c>
      <c r="C1767" s="1" t="str">
        <f>IF(Raw!C1767="","",Raw!C1767)</f>
        <v>2026-02-10</v>
      </c>
      <c r="D1767" s="1">
        <f t="shared" si="216"/>
        <v>2026</v>
      </c>
      <c r="E1767" s="1">
        <f>IFERROR(IF(AND(LEN(C1767)=10,MID(C1767,5,1)="-",MID(C1767,8,1)="-"),VALUE(MID(C1767,6,2)),IF(AND(LEN(C1767)=11,MID(C1767,3,1)="-",MID(C1767,7,1)="-"),MATCH(UPPER(MID(C1767,4,3)),Guide!$D$7:$D$18,0),0)),0)</f>
        <v>2</v>
      </c>
      <c r="F1767" s="1">
        <f t="shared" si="217"/>
        <v>10</v>
      </c>
      <c r="G1767" s="9">
        <f t="shared" si="218"/>
        <v>46063</v>
      </c>
      <c r="H1767" s="1" t="str">
        <f>IF(Raw!D1767="","",Raw!D1767)</f>
        <v>P-O</v>
      </c>
      <c r="I1767" s="1" t="str">
        <f>IFERROR(IF(EXACT(H1767,INDEX(Guide!$A$7:$A$9,MATCH(SUBSTITUTE(SUBSTITUTE(SUBSTITUTE(H1767,"~","~~"),"*","~*"),"?","~?"),Guide!$A$7:$A$9,0))),INDEX(Guide!$B$7:$B$9,MATCH(SUBSTITUTE(SUBSTITUTE(SUBSTITUTE(H1767,"~","~~"),"*","~*"),"?","~?"),Guide!$A$7:$A$9,0)),""),"")</f>
        <v>Office</v>
      </c>
      <c r="J1767" s="1" t="str">
        <f>IF(TRIM(Raw!E1767)="",I1767,IF(UPPER(TRIM(Raw!E1767))=UPPER(I1767),I1767,""))</f>
        <v>Office</v>
      </c>
      <c r="K1767" s="1" t="str">
        <f>IF(Raw!F1767="","",Raw!F1767)</f>
        <v>sale</v>
      </c>
      <c r="L1767" s="1" t="str">
        <f>IF(LEFT(TRIM(Raw!G1767),2)="-$","-"&amp;MID(TRIM(Raw!G1767),3,99),IF(LEFT(TRIM(Raw!G1767),1)="$",MID(TRIM(Raw!G1767),2,99),TRIM(Raw!G1767)))</f>
        <v>56.19</v>
      </c>
      <c r="M1767" s="1">
        <f t="shared" si="219"/>
        <v>56.19</v>
      </c>
      <c r="N1767" s="10">
        <f t="shared" si="220"/>
        <v>5619</v>
      </c>
      <c r="O1767" s="1" t="b">
        <f>IFERROR(IF(ISNUMBER(Raw!G1767),TRUE,OR(EXACT(L1767,TEXT(M1767,"0.00")),EXACT(L1767,TEXT(M1767,"#,##0.00")))),FALSE)</f>
        <v>1</v>
      </c>
      <c r="P1767" s="1" t="str">
        <f>LEN(IF(Raw!A1767="","",Raw!A1767))&amp;":"&amp;IF(Raw!A1767="","",Raw!A1767)&amp;"|"&amp;LEN(IF(Raw!B1767="","",Raw!B1767))&amp;":"&amp;IF(Raw!B1767="","",Raw!B1767)&amp;"|"&amp;LEN(IF(Raw!C1767="","",Raw!C1767))&amp;":"&amp;IF(Raw!C1767="","",Raw!C1767)&amp;"|"&amp;LEN(IF(Raw!D1767="","",Raw!D1767))&amp;":"&amp;IF(Raw!D1767="","",Raw!D1767)&amp;"|"&amp;LEN(IF(Raw!E1767="","",Raw!E1767))&amp;":"&amp;IF(Raw!E1767="","",Raw!E1767)&amp;"|"&amp;LEN(IF(Raw!F1767="","",Raw!F1767))&amp;":"&amp;IF(Raw!F1767="","",Raw!F1767)&amp;"|"&amp;LEN(IF(Raw!G1767="","",Raw!G1767))&amp;":"&amp;IF(Raw!G1767="","",Raw!G1767)</f>
        <v>6:L01761|6:T00881|10:2026-02-10|3:P-O|6:Office|4:sale|5:56.19</v>
      </c>
      <c r="Q1767" s="1">
        <f>1</f>
        <v>1</v>
      </c>
      <c r="R1767" s="1" t="b">
        <f>FALSE</f>
        <v>0</v>
      </c>
      <c r="S1767" s="1">
        <f>1</f>
        <v>1</v>
      </c>
      <c r="T1767" s="1" t="str">
        <f>IF(AND(Raw!A1767="",Raw!B1767="",Raw!C1767="",Raw!D1767="",Raw!E1767="",Raw!F1767="",Raw!G1767=""),"UNUSED",IF(A1767="","missing line ID",IF(B1767="","missing transaction ID",IF(G1767="",IF(C1767="","missing date","invalid date"),IF(I1767="","unknown product",IF(J1767="","conflicting category",IF(NOT(OR(EXACT(K1767,"sale"),EXACT(K1767,"refund"))),"unknown event",IF(OR(N1767="",NOT(O1767)),"invalid amount",IF(OR(AND(K1767="sale",N1767&lt;=0),AND(K1767="refund",N1767&gt;=0)),"invalid sign","")))))))))</f>
        <v/>
      </c>
      <c r="U1767" s="1" t="str">
        <f t="shared" si="221"/>
        <v>INCLUDED</v>
      </c>
      <c r="V1767" s="1" t="str">
        <f t="shared" si="222"/>
        <v>2026-02</v>
      </c>
      <c r="W1767" s="1">
        <f>IF(AND(U1767="INCLUDED",X1767&gt;0,EXACT(A1767,'AI output'!A1767)),1,0)</f>
        <v>1</v>
      </c>
      <c r="X1767" s="1">
        <f>1767</f>
        <v>1767</v>
      </c>
      <c r="Y1767" s="1">
        <f>IF(AND(U1767="INCLUDED",W1767=1),--(NOT(EXACT(A1767,'AI output'!A1767)))+--(NOT(EXACT(B1767,'AI output'!B1767)))+--(NOT(EXACT(TEXT(G1767,"yyyy-mm-dd"),'AI output'!C1767)))+--(NOT(EXACT(H1767,'AI output'!D1767)))+--(NOT(EXACT(J1767,'AI output'!E1767)))+--(NOT(EXACT(K1767,'AI output'!F1767)))+--(N1767&lt;&gt;'AI output'!L1767)+--(NOT('AI output'!M1767)),0)</f>
        <v>0</v>
      </c>
      <c r="Z1767" s="1">
        <f t="shared" si="223"/>
        <v>0</v>
      </c>
      <c r="AA1767" s="1">
        <f>--EXACT(A1767,"L01761")</f>
        <v>1</v>
      </c>
    </row>
    <row r="1768" spans="1:27" ht="18.95" customHeight="1">
      <c r="A1768" s="1" t="str">
        <f>IF(Raw!A1768="","",Raw!A1768)</f>
        <v>L01762</v>
      </c>
      <c r="B1768" s="1" t="str">
        <f>IF(Raw!B1768="","",Raw!B1768)</f>
        <v>T00881</v>
      </c>
      <c r="C1768" s="1" t="str">
        <f>IF(Raw!C1768="","",Raw!C1768)</f>
        <v>2026-02-10</v>
      </c>
      <c r="D1768" s="1">
        <f t="shared" si="216"/>
        <v>2026</v>
      </c>
      <c r="E1768" s="1">
        <f>IFERROR(IF(AND(LEN(C1768)=10,MID(C1768,5,1)="-",MID(C1768,8,1)="-"),VALUE(MID(C1768,6,2)),IF(AND(LEN(C1768)=11,MID(C1768,3,1)="-",MID(C1768,7,1)="-"),MATCH(UPPER(MID(C1768,4,3)),Guide!$D$7:$D$18,0),0)),0)</f>
        <v>2</v>
      </c>
      <c r="F1768" s="1">
        <f t="shared" si="217"/>
        <v>10</v>
      </c>
      <c r="G1768" s="9">
        <f t="shared" si="218"/>
        <v>46063</v>
      </c>
      <c r="H1768" s="1" t="str">
        <f>IF(Raw!D1768="","",Raw!D1768)</f>
        <v>P-A</v>
      </c>
      <c r="I1768" s="1" t="str">
        <f>IFERROR(IF(EXACT(H1768,INDEX(Guide!$A$7:$A$9,MATCH(SUBSTITUTE(SUBSTITUTE(SUBSTITUTE(H1768,"~","~~"),"*","~*"),"?","~?"),Guide!$A$7:$A$9,0))),INDEX(Guide!$B$7:$B$9,MATCH(SUBSTITUTE(SUBSTITUTE(SUBSTITUTE(H1768,"~","~~"),"*","~*"),"?","~?"),Guide!$A$7:$A$9,0)),""),"")</f>
        <v>Accessories</v>
      </c>
      <c r="J1768" s="1" t="str">
        <f>IF(TRIM(Raw!E1768)="",I1768,IF(UPPER(TRIM(Raw!E1768))=UPPER(I1768),I1768,""))</f>
        <v>Accessories</v>
      </c>
      <c r="K1768" s="1" t="str">
        <f>IF(Raw!F1768="","",Raw!F1768)</f>
        <v>sale</v>
      </c>
      <c r="L1768" s="1" t="str">
        <f>IF(LEFT(TRIM(Raw!G1768),2)="-$","-"&amp;MID(TRIM(Raw!G1768),3,99),IF(LEFT(TRIM(Raw!G1768),1)="$",MID(TRIM(Raw!G1768),2,99),TRIM(Raw!G1768)))</f>
        <v>169.68</v>
      </c>
      <c r="M1768" s="1">
        <f t="shared" si="219"/>
        <v>169.68</v>
      </c>
      <c r="N1768" s="10">
        <f t="shared" si="220"/>
        <v>16968</v>
      </c>
      <c r="O1768" s="1" t="b">
        <f>IFERROR(IF(ISNUMBER(Raw!G1768),TRUE,OR(EXACT(L1768,TEXT(M1768,"0.00")),EXACT(L1768,TEXT(M1768,"#,##0.00")))),FALSE)</f>
        <v>1</v>
      </c>
      <c r="P1768" s="1" t="str">
        <f>LEN(IF(Raw!A1768="","",Raw!A1768))&amp;":"&amp;IF(Raw!A1768="","",Raw!A1768)&amp;"|"&amp;LEN(IF(Raw!B1768="","",Raw!B1768))&amp;":"&amp;IF(Raw!B1768="","",Raw!B1768)&amp;"|"&amp;LEN(IF(Raw!C1768="","",Raw!C1768))&amp;":"&amp;IF(Raw!C1768="","",Raw!C1768)&amp;"|"&amp;LEN(IF(Raw!D1768="","",Raw!D1768))&amp;":"&amp;IF(Raw!D1768="","",Raw!D1768)&amp;"|"&amp;LEN(IF(Raw!E1768="","",Raw!E1768))&amp;":"&amp;IF(Raw!E1768="","",Raw!E1768)&amp;"|"&amp;LEN(IF(Raw!F1768="","",Raw!F1768))&amp;":"&amp;IF(Raw!F1768="","",Raw!F1768)&amp;"|"&amp;LEN(IF(Raw!G1768="","",Raw!G1768))&amp;":"&amp;IF(Raw!G1768="","",Raw!G1768)</f>
        <v>6:L01762|6:T00881|10:2026-02-10|3:P-A|11:Accessories|4:sale|6:169.68</v>
      </c>
      <c r="Q1768" s="1">
        <f>1</f>
        <v>1</v>
      </c>
      <c r="R1768" s="1" t="b">
        <f>FALSE</f>
        <v>0</v>
      </c>
      <c r="S1768" s="1">
        <f>1</f>
        <v>1</v>
      </c>
      <c r="T1768" s="1" t="str">
        <f>IF(AND(Raw!A1768="",Raw!B1768="",Raw!C1768="",Raw!D1768="",Raw!E1768="",Raw!F1768="",Raw!G1768=""),"UNUSED",IF(A1768="","missing line ID",IF(B1768="","missing transaction ID",IF(G1768="",IF(C1768="","missing date","invalid date"),IF(I1768="","unknown product",IF(J1768="","conflicting category",IF(NOT(OR(EXACT(K1768,"sale"),EXACT(K1768,"refund"))),"unknown event",IF(OR(N1768="",NOT(O1768)),"invalid amount",IF(OR(AND(K1768="sale",N1768&lt;=0),AND(K1768="refund",N1768&gt;=0)),"invalid sign","")))))))))</f>
        <v/>
      </c>
      <c r="U1768" s="1" t="str">
        <f t="shared" si="221"/>
        <v>INCLUDED</v>
      </c>
      <c r="V1768" s="1" t="str">
        <f t="shared" si="222"/>
        <v>2026-02</v>
      </c>
      <c r="W1768" s="1">
        <f>IF(AND(U1768="INCLUDED",X1768&gt;0,EXACT(A1768,'AI output'!A1768)),1,0)</f>
        <v>1</v>
      </c>
      <c r="X1768" s="1">
        <f>1768</f>
        <v>1768</v>
      </c>
      <c r="Y1768" s="1">
        <f>IF(AND(U1768="INCLUDED",W1768=1),--(NOT(EXACT(A1768,'AI output'!A1768)))+--(NOT(EXACT(B1768,'AI output'!B1768)))+--(NOT(EXACT(TEXT(G1768,"yyyy-mm-dd"),'AI output'!C1768)))+--(NOT(EXACT(H1768,'AI output'!D1768)))+--(NOT(EXACT(J1768,'AI output'!E1768)))+--(NOT(EXACT(K1768,'AI output'!F1768)))+--(N1768&lt;&gt;'AI output'!L1768)+--(NOT('AI output'!M1768)),0)</f>
        <v>0</v>
      </c>
      <c r="Z1768" s="1">
        <f t="shared" si="223"/>
        <v>0</v>
      </c>
      <c r="AA1768" s="1">
        <f>--EXACT(A1768,"L01762")</f>
        <v>1</v>
      </c>
    </row>
    <row r="1769" spans="1:27" ht="18.95" customHeight="1">
      <c r="A1769" s="1" t="str">
        <f>IF(Raw!A1769="","",Raw!A1769)</f>
        <v>L01763</v>
      </c>
      <c r="B1769" s="1" t="str">
        <f>IF(Raw!B1769="","",Raw!B1769)</f>
        <v>T00882</v>
      </c>
      <c r="C1769" s="1" t="str">
        <f>IF(Raw!C1769="","",Raw!C1769)</f>
        <v>2026-02-17</v>
      </c>
      <c r="D1769" s="1">
        <f t="shared" si="216"/>
        <v>2026</v>
      </c>
      <c r="E1769" s="1">
        <f>IFERROR(IF(AND(LEN(C1769)=10,MID(C1769,5,1)="-",MID(C1769,8,1)="-"),VALUE(MID(C1769,6,2)),IF(AND(LEN(C1769)=11,MID(C1769,3,1)="-",MID(C1769,7,1)="-"),MATCH(UPPER(MID(C1769,4,3)),Guide!$D$7:$D$18,0),0)),0)</f>
        <v>2</v>
      </c>
      <c r="F1769" s="1">
        <f t="shared" si="217"/>
        <v>17</v>
      </c>
      <c r="G1769" s="9">
        <f t="shared" si="218"/>
        <v>46070</v>
      </c>
      <c r="H1769" s="1" t="str">
        <f>IF(Raw!D1769="","",Raw!D1769)</f>
        <v>P-H</v>
      </c>
      <c r="I1769" s="1" t="str">
        <f>IFERROR(IF(EXACT(H1769,INDEX(Guide!$A$7:$A$9,MATCH(SUBSTITUTE(SUBSTITUTE(SUBSTITUTE(H1769,"~","~~"),"*","~*"),"?","~?"),Guide!$A$7:$A$9,0))),INDEX(Guide!$B$7:$B$9,MATCH(SUBSTITUTE(SUBSTITUTE(SUBSTITUTE(H1769,"~","~~"),"*","~*"),"?","~?"),Guide!$A$7:$A$9,0)),""),"")</f>
        <v>Home</v>
      </c>
      <c r="J1769" s="1" t="str">
        <f>IF(TRIM(Raw!E1769)="",I1769,IF(UPPER(TRIM(Raw!E1769))=UPPER(I1769),I1769,""))</f>
        <v>Home</v>
      </c>
      <c r="K1769" s="1" t="str">
        <f>IF(Raw!F1769="","",Raw!F1769)</f>
        <v>sale</v>
      </c>
      <c r="L1769" s="1" t="str">
        <f>IF(LEFT(TRIM(Raw!G1769),2)="-$","-"&amp;MID(TRIM(Raw!G1769),3,99),IF(LEFT(TRIM(Raw!G1769),1)="$",MID(TRIM(Raw!G1769),2,99),TRIM(Raw!G1769)))</f>
        <v>284.65</v>
      </c>
      <c r="M1769" s="1">
        <f t="shared" si="219"/>
        <v>284.64999999999998</v>
      </c>
      <c r="N1769" s="10">
        <f t="shared" si="220"/>
        <v>28465</v>
      </c>
      <c r="O1769" s="1" t="b">
        <f>IFERROR(IF(ISNUMBER(Raw!G1769),TRUE,OR(EXACT(L1769,TEXT(M1769,"0.00")),EXACT(L1769,TEXT(M1769,"#,##0.00")))),FALSE)</f>
        <v>1</v>
      </c>
      <c r="P1769" s="1" t="str">
        <f>LEN(IF(Raw!A1769="","",Raw!A1769))&amp;":"&amp;IF(Raw!A1769="","",Raw!A1769)&amp;"|"&amp;LEN(IF(Raw!B1769="","",Raw!B1769))&amp;":"&amp;IF(Raw!B1769="","",Raw!B1769)&amp;"|"&amp;LEN(IF(Raw!C1769="","",Raw!C1769))&amp;":"&amp;IF(Raw!C1769="","",Raw!C1769)&amp;"|"&amp;LEN(IF(Raw!D1769="","",Raw!D1769))&amp;":"&amp;IF(Raw!D1769="","",Raw!D1769)&amp;"|"&amp;LEN(IF(Raw!E1769="","",Raw!E1769))&amp;":"&amp;IF(Raw!E1769="","",Raw!E1769)&amp;"|"&amp;LEN(IF(Raw!F1769="","",Raw!F1769))&amp;":"&amp;IF(Raw!F1769="","",Raw!F1769)&amp;"|"&amp;LEN(IF(Raw!G1769="","",Raw!G1769))&amp;":"&amp;IF(Raw!G1769="","",Raw!G1769)</f>
        <v>6:L01763|6:T00882|10:2026-02-17|3:P-H|4:Home|4:sale|6:284.65</v>
      </c>
      <c r="Q1769" s="1">
        <f>1</f>
        <v>1</v>
      </c>
      <c r="R1769" s="1" t="b">
        <f>FALSE</f>
        <v>0</v>
      </c>
      <c r="S1769" s="1">
        <f>1</f>
        <v>1</v>
      </c>
      <c r="T1769" s="1" t="str">
        <f>IF(AND(Raw!A1769="",Raw!B1769="",Raw!C1769="",Raw!D1769="",Raw!E1769="",Raw!F1769="",Raw!G1769=""),"UNUSED",IF(A1769="","missing line ID",IF(B1769="","missing transaction ID",IF(G1769="",IF(C1769="","missing date","invalid date"),IF(I1769="","unknown product",IF(J1769="","conflicting category",IF(NOT(OR(EXACT(K1769,"sale"),EXACT(K1769,"refund"))),"unknown event",IF(OR(N1769="",NOT(O1769)),"invalid amount",IF(OR(AND(K1769="sale",N1769&lt;=0),AND(K1769="refund",N1769&gt;=0)),"invalid sign","")))))))))</f>
        <v/>
      </c>
      <c r="U1769" s="1" t="str">
        <f t="shared" si="221"/>
        <v>INCLUDED</v>
      </c>
      <c r="V1769" s="1" t="str">
        <f t="shared" si="222"/>
        <v>2026-02</v>
      </c>
      <c r="W1769" s="1">
        <f>IF(AND(U1769="INCLUDED",X1769&gt;0,EXACT(A1769,'AI output'!A1769)),1,0)</f>
        <v>1</v>
      </c>
      <c r="X1769" s="1">
        <f>1769</f>
        <v>1769</v>
      </c>
      <c r="Y1769" s="1">
        <f>IF(AND(U1769="INCLUDED",W1769=1),--(NOT(EXACT(A1769,'AI output'!A1769)))+--(NOT(EXACT(B1769,'AI output'!B1769)))+--(NOT(EXACT(TEXT(G1769,"yyyy-mm-dd"),'AI output'!C1769)))+--(NOT(EXACT(H1769,'AI output'!D1769)))+--(NOT(EXACT(J1769,'AI output'!E1769)))+--(NOT(EXACT(K1769,'AI output'!F1769)))+--(N1769&lt;&gt;'AI output'!L1769)+--(NOT('AI output'!M1769)),0)</f>
        <v>0</v>
      </c>
      <c r="Z1769" s="1">
        <f t="shared" si="223"/>
        <v>0</v>
      </c>
      <c r="AA1769" s="1">
        <f>--EXACT(A1769,"L01763")</f>
        <v>1</v>
      </c>
    </row>
    <row r="1770" spans="1:27" ht="18.95" customHeight="1">
      <c r="A1770" s="1" t="str">
        <f>IF(Raw!A1770="","",Raw!A1770)</f>
        <v>L01764</v>
      </c>
      <c r="B1770" s="1" t="str">
        <f>IF(Raw!B1770="","",Raw!B1770)</f>
        <v>T00882</v>
      </c>
      <c r="C1770" s="1" t="str">
        <f>IF(Raw!C1770="","",Raw!C1770)</f>
        <v>2026-02-17</v>
      </c>
      <c r="D1770" s="1">
        <f t="shared" si="216"/>
        <v>2026</v>
      </c>
      <c r="E1770" s="1">
        <f>IFERROR(IF(AND(LEN(C1770)=10,MID(C1770,5,1)="-",MID(C1770,8,1)="-"),VALUE(MID(C1770,6,2)),IF(AND(LEN(C1770)=11,MID(C1770,3,1)="-",MID(C1770,7,1)="-"),MATCH(UPPER(MID(C1770,4,3)),Guide!$D$7:$D$18,0),0)),0)</f>
        <v>2</v>
      </c>
      <c r="F1770" s="1">
        <f t="shared" si="217"/>
        <v>17</v>
      </c>
      <c r="G1770" s="9">
        <f t="shared" si="218"/>
        <v>46070</v>
      </c>
      <c r="H1770" s="1" t="str">
        <f>IF(Raw!D1770="","",Raw!D1770)</f>
        <v>P-O</v>
      </c>
      <c r="I1770" s="1" t="str">
        <f>IFERROR(IF(EXACT(H1770,INDEX(Guide!$A$7:$A$9,MATCH(SUBSTITUTE(SUBSTITUTE(SUBSTITUTE(H1770,"~","~~"),"*","~*"),"?","~?"),Guide!$A$7:$A$9,0))),INDEX(Guide!$B$7:$B$9,MATCH(SUBSTITUTE(SUBSTITUTE(SUBSTITUTE(H1770,"~","~~"),"*","~*"),"?","~?"),Guide!$A$7:$A$9,0)),""),"")</f>
        <v>Office</v>
      </c>
      <c r="J1770" s="1" t="str">
        <f>IF(TRIM(Raw!E1770)="",I1770,IF(UPPER(TRIM(Raw!E1770))=UPPER(I1770),I1770,""))</f>
        <v>Office</v>
      </c>
      <c r="K1770" s="1" t="str">
        <f>IF(Raw!F1770="","",Raw!F1770)</f>
        <v>sale</v>
      </c>
      <c r="L1770" s="1" t="str">
        <f>IF(LEFT(TRIM(Raw!G1770),2)="-$","-"&amp;MID(TRIM(Raw!G1770),3,99),IF(LEFT(TRIM(Raw!G1770),1)="$",MID(TRIM(Raw!G1770),2,99),TRIM(Raw!G1770)))</f>
        <v>114.60</v>
      </c>
      <c r="M1770" s="1">
        <f t="shared" si="219"/>
        <v>114.6</v>
      </c>
      <c r="N1770" s="10">
        <f t="shared" si="220"/>
        <v>11460</v>
      </c>
      <c r="O1770" s="1" t="b">
        <f>IFERROR(IF(ISNUMBER(Raw!G1770),TRUE,OR(EXACT(L1770,TEXT(M1770,"0.00")),EXACT(L1770,TEXT(M1770,"#,##0.00")))),FALSE)</f>
        <v>1</v>
      </c>
      <c r="P1770" s="1" t="str">
        <f>LEN(IF(Raw!A1770="","",Raw!A1770))&amp;":"&amp;IF(Raw!A1770="","",Raw!A1770)&amp;"|"&amp;LEN(IF(Raw!B1770="","",Raw!B1770))&amp;":"&amp;IF(Raw!B1770="","",Raw!B1770)&amp;"|"&amp;LEN(IF(Raw!C1770="","",Raw!C1770))&amp;":"&amp;IF(Raw!C1770="","",Raw!C1770)&amp;"|"&amp;LEN(IF(Raw!D1770="","",Raw!D1770))&amp;":"&amp;IF(Raw!D1770="","",Raw!D1770)&amp;"|"&amp;LEN(IF(Raw!E1770="","",Raw!E1770))&amp;":"&amp;IF(Raw!E1770="","",Raw!E1770)&amp;"|"&amp;LEN(IF(Raw!F1770="","",Raw!F1770))&amp;":"&amp;IF(Raw!F1770="","",Raw!F1770)&amp;"|"&amp;LEN(IF(Raw!G1770="","",Raw!G1770))&amp;":"&amp;IF(Raw!G1770="","",Raw!G1770)</f>
        <v>6:L01764|6:T00882|10:2026-02-17|3:P-O|6:Office|4:sale|6:114.60</v>
      </c>
      <c r="Q1770" s="1">
        <f>1</f>
        <v>1</v>
      </c>
      <c r="R1770" s="1" t="b">
        <f>FALSE</f>
        <v>0</v>
      </c>
      <c r="S1770" s="1">
        <f>1</f>
        <v>1</v>
      </c>
      <c r="T1770" s="1" t="str">
        <f>IF(AND(Raw!A1770="",Raw!B1770="",Raw!C1770="",Raw!D1770="",Raw!E1770="",Raw!F1770="",Raw!G1770=""),"UNUSED",IF(A1770="","missing line ID",IF(B1770="","missing transaction ID",IF(G1770="",IF(C1770="","missing date","invalid date"),IF(I1770="","unknown product",IF(J1770="","conflicting category",IF(NOT(OR(EXACT(K1770,"sale"),EXACT(K1770,"refund"))),"unknown event",IF(OR(N1770="",NOT(O1770)),"invalid amount",IF(OR(AND(K1770="sale",N1770&lt;=0),AND(K1770="refund",N1770&gt;=0)),"invalid sign","")))))))))</f>
        <v/>
      </c>
      <c r="U1770" s="1" t="str">
        <f t="shared" si="221"/>
        <v>INCLUDED</v>
      </c>
      <c r="V1770" s="1" t="str">
        <f t="shared" si="222"/>
        <v>2026-02</v>
      </c>
      <c r="W1770" s="1">
        <f>IF(AND(U1770="INCLUDED",X1770&gt;0,EXACT(A1770,'AI output'!A1770)),1,0)</f>
        <v>1</v>
      </c>
      <c r="X1770" s="1">
        <f>1770</f>
        <v>1770</v>
      </c>
      <c r="Y1770" s="1">
        <f>IF(AND(U1770="INCLUDED",W1770=1),--(NOT(EXACT(A1770,'AI output'!A1770)))+--(NOT(EXACT(B1770,'AI output'!B1770)))+--(NOT(EXACT(TEXT(G1770,"yyyy-mm-dd"),'AI output'!C1770)))+--(NOT(EXACT(H1770,'AI output'!D1770)))+--(NOT(EXACT(J1770,'AI output'!E1770)))+--(NOT(EXACT(K1770,'AI output'!F1770)))+--(N1770&lt;&gt;'AI output'!L1770)+--(NOT('AI output'!M1770)),0)</f>
        <v>0</v>
      </c>
      <c r="Z1770" s="1">
        <f t="shared" si="223"/>
        <v>0</v>
      </c>
      <c r="AA1770" s="1">
        <f>--EXACT(A1770,"L01764")</f>
        <v>1</v>
      </c>
    </row>
    <row r="1771" spans="1:27" ht="18.95" customHeight="1">
      <c r="A1771" s="1" t="str">
        <f>IF(Raw!A1771="","",Raw!A1771)</f>
        <v>L01765</v>
      </c>
      <c r="B1771" s="1" t="str">
        <f>IF(Raw!B1771="","",Raw!B1771)</f>
        <v>T00883</v>
      </c>
      <c r="C1771" s="1" t="str">
        <f>IF(Raw!C1771="","",Raw!C1771)</f>
        <v>2026-02-24</v>
      </c>
      <c r="D1771" s="1">
        <f t="shared" si="216"/>
        <v>2026</v>
      </c>
      <c r="E1771" s="1">
        <f>IFERROR(IF(AND(LEN(C1771)=10,MID(C1771,5,1)="-",MID(C1771,8,1)="-"),VALUE(MID(C1771,6,2)),IF(AND(LEN(C1771)=11,MID(C1771,3,1)="-",MID(C1771,7,1)="-"),MATCH(UPPER(MID(C1771,4,3)),Guide!$D$7:$D$18,0),0)),0)</f>
        <v>2</v>
      </c>
      <c r="F1771" s="1">
        <f t="shared" si="217"/>
        <v>24</v>
      </c>
      <c r="G1771" s="9">
        <f t="shared" si="218"/>
        <v>46077</v>
      </c>
      <c r="H1771" s="1" t="str">
        <f>IF(Raw!D1771="","",Raw!D1771)</f>
        <v>P-A</v>
      </c>
      <c r="I1771" s="1" t="str">
        <f>IFERROR(IF(EXACT(H1771,INDEX(Guide!$A$7:$A$9,MATCH(SUBSTITUTE(SUBSTITUTE(SUBSTITUTE(H1771,"~","~~"),"*","~*"),"?","~?"),Guide!$A$7:$A$9,0))),INDEX(Guide!$B$7:$B$9,MATCH(SUBSTITUTE(SUBSTITUTE(SUBSTITUTE(H1771,"~","~~"),"*","~*"),"?","~?"),Guide!$A$7:$A$9,0)),""),"")</f>
        <v>Accessories</v>
      </c>
      <c r="J1771" s="1" t="str">
        <f>IF(TRIM(Raw!E1771)="",I1771,IF(UPPER(TRIM(Raw!E1771))=UPPER(I1771),I1771,""))</f>
        <v>Accessories</v>
      </c>
      <c r="K1771" s="1" t="str">
        <f>IF(Raw!F1771="","",Raw!F1771)</f>
        <v>sale</v>
      </c>
      <c r="L1771" s="1" t="str">
        <f>IF(LEFT(TRIM(Raw!G1771),2)="-$","-"&amp;MID(TRIM(Raw!G1771),3,99),IF(LEFT(TRIM(Raw!G1771),1)="$",MID(TRIM(Raw!G1771),2,99),TRIM(Raw!G1771)))</f>
        <v>230.68</v>
      </c>
      <c r="M1771" s="1">
        <f t="shared" si="219"/>
        <v>230.68</v>
      </c>
      <c r="N1771" s="10">
        <f t="shared" si="220"/>
        <v>23068</v>
      </c>
      <c r="O1771" s="1" t="b">
        <f>IFERROR(IF(ISNUMBER(Raw!G1771),TRUE,OR(EXACT(L1771,TEXT(M1771,"0.00")),EXACT(L1771,TEXT(M1771,"#,##0.00")))),FALSE)</f>
        <v>1</v>
      </c>
      <c r="P1771" s="1" t="str">
        <f>LEN(IF(Raw!A1771="","",Raw!A1771))&amp;":"&amp;IF(Raw!A1771="","",Raw!A1771)&amp;"|"&amp;LEN(IF(Raw!B1771="","",Raw!B1771))&amp;":"&amp;IF(Raw!B1771="","",Raw!B1771)&amp;"|"&amp;LEN(IF(Raw!C1771="","",Raw!C1771))&amp;":"&amp;IF(Raw!C1771="","",Raw!C1771)&amp;"|"&amp;LEN(IF(Raw!D1771="","",Raw!D1771))&amp;":"&amp;IF(Raw!D1771="","",Raw!D1771)&amp;"|"&amp;LEN(IF(Raw!E1771="","",Raw!E1771))&amp;":"&amp;IF(Raw!E1771="","",Raw!E1771)&amp;"|"&amp;LEN(IF(Raw!F1771="","",Raw!F1771))&amp;":"&amp;IF(Raw!F1771="","",Raw!F1771)&amp;"|"&amp;LEN(IF(Raw!G1771="","",Raw!G1771))&amp;":"&amp;IF(Raw!G1771="","",Raw!G1771)</f>
        <v>6:L01765|6:T00883|10:2026-02-24|3:P-A|11:Accessories|4:sale|6:230.68</v>
      </c>
      <c r="Q1771" s="1">
        <f>1</f>
        <v>1</v>
      </c>
      <c r="R1771" s="1" t="b">
        <f>FALSE</f>
        <v>0</v>
      </c>
      <c r="S1771" s="1">
        <f>1</f>
        <v>1</v>
      </c>
      <c r="T1771" s="1" t="str">
        <f>IF(AND(Raw!A1771="",Raw!B1771="",Raw!C1771="",Raw!D1771="",Raw!E1771="",Raw!F1771="",Raw!G1771=""),"UNUSED",IF(A1771="","missing line ID",IF(B1771="","missing transaction ID",IF(G1771="",IF(C1771="","missing date","invalid date"),IF(I1771="","unknown product",IF(J1771="","conflicting category",IF(NOT(OR(EXACT(K1771,"sale"),EXACT(K1771,"refund"))),"unknown event",IF(OR(N1771="",NOT(O1771)),"invalid amount",IF(OR(AND(K1771="sale",N1771&lt;=0),AND(K1771="refund",N1771&gt;=0)),"invalid sign","")))))))))</f>
        <v/>
      </c>
      <c r="U1771" s="1" t="str">
        <f t="shared" si="221"/>
        <v>INCLUDED</v>
      </c>
      <c r="V1771" s="1" t="str">
        <f t="shared" si="222"/>
        <v>2026-02</v>
      </c>
      <c r="W1771" s="1">
        <f>IF(AND(U1771="INCLUDED",X1771&gt;0,EXACT(A1771,'AI output'!A1771)),1,0)</f>
        <v>1</v>
      </c>
      <c r="X1771" s="1">
        <f>1771</f>
        <v>1771</v>
      </c>
      <c r="Y1771" s="1">
        <f>IF(AND(U1771="INCLUDED",W1771=1),--(NOT(EXACT(A1771,'AI output'!A1771)))+--(NOT(EXACT(B1771,'AI output'!B1771)))+--(NOT(EXACT(TEXT(G1771,"yyyy-mm-dd"),'AI output'!C1771)))+--(NOT(EXACT(H1771,'AI output'!D1771)))+--(NOT(EXACT(J1771,'AI output'!E1771)))+--(NOT(EXACT(K1771,'AI output'!F1771)))+--(N1771&lt;&gt;'AI output'!L1771)+--(NOT('AI output'!M1771)),0)</f>
        <v>0</v>
      </c>
      <c r="Z1771" s="1">
        <f t="shared" si="223"/>
        <v>0</v>
      </c>
      <c r="AA1771" s="1">
        <f>--EXACT(A1771,"L01765")</f>
        <v>1</v>
      </c>
    </row>
    <row r="1772" spans="1:27" ht="18.95" customHeight="1">
      <c r="A1772" s="1" t="str">
        <f>IF(Raw!A1772="","",Raw!A1772)</f>
        <v>L01766</v>
      </c>
      <c r="B1772" s="1" t="str">
        <f>IF(Raw!B1772="","",Raw!B1772)</f>
        <v>T00883</v>
      </c>
      <c r="C1772" s="1" t="str">
        <f>IF(Raw!C1772="","",Raw!C1772)</f>
        <v>2026-02-24</v>
      </c>
      <c r="D1772" s="1">
        <f t="shared" si="216"/>
        <v>2026</v>
      </c>
      <c r="E1772" s="1">
        <f>IFERROR(IF(AND(LEN(C1772)=10,MID(C1772,5,1)="-",MID(C1772,8,1)="-"),VALUE(MID(C1772,6,2)),IF(AND(LEN(C1772)=11,MID(C1772,3,1)="-",MID(C1772,7,1)="-"),MATCH(UPPER(MID(C1772,4,3)),Guide!$D$7:$D$18,0),0)),0)</f>
        <v>2</v>
      </c>
      <c r="F1772" s="1">
        <f t="shared" si="217"/>
        <v>24</v>
      </c>
      <c r="G1772" s="9">
        <f t="shared" si="218"/>
        <v>46077</v>
      </c>
      <c r="H1772" s="1" t="str">
        <f>IF(Raw!D1772="","",Raw!D1772)</f>
        <v>P-H</v>
      </c>
      <c r="I1772" s="1" t="str">
        <f>IFERROR(IF(EXACT(H1772,INDEX(Guide!$A$7:$A$9,MATCH(SUBSTITUTE(SUBSTITUTE(SUBSTITUTE(H1772,"~","~~"),"*","~*"),"?","~?"),Guide!$A$7:$A$9,0))),INDEX(Guide!$B$7:$B$9,MATCH(SUBSTITUTE(SUBSTITUTE(SUBSTITUTE(H1772,"~","~~"),"*","~*"),"?","~?"),Guide!$A$7:$A$9,0)),""),"")</f>
        <v>Home</v>
      </c>
      <c r="J1772" s="1" t="str">
        <f>IF(TRIM(Raw!E1772)="",I1772,IF(UPPER(TRIM(Raw!E1772))=UPPER(I1772),I1772,""))</f>
        <v>Home</v>
      </c>
      <c r="K1772" s="1" t="str">
        <f>IF(Raw!F1772="","",Raw!F1772)</f>
        <v>sale</v>
      </c>
      <c r="L1772" s="1" t="str">
        <f>IF(LEFT(TRIM(Raw!G1772),2)="-$","-"&amp;MID(TRIM(Raw!G1772),3,99),IF(LEFT(TRIM(Raw!G1772),1)="$",MID(TRIM(Raw!G1772),2,99),TRIM(Raw!G1772)))</f>
        <v>58.04</v>
      </c>
      <c r="M1772" s="1">
        <f t="shared" si="219"/>
        <v>58.04</v>
      </c>
      <c r="N1772" s="10">
        <f t="shared" si="220"/>
        <v>5804</v>
      </c>
      <c r="O1772" s="1" t="b">
        <f>IFERROR(IF(ISNUMBER(Raw!G1772),TRUE,OR(EXACT(L1772,TEXT(M1772,"0.00")),EXACT(L1772,TEXT(M1772,"#,##0.00")))),FALSE)</f>
        <v>1</v>
      </c>
      <c r="P1772" s="1" t="str">
        <f>LEN(IF(Raw!A1772="","",Raw!A1772))&amp;":"&amp;IF(Raw!A1772="","",Raw!A1772)&amp;"|"&amp;LEN(IF(Raw!B1772="","",Raw!B1772))&amp;":"&amp;IF(Raw!B1772="","",Raw!B1772)&amp;"|"&amp;LEN(IF(Raw!C1772="","",Raw!C1772))&amp;":"&amp;IF(Raw!C1772="","",Raw!C1772)&amp;"|"&amp;LEN(IF(Raw!D1772="","",Raw!D1772))&amp;":"&amp;IF(Raw!D1772="","",Raw!D1772)&amp;"|"&amp;LEN(IF(Raw!E1772="","",Raw!E1772))&amp;":"&amp;IF(Raw!E1772="","",Raw!E1772)&amp;"|"&amp;LEN(IF(Raw!F1772="","",Raw!F1772))&amp;":"&amp;IF(Raw!F1772="","",Raw!F1772)&amp;"|"&amp;LEN(IF(Raw!G1772="","",Raw!G1772))&amp;":"&amp;IF(Raw!G1772="","",Raw!G1772)</f>
        <v>6:L01766|6:T00883|10:2026-02-24|3:P-H|4:Home|4:sale|5:58.04</v>
      </c>
      <c r="Q1772" s="1">
        <f>1</f>
        <v>1</v>
      </c>
      <c r="R1772" s="1" t="b">
        <f>FALSE</f>
        <v>0</v>
      </c>
      <c r="S1772" s="1">
        <f>1</f>
        <v>1</v>
      </c>
      <c r="T1772" s="1" t="str">
        <f>IF(AND(Raw!A1772="",Raw!B1772="",Raw!C1772="",Raw!D1772="",Raw!E1772="",Raw!F1772="",Raw!G1772=""),"UNUSED",IF(A1772="","missing line ID",IF(B1772="","missing transaction ID",IF(G1772="",IF(C1772="","missing date","invalid date"),IF(I1772="","unknown product",IF(J1772="","conflicting category",IF(NOT(OR(EXACT(K1772,"sale"),EXACT(K1772,"refund"))),"unknown event",IF(OR(N1772="",NOT(O1772)),"invalid amount",IF(OR(AND(K1772="sale",N1772&lt;=0),AND(K1772="refund",N1772&gt;=0)),"invalid sign","")))))))))</f>
        <v/>
      </c>
      <c r="U1772" s="1" t="str">
        <f t="shared" si="221"/>
        <v>INCLUDED</v>
      </c>
      <c r="V1772" s="1" t="str">
        <f t="shared" si="222"/>
        <v>2026-02</v>
      </c>
      <c r="W1772" s="1">
        <f>IF(AND(U1772="INCLUDED",X1772&gt;0,EXACT(A1772,'AI output'!A1772)),1,0)</f>
        <v>1</v>
      </c>
      <c r="X1772" s="1">
        <f>1772</f>
        <v>1772</v>
      </c>
      <c r="Y1772" s="1">
        <f>IF(AND(U1772="INCLUDED",W1772=1),--(NOT(EXACT(A1772,'AI output'!A1772)))+--(NOT(EXACT(B1772,'AI output'!B1772)))+--(NOT(EXACT(TEXT(G1772,"yyyy-mm-dd"),'AI output'!C1772)))+--(NOT(EXACT(H1772,'AI output'!D1772)))+--(NOT(EXACT(J1772,'AI output'!E1772)))+--(NOT(EXACT(K1772,'AI output'!F1772)))+--(N1772&lt;&gt;'AI output'!L1772)+--(NOT('AI output'!M1772)),0)</f>
        <v>0</v>
      </c>
      <c r="Z1772" s="1">
        <f t="shared" si="223"/>
        <v>0</v>
      </c>
      <c r="AA1772" s="1">
        <f>--EXACT(A1772,"L01766")</f>
        <v>1</v>
      </c>
    </row>
    <row r="1773" spans="1:27" ht="18.95" customHeight="1">
      <c r="A1773" s="1" t="str">
        <f>IF(Raw!A1773="","",Raw!A1773)</f>
        <v>L01767</v>
      </c>
      <c r="B1773" s="1" t="str">
        <f>IF(Raw!B1773="","",Raw!B1773)</f>
        <v>T00884</v>
      </c>
      <c r="C1773" s="1" t="str">
        <f>IF(Raw!C1773="","",Raw!C1773)</f>
        <v>2026-03-03</v>
      </c>
      <c r="D1773" s="1">
        <f t="shared" si="216"/>
        <v>2026</v>
      </c>
      <c r="E1773" s="1">
        <f>IFERROR(IF(AND(LEN(C1773)=10,MID(C1773,5,1)="-",MID(C1773,8,1)="-"),VALUE(MID(C1773,6,2)),IF(AND(LEN(C1773)=11,MID(C1773,3,1)="-",MID(C1773,7,1)="-"),MATCH(UPPER(MID(C1773,4,3)),Guide!$D$7:$D$18,0),0)),0)</f>
        <v>3</v>
      </c>
      <c r="F1773" s="1">
        <f t="shared" si="217"/>
        <v>3</v>
      </c>
      <c r="G1773" s="9">
        <f t="shared" si="218"/>
        <v>46084</v>
      </c>
      <c r="H1773" s="1" t="str">
        <f>IF(Raw!D1773="","",Raw!D1773)</f>
        <v>P-O</v>
      </c>
      <c r="I1773" s="1" t="str">
        <f>IFERROR(IF(EXACT(H1773,INDEX(Guide!$A$7:$A$9,MATCH(SUBSTITUTE(SUBSTITUTE(SUBSTITUTE(H1773,"~","~~"),"*","~*"),"?","~?"),Guide!$A$7:$A$9,0))),INDEX(Guide!$B$7:$B$9,MATCH(SUBSTITUTE(SUBSTITUTE(SUBSTITUTE(H1773,"~","~~"),"*","~*"),"?","~?"),Guide!$A$7:$A$9,0)),""),"")</f>
        <v>Office</v>
      </c>
      <c r="J1773" s="1" t="str">
        <f>IF(TRIM(Raw!E1773)="",I1773,IF(UPPER(TRIM(Raw!E1773))=UPPER(I1773),I1773,""))</f>
        <v>Office</v>
      </c>
      <c r="K1773" s="1" t="str">
        <f>IF(Raw!F1773="","",Raw!F1773)</f>
        <v>sale</v>
      </c>
      <c r="L1773" s="1" t="str">
        <f>IF(LEFT(TRIM(Raw!G1773),2)="-$","-"&amp;MID(TRIM(Raw!G1773),3,99),IF(LEFT(TRIM(Raw!G1773),1)="$",MID(TRIM(Raw!G1773),2,99),TRIM(Raw!G1773)))</f>
        <v>175.23</v>
      </c>
      <c r="M1773" s="1">
        <f t="shared" si="219"/>
        <v>175.23</v>
      </c>
      <c r="N1773" s="10">
        <f t="shared" si="220"/>
        <v>17523</v>
      </c>
      <c r="O1773" s="1" t="b">
        <f>IFERROR(IF(ISNUMBER(Raw!G1773),TRUE,OR(EXACT(L1773,TEXT(M1773,"0.00")),EXACT(L1773,TEXT(M1773,"#,##0.00")))),FALSE)</f>
        <v>1</v>
      </c>
      <c r="P1773" s="1" t="str">
        <f>LEN(IF(Raw!A1773="","",Raw!A1773))&amp;":"&amp;IF(Raw!A1773="","",Raw!A1773)&amp;"|"&amp;LEN(IF(Raw!B1773="","",Raw!B1773))&amp;":"&amp;IF(Raw!B1773="","",Raw!B1773)&amp;"|"&amp;LEN(IF(Raw!C1773="","",Raw!C1773))&amp;":"&amp;IF(Raw!C1773="","",Raw!C1773)&amp;"|"&amp;LEN(IF(Raw!D1773="","",Raw!D1773))&amp;":"&amp;IF(Raw!D1773="","",Raw!D1773)&amp;"|"&amp;LEN(IF(Raw!E1773="","",Raw!E1773))&amp;":"&amp;IF(Raw!E1773="","",Raw!E1773)&amp;"|"&amp;LEN(IF(Raw!F1773="","",Raw!F1773))&amp;":"&amp;IF(Raw!F1773="","",Raw!F1773)&amp;"|"&amp;LEN(IF(Raw!G1773="","",Raw!G1773))&amp;":"&amp;IF(Raw!G1773="","",Raw!G1773)</f>
        <v>6:L01767|6:T00884|10:2026-03-03|3:P-O|6:Office|4:sale|6:175.23</v>
      </c>
      <c r="Q1773" s="1">
        <f>1</f>
        <v>1</v>
      </c>
      <c r="R1773" s="1" t="b">
        <f>FALSE</f>
        <v>0</v>
      </c>
      <c r="S1773" s="1">
        <f>1</f>
        <v>1</v>
      </c>
      <c r="T1773" s="1" t="str">
        <f>IF(AND(Raw!A1773="",Raw!B1773="",Raw!C1773="",Raw!D1773="",Raw!E1773="",Raw!F1773="",Raw!G1773=""),"UNUSED",IF(A1773="","missing line ID",IF(B1773="","missing transaction ID",IF(G1773="",IF(C1773="","missing date","invalid date"),IF(I1773="","unknown product",IF(J1773="","conflicting category",IF(NOT(OR(EXACT(K1773,"sale"),EXACT(K1773,"refund"))),"unknown event",IF(OR(N1773="",NOT(O1773)),"invalid amount",IF(OR(AND(K1773="sale",N1773&lt;=0),AND(K1773="refund",N1773&gt;=0)),"invalid sign","")))))))))</f>
        <v/>
      </c>
      <c r="U1773" s="1" t="str">
        <f t="shared" si="221"/>
        <v>INCLUDED</v>
      </c>
      <c r="V1773" s="1" t="str">
        <f t="shared" si="222"/>
        <v>2026-03</v>
      </c>
      <c r="W1773" s="1">
        <f>IF(AND(U1773="INCLUDED",X1773&gt;0,EXACT(A1773,'AI output'!A1773)),1,0)</f>
        <v>1</v>
      </c>
      <c r="X1773" s="1">
        <f>1773</f>
        <v>1773</v>
      </c>
      <c r="Y1773" s="1">
        <f>IF(AND(U1773="INCLUDED",W1773=1),--(NOT(EXACT(A1773,'AI output'!A1773)))+--(NOT(EXACT(B1773,'AI output'!B1773)))+--(NOT(EXACT(TEXT(G1773,"yyyy-mm-dd"),'AI output'!C1773)))+--(NOT(EXACT(H1773,'AI output'!D1773)))+--(NOT(EXACT(J1773,'AI output'!E1773)))+--(NOT(EXACT(K1773,'AI output'!F1773)))+--(N1773&lt;&gt;'AI output'!L1773)+--(NOT('AI output'!M1773)),0)</f>
        <v>0</v>
      </c>
      <c r="Z1773" s="1">
        <f t="shared" si="223"/>
        <v>0</v>
      </c>
      <c r="AA1773" s="1">
        <f>--EXACT(A1773,"L01767")</f>
        <v>1</v>
      </c>
    </row>
    <row r="1774" spans="1:27" ht="18.95" customHeight="1">
      <c r="A1774" s="1" t="str">
        <f>IF(Raw!A1774="","",Raw!A1774)</f>
        <v>L01768</v>
      </c>
      <c r="B1774" s="1" t="str">
        <f>IF(Raw!B1774="","",Raw!B1774)</f>
        <v>T00884</v>
      </c>
      <c r="C1774" s="1" t="str">
        <f>IF(Raw!C1774="","",Raw!C1774)</f>
        <v>2026-03-03</v>
      </c>
      <c r="D1774" s="1">
        <f t="shared" si="216"/>
        <v>2026</v>
      </c>
      <c r="E1774" s="1">
        <f>IFERROR(IF(AND(LEN(C1774)=10,MID(C1774,5,1)="-",MID(C1774,8,1)="-"),VALUE(MID(C1774,6,2)),IF(AND(LEN(C1774)=11,MID(C1774,3,1)="-",MID(C1774,7,1)="-"),MATCH(UPPER(MID(C1774,4,3)),Guide!$D$7:$D$18,0),0)),0)</f>
        <v>3</v>
      </c>
      <c r="F1774" s="1">
        <f t="shared" si="217"/>
        <v>3</v>
      </c>
      <c r="G1774" s="9">
        <f t="shared" si="218"/>
        <v>46084</v>
      </c>
      <c r="H1774" s="1" t="str">
        <f>IF(Raw!D1774="","",Raw!D1774)</f>
        <v>P-A</v>
      </c>
      <c r="I1774" s="1" t="str">
        <f>IFERROR(IF(EXACT(H1774,INDEX(Guide!$A$7:$A$9,MATCH(SUBSTITUTE(SUBSTITUTE(SUBSTITUTE(H1774,"~","~~"),"*","~*"),"?","~?"),Guide!$A$7:$A$9,0))),INDEX(Guide!$B$7:$B$9,MATCH(SUBSTITUTE(SUBSTITUTE(SUBSTITUTE(H1774,"~","~~"),"*","~*"),"?","~?"),Guide!$A$7:$A$9,0)),""),"")</f>
        <v>Accessories</v>
      </c>
      <c r="J1774" s="1" t="str">
        <f>IF(TRIM(Raw!E1774)="",I1774,IF(UPPER(TRIM(Raw!E1774))=UPPER(I1774),I1774,""))</f>
        <v>Accessories</v>
      </c>
      <c r="K1774" s="1" t="str">
        <f>IF(Raw!F1774="","",Raw!F1774)</f>
        <v>sale</v>
      </c>
      <c r="L1774" s="1" t="str">
        <f>IF(LEFT(TRIM(Raw!G1774),2)="-$","-"&amp;MID(TRIM(Raw!G1774),3,99),IF(LEFT(TRIM(Raw!G1774),1)="$",MID(TRIM(Raw!G1774),2,99),TRIM(Raw!G1774)))</f>
        <v>293.90</v>
      </c>
      <c r="M1774" s="1">
        <f t="shared" si="219"/>
        <v>293.89999999999998</v>
      </c>
      <c r="N1774" s="10">
        <f t="shared" si="220"/>
        <v>29390</v>
      </c>
      <c r="O1774" s="1" t="b">
        <f>IFERROR(IF(ISNUMBER(Raw!G1774),TRUE,OR(EXACT(L1774,TEXT(M1774,"0.00")),EXACT(L1774,TEXT(M1774,"#,##0.00")))),FALSE)</f>
        <v>1</v>
      </c>
      <c r="P1774" s="1" t="str">
        <f>LEN(IF(Raw!A1774="","",Raw!A1774))&amp;":"&amp;IF(Raw!A1774="","",Raw!A1774)&amp;"|"&amp;LEN(IF(Raw!B1774="","",Raw!B1774))&amp;":"&amp;IF(Raw!B1774="","",Raw!B1774)&amp;"|"&amp;LEN(IF(Raw!C1774="","",Raw!C1774))&amp;":"&amp;IF(Raw!C1774="","",Raw!C1774)&amp;"|"&amp;LEN(IF(Raw!D1774="","",Raw!D1774))&amp;":"&amp;IF(Raw!D1774="","",Raw!D1774)&amp;"|"&amp;LEN(IF(Raw!E1774="","",Raw!E1774))&amp;":"&amp;IF(Raw!E1774="","",Raw!E1774)&amp;"|"&amp;LEN(IF(Raw!F1774="","",Raw!F1774))&amp;":"&amp;IF(Raw!F1774="","",Raw!F1774)&amp;"|"&amp;LEN(IF(Raw!G1774="","",Raw!G1774))&amp;":"&amp;IF(Raw!G1774="","",Raw!G1774)</f>
        <v>6:L01768|6:T00884|10:2026-03-03|3:P-A|11:Accessories|4:sale|6:293.90</v>
      </c>
      <c r="Q1774" s="1">
        <f>1</f>
        <v>1</v>
      </c>
      <c r="R1774" s="1" t="b">
        <f>FALSE</f>
        <v>0</v>
      </c>
      <c r="S1774" s="1">
        <f>1</f>
        <v>1</v>
      </c>
      <c r="T1774" s="1" t="str">
        <f>IF(AND(Raw!A1774="",Raw!B1774="",Raw!C1774="",Raw!D1774="",Raw!E1774="",Raw!F1774="",Raw!G1774=""),"UNUSED",IF(A1774="","missing line ID",IF(B1774="","missing transaction ID",IF(G1774="",IF(C1774="","missing date","invalid date"),IF(I1774="","unknown product",IF(J1774="","conflicting category",IF(NOT(OR(EXACT(K1774,"sale"),EXACT(K1774,"refund"))),"unknown event",IF(OR(N1774="",NOT(O1774)),"invalid amount",IF(OR(AND(K1774="sale",N1774&lt;=0),AND(K1774="refund",N1774&gt;=0)),"invalid sign","")))))))))</f>
        <v/>
      </c>
      <c r="U1774" s="1" t="str">
        <f t="shared" si="221"/>
        <v>INCLUDED</v>
      </c>
      <c r="V1774" s="1" t="str">
        <f t="shared" si="222"/>
        <v>2026-03</v>
      </c>
      <c r="W1774" s="1">
        <f>IF(AND(U1774="INCLUDED",X1774&gt;0,EXACT(A1774,'AI output'!A1774)),1,0)</f>
        <v>1</v>
      </c>
      <c r="X1774" s="1">
        <f>1774</f>
        <v>1774</v>
      </c>
      <c r="Y1774" s="1">
        <f>IF(AND(U1774="INCLUDED",W1774=1),--(NOT(EXACT(A1774,'AI output'!A1774)))+--(NOT(EXACT(B1774,'AI output'!B1774)))+--(NOT(EXACT(TEXT(G1774,"yyyy-mm-dd"),'AI output'!C1774)))+--(NOT(EXACT(H1774,'AI output'!D1774)))+--(NOT(EXACT(J1774,'AI output'!E1774)))+--(NOT(EXACT(K1774,'AI output'!F1774)))+--(N1774&lt;&gt;'AI output'!L1774)+--(NOT('AI output'!M1774)),0)</f>
        <v>0</v>
      </c>
      <c r="Z1774" s="1">
        <f t="shared" si="223"/>
        <v>0</v>
      </c>
      <c r="AA1774" s="1">
        <f>--EXACT(A1774,"L01768")</f>
        <v>1</v>
      </c>
    </row>
    <row r="1775" spans="1:27" ht="18.95" customHeight="1">
      <c r="A1775" s="1" t="str">
        <f>IF(Raw!A1775="","",Raw!A1775)</f>
        <v>L01769</v>
      </c>
      <c r="B1775" s="1" t="str">
        <f>IF(Raw!B1775="","",Raw!B1775)</f>
        <v>T00885</v>
      </c>
      <c r="C1775" s="1" t="str">
        <f>IF(Raw!C1775="","",Raw!C1775)</f>
        <v>2026-03-10</v>
      </c>
      <c r="D1775" s="1">
        <f t="shared" si="216"/>
        <v>2026</v>
      </c>
      <c r="E1775" s="1">
        <f>IFERROR(IF(AND(LEN(C1775)=10,MID(C1775,5,1)="-",MID(C1775,8,1)="-"),VALUE(MID(C1775,6,2)),IF(AND(LEN(C1775)=11,MID(C1775,3,1)="-",MID(C1775,7,1)="-"),MATCH(UPPER(MID(C1775,4,3)),Guide!$D$7:$D$18,0),0)),0)</f>
        <v>3</v>
      </c>
      <c r="F1775" s="1">
        <f t="shared" si="217"/>
        <v>10</v>
      </c>
      <c r="G1775" s="9">
        <f t="shared" si="218"/>
        <v>46091</v>
      </c>
      <c r="H1775" s="1" t="str">
        <f>IF(Raw!D1775="","",Raw!D1775)</f>
        <v>P-H</v>
      </c>
      <c r="I1775" s="1" t="str">
        <f>IFERROR(IF(EXACT(H1775,INDEX(Guide!$A$7:$A$9,MATCH(SUBSTITUTE(SUBSTITUTE(SUBSTITUTE(H1775,"~","~~"),"*","~*"),"?","~?"),Guide!$A$7:$A$9,0))),INDEX(Guide!$B$7:$B$9,MATCH(SUBSTITUTE(SUBSTITUTE(SUBSTITUTE(H1775,"~","~~"),"*","~*"),"?","~?"),Guide!$A$7:$A$9,0)),""),"")</f>
        <v>Home</v>
      </c>
      <c r="J1775" s="1" t="str">
        <f>IF(TRIM(Raw!E1775)="",I1775,IF(UPPER(TRIM(Raw!E1775))=UPPER(I1775),I1775,""))</f>
        <v>Home</v>
      </c>
      <c r="K1775" s="1" t="str">
        <f>IF(Raw!F1775="","",Raw!F1775)</f>
        <v>sale</v>
      </c>
      <c r="L1775" s="1" t="str">
        <f>IF(LEFT(TRIM(Raw!G1775),2)="-$","-"&amp;MID(TRIM(Raw!G1775),3,99),IF(LEFT(TRIM(Raw!G1775),1)="$",MID(TRIM(Raw!G1775),2,99),TRIM(Raw!G1775)))</f>
        <v>118.30</v>
      </c>
      <c r="M1775" s="1">
        <f t="shared" si="219"/>
        <v>118.3</v>
      </c>
      <c r="N1775" s="10">
        <f t="shared" si="220"/>
        <v>11830</v>
      </c>
      <c r="O1775" s="1" t="b">
        <f>IFERROR(IF(ISNUMBER(Raw!G1775),TRUE,OR(EXACT(L1775,TEXT(M1775,"0.00")),EXACT(L1775,TEXT(M1775,"#,##0.00")))),FALSE)</f>
        <v>1</v>
      </c>
      <c r="P1775" s="1" t="str">
        <f>LEN(IF(Raw!A1775="","",Raw!A1775))&amp;":"&amp;IF(Raw!A1775="","",Raw!A1775)&amp;"|"&amp;LEN(IF(Raw!B1775="","",Raw!B1775))&amp;":"&amp;IF(Raw!B1775="","",Raw!B1775)&amp;"|"&amp;LEN(IF(Raw!C1775="","",Raw!C1775))&amp;":"&amp;IF(Raw!C1775="","",Raw!C1775)&amp;"|"&amp;LEN(IF(Raw!D1775="","",Raw!D1775))&amp;":"&amp;IF(Raw!D1775="","",Raw!D1775)&amp;"|"&amp;LEN(IF(Raw!E1775="","",Raw!E1775))&amp;":"&amp;IF(Raw!E1775="","",Raw!E1775)&amp;"|"&amp;LEN(IF(Raw!F1775="","",Raw!F1775))&amp;":"&amp;IF(Raw!F1775="","",Raw!F1775)&amp;"|"&amp;LEN(IF(Raw!G1775="","",Raw!G1775))&amp;":"&amp;IF(Raw!G1775="","",Raw!G1775)</f>
        <v>6:L01769|6:T00885|10:2026-03-10|3:P-H|4:Home|4:sale|6:118.30</v>
      </c>
      <c r="Q1775" s="1">
        <f>1</f>
        <v>1</v>
      </c>
      <c r="R1775" s="1" t="b">
        <f>FALSE</f>
        <v>0</v>
      </c>
      <c r="S1775" s="1">
        <f>1</f>
        <v>1</v>
      </c>
      <c r="T1775" s="1" t="str">
        <f>IF(AND(Raw!A1775="",Raw!B1775="",Raw!C1775="",Raw!D1775="",Raw!E1775="",Raw!F1775="",Raw!G1775=""),"UNUSED",IF(A1775="","missing line ID",IF(B1775="","missing transaction ID",IF(G1775="",IF(C1775="","missing date","invalid date"),IF(I1775="","unknown product",IF(J1775="","conflicting category",IF(NOT(OR(EXACT(K1775,"sale"),EXACT(K1775,"refund"))),"unknown event",IF(OR(N1775="",NOT(O1775)),"invalid amount",IF(OR(AND(K1775="sale",N1775&lt;=0),AND(K1775="refund",N1775&gt;=0)),"invalid sign","")))))))))</f>
        <v/>
      </c>
      <c r="U1775" s="1" t="str">
        <f t="shared" si="221"/>
        <v>INCLUDED</v>
      </c>
      <c r="V1775" s="1" t="str">
        <f t="shared" si="222"/>
        <v>2026-03</v>
      </c>
      <c r="W1775" s="1">
        <f>IF(AND(U1775="INCLUDED",X1775&gt;0,EXACT(A1775,'AI output'!A1775)),1,0)</f>
        <v>1</v>
      </c>
      <c r="X1775" s="1">
        <f>1775</f>
        <v>1775</v>
      </c>
      <c r="Y1775" s="1">
        <f>IF(AND(U1775="INCLUDED",W1775=1),--(NOT(EXACT(A1775,'AI output'!A1775)))+--(NOT(EXACT(B1775,'AI output'!B1775)))+--(NOT(EXACT(TEXT(G1775,"yyyy-mm-dd"),'AI output'!C1775)))+--(NOT(EXACT(H1775,'AI output'!D1775)))+--(NOT(EXACT(J1775,'AI output'!E1775)))+--(NOT(EXACT(K1775,'AI output'!F1775)))+--(N1775&lt;&gt;'AI output'!L1775)+--(NOT('AI output'!M1775)),0)</f>
        <v>0</v>
      </c>
      <c r="Z1775" s="1">
        <f t="shared" si="223"/>
        <v>0</v>
      </c>
      <c r="AA1775" s="1">
        <f>--EXACT(A1775,"L01769")</f>
        <v>1</v>
      </c>
    </row>
    <row r="1776" spans="1:27" ht="18.95" customHeight="1">
      <c r="A1776" s="1" t="str">
        <f>IF(Raw!A1776="","",Raw!A1776)</f>
        <v>L01770</v>
      </c>
      <c r="B1776" s="1" t="str">
        <f>IF(Raw!B1776="","",Raw!B1776)</f>
        <v>T00885</v>
      </c>
      <c r="C1776" s="1" t="str">
        <f>IF(Raw!C1776="","",Raw!C1776)</f>
        <v>2026-03-10</v>
      </c>
      <c r="D1776" s="1">
        <f t="shared" si="216"/>
        <v>2026</v>
      </c>
      <c r="E1776" s="1">
        <f>IFERROR(IF(AND(LEN(C1776)=10,MID(C1776,5,1)="-",MID(C1776,8,1)="-"),VALUE(MID(C1776,6,2)),IF(AND(LEN(C1776)=11,MID(C1776,3,1)="-",MID(C1776,7,1)="-"),MATCH(UPPER(MID(C1776,4,3)),Guide!$D$7:$D$18,0),0)),0)</f>
        <v>3</v>
      </c>
      <c r="F1776" s="1">
        <f t="shared" si="217"/>
        <v>10</v>
      </c>
      <c r="G1776" s="9">
        <f t="shared" si="218"/>
        <v>46091</v>
      </c>
      <c r="H1776" s="1" t="str">
        <f>IF(Raw!D1776="","",Raw!D1776)</f>
        <v>P-O</v>
      </c>
      <c r="I1776" s="1" t="str">
        <f>IFERROR(IF(EXACT(H1776,INDEX(Guide!$A$7:$A$9,MATCH(SUBSTITUTE(SUBSTITUTE(SUBSTITUTE(H1776,"~","~~"),"*","~*"),"?","~?"),Guide!$A$7:$A$9,0))),INDEX(Guide!$B$7:$B$9,MATCH(SUBSTITUTE(SUBSTITUTE(SUBSTITUTE(H1776,"~","~~"),"*","~*"),"?","~?"),Guide!$A$7:$A$9,0)),""),"")</f>
        <v>Office</v>
      </c>
      <c r="J1776" s="1" t="str">
        <f>IF(TRIM(Raw!E1776)="",I1776,IF(UPPER(TRIM(Raw!E1776))=UPPER(I1776),I1776,""))</f>
        <v>Office</v>
      </c>
      <c r="K1776" s="1" t="str">
        <f>IF(Raw!F1776="","",Raw!F1776)</f>
        <v>sale</v>
      </c>
      <c r="L1776" s="1" t="str">
        <f>IF(LEFT(TRIM(Raw!G1776),2)="-$","-"&amp;MID(TRIM(Raw!G1776),3,99),IF(LEFT(TRIM(Raw!G1776),1)="$",MID(TRIM(Raw!G1776),2,99),TRIM(Raw!G1776)))</f>
        <v>238.08</v>
      </c>
      <c r="M1776" s="1">
        <f t="shared" si="219"/>
        <v>238.08</v>
      </c>
      <c r="N1776" s="10">
        <f t="shared" si="220"/>
        <v>23808</v>
      </c>
      <c r="O1776" s="1" t="b">
        <f>IFERROR(IF(ISNUMBER(Raw!G1776),TRUE,OR(EXACT(L1776,TEXT(M1776,"0.00")),EXACT(L1776,TEXT(M1776,"#,##0.00")))),FALSE)</f>
        <v>1</v>
      </c>
      <c r="P1776" s="1" t="str">
        <f>LEN(IF(Raw!A1776="","",Raw!A1776))&amp;":"&amp;IF(Raw!A1776="","",Raw!A1776)&amp;"|"&amp;LEN(IF(Raw!B1776="","",Raw!B1776))&amp;":"&amp;IF(Raw!B1776="","",Raw!B1776)&amp;"|"&amp;LEN(IF(Raw!C1776="","",Raw!C1776))&amp;":"&amp;IF(Raw!C1776="","",Raw!C1776)&amp;"|"&amp;LEN(IF(Raw!D1776="","",Raw!D1776))&amp;":"&amp;IF(Raw!D1776="","",Raw!D1776)&amp;"|"&amp;LEN(IF(Raw!E1776="","",Raw!E1776))&amp;":"&amp;IF(Raw!E1776="","",Raw!E1776)&amp;"|"&amp;LEN(IF(Raw!F1776="","",Raw!F1776))&amp;":"&amp;IF(Raw!F1776="","",Raw!F1776)&amp;"|"&amp;LEN(IF(Raw!G1776="","",Raw!G1776))&amp;":"&amp;IF(Raw!G1776="","",Raw!G1776)</f>
        <v>6:L01770|6:T00885|10:2026-03-10|3:P-O|6:Office|4:sale|6:238.08</v>
      </c>
      <c r="Q1776" s="1">
        <f>1</f>
        <v>1</v>
      </c>
      <c r="R1776" s="1" t="b">
        <f>FALSE</f>
        <v>0</v>
      </c>
      <c r="S1776" s="1">
        <f>1</f>
        <v>1</v>
      </c>
      <c r="T1776" s="1" t="str">
        <f>IF(AND(Raw!A1776="",Raw!B1776="",Raw!C1776="",Raw!D1776="",Raw!E1776="",Raw!F1776="",Raw!G1776=""),"UNUSED",IF(A1776="","missing line ID",IF(B1776="","missing transaction ID",IF(G1776="",IF(C1776="","missing date","invalid date"),IF(I1776="","unknown product",IF(J1776="","conflicting category",IF(NOT(OR(EXACT(K1776,"sale"),EXACT(K1776,"refund"))),"unknown event",IF(OR(N1776="",NOT(O1776)),"invalid amount",IF(OR(AND(K1776="sale",N1776&lt;=0),AND(K1776="refund",N1776&gt;=0)),"invalid sign","")))))))))</f>
        <v/>
      </c>
      <c r="U1776" s="1" t="str">
        <f t="shared" si="221"/>
        <v>INCLUDED</v>
      </c>
      <c r="V1776" s="1" t="str">
        <f t="shared" si="222"/>
        <v>2026-03</v>
      </c>
      <c r="W1776" s="1">
        <f>IF(AND(U1776="INCLUDED",X1776&gt;0,EXACT(A1776,'AI output'!A1776)),1,0)</f>
        <v>1</v>
      </c>
      <c r="X1776" s="1">
        <f>1776</f>
        <v>1776</v>
      </c>
      <c r="Y1776" s="1">
        <f>IF(AND(U1776="INCLUDED",W1776=1),--(NOT(EXACT(A1776,'AI output'!A1776)))+--(NOT(EXACT(B1776,'AI output'!B1776)))+--(NOT(EXACT(TEXT(G1776,"yyyy-mm-dd"),'AI output'!C1776)))+--(NOT(EXACT(H1776,'AI output'!D1776)))+--(NOT(EXACT(J1776,'AI output'!E1776)))+--(NOT(EXACT(K1776,'AI output'!F1776)))+--(N1776&lt;&gt;'AI output'!L1776)+--(NOT('AI output'!M1776)),0)</f>
        <v>0</v>
      </c>
      <c r="Z1776" s="1">
        <f t="shared" si="223"/>
        <v>0</v>
      </c>
      <c r="AA1776" s="1">
        <f>--EXACT(A1776,"L01770")</f>
        <v>1</v>
      </c>
    </row>
    <row r="1777" spans="1:27" ht="18.95" customHeight="1">
      <c r="A1777" s="1" t="str">
        <f>IF(Raw!A1777="","",Raw!A1777)</f>
        <v>L01771</v>
      </c>
      <c r="B1777" s="1" t="str">
        <f>IF(Raw!B1777="","",Raw!B1777)</f>
        <v>T00886</v>
      </c>
      <c r="C1777" s="1" t="str">
        <f>IF(Raw!C1777="","",Raw!C1777)</f>
        <v>2026-03-17</v>
      </c>
      <c r="D1777" s="1">
        <f t="shared" si="216"/>
        <v>2026</v>
      </c>
      <c r="E1777" s="1">
        <f>IFERROR(IF(AND(LEN(C1777)=10,MID(C1777,5,1)="-",MID(C1777,8,1)="-"),VALUE(MID(C1777,6,2)),IF(AND(LEN(C1777)=11,MID(C1777,3,1)="-",MID(C1777,7,1)="-"),MATCH(UPPER(MID(C1777,4,3)),Guide!$D$7:$D$18,0),0)),0)</f>
        <v>3</v>
      </c>
      <c r="F1777" s="1">
        <f t="shared" si="217"/>
        <v>17</v>
      </c>
      <c r="G1777" s="9">
        <f t="shared" si="218"/>
        <v>46098</v>
      </c>
      <c r="H1777" s="1" t="str">
        <f>IF(Raw!D1777="","",Raw!D1777)</f>
        <v>P-A</v>
      </c>
      <c r="I1777" s="1" t="str">
        <f>IFERROR(IF(EXACT(H1777,INDEX(Guide!$A$7:$A$9,MATCH(SUBSTITUTE(SUBSTITUTE(SUBSTITUTE(H1777,"~","~~"),"*","~*"),"?","~?"),Guide!$A$7:$A$9,0))),INDEX(Guide!$B$7:$B$9,MATCH(SUBSTITUTE(SUBSTITUTE(SUBSTITUTE(H1777,"~","~~"),"*","~*"),"?","~?"),Guide!$A$7:$A$9,0)),""),"")</f>
        <v>Accessories</v>
      </c>
      <c r="J1777" s="1" t="str">
        <f>IF(TRIM(Raw!E1777)="",I1777,IF(UPPER(TRIM(Raw!E1777))=UPPER(I1777),I1777,""))</f>
        <v>Accessories</v>
      </c>
      <c r="K1777" s="1" t="str">
        <f>IF(Raw!F1777="","",Raw!F1777)</f>
        <v>sale</v>
      </c>
      <c r="L1777" s="1" t="str">
        <f>IF(LEFT(TRIM(Raw!G1777),2)="-$","-"&amp;MID(TRIM(Raw!G1777),3,99),IF(LEFT(TRIM(Raw!G1777),1)="$",MID(TRIM(Raw!G1777),2,99),TRIM(Raw!G1777)))</f>
        <v>59.89</v>
      </c>
      <c r="M1777" s="1">
        <f t="shared" si="219"/>
        <v>59.89</v>
      </c>
      <c r="N1777" s="10">
        <f t="shared" si="220"/>
        <v>5989</v>
      </c>
      <c r="O1777" s="1" t="b">
        <f>IFERROR(IF(ISNUMBER(Raw!G1777),TRUE,OR(EXACT(L1777,TEXT(M1777,"0.00")),EXACT(L1777,TEXT(M1777,"#,##0.00")))),FALSE)</f>
        <v>1</v>
      </c>
      <c r="P1777" s="1" t="str">
        <f>LEN(IF(Raw!A1777="","",Raw!A1777))&amp;":"&amp;IF(Raw!A1777="","",Raw!A1777)&amp;"|"&amp;LEN(IF(Raw!B1777="","",Raw!B1777))&amp;":"&amp;IF(Raw!B1777="","",Raw!B1777)&amp;"|"&amp;LEN(IF(Raw!C1777="","",Raw!C1777))&amp;":"&amp;IF(Raw!C1777="","",Raw!C1777)&amp;"|"&amp;LEN(IF(Raw!D1777="","",Raw!D1777))&amp;":"&amp;IF(Raw!D1777="","",Raw!D1777)&amp;"|"&amp;LEN(IF(Raw!E1777="","",Raw!E1777))&amp;":"&amp;IF(Raw!E1777="","",Raw!E1777)&amp;"|"&amp;LEN(IF(Raw!F1777="","",Raw!F1777))&amp;":"&amp;IF(Raw!F1777="","",Raw!F1777)&amp;"|"&amp;LEN(IF(Raw!G1777="","",Raw!G1777))&amp;":"&amp;IF(Raw!G1777="","",Raw!G1777)</f>
        <v>6:L01771|6:T00886|10:2026-03-17|3:P-A|11:Accessories|4:sale|5:59.89</v>
      </c>
      <c r="Q1777" s="1">
        <f>1</f>
        <v>1</v>
      </c>
      <c r="R1777" s="1" t="b">
        <f>FALSE</f>
        <v>0</v>
      </c>
      <c r="S1777" s="1">
        <f>1</f>
        <v>1</v>
      </c>
      <c r="T1777" s="1" t="str">
        <f>IF(AND(Raw!A1777="",Raw!B1777="",Raw!C1777="",Raw!D1777="",Raw!E1777="",Raw!F1777="",Raw!G1777=""),"UNUSED",IF(A1777="","missing line ID",IF(B1777="","missing transaction ID",IF(G1777="",IF(C1777="","missing date","invalid date"),IF(I1777="","unknown product",IF(J1777="","conflicting category",IF(NOT(OR(EXACT(K1777,"sale"),EXACT(K1777,"refund"))),"unknown event",IF(OR(N1777="",NOT(O1777)),"invalid amount",IF(OR(AND(K1777="sale",N1777&lt;=0),AND(K1777="refund",N1777&gt;=0)),"invalid sign","")))))))))</f>
        <v/>
      </c>
      <c r="U1777" s="1" t="str">
        <f t="shared" si="221"/>
        <v>INCLUDED</v>
      </c>
      <c r="V1777" s="1" t="str">
        <f t="shared" si="222"/>
        <v>2026-03</v>
      </c>
      <c r="W1777" s="1">
        <f>IF(AND(U1777="INCLUDED",X1777&gt;0,EXACT(A1777,'AI output'!A1777)),1,0)</f>
        <v>1</v>
      </c>
      <c r="X1777" s="1">
        <f>1777</f>
        <v>1777</v>
      </c>
      <c r="Y1777" s="1">
        <f>IF(AND(U1777="INCLUDED",W1777=1),--(NOT(EXACT(A1777,'AI output'!A1777)))+--(NOT(EXACT(B1777,'AI output'!B1777)))+--(NOT(EXACT(TEXT(G1777,"yyyy-mm-dd"),'AI output'!C1777)))+--(NOT(EXACT(H1777,'AI output'!D1777)))+--(NOT(EXACT(J1777,'AI output'!E1777)))+--(NOT(EXACT(K1777,'AI output'!F1777)))+--(N1777&lt;&gt;'AI output'!L1777)+--(NOT('AI output'!M1777)),0)</f>
        <v>0</v>
      </c>
      <c r="Z1777" s="1">
        <f t="shared" si="223"/>
        <v>0</v>
      </c>
      <c r="AA1777" s="1">
        <f>--EXACT(A1777,"L01771")</f>
        <v>1</v>
      </c>
    </row>
    <row r="1778" spans="1:27" ht="18.95" customHeight="1">
      <c r="A1778" s="1" t="str">
        <f>IF(Raw!A1778="","",Raw!A1778)</f>
        <v>L01772</v>
      </c>
      <c r="B1778" s="1" t="str">
        <f>IF(Raw!B1778="","",Raw!B1778)</f>
        <v>T00886</v>
      </c>
      <c r="C1778" s="1" t="str">
        <f>IF(Raw!C1778="","",Raw!C1778)</f>
        <v>2026-03-17</v>
      </c>
      <c r="D1778" s="1">
        <f t="shared" si="216"/>
        <v>2026</v>
      </c>
      <c r="E1778" s="1">
        <f>IFERROR(IF(AND(LEN(C1778)=10,MID(C1778,5,1)="-",MID(C1778,8,1)="-"),VALUE(MID(C1778,6,2)),IF(AND(LEN(C1778)=11,MID(C1778,3,1)="-",MID(C1778,7,1)="-"),MATCH(UPPER(MID(C1778,4,3)),Guide!$D$7:$D$18,0),0)),0)</f>
        <v>3</v>
      </c>
      <c r="F1778" s="1">
        <f t="shared" si="217"/>
        <v>17</v>
      </c>
      <c r="G1778" s="9">
        <f t="shared" si="218"/>
        <v>46098</v>
      </c>
      <c r="H1778" s="1" t="str">
        <f>IF(Raw!D1778="","",Raw!D1778)</f>
        <v>P-H</v>
      </c>
      <c r="I1778" s="1" t="str">
        <f>IFERROR(IF(EXACT(H1778,INDEX(Guide!$A$7:$A$9,MATCH(SUBSTITUTE(SUBSTITUTE(SUBSTITUTE(H1778,"~","~~"),"*","~*"),"?","~?"),Guide!$A$7:$A$9,0))),INDEX(Guide!$B$7:$B$9,MATCH(SUBSTITUTE(SUBSTITUTE(SUBSTITUTE(H1778,"~","~~"),"*","~*"),"?","~?"),Guide!$A$7:$A$9,0)),""),"")</f>
        <v>Home</v>
      </c>
      <c r="J1778" s="1" t="str">
        <f>IF(TRIM(Raw!E1778)="",I1778,IF(UPPER(TRIM(Raw!E1778))=UPPER(I1778),I1778,""))</f>
        <v>Home</v>
      </c>
      <c r="K1778" s="1" t="str">
        <f>IF(Raw!F1778="","",Raw!F1778)</f>
        <v>refund</v>
      </c>
      <c r="L1778" s="1" t="str">
        <f>IF(LEFT(TRIM(Raw!G1778),2)="-$","-"&amp;MID(TRIM(Raw!G1778),3,99),IF(LEFT(TRIM(Raw!G1778),1)="$",MID(TRIM(Raw!G1778),2,99),TRIM(Raw!G1778)))</f>
        <v>-180.78</v>
      </c>
      <c r="M1778" s="1">
        <f t="shared" si="219"/>
        <v>-180.78</v>
      </c>
      <c r="N1778" s="10">
        <f t="shared" si="220"/>
        <v>-18078</v>
      </c>
      <c r="O1778" s="1" t="b">
        <f>IFERROR(IF(ISNUMBER(Raw!G1778),TRUE,OR(EXACT(L1778,TEXT(M1778,"0.00")),EXACT(L1778,TEXT(M1778,"#,##0.00")))),FALSE)</f>
        <v>1</v>
      </c>
      <c r="P1778" s="1" t="str">
        <f>LEN(IF(Raw!A1778="","",Raw!A1778))&amp;":"&amp;IF(Raw!A1778="","",Raw!A1778)&amp;"|"&amp;LEN(IF(Raw!B1778="","",Raw!B1778))&amp;":"&amp;IF(Raw!B1778="","",Raw!B1778)&amp;"|"&amp;LEN(IF(Raw!C1778="","",Raw!C1778))&amp;":"&amp;IF(Raw!C1778="","",Raw!C1778)&amp;"|"&amp;LEN(IF(Raw!D1778="","",Raw!D1778))&amp;":"&amp;IF(Raw!D1778="","",Raw!D1778)&amp;"|"&amp;LEN(IF(Raw!E1778="","",Raw!E1778))&amp;":"&amp;IF(Raw!E1778="","",Raw!E1778)&amp;"|"&amp;LEN(IF(Raw!F1778="","",Raw!F1778))&amp;":"&amp;IF(Raw!F1778="","",Raw!F1778)&amp;"|"&amp;LEN(IF(Raw!G1778="","",Raw!G1778))&amp;":"&amp;IF(Raw!G1778="","",Raw!G1778)</f>
        <v>6:L01772|6:T00886|10:2026-03-17|3:P-H|4:Home|6:refund|7:-180.78</v>
      </c>
      <c r="Q1778" s="1">
        <f>1</f>
        <v>1</v>
      </c>
      <c r="R1778" s="1" t="b">
        <f>FALSE</f>
        <v>0</v>
      </c>
      <c r="S1778" s="1">
        <f>1</f>
        <v>1</v>
      </c>
      <c r="T1778" s="1" t="str">
        <f>IF(AND(Raw!A1778="",Raw!B1778="",Raw!C1778="",Raw!D1778="",Raw!E1778="",Raw!F1778="",Raw!G1778=""),"UNUSED",IF(A1778="","missing line ID",IF(B1778="","missing transaction ID",IF(G1778="",IF(C1778="","missing date","invalid date"),IF(I1778="","unknown product",IF(J1778="","conflicting category",IF(NOT(OR(EXACT(K1778,"sale"),EXACT(K1778,"refund"))),"unknown event",IF(OR(N1778="",NOT(O1778)),"invalid amount",IF(OR(AND(K1778="sale",N1778&lt;=0),AND(K1778="refund",N1778&gt;=0)),"invalid sign","")))))))))</f>
        <v/>
      </c>
      <c r="U1778" s="1" t="str">
        <f t="shared" si="221"/>
        <v>INCLUDED</v>
      </c>
      <c r="V1778" s="1" t="str">
        <f t="shared" si="222"/>
        <v>2026-03</v>
      </c>
      <c r="W1778" s="1">
        <f>IF(AND(U1778="INCLUDED",X1778&gt;0,EXACT(A1778,'AI output'!A1778)),1,0)</f>
        <v>1</v>
      </c>
      <c r="X1778" s="1">
        <f>1778</f>
        <v>1778</v>
      </c>
      <c r="Y1778" s="1">
        <f>IF(AND(U1778="INCLUDED",W1778=1),--(NOT(EXACT(A1778,'AI output'!A1778)))+--(NOT(EXACT(B1778,'AI output'!B1778)))+--(NOT(EXACT(TEXT(G1778,"yyyy-mm-dd"),'AI output'!C1778)))+--(NOT(EXACT(H1778,'AI output'!D1778)))+--(NOT(EXACT(J1778,'AI output'!E1778)))+--(NOT(EXACT(K1778,'AI output'!F1778)))+--(N1778&lt;&gt;'AI output'!L1778)+--(NOT('AI output'!M1778)),0)</f>
        <v>0</v>
      </c>
      <c r="Z1778" s="1">
        <f t="shared" si="223"/>
        <v>0</v>
      </c>
      <c r="AA1778" s="1">
        <f>--EXACT(A1778,"L01772")</f>
        <v>1</v>
      </c>
    </row>
    <row r="1779" spans="1:27" ht="18.95" customHeight="1">
      <c r="A1779" s="1" t="str">
        <f>IF(Raw!A1779="","",Raw!A1779)</f>
        <v>L01773</v>
      </c>
      <c r="B1779" s="1" t="str">
        <f>IF(Raw!B1779="","",Raw!B1779)</f>
        <v>T00887</v>
      </c>
      <c r="C1779" s="1" t="str">
        <f>IF(Raw!C1779="","",Raw!C1779)</f>
        <v>2026-03-24</v>
      </c>
      <c r="D1779" s="1">
        <f t="shared" si="216"/>
        <v>2026</v>
      </c>
      <c r="E1779" s="1">
        <f>IFERROR(IF(AND(LEN(C1779)=10,MID(C1779,5,1)="-",MID(C1779,8,1)="-"),VALUE(MID(C1779,6,2)),IF(AND(LEN(C1779)=11,MID(C1779,3,1)="-",MID(C1779,7,1)="-"),MATCH(UPPER(MID(C1779,4,3)),Guide!$D$7:$D$18,0),0)),0)</f>
        <v>3</v>
      </c>
      <c r="F1779" s="1">
        <f t="shared" si="217"/>
        <v>24</v>
      </c>
      <c r="G1779" s="9">
        <f t="shared" si="218"/>
        <v>46105</v>
      </c>
      <c r="H1779" s="1" t="str">
        <f>IF(Raw!D1779="","",Raw!D1779)</f>
        <v>P-O</v>
      </c>
      <c r="I1779" s="1" t="str">
        <f>IFERROR(IF(EXACT(H1779,INDEX(Guide!$A$7:$A$9,MATCH(SUBSTITUTE(SUBSTITUTE(SUBSTITUTE(H1779,"~","~~"),"*","~*"),"?","~?"),Guide!$A$7:$A$9,0))),INDEX(Guide!$B$7:$B$9,MATCH(SUBSTITUTE(SUBSTITUTE(SUBSTITUTE(H1779,"~","~~"),"*","~*"),"?","~?"),Guide!$A$7:$A$9,0)),""),"")</f>
        <v>Office</v>
      </c>
      <c r="J1779" s="1" t="str">
        <f>IF(TRIM(Raw!E1779)="",I1779,IF(UPPER(TRIM(Raw!E1779))=UPPER(I1779),I1779,""))</f>
        <v>Office</v>
      </c>
      <c r="K1779" s="1" t="str">
        <f>IF(Raw!F1779="","",Raw!F1779)</f>
        <v>sale</v>
      </c>
      <c r="L1779" s="1" t="str">
        <f>IF(LEFT(TRIM(Raw!G1779),2)="-$","-"&amp;MID(TRIM(Raw!G1779),3,99),IF(LEFT(TRIM(Raw!G1779),1)="$",MID(TRIM(Raw!G1779),2,99),TRIM(Raw!G1779)))</f>
        <v>303.15</v>
      </c>
      <c r="M1779" s="1">
        <f t="shared" si="219"/>
        <v>303.14999999999998</v>
      </c>
      <c r="N1779" s="10">
        <f t="shared" si="220"/>
        <v>30315</v>
      </c>
      <c r="O1779" s="1" t="b">
        <f>IFERROR(IF(ISNUMBER(Raw!G1779),TRUE,OR(EXACT(L1779,TEXT(M1779,"0.00")),EXACT(L1779,TEXT(M1779,"#,##0.00")))),FALSE)</f>
        <v>1</v>
      </c>
      <c r="P1779" s="1" t="str">
        <f>LEN(IF(Raw!A1779="","",Raw!A1779))&amp;":"&amp;IF(Raw!A1779="","",Raw!A1779)&amp;"|"&amp;LEN(IF(Raw!B1779="","",Raw!B1779))&amp;":"&amp;IF(Raw!B1779="","",Raw!B1779)&amp;"|"&amp;LEN(IF(Raw!C1779="","",Raw!C1779))&amp;":"&amp;IF(Raw!C1779="","",Raw!C1779)&amp;"|"&amp;LEN(IF(Raw!D1779="","",Raw!D1779))&amp;":"&amp;IF(Raw!D1779="","",Raw!D1779)&amp;"|"&amp;LEN(IF(Raw!E1779="","",Raw!E1779))&amp;":"&amp;IF(Raw!E1779="","",Raw!E1779)&amp;"|"&amp;LEN(IF(Raw!F1779="","",Raw!F1779))&amp;":"&amp;IF(Raw!F1779="","",Raw!F1779)&amp;"|"&amp;LEN(IF(Raw!G1779="","",Raw!G1779))&amp;":"&amp;IF(Raw!G1779="","",Raw!G1779)</f>
        <v>6:L01773|6:T00887|10:2026-03-24|3:P-O|6:Office|4:sale|6:303.15</v>
      </c>
      <c r="Q1779" s="1">
        <f>1</f>
        <v>1</v>
      </c>
      <c r="R1779" s="1" t="b">
        <f>FALSE</f>
        <v>0</v>
      </c>
      <c r="S1779" s="1">
        <f>1</f>
        <v>1</v>
      </c>
      <c r="T1779" s="1" t="str">
        <f>IF(AND(Raw!A1779="",Raw!B1779="",Raw!C1779="",Raw!D1779="",Raw!E1779="",Raw!F1779="",Raw!G1779=""),"UNUSED",IF(A1779="","missing line ID",IF(B1779="","missing transaction ID",IF(G1779="",IF(C1779="","missing date","invalid date"),IF(I1779="","unknown product",IF(J1779="","conflicting category",IF(NOT(OR(EXACT(K1779,"sale"),EXACT(K1779,"refund"))),"unknown event",IF(OR(N1779="",NOT(O1779)),"invalid amount",IF(OR(AND(K1779="sale",N1779&lt;=0),AND(K1779="refund",N1779&gt;=0)),"invalid sign","")))))))))</f>
        <v/>
      </c>
      <c r="U1779" s="1" t="str">
        <f t="shared" si="221"/>
        <v>INCLUDED</v>
      </c>
      <c r="V1779" s="1" t="str">
        <f t="shared" si="222"/>
        <v>2026-03</v>
      </c>
      <c r="W1779" s="1">
        <f>IF(AND(U1779="INCLUDED",X1779&gt;0,EXACT(A1779,'AI output'!A1779)),1,0)</f>
        <v>1</v>
      </c>
      <c r="X1779" s="1">
        <f>1779</f>
        <v>1779</v>
      </c>
      <c r="Y1779" s="1">
        <f>IF(AND(U1779="INCLUDED",W1779=1),--(NOT(EXACT(A1779,'AI output'!A1779)))+--(NOT(EXACT(B1779,'AI output'!B1779)))+--(NOT(EXACT(TEXT(G1779,"yyyy-mm-dd"),'AI output'!C1779)))+--(NOT(EXACT(H1779,'AI output'!D1779)))+--(NOT(EXACT(J1779,'AI output'!E1779)))+--(NOT(EXACT(K1779,'AI output'!F1779)))+--(N1779&lt;&gt;'AI output'!L1779)+--(NOT('AI output'!M1779)),0)</f>
        <v>0</v>
      </c>
      <c r="Z1779" s="1">
        <f t="shared" si="223"/>
        <v>0</v>
      </c>
      <c r="AA1779" s="1">
        <f>--EXACT(A1779,"L01773")</f>
        <v>1</v>
      </c>
    </row>
    <row r="1780" spans="1:27" ht="18.95" customHeight="1">
      <c r="A1780" s="1" t="str">
        <f>IF(Raw!A1780="","",Raw!A1780)</f>
        <v>L01774</v>
      </c>
      <c r="B1780" s="1" t="str">
        <f>IF(Raw!B1780="","",Raw!B1780)</f>
        <v>T00887</v>
      </c>
      <c r="C1780" s="1" t="str">
        <f>IF(Raw!C1780="","",Raw!C1780)</f>
        <v>2026-03-24</v>
      </c>
      <c r="D1780" s="1">
        <f t="shared" si="216"/>
        <v>2026</v>
      </c>
      <c r="E1780" s="1">
        <f>IFERROR(IF(AND(LEN(C1780)=10,MID(C1780,5,1)="-",MID(C1780,8,1)="-"),VALUE(MID(C1780,6,2)),IF(AND(LEN(C1780)=11,MID(C1780,3,1)="-",MID(C1780,7,1)="-"),MATCH(UPPER(MID(C1780,4,3)),Guide!$D$7:$D$18,0),0)),0)</f>
        <v>3</v>
      </c>
      <c r="F1780" s="1">
        <f t="shared" si="217"/>
        <v>24</v>
      </c>
      <c r="G1780" s="9">
        <f t="shared" si="218"/>
        <v>46105</v>
      </c>
      <c r="H1780" s="1" t="str">
        <f>IF(Raw!D1780="","",Raw!D1780)</f>
        <v>P-A</v>
      </c>
      <c r="I1780" s="1" t="str">
        <f>IFERROR(IF(EXACT(H1780,INDEX(Guide!$A$7:$A$9,MATCH(SUBSTITUTE(SUBSTITUTE(SUBSTITUTE(H1780,"~","~~"),"*","~*"),"?","~?"),Guide!$A$7:$A$9,0))),INDEX(Guide!$B$7:$B$9,MATCH(SUBSTITUTE(SUBSTITUTE(SUBSTITUTE(H1780,"~","~~"),"*","~*"),"?","~?"),Guide!$A$7:$A$9,0)),""),"")</f>
        <v>Accessories</v>
      </c>
      <c r="J1780" s="1" t="str">
        <f>IF(TRIM(Raw!E1780)="",I1780,IF(UPPER(TRIM(Raw!E1780))=UPPER(I1780),I1780,""))</f>
        <v>Accessories</v>
      </c>
      <c r="K1780" s="1" t="str">
        <f>IF(Raw!F1780="","",Raw!F1780)</f>
        <v>sale</v>
      </c>
      <c r="L1780" s="1" t="str">
        <f>IF(LEFT(TRIM(Raw!G1780),2)="-$","-"&amp;MID(TRIM(Raw!G1780),3,99),IF(LEFT(TRIM(Raw!G1780),1)="$",MID(TRIM(Raw!G1780),2,99),TRIM(Raw!G1780)))</f>
        <v>122.00</v>
      </c>
      <c r="M1780" s="1">
        <f t="shared" si="219"/>
        <v>122</v>
      </c>
      <c r="N1780" s="10">
        <f t="shared" si="220"/>
        <v>12200</v>
      </c>
      <c r="O1780" s="1" t="b">
        <f>IFERROR(IF(ISNUMBER(Raw!G1780),TRUE,OR(EXACT(L1780,TEXT(M1780,"0.00")),EXACT(L1780,TEXT(M1780,"#,##0.00")))),FALSE)</f>
        <v>1</v>
      </c>
      <c r="P1780" s="1" t="str">
        <f>LEN(IF(Raw!A1780="","",Raw!A1780))&amp;":"&amp;IF(Raw!A1780="","",Raw!A1780)&amp;"|"&amp;LEN(IF(Raw!B1780="","",Raw!B1780))&amp;":"&amp;IF(Raw!B1780="","",Raw!B1780)&amp;"|"&amp;LEN(IF(Raw!C1780="","",Raw!C1780))&amp;":"&amp;IF(Raw!C1780="","",Raw!C1780)&amp;"|"&amp;LEN(IF(Raw!D1780="","",Raw!D1780))&amp;":"&amp;IF(Raw!D1780="","",Raw!D1780)&amp;"|"&amp;LEN(IF(Raw!E1780="","",Raw!E1780))&amp;":"&amp;IF(Raw!E1780="","",Raw!E1780)&amp;"|"&amp;LEN(IF(Raw!F1780="","",Raw!F1780))&amp;":"&amp;IF(Raw!F1780="","",Raw!F1780)&amp;"|"&amp;LEN(IF(Raw!G1780="","",Raw!G1780))&amp;":"&amp;IF(Raw!G1780="","",Raw!G1780)</f>
        <v>6:L01774|6:T00887|10:2026-03-24|3:P-A|11:Accessories|4:sale|7:$122.00</v>
      </c>
      <c r="Q1780" s="1">
        <f>1</f>
        <v>1</v>
      </c>
      <c r="R1780" s="1" t="b">
        <f>FALSE</f>
        <v>0</v>
      </c>
      <c r="S1780" s="1">
        <f>1</f>
        <v>1</v>
      </c>
      <c r="T1780" s="1" t="str">
        <f>IF(AND(Raw!A1780="",Raw!B1780="",Raw!C1780="",Raw!D1780="",Raw!E1780="",Raw!F1780="",Raw!G1780=""),"UNUSED",IF(A1780="","missing line ID",IF(B1780="","missing transaction ID",IF(G1780="",IF(C1780="","missing date","invalid date"),IF(I1780="","unknown product",IF(J1780="","conflicting category",IF(NOT(OR(EXACT(K1780,"sale"),EXACT(K1780,"refund"))),"unknown event",IF(OR(N1780="",NOT(O1780)),"invalid amount",IF(OR(AND(K1780="sale",N1780&lt;=0),AND(K1780="refund",N1780&gt;=0)),"invalid sign","")))))))))</f>
        <v/>
      </c>
      <c r="U1780" s="1" t="str">
        <f t="shared" si="221"/>
        <v>INCLUDED</v>
      </c>
      <c r="V1780" s="1" t="str">
        <f t="shared" si="222"/>
        <v>2026-03</v>
      </c>
      <c r="W1780" s="1">
        <f>IF(AND(U1780="INCLUDED",X1780&gt;0,EXACT(A1780,'AI output'!A1780)),1,0)</f>
        <v>1</v>
      </c>
      <c r="X1780" s="1">
        <f>1780</f>
        <v>1780</v>
      </c>
      <c r="Y1780" s="1">
        <f>IF(AND(U1780="INCLUDED",W1780=1),--(NOT(EXACT(A1780,'AI output'!A1780)))+--(NOT(EXACT(B1780,'AI output'!B1780)))+--(NOT(EXACT(TEXT(G1780,"yyyy-mm-dd"),'AI output'!C1780)))+--(NOT(EXACT(H1780,'AI output'!D1780)))+--(NOT(EXACT(J1780,'AI output'!E1780)))+--(NOT(EXACT(K1780,'AI output'!F1780)))+--(N1780&lt;&gt;'AI output'!L1780)+--(NOT('AI output'!M1780)),0)</f>
        <v>0</v>
      </c>
      <c r="Z1780" s="1">
        <f t="shared" si="223"/>
        <v>0</v>
      </c>
      <c r="AA1780" s="1">
        <f>--EXACT(A1780,"L01774")</f>
        <v>1</v>
      </c>
    </row>
    <row r="1781" spans="1:27" ht="18.95" customHeight="1">
      <c r="A1781" s="1" t="str">
        <f>IF(Raw!A1781="","",Raw!A1781)</f>
        <v>L01775</v>
      </c>
      <c r="B1781" s="1" t="str">
        <f>IF(Raw!B1781="","",Raw!B1781)</f>
        <v>T00888</v>
      </c>
      <c r="C1781" s="1" t="str">
        <f>IF(Raw!C1781="","",Raw!C1781)</f>
        <v>2026-03-31</v>
      </c>
      <c r="D1781" s="1">
        <f t="shared" si="216"/>
        <v>2026</v>
      </c>
      <c r="E1781" s="1">
        <f>IFERROR(IF(AND(LEN(C1781)=10,MID(C1781,5,1)="-",MID(C1781,8,1)="-"),VALUE(MID(C1781,6,2)),IF(AND(LEN(C1781)=11,MID(C1781,3,1)="-",MID(C1781,7,1)="-"),MATCH(UPPER(MID(C1781,4,3)),Guide!$D$7:$D$18,0),0)),0)</f>
        <v>3</v>
      </c>
      <c r="F1781" s="1">
        <f t="shared" si="217"/>
        <v>31</v>
      </c>
      <c r="G1781" s="9">
        <f t="shared" si="218"/>
        <v>46112</v>
      </c>
      <c r="H1781" s="1" t="str">
        <f>IF(Raw!D1781="","",Raw!D1781)</f>
        <v>P-H</v>
      </c>
      <c r="I1781" s="1" t="str">
        <f>IFERROR(IF(EXACT(H1781,INDEX(Guide!$A$7:$A$9,MATCH(SUBSTITUTE(SUBSTITUTE(SUBSTITUTE(H1781,"~","~~"),"*","~*"),"?","~?"),Guide!$A$7:$A$9,0))),INDEX(Guide!$B$7:$B$9,MATCH(SUBSTITUTE(SUBSTITUTE(SUBSTITUTE(H1781,"~","~~"),"*","~*"),"?","~?"),Guide!$A$7:$A$9,0)),""),"")</f>
        <v>Home</v>
      </c>
      <c r="J1781" s="1" t="str">
        <f>IF(TRIM(Raw!E1781)="",I1781,IF(UPPER(TRIM(Raw!E1781))=UPPER(I1781),I1781,""))</f>
        <v>Home</v>
      </c>
      <c r="K1781" s="1" t="str">
        <f>IF(Raw!F1781="","",Raw!F1781)</f>
        <v>sale</v>
      </c>
      <c r="L1781" s="1" t="str">
        <f>IF(LEFT(TRIM(Raw!G1781),2)="-$","-"&amp;MID(TRIM(Raw!G1781),3,99),IF(LEFT(TRIM(Raw!G1781),1)="$",MID(TRIM(Raw!G1781),2,99),TRIM(Raw!G1781)))</f>
        <v>245.48</v>
      </c>
      <c r="M1781" s="1">
        <f t="shared" si="219"/>
        <v>245.48</v>
      </c>
      <c r="N1781" s="10">
        <f t="shared" si="220"/>
        <v>24548</v>
      </c>
      <c r="O1781" s="1" t="b">
        <f>IFERROR(IF(ISNUMBER(Raw!G1781),TRUE,OR(EXACT(L1781,TEXT(M1781,"0.00")),EXACT(L1781,TEXT(M1781,"#,##0.00")))),FALSE)</f>
        <v>1</v>
      </c>
      <c r="P1781" s="1" t="str">
        <f>LEN(IF(Raw!A1781="","",Raw!A1781))&amp;":"&amp;IF(Raw!A1781="","",Raw!A1781)&amp;"|"&amp;LEN(IF(Raw!B1781="","",Raw!B1781))&amp;":"&amp;IF(Raw!B1781="","",Raw!B1781)&amp;"|"&amp;LEN(IF(Raw!C1781="","",Raw!C1781))&amp;":"&amp;IF(Raw!C1781="","",Raw!C1781)&amp;"|"&amp;LEN(IF(Raw!D1781="","",Raw!D1781))&amp;":"&amp;IF(Raw!D1781="","",Raw!D1781)&amp;"|"&amp;LEN(IF(Raw!E1781="","",Raw!E1781))&amp;":"&amp;IF(Raw!E1781="","",Raw!E1781)&amp;"|"&amp;LEN(IF(Raw!F1781="","",Raw!F1781))&amp;":"&amp;IF(Raw!F1781="","",Raw!F1781)&amp;"|"&amp;LEN(IF(Raw!G1781="","",Raw!G1781))&amp;":"&amp;IF(Raw!G1781="","",Raw!G1781)</f>
        <v>6:L01775|6:T00888|10:2026-03-31|3:P-H|4:Home|4:sale|6:245.48</v>
      </c>
      <c r="Q1781" s="1">
        <f>1</f>
        <v>1</v>
      </c>
      <c r="R1781" s="1" t="b">
        <f>FALSE</f>
        <v>0</v>
      </c>
      <c r="S1781" s="1">
        <f>1</f>
        <v>1</v>
      </c>
      <c r="T1781" s="1" t="str">
        <f>IF(AND(Raw!A1781="",Raw!B1781="",Raw!C1781="",Raw!D1781="",Raw!E1781="",Raw!F1781="",Raw!G1781=""),"UNUSED",IF(A1781="","missing line ID",IF(B1781="","missing transaction ID",IF(G1781="",IF(C1781="","missing date","invalid date"),IF(I1781="","unknown product",IF(J1781="","conflicting category",IF(NOT(OR(EXACT(K1781,"sale"),EXACT(K1781,"refund"))),"unknown event",IF(OR(N1781="",NOT(O1781)),"invalid amount",IF(OR(AND(K1781="sale",N1781&lt;=0),AND(K1781="refund",N1781&gt;=0)),"invalid sign","")))))))))</f>
        <v/>
      </c>
      <c r="U1781" s="1" t="str">
        <f t="shared" si="221"/>
        <v>INCLUDED</v>
      </c>
      <c r="V1781" s="1" t="str">
        <f t="shared" si="222"/>
        <v>2026-03</v>
      </c>
      <c r="W1781" s="1">
        <f>IF(AND(U1781="INCLUDED",X1781&gt;0,EXACT(A1781,'AI output'!A1781)),1,0)</f>
        <v>1</v>
      </c>
      <c r="X1781" s="1">
        <f>1781</f>
        <v>1781</v>
      </c>
      <c r="Y1781" s="1">
        <f>IF(AND(U1781="INCLUDED",W1781=1),--(NOT(EXACT(A1781,'AI output'!A1781)))+--(NOT(EXACT(B1781,'AI output'!B1781)))+--(NOT(EXACT(TEXT(G1781,"yyyy-mm-dd"),'AI output'!C1781)))+--(NOT(EXACT(H1781,'AI output'!D1781)))+--(NOT(EXACT(J1781,'AI output'!E1781)))+--(NOT(EXACT(K1781,'AI output'!F1781)))+--(N1781&lt;&gt;'AI output'!L1781)+--(NOT('AI output'!M1781)),0)</f>
        <v>0</v>
      </c>
      <c r="Z1781" s="1">
        <f t="shared" si="223"/>
        <v>0</v>
      </c>
      <c r="AA1781" s="1">
        <f>--EXACT(A1781,"L01775")</f>
        <v>1</v>
      </c>
    </row>
    <row r="1782" spans="1:27" ht="18.95" customHeight="1">
      <c r="A1782" s="1" t="str">
        <f>IF(Raw!A1782="","",Raw!A1782)</f>
        <v>L01776</v>
      </c>
      <c r="B1782" s="1" t="str">
        <f>IF(Raw!B1782="","",Raw!B1782)</f>
        <v>T00888</v>
      </c>
      <c r="C1782" s="1" t="str">
        <f>IF(Raw!C1782="","",Raw!C1782)</f>
        <v>2026-03-31</v>
      </c>
      <c r="D1782" s="1">
        <f t="shared" si="216"/>
        <v>2026</v>
      </c>
      <c r="E1782" s="1">
        <f>IFERROR(IF(AND(LEN(C1782)=10,MID(C1782,5,1)="-",MID(C1782,8,1)="-"),VALUE(MID(C1782,6,2)),IF(AND(LEN(C1782)=11,MID(C1782,3,1)="-",MID(C1782,7,1)="-"),MATCH(UPPER(MID(C1782,4,3)),Guide!$D$7:$D$18,0),0)),0)</f>
        <v>3</v>
      </c>
      <c r="F1782" s="1">
        <f t="shared" si="217"/>
        <v>31</v>
      </c>
      <c r="G1782" s="9">
        <f t="shared" si="218"/>
        <v>46112</v>
      </c>
      <c r="H1782" s="1" t="str">
        <f>IF(Raw!D1782="","",Raw!D1782)</f>
        <v>P-O</v>
      </c>
      <c r="I1782" s="1" t="str">
        <f>IFERROR(IF(EXACT(H1782,INDEX(Guide!$A$7:$A$9,MATCH(SUBSTITUTE(SUBSTITUTE(SUBSTITUTE(H1782,"~","~~"),"*","~*"),"?","~?"),Guide!$A$7:$A$9,0))),INDEX(Guide!$B$7:$B$9,MATCH(SUBSTITUTE(SUBSTITUTE(SUBSTITUTE(H1782,"~","~~"),"*","~*"),"?","~?"),Guide!$A$7:$A$9,0)),""),"")</f>
        <v>Office</v>
      </c>
      <c r="J1782" s="1" t="str">
        <f>IF(TRIM(Raw!E1782)="",I1782,IF(UPPER(TRIM(Raw!E1782))=UPPER(I1782),I1782,""))</f>
        <v>Office</v>
      </c>
      <c r="K1782" s="1" t="str">
        <f>IF(Raw!F1782="","",Raw!F1782)</f>
        <v>sale</v>
      </c>
      <c r="L1782" s="1" t="str">
        <f>IF(LEFT(TRIM(Raw!G1782),2)="-$","-"&amp;MID(TRIM(Raw!G1782),3,99),IF(LEFT(TRIM(Raw!G1782),1)="$",MID(TRIM(Raw!G1782),2,99),TRIM(Raw!G1782)))</f>
        <v>61.74</v>
      </c>
      <c r="M1782" s="1">
        <f t="shared" si="219"/>
        <v>61.74</v>
      </c>
      <c r="N1782" s="10">
        <f t="shared" si="220"/>
        <v>6174</v>
      </c>
      <c r="O1782" s="1" t="b">
        <f>IFERROR(IF(ISNUMBER(Raw!G1782),TRUE,OR(EXACT(L1782,TEXT(M1782,"0.00")),EXACT(L1782,TEXT(M1782,"#,##0.00")))),FALSE)</f>
        <v>1</v>
      </c>
      <c r="P1782" s="1" t="str">
        <f>LEN(IF(Raw!A1782="","",Raw!A1782))&amp;":"&amp;IF(Raw!A1782="","",Raw!A1782)&amp;"|"&amp;LEN(IF(Raw!B1782="","",Raw!B1782))&amp;":"&amp;IF(Raw!B1782="","",Raw!B1782)&amp;"|"&amp;LEN(IF(Raw!C1782="","",Raw!C1782))&amp;":"&amp;IF(Raw!C1782="","",Raw!C1782)&amp;"|"&amp;LEN(IF(Raw!D1782="","",Raw!D1782))&amp;":"&amp;IF(Raw!D1782="","",Raw!D1782)&amp;"|"&amp;LEN(IF(Raw!E1782="","",Raw!E1782))&amp;":"&amp;IF(Raw!E1782="","",Raw!E1782)&amp;"|"&amp;LEN(IF(Raw!F1782="","",Raw!F1782))&amp;":"&amp;IF(Raw!F1782="","",Raw!F1782)&amp;"|"&amp;LEN(IF(Raw!G1782="","",Raw!G1782))&amp;":"&amp;IF(Raw!G1782="","",Raw!G1782)</f>
        <v>6:L01776|6:T00888|10:2026-03-31|3:P-O|6:Office|4:sale|5:61.74</v>
      </c>
      <c r="Q1782" s="1">
        <f>1</f>
        <v>1</v>
      </c>
      <c r="R1782" s="1" t="b">
        <f>FALSE</f>
        <v>0</v>
      </c>
      <c r="S1782" s="1">
        <f>1</f>
        <v>1</v>
      </c>
      <c r="T1782" s="1" t="str">
        <f>IF(AND(Raw!A1782="",Raw!B1782="",Raw!C1782="",Raw!D1782="",Raw!E1782="",Raw!F1782="",Raw!G1782=""),"UNUSED",IF(A1782="","missing line ID",IF(B1782="","missing transaction ID",IF(G1782="",IF(C1782="","missing date","invalid date"),IF(I1782="","unknown product",IF(J1782="","conflicting category",IF(NOT(OR(EXACT(K1782,"sale"),EXACT(K1782,"refund"))),"unknown event",IF(OR(N1782="",NOT(O1782)),"invalid amount",IF(OR(AND(K1782="sale",N1782&lt;=0),AND(K1782="refund",N1782&gt;=0)),"invalid sign","")))))))))</f>
        <v/>
      </c>
      <c r="U1782" s="1" t="str">
        <f t="shared" si="221"/>
        <v>INCLUDED</v>
      </c>
      <c r="V1782" s="1" t="str">
        <f t="shared" si="222"/>
        <v>2026-03</v>
      </c>
      <c r="W1782" s="1">
        <f>IF(AND(U1782="INCLUDED",X1782&gt;0,EXACT(A1782,'AI output'!A1782)),1,0)</f>
        <v>1</v>
      </c>
      <c r="X1782" s="1">
        <f>1782</f>
        <v>1782</v>
      </c>
      <c r="Y1782" s="1">
        <f>IF(AND(U1782="INCLUDED",W1782=1),--(NOT(EXACT(A1782,'AI output'!A1782)))+--(NOT(EXACT(B1782,'AI output'!B1782)))+--(NOT(EXACT(TEXT(G1782,"yyyy-mm-dd"),'AI output'!C1782)))+--(NOT(EXACT(H1782,'AI output'!D1782)))+--(NOT(EXACT(J1782,'AI output'!E1782)))+--(NOT(EXACT(K1782,'AI output'!F1782)))+--(N1782&lt;&gt;'AI output'!L1782)+--(NOT('AI output'!M1782)),0)</f>
        <v>0</v>
      </c>
      <c r="Z1782" s="1">
        <f t="shared" si="223"/>
        <v>0</v>
      </c>
      <c r="AA1782" s="1">
        <f>--EXACT(A1782,"L01776")</f>
        <v>1</v>
      </c>
    </row>
    <row r="1783" spans="1:27" ht="18.95" customHeight="1">
      <c r="A1783" s="1" t="str">
        <f>IF(Raw!A1783="","",Raw!A1783)</f>
        <v>L01777</v>
      </c>
      <c r="B1783" s="1" t="str">
        <f>IF(Raw!B1783="","",Raw!B1783)</f>
        <v>T00889</v>
      </c>
      <c r="C1783" s="1" t="str">
        <f>IF(Raw!C1783="","",Raw!C1783)</f>
        <v>2026-01-07</v>
      </c>
      <c r="D1783" s="1">
        <f t="shared" si="216"/>
        <v>2026</v>
      </c>
      <c r="E1783" s="1">
        <f>IFERROR(IF(AND(LEN(C1783)=10,MID(C1783,5,1)="-",MID(C1783,8,1)="-"),VALUE(MID(C1783,6,2)),IF(AND(LEN(C1783)=11,MID(C1783,3,1)="-",MID(C1783,7,1)="-"),MATCH(UPPER(MID(C1783,4,3)),Guide!$D$7:$D$18,0),0)),0)</f>
        <v>1</v>
      </c>
      <c r="F1783" s="1">
        <f t="shared" si="217"/>
        <v>7</v>
      </c>
      <c r="G1783" s="9">
        <f t="shared" si="218"/>
        <v>46029</v>
      </c>
      <c r="H1783" s="1" t="str">
        <f>IF(Raw!D1783="","",Raw!D1783)</f>
        <v>P-A</v>
      </c>
      <c r="I1783" s="1" t="str">
        <f>IFERROR(IF(EXACT(H1783,INDEX(Guide!$A$7:$A$9,MATCH(SUBSTITUTE(SUBSTITUTE(SUBSTITUTE(H1783,"~","~~"),"*","~*"),"?","~?"),Guide!$A$7:$A$9,0))),INDEX(Guide!$B$7:$B$9,MATCH(SUBSTITUTE(SUBSTITUTE(SUBSTITUTE(H1783,"~","~~"),"*","~*"),"?","~?"),Guide!$A$7:$A$9,0)),""),"")</f>
        <v>Accessories</v>
      </c>
      <c r="J1783" s="1" t="str">
        <f>IF(TRIM(Raw!E1783)="",I1783,IF(UPPER(TRIM(Raw!E1783))=UPPER(I1783),I1783,""))</f>
        <v>Accessories</v>
      </c>
      <c r="K1783" s="1" t="str">
        <f>IF(Raw!F1783="","",Raw!F1783)</f>
        <v>sale</v>
      </c>
      <c r="L1783" s="1" t="str">
        <f>IF(LEFT(TRIM(Raw!G1783),2)="-$","-"&amp;MID(TRIM(Raw!G1783),3,99),IF(LEFT(TRIM(Raw!G1783),1)="$",MID(TRIM(Raw!G1783),2,99),TRIM(Raw!G1783)))</f>
        <v>186.33</v>
      </c>
      <c r="M1783" s="1">
        <f t="shared" si="219"/>
        <v>186.33</v>
      </c>
      <c r="N1783" s="10">
        <f t="shared" si="220"/>
        <v>18633</v>
      </c>
      <c r="O1783" s="1" t="b">
        <f>IFERROR(IF(ISNUMBER(Raw!G1783),TRUE,OR(EXACT(L1783,TEXT(M1783,"0.00")),EXACT(L1783,TEXT(M1783,"#,##0.00")))),FALSE)</f>
        <v>1</v>
      </c>
      <c r="P1783" s="1" t="str">
        <f>LEN(IF(Raw!A1783="","",Raw!A1783))&amp;":"&amp;IF(Raw!A1783="","",Raw!A1783)&amp;"|"&amp;LEN(IF(Raw!B1783="","",Raw!B1783))&amp;":"&amp;IF(Raw!B1783="","",Raw!B1783)&amp;"|"&amp;LEN(IF(Raw!C1783="","",Raw!C1783))&amp;":"&amp;IF(Raw!C1783="","",Raw!C1783)&amp;"|"&amp;LEN(IF(Raw!D1783="","",Raw!D1783))&amp;":"&amp;IF(Raw!D1783="","",Raw!D1783)&amp;"|"&amp;LEN(IF(Raw!E1783="","",Raw!E1783))&amp;":"&amp;IF(Raw!E1783="","",Raw!E1783)&amp;"|"&amp;LEN(IF(Raw!F1783="","",Raw!F1783))&amp;":"&amp;IF(Raw!F1783="","",Raw!F1783)&amp;"|"&amp;LEN(IF(Raw!G1783="","",Raw!G1783))&amp;":"&amp;IF(Raw!G1783="","",Raw!G1783)</f>
        <v>6:L01777|6:T00889|10:2026-01-07|3:P-A|11:Accessories|4:sale|6:186.33</v>
      </c>
      <c r="Q1783" s="1">
        <f>1</f>
        <v>1</v>
      </c>
      <c r="R1783" s="1" t="b">
        <f>FALSE</f>
        <v>0</v>
      </c>
      <c r="S1783" s="1">
        <f>1</f>
        <v>1</v>
      </c>
      <c r="T1783" s="1" t="str">
        <f>IF(AND(Raw!A1783="",Raw!B1783="",Raw!C1783="",Raw!D1783="",Raw!E1783="",Raw!F1783="",Raw!G1783=""),"UNUSED",IF(A1783="","missing line ID",IF(B1783="","missing transaction ID",IF(G1783="",IF(C1783="","missing date","invalid date"),IF(I1783="","unknown product",IF(J1783="","conflicting category",IF(NOT(OR(EXACT(K1783,"sale"),EXACT(K1783,"refund"))),"unknown event",IF(OR(N1783="",NOT(O1783)),"invalid amount",IF(OR(AND(K1783="sale",N1783&lt;=0),AND(K1783="refund",N1783&gt;=0)),"invalid sign","")))))))))</f>
        <v/>
      </c>
      <c r="U1783" s="1" t="str">
        <f t="shared" si="221"/>
        <v>INCLUDED</v>
      </c>
      <c r="V1783" s="1" t="str">
        <f t="shared" si="222"/>
        <v>2026-01</v>
      </c>
      <c r="W1783" s="1">
        <f>IF(AND(U1783="INCLUDED",X1783&gt;0,EXACT(A1783,'AI output'!A1783)),1,0)</f>
        <v>1</v>
      </c>
      <c r="X1783" s="1">
        <f>1783</f>
        <v>1783</v>
      </c>
      <c r="Y1783" s="1">
        <f>IF(AND(U1783="INCLUDED",W1783=1),--(NOT(EXACT(A1783,'AI output'!A1783)))+--(NOT(EXACT(B1783,'AI output'!B1783)))+--(NOT(EXACT(TEXT(G1783,"yyyy-mm-dd"),'AI output'!C1783)))+--(NOT(EXACT(H1783,'AI output'!D1783)))+--(NOT(EXACT(J1783,'AI output'!E1783)))+--(NOT(EXACT(K1783,'AI output'!F1783)))+--(N1783&lt;&gt;'AI output'!L1783)+--(NOT('AI output'!M1783)),0)</f>
        <v>0</v>
      </c>
      <c r="Z1783" s="1">
        <f t="shared" si="223"/>
        <v>0</v>
      </c>
      <c r="AA1783" s="1">
        <f>--EXACT(A1783,"L01777")</f>
        <v>1</v>
      </c>
    </row>
    <row r="1784" spans="1:27" ht="18.95" customHeight="1">
      <c r="A1784" s="1" t="str">
        <f>IF(Raw!A1784="","",Raw!A1784)</f>
        <v>L01778</v>
      </c>
      <c r="B1784" s="1" t="str">
        <f>IF(Raw!B1784="","",Raw!B1784)</f>
        <v>T00889</v>
      </c>
      <c r="C1784" s="1" t="str">
        <f>IF(Raw!C1784="","",Raw!C1784)</f>
        <v>2026-01-07</v>
      </c>
      <c r="D1784" s="1">
        <f t="shared" si="216"/>
        <v>2026</v>
      </c>
      <c r="E1784" s="1">
        <f>IFERROR(IF(AND(LEN(C1784)=10,MID(C1784,5,1)="-",MID(C1784,8,1)="-"),VALUE(MID(C1784,6,2)),IF(AND(LEN(C1784)=11,MID(C1784,3,1)="-",MID(C1784,7,1)="-"),MATCH(UPPER(MID(C1784,4,3)),Guide!$D$7:$D$18,0),0)),0)</f>
        <v>1</v>
      </c>
      <c r="F1784" s="1">
        <f t="shared" si="217"/>
        <v>7</v>
      </c>
      <c r="G1784" s="9">
        <f t="shared" si="218"/>
        <v>46029</v>
      </c>
      <c r="H1784" s="1" t="str">
        <f>IF(Raw!D1784="","",Raw!D1784)</f>
        <v>P-H</v>
      </c>
      <c r="I1784" s="1" t="str">
        <f>IFERROR(IF(EXACT(H1784,INDEX(Guide!$A$7:$A$9,MATCH(SUBSTITUTE(SUBSTITUTE(SUBSTITUTE(H1784,"~","~~"),"*","~*"),"?","~?"),Guide!$A$7:$A$9,0))),INDEX(Guide!$B$7:$B$9,MATCH(SUBSTITUTE(SUBSTITUTE(SUBSTITUTE(H1784,"~","~~"),"*","~*"),"?","~?"),Guide!$A$7:$A$9,0)),""),"")</f>
        <v>Home</v>
      </c>
      <c r="J1784" s="1" t="str">
        <f>IF(TRIM(Raw!E1784)="",I1784,IF(UPPER(TRIM(Raw!E1784))=UPPER(I1784),I1784,""))</f>
        <v>Home</v>
      </c>
      <c r="K1784" s="1" t="str">
        <f>IF(Raw!F1784="","",Raw!F1784)</f>
        <v>sale</v>
      </c>
      <c r="L1784" s="1" t="str">
        <f>IF(LEFT(TRIM(Raw!G1784),2)="-$","-"&amp;MID(TRIM(Raw!G1784),3,99),IF(LEFT(TRIM(Raw!G1784),1)="$",MID(TRIM(Raw!G1784),2,99),TRIM(Raw!G1784)))</f>
        <v>312.40</v>
      </c>
      <c r="M1784" s="1">
        <f t="shared" si="219"/>
        <v>312.39999999999998</v>
      </c>
      <c r="N1784" s="10">
        <f t="shared" si="220"/>
        <v>31240</v>
      </c>
      <c r="O1784" s="1" t="b">
        <f>IFERROR(IF(ISNUMBER(Raw!G1784),TRUE,OR(EXACT(L1784,TEXT(M1784,"0.00")),EXACT(L1784,TEXT(M1784,"#,##0.00")))),FALSE)</f>
        <v>1</v>
      </c>
      <c r="P1784" s="1" t="str">
        <f>LEN(IF(Raw!A1784="","",Raw!A1784))&amp;":"&amp;IF(Raw!A1784="","",Raw!A1784)&amp;"|"&amp;LEN(IF(Raw!B1784="","",Raw!B1784))&amp;":"&amp;IF(Raw!B1784="","",Raw!B1784)&amp;"|"&amp;LEN(IF(Raw!C1784="","",Raw!C1784))&amp;":"&amp;IF(Raw!C1784="","",Raw!C1784)&amp;"|"&amp;LEN(IF(Raw!D1784="","",Raw!D1784))&amp;":"&amp;IF(Raw!D1784="","",Raw!D1784)&amp;"|"&amp;LEN(IF(Raw!E1784="","",Raw!E1784))&amp;":"&amp;IF(Raw!E1784="","",Raw!E1784)&amp;"|"&amp;LEN(IF(Raw!F1784="","",Raw!F1784))&amp;":"&amp;IF(Raw!F1784="","",Raw!F1784)&amp;"|"&amp;LEN(IF(Raw!G1784="","",Raw!G1784))&amp;":"&amp;IF(Raw!G1784="","",Raw!G1784)</f>
        <v>6:L01778|6:T00889|10:2026-01-07|3:P-H|4:Home|4:sale|6:312.40</v>
      </c>
      <c r="Q1784" s="1">
        <f>1</f>
        <v>1</v>
      </c>
      <c r="R1784" s="1" t="b">
        <f>FALSE</f>
        <v>0</v>
      </c>
      <c r="S1784" s="1">
        <f>1</f>
        <v>1</v>
      </c>
      <c r="T1784" s="1" t="str">
        <f>IF(AND(Raw!A1784="",Raw!B1784="",Raw!C1784="",Raw!D1784="",Raw!E1784="",Raw!F1784="",Raw!G1784=""),"UNUSED",IF(A1784="","missing line ID",IF(B1784="","missing transaction ID",IF(G1784="",IF(C1784="","missing date","invalid date"),IF(I1784="","unknown product",IF(J1784="","conflicting category",IF(NOT(OR(EXACT(K1784,"sale"),EXACT(K1784,"refund"))),"unknown event",IF(OR(N1784="",NOT(O1784)),"invalid amount",IF(OR(AND(K1784="sale",N1784&lt;=0),AND(K1784="refund",N1784&gt;=0)),"invalid sign","")))))))))</f>
        <v/>
      </c>
      <c r="U1784" s="1" t="str">
        <f t="shared" si="221"/>
        <v>INCLUDED</v>
      </c>
      <c r="V1784" s="1" t="str">
        <f t="shared" si="222"/>
        <v>2026-01</v>
      </c>
      <c r="W1784" s="1">
        <f>IF(AND(U1784="INCLUDED",X1784&gt;0,EXACT(A1784,'AI output'!A1784)),1,0)</f>
        <v>1</v>
      </c>
      <c r="X1784" s="1">
        <f>1784</f>
        <v>1784</v>
      </c>
      <c r="Y1784" s="1">
        <f>IF(AND(U1784="INCLUDED",W1784=1),--(NOT(EXACT(A1784,'AI output'!A1784)))+--(NOT(EXACT(B1784,'AI output'!B1784)))+--(NOT(EXACT(TEXT(G1784,"yyyy-mm-dd"),'AI output'!C1784)))+--(NOT(EXACT(H1784,'AI output'!D1784)))+--(NOT(EXACT(J1784,'AI output'!E1784)))+--(NOT(EXACT(K1784,'AI output'!F1784)))+--(N1784&lt;&gt;'AI output'!L1784)+--(NOT('AI output'!M1784)),0)</f>
        <v>0</v>
      </c>
      <c r="Z1784" s="1">
        <f t="shared" si="223"/>
        <v>0</v>
      </c>
      <c r="AA1784" s="1">
        <f>--EXACT(A1784,"L01778")</f>
        <v>1</v>
      </c>
    </row>
    <row r="1785" spans="1:27" ht="18.95" customHeight="1">
      <c r="A1785" s="1" t="str">
        <f>IF(Raw!A1785="","",Raw!A1785)</f>
        <v>L01779</v>
      </c>
      <c r="B1785" s="1" t="str">
        <f>IF(Raw!B1785="","",Raw!B1785)</f>
        <v>T00890</v>
      </c>
      <c r="C1785" s="1" t="str">
        <f>IF(Raw!C1785="","",Raw!C1785)</f>
        <v>2026-01-14</v>
      </c>
      <c r="D1785" s="1">
        <f t="shared" si="216"/>
        <v>2026</v>
      </c>
      <c r="E1785" s="1">
        <f>IFERROR(IF(AND(LEN(C1785)=10,MID(C1785,5,1)="-",MID(C1785,8,1)="-"),VALUE(MID(C1785,6,2)),IF(AND(LEN(C1785)=11,MID(C1785,3,1)="-",MID(C1785,7,1)="-"),MATCH(UPPER(MID(C1785,4,3)),Guide!$D$7:$D$18,0),0)),0)</f>
        <v>1</v>
      </c>
      <c r="F1785" s="1">
        <f t="shared" si="217"/>
        <v>14</v>
      </c>
      <c r="G1785" s="9">
        <f t="shared" si="218"/>
        <v>46036</v>
      </c>
      <c r="H1785" s="1" t="str">
        <f>IF(Raw!D1785="","",Raw!D1785)</f>
        <v>P-O</v>
      </c>
      <c r="I1785" s="1" t="str">
        <f>IFERROR(IF(EXACT(H1785,INDEX(Guide!$A$7:$A$9,MATCH(SUBSTITUTE(SUBSTITUTE(SUBSTITUTE(H1785,"~","~~"),"*","~*"),"?","~?"),Guide!$A$7:$A$9,0))),INDEX(Guide!$B$7:$B$9,MATCH(SUBSTITUTE(SUBSTITUTE(SUBSTITUTE(H1785,"~","~~"),"*","~*"),"?","~?"),Guide!$A$7:$A$9,0)),""),"")</f>
        <v>Office</v>
      </c>
      <c r="J1785" s="1" t="str">
        <f>IF(TRIM(Raw!E1785)="",I1785,IF(UPPER(TRIM(Raw!E1785))=UPPER(I1785),I1785,""))</f>
        <v>Office</v>
      </c>
      <c r="K1785" s="1" t="str">
        <f>IF(Raw!F1785="","",Raw!F1785)</f>
        <v>sale</v>
      </c>
      <c r="L1785" s="1" t="str">
        <f>IF(LEFT(TRIM(Raw!G1785),2)="-$","-"&amp;MID(TRIM(Raw!G1785),3,99),IF(LEFT(TRIM(Raw!G1785),1)="$",MID(TRIM(Raw!G1785),2,99),TRIM(Raw!G1785)))</f>
        <v>125.70</v>
      </c>
      <c r="M1785" s="1">
        <f t="shared" si="219"/>
        <v>125.7</v>
      </c>
      <c r="N1785" s="10">
        <f t="shared" si="220"/>
        <v>12570</v>
      </c>
      <c r="O1785" s="1" t="b">
        <f>IFERROR(IF(ISNUMBER(Raw!G1785),TRUE,OR(EXACT(L1785,TEXT(M1785,"0.00")),EXACT(L1785,TEXT(M1785,"#,##0.00")))),FALSE)</f>
        <v>1</v>
      </c>
      <c r="P1785" s="1" t="str">
        <f>LEN(IF(Raw!A1785="","",Raw!A1785))&amp;":"&amp;IF(Raw!A1785="","",Raw!A1785)&amp;"|"&amp;LEN(IF(Raw!B1785="","",Raw!B1785))&amp;":"&amp;IF(Raw!B1785="","",Raw!B1785)&amp;"|"&amp;LEN(IF(Raw!C1785="","",Raw!C1785))&amp;":"&amp;IF(Raw!C1785="","",Raw!C1785)&amp;"|"&amp;LEN(IF(Raw!D1785="","",Raw!D1785))&amp;":"&amp;IF(Raw!D1785="","",Raw!D1785)&amp;"|"&amp;LEN(IF(Raw!E1785="","",Raw!E1785))&amp;":"&amp;IF(Raw!E1785="","",Raw!E1785)&amp;"|"&amp;LEN(IF(Raw!F1785="","",Raw!F1785))&amp;":"&amp;IF(Raw!F1785="","",Raw!F1785)&amp;"|"&amp;LEN(IF(Raw!G1785="","",Raw!G1785))&amp;":"&amp;IF(Raw!G1785="","",Raw!G1785)</f>
        <v>6:L01779|6:T00890|10:2026-01-14|3:P-O|6:Office|4:sale|6:125.70</v>
      </c>
      <c r="Q1785" s="1">
        <f>1</f>
        <v>1</v>
      </c>
      <c r="R1785" s="1" t="b">
        <f>FALSE</f>
        <v>0</v>
      </c>
      <c r="S1785" s="1">
        <f>1</f>
        <v>1</v>
      </c>
      <c r="T1785" s="1" t="str">
        <f>IF(AND(Raw!A1785="",Raw!B1785="",Raw!C1785="",Raw!D1785="",Raw!E1785="",Raw!F1785="",Raw!G1785=""),"UNUSED",IF(A1785="","missing line ID",IF(B1785="","missing transaction ID",IF(G1785="",IF(C1785="","missing date","invalid date"),IF(I1785="","unknown product",IF(J1785="","conflicting category",IF(NOT(OR(EXACT(K1785,"sale"),EXACT(K1785,"refund"))),"unknown event",IF(OR(N1785="",NOT(O1785)),"invalid amount",IF(OR(AND(K1785="sale",N1785&lt;=0),AND(K1785="refund",N1785&gt;=0)),"invalid sign","")))))))))</f>
        <v/>
      </c>
      <c r="U1785" s="1" t="str">
        <f t="shared" si="221"/>
        <v>INCLUDED</v>
      </c>
      <c r="V1785" s="1" t="str">
        <f t="shared" si="222"/>
        <v>2026-01</v>
      </c>
      <c r="W1785" s="1">
        <f>IF(AND(U1785="INCLUDED",X1785&gt;0,EXACT(A1785,'AI output'!A1785)),1,0)</f>
        <v>1</v>
      </c>
      <c r="X1785" s="1">
        <f>1785</f>
        <v>1785</v>
      </c>
      <c r="Y1785" s="1">
        <f>IF(AND(U1785="INCLUDED",W1785=1),--(NOT(EXACT(A1785,'AI output'!A1785)))+--(NOT(EXACT(B1785,'AI output'!B1785)))+--(NOT(EXACT(TEXT(G1785,"yyyy-mm-dd"),'AI output'!C1785)))+--(NOT(EXACT(H1785,'AI output'!D1785)))+--(NOT(EXACT(J1785,'AI output'!E1785)))+--(NOT(EXACT(K1785,'AI output'!F1785)))+--(N1785&lt;&gt;'AI output'!L1785)+--(NOT('AI output'!M1785)),0)</f>
        <v>0</v>
      </c>
      <c r="Z1785" s="1">
        <f t="shared" si="223"/>
        <v>0</v>
      </c>
      <c r="AA1785" s="1">
        <f>--EXACT(A1785,"L01779")</f>
        <v>1</v>
      </c>
    </row>
    <row r="1786" spans="1:27" ht="18.95" customHeight="1">
      <c r="A1786" s="1" t="str">
        <f>IF(Raw!A1786="","",Raw!A1786)</f>
        <v>L01780</v>
      </c>
      <c r="B1786" s="1" t="str">
        <f>IF(Raw!B1786="","",Raw!B1786)</f>
        <v>T00890</v>
      </c>
      <c r="C1786" s="1" t="str">
        <f>IF(Raw!C1786="","",Raw!C1786)</f>
        <v>2026-01-14</v>
      </c>
      <c r="D1786" s="1">
        <f t="shared" si="216"/>
        <v>2026</v>
      </c>
      <c r="E1786" s="1">
        <f>IFERROR(IF(AND(LEN(C1786)=10,MID(C1786,5,1)="-",MID(C1786,8,1)="-"),VALUE(MID(C1786,6,2)),IF(AND(LEN(C1786)=11,MID(C1786,3,1)="-",MID(C1786,7,1)="-"),MATCH(UPPER(MID(C1786,4,3)),Guide!$D$7:$D$18,0),0)),0)</f>
        <v>1</v>
      </c>
      <c r="F1786" s="1">
        <f t="shared" si="217"/>
        <v>14</v>
      </c>
      <c r="G1786" s="9">
        <f t="shared" si="218"/>
        <v>46036</v>
      </c>
      <c r="H1786" s="1" t="str">
        <f>IF(Raw!D1786="","",Raw!D1786)</f>
        <v>P-A</v>
      </c>
      <c r="I1786" s="1" t="str">
        <f>IFERROR(IF(EXACT(H1786,INDEX(Guide!$A$7:$A$9,MATCH(SUBSTITUTE(SUBSTITUTE(SUBSTITUTE(H1786,"~","~~"),"*","~*"),"?","~?"),Guide!$A$7:$A$9,0))),INDEX(Guide!$B$7:$B$9,MATCH(SUBSTITUTE(SUBSTITUTE(SUBSTITUTE(H1786,"~","~~"),"*","~*"),"?","~?"),Guide!$A$7:$A$9,0)),""),"")</f>
        <v>Accessories</v>
      </c>
      <c r="J1786" s="1" t="str">
        <f>IF(TRIM(Raw!E1786)="",I1786,IF(UPPER(TRIM(Raw!E1786))=UPPER(I1786),I1786,""))</f>
        <v>Accessories</v>
      </c>
      <c r="K1786" s="1" t="str">
        <f>IF(Raw!F1786="","",Raw!F1786)</f>
        <v>sale</v>
      </c>
      <c r="L1786" s="1" t="str">
        <f>IF(LEFT(TRIM(Raw!G1786),2)="-$","-"&amp;MID(TRIM(Raw!G1786),3,99),IF(LEFT(TRIM(Raw!G1786),1)="$",MID(TRIM(Raw!G1786),2,99),TRIM(Raw!G1786)))</f>
        <v>252.88</v>
      </c>
      <c r="M1786" s="1">
        <f t="shared" si="219"/>
        <v>252.88</v>
      </c>
      <c r="N1786" s="10">
        <f t="shared" si="220"/>
        <v>25288</v>
      </c>
      <c r="O1786" s="1" t="b">
        <f>IFERROR(IF(ISNUMBER(Raw!G1786),TRUE,OR(EXACT(L1786,TEXT(M1786,"0.00")),EXACT(L1786,TEXT(M1786,"#,##0.00")))),FALSE)</f>
        <v>1</v>
      </c>
      <c r="P1786" s="1" t="str">
        <f>LEN(IF(Raw!A1786="","",Raw!A1786))&amp;":"&amp;IF(Raw!A1786="","",Raw!A1786)&amp;"|"&amp;LEN(IF(Raw!B1786="","",Raw!B1786))&amp;":"&amp;IF(Raw!B1786="","",Raw!B1786)&amp;"|"&amp;LEN(IF(Raw!C1786="","",Raw!C1786))&amp;":"&amp;IF(Raw!C1786="","",Raw!C1786)&amp;"|"&amp;LEN(IF(Raw!D1786="","",Raw!D1786))&amp;":"&amp;IF(Raw!D1786="","",Raw!D1786)&amp;"|"&amp;LEN(IF(Raw!E1786="","",Raw!E1786))&amp;":"&amp;IF(Raw!E1786="","",Raw!E1786)&amp;"|"&amp;LEN(IF(Raw!F1786="","",Raw!F1786))&amp;":"&amp;IF(Raw!F1786="","",Raw!F1786)&amp;"|"&amp;LEN(IF(Raw!G1786="","",Raw!G1786))&amp;":"&amp;IF(Raw!G1786="","",Raw!G1786)</f>
        <v>6:L01780|6:T00890|10:2026-01-14|3:P-A|11:Accessories|4:sale|6:252.88</v>
      </c>
      <c r="Q1786" s="1">
        <f>1</f>
        <v>1</v>
      </c>
      <c r="R1786" s="1" t="b">
        <f>FALSE</f>
        <v>0</v>
      </c>
      <c r="S1786" s="1">
        <f>1</f>
        <v>1</v>
      </c>
      <c r="T1786" s="1" t="str">
        <f>IF(AND(Raw!A1786="",Raw!B1786="",Raw!C1786="",Raw!D1786="",Raw!E1786="",Raw!F1786="",Raw!G1786=""),"UNUSED",IF(A1786="","missing line ID",IF(B1786="","missing transaction ID",IF(G1786="",IF(C1786="","missing date","invalid date"),IF(I1786="","unknown product",IF(J1786="","conflicting category",IF(NOT(OR(EXACT(K1786,"sale"),EXACT(K1786,"refund"))),"unknown event",IF(OR(N1786="",NOT(O1786)),"invalid amount",IF(OR(AND(K1786="sale",N1786&lt;=0),AND(K1786="refund",N1786&gt;=0)),"invalid sign","")))))))))</f>
        <v/>
      </c>
      <c r="U1786" s="1" t="str">
        <f t="shared" si="221"/>
        <v>INCLUDED</v>
      </c>
      <c r="V1786" s="1" t="str">
        <f t="shared" si="222"/>
        <v>2026-01</v>
      </c>
      <c r="W1786" s="1">
        <f>IF(AND(U1786="INCLUDED",X1786&gt;0,EXACT(A1786,'AI output'!A1786)),1,0)</f>
        <v>1</v>
      </c>
      <c r="X1786" s="1">
        <f>1786</f>
        <v>1786</v>
      </c>
      <c r="Y1786" s="1">
        <f>IF(AND(U1786="INCLUDED",W1786=1),--(NOT(EXACT(A1786,'AI output'!A1786)))+--(NOT(EXACT(B1786,'AI output'!B1786)))+--(NOT(EXACT(TEXT(G1786,"yyyy-mm-dd"),'AI output'!C1786)))+--(NOT(EXACT(H1786,'AI output'!D1786)))+--(NOT(EXACT(J1786,'AI output'!E1786)))+--(NOT(EXACT(K1786,'AI output'!F1786)))+--(N1786&lt;&gt;'AI output'!L1786)+--(NOT('AI output'!M1786)),0)</f>
        <v>0</v>
      </c>
      <c r="Z1786" s="1">
        <f t="shared" si="223"/>
        <v>0</v>
      </c>
      <c r="AA1786" s="1">
        <f>--EXACT(A1786,"L01780")</f>
        <v>1</v>
      </c>
    </row>
    <row r="1787" spans="1:27" ht="18.95" customHeight="1">
      <c r="A1787" s="1" t="str">
        <f>IF(Raw!A1787="","",Raw!A1787)</f>
        <v>L01781</v>
      </c>
      <c r="B1787" s="1" t="str">
        <f>IF(Raw!B1787="","",Raw!B1787)</f>
        <v>T00891</v>
      </c>
      <c r="C1787" s="1" t="str">
        <f>IF(Raw!C1787="","",Raw!C1787)</f>
        <v>2026-01-21</v>
      </c>
      <c r="D1787" s="1">
        <f t="shared" si="216"/>
        <v>2026</v>
      </c>
      <c r="E1787" s="1">
        <f>IFERROR(IF(AND(LEN(C1787)=10,MID(C1787,5,1)="-",MID(C1787,8,1)="-"),VALUE(MID(C1787,6,2)),IF(AND(LEN(C1787)=11,MID(C1787,3,1)="-",MID(C1787,7,1)="-"),MATCH(UPPER(MID(C1787,4,3)),Guide!$D$7:$D$18,0),0)),0)</f>
        <v>1</v>
      </c>
      <c r="F1787" s="1">
        <f t="shared" si="217"/>
        <v>21</v>
      </c>
      <c r="G1787" s="9">
        <f t="shared" si="218"/>
        <v>46043</v>
      </c>
      <c r="H1787" s="1" t="str">
        <f>IF(Raw!D1787="","",Raw!D1787)</f>
        <v>P-H</v>
      </c>
      <c r="I1787" s="1" t="str">
        <f>IFERROR(IF(EXACT(H1787,INDEX(Guide!$A$7:$A$9,MATCH(SUBSTITUTE(SUBSTITUTE(SUBSTITUTE(H1787,"~","~~"),"*","~*"),"?","~?"),Guide!$A$7:$A$9,0))),INDEX(Guide!$B$7:$B$9,MATCH(SUBSTITUTE(SUBSTITUTE(SUBSTITUTE(H1787,"~","~~"),"*","~*"),"?","~?"),Guide!$A$7:$A$9,0)),""),"")</f>
        <v>Home</v>
      </c>
      <c r="J1787" s="1" t="str">
        <f>IF(TRIM(Raw!E1787)="",I1787,IF(UPPER(TRIM(Raw!E1787))=UPPER(I1787),I1787,""))</f>
        <v>Home</v>
      </c>
      <c r="K1787" s="1" t="str">
        <f>IF(Raw!F1787="","",Raw!F1787)</f>
        <v>sale</v>
      </c>
      <c r="L1787" s="1" t="str">
        <f>IF(LEFT(TRIM(Raw!G1787),2)="-$","-"&amp;MID(TRIM(Raw!G1787),3,99),IF(LEFT(TRIM(Raw!G1787),1)="$",MID(TRIM(Raw!G1787),2,99),TRIM(Raw!G1787)))</f>
        <v>63.59</v>
      </c>
      <c r="M1787" s="1">
        <f t="shared" si="219"/>
        <v>63.59</v>
      </c>
      <c r="N1787" s="10">
        <f t="shared" si="220"/>
        <v>6359</v>
      </c>
      <c r="O1787" s="1" t="b">
        <f>IFERROR(IF(ISNUMBER(Raw!G1787),TRUE,OR(EXACT(L1787,TEXT(M1787,"0.00")),EXACT(L1787,TEXT(M1787,"#,##0.00")))),FALSE)</f>
        <v>1</v>
      </c>
      <c r="P1787" s="1" t="str">
        <f>LEN(IF(Raw!A1787="","",Raw!A1787))&amp;":"&amp;IF(Raw!A1787="","",Raw!A1787)&amp;"|"&amp;LEN(IF(Raw!B1787="","",Raw!B1787))&amp;":"&amp;IF(Raw!B1787="","",Raw!B1787)&amp;"|"&amp;LEN(IF(Raw!C1787="","",Raw!C1787))&amp;":"&amp;IF(Raw!C1787="","",Raw!C1787)&amp;"|"&amp;LEN(IF(Raw!D1787="","",Raw!D1787))&amp;":"&amp;IF(Raw!D1787="","",Raw!D1787)&amp;"|"&amp;LEN(IF(Raw!E1787="","",Raw!E1787))&amp;":"&amp;IF(Raw!E1787="","",Raw!E1787)&amp;"|"&amp;LEN(IF(Raw!F1787="","",Raw!F1787))&amp;":"&amp;IF(Raw!F1787="","",Raw!F1787)&amp;"|"&amp;LEN(IF(Raw!G1787="","",Raw!G1787))&amp;":"&amp;IF(Raw!G1787="","",Raw!G1787)</f>
        <v>6:L01781|6:T00891|10:2026-01-21|3:P-H|4:Home|4:sale|5:63.59</v>
      </c>
      <c r="Q1787" s="1">
        <f>1</f>
        <v>1</v>
      </c>
      <c r="R1787" s="1" t="b">
        <f>FALSE</f>
        <v>0</v>
      </c>
      <c r="S1787" s="1">
        <f>1</f>
        <v>1</v>
      </c>
      <c r="T1787" s="1" t="str">
        <f>IF(AND(Raw!A1787="",Raw!B1787="",Raw!C1787="",Raw!D1787="",Raw!E1787="",Raw!F1787="",Raw!G1787=""),"UNUSED",IF(A1787="","missing line ID",IF(B1787="","missing transaction ID",IF(G1787="",IF(C1787="","missing date","invalid date"),IF(I1787="","unknown product",IF(J1787="","conflicting category",IF(NOT(OR(EXACT(K1787,"sale"),EXACT(K1787,"refund"))),"unknown event",IF(OR(N1787="",NOT(O1787)),"invalid amount",IF(OR(AND(K1787="sale",N1787&lt;=0),AND(K1787="refund",N1787&gt;=0)),"invalid sign","")))))))))</f>
        <v/>
      </c>
      <c r="U1787" s="1" t="str">
        <f t="shared" si="221"/>
        <v>INCLUDED</v>
      </c>
      <c r="V1787" s="1" t="str">
        <f t="shared" si="222"/>
        <v>2026-01</v>
      </c>
      <c r="W1787" s="1">
        <f>IF(AND(U1787="INCLUDED",X1787&gt;0,EXACT(A1787,'AI output'!A1787)),1,0)</f>
        <v>1</v>
      </c>
      <c r="X1787" s="1">
        <f>1787</f>
        <v>1787</v>
      </c>
      <c r="Y1787" s="1">
        <f>IF(AND(U1787="INCLUDED",W1787=1),--(NOT(EXACT(A1787,'AI output'!A1787)))+--(NOT(EXACT(B1787,'AI output'!B1787)))+--(NOT(EXACT(TEXT(G1787,"yyyy-mm-dd"),'AI output'!C1787)))+--(NOT(EXACT(H1787,'AI output'!D1787)))+--(NOT(EXACT(J1787,'AI output'!E1787)))+--(NOT(EXACT(K1787,'AI output'!F1787)))+--(N1787&lt;&gt;'AI output'!L1787)+--(NOT('AI output'!M1787)),0)</f>
        <v>0</v>
      </c>
      <c r="Z1787" s="1">
        <f t="shared" si="223"/>
        <v>0</v>
      </c>
      <c r="AA1787" s="1">
        <f>--EXACT(A1787,"L01781")</f>
        <v>1</v>
      </c>
    </row>
    <row r="1788" spans="1:27" ht="18.95" customHeight="1">
      <c r="A1788" s="1" t="str">
        <f>IF(Raw!A1788="","",Raw!A1788)</f>
        <v>L01782</v>
      </c>
      <c r="B1788" s="1" t="str">
        <f>IF(Raw!B1788="","",Raw!B1788)</f>
        <v>T00891</v>
      </c>
      <c r="C1788" s="1" t="str">
        <f>IF(Raw!C1788="","",Raw!C1788)</f>
        <v>2026-01-21</v>
      </c>
      <c r="D1788" s="1">
        <f t="shared" si="216"/>
        <v>2026</v>
      </c>
      <c r="E1788" s="1">
        <f>IFERROR(IF(AND(LEN(C1788)=10,MID(C1788,5,1)="-",MID(C1788,8,1)="-"),VALUE(MID(C1788,6,2)),IF(AND(LEN(C1788)=11,MID(C1788,3,1)="-",MID(C1788,7,1)="-"),MATCH(UPPER(MID(C1788,4,3)),Guide!$D$7:$D$18,0),0)),0)</f>
        <v>1</v>
      </c>
      <c r="F1788" s="1">
        <f t="shared" si="217"/>
        <v>21</v>
      </c>
      <c r="G1788" s="9">
        <f t="shared" si="218"/>
        <v>46043</v>
      </c>
      <c r="H1788" s="1" t="str">
        <f>IF(Raw!D1788="","",Raw!D1788)</f>
        <v>P-O</v>
      </c>
      <c r="I1788" s="1" t="str">
        <f>IFERROR(IF(EXACT(H1788,INDEX(Guide!$A$7:$A$9,MATCH(SUBSTITUTE(SUBSTITUTE(SUBSTITUTE(H1788,"~","~~"),"*","~*"),"?","~?"),Guide!$A$7:$A$9,0))),INDEX(Guide!$B$7:$B$9,MATCH(SUBSTITUTE(SUBSTITUTE(SUBSTITUTE(H1788,"~","~~"),"*","~*"),"?","~?"),Guide!$A$7:$A$9,0)),""),"")</f>
        <v>Office</v>
      </c>
      <c r="J1788" s="1" t="str">
        <f>IF(TRIM(Raw!E1788)="",I1788,IF(UPPER(TRIM(Raw!E1788))=UPPER(I1788),I1788,""))</f>
        <v>Office</v>
      </c>
      <c r="K1788" s="1" t="str">
        <f>IF(Raw!F1788="","",Raw!F1788)</f>
        <v>sale</v>
      </c>
      <c r="L1788" s="1" t="str">
        <f>IF(LEFT(TRIM(Raw!G1788),2)="-$","-"&amp;MID(TRIM(Raw!G1788),3,99),IF(LEFT(TRIM(Raw!G1788),1)="$",MID(TRIM(Raw!G1788),2,99),TRIM(Raw!G1788)))</f>
        <v>191.88</v>
      </c>
      <c r="M1788" s="1">
        <f t="shared" si="219"/>
        <v>191.88</v>
      </c>
      <c r="N1788" s="10">
        <f t="shared" si="220"/>
        <v>19188</v>
      </c>
      <c r="O1788" s="1" t="b">
        <f>IFERROR(IF(ISNUMBER(Raw!G1788),TRUE,OR(EXACT(L1788,TEXT(M1788,"0.00")),EXACT(L1788,TEXT(M1788,"#,##0.00")))),FALSE)</f>
        <v>1</v>
      </c>
      <c r="P1788" s="1" t="str">
        <f>LEN(IF(Raw!A1788="","",Raw!A1788))&amp;":"&amp;IF(Raw!A1788="","",Raw!A1788)&amp;"|"&amp;LEN(IF(Raw!B1788="","",Raw!B1788))&amp;":"&amp;IF(Raw!B1788="","",Raw!B1788)&amp;"|"&amp;LEN(IF(Raw!C1788="","",Raw!C1788))&amp;":"&amp;IF(Raw!C1788="","",Raw!C1788)&amp;"|"&amp;LEN(IF(Raw!D1788="","",Raw!D1788))&amp;":"&amp;IF(Raw!D1788="","",Raw!D1788)&amp;"|"&amp;LEN(IF(Raw!E1788="","",Raw!E1788))&amp;":"&amp;IF(Raw!E1788="","",Raw!E1788)&amp;"|"&amp;LEN(IF(Raw!F1788="","",Raw!F1788))&amp;":"&amp;IF(Raw!F1788="","",Raw!F1788)&amp;"|"&amp;LEN(IF(Raw!G1788="","",Raw!G1788))&amp;":"&amp;IF(Raw!G1788="","",Raw!G1788)</f>
        <v>6:L01782|6:T00891|10:2026-01-21|3:P-O|6:Office|4:sale|6:191.88</v>
      </c>
      <c r="Q1788" s="1">
        <f>1</f>
        <v>1</v>
      </c>
      <c r="R1788" s="1" t="b">
        <f>FALSE</f>
        <v>0</v>
      </c>
      <c r="S1788" s="1">
        <f>1</f>
        <v>1</v>
      </c>
      <c r="T1788" s="1" t="str">
        <f>IF(AND(Raw!A1788="",Raw!B1788="",Raw!C1788="",Raw!D1788="",Raw!E1788="",Raw!F1788="",Raw!G1788=""),"UNUSED",IF(A1788="","missing line ID",IF(B1788="","missing transaction ID",IF(G1788="",IF(C1788="","missing date","invalid date"),IF(I1788="","unknown product",IF(J1788="","conflicting category",IF(NOT(OR(EXACT(K1788,"sale"),EXACT(K1788,"refund"))),"unknown event",IF(OR(N1788="",NOT(O1788)),"invalid amount",IF(OR(AND(K1788="sale",N1788&lt;=0),AND(K1788="refund",N1788&gt;=0)),"invalid sign","")))))))))</f>
        <v/>
      </c>
      <c r="U1788" s="1" t="str">
        <f t="shared" si="221"/>
        <v>INCLUDED</v>
      </c>
      <c r="V1788" s="1" t="str">
        <f t="shared" si="222"/>
        <v>2026-01</v>
      </c>
      <c r="W1788" s="1">
        <f>IF(AND(U1788="INCLUDED",X1788&gt;0,EXACT(A1788,'AI output'!A1788)),1,0)</f>
        <v>1</v>
      </c>
      <c r="X1788" s="1">
        <f>1788</f>
        <v>1788</v>
      </c>
      <c r="Y1788" s="1">
        <f>IF(AND(U1788="INCLUDED",W1788=1),--(NOT(EXACT(A1788,'AI output'!A1788)))+--(NOT(EXACT(B1788,'AI output'!B1788)))+--(NOT(EXACT(TEXT(G1788,"yyyy-mm-dd"),'AI output'!C1788)))+--(NOT(EXACT(H1788,'AI output'!D1788)))+--(NOT(EXACT(J1788,'AI output'!E1788)))+--(NOT(EXACT(K1788,'AI output'!F1788)))+--(N1788&lt;&gt;'AI output'!L1788)+--(NOT('AI output'!M1788)),0)</f>
        <v>0</v>
      </c>
      <c r="Z1788" s="1">
        <f t="shared" si="223"/>
        <v>0</v>
      </c>
      <c r="AA1788" s="1">
        <f>--EXACT(A1788,"L01782")</f>
        <v>1</v>
      </c>
    </row>
    <row r="1789" spans="1:27" ht="18.95" customHeight="1">
      <c r="A1789" s="1" t="str">
        <f>IF(Raw!A1789="","",Raw!A1789)</f>
        <v>L01783</v>
      </c>
      <c r="B1789" s="1" t="str">
        <f>IF(Raw!B1789="","",Raw!B1789)</f>
        <v>T00892</v>
      </c>
      <c r="C1789" s="1" t="str">
        <f>IF(Raw!C1789="","",Raw!C1789)</f>
        <v>2026-01-28</v>
      </c>
      <c r="D1789" s="1">
        <f t="shared" si="216"/>
        <v>2026</v>
      </c>
      <c r="E1789" s="1">
        <f>IFERROR(IF(AND(LEN(C1789)=10,MID(C1789,5,1)="-",MID(C1789,8,1)="-"),VALUE(MID(C1789,6,2)),IF(AND(LEN(C1789)=11,MID(C1789,3,1)="-",MID(C1789,7,1)="-"),MATCH(UPPER(MID(C1789,4,3)),Guide!$D$7:$D$18,0),0)),0)</f>
        <v>1</v>
      </c>
      <c r="F1789" s="1">
        <f t="shared" si="217"/>
        <v>28</v>
      </c>
      <c r="G1789" s="9">
        <f t="shared" si="218"/>
        <v>46050</v>
      </c>
      <c r="H1789" s="1" t="str">
        <f>IF(Raw!D1789="","",Raw!D1789)</f>
        <v>P-A</v>
      </c>
      <c r="I1789" s="1" t="str">
        <f>IFERROR(IF(EXACT(H1789,INDEX(Guide!$A$7:$A$9,MATCH(SUBSTITUTE(SUBSTITUTE(SUBSTITUTE(H1789,"~","~~"),"*","~*"),"?","~?"),Guide!$A$7:$A$9,0))),INDEX(Guide!$B$7:$B$9,MATCH(SUBSTITUTE(SUBSTITUTE(SUBSTITUTE(H1789,"~","~~"),"*","~*"),"?","~?"),Guide!$A$7:$A$9,0)),""),"")</f>
        <v>Accessories</v>
      </c>
      <c r="J1789" s="1" t="str">
        <f>IF(TRIM(Raw!E1789)="",I1789,IF(UPPER(TRIM(Raw!E1789))=UPPER(I1789),I1789,""))</f>
        <v>Accessories</v>
      </c>
      <c r="K1789" s="1" t="str">
        <f>IF(Raw!F1789="","",Raw!F1789)</f>
        <v>sale</v>
      </c>
      <c r="L1789" s="1" t="str">
        <f>IF(LEFT(TRIM(Raw!G1789),2)="-$","-"&amp;MID(TRIM(Raw!G1789),3,99),IF(LEFT(TRIM(Raw!G1789),1)="$",MID(TRIM(Raw!G1789),2,99),TRIM(Raw!G1789)))</f>
        <v>321.65</v>
      </c>
      <c r="M1789" s="1">
        <f t="shared" si="219"/>
        <v>321.64999999999998</v>
      </c>
      <c r="N1789" s="10">
        <f t="shared" si="220"/>
        <v>32165</v>
      </c>
      <c r="O1789" s="1" t="b">
        <f>IFERROR(IF(ISNUMBER(Raw!G1789),TRUE,OR(EXACT(L1789,TEXT(M1789,"0.00")),EXACT(L1789,TEXT(M1789,"#,##0.00")))),FALSE)</f>
        <v>1</v>
      </c>
      <c r="P1789" s="1" t="str">
        <f>LEN(IF(Raw!A1789="","",Raw!A1789))&amp;":"&amp;IF(Raw!A1789="","",Raw!A1789)&amp;"|"&amp;LEN(IF(Raw!B1789="","",Raw!B1789))&amp;":"&amp;IF(Raw!B1789="","",Raw!B1789)&amp;"|"&amp;LEN(IF(Raw!C1789="","",Raw!C1789))&amp;":"&amp;IF(Raw!C1789="","",Raw!C1789)&amp;"|"&amp;LEN(IF(Raw!D1789="","",Raw!D1789))&amp;":"&amp;IF(Raw!D1789="","",Raw!D1789)&amp;"|"&amp;LEN(IF(Raw!E1789="","",Raw!E1789))&amp;":"&amp;IF(Raw!E1789="","",Raw!E1789)&amp;"|"&amp;LEN(IF(Raw!F1789="","",Raw!F1789))&amp;":"&amp;IF(Raw!F1789="","",Raw!F1789)&amp;"|"&amp;LEN(IF(Raw!G1789="","",Raw!G1789))&amp;":"&amp;IF(Raw!G1789="","",Raw!G1789)</f>
        <v>6:L01783|6:T00892|10:2026-01-28|3:P-A|11:Accessories|4:sale|6:321.65</v>
      </c>
      <c r="Q1789" s="1">
        <f>1</f>
        <v>1</v>
      </c>
      <c r="R1789" s="1" t="b">
        <f>FALSE</f>
        <v>0</v>
      </c>
      <c r="S1789" s="1">
        <f>1</f>
        <v>1</v>
      </c>
      <c r="T1789" s="1" t="str">
        <f>IF(AND(Raw!A1789="",Raw!B1789="",Raw!C1789="",Raw!D1789="",Raw!E1789="",Raw!F1789="",Raw!G1789=""),"UNUSED",IF(A1789="","missing line ID",IF(B1789="","missing transaction ID",IF(G1789="",IF(C1789="","missing date","invalid date"),IF(I1789="","unknown product",IF(J1789="","conflicting category",IF(NOT(OR(EXACT(K1789,"sale"),EXACT(K1789,"refund"))),"unknown event",IF(OR(N1789="",NOT(O1789)),"invalid amount",IF(OR(AND(K1789="sale",N1789&lt;=0),AND(K1789="refund",N1789&gt;=0)),"invalid sign","")))))))))</f>
        <v/>
      </c>
      <c r="U1789" s="1" t="str">
        <f t="shared" si="221"/>
        <v>INCLUDED</v>
      </c>
      <c r="V1789" s="1" t="str">
        <f t="shared" si="222"/>
        <v>2026-01</v>
      </c>
      <c r="W1789" s="1">
        <f>IF(AND(U1789="INCLUDED",X1789&gt;0,EXACT(A1789,'AI output'!A1789)),1,0)</f>
        <v>1</v>
      </c>
      <c r="X1789" s="1">
        <f>1789</f>
        <v>1789</v>
      </c>
      <c r="Y1789" s="1">
        <f>IF(AND(U1789="INCLUDED",W1789=1),--(NOT(EXACT(A1789,'AI output'!A1789)))+--(NOT(EXACT(B1789,'AI output'!B1789)))+--(NOT(EXACT(TEXT(G1789,"yyyy-mm-dd"),'AI output'!C1789)))+--(NOT(EXACT(H1789,'AI output'!D1789)))+--(NOT(EXACT(J1789,'AI output'!E1789)))+--(NOT(EXACT(K1789,'AI output'!F1789)))+--(N1789&lt;&gt;'AI output'!L1789)+--(NOT('AI output'!M1789)),0)</f>
        <v>0</v>
      </c>
      <c r="Z1789" s="1">
        <f t="shared" si="223"/>
        <v>0</v>
      </c>
      <c r="AA1789" s="1">
        <f>--EXACT(A1789,"L01783")</f>
        <v>1</v>
      </c>
    </row>
    <row r="1790" spans="1:27" ht="18.95" customHeight="1">
      <c r="A1790" s="1" t="str">
        <f>IF(Raw!A1790="","",Raw!A1790)</f>
        <v>L01784</v>
      </c>
      <c r="B1790" s="1" t="str">
        <f>IF(Raw!B1790="","",Raw!B1790)</f>
        <v>T00892</v>
      </c>
      <c r="C1790" s="1" t="str">
        <f>IF(Raw!C1790="","",Raw!C1790)</f>
        <v>2026-01-28</v>
      </c>
      <c r="D1790" s="1">
        <f t="shared" si="216"/>
        <v>2026</v>
      </c>
      <c r="E1790" s="1">
        <f>IFERROR(IF(AND(LEN(C1790)=10,MID(C1790,5,1)="-",MID(C1790,8,1)="-"),VALUE(MID(C1790,6,2)),IF(AND(LEN(C1790)=11,MID(C1790,3,1)="-",MID(C1790,7,1)="-"),MATCH(UPPER(MID(C1790,4,3)),Guide!$D$7:$D$18,0),0)),0)</f>
        <v>1</v>
      </c>
      <c r="F1790" s="1">
        <f t="shared" si="217"/>
        <v>28</v>
      </c>
      <c r="G1790" s="9">
        <f t="shared" si="218"/>
        <v>46050</v>
      </c>
      <c r="H1790" s="1" t="str">
        <f>IF(Raw!D1790="","",Raw!D1790)</f>
        <v>P-H</v>
      </c>
      <c r="I1790" s="1" t="str">
        <f>IFERROR(IF(EXACT(H1790,INDEX(Guide!$A$7:$A$9,MATCH(SUBSTITUTE(SUBSTITUTE(SUBSTITUTE(H1790,"~","~~"),"*","~*"),"?","~?"),Guide!$A$7:$A$9,0))),INDEX(Guide!$B$7:$B$9,MATCH(SUBSTITUTE(SUBSTITUTE(SUBSTITUTE(H1790,"~","~~"),"*","~*"),"?","~?"),Guide!$A$7:$A$9,0)),""),"")</f>
        <v>Home</v>
      </c>
      <c r="J1790" s="1" t="str">
        <f>IF(TRIM(Raw!E1790)="",I1790,IF(UPPER(TRIM(Raw!E1790))=UPPER(I1790),I1790,""))</f>
        <v>Home</v>
      </c>
      <c r="K1790" s="1" t="str">
        <f>IF(Raw!F1790="","",Raw!F1790)</f>
        <v>sale</v>
      </c>
      <c r="L1790" s="1" t="str">
        <f>IF(LEFT(TRIM(Raw!G1790),2)="-$","-"&amp;MID(TRIM(Raw!G1790),3,99),IF(LEFT(TRIM(Raw!G1790),1)="$",MID(TRIM(Raw!G1790),2,99),TRIM(Raw!G1790)))</f>
        <v>129.40</v>
      </c>
      <c r="M1790" s="1">
        <f t="shared" si="219"/>
        <v>129.4</v>
      </c>
      <c r="N1790" s="10">
        <f t="shared" si="220"/>
        <v>12940</v>
      </c>
      <c r="O1790" s="1" t="b">
        <f>IFERROR(IF(ISNUMBER(Raw!G1790),TRUE,OR(EXACT(L1790,TEXT(M1790,"0.00")),EXACT(L1790,TEXT(M1790,"#,##0.00")))),FALSE)</f>
        <v>1</v>
      </c>
      <c r="P1790" s="1" t="str">
        <f>LEN(IF(Raw!A1790="","",Raw!A1790))&amp;":"&amp;IF(Raw!A1790="","",Raw!A1790)&amp;"|"&amp;LEN(IF(Raw!B1790="","",Raw!B1790))&amp;":"&amp;IF(Raw!B1790="","",Raw!B1790)&amp;"|"&amp;LEN(IF(Raw!C1790="","",Raw!C1790))&amp;":"&amp;IF(Raw!C1790="","",Raw!C1790)&amp;"|"&amp;LEN(IF(Raw!D1790="","",Raw!D1790))&amp;":"&amp;IF(Raw!D1790="","",Raw!D1790)&amp;"|"&amp;LEN(IF(Raw!E1790="","",Raw!E1790))&amp;":"&amp;IF(Raw!E1790="","",Raw!E1790)&amp;"|"&amp;LEN(IF(Raw!F1790="","",Raw!F1790))&amp;":"&amp;IF(Raw!F1790="","",Raw!F1790)&amp;"|"&amp;LEN(IF(Raw!G1790="","",Raw!G1790))&amp;":"&amp;IF(Raw!G1790="","",Raw!G1790)</f>
        <v>6:L01784|6:T00892|10:2026-01-28|3:P-H|4:Home|4:sale|6:129.40</v>
      </c>
      <c r="Q1790" s="1">
        <f>1</f>
        <v>1</v>
      </c>
      <c r="R1790" s="1" t="b">
        <f>FALSE</f>
        <v>0</v>
      </c>
      <c r="S1790" s="1">
        <f>1</f>
        <v>1</v>
      </c>
      <c r="T1790" s="1" t="str">
        <f>IF(AND(Raw!A1790="",Raw!B1790="",Raw!C1790="",Raw!D1790="",Raw!E1790="",Raw!F1790="",Raw!G1790=""),"UNUSED",IF(A1790="","missing line ID",IF(B1790="","missing transaction ID",IF(G1790="",IF(C1790="","missing date","invalid date"),IF(I1790="","unknown product",IF(J1790="","conflicting category",IF(NOT(OR(EXACT(K1790,"sale"),EXACT(K1790,"refund"))),"unknown event",IF(OR(N1790="",NOT(O1790)),"invalid amount",IF(OR(AND(K1790="sale",N1790&lt;=0),AND(K1790="refund",N1790&gt;=0)),"invalid sign","")))))))))</f>
        <v/>
      </c>
      <c r="U1790" s="1" t="str">
        <f t="shared" si="221"/>
        <v>INCLUDED</v>
      </c>
      <c r="V1790" s="1" t="str">
        <f t="shared" si="222"/>
        <v>2026-01</v>
      </c>
      <c r="W1790" s="1">
        <f>IF(AND(U1790="INCLUDED",X1790&gt;0,EXACT(A1790,'AI output'!A1790)),1,0)</f>
        <v>1</v>
      </c>
      <c r="X1790" s="1">
        <f>1790</f>
        <v>1790</v>
      </c>
      <c r="Y1790" s="1">
        <f>IF(AND(U1790="INCLUDED",W1790=1),--(NOT(EXACT(A1790,'AI output'!A1790)))+--(NOT(EXACT(B1790,'AI output'!B1790)))+--(NOT(EXACT(TEXT(G1790,"yyyy-mm-dd"),'AI output'!C1790)))+--(NOT(EXACT(H1790,'AI output'!D1790)))+--(NOT(EXACT(J1790,'AI output'!E1790)))+--(NOT(EXACT(K1790,'AI output'!F1790)))+--(N1790&lt;&gt;'AI output'!L1790)+--(NOT('AI output'!M1790)),0)</f>
        <v>0</v>
      </c>
      <c r="Z1790" s="1">
        <f t="shared" si="223"/>
        <v>0</v>
      </c>
      <c r="AA1790" s="1">
        <f>--EXACT(A1790,"L01784")</f>
        <v>1</v>
      </c>
    </row>
    <row r="1791" spans="1:27" ht="18.95" customHeight="1">
      <c r="A1791" s="1" t="str">
        <f>IF(Raw!A1791="","",Raw!A1791)</f>
        <v>L01785</v>
      </c>
      <c r="B1791" s="1" t="str">
        <f>IF(Raw!B1791="","",Raw!B1791)</f>
        <v>T00893</v>
      </c>
      <c r="C1791" s="1" t="str">
        <f>IF(Raw!C1791="","",Raw!C1791)</f>
        <v>2026-02-04</v>
      </c>
      <c r="D1791" s="1">
        <f t="shared" si="216"/>
        <v>2026</v>
      </c>
      <c r="E1791" s="1">
        <f>IFERROR(IF(AND(LEN(C1791)=10,MID(C1791,5,1)="-",MID(C1791,8,1)="-"),VALUE(MID(C1791,6,2)),IF(AND(LEN(C1791)=11,MID(C1791,3,1)="-",MID(C1791,7,1)="-"),MATCH(UPPER(MID(C1791,4,3)),Guide!$D$7:$D$18,0),0)),0)</f>
        <v>2</v>
      </c>
      <c r="F1791" s="1">
        <f t="shared" si="217"/>
        <v>4</v>
      </c>
      <c r="G1791" s="9">
        <f t="shared" si="218"/>
        <v>46057</v>
      </c>
      <c r="H1791" s="1" t="str">
        <f>IF(Raw!D1791="","",Raw!D1791)</f>
        <v>P-O</v>
      </c>
      <c r="I1791" s="1" t="str">
        <f>IFERROR(IF(EXACT(H1791,INDEX(Guide!$A$7:$A$9,MATCH(SUBSTITUTE(SUBSTITUTE(SUBSTITUTE(H1791,"~","~~"),"*","~*"),"?","~?"),Guide!$A$7:$A$9,0))),INDEX(Guide!$B$7:$B$9,MATCH(SUBSTITUTE(SUBSTITUTE(SUBSTITUTE(H1791,"~","~~"),"*","~*"),"?","~?"),Guide!$A$7:$A$9,0)),""),"")</f>
        <v>Office</v>
      </c>
      <c r="J1791" s="1" t="str">
        <f>IF(TRIM(Raw!E1791)="",I1791,IF(UPPER(TRIM(Raw!E1791))=UPPER(I1791),I1791,""))</f>
        <v>Office</v>
      </c>
      <c r="K1791" s="1" t="str">
        <f>IF(Raw!F1791="","",Raw!F1791)</f>
        <v>sale</v>
      </c>
      <c r="L1791" s="1" t="str">
        <f>IF(LEFT(TRIM(Raw!G1791),2)="-$","-"&amp;MID(TRIM(Raw!G1791),3,99),IF(LEFT(TRIM(Raw!G1791),1)="$",MID(TRIM(Raw!G1791),2,99),TRIM(Raw!G1791)))</f>
        <v>260.28</v>
      </c>
      <c r="M1791" s="1">
        <f t="shared" si="219"/>
        <v>260.27999999999997</v>
      </c>
      <c r="N1791" s="10">
        <f t="shared" si="220"/>
        <v>26028</v>
      </c>
      <c r="O1791" s="1" t="b">
        <f>IFERROR(IF(ISNUMBER(Raw!G1791),TRUE,OR(EXACT(L1791,TEXT(M1791,"0.00")),EXACT(L1791,TEXT(M1791,"#,##0.00")))),FALSE)</f>
        <v>1</v>
      </c>
      <c r="P1791" s="1" t="str">
        <f>LEN(IF(Raw!A1791="","",Raw!A1791))&amp;":"&amp;IF(Raw!A1791="","",Raw!A1791)&amp;"|"&amp;LEN(IF(Raw!B1791="","",Raw!B1791))&amp;":"&amp;IF(Raw!B1791="","",Raw!B1791)&amp;"|"&amp;LEN(IF(Raw!C1791="","",Raw!C1791))&amp;":"&amp;IF(Raw!C1791="","",Raw!C1791)&amp;"|"&amp;LEN(IF(Raw!D1791="","",Raw!D1791))&amp;":"&amp;IF(Raw!D1791="","",Raw!D1791)&amp;"|"&amp;LEN(IF(Raw!E1791="","",Raw!E1791))&amp;":"&amp;IF(Raw!E1791="","",Raw!E1791)&amp;"|"&amp;LEN(IF(Raw!F1791="","",Raw!F1791))&amp;":"&amp;IF(Raw!F1791="","",Raw!F1791)&amp;"|"&amp;LEN(IF(Raw!G1791="","",Raw!G1791))&amp;":"&amp;IF(Raw!G1791="","",Raw!G1791)</f>
        <v>6:L01785|6:T00893|10:2026-02-04|3:P-O|6:Office|4:sale|6:260.28</v>
      </c>
      <c r="Q1791" s="1">
        <f>1</f>
        <v>1</v>
      </c>
      <c r="R1791" s="1" t="b">
        <f>FALSE</f>
        <v>0</v>
      </c>
      <c r="S1791" s="1">
        <f>1</f>
        <v>1</v>
      </c>
      <c r="T1791" s="1" t="str">
        <f>IF(AND(Raw!A1791="",Raw!B1791="",Raw!C1791="",Raw!D1791="",Raw!E1791="",Raw!F1791="",Raw!G1791=""),"UNUSED",IF(A1791="","missing line ID",IF(B1791="","missing transaction ID",IF(G1791="",IF(C1791="","missing date","invalid date"),IF(I1791="","unknown product",IF(J1791="","conflicting category",IF(NOT(OR(EXACT(K1791,"sale"),EXACT(K1791,"refund"))),"unknown event",IF(OR(N1791="",NOT(O1791)),"invalid amount",IF(OR(AND(K1791="sale",N1791&lt;=0),AND(K1791="refund",N1791&gt;=0)),"invalid sign","")))))))))</f>
        <v/>
      </c>
      <c r="U1791" s="1" t="str">
        <f t="shared" si="221"/>
        <v>INCLUDED</v>
      </c>
      <c r="V1791" s="1" t="str">
        <f t="shared" si="222"/>
        <v>2026-02</v>
      </c>
      <c r="W1791" s="1">
        <f>IF(AND(U1791="INCLUDED",X1791&gt;0,EXACT(A1791,'AI output'!A1791)),1,0)</f>
        <v>1</v>
      </c>
      <c r="X1791" s="1">
        <f>1791</f>
        <v>1791</v>
      </c>
      <c r="Y1791" s="1">
        <f>IF(AND(U1791="INCLUDED",W1791=1),--(NOT(EXACT(A1791,'AI output'!A1791)))+--(NOT(EXACT(B1791,'AI output'!B1791)))+--(NOT(EXACT(TEXT(G1791,"yyyy-mm-dd"),'AI output'!C1791)))+--(NOT(EXACT(H1791,'AI output'!D1791)))+--(NOT(EXACT(J1791,'AI output'!E1791)))+--(NOT(EXACT(K1791,'AI output'!F1791)))+--(N1791&lt;&gt;'AI output'!L1791)+--(NOT('AI output'!M1791)),0)</f>
        <v>0</v>
      </c>
      <c r="Z1791" s="1">
        <f t="shared" si="223"/>
        <v>0</v>
      </c>
      <c r="AA1791" s="1">
        <f>--EXACT(A1791,"L01785")</f>
        <v>1</v>
      </c>
    </row>
    <row r="1792" spans="1:27" ht="18.95" customHeight="1">
      <c r="A1792" s="1" t="str">
        <f>IF(Raw!A1792="","",Raw!A1792)</f>
        <v>L01786</v>
      </c>
      <c r="B1792" s="1" t="str">
        <f>IF(Raw!B1792="","",Raw!B1792)</f>
        <v>T00893</v>
      </c>
      <c r="C1792" s="1" t="str">
        <f>IF(Raw!C1792="","",Raw!C1792)</f>
        <v>2026-02-04</v>
      </c>
      <c r="D1792" s="1">
        <f t="shared" si="216"/>
        <v>2026</v>
      </c>
      <c r="E1792" s="1">
        <f>IFERROR(IF(AND(LEN(C1792)=10,MID(C1792,5,1)="-",MID(C1792,8,1)="-"),VALUE(MID(C1792,6,2)),IF(AND(LEN(C1792)=11,MID(C1792,3,1)="-",MID(C1792,7,1)="-"),MATCH(UPPER(MID(C1792,4,3)),Guide!$D$7:$D$18,0),0)),0)</f>
        <v>2</v>
      </c>
      <c r="F1792" s="1">
        <f t="shared" si="217"/>
        <v>4</v>
      </c>
      <c r="G1792" s="9">
        <f t="shared" si="218"/>
        <v>46057</v>
      </c>
      <c r="H1792" s="1" t="str">
        <f>IF(Raw!D1792="","",Raw!D1792)</f>
        <v>P-A</v>
      </c>
      <c r="I1792" s="1" t="str">
        <f>IFERROR(IF(EXACT(H1792,INDEX(Guide!$A$7:$A$9,MATCH(SUBSTITUTE(SUBSTITUTE(SUBSTITUTE(H1792,"~","~~"),"*","~*"),"?","~?"),Guide!$A$7:$A$9,0))),INDEX(Guide!$B$7:$B$9,MATCH(SUBSTITUTE(SUBSTITUTE(SUBSTITUTE(H1792,"~","~~"),"*","~*"),"?","~?"),Guide!$A$7:$A$9,0)),""),"")</f>
        <v>Accessories</v>
      </c>
      <c r="J1792" s="1" t="str">
        <f>IF(TRIM(Raw!E1792)="",I1792,IF(UPPER(TRIM(Raw!E1792))=UPPER(I1792),I1792,""))</f>
        <v>Accessories</v>
      </c>
      <c r="K1792" s="1" t="str">
        <f>IF(Raw!F1792="","",Raw!F1792)</f>
        <v>sale</v>
      </c>
      <c r="L1792" s="1" t="str">
        <f>IF(LEFT(TRIM(Raw!G1792),2)="-$","-"&amp;MID(TRIM(Raw!G1792),3,99),IF(LEFT(TRIM(Raw!G1792),1)="$",MID(TRIM(Raw!G1792),2,99),TRIM(Raw!G1792)))</f>
        <v>65.44</v>
      </c>
      <c r="M1792" s="1">
        <f t="shared" si="219"/>
        <v>65.44</v>
      </c>
      <c r="N1792" s="10">
        <f t="shared" si="220"/>
        <v>6544</v>
      </c>
      <c r="O1792" s="1" t="b">
        <f>IFERROR(IF(ISNUMBER(Raw!G1792),TRUE,OR(EXACT(L1792,TEXT(M1792,"0.00")),EXACT(L1792,TEXT(M1792,"#,##0.00")))),FALSE)</f>
        <v>1</v>
      </c>
      <c r="P1792" s="1" t="str">
        <f>LEN(IF(Raw!A1792="","",Raw!A1792))&amp;":"&amp;IF(Raw!A1792="","",Raw!A1792)&amp;"|"&amp;LEN(IF(Raw!B1792="","",Raw!B1792))&amp;":"&amp;IF(Raw!B1792="","",Raw!B1792)&amp;"|"&amp;LEN(IF(Raw!C1792="","",Raw!C1792))&amp;":"&amp;IF(Raw!C1792="","",Raw!C1792)&amp;"|"&amp;LEN(IF(Raw!D1792="","",Raw!D1792))&amp;":"&amp;IF(Raw!D1792="","",Raw!D1792)&amp;"|"&amp;LEN(IF(Raw!E1792="","",Raw!E1792))&amp;":"&amp;IF(Raw!E1792="","",Raw!E1792)&amp;"|"&amp;LEN(IF(Raw!F1792="","",Raw!F1792))&amp;":"&amp;IF(Raw!F1792="","",Raw!F1792)&amp;"|"&amp;LEN(IF(Raw!G1792="","",Raw!G1792))&amp;":"&amp;IF(Raw!G1792="","",Raw!G1792)</f>
        <v>6:L01786|6:T00893|10:2026-02-04|3:P-A|11:Accessories|4:sale|5:65.44</v>
      </c>
      <c r="Q1792" s="1">
        <f>1</f>
        <v>1</v>
      </c>
      <c r="R1792" s="1" t="b">
        <f>FALSE</f>
        <v>0</v>
      </c>
      <c r="S1792" s="1">
        <f>1</f>
        <v>1</v>
      </c>
      <c r="T1792" s="1" t="str">
        <f>IF(AND(Raw!A1792="",Raw!B1792="",Raw!C1792="",Raw!D1792="",Raw!E1792="",Raw!F1792="",Raw!G1792=""),"UNUSED",IF(A1792="","missing line ID",IF(B1792="","missing transaction ID",IF(G1792="",IF(C1792="","missing date","invalid date"),IF(I1792="","unknown product",IF(J1792="","conflicting category",IF(NOT(OR(EXACT(K1792,"sale"),EXACT(K1792,"refund"))),"unknown event",IF(OR(N1792="",NOT(O1792)),"invalid amount",IF(OR(AND(K1792="sale",N1792&lt;=0),AND(K1792="refund",N1792&gt;=0)),"invalid sign","")))))))))</f>
        <v/>
      </c>
      <c r="U1792" s="1" t="str">
        <f t="shared" si="221"/>
        <v>INCLUDED</v>
      </c>
      <c r="V1792" s="1" t="str">
        <f t="shared" si="222"/>
        <v>2026-02</v>
      </c>
      <c r="W1792" s="1">
        <f>IF(AND(U1792="INCLUDED",X1792&gt;0,EXACT(A1792,'AI output'!A1792)),1,0)</f>
        <v>1</v>
      </c>
      <c r="X1792" s="1">
        <f>1792</f>
        <v>1792</v>
      </c>
      <c r="Y1792" s="1">
        <f>IF(AND(U1792="INCLUDED",W1792=1),--(NOT(EXACT(A1792,'AI output'!A1792)))+--(NOT(EXACT(B1792,'AI output'!B1792)))+--(NOT(EXACT(TEXT(G1792,"yyyy-mm-dd"),'AI output'!C1792)))+--(NOT(EXACT(H1792,'AI output'!D1792)))+--(NOT(EXACT(J1792,'AI output'!E1792)))+--(NOT(EXACT(K1792,'AI output'!F1792)))+--(N1792&lt;&gt;'AI output'!L1792)+--(NOT('AI output'!M1792)),0)</f>
        <v>0</v>
      </c>
      <c r="Z1792" s="1">
        <f t="shared" si="223"/>
        <v>0</v>
      </c>
      <c r="AA1792" s="1">
        <f>--EXACT(A1792,"L01786")</f>
        <v>1</v>
      </c>
    </row>
    <row r="1793" spans="1:27" ht="18.95" customHeight="1">
      <c r="A1793" s="1" t="str">
        <f>IF(Raw!A1793="","",Raw!A1793)</f>
        <v>L01787</v>
      </c>
      <c r="B1793" s="1" t="str">
        <f>IF(Raw!B1793="","",Raw!B1793)</f>
        <v>T00894</v>
      </c>
      <c r="C1793" s="1" t="str">
        <f>IF(Raw!C1793="","",Raw!C1793)</f>
        <v>2026-02-11</v>
      </c>
      <c r="D1793" s="1">
        <f t="shared" si="216"/>
        <v>2026</v>
      </c>
      <c r="E1793" s="1">
        <f>IFERROR(IF(AND(LEN(C1793)=10,MID(C1793,5,1)="-",MID(C1793,8,1)="-"),VALUE(MID(C1793,6,2)),IF(AND(LEN(C1793)=11,MID(C1793,3,1)="-",MID(C1793,7,1)="-"),MATCH(UPPER(MID(C1793,4,3)),Guide!$D$7:$D$18,0),0)),0)</f>
        <v>2</v>
      </c>
      <c r="F1793" s="1">
        <f t="shared" si="217"/>
        <v>11</v>
      </c>
      <c r="G1793" s="9">
        <f t="shared" si="218"/>
        <v>46064</v>
      </c>
      <c r="H1793" s="1" t="str">
        <f>IF(Raw!D1793="","",Raw!D1793)</f>
        <v>P-H</v>
      </c>
      <c r="I1793" s="1" t="str">
        <f>IFERROR(IF(EXACT(H1793,INDEX(Guide!$A$7:$A$9,MATCH(SUBSTITUTE(SUBSTITUTE(SUBSTITUTE(H1793,"~","~~"),"*","~*"),"?","~?"),Guide!$A$7:$A$9,0))),INDEX(Guide!$B$7:$B$9,MATCH(SUBSTITUTE(SUBSTITUTE(SUBSTITUTE(H1793,"~","~~"),"*","~*"),"?","~?"),Guide!$A$7:$A$9,0)),""),"")</f>
        <v>Home</v>
      </c>
      <c r="J1793" s="1" t="str">
        <f>IF(TRIM(Raw!E1793)="",I1793,IF(UPPER(TRIM(Raw!E1793))=UPPER(I1793),I1793,""))</f>
        <v>Home</v>
      </c>
      <c r="K1793" s="1" t="str">
        <f>IF(Raw!F1793="","",Raw!F1793)</f>
        <v>sale</v>
      </c>
      <c r="L1793" s="1" t="str">
        <f>IF(LEFT(TRIM(Raw!G1793),2)="-$","-"&amp;MID(TRIM(Raw!G1793),3,99),IF(LEFT(TRIM(Raw!G1793),1)="$",MID(TRIM(Raw!G1793),2,99),TRIM(Raw!G1793)))</f>
        <v>197.43</v>
      </c>
      <c r="M1793" s="1">
        <f t="shared" si="219"/>
        <v>197.43</v>
      </c>
      <c r="N1793" s="10">
        <f t="shared" si="220"/>
        <v>19743</v>
      </c>
      <c r="O1793" s="1" t="b">
        <f>IFERROR(IF(ISNUMBER(Raw!G1793),TRUE,OR(EXACT(L1793,TEXT(M1793,"0.00")),EXACT(L1793,TEXT(M1793,"#,##0.00")))),FALSE)</f>
        <v>1</v>
      </c>
      <c r="P1793" s="1" t="str">
        <f>LEN(IF(Raw!A1793="","",Raw!A1793))&amp;":"&amp;IF(Raw!A1793="","",Raw!A1793)&amp;"|"&amp;LEN(IF(Raw!B1793="","",Raw!B1793))&amp;":"&amp;IF(Raw!B1793="","",Raw!B1793)&amp;"|"&amp;LEN(IF(Raw!C1793="","",Raw!C1793))&amp;":"&amp;IF(Raw!C1793="","",Raw!C1793)&amp;"|"&amp;LEN(IF(Raw!D1793="","",Raw!D1793))&amp;":"&amp;IF(Raw!D1793="","",Raw!D1793)&amp;"|"&amp;LEN(IF(Raw!E1793="","",Raw!E1793))&amp;":"&amp;IF(Raw!E1793="","",Raw!E1793)&amp;"|"&amp;LEN(IF(Raw!F1793="","",Raw!F1793))&amp;":"&amp;IF(Raw!F1793="","",Raw!F1793)&amp;"|"&amp;LEN(IF(Raw!G1793="","",Raw!G1793))&amp;":"&amp;IF(Raw!G1793="","",Raw!G1793)</f>
        <v>6:L01787|6:T00894|10:2026-02-11|3:P-H|4:Home|4:sale|6:197.43</v>
      </c>
      <c r="Q1793" s="1">
        <f>1</f>
        <v>1</v>
      </c>
      <c r="R1793" s="1" t="b">
        <f>FALSE</f>
        <v>0</v>
      </c>
      <c r="S1793" s="1">
        <f>1</f>
        <v>1</v>
      </c>
      <c r="T1793" s="1" t="str">
        <f>IF(AND(Raw!A1793="",Raw!B1793="",Raw!C1793="",Raw!D1793="",Raw!E1793="",Raw!F1793="",Raw!G1793=""),"UNUSED",IF(A1793="","missing line ID",IF(B1793="","missing transaction ID",IF(G1793="",IF(C1793="","missing date","invalid date"),IF(I1793="","unknown product",IF(J1793="","conflicting category",IF(NOT(OR(EXACT(K1793,"sale"),EXACT(K1793,"refund"))),"unknown event",IF(OR(N1793="",NOT(O1793)),"invalid amount",IF(OR(AND(K1793="sale",N1793&lt;=0),AND(K1793="refund",N1793&gt;=0)),"invalid sign","")))))))))</f>
        <v/>
      </c>
      <c r="U1793" s="1" t="str">
        <f t="shared" si="221"/>
        <v>INCLUDED</v>
      </c>
      <c r="V1793" s="1" t="str">
        <f t="shared" si="222"/>
        <v>2026-02</v>
      </c>
      <c r="W1793" s="1">
        <f>IF(AND(U1793="INCLUDED",X1793&gt;0,EXACT(A1793,'AI output'!A1793)),1,0)</f>
        <v>1</v>
      </c>
      <c r="X1793" s="1">
        <f>1793</f>
        <v>1793</v>
      </c>
      <c r="Y1793" s="1">
        <f>IF(AND(U1793="INCLUDED",W1793=1),--(NOT(EXACT(A1793,'AI output'!A1793)))+--(NOT(EXACT(B1793,'AI output'!B1793)))+--(NOT(EXACT(TEXT(G1793,"yyyy-mm-dd"),'AI output'!C1793)))+--(NOT(EXACT(H1793,'AI output'!D1793)))+--(NOT(EXACT(J1793,'AI output'!E1793)))+--(NOT(EXACT(K1793,'AI output'!F1793)))+--(N1793&lt;&gt;'AI output'!L1793)+--(NOT('AI output'!M1793)),0)</f>
        <v>0</v>
      </c>
      <c r="Z1793" s="1">
        <f t="shared" si="223"/>
        <v>0</v>
      </c>
      <c r="AA1793" s="1">
        <f>--EXACT(A1793,"L01787")</f>
        <v>1</v>
      </c>
    </row>
    <row r="1794" spans="1:27" ht="18.95" customHeight="1">
      <c r="A1794" s="1" t="str">
        <f>IF(Raw!A1794="","",Raw!A1794)</f>
        <v>L01788</v>
      </c>
      <c r="B1794" s="1" t="str">
        <f>IF(Raw!B1794="","",Raw!B1794)</f>
        <v>T00894</v>
      </c>
      <c r="C1794" s="1" t="str">
        <f>IF(Raw!C1794="","",Raw!C1794)</f>
        <v>2026-02-11</v>
      </c>
      <c r="D1794" s="1">
        <f t="shared" si="216"/>
        <v>2026</v>
      </c>
      <c r="E1794" s="1">
        <f>IFERROR(IF(AND(LEN(C1794)=10,MID(C1794,5,1)="-",MID(C1794,8,1)="-"),VALUE(MID(C1794,6,2)),IF(AND(LEN(C1794)=11,MID(C1794,3,1)="-",MID(C1794,7,1)="-"),MATCH(UPPER(MID(C1794,4,3)),Guide!$D$7:$D$18,0),0)),0)</f>
        <v>2</v>
      </c>
      <c r="F1794" s="1">
        <f t="shared" si="217"/>
        <v>11</v>
      </c>
      <c r="G1794" s="9">
        <f t="shared" si="218"/>
        <v>46064</v>
      </c>
      <c r="H1794" s="1" t="str">
        <f>IF(Raw!D1794="","",Raw!D1794)</f>
        <v>P-O</v>
      </c>
      <c r="I1794" s="1" t="str">
        <f>IFERROR(IF(EXACT(H1794,INDEX(Guide!$A$7:$A$9,MATCH(SUBSTITUTE(SUBSTITUTE(SUBSTITUTE(H1794,"~","~~"),"*","~*"),"?","~?"),Guide!$A$7:$A$9,0))),INDEX(Guide!$B$7:$B$9,MATCH(SUBSTITUTE(SUBSTITUTE(SUBSTITUTE(H1794,"~","~~"),"*","~*"),"?","~?"),Guide!$A$7:$A$9,0)),""),"")</f>
        <v>Office</v>
      </c>
      <c r="J1794" s="1" t="str">
        <f>IF(TRIM(Raw!E1794)="",I1794,IF(UPPER(TRIM(Raw!E1794))=UPPER(I1794),I1794,""))</f>
        <v>Office</v>
      </c>
      <c r="K1794" s="1" t="str">
        <f>IF(Raw!F1794="","",Raw!F1794)</f>
        <v>sale</v>
      </c>
      <c r="L1794" s="1" t="str">
        <f>IF(LEFT(TRIM(Raw!G1794),2)="-$","-"&amp;MID(TRIM(Raw!G1794),3,99),IF(LEFT(TRIM(Raw!G1794),1)="$",MID(TRIM(Raw!G1794),2,99),TRIM(Raw!G1794)))</f>
        <v>330.90</v>
      </c>
      <c r="M1794" s="1">
        <f t="shared" si="219"/>
        <v>330.9</v>
      </c>
      <c r="N1794" s="10">
        <f t="shared" si="220"/>
        <v>33090</v>
      </c>
      <c r="O1794" s="1" t="b">
        <f>IFERROR(IF(ISNUMBER(Raw!G1794),TRUE,OR(EXACT(L1794,TEXT(M1794,"0.00")),EXACT(L1794,TEXT(M1794,"#,##0.00")))),FALSE)</f>
        <v>1</v>
      </c>
      <c r="P1794" s="1" t="str">
        <f>LEN(IF(Raw!A1794="","",Raw!A1794))&amp;":"&amp;IF(Raw!A1794="","",Raw!A1794)&amp;"|"&amp;LEN(IF(Raw!B1794="","",Raw!B1794))&amp;":"&amp;IF(Raw!B1794="","",Raw!B1794)&amp;"|"&amp;LEN(IF(Raw!C1794="","",Raw!C1794))&amp;":"&amp;IF(Raw!C1794="","",Raw!C1794)&amp;"|"&amp;LEN(IF(Raw!D1794="","",Raw!D1794))&amp;":"&amp;IF(Raw!D1794="","",Raw!D1794)&amp;"|"&amp;LEN(IF(Raw!E1794="","",Raw!E1794))&amp;":"&amp;IF(Raw!E1794="","",Raw!E1794)&amp;"|"&amp;LEN(IF(Raw!F1794="","",Raw!F1794))&amp;":"&amp;IF(Raw!F1794="","",Raw!F1794)&amp;"|"&amp;LEN(IF(Raw!G1794="","",Raw!G1794))&amp;":"&amp;IF(Raw!G1794="","",Raw!G1794)</f>
        <v>6:L01788|6:T00894|10:2026-02-11|3:P-O|6:Office|4:sale|6:330.90</v>
      </c>
      <c r="Q1794" s="1">
        <f>1</f>
        <v>1</v>
      </c>
      <c r="R1794" s="1" t="b">
        <f>FALSE</f>
        <v>0</v>
      </c>
      <c r="S1794" s="1">
        <f>1</f>
        <v>1</v>
      </c>
      <c r="T1794" s="1" t="str">
        <f>IF(AND(Raw!A1794="",Raw!B1794="",Raw!C1794="",Raw!D1794="",Raw!E1794="",Raw!F1794="",Raw!G1794=""),"UNUSED",IF(A1794="","missing line ID",IF(B1794="","missing transaction ID",IF(G1794="",IF(C1794="","missing date","invalid date"),IF(I1794="","unknown product",IF(J1794="","conflicting category",IF(NOT(OR(EXACT(K1794,"sale"),EXACT(K1794,"refund"))),"unknown event",IF(OR(N1794="",NOT(O1794)),"invalid amount",IF(OR(AND(K1794="sale",N1794&lt;=0),AND(K1794="refund",N1794&gt;=0)),"invalid sign","")))))))))</f>
        <v/>
      </c>
      <c r="U1794" s="1" t="str">
        <f t="shared" si="221"/>
        <v>INCLUDED</v>
      </c>
      <c r="V1794" s="1" t="str">
        <f t="shared" si="222"/>
        <v>2026-02</v>
      </c>
      <c r="W1794" s="1">
        <f>IF(AND(U1794="INCLUDED",X1794&gt;0,EXACT(A1794,'AI output'!A1794)),1,0)</f>
        <v>1</v>
      </c>
      <c r="X1794" s="1">
        <f>1794</f>
        <v>1794</v>
      </c>
      <c r="Y1794" s="1">
        <f>IF(AND(U1794="INCLUDED",W1794=1),--(NOT(EXACT(A1794,'AI output'!A1794)))+--(NOT(EXACT(B1794,'AI output'!B1794)))+--(NOT(EXACT(TEXT(G1794,"yyyy-mm-dd"),'AI output'!C1794)))+--(NOT(EXACT(H1794,'AI output'!D1794)))+--(NOT(EXACT(J1794,'AI output'!E1794)))+--(NOT(EXACT(K1794,'AI output'!F1794)))+--(N1794&lt;&gt;'AI output'!L1794)+--(NOT('AI output'!M1794)),0)</f>
        <v>0</v>
      </c>
      <c r="Z1794" s="1">
        <f t="shared" si="223"/>
        <v>0</v>
      </c>
      <c r="AA1794" s="1">
        <f>--EXACT(A1794,"L01788")</f>
        <v>1</v>
      </c>
    </row>
    <row r="1795" spans="1:27" ht="18.95" customHeight="1">
      <c r="A1795" s="1" t="str">
        <f>IF(Raw!A1795="","",Raw!A1795)</f>
        <v>L01789</v>
      </c>
      <c r="B1795" s="1" t="str">
        <f>IF(Raw!B1795="","",Raw!B1795)</f>
        <v>T00895</v>
      </c>
      <c r="C1795" s="1" t="str">
        <f>IF(Raw!C1795="","",Raw!C1795)</f>
        <v>2026-02-18</v>
      </c>
      <c r="D1795" s="1">
        <f t="shared" si="216"/>
        <v>2026</v>
      </c>
      <c r="E1795" s="1">
        <f>IFERROR(IF(AND(LEN(C1795)=10,MID(C1795,5,1)="-",MID(C1795,8,1)="-"),VALUE(MID(C1795,6,2)),IF(AND(LEN(C1795)=11,MID(C1795,3,1)="-",MID(C1795,7,1)="-"),MATCH(UPPER(MID(C1795,4,3)),Guide!$D$7:$D$18,0),0)),0)</f>
        <v>2</v>
      </c>
      <c r="F1795" s="1">
        <f t="shared" si="217"/>
        <v>18</v>
      </c>
      <c r="G1795" s="9">
        <f t="shared" si="218"/>
        <v>46071</v>
      </c>
      <c r="H1795" s="1" t="str">
        <f>IF(Raw!D1795="","",Raw!D1795)</f>
        <v>P-A</v>
      </c>
      <c r="I1795" s="1" t="str">
        <f>IFERROR(IF(EXACT(H1795,INDEX(Guide!$A$7:$A$9,MATCH(SUBSTITUTE(SUBSTITUTE(SUBSTITUTE(H1795,"~","~~"),"*","~*"),"?","~?"),Guide!$A$7:$A$9,0))),INDEX(Guide!$B$7:$B$9,MATCH(SUBSTITUTE(SUBSTITUTE(SUBSTITUTE(H1795,"~","~~"),"*","~*"),"?","~?"),Guide!$A$7:$A$9,0)),""),"")</f>
        <v>Accessories</v>
      </c>
      <c r="J1795" s="1" t="str">
        <f>IF(TRIM(Raw!E1795)="",I1795,IF(UPPER(TRIM(Raw!E1795))=UPPER(I1795),I1795,""))</f>
        <v>Accessories</v>
      </c>
      <c r="K1795" s="1" t="str">
        <f>IF(Raw!F1795="","",Raw!F1795)</f>
        <v>sale</v>
      </c>
      <c r="L1795" s="1" t="str">
        <f>IF(LEFT(TRIM(Raw!G1795),2)="-$","-"&amp;MID(TRIM(Raw!G1795),3,99),IF(LEFT(TRIM(Raw!G1795),1)="$",MID(TRIM(Raw!G1795),2,99),TRIM(Raw!G1795)))</f>
        <v>133.10</v>
      </c>
      <c r="M1795" s="1">
        <f t="shared" si="219"/>
        <v>133.1</v>
      </c>
      <c r="N1795" s="10">
        <f t="shared" si="220"/>
        <v>13310</v>
      </c>
      <c r="O1795" s="1" t="b">
        <f>IFERROR(IF(ISNUMBER(Raw!G1795),TRUE,OR(EXACT(L1795,TEXT(M1795,"0.00")),EXACT(L1795,TEXT(M1795,"#,##0.00")))),FALSE)</f>
        <v>1</v>
      </c>
      <c r="P1795" s="1" t="str">
        <f>LEN(IF(Raw!A1795="","",Raw!A1795))&amp;":"&amp;IF(Raw!A1795="","",Raw!A1795)&amp;"|"&amp;LEN(IF(Raw!B1795="","",Raw!B1795))&amp;":"&amp;IF(Raw!B1795="","",Raw!B1795)&amp;"|"&amp;LEN(IF(Raw!C1795="","",Raw!C1795))&amp;":"&amp;IF(Raw!C1795="","",Raw!C1795)&amp;"|"&amp;LEN(IF(Raw!D1795="","",Raw!D1795))&amp;":"&amp;IF(Raw!D1795="","",Raw!D1795)&amp;"|"&amp;LEN(IF(Raw!E1795="","",Raw!E1795))&amp;":"&amp;IF(Raw!E1795="","",Raw!E1795)&amp;"|"&amp;LEN(IF(Raw!F1795="","",Raw!F1795))&amp;":"&amp;IF(Raw!F1795="","",Raw!F1795)&amp;"|"&amp;LEN(IF(Raw!G1795="","",Raw!G1795))&amp;":"&amp;IF(Raw!G1795="","",Raw!G1795)</f>
        <v>6:L01789|6:T00895|10:2026-02-18|3:P-A|11:Accessories|4:sale|6:133.10</v>
      </c>
      <c r="Q1795" s="1">
        <f>1</f>
        <v>1</v>
      </c>
      <c r="R1795" s="1" t="b">
        <f>FALSE</f>
        <v>0</v>
      </c>
      <c r="S1795" s="1">
        <f>1</f>
        <v>1</v>
      </c>
      <c r="T1795" s="1" t="str">
        <f>IF(AND(Raw!A1795="",Raw!B1795="",Raw!C1795="",Raw!D1795="",Raw!E1795="",Raw!F1795="",Raw!G1795=""),"UNUSED",IF(A1795="","missing line ID",IF(B1795="","missing transaction ID",IF(G1795="",IF(C1795="","missing date","invalid date"),IF(I1795="","unknown product",IF(J1795="","conflicting category",IF(NOT(OR(EXACT(K1795,"sale"),EXACT(K1795,"refund"))),"unknown event",IF(OR(N1795="",NOT(O1795)),"invalid amount",IF(OR(AND(K1795="sale",N1795&lt;=0),AND(K1795="refund",N1795&gt;=0)),"invalid sign","")))))))))</f>
        <v/>
      </c>
      <c r="U1795" s="1" t="str">
        <f t="shared" si="221"/>
        <v>INCLUDED</v>
      </c>
      <c r="V1795" s="1" t="str">
        <f t="shared" si="222"/>
        <v>2026-02</v>
      </c>
      <c r="W1795" s="1">
        <f>IF(AND(U1795="INCLUDED",X1795&gt;0,EXACT(A1795,'AI output'!A1795)),1,0)</f>
        <v>1</v>
      </c>
      <c r="X1795" s="1">
        <f>1795</f>
        <v>1795</v>
      </c>
      <c r="Y1795" s="1">
        <f>IF(AND(U1795="INCLUDED",W1795=1),--(NOT(EXACT(A1795,'AI output'!A1795)))+--(NOT(EXACT(B1795,'AI output'!B1795)))+--(NOT(EXACT(TEXT(G1795,"yyyy-mm-dd"),'AI output'!C1795)))+--(NOT(EXACT(H1795,'AI output'!D1795)))+--(NOT(EXACT(J1795,'AI output'!E1795)))+--(NOT(EXACT(K1795,'AI output'!F1795)))+--(N1795&lt;&gt;'AI output'!L1795)+--(NOT('AI output'!M1795)),0)</f>
        <v>0</v>
      </c>
      <c r="Z1795" s="1">
        <f t="shared" si="223"/>
        <v>0</v>
      </c>
      <c r="AA1795" s="1">
        <f>--EXACT(A1795,"L01789")</f>
        <v>1</v>
      </c>
    </row>
    <row r="1796" spans="1:27" ht="18.95" customHeight="1">
      <c r="A1796" s="1" t="str">
        <f>IF(Raw!A1796="","",Raw!A1796)</f>
        <v>L01790</v>
      </c>
      <c r="B1796" s="1" t="str">
        <f>IF(Raw!B1796="","",Raw!B1796)</f>
        <v>T00895</v>
      </c>
      <c r="C1796" s="1" t="str">
        <f>IF(Raw!C1796="","",Raw!C1796)</f>
        <v>2026-02-18</v>
      </c>
      <c r="D1796" s="1">
        <f t="shared" si="216"/>
        <v>2026</v>
      </c>
      <c r="E1796" s="1">
        <f>IFERROR(IF(AND(LEN(C1796)=10,MID(C1796,5,1)="-",MID(C1796,8,1)="-"),VALUE(MID(C1796,6,2)),IF(AND(LEN(C1796)=11,MID(C1796,3,1)="-",MID(C1796,7,1)="-"),MATCH(UPPER(MID(C1796,4,3)),Guide!$D$7:$D$18,0),0)),0)</f>
        <v>2</v>
      </c>
      <c r="F1796" s="1">
        <f t="shared" si="217"/>
        <v>18</v>
      </c>
      <c r="G1796" s="9">
        <f t="shared" si="218"/>
        <v>46071</v>
      </c>
      <c r="H1796" s="1" t="str">
        <f>IF(Raw!D1796="","",Raw!D1796)</f>
        <v>P-H</v>
      </c>
      <c r="I1796" s="1" t="str">
        <f>IFERROR(IF(EXACT(H1796,INDEX(Guide!$A$7:$A$9,MATCH(SUBSTITUTE(SUBSTITUTE(SUBSTITUTE(H1796,"~","~~"),"*","~*"),"?","~?"),Guide!$A$7:$A$9,0))),INDEX(Guide!$B$7:$B$9,MATCH(SUBSTITUTE(SUBSTITUTE(SUBSTITUTE(H1796,"~","~~"),"*","~*"),"?","~?"),Guide!$A$7:$A$9,0)),""),"")</f>
        <v>Home</v>
      </c>
      <c r="J1796" s="1" t="str">
        <f>IF(TRIM(Raw!E1796)="",I1796,IF(UPPER(TRIM(Raw!E1796))=UPPER(I1796),I1796,""))</f>
        <v>Home</v>
      </c>
      <c r="K1796" s="1" t="str">
        <f>IF(Raw!F1796="","",Raw!F1796)</f>
        <v>sale</v>
      </c>
      <c r="L1796" s="1" t="str">
        <f>IF(LEFT(TRIM(Raw!G1796),2)="-$","-"&amp;MID(TRIM(Raw!G1796),3,99),IF(LEFT(TRIM(Raw!G1796),1)="$",MID(TRIM(Raw!G1796),2,99),TRIM(Raw!G1796)))</f>
        <v>267.68</v>
      </c>
      <c r="M1796" s="1">
        <f t="shared" si="219"/>
        <v>267.68</v>
      </c>
      <c r="N1796" s="10">
        <f t="shared" si="220"/>
        <v>26768</v>
      </c>
      <c r="O1796" s="1" t="b">
        <f>IFERROR(IF(ISNUMBER(Raw!G1796),TRUE,OR(EXACT(L1796,TEXT(M1796,"0.00")),EXACT(L1796,TEXT(M1796,"#,##0.00")))),FALSE)</f>
        <v>1</v>
      </c>
      <c r="P1796" s="1" t="str">
        <f>LEN(IF(Raw!A1796="","",Raw!A1796))&amp;":"&amp;IF(Raw!A1796="","",Raw!A1796)&amp;"|"&amp;LEN(IF(Raw!B1796="","",Raw!B1796))&amp;":"&amp;IF(Raw!B1796="","",Raw!B1796)&amp;"|"&amp;LEN(IF(Raw!C1796="","",Raw!C1796))&amp;":"&amp;IF(Raw!C1796="","",Raw!C1796)&amp;"|"&amp;LEN(IF(Raw!D1796="","",Raw!D1796))&amp;":"&amp;IF(Raw!D1796="","",Raw!D1796)&amp;"|"&amp;LEN(IF(Raw!E1796="","",Raw!E1796))&amp;":"&amp;IF(Raw!E1796="","",Raw!E1796)&amp;"|"&amp;LEN(IF(Raw!F1796="","",Raw!F1796))&amp;":"&amp;IF(Raw!F1796="","",Raw!F1796)&amp;"|"&amp;LEN(IF(Raw!G1796="","",Raw!G1796))&amp;":"&amp;IF(Raw!G1796="","",Raw!G1796)</f>
        <v>6:L01790|6:T00895|10:2026-02-18|3:P-H|4:Home|4:sale|6:267.68</v>
      </c>
      <c r="Q1796" s="1">
        <f>1</f>
        <v>1</v>
      </c>
      <c r="R1796" s="1" t="b">
        <f>FALSE</f>
        <v>0</v>
      </c>
      <c r="S1796" s="1">
        <f>1</f>
        <v>1</v>
      </c>
      <c r="T1796" s="1" t="str">
        <f>IF(AND(Raw!A1796="",Raw!B1796="",Raw!C1796="",Raw!D1796="",Raw!E1796="",Raw!F1796="",Raw!G1796=""),"UNUSED",IF(A1796="","missing line ID",IF(B1796="","missing transaction ID",IF(G1796="",IF(C1796="","missing date","invalid date"),IF(I1796="","unknown product",IF(J1796="","conflicting category",IF(NOT(OR(EXACT(K1796,"sale"),EXACT(K1796,"refund"))),"unknown event",IF(OR(N1796="",NOT(O1796)),"invalid amount",IF(OR(AND(K1796="sale",N1796&lt;=0),AND(K1796="refund",N1796&gt;=0)),"invalid sign","")))))))))</f>
        <v/>
      </c>
      <c r="U1796" s="1" t="str">
        <f t="shared" si="221"/>
        <v>INCLUDED</v>
      </c>
      <c r="V1796" s="1" t="str">
        <f t="shared" si="222"/>
        <v>2026-02</v>
      </c>
      <c r="W1796" s="1">
        <f>IF(AND(U1796="INCLUDED",X1796&gt;0,EXACT(A1796,'AI output'!A1796)),1,0)</f>
        <v>1</v>
      </c>
      <c r="X1796" s="1">
        <f>1796</f>
        <v>1796</v>
      </c>
      <c r="Y1796" s="1">
        <f>IF(AND(U1796="INCLUDED",W1796=1),--(NOT(EXACT(A1796,'AI output'!A1796)))+--(NOT(EXACT(B1796,'AI output'!B1796)))+--(NOT(EXACT(TEXT(G1796,"yyyy-mm-dd"),'AI output'!C1796)))+--(NOT(EXACT(H1796,'AI output'!D1796)))+--(NOT(EXACT(J1796,'AI output'!E1796)))+--(NOT(EXACT(K1796,'AI output'!F1796)))+--(N1796&lt;&gt;'AI output'!L1796)+--(NOT('AI output'!M1796)),0)</f>
        <v>0</v>
      </c>
      <c r="Z1796" s="1">
        <f t="shared" si="223"/>
        <v>0</v>
      </c>
      <c r="AA1796" s="1">
        <f>--EXACT(A1796,"L01790")</f>
        <v>1</v>
      </c>
    </row>
    <row r="1797" spans="1:27" ht="18.95" customHeight="1">
      <c r="A1797" s="1" t="str">
        <f>IF(Raw!A1797="","",Raw!A1797)</f>
        <v>L01791</v>
      </c>
      <c r="B1797" s="1" t="str">
        <f>IF(Raw!B1797="","",Raw!B1797)</f>
        <v>T00896</v>
      </c>
      <c r="C1797" s="1" t="str">
        <f>IF(Raw!C1797="","",Raw!C1797)</f>
        <v>2026-02-25</v>
      </c>
      <c r="D1797" s="1">
        <f t="shared" si="216"/>
        <v>2026</v>
      </c>
      <c r="E1797" s="1">
        <f>IFERROR(IF(AND(LEN(C1797)=10,MID(C1797,5,1)="-",MID(C1797,8,1)="-"),VALUE(MID(C1797,6,2)),IF(AND(LEN(C1797)=11,MID(C1797,3,1)="-",MID(C1797,7,1)="-"),MATCH(UPPER(MID(C1797,4,3)),Guide!$D$7:$D$18,0),0)),0)</f>
        <v>2</v>
      </c>
      <c r="F1797" s="1">
        <f t="shared" si="217"/>
        <v>25</v>
      </c>
      <c r="G1797" s="9">
        <f t="shared" si="218"/>
        <v>46078</v>
      </c>
      <c r="H1797" s="1" t="str">
        <f>IF(Raw!D1797="","",Raw!D1797)</f>
        <v>P-O</v>
      </c>
      <c r="I1797" s="1" t="str">
        <f>IFERROR(IF(EXACT(H1797,INDEX(Guide!$A$7:$A$9,MATCH(SUBSTITUTE(SUBSTITUTE(SUBSTITUTE(H1797,"~","~~"),"*","~*"),"?","~?"),Guide!$A$7:$A$9,0))),INDEX(Guide!$B$7:$B$9,MATCH(SUBSTITUTE(SUBSTITUTE(SUBSTITUTE(H1797,"~","~~"),"*","~*"),"?","~?"),Guide!$A$7:$A$9,0)),""),"")</f>
        <v>Office</v>
      </c>
      <c r="J1797" s="1" t="str">
        <f>IF(TRIM(Raw!E1797)="",I1797,IF(UPPER(TRIM(Raw!E1797))=UPPER(I1797),I1797,""))</f>
        <v>Office</v>
      </c>
      <c r="K1797" s="1" t="str">
        <f>IF(Raw!F1797="","",Raw!F1797)</f>
        <v>sale</v>
      </c>
      <c r="L1797" s="1" t="str">
        <f>IF(LEFT(TRIM(Raw!G1797),2)="-$","-"&amp;MID(TRIM(Raw!G1797),3,99),IF(LEFT(TRIM(Raw!G1797),1)="$",MID(TRIM(Raw!G1797),2,99),TRIM(Raw!G1797)))</f>
        <v>67.29</v>
      </c>
      <c r="M1797" s="1">
        <f t="shared" si="219"/>
        <v>67.290000000000006</v>
      </c>
      <c r="N1797" s="10">
        <f t="shared" si="220"/>
        <v>6729</v>
      </c>
      <c r="O1797" s="1" t="b">
        <f>IFERROR(IF(ISNUMBER(Raw!G1797),TRUE,OR(EXACT(L1797,TEXT(M1797,"0.00")),EXACT(L1797,TEXT(M1797,"#,##0.00")))),FALSE)</f>
        <v>1</v>
      </c>
      <c r="P1797" s="1" t="str">
        <f>LEN(IF(Raw!A1797="","",Raw!A1797))&amp;":"&amp;IF(Raw!A1797="","",Raw!A1797)&amp;"|"&amp;LEN(IF(Raw!B1797="","",Raw!B1797))&amp;":"&amp;IF(Raw!B1797="","",Raw!B1797)&amp;"|"&amp;LEN(IF(Raw!C1797="","",Raw!C1797))&amp;":"&amp;IF(Raw!C1797="","",Raw!C1797)&amp;"|"&amp;LEN(IF(Raw!D1797="","",Raw!D1797))&amp;":"&amp;IF(Raw!D1797="","",Raw!D1797)&amp;"|"&amp;LEN(IF(Raw!E1797="","",Raw!E1797))&amp;":"&amp;IF(Raw!E1797="","",Raw!E1797)&amp;"|"&amp;LEN(IF(Raw!F1797="","",Raw!F1797))&amp;":"&amp;IF(Raw!F1797="","",Raw!F1797)&amp;"|"&amp;LEN(IF(Raw!G1797="","",Raw!G1797))&amp;":"&amp;IF(Raw!G1797="","",Raw!G1797)</f>
        <v>6:L01791|6:T00896|10:2026-02-25|3:P-O|6:Office|4:sale|5:67.29</v>
      </c>
      <c r="Q1797" s="1">
        <f>1</f>
        <v>1</v>
      </c>
      <c r="R1797" s="1" t="b">
        <f>FALSE</f>
        <v>0</v>
      </c>
      <c r="S1797" s="1">
        <f>1</f>
        <v>1</v>
      </c>
      <c r="T1797" s="1" t="str">
        <f>IF(AND(Raw!A1797="",Raw!B1797="",Raw!C1797="",Raw!D1797="",Raw!E1797="",Raw!F1797="",Raw!G1797=""),"UNUSED",IF(A1797="","missing line ID",IF(B1797="","missing transaction ID",IF(G1797="",IF(C1797="","missing date","invalid date"),IF(I1797="","unknown product",IF(J1797="","conflicting category",IF(NOT(OR(EXACT(K1797,"sale"),EXACT(K1797,"refund"))),"unknown event",IF(OR(N1797="",NOT(O1797)),"invalid amount",IF(OR(AND(K1797="sale",N1797&lt;=0),AND(K1797="refund",N1797&gt;=0)),"invalid sign","")))))))))</f>
        <v/>
      </c>
      <c r="U1797" s="1" t="str">
        <f t="shared" si="221"/>
        <v>INCLUDED</v>
      </c>
      <c r="V1797" s="1" t="str">
        <f t="shared" si="222"/>
        <v>2026-02</v>
      </c>
      <c r="W1797" s="1">
        <f>IF(AND(U1797="INCLUDED",X1797&gt;0,EXACT(A1797,'AI output'!A1797)),1,0)</f>
        <v>1</v>
      </c>
      <c r="X1797" s="1">
        <f>1797</f>
        <v>1797</v>
      </c>
      <c r="Y1797" s="1">
        <f>IF(AND(U1797="INCLUDED",W1797=1),--(NOT(EXACT(A1797,'AI output'!A1797)))+--(NOT(EXACT(B1797,'AI output'!B1797)))+--(NOT(EXACT(TEXT(G1797,"yyyy-mm-dd"),'AI output'!C1797)))+--(NOT(EXACT(H1797,'AI output'!D1797)))+--(NOT(EXACT(J1797,'AI output'!E1797)))+--(NOT(EXACT(K1797,'AI output'!F1797)))+--(N1797&lt;&gt;'AI output'!L1797)+--(NOT('AI output'!M1797)),0)</f>
        <v>0</v>
      </c>
      <c r="Z1797" s="1">
        <f t="shared" si="223"/>
        <v>0</v>
      </c>
      <c r="AA1797" s="1">
        <f>--EXACT(A1797,"L01791")</f>
        <v>1</v>
      </c>
    </row>
    <row r="1798" spans="1:27" ht="18.95" customHeight="1">
      <c r="A1798" s="1" t="str">
        <f>IF(Raw!A1798="","",Raw!A1798)</f>
        <v>L01792</v>
      </c>
      <c r="B1798" s="1" t="str">
        <f>IF(Raw!B1798="","",Raw!B1798)</f>
        <v>T00896</v>
      </c>
      <c r="C1798" s="1" t="str">
        <f>IF(Raw!C1798="","",Raw!C1798)</f>
        <v>2026-02-25</v>
      </c>
      <c r="D1798" s="1">
        <f t="shared" si="216"/>
        <v>2026</v>
      </c>
      <c r="E1798" s="1">
        <f>IFERROR(IF(AND(LEN(C1798)=10,MID(C1798,5,1)="-",MID(C1798,8,1)="-"),VALUE(MID(C1798,6,2)),IF(AND(LEN(C1798)=11,MID(C1798,3,1)="-",MID(C1798,7,1)="-"),MATCH(UPPER(MID(C1798,4,3)),Guide!$D$7:$D$18,0),0)),0)</f>
        <v>2</v>
      </c>
      <c r="F1798" s="1">
        <f t="shared" si="217"/>
        <v>25</v>
      </c>
      <c r="G1798" s="9">
        <f t="shared" si="218"/>
        <v>46078</v>
      </c>
      <c r="H1798" s="1" t="str">
        <f>IF(Raw!D1798="","",Raw!D1798)</f>
        <v>P-A</v>
      </c>
      <c r="I1798" s="1" t="str">
        <f>IFERROR(IF(EXACT(H1798,INDEX(Guide!$A$7:$A$9,MATCH(SUBSTITUTE(SUBSTITUTE(SUBSTITUTE(H1798,"~","~~"),"*","~*"),"?","~?"),Guide!$A$7:$A$9,0))),INDEX(Guide!$B$7:$B$9,MATCH(SUBSTITUTE(SUBSTITUTE(SUBSTITUTE(H1798,"~","~~"),"*","~*"),"?","~?"),Guide!$A$7:$A$9,0)),""),"")</f>
        <v>Accessories</v>
      </c>
      <c r="J1798" s="1" t="str">
        <f>IF(TRIM(Raw!E1798)="",I1798,IF(UPPER(TRIM(Raw!E1798))=UPPER(I1798),I1798,""))</f>
        <v>Accessories</v>
      </c>
      <c r="K1798" s="1" t="str">
        <f>IF(Raw!F1798="","",Raw!F1798)</f>
        <v>sale</v>
      </c>
      <c r="L1798" s="1" t="str">
        <f>IF(LEFT(TRIM(Raw!G1798),2)="-$","-"&amp;MID(TRIM(Raw!G1798),3,99),IF(LEFT(TRIM(Raw!G1798),1)="$",MID(TRIM(Raw!G1798),2,99),TRIM(Raw!G1798)))</f>
        <v>202.98</v>
      </c>
      <c r="M1798" s="1">
        <f t="shared" si="219"/>
        <v>202.98</v>
      </c>
      <c r="N1798" s="10">
        <f t="shared" si="220"/>
        <v>20298</v>
      </c>
      <c r="O1798" s="1" t="b">
        <f>IFERROR(IF(ISNUMBER(Raw!G1798),TRUE,OR(EXACT(L1798,TEXT(M1798,"0.00")),EXACT(L1798,TEXT(M1798,"#,##0.00")))),FALSE)</f>
        <v>1</v>
      </c>
      <c r="P1798" s="1" t="str">
        <f>LEN(IF(Raw!A1798="","",Raw!A1798))&amp;":"&amp;IF(Raw!A1798="","",Raw!A1798)&amp;"|"&amp;LEN(IF(Raw!B1798="","",Raw!B1798))&amp;":"&amp;IF(Raw!B1798="","",Raw!B1798)&amp;"|"&amp;LEN(IF(Raw!C1798="","",Raw!C1798))&amp;":"&amp;IF(Raw!C1798="","",Raw!C1798)&amp;"|"&amp;LEN(IF(Raw!D1798="","",Raw!D1798))&amp;":"&amp;IF(Raw!D1798="","",Raw!D1798)&amp;"|"&amp;LEN(IF(Raw!E1798="","",Raw!E1798))&amp;":"&amp;IF(Raw!E1798="","",Raw!E1798)&amp;"|"&amp;LEN(IF(Raw!F1798="","",Raw!F1798))&amp;":"&amp;IF(Raw!F1798="","",Raw!F1798)&amp;"|"&amp;LEN(IF(Raw!G1798="","",Raw!G1798))&amp;":"&amp;IF(Raw!G1798="","",Raw!G1798)</f>
        <v>6:L01792|6:T00896|10:2026-02-25|3:P-A|11:Accessories|4:sale|6:202.98</v>
      </c>
      <c r="Q1798" s="1">
        <f>1</f>
        <v>1</v>
      </c>
      <c r="R1798" s="1" t="b">
        <f>FALSE</f>
        <v>0</v>
      </c>
      <c r="S1798" s="1">
        <f>1</f>
        <v>1</v>
      </c>
      <c r="T1798" s="1" t="str">
        <f>IF(AND(Raw!A1798="",Raw!B1798="",Raw!C1798="",Raw!D1798="",Raw!E1798="",Raw!F1798="",Raw!G1798=""),"UNUSED",IF(A1798="","missing line ID",IF(B1798="","missing transaction ID",IF(G1798="",IF(C1798="","missing date","invalid date"),IF(I1798="","unknown product",IF(J1798="","conflicting category",IF(NOT(OR(EXACT(K1798,"sale"),EXACT(K1798,"refund"))),"unknown event",IF(OR(N1798="",NOT(O1798)),"invalid amount",IF(OR(AND(K1798="sale",N1798&lt;=0),AND(K1798="refund",N1798&gt;=0)),"invalid sign","")))))))))</f>
        <v/>
      </c>
      <c r="U1798" s="1" t="str">
        <f t="shared" si="221"/>
        <v>INCLUDED</v>
      </c>
      <c r="V1798" s="1" t="str">
        <f t="shared" si="222"/>
        <v>2026-02</v>
      </c>
      <c r="W1798" s="1">
        <f>IF(AND(U1798="INCLUDED",X1798&gt;0,EXACT(A1798,'AI output'!A1798)),1,0)</f>
        <v>1</v>
      </c>
      <c r="X1798" s="1">
        <f>1798</f>
        <v>1798</v>
      </c>
      <c r="Y1798" s="1">
        <f>IF(AND(U1798="INCLUDED",W1798=1),--(NOT(EXACT(A1798,'AI output'!A1798)))+--(NOT(EXACT(B1798,'AI output'!B1798)))+--(NOT(EXACT(TEXT(G1798,"yyyy-mm-dd"),'AI output'!C1798)))+--(NOT(EXACT(H1798,'AI output'!D1798)))+--(NOT(EXACT(J1798,'AI output'!E1798)))+--(NOT(EXACT(K1798,'AI output'!F1798)))+--(N1798&lt;&gt;'AI output'!L1798)+--(NOT('AI output'!M1798)),0)</f>
        <v>0</v>
      </c>
      <c r="Z1798" s="1">
        <f t="shared" si="223"/>
        <v>0</v>
      </c>
      <c r="AA1798" s="1">
        <f>--EXACT(A1798,"L01792")</f>
        <v>1</v>
      </c>
    </row>
    <row r="1799" spans="1:27" ht="18.95" customHeight="1">
      <c r="A1799" s="1" t="str">
        <f>IF(Raw!A1799="","",Raw!A1799)</f>
        <v>L01793</v>
      </c>
      <c r="B1799" s="1" t="str">
        <f>IF(Raw!B1799="","",Raw!B1799)</f>
        <v>T00897</v>
      </c>
      <c r="C1799" s="1" t="str">
        <f>IF(Raw!C1799="","",Raw!C1799)</f>
        <v>2026-03-04</v>
      </c>
      <c r="D1799" s="1">
        <f t="shared" ref="D1799:D1862" si="224">IFERROR(IF(AND(LEN(C1799)=10,MID(C1799,5,1)="-",MID(C1799,8,1)="-"),VALUE(LEFT(C1799,4)),IF(AND(LEN(C1799)=11,MID(C1799,3,1)="-",MID(C1799,7,1)="-"),VALUE(RIGHT(C1799,4)),0)),0)</f>
        <v>2026</v>
      </c>
      <c r="E1799" s="1">
        <f>IFERROR(IF(AND(LEN(C1799)=10,MID(C1799,5,1)="-",MID(C1799,8,1)="-"),VALUE(MID(C1799,6,2)),IF(AND(LEN(C1799)=11,MID(C1799,3,1)="-",MID(C1799,7,1)="-"),MATCH(UPPER(MID(C1799,4,3)),Guide!$D$7:$D$18,0),0)),0)</f>
        <v>3</v>
      </c>
      <c r="F1799" s="1">
        <f t="shared" ref="F1799:F1862" si="225">IFERROR(IF(AND(LEN(C1799)=10,MID(C1799,5,1)="-",MID(C1799,8,1)="-"),VALUE(RIGHT(C1799,2)),IF(AND(LEN(C1799)=11,MID(C1799,3,1)="-",MID(C1799,7,1)="-"),VALUE(LEFT(C1799,2)),0)),0)</f>
        <v>4</v>
      </c>
      <c r="G1799" s="9">
        <f t="shared" ref="G1799:G1862" si="226">IFERROR(IF(AND(D1799&gt;=1900,D1799&lt;=9999,YEAR(DATE(D1799,E1799,F1799))=D1799,MONTH(DATE(D1799,E1799,F1799))=E1799,DAY(DATE(D1799,E1799,F1799))=F1799),DATE(D1799,E1799,F1799),""),"")</f>
        <v>46085</v>
      </c>
      <c r="H1799" s="1" t="str">
        <f>IF(Raw!D1799="","",Raw!D1799)</f>
        <v>P-H</v>
      </c>
      <c r="I1799" s="1" t="str">
        <f>IFERROR(IF(EXACT(H1799,INDEX(Guide!$A$7:$A$9,MATCH(SUBSTITUTE(SUBSTITUTE(SUBSTITUTE(H1799,"~","~~"),"*","~*"),"?","~?"),Guide!$A$7:$A$9,0))),INDEX(Guide!$B$7:$B$9,MATCH(SUBSTITUTE(SUBSTITUTE(SUBSTITUTE(H1799,"~","~~"),"*","~*"),"?","~?"),Guide!$A$7:$A$9,0)),""),"")</f>
        <v>Home</v>
      </c>
      <c r="J1799" s="1" t="str">
        <f>IF(TRIM(Raw!E1799)="",I1799,IF(UPPER(TRIM(Raw!E1799))=UPPER(I1799),I1799,""))</f>
        <v>Home</v>
      </c>
      <c r="K1799" s="1" t="str">
        <f>IF(Raw!F1799="","",Raw!F1799)</f>
        <v>sale</v>
      </c>
      <c r="L1799" s="1" t="str">
        <f>IF(LEFT(TRIM(Raw!G1799),2)="-$","-"&amp;MID(TRIM(Raw!G1799),3,99),IF(LEFT(TRIM(Raw!G1799),1)="$",MID(TRIM(Raw!G1799),2,99),TRIM(Raw!G1799)))</f>
        <v>340.15</v>
      </c>
      <c r="M1799" s="1">
        <f t="shared" ref="M1799:M1862" si="227">IFERROR(VALUE(L1799),"")</f>
        <v>340.15</v>
      </c>
      <c r="N1799" s="10">
        <f t="shared" ref="N1799:N1862" si="228">IF(AND(ISNUMBER(M1799),ABS(M1799*100-ROUND(M1799*100,0))&lt;0.0000001),ROUND(M1799*100,0),"")</f>
        <v>34015</v>
      </c>
      <c r="O1799" s="1" t="b">
        <f>IFERROR(IF(ISNUMBER(Raw!G1799),TRUE,OR(EXACT(L1799,TEXT(M1799,"0.00")),EXACT(L1799,TEXT(M1799,"#,##0.00")))),FALSE)</f>
        <v>1</v>
      </c>
      <c r="P1799" s="1" t="str">
        <f>LEN(IF(Raw!A1799="","",Raw!A1799))&amp;":"&amp;IF(Raw!A1799="","",Raw!A1799)&amp;"|"&amp;LEN(IF(Raw!B1799="","",Raw!B1799))&amp;":"&amp;IF(Raw!B1799="","",Raw!B1799)&amp;"|"&amp;LEN(IF(Raw!C1799="","",Raw!C1799))&amp;":"&amp;IF(Raw!C1799="","",Raw!C1799)&amp;"|"&amp;LEN(IF(Raw!D1799="","",Raw!D1799))&amp;":"&amp;IF(Raw!D1799="","",Raw!D1799)&amp;"|"&amp;LEN(IF(Raw!E1799="","",Raw!E1799))&amp;":"&amp;IF(Raw!E1799="","",Raw!E1799)&amp;"|"&amp;LEN(IF(Raw!F1799="","",Raw!F1799))&amp;":"&amp;IF(Raw!F1799="","",Raw!F1799)&amp;"|"&amp;LEN(IF(Raw!G1799="","",Raw!G1799))&amp;":"&amp;IF(Raw!G1799="","",Raw!G1799)</f>
        <v>6:L01793|6:T00897|10:2026-03-04|3:P-H|4:Home|4:sale|6:340.15</v>
      </c>
      <c r="Q1799" s="1">
        <f>1</f>
        <v>1</v>
      </c>
      <c r="R1799" s="1" t="b">
        <f>FALSE</f>
        <v>0</v>
      </c>
      <c r="S1799" s="1">
        <f>1</f>
        <v>1</v>
      </c>
      <c r="T1799" s="1" t="str">
        <f>IF(AND(Raw!A1799="",Raw!B1799="",Raw!C1799="",Raw!D1799="",Raw!E1799="",Raw!F1799="",Raw!G1799=""),"UNUSED",IF(A1799="","missing line ID",IF(B1799="","missing transaction ID",IF(G1799="",IF(C1799="","missing date","invalid date"),IF(I1799="","unknown product",IF(J1799="","conflicting category",IF(NOT(OR(EXACT(K1799,"sale"),EXACT(K1799,"refund"))),"unknown event",IF(OR(N1799="",NOT(O1799)),"invalid amount",IF(OR(AND(K1799="sale",N1799&lt;=0),AND(K1799="refund",N1799&gt;=0)),"invalid sign","")))))))))</f>
        <v/>
      </c>
      <c r="U1799" s="1" t="str">
        <f t="shared" ref="U1799:U1862" si="229">IF(T1799="UNUSED","UNUSED",IF(R1799,"QUARANTINE",IF(S1799&gt;1,"DUPLICATE",IF(T1799&lt;&gt;"","QUARANTINE","INCLUDED"))))</f>
        <v>INCLUDED</v>
      </c>
      <c r="V1799" s="1" t="str">
        <f t="shared" ref="V1799:V1862" si="230">IF(G1799="","",TEXT(G1799,"yyyy-mm"))</f>
        <v>2026-03</v>
      </c>
      <c r="W1799" s="1">
        <f>IF(AND(U1799="INCLUDED",X1799&gt;0,EXACT(A1799,'AI output'!A1799)),1,0)</f>
        <v>1</v>
      </c>
      <c r="X1799" s="1">
        <f>1799</f>
        <v>1799</v>
      </c>
      <c r="Y1799" s="1">
        <f>IF(AND(U1799="INCLUDED",W1799=1),--(NOT(EXACT(A1799,'AI output'!A1799)))+--(NOT(EXACT(B1799,'AI output'!B1799)))+--(NOT(EXACT(TEXT(G1799,"yyyy-mm-dd"),'AI output'!C1799)))+--(NOT(EXACT(H1799,'AI output'!D1799)))+--(NOT(EXACT(J1799,'AI output'!E1799)))+--(NOT(EXACT(K1799,'AI output'!F1799)))+--(N1799&lt;&gt;'AI output'!L1799)+--(NOT('AI output'!M1799)),0)</f>
        <v>0</v>
      </c>
      <c r="Z1799" s="1">
        <f t="shared" ref="Z1799:Z1862" si="231">IF(U1799="INCLUDED",IF(OR(W1799&lt;&gt;1,Y1799&lt;&gt;0),1,0),0)</f>
        <v>0</v>
      </c>
      <c r="AA1799" s="1">
        <f>--EXACT(A1799,"L01793")</f>
        <v>1</v>
      </c>
    </row>
    <row r="1800" spans="1:27" ht="18.95" customHeight="1">
      <c r="A1800" s="1" t="str">
        <f>IF(Raw!A1800="","",Raw!A1800)</f>
        <v>L01794</v>
      </c>
      <c r="B1800" s="1" t="str">
        <f>IF(Raw!B1800="","",Raw!B1800)</f>
        <v>T00897</v>
      </c>
      <c r="C1800" s="1" t="str">
        <f>IF(Raw!C1800="","",Raw!C1800)</f>
        <v>2026-03-04</v>
      </c>
      <c r="D1800" s="1">
        <f t="shared" si="224"/>
        <v>2026</v>
      </c>
      <c r="E1800" s="1">
        <f>IFERROR(IF(AND(LEN(C1800)=10,MID(C1800,5,1)="-",MID(C1800,8,1)="-"),VALUE(MID(C1800,6,2)),IF(AND(LEN(C1800)=11,MID(C1800,3,1)="-",MID(C1800,7,1)="-"),MATCH(UPPER(MID(C1800,4,3)),Guide!$D$7:$D$18,0),0)),0)</f>
        <v>3</v>
      </c>
      <c r="F1800" s="1">
        <f t="shared" si="225"/>
        <v>4</v>
      </c>
      <c r="G1800" s="9">
        <f t="shared" si="226"/>
        <v>46085</v>
      </c>
      <c r="H1800" s="1" t="str">
        <f>IF(Raw!D1800="","",Raw!D1800)</f>
        <v>P-O</v>
      </c>
      <c r="I1800" s="1" t="str">
        <f>IFERROR(IF(EXACT(H1800,INDEX(Guide!$A$7:$A$9,MATCH(SUBSTITUTE(SUBSTITUTE(SUBSTITUTE(H1800,"~","~~"),"*","~*"),"?","~?"),Guide!$A$7:$A$9,0))),INDEX(Guide!$B$7:$B$9,MATCH(SUBSTITUTE(SUBSTITUTE(SUBSTITUTE(H1800,"~","~~"),"*","~*"),"?","~?"),Guide!$A$7:$A$9,0)),""),"")</f>
        <v>Office</v>
      </c>
      <c r="J1800" s="1" t="str">
        <f>IF(TRIM(Raw!E1800)="",I1800,IF(UPPER(TRIM(Raw!E1800))=UPPER(I1800),I1800,""))</f>
        <v>Office</v>
      </c>
      <c r="K1800" s="1" t="str">
        <f>IF(Raw!F1800="","",Raw!F1800)</f>
        <v>sale</v>
      </c>
      <c r="L1800" s="1" t="str">
        <f>IF(LEFT(TRIM(Raw!G1800),2)="-$","-"&amp;MID(TRIM(Raw!G1800),3,99),IF(LEFT(TRIM(Raw!G1800),1)="$",MID(TRIM(Raw!G1800),2,99),TRIM(Raw!G1800)))</f>
        <v>136.80</v>
      </c>
      <c r="M1800" s="1">
        <f t="shared" si="227"/>
        <v>136.80000000000001</v>
      </c>
      <c r="N1800" s="10">
        <f t="shared" si="228"/>
        <v>13680</v>
      </c>
      <c r="O1800" s="1" t="b">
        <f>IFERROR(IF(ISNUMBER(Raw!G1800),TRUE,OR(EXACT(L1800,TEXT(M1800,"0.00")),EXACT(L1800,TEXT(M1800,"#,##0.00")))),FALSE)</f>
        <v>1</v>
      </c>
      <c r="P1800" s="1" t="str">
        <f>LEN(IF(Raw!A1800="","",Raw!A1800))&amp;":"&amp;IF(Raw!A1800="","",Raw!A1800)&amp;"|"&amp;LEN(IF(Raw!B1800="","",Raw!B1800))&amp;":"&amp;IF(Raw!B1800="","",Raw!B1800)&amp;"|"&amp;LEN(IF(Raw!C1800="","",Raw!C1800))&amp;":"&amp;IF(Raw!C1800="","",Raw!C1800)&amp;"|"&amp;LEN(IF(Raw!D1800="","",Raw!D1800))&amp;":"&amp;IF(Raw!D1800="","",Raw!D1800)&amp;"|"&amp;LEN(IF(Raw!E1800="","",Raw!E1800))&amp;":"&amp;IF(Raw!E1800="","",Raw!E1800)&amp;"|"&amp;LEN(IF(Raw!F1800="","",Raw!F1800))&amp;":"&amp;IF(Raw!F1800="","",Raw!F1800)&amp;"|"&amp;LEN(IF(Raw!G1800="","",Raw!G1800))&amp;":"&amp;IF(Raw!G1800="","",Raw!G1800)</f>
        <v>6:L01794|6:T00897|10:2026-03-04|3:P-O|6:Office|4:sale|6:136.80</v>
      </c>
      <c r="Q1800" s="1">
        <f>1</f>
        <v>1</v>
      </c>
      <c r="R1800" s="1" t="b">
        <f>FALSE</f>
        <v>0</v>
      </c>
      <c r="S1800" s="1">
        <f>1</f>
        <v>1</v>
      </c>
      <c r="T1800" s="1" t="str">
        <f>IF(AND(Raw!A1800="",Raw!B1800="",Raw!C1800="",Raw!D1800="",Raw!E1800="",Raw!F1800="",Raw!G1800=""),"UNUSED",IF(A1800="","missing line ID",IF(B1800="","missing transaction ID",IF(G1800="",IF(C1800="","missing date","invalid date"),IF(I1800="","unknown product",IF(J1800="","conflicting category",IF(NOT(OR(EXACT(K1800,"sale"),EXACT(K1800,"refund"))),"unknown event",IF(OR(N1800="",NOT(O1800)),"invalid amount",IF(OR(AND(K1800="sale",N1800&lt;=0),AND(K1800="refund",N1800&gt;=0)),"invalid sign","")))))))))</f>
        <v/>
      </c>
      <c r="U1800" s="1" t="str">
        <f t="shared" si="229"/>
        <v>INCLUDED</v>
      </c>
      <c r="V1800" s="1" t="str">
        <f t="shared" si="230"/>
        <v>2026-03</v>
      </c>
      <c r="W1800" s="1">
        <f>IF(AND(U1800="INCLUDED",X1800&gt;0,EXACT(A1800,'AI output'!A1800)),1,0)</f>
        <v>1</v>
      </c>
      <c r="X1800" s="1">
        <f>1800</f>
        <v>1800</v>
      </c>
      <c r="Y1800" s="1">
        <f>IF(AND(U1800="INCLUDED",W1800=1),--(NOT(EXACT(A1800,'AI output'!A1800)))+--(NOT(EXACT(B1800,'AI output'!B1800)))+--(NOT(EXACT(TEXT(G1800,"yyyy-mm-dd"),'AI output'!C1800)))+--(NOT(EXACT(H1800,'AI output'!D1800)))+--(NOT(EXACT(J1800,'AI output'!E1800)))+--(NOT(EXACT(K1800,'AI output'!F1800)))+--(N1800&lt;&gt;'AI output'!L1800)+--(NOT('AI output'!M1800)),0)</f>
        <v>0</v>
      </c>
      <c r="Z1800" s="1">
        <f t="shared" si="231"/>
        <v>0</v>
      </c>
      <c r="AA1800" s="1">
        <f>--EXACT(A1800,"L01794")</f>
        <v>1</v>
      </c>
    </row>
    <row r="1801" spans="1:27" ht="18.95" customHeight="1">
      <c r="A1801" s="1" t="str">
        <f>IF(Raw!A1801="","",Raw!A1801)</f>
        <v>L01795</v>
      </c>
      <c r="B1801" s="1" t="str">
        <f>IF(Raw!B1801="","",Raw!B1801)</f>
        <v>T00898</v>
      </c>
      <c r="C1801" s="1" t="str">
        <f>IF(Raw!C1801="","",Raw!C1801)</f>
        <v>2026-03-11</v>
      </c>
      <c r="D1801" s="1">
        <f t="shared" si="224"/>
        <v>2026</v>
      </c>
      <c r="E1801" s="1">
        <f>IFERROR(IF(AND(LEN(C1801)=10,MID(C1801,5,1)="-",MID(C1801,8,1)="-"),VALUE(MID(C1801,6,2)),IF(AND(LEN(C1801)=11,MID(C1801,3,1)="-",MID(C1801,7,1)="-"),MATCH(UPPER(MID(C1801,4,3)),Guide!$D$7:$D$18,0),0)),0)</f>
        <v>3</v>
      </c>
      <c r="F1801" s="1">
        <f t="shared" si="225"/>
        <v>11</v>
      </c>
      <c r="G1801" s="9">
        <f t="shared" si="226"/>
        <v>46092</v>
      </c>
      <c r="H1801" s="1" t="str">
        <f>IF(Raw!D1801="","",Raw!D1801)</f>
        <v>P-A</v>
      </c>
      <c r="I1801" s="1" t="str">
        <f>IFERROR(IF(EXACT(H1801,INDEX(Guide!$A$7:$A$9,MATCH(SUBSTITUTE(SUBSTITUTE(SUBSTITUTE(H1801,"~","~~"),"*","~*"),"?","~?"),Guide!$A$7:$A$9,0))),INDEX(Guide!$B$7:$B$9,MATCH(SUBSTITUTE(SUBSTITUTE(SUBSTITUTE(H1801,"~","~~"),"*","~*"),"?","~?"),Guide!$A$7:$A$9,0)),""),"")</f>
        <v>Accessories</v>
      </c>
      <c r="J1801" s="1" t="str">
        <f>IF(TRIM(Raw!E1801)="",I1801,IF(UPPER(TRIM(Raw!E1801))=UPPER(I1801),I1801,""))</f>
        <v>Accessories</v>
      </c>
      <c r="K1801" s="1" t="str">
        <f>IF(Raw!F1801="","",Raw!F1801)</f>
        <v>refund</v>
      </c>
      <c r="L1801" s="1" t="str">
        <f>IF(LEFT(TRIM(Raw!G1801),2)="-$","-"&amp;MID(TRIM(Raw!G1801),3,99),IF(LEFT(TRIM(Raw!G1801),1)="$",MID(TRIM(Raw!G1801),2,99),TRIM(Raw!G1801)))</f>
        <v>-275.08</v>
      </c>
      <c r="M1801" s="1">
        <f t="shared" si="227"/>
        <v>-275.08</v>
      </c>
      <c r="N1801" s="10">
        <f t="shared" si="228"/>
        <v>-27508</v>
      </c>
      <c r="O1801" s="1" t="b">
        <f>IFERROR(IF(ISNUMBER(Raw!G1801),TRUE,OR(EXACT(L1801,TEXT(M1801,"0.00")),EXACT(L1801,TEXT(M1801,"#,##0.00")))),FALSE)</f>
        <v>1</v>
      </c>
      <c r="P1801" s="1" t="str">
        <f>LEN(IF(Raw!A1801="","",Raw!A1801))&amp;":"&amp;IF(Raw!A1801="","",Raw!A1801)&amp;"|"&amp;LEN(IF(Raw!B1801="","",Raw!B1801))&amp;":"&amp;IF(Raw!B1801="","",Raw!B1801)&amp;"|"&amp;LEN(IF(Raw!C1801="","",Raw!C1801))&amp;":"&amp;IF(Raw!C1801="","",Raw!C1801)&amp;"|"&amp;LEN(IF(Raw!D1801="","",Raw!D1801))&amp;":"&amp;IF(Raw!D1801="","",Raw!D1801)&amp;"|"&amp;LEN(IF(Raw!E1801="","",Raw!E1801))&amp;":"&amp;IF(Raw!E1801="","",Raw!E1801)&amp;"|"&amp;LEN(IF(Raw!F1801="","",Raw!F1801))&amp;":"&amp;IF(Raw!F1801="","",Raw!F1801)&amp;"|"&amp;LEN(IF(Raw!G1801="","",Raw!G1801))&amp;":"&amp;IF(Raw!G1801="","",Raw!G1801)</f>
        <v>6:L01795|6:T00898|10:2026-03-11|3:P-A|11:Accessories|6:refund|7:-275.08</v>
      </c>
      <c r="Q1801" s="1">
        <f>1</f>
        <v>1</v>
      </c>
      <c r="R1801" s="1" t="b">
        <f>FALSE</f>
        <v>0</v>
      </c>
      <c r="S1801" s="1">
        <f>1</f>
        <v>1</v>
      </c>
      <c r="T1801" s="1" t="str">
        <f>IF(AND(Raw!A1801="",Raw!B1801="",Raw!C1801="",Raw!D1801="",Raw!E1801="",Raw!F1801="",Raw!G1801=""),"UNUSED",IF(A1801="","missing line ID",IF(B1801="","missing transaction ID",IF(G1801="",IF(C1801="","missing date","invalid date"),IF(I1801="","unknown product",IF(J1801="","conflicting category",IF(NOT(OR(EXACT(K1801,"sale"),EXACT(K1801,"refund"))),"unknown event",IF(OR(N1801="",NOT(O1801)),"invalid amount",IF(OR(AND(K1801="sale",N1801&lt;=0),AND(K1801="refund",N1801&gt;=0)),"invalid sign","")))))))))</f>
        <v/>
      </c>
      <c r="U1801" s="1" t="str">
        <f t="shared" si="229"/>
        <v>INCLUDED</v>
      </c>
      <c r="V1801" s="1" t="str">
        <f t="shared" si="230"/>
        <v>2026-03</v>
      </c>
      <c r="W1801" s="1">
        <f>IF(AND(U1801="INCLUDED",X1801&gt;0,EXACT(A1801,'AI output'!A1801)),1,0)</f>
        <v>1</v>
      </c>
      <c r="X1801" s="1">
        <f>1801</f>
        <v>1801</v>
      </c>
      <c r="Y1801" s="1">
        <f>IF(AND(U1801="INCLUDED",W1801=1),--(NOT(EXACT(A1801,'AI output'!A1801)))+--(NOT(EXACT(B1801,'AI output'!B1801)))+--(NOT(EXACT(TEXT(G1801,"yyyy-mm-dd"),'AI output'!C1801)))+--(NOT(EXACT(H1801,'AI output'!D1801)))+--(NOT(EXACT(J1801,'AI output'!E1801)))+--(NOT(EXACT(K1801,'AI output'!F1801)))+--(N1801&lt;&gt;'AI output'!L1801)+--(NOT('AI output'!M1801)),0)</f>
        <v>0</v>
      </c>
      <c r="Z1801" s="1">
        <f t="shared" si="231"/>
        <v>0</v>
      </c>
      <c r="AA1801" s="1">
        <f>--EXACT(A1801,"L01795")</f>
        <v>1</v>
      </c>
    </row>
    <row r="1802" spans="1:27" ht="18.95" customHeight="1">
      <c r="A1802" s="1" t="str">
        <f>IF(Raw!A1802="","",Raw!A1802)</f>
        <v>L01796</v>
      </c>
      <c r="B1802" s="1" t="str">
        <f>IF(Raw!B1802="","",Raw!B1802)</f>
        <v>T00898</v>
      </c>
      <c r="C1802" s="1" t="str">
        <f>IF(Raw!C1802="","",Raw!C1802)</f>
        <v>2026-03-11</v>
      </c>
      <c r="D1802" s="1">
        <f t="shared" si="224"/>
        <v>2026</v>
      </c>
      <c r="E1802" s="1">
        <f>IFERROR(IF(AND(LEN(C1802)=10,MID(C1802,5,1)="-",MID(C1802,8,1)="-"),VALUE(MID(C1802,6,2)),IF(AND(LEN(C1802)=11,MID(C1802,3,1)="-",MID(C1802,7,1)="-"),MATCH(UPPER(MID(C1802,4,3)),Guide!$D$7:$D$18,0),0)),0)</f>
        <v>3</v>
      </c>
      <c r="F1802" s="1">
        <f t="shared" si="225"/>
        <v>11</v>
      </c>
      <c r="G1802" s="9">
        <f t="shared" si="226"/>
        <v>46092</v>
      </c>
      <c r="H1802" s="1" t="str">
        <f>IF(Raw!D1802="","",Raw!D1802)</f>
        <v>P-H</v>
      </c>
      <c r="I1802" s="1" t="str">
        <f>IFERROR(IF(EXACT(H1802,INDEX(Guide!$A$7:$A$9,MATCH(SUBSTITUTE(SUBSTITUTE(SUBSTITUTE(H1802,"~","~~"),"*","~*"),"?","~?"),Guide!$A$7:$A$9,0))),INDEX(Guide!$B$7:$B$9,MATCH(SUBSTITUTE(SUBSTITUTE(SUBSTITUTE(H1802,"~","~~"),"*","~*"),"?","~?"),Guide!$A$7:$A$9,0)),""),"")</f>
        <v>Home</v>
      </c>
      <c r="J1802" s="1" t="str">
        <f>IF(TRIM(Raw!E1802)="",I1802,IF(UPPER(TRIM(Raw!E1802))=UPPER(I1802),I1802,""))</f>
        <v>Home</v>
      </c>
      <c r="K1802" s="1" t="str">
        <f>IF(Raw!F1802="","",Raw!F1802)</f>
        <v>sale</v>
      </c>
      <c r="L1802" s="1" t="str">
        <f>IF(LEFT(TRIM(Raw!G1802),2)="-$","-"&amp;MID(TRIM(Raw!G1802),3,99),IF(LEFT(TRIM(Raw!G1802),1)="$",MID(TRIM(Raw!G1802),2,99),TRIM(Raw!G1802)))</f>
        <v>69.14</v>
      </c>
      <c r="M1802" s="1">
        <f t="shared" si="227"/>
        <v>69.14</v>
      </c>
      <c r="N1802" s="10">
        <f t="shared" si="228"/>
        <v>6914</v>
      </c>
      <c r="O1802" s="1" t="b">
        <f>IFERROR(IF(ISNUMBER(Raw!G1802),TRUE,OR(EXACT(L1802,TEXT(M1802,"0.00")),EXACT(L1802,TEXT(M1802,"#,##0.00")))),FALSE)</f>
        <v>1</v>
      </c>
      <c r="P1802" s="1" t="str">
        <f>LEN(IF(Raw!A1802="","",Raw!A1802))&amp;":"&amp;IF(Raw!A1802="","",Raw!A1802)&amp;"|"&amp;LEN(IF(Raw!B1802="","",Raw!B1802))&amp;":"&amp;IF(Raw!B1802="","",Raw!B1802)&amp;"|"&amp;LEN(IF(Raw!C1802="","",Raw!C1802))&amp;":"&amp;IF(Raw!C1802="","",Raw!C1802)&amp;"|"&amp;LEN(IF(Raw!D1802="","",Raw!D1802))&amp;":"&amp;IF(Raw!D1802="","",Raw!D1802)&amp;"|"&amp;LEN(IF(Raw!E1802="","",Raw!E1802))&amp;":"&amp;IF(Raw!E1802="","",Raw!E1802)&amp;"|"&amp;LEN(IF(Raw!F1802="","",Raw!F1802))&amp;":"&amp;IF(Raw!F1802="","",Raw!F1802)&amp;"|"&amp;LEN(IF(Raw!G1802="","",Raw!G1802))&amp;":"&amp;IF(Raw!G1802="","",Raw!G1802)</f>
        <v>6:L01796|6:T00898|10:2026-03-11|3:P-H|4:Home|4:sale|5:69.14</v>
      </c>
      <c r="Q1802" s="1">
        <f>1</f>
        <v>1</v>
      </c>
      <c r="R1802" s="1" t="b">
        <f>FALSE</f>
        <v>0</v>
      </c>
      <c r="S1802" s="1">
        <f>1</f>
        <v>1</v>
      </c>
      <c r="T1802" s="1" t="str">
        <f>IF(AND(Raw!A1802="",Raw!B1802="",Raw!C1802="",Raw!D1802="",Raw!E1802="",Raw!F1802="",Raw!G1802=""),"UNUSED",IF(A1802="","missing line ID",IF(B1802="","missing transaction ID",IF(G1802="",IF(C1802="","missing date","invalid date"),IF(I1802="","unknown product",IF(J1802="","conflicting category",IF(NOT(OR(EXACT(K1802,"sale"),EXACT(K1802,"refund"))),"unknown event",IF(OR(N1802="",NOT(O1802)),"invalid amount",IF(OR(AND(K1802="sale",N1802&lt;=0),AND(K1802="refund",N1802&gt;=0)),"invalid sign","")))))))))</f>
        <v/>
      </c>
      <c r="U1802" s="1" t="str">
        <f t="shared" si="229"/>
        <v>INCLUDED</v>
      </c>
      <c r="V1802" s="1" t="str">
        <f t="shared" si="230"/>
        <v>2026-03</v>
      </c>
      <c r="W1802" s="1">
        <f>IF(AND(U1802="INCLUDED",X1802&gt;0,EXACT(A1802,'AI output'!A1802)),1,0)</f>
        <v>1</v>
      </c>
      <c r="X1802" s="1">
        <f>1802</f>
        <v>1802</v>
      </c>
      <c r="Y1802" s="1">
        <f>IF(AND(U1802="INCLUDED",W1802=1),--(NOT(EXACT(A1802,'AI output'!A1802)))+--(NOT(EXACT(B1802,'AI output'!B1802)))+--(NOT(EXACT(TEXT(G1802,"yyyy-mm-dd"),'AI output'!C1802)))+--(NOT(EXACT(H1802,'AI output'!D1802)))+--(NOT(EXACT(J1802,'AI output'!E1802)))+--(NOT(EXACT(K1802,'AI output'!F1802)))+--(N1802&lt;&gt;'AI output'!L1802)+--(NOT('AI output'!M1802)),0)</f>
        <v>0</v>
      </c>
      <c r="Z1802" s="1">
        <f t="shared" si="231"/>
        <v>0</v>
      </c>
      <c r="AA1802" s="1">
        <f>--EXACT(A1802,"L01796")</f>
        <v>1</v>
      </c>
    </row>
    <row r="1803" spans="1:27" ht="18.95" customHeight="1">
      <c r="A1803" s="1" t="str">
        <f>IF(Raw!A1803="","",Raw!A1803)</f>
        <v>L01797</v>
      </c>
      <c r="B1803" s="1" t="str">
        <f>IF(Raw!B1803="","",Raw!B1803)</f>
        <v>T00899</v>
      </c>
      <c r="C1803" s="1" t="str">
        <f>IF(Raw!C1803="","",Raw!C1803)</f>
        <v>2026-03-18</v>
      </c>
      <c r="D1803" s="1">
        <f t="shared" si="224"/>
        <v>2026</v>
      </c>
      <c r="E1803" s="1">
        <f>IFERROR(IF(AND(LEN(C1803)=10,MID(C1803,5,1)="-",MID(C1803,8,1)="-"),VALUE(MID(C1803,6,2)),IF(AND(LEN(C1803)=11,MID(C1803,3,1)="-",MID(C1803,7,1)="-"),MATCH(UPPER(MID(C1803,4,3)),Guide!$D$7:$D$18,0),0)),0)</f>
        <v>3</v>
      </c>
      <c r="F1803" s="1">
        <f t="shared" si="225"/>
        <v>18</v>
      </c>
      <c r="G1803" s="9">
        <f t="shared" si="226"/>
        <v>46099</v>
      </c>
      <c r="H1803" s="1" t="str">
        <f>IF(Raw!D1803="","",Raw!D1803)</f>
        <v>P-O</v>
      </c>
      <c r="I1803" s="1" t="str">
        <f>IFERROR(IF(EXACT(H1803,INDEX(Guide!$A$7:$A$9,MATCH(SUBSTITUTE(SUBSTITUTE(SUBSTITUTE(H1803,"~","~~"),"*","~*"),"?","~?"),Guide!$A$7:$A$9,0))),INDEX(Guide!$B$7:$B$9,MATCH(SUBSTITUTE(SUBSTITUTE(SUBSTITUTE(H1803,"~","~~"),"*","~*"),"?","~?"),Guide!$A$7:$A$9,0)),""),"")</f>
        <v>Office</v>
      </c>
      <c r="J1803" s="1" t="str">
        <f>IF(TRIM(Raw!E1803)="",I1803,IF(UPPER(TRIM(Raw!E1803))=UPPER(I1803),I1803,""))</f>
        <v>Office</v>
      </c>
      <c r="K1803" s="1" t="str">
        <f>IF(Raw!F1803="","",Raw!F1803)</f>
        <v>sale</v>
      </c>
      <c r="L1803" s="1" t="str">
        <f>IF(LEFT(TRIM(Raw!G1803),2)="-$","-"&amp;MID(TRIM(Raw!G1803),3,99),IF(LEFT(TRIM(Raw!G1803),1)="$",MID(TRIM(Raw!G1803),2,99),TRIM(Raw!G1803)))</f>
        <v>208.53</v>
      </c>
      <c r="M1803" s="1">
        <f t="shared" si="227"/>
        <v>208.53</v>
      </c>
      <c r="N1803" s="10">
        <f t="shared" si="228"/>
        <v>20853</v>
      </c>
      <c r="O1803" s="1" t="b">
        <f>IFERROR(IF(ISNUMBER(Raw!G1803),TRUE,OR(EXACT(L1803,TEXT(M1803,"0.00")),EXACT(L1803,TEXT(M1803,"#,##0.00")))),FALSE)</f>
        <v>1</v>
      </c>
      <c r="P1803" s="1" t="str">
        <f>LEN(IF(Raw!A1803="","",Raw!A1803))&amp;":"&amp;IF(Raw!A1803="","",Raw!A1803)&amp;"|"&amp;LEN(IF(Raw!B1803="","",Raw!B1803))&amp;":"&amp;IF(Raw!B1803="","",Raw!B1803)&amp;"|"&amp;LEN(IF(Raw!C1803="","",Raw!C1803))&amp;":"&amp;IF(Raw!C1803="","",Raw!C1803)&amp;"|"&amp;LEN(IF(Raw!D1803="","",Raw!D1803))&amp;":"&amp;IF(Raw!D1803="","",Raw!D1803)&amp;"|"&amp;LEN(IF(Raw!E1803="","",Raw!E1803))&amp;":"&amp;IF(Raw!E1803="","",Raw!E1803)&amp;"|"&amp;LEN(IF(Raw!F1803="","",Raw!F1803))&amp;":"&amp;IF(Raw!F1803="","",Raw!F1803)&amp;"|"&amp;LEN(IF(Raw!G1803="","",Raw!G1803))&amp;":"&amp;IF(Raw!G1803="","",Raw!G1803)</f>
        <v>6:L01797|6:T00899|10:2026-03-18|3:P-O|6:Office|4:sale|6:208.53</v>
      </c>
      <c r="Q1803" s="1">
        <f>1</f>
        <v>1</v>
      </c>
      <c r="R1803" s="1" t="b">
        <f>FALSE</f>
        <v>0</v>
      </c>
      <c r="S1803" s="1">
        <f>1</f>
        <v>1</v>
      </c>
      <c r="T1803" s="1" t="str">
        <f>IF(AND(Raw!A1803="",Raw!B1803="",Raw!C1803="",Raw!D1803="",Raw!E1803="",Raw!F1803="",Raw!G1803=""),"UNUSED",IF(A1803="","missing line ID",IF(B1803="","missing transaction ID",IF(G1803="",IF(C1803="","missing date","invalid date"),IF(I1803="","unknown product",IF(J1803="","conflicting category",IF(NOT(OR(EXACT(K1803,"sale"),EXACT(K1803,"refund"))),"unknown event",IF(OR(N1803="",NOT(O1803)),"invalid amount",IF(OR(AND(K1803="sale",N1803&lt;=0),AND(K1803="refund",N1803&gt;=0)),"invalid sign","")))))))))</f>
        <v/>
      </c>
      <c r="U1803" s="1" t="str">
        <f t="shared" si="229"/>
        <v>INCLUDED</v>
      </c>
      <c r="V1803" s="1" t="str">
        <f t="shared" si="230"/>
        <v>2026-03</v>
      </c>
      <c r="W1803" s="1">
        <f>IF(AND(U1803="INCLUDED",X1803&gt;0,EXACT(A1803,'AI output'!A1803)),1,0)</f>
        <v>1</v>
      </c>
      <c r="X1803" s="1">
        <f>1803</f>
        <v>1803</v>
      </c>
      <c r="Y1803" s="1">
        <f>IF(AND(U1803="INCLUDED",W1803=1),--(NOT(EXACT(A1803,'AI output'!A1803)))+--(NOT(EXACT(B1803,'AI output'!B1803)))+--(NOT(EXACT(TEXT(G1803,"yyyy-mm-dd"),'AI output'!C1803)))+--(NOT(EXACT(H1803,'AI output'!D1803)))+--(NOT(EXACT(J1803,'AI output'!E1803)))+--(NOT(EXACT(K1803,'AI output'!F1803)))+--(N1803&lt;&gt;'AI output'!L1803)+--(NOT('AI output'!M1803)),0)</f>
        <v>0</v>
      </c>
      <c r="Z1803" s="1">
        <f t="shared" si="231"/>
        <v>0</v>
      </c>
      <c r="AA1803" s="1">
        <f>--EXACT(A1803,"L01797")</f>
        <v>1</v>
      </c>
    </row>
    <row r="1804" spans="1:27" ht="18.95" customHeight="1">
      <c r="A1804" s="1" t="str">
        <f>IF(Raw!A1804="","",Raw!A1804)</f>
        <v>L01798</v>
      </c>
      <c r="B1804" s="1" t="str">
        <f>IF(Raw!B1804="","",Raw!B1804)</f>
        <v>T00899</v>
      </c>
      <c r="C1804" s="1" t="str">
        <f>IF(Raw!C1804="","",Raw!C1804)</f>
        <v>2026-03-18</v>
      </c>
      <c r="D1804" s="1">
        <f t="shared" si="224"/>
        <v>2026</v>
      </c>
      <c r="E1804" s="1">
        <f>IFERROR(IF(AND(LEN(C1804)=10,MID(C1804,5,1)="-",MID(C1804,8,1)="-"),VALUE(MID(C1804,6,2)),IF(AND(LEN(C1804)=11,MID(C1804,3,1)="-",MID(C1804,7,1)="-"),MATCH(UPPER(MID(C1804,4,3)),Guide!$D$7:$D$18,0),0)),0)</f>
        <v>3</v>
      </c>
      <c r="F1804" s="1">
        <f t="shared" si="225"/>
        <v>18</v>
      </c>
      <c r="G1804" s="9">
        <f t="shared" si="226"/>
        <v>46099</v>
      </c>
      <c r="H1804" s="1" t="str">
        <f>IF(Raw!D1804="","",Raw!D1804)</f>
        <v>P-A</v>
      </c>
      <c r="I1804" s="1" t="str">
        <f>IFERROR(IF(EXACT(H1804,INDEX(Guide!$A$7:$A$9,MATCH(SUBSTITUTE(SUBSTITUTE(SUBSTITUTE(H1804,"~","~~"),"*","~*"),"?","~?"),Guide!$A$7:$A$9,0))),INDEX(Guide!$B$7:$B$9,MATCH(SUBSTITUTE(SUBSTITUTE(SUBSTITUTE(H1804,"~","~~"),"*","~*"),"?","~?"),Guide!$A$7:$A$9,0)),""),"")</f>
        <v>Accessories</v>
      </c>
      <c r="J1804" s="1" t="str">
        <f>IF(TRIM(Raw!E1804)="",I1804,IF(UPPER(TRIM(Raw!E1804))=UPPER(I1804),I1804,""))</f>
        <v>Accessories</v>
      </c>
      <c r="K1804" s="1" t="str">
        <f>IF(Raw!F1804="","",Raw!F1804)</f>
        <v>sale</v>
      </c>
      <c r="L1804" s="1" t="str">
        <f>IF(LEFT(TRIM(Raw!G1804),2)="-$","-"&amp;MID(TRIM(Raw!G1804),3,99),IF(LEFT(TRIM(Raw!G1804),1)="$",MID(TRIM(Raw!G1804),2,99),TRIM(Raw!G1804)))</f>
        <v>349.40</v>
      </c>
      <c r="M1804" s="1">
        <f t="shared" si="227"/>
        <v>349.4</v>
      </c>
      <c r="N1804" s="10">
        <f t="shared" si="228"/>
        <v>34940</v>
      </c>
      <c r="O1804" s="1" t="b">
        <f>IFERROR(IF(ISNUMBER(Raw!G1804),TRUE,OR(EXACT(L1804,TEXT(M1804,"0.00")),EXACT(L1804,TEXT(M1804,"#,##0.00")))),FALSE)</f>
        <v>1</v>
      </c>
      <c r="P1804" s="1" t="str">
        <f>LEN(IF(Raw!A1804="","",Raw!A1804))&amp;":"&amp;IF(Raw!A1804="","",Raw!A1804)&amp;"|"&amp;LEN(IF(Raw!B1804="","",Raw!B1804))&amp;":"&amp;IF(Raw!B1804="","",Raw!B1804)&amp;"|"&amp;LEN(IF(Raw!C1804="","",Raw!C1804))&amp;":"&amp;IF(Raw!C1804="","",Raw!C1804)&amp;"|"&amp;LEN(IF(Raw!D1804="","",Raw!D1804))&amp;":"&amp;IF(Raw!D1804="","",Raw!D1804)&amp;"|"&amp;LEN(IF(Raw!E1804="","",Raw!E1804))&amp;":"&amp;IF(Raw!E1804="","",Raw!E1804)&amp;"|"&amp;LEN(IF(Raw!F1804="","",Raw!F1804))&amp;":"&amp;IF(Raw!F1804="","",Raw!F1804)&amp;"|"&amp;LEN(IF(Raw!G1804="","",Raw!G1804))&amp;":"&amp;IF(Raw!G1804="","",Raw!G1804)</f>
        <v>6:L01798|6:T00899|10:2026-03-18|3:P-A|11:Accessories|4:sale|6:349.40</v>
      </c>
      <c r="Q1804" s="1">
        <f>1</f>
        <v>1</v>
      </c>
      <c r="R1804" s="1" t="b">
        <f>FALSE</f>
        <v>0</v>
      </c>
      <c r="S1804" s="1">
        <f>1</f>
        <v>1</v>
      </c>
      <c r="T1804" s="1" t="str">
        <f>IF(AND(Raw!A1804="",Raw!B1804="",Raw!C1804="",Raw!D1804="",Raw!E1804="",Raw!F1804="",Raw!G1804=""),"UNUSED",IF(A1804="","missing line ID",IF(B1804="","missing transaction ID",IF(G1804="",IF(C1804="","missing date","invalid date"),IF(I1804="","unknown product",IF(J1804="","conflicting category",IF(NOT(OR(EXACT(K1804,"sale"),EXACT(K1804,"refund"))),"unknown event",IF(OR(N1804="",NOT(O1804)),"invalid amount",IF(OR(AND(K1804="sale",N1804&lt;=0),AND(K1804="refund",N1804&gt;=0)),"invalid sign","")))))))))</f>
        <v/>
      </c>
      <c r="U1804" s="1" t="str">
        <f t="shared" si="229"/>
        <v>INCLUDED</v>
      </c>
      <c r="V1804" s="1" t="str">
        <f t="shared" si="230"/>
        <v>2026-03</v>
      </c>
      <c r="W1804" s="1">
        <f>IF(AND(U1804="INCLUDED",X1804&gt;0,EXACT(A1804,'AI output'!A1804)),1,0)</f>
        <v>1</v>
      </c>
      <c r="X1804" s="1">
        <f>1804</f>
        <v>1804</v>
      </c>
      <c r="Y1804" s="1">
        <f>IF(AND(U1804="INCLUDED",W1804=1),--(NOT(EXACT(A1804,'AI output'!A1804)))+--(NOT(EXACT(B1804,'AI output'!B1804)))+--(NOT(EXACT(TEXT(G1804,"yyyy-mm-dd"),'AI output'!C1804)))+--(NOT(EXACT(H1804,'AI output'!D1804)))+--(NOT(EXACT(J1804,'AI output'!E1804)))+--(NOT(EXACT(K1804,'AI output'!F1804)))+--(N1804&lt;&gt;'AI output'!L1804)+--(NOT('AI output'!M1804)),0)</f>
        <v>0</v>
      </c>
      <c r="Z1804" s="1">
        <f t="shared" si="231"/>
        <v>0</v>
      </c>
      <c r="AA1804" s="1">
        <f>--EXACT(A1804,"L01798")</f>
        <v>1</v>
      </c>
    </row>
    <row r="1805" spans="1:27" ht="18.95" customHeight="1">
      <c r="A1805" s="1" t="str">
        <f>IF(Raw!A1805="","",Raw!A1805)</f>
        <v>L01799</v>
      </c>
      <c r="B1805" s="1" t="str">
        <f>IF(Raw!B1805="","",Raw!B1805)</f>
        <v>T00900</v>
      </c>
      <c r="C1805" s="1" t="str">
        <f>IF(Raw!C1805="","",Raw!C1805)</f>
        <v>2026-03-25</v>
      </c>
      <c r="D1805" s="1">
        <f t="shared" si="224"/>
        <v>2026</v>
      </c>
      <c r="E1805" s="1">
        <f>IFERROR(IF(AND(LEN(C1805)=10,MID(C1805,5,1)="-",MID(C1805,8,1)="-"),VALUE(MID(C1805,6,2)),IF(AND(LEN(C1805)=11,MID(C1805,3,1)="-",MID(C1805,7,1)="-"),MATCH(UPPER(MID(C1805,4,3)),Guide!$D$7:$D$18,0),0)),0)</f>
        <v>3</v>
      </c>
      <c r="F1805" s="1">
        <f t="shared" si="225"/>
        <v>25</v>
      </c>
      <c r="G1805" s="9">
        <f t="shared" si="226"/>
        <v>46106</v>
      </c>
      <c r="H1805" s="1" t="str">
        <f>IF(Raw!D1805="","",Raw!D1805)</f>
        <v>P-H</v>
      </c>
      <c r="I1805" s="1" t="str">
        <f>IFERROR(IF(EXACT(H1805,INDEX(Guide!$A$7:$A$9,MATCH(SUBSTITUTE(SUBSTITUTE(SUBSTITUTE(H1805,"~","~~"),"*","~*"),"?","~?"),Guide!$A$7:$A$9,0))),INDEX(Guide!$B$7:$B$9,MATCH(SUBSTITUTE(SUBSTITUTE(SUBSTITUTE(H1805,"~","~~"),"*","~*"),"?","~?"),Guide!$A$7:$A$9,0)),""),"")</f>
        <v>Home</v>
      </c>
      <c r="J1805" s="1" t="str">
        <f>IF(TRIM(Raw!E1805)="",I1805,IF(UPPER(TRIM(Raw!E1805))=UPPER(I1805),I1805,""))</f>
        <v>Home</v>
      </c>
      <c r="K1805" s="1" t="str">
        <f>IF(Raw!F1805="","",Raw!F1805)</f>
        <v>sale</v>
      </c>
      <c r="L1805" s="1" t="str">
        <f>IF(LEFT(TRIM(Raw!G1805),2)="-$","-"&amp;MID(TRIM(Raw!G1805),3,99),IF(LEFT(TRIM(Raw!G1805),1)="$",MID(TRIM(Raw!G1805),2,99),TRIM(Raw!G1805)))</f>
        <v>140.50</v>
      </c>
      <c r="M1805" s="1">
        <f t="shared" si="227"/>
        <v>140.5</v>
      </c>
      <c r="N1805" s="10">
        <f t="shared" si="228"/>
        <v>14050</v>
      </c>
      <c r="O1805" s="1" t="b">
        <f>IFERROR(IF(ISNUMBER(Raw!G1805),TRUE,OR(EXACT(L1805,TEXT(M1805,"0.00")),EXACT(L1805,TEXT(M1805,"#,##0.00")))),FALSE)</f>
        <v>1</v>
      </c>
      <c r="P1805" s="1" t="str">
        <f>LEN(IF(Raw!A1805="","",Raw!A1805))&amp;":"&amp;IF(Raw!A1805="","",Raw!A1805)&amp;"|"&amp;LEN(IF(Raw!B1805="","",Raw!B1805))&amp;":"&amp;IF(Raw!B1805="","",Raw!B1805)&amp;"|"&amp;LEN(IF(Raw!C1805="","",Raw!C1805))&amp;":"&amp;IF(Raw!C1805="","",Raw!C1805)&amp;"|"&amp;LEN(IF(Raw!D1805="","",Raw!D1805))&amp;":"&amp;IF(Raw!D1805="","",Raw!D1805)&amp;"|"&amp;LEN(IF(Raw!E1805="","",Raw!E1805))&amp;":"&amp;IF(Raw!E1805="","",Raw!E1805)&amp;"|"&amp;LEN(IF(Raw!F1805="","",Raw!F1805))&amp;":"&amp;IF(Raw!F1805="","",Raw!F1805)&amp;"|"&amp;LEN(IF(Raw!G1805="","",Raw!G1805))&amp;":"&amp;IF(Raw!G1805="","",Raw!G1805)</f>
        <v>6:L01799|6:T00900|10:2026-03-25|3:P-H|4:Home|4:sale|6:140.50</v>
      </c>
      <c r="Q1805" s="1">
        <f>1</f>
        <v>1</v>
      </c>
      <c r="R1805" s="1" t="b">
        <f>FALSE</f>
        <v>0</v>
      </c>
      <c r="S1805" s="1">
        <f>1</f>
        <v>1</v>
      </c>
      <c r="T1805" s="1" t="str">
        <f>IF(AND(Raw!A1805="",Raw!B1805="",Raw!C1805="",Raw!D1805="",Raw!E1805="",Raw!F1805="",Raw!G1805=""),"UNUSED",IF(A1805="","missing line ID",IF(B1805="","missing transaction ID",IF(G1805="",IF(C1805="","missing date","invalid date"),IF(I1805="","unknown product",IF(J1805="","conflicting category",IF(NOT(OR(EXACT(K1805,"sale"),EXACT(K1805,"refund"))),"unknown event",IF(OR(N1805="",NOT(O1805)),"invalid amount",IF(OR(AND(K1805="sale",N1805&lt;=0),AND(K1805="refund",N1805&gt;=0)),"invalid sign","")))))))))</f>
        <v/>
      </c>
      <c r="U1805" s="1" t="str">
        <f t="shared" si="229"/>
        <v>INCLUDED</v>
      </c>
      <c r="V1805" s="1" t="str">
        <f t="shared" si="230"/>
        <v>2026-03</v>
      </c>
      <c r="W1805" s="1">
        <f>IF(AND(U1805="INCLUDED",X1805&gt;0,EXACT(A1805,'AI output'!A1805)),1,0)</f>
        <v>1</v>
      </c>
      <c r="X1805" s="1">
        <f>1805</f>
        <v>1805</v>
      </c>
      <c r="Y1805" s="1">
        <f>IF(AND(U1805="INCLUDED",W1805=1),--(NOT(EXACT(A1805,'AI output'!A1805)))+--(NOT(EXACT(B1805,'AI output'!B1805)))+--(NOT(EXACT(TEXT(G1805,"yyyy-mm-dd"),'AI output'!C1805)))+--(NOT(EXACT(H1805,'AI output'!D1805)))+--(NOT(EXACT(J1805,'AI output'!E1805)))+--(NOT(EXACT(K1805,'AI output'!F1805)))+--(N1805&lt;&gt;'AI output'!L1805)+--(NOT('AI output'!M1805)),0)</f>
        <v>0</v>
      </c>
      <c r="Z1805" s="1">
        <f t="shared" si="231"/>
        <v>0</v>
      </c>
      <c r="AA1805" s="1">
        <f>--EXACT(A1805,"L01799")</f>
        <v>1</v>
      </c>
    </row>
    <row r="1806" spans="1:27" ht="18.95" customHeight="1">
      <c r="A1806" s="1" t="str">
        <f>IF(Raw!A1806="","",Raw!A1806)</f>
        <v>L01800</v>
      </c>
      <c r="B1806" s="1" t="str">
        <f>IF(Raw!B1806="","",Raw!B1806)</f>
        <v>T00900</v>
      </c>
      <c r="C1806" s="1" t="str">
        <f>IF(Raw!C1806="","",Raw!C1806)</f>
        <v>2026-03-25</v>
      </c>
      <c r="D1806" s="1">
        <f t="shared" si="224"/>
        <v>2026</v>
      </c>
      <c r="E1806" s="1">
        <f>IFERROR(IF(AND(LEN(C1806)=10,MID(C1806,5,1)="-",MID(C1806,8,1)="-"),VALUE(MID(C1806,6,2)),IF(AND(LEN(C1806)=11,MID(C1806,3,1)="-",MID(C1806,7,1)="-"),MATCH(UPPER(MID(C1806,4,3)),Guide!$D$7:$D$18,0),0)),0)</f>
        <v>3</v>
      </c>
      <c r="F1806" s="1">
        <f t="shared" si="225"/>
        <v>25</v>
      </c>
      <c r="G1806" s="9">
        <f t="shared" si="226"/>
        <v>46106</v>
      </c>
      <c r="H1806" s="1" t="str">
        <f>IF(Raw!D1806="","",Raw!D1806)</f>
        <v>P-O</v>
      </c>
      <c r="I1806" s="1" t="str">
        <f>IFERROR(IF(EXACT(H1806,INDEX(Guide!$A$7:$A$9,MATCH(SUBSTITUTE(SUBSTITUTE(SUBSTITUTE(H1806,"~","~~"),"*","~*"),"?","~?"),Guide!$A$7:$A$9,0))),INDEX(Guide!$B$7:$B$9,MATCH(SUBSTITUTE(SUBSTITUTE(SUBSTITUTE(H1806,"~","~~"),"*","~*"),"?","~?"),Guide!$A$7:$A$9,0)),""),"")</f>
        <v>Office</v>
      </c>
      <c r="J1806" s="1" t="str">
        <f>IF(TRIM(Raw!E1806)="",I1806,IF(UPPER(TRIM(Raw!E1806))=UPPER(I1806),I1806,""))</f>
        <v>Office</v>
      </c>
      <c r="K1806" s="1" t="str">
        <f>IF(Raw!F1806="","",Raw!F1806)</f>
        <v>sale</v>
      </c>
      <c r="L1806" s="1" t="str">
        <f>IF(LEFT(TRIM(Raw!G1806),2)="-$","-"&amp;MID(TRIM(Raw!G1806),3,99),IF(LEFT(TRIM(Raw!G1806),1)="$",MID(TRIM(Raw!G1806),2,99),TRIM(Raw!G1806)))</f>
        <v>282.48</v>
      </c>
      <c r="M1806" s="1">
        <f t="shared" si="227"/>
        <v>282.48</v>
      </c>
      <c r="N1806" s="10">
        <f t="shared" si="228"/>
        <v>28248</v>
      </c>
      <c r="O1806" s="1" t="b">
        <f>IFERROR(IF(ISNUMBER(Raw!G1806),TRUE,OR(EXACT(L1806,TEXT(M1806,"0.00")),EXACT(L1806,TEXT(M1806,"#,##0.00")))),FALSE)</f>
        <v>1</v>
      </c>
      <c r="P1806" s="1" t="str">
        <f>LEN(IF(Raw!A1806="","",Raw!A1806))&amp;":"&amp;IF(Raw!A1806="","",Raw!A1806)&amp;"|"&amp;LEN(IF(Raw!B1806="","",Raw!B1806))&amp;":"&amp;IF(Raw!B1806="","",Raw!B1806)&amp;"|"&amp;LEN(IF(Raw!C1806="","",Raw!C1806))&amp;":"&amp;IF(Raw!C1806="","",Raw!C1806)&amp;"|"&amp;LEN(IF(Raw!D1806="","",Raw!D1806))&amp;":"&amp;IF(Raw!D1806="","",Raw!D1806)&amp;"|"&amp;LEN(IF(Raw!E1806="","",Raw!E1806))&amp;":"&amp;IF(Raw!E1806="","",Raw!E1806)&amp;"|"&amp;LEN(IF(Raw!F1806="","",Raw!F1806))&amp;":"&amp;IF(Raw!F1806="","",Raw!F1806)&amp;"|"&amp;LEN(IF(Raw!G1806="","",Raw!G1806))&amp;":"&amp;IF(Raw!G1806="","",Raw!G1806)</f>
        <v>6:L01800|6:T00900|10:2026-03-25|3:P-O|6:Office|4:sale|6:282.48</v>
      </c>
      <c r="Q1806" s="1">
        <f>1</f>
        <v>1</v>
      </c>
      <c r="R1806" s="1" t="b">
        <f>FALSE</f>
        <v>0</v>
      </c>
      <c r="S1806" s="1">
        <f>1</f>
        <v>1</v>
      </c>
      <c r="T1806" s="1" t="str">
        <f>IF(AND(Raw!A1806="",Raw!B1806="",Raw!C1806="",Raw!D1806="",Raw!E1806="",Raw!F1806="",Raw!G1806=""),"UNUSED",IF(A1806="","missing line ID",IF(B1806="","missing transaction ID",IF(G1806="",IF(C1806="","missing date","invalid date"),IF(I1806="","unknown product",IF(J1806="","conflicting category",IF(NOT(OR(EXACT(K1806,"sale"),EXACT(K1806,"refund"))),"unknown event",IF(OR(N1806="",NOT(O1806)),"invalid amount",IF(OR(AND(K1806="sale",N1806&lt;=0),AND(K1806="refund",N1806&gt;=0)),"invalid sign","")))))))))</f>
        <v/>
      </c>
      <c r="U1806" s="1" t="str">
        <f t="shared" si="229"/>
        <v>INCLUDED</v>
      </c>
      <c r="V1806" s="1" t="str">
        <f t="shared" si="230"/>
        <v>2026-03</v>
      </c>
      <c r="W1806" s="1">
        <f>IF(AND(U1806="INCLUDED",X1806&gt;0,EXACT(A1806,'AI output'!A1806)),1,0)</f>
        <v>1</v>
      </c>
      <c r="X1806" s="1">
        <f>1806</f>
        <v>1806</v>
      </c>
      <c r="Y1806" s="1">
        <f>IF(AND(U1806="INCLUDED",W1806=1),--(NOT(EXACT(A1806,'AI output'!A1806)))+--(NOT(EXACT(B1806,'AI output'!B1806)))+--(NOT(EXACT(TEXT(G1806,"yyyy-mm-dd"),'AI output'!C1806)))+--(NOT(EXACT(H1806,'AI output'!D1806)))+--(NOT(EXACT(J1806,'AI output'!E1806)))+--(NOT(EXACT(K1806,'AI output'!F1806)))+--(N1806&lt;&gt;'AI output'!L1806)+--(NOT('AI output'!M1806)),0)</f>
        <v>0</v>
      </c>
      <c r="Z1806" s="1">
        <f t="shared" si="231"/>
        <v>0</v>
      </c>
      <c r="AA1806" s="1">
        <f>--EXACT(A1806,"L01800")</f>
        <v>1</v>
      </c>
    </row>
    <row r="1807" spans="1:27" ht="18.95" customHeight="1">
      <c r="A1807" s="1" t="str">
        <f>IF(Raw!A1807="","",Raw!A1807)</f>
        <v>L01801</v>
      </c>
      <c r="B1807" s="1" t="str">
        <f>IF(Raw!B1807="","",Raw!B1807)</f>
        <v>T00901</v>
      </c>
      <c r="C1807" s="1" t="str">
        <f>IF(Raw!C1807="","",Raw!C1807)</f>
        <v>2026-01-01</v>
      </c>
      <c r="D1807" s="1">
        <f t="shared" si="224"/>
        <v>2026</v>
      </c>
      <c r="E1807" s="1">
        <f>IFERROR(IF(AND(LEN(C1807)=10,MID(C1807,5,1)="-",MID(C1807,8,1)="-"),VALUE(MID(C1807,6,2)),IF(AND(LEN(C1807)=11,MID(C1807,3,1)="-",MID(C1807,7,1)="-"),MATCH(UPPER(MID(C1807,4,3)),Guide!$D$7:$D$18,0),0)),0)</f>
        <v>1</v>
      </c>
      <c r="F1807" s="1">
        <f t="shared" si="225"/>
        <v>1</v>
      </c>
      <c r="G1807" s="9">
        <f t="shared" si="226"/>
        <v>46023</v>
      </c>
      <c r="H1807" s="1" t="str">
        <f>IF(Raw!D1807="","",Raw!D1807)</f>
        <v>P-A</v>
      </c>
      <c r="I1807" s="1" t="str">
        <f>IFERROR(IF(EXACT(H1807,INDEX(Guide!$A$7:$A$9,MATCH(SUBSTITUTE(SUBSTITUTE(SUBSTITUTE(H1807,"~","~~"),"*","~*"),"?","~?"),Guide!$A$7:$A$9,0))),INDEX(Guide!$B$7:$B$9,MATCH(SUBSTITUTE(SUBSTITUTE(SUBSTITUTE(H1807,"~","~~"),"*","~*"),"?","~?"),Guide!$A$7:$A$9,0)),""),"")</f>
        <v>Accessories</v>
      </c>
      <c r="J1807" s="1" t="str">
        <f>IF(TRIM(Raw!E1807)="",I1807,IF(UPPER(TRIM(Raw!E1807))=UPPER(I1807),I1807,""))</f>
        <v>Accessories</v>
      </c>
      <c r="K1807" s="1" t="str">
        <f>IF(Raw!F1807="","",Raw!F1807)</f>
        <v>sale</v>
      </c>
      <c r="L1807" s="1" t="str">
        <f>IF(LEFT(TRIM(Raw!G1807),2)="-$","-"&amp;MID(TRIM(Raw!G1807),3,99),IF(LEFT(TRIM(Raw!G1807),1)="$",MID(TRIM(Raw!G1807),2,99),TRIM(Raw!G1807)))</f>
        <v>70.99</v>
      </c>
      <c r="M1807" s="1">
        <f t="shared" si="227"/>
        <v>70.989999999999995</v>
      </c>
      <c r="N1807" s="10">
        <f t="shared" si="228"/>
        <v>7099</v>
      </c>
      <c r="O1807" s="1" t="b">
        <f>IFERROR(IF(ISNUMBER(Raw!G1807),TRUE,OR(EXACT(L1807,TEXT(M1807,"0.00")),EXACT(L1807,TEXT(M1807,"#,##0.00")))),FALSE)</f>
        <v>1</v>
      </c>
      <c r="P1807" s="1" t="str">
        <f>LEN(IF(Raw!A1807="","",Raw!A1807))&amp;":"&amp;IF(Raw!A1807="","",Raw!A1807)&amp;"|"&amp;LEN(IF(Raw!B1807="","",Raw!B1807))&amp;":"&amp;IF(Raw!B1807="","",Raw!B1807)&amp;"|"&amp;LEN(IF(Raw!C1807="","",Raw!C1807))&amp;":"&amp;IF(Raw!C1807="","",Raw!C1807)&amp;"|"&amp;LEN(IF(Raw!D1807="","",Raw!D1807))&amp;":"&amp;IF(Raw!D1807="","",Raw!D1807)&amp;"|"&amp;LEN(IF(Raw!E1807="","",Raw!E1807))&amp;":"&amp;IF(Raw!E1807="","",Raw!E1807)&amp;"|"&amp;LEN(IF(Raw!F1807="","",Raw!F1807))&amp;":"&amp;IF(Raw!F1807="","",Raw!F1807)&amp;"|"&amp;LEN(IF(Raw!G1807="","",Raw!G1807))&amp;":"&amp;IF(Raw!G1807="","",Raw!G1807)</f>
        <v>6:L01801|6:T00901|10:2026-01-01|3:P-A|11:Accessories|4:sale|5:70.99</v>
      </c>
      <c r="Q1807" s="1">
        <f>1</f>
        <v>1</v>
      </c>
      <c r="R1807" s="1" t="b">
        <f>FALSE</f>
        <v>0</v>
      </c>
      <c r="S1807" s="1">
        <f>1</f>
        <v>1</v>
      </c>
      <c r="T1807" s="1" t="str">
        <f>IF(AND(Raw!A1807="",Raw!B1807="",Raw!C1807="",Raw!D1807="",Raw!E1807="",Raw!F1807="",Raw!G1807=""),"UNUSED",IF(A1807="","missing line ID",IF(B1807="","missing transaction ID",IF(G1807="",IF(C1807="","missing date","invalid date"),IF(I1807="","unknown product",IF(J1807="","conflicting category",IF(NOT(OR(EXACT(K1807,"sale"),EXACT(K1807,"refund"))),"unknown event",IF(OR(N1807="",NOT(O1807)),"invalid amount",IF(OR(AND(K1807="sale",N1807&lt;=0),AND(K1807="refund",N1807&gt;=0)),"invalid sign","")))))))))</f>
        <v/>
      </c>
      <c r="U1807" s="1" t="str">
        <f t="shared" si="229"/>
        <v>INCLUDED</v>
      </c>
      <c r="V1807" s="1" t="str">
        <f t="shared" si="230"/>
        <v>2026-01</v>
      </c>
      <c r="W1807" s="1">
        <f>IF(AND(U1807="INCLUDED",X1807&gt;0,EXACT(A1807,'AI output'!A1807)),1,0)</f>
        <v>1</v>
      </c>
      <c r="X1807" s="1">
        <f>1807</f>
        <v>1807</v>
      </c>
      <c r="Y1807" s="1">
        <f>IF(AND(U1807="INCLUDED",W1807=1),--(NOT(EXACT(A1807,'AI output'!A1807)))+--(NOT(EXACT(B1807,'AI output'!B1807)))+--(NOT(EXACT(TEXT(G1807,"yyyy-mm-dd"),'AI output'!C1807)))+--(NOT(EXACT(H1807,'AI output'!D1807)))+--(NOT(EXACT(J1807,'AI output'!E1807)))+--(NOT(EXACT(K1807,'AI output'!F1807)))+--(N1807&lt;&gt;'AI output'!L1807)+--(NOT('AI output'!M1807)),0)</f>
        <v>0</v>
      </c>
      <c r="Z1807" s="1">
        <f t="shared" si="231"/>
        <v>0</v>
      </c>
      <c r="AA1807" s="1">
        <f>--EXACT(A1807,"L01801")</f>
        <v>1</v>
      </c>
    </row>
    <row r="1808" spans="1:27" ht="18.95" customHeight="1">
      <c r="A1808" s="1" t="str">
        <f>IF(Raw!A1808="","",Raw!A1808)</f>
        <v>L01802</v>
      </c>
      <c r="B1808" s="1" t="str">
        <f>IF(Raw!B1808="","",Raw!B1808)</f>
        <v>T00901</v>
      </c>
      <c r="C1808" s="1" t="str">
        <f>IF(Raw!C1808="","",Raw!C1808)</f>
        <v>2026-01-01</v>
      </c>
      <c r="D1808" s="1">
        <f t="shared" si="224"/>
        <v>2026</v>
      </c>
      <c r="E1808" s="1">
        <f>IFERROR(IF(AND(LEN(C1808)=10,MID(C1808,5,1)="-",MID(C1808,8,1)="-"),VALUE(MID(C1808,6,2)),IF(AND(LEN(C1808)=11,MID(C1808,3,1)="-",MID(C1808,7,1)="-"),MATCH(UPPER(MID(C1808,4,3)),Guide!$D$7:$D$18,0),0)),0)</f>
        <v>1</v>
      </c>
      <c r="F1808" s="1">
        <f t="shared" si="225"/>
        <v>1</v>
      </c>
      <c r="G1808" s="9">
        <f t="shared" si="226"/>
        <v>46023</v>
      </c>
      <c r="H1808" s="1" t="str">
        <f>IF(Raw!D1808="","",Raw!D1808)</f>
        <v>P-H</v>
      </c>
      <c r="I1808" s="1" t="str">
        <f>IFERROR(IF(EXACT(H1808,INDEX(Guide!$A$7:$A$9,MATCH(SUBSTITUTE(SUBSTITUTE(SUBSTITUTE(H1808,"~","~~"),"*","~*"),"?","~?"),Guide!$A$7:$A$9,0))),INDEX(Guide!$B$7:$B$9,MATCH(SUBSTITUTE(SUBSTITUTE(SUBSTITUTE(H1808,"~","~~"),"*","~*"),"?","~?"),Guide!$A$7:$A$9,0)),""),"")</f>
        <v>Home</v>
      </c>
      <c r="J1808" s="1" t="str">
        <f>IF(TRIM(Raw!E1808)="",I1808,IF(UPPER(TRIM(Raw!E1808))=UPPER(I1808),I1808,""))</f>
        <v>Home</v>
      </c>
      <c r="K1808" s="1" t="str">
        <f>IF(Raw!F1808="","",Raw!F1808)</f>
        <v>sale</v>
      </c>
      <c r="L1808" s="1" t="str">
        <f>IF(LEFT(TRIM(Raw!G1808),2)="-$","-"&amp;MID(TRIM(Raw!G1808),3,99),IF(LEFT(TRIM(Raw!G1808),1)="$",MID(TRIM(Raw!G1808),2,99),TRIM(Raw!G1808)))</f>
        <v>214.08</v>
      </c>
      <c r="M1808" s="1">
        <f t="shared" si="227"/>
        <v>214.08</v>
      </c>
      <c r="N1808" s="10">
        <f t="shared" si="228"/>
        <v>21408</v>
      </c>
      <c r="O1808" s="1" t="b">
        <f>IFERROR(IF(ISNUMBER(Raw!G1808),TRUE,OR(EXACT(L1808,TEXT(M1808,"0.00")),EXACT(L1808,TEXT(M1808,"#,##0.00")))),FALSE)</f>
        <v>1</v>
      </c>
      <c r="P1808" s="1" t="str">
        <f>LEN(IF(Raw!A1808="","",Raw!A1808))&amp;":"&amp;IF(Raw!A1808="","",Raw!A1808)&amp;"|"&amp;LEN(IF(Raw!B1808="","",Raw!B1808))&amp;":"&amp;IF(Raw!B1808="","",Raw!B1808)&amp;"|"&amp;LEN(IF(Raw!C1808="","",Raw!C1808))&amp;":"&amp;IF(Raw!C1808="","",Raw!C1808)&amp;"|"&amp;LEN(IF(Raw!D1808="","",Raw!D1808))&amp;":"&amp;IF(Raw!D1808="","",Raw!D1808)&amp;"|"&amp;LEN(IF(Raw!E1808="","",Raw!E1808))&amp;":"&amp;IF(Raw!E1808="","",Raw!E1808)&amp;"|"&amp;LEN(IF(Raw!F1808="","",Raw!F1808))&amp;":"&amp;IF(Raw!F1808="","",Raw!F1808)&amp;"|"&amp;LEN(IF(Raw!G1808="","",Raw!G1808))&amp;":"&amp;IF(Raw!G1808="","",Raw!G1808)</f>
        <v>6:L01802|6:T00901|10:2026-01-01|3:P-H|4:Home|4:sale|6:214.08</v>
      </c>
      <c r="Q1808" s="1">
        <f>1</f>
        <v>1</v>
      </c>
      <c r="R1808" s="1" t="b">
        <f>FALSE</f>
        <v>0</v>
      </c>
      <c r="S1808" s="1">
        <f>1</f>
        <v>1</v>
      </c>
      <c r="T1808" s="1" t="str">
        <f>IF(AND(Raw!A1808="",Raw!B1808="",Raw!C1808="",Raw!D1808="",Raw!E1808="",Raw!F1808="",Raw!G1808=""),"UNUSED",IF(A1808="","missing line ID",IF(B1808="","missing transaction ID",IF(G1808="",IF(C1808="","missing date","invalid date"),IF(I1808="","unknown product",IF(J1808="","conflicting category",IF(NOT(OR(EXACT(K1808,"sale"),EXACT(K1808,"refund"))),"unknown event",IF(OR(N1808="",NOT(O1808)),"invalid amount",IF(OR(AND(K1808="sale",N1808&lt;=0),AND(K1808="refund",N1808&gt;=0)),"invalid sign","")))))))))</f>
        <v/>
      </c>
      <c r="U1808" s="1" t="str">
        <f t="shared" si="229"/>
        <v>INCLUDED</v>
      </c>
      <c r="V1808" s="1" t="str">
        <f t="shared" si="230"/>
        <v>2026-01</v>
      </c>
      <c r="W1808" s="1">
        <f>IF(AND(U1808="INCLUDED",X1808&gt;0,EXACT(A1808,'AI output'!A1808)),1,0)</f>
        <v>1</v>
      </c>
      <c r="X1808" s="1">
        <f>1808</f>
        <v>1808</v>
      </c>
      <c r="Y1808" s="1">
        <f>IF(AND(U1808="INCLUDED",W1808=1),--(NOT(EXACT(A1808,'AI output'!A1808)))+--(NOT(EXACT(B1808,'AI output'!B1808)))+--(NOT(EXACT(TEXT(G1808,"yyyy-mm-dd"),'AI output'!C1808)))+--(NOT(EXACT(H1808,'AI output'!D1808)))+--(NOT(EXACT(J1808,'AI output'!E1808)))+--(NOT(EXACT(K1808,'AI output'!F1808)))+--(N1808&lt;&gt;'AI output'!L1808)+--(NOT('AI output'!M1808)),0)</f>
        <v>0</v>
      </c>
      <c r="Z1808" s="1">
        <f t="shared" si="231"/>
        <v>0</v>
      </c>
      <c r="AA1808" s="1">
        <f>--EXACT(A1808,"L01802")</f>
        <v>1</v>
      </c>
    </row>
    <row r="1809" spans="1:27" ht="18.95" customHeight="1">
      <c r="A1809" s="1" t="str">
        <f>IF(Raw!A1809="","",Raw!A1809)</f>
        <v>L01803</v>
      </c>
      <c r="B1809" s="1" t="str">
        <f>IF(Raw!B1809="","",Raw!B1809)</f>
        <v>T00902</v>
      </c>
      <c r="C1809" s="1" t="str">
        <f>IF(Raw!C1809="","",Raw!C1809)</f>
        <v>2026-01-08</v>
      </c>
      <c r="D1809" s="1">
        <f t="shared" si="224"/>
        <v>2026</v>
      </c>
      <c r="E1809" s="1">
        <f>IFERROR(IF(AND(LEN(C1809)=10,MID(C1809,5,1)="-",MID(C1809,8,1)="-"),VALUE(MID(C1809,6,2)),IF(AND(LEN(C1809)=11,MID(C1809,3,1)="-",MID(C1809,7,1)="-"),MATCH(UPPER(MID(C1809,4,3)),Guide!$D$7:$D$18,0),0)),0)</f>
        <v>1</v>
      </c>
      <c r="F1809" s="1">
        <f t="shared" si="225"/>
        <v>8</v>
      </c>
      <c r="G1809" s="9">
        <f t="shared" si="226"/>
        <v>46030</v>
      </c>
      <c r="H1809" s="1" t="str">
        <f>IF(Raw!D1809="","",Raw!D1809)</f>
        <v>P-O</v>
      </c>
      <c r="I1809" s="1" t="str">
        <f>IFERROR(IF(EXACT(H1809,INDEX(Guide!$A$7:$A$9,MATCH(SUBSTITUTE(SUBSTITUTE(SUBSTITUTE(H1809,"~","~~"),"*","~*"),"?","~?"),Guide!$A$7:$A$9,0))),INDEX(Guide!$B$7:$B$9,MATCH(SUBSTITUTE(SUBSTITUTE(SUBSTITUTE(H1809,"~","~~"),"*","~*"),"?","~?"),Guide!$A$7:$A$9,0)),""),"")</f>
        <v>Office</v>
      </c>
      <c r="J1809" s="1" t="str">
        <f>IF(TRIM(Raw!E1809)="",I1809,IF(UPPER(TRIM(Raw!E1809))=UPPER(I1809),I1809,""))</f>
        <v>Office</v>
      </c>
      <c r="K1809" s="1" t="str">
        <f>IF(Raw!F1809="","",Raw!F1809)</f>
        <v>sale</v>
      </c>
      <c r="L1809" s="1" t="str">
        <f>IF(LEFT(TRIM(Raw!G1809),2)="-$","-"&amp;MID(TRIM(Raw!G1809),3,99),IF(LEFT(TRIM(Raw!G1809),1)="$",MID(TRIM(Raw!G1809),2,99),TRIM(Raw!G1809)))</f>
        <v>358.65</v>
      </c>
      <c r="M1809" s="1">
        <f t="shared" si="227"/>
        <v>358.65</v>
      </c>
      <c r="N1809" s="10">
        <f t="shared" si="228"/>
        <v>35865</v>
      </c>
      <c r="O1809" s="1" t="b">
        <f>IFERROR(IF(ISNUMBER(Raw!G1809),TRUE,OR(EXACT(L1809,TEXT(M1809,"0.00")),EXACT(L1809,TEXT(M1809,"#,##0.00")))),FALSE)</f>
        <v>1</v>
      </c>
      <c r="P1809" s="1" t="str">
        <f>LEN(IF(Raw!A1809="","",Raw!A1809))&amp;":"&amp;IF(Raw!A1809="","",Raw!A1809)&amp;"|"&amp;LEN(IF(Raw!B1809="","",Raw!B1809))&amp;":"&amp;IF(Raw!B1809="","",Raw!B1809)&amp;"|"&amp;LEN(IF(Raw!C1809="","",Raw!C1809))&amp;":"&amp;IF(Raw!C1809="","",Raw!C1809)&amp;"|"&amp;LEN(IF(Raw!D1809="","",Raw!D1809))&amp;":"&amp;IF(Raw!D1809="","",Raw!D1809)&amp;"|"&amp;LEN(IF(Raw!E1809="","",Raw!E1809))&amp;":"&amp;IF(Raw!E1809="","",Raw!E1809)&amp;"|"&amp;LEN(IF(Raw!F1809="","",Raw!F1809))&amp;":"&amp;IF(Raw!F1809="","",Raw!F1809)&amp;"|"&amp;LEN(IF(Raw!G1809="","",Raw!G1809))&amp;":"&amp;IF(Raw!G1809="","",Raw!G1809)</f>
        <v>6:L01803|6:T00902|10:2026-01-08|3:P-O|6:Office|4:sale|6:358.65</v>
      </c>
      <c r="Q1809" s="1">
        <f>1</f>
        <v>1</v>
      </c>
      <c r="R1809" s="1" t="b">
        <f>FALSE</f>
        <v>0</v>
      </c>
      <c r="S1809" s="1">
        <f>1</f>
        <v>1</v>
      </c>
      <c r="T1809" s="1" t="str">
        <f>IF(AND(Raw!A1809="",Raw!B1809="",Raw!C1809="",Raw!D1809="",Raw!E1809="",Raw!F1809="",Raw!G1809=""),"UNUSED",IF(A1809="","missing line ID",IF(B1809="","missing transaction ID",IF(G1809="",IF(C1809="","missing date","invalid date"),IF(I1809="","unknown product",IF(J1809="","conflicting category",IF(NOT(OR(EXACT(K1809,"sale"),EXACT(K1809,"refund"))),"unknown event",IF(OR(N1809="",NOT(O1809)),"invalid amount",IF(OR(AND(K1809="sale",N1809&lt;=0),AND(K1809="refund",N1809&gt;=0)),"invalid sign","")))))))))</f>
        <v/>
      </c>
      <c r="U1809" s="1" t="str">
        <f t="shared" si="229"/>
        <v>INCLUDED</v>
      </c>
      <c r="V1809" s="1" t="str">
        <f t="shared" si="230"/>
        <v>2026-01</v>
      </c>
      <c r="W1809" s="1">
        <f>IF(AND(U1809="INCLUDED",X1809&gt;0,EXACT(A1809,'AI output'!A1809)),1,0)</f>
        <v>1</v>
      </c>
      <c r="X1809" s="1">
        <f>1809</f>
        <v>1809</v>
      </c>
      <c r="Y1809" s="1">
        <f>IF(AND(U1809="INCLUDED",W1809=1),--(NOT(EXACT(A1809,'AI output'!A1809)))+--(NOT(EXACT(B1809,'AI output'!B1809)))+--(NOT(EXACT(TEXT(G1809,"yyyy-mm-dd"),'AI output'!C1809)))+--(NOT(EXACT(H1809,'AI output'!D1809)))+--(NOT(EXACT(J1809,'AI output'!E1809)))+--(NOT(EXACT(K1809,'AI output'!F1809)))+--(N1809&lt;&gt;'AI output'!L1809)+--(NOT('AI output'!M1809)),0)</f>
        <v>0</v>
      </c>
      <c r="Z1809" s="1">
        <f t="shared" si="231"/>
        <v>0</v>
      </c>
      <c r="AA1809" s="1">
        <f>--EXACT(A1809,"L01803")</f>
        <v>1</v>
      </c>
    </row>
    <row r="1810" spans="1:27" ht="18.95" customHeight="1">
      <c r="A1810" s="1" t="str">
        <f>IF(Raw!A1810="","",Raw!A1810)</f>
        <v>L01804</v>
      </c>
      <c r="B1810" s="1" t="str">
        <f>IF(Raw!B1810="","",Raw!B1810)</f>
        <v>T00902</v>
      </c>
      <c r="C1810" s="1" t="str">
        <f>IF(Raw!C1810="","",Raw!C1810)</f>
        <v>2026-01-08</v>
      </c>
      <c r="D1810" s="1">
        <f t="shared" si="224"/>
        <v>2026</v>
      </c>
      <c r="E1810" s="1">
        <f>IFERROR(IF(AND(LEN(C1810)=10,MID(C1810,5,1)="-",MID(C1810,8,1)="-"),VALUE(MID(C1810,6,2)),IF(AND(LEN(C1810)=11,MID(C1810,3,1)="-",MID(C1810,7,1)="-"),MATCH(UPPER(MID(C1810,4,3)),Guide!$D$7:$D$18,0),0)),0)</f>
        <v>1</v>
      </c>
      <c r="F1810" s="1">
        <f t="shared" si="225"/>
        <v>8</v>
      </c>
      <c r="G1810" s="9">
        <f t="shared" si="226"/>
        <v>46030</v>
      </c>
      <c r="H1810" s="1" t="str">
        <f>IF(Raw!D1810="","",Raw!D1810)</f>
        <v>P-A</v>
      </c>
      <c r="I1810" s="1" t="str">
        <f>IFERROR(IF(EXACT(H1810,INDEX(Guide!$A$7:$A$9,MATCH(SUBSTITUTE(SUBSTITUTE(SUBSTITUTE(H1810,"~","~~"),"*","~*"),"?","~?"),Guide!$A$7:$A$9,0))),INDEX(Guide!$B$7:$B$9,MATCH(SUBSTITUTE(SUBSTITUTE(SUBSTITUTE(H1810,"~","~~"),"*","~*"),"?","~?"),Guide!$A$7:$A$9,0)),""),"")</f>
        <v>Accessories</v>
      </c>
      <c r="J1810" s="1" t="str">
        <f>IF(TRIM(Raw!E1810)="",I1810,IF(UPPER(TRIM(Raw!E1810))=UPPER(I1810),I1810,""))</f>
        <v>Accessories</v>
      </c>
      <c r="K1810" s="1" t="str">
        <f>IF(Raw!F1810="","",Raw!F1810)</f>
        <v>sale</v>
      </c>
      <c r="L1810" s="1" t="str">
        <f>IF(LEFT(TRIM(Raw!G1810),2)="-$","-"&amp;MID(TRIM(Raw!G1810),3,99),IF(LEFT(TRIM(Raw!G1810),1)="$",MID(TRIM(Raw!G1810),2,99),TRIM(Raw!G1810)))</f>
        <v>144.20</v>
      </c>
      <c r="M1810" s="1">
        <f t="shared" si="227"/>
        <v>144.19999999999999</v>
      </c>
      <c r="N1810" s="10">
        <f t="shared" si="228"/>
        <v>14420</v>
      </c>
      <c r="O1810" s="1" t="b">
        <f>IFERROR(IF(ISNUMBER(Raw!G1810),TRUE,OR(EXACT(L1810,TEXT(M1810,"0.00")),EXACT(L1810,TEXT(M1810,"#,##0.00")))),FALSE)</f>
        <v>1</v>
      </c>
      <c r="P1810" s="1" t="str">
        <f>LEN(IF(Raw!A1810="","",Raw!A1810))&amp;":"&amp;IF(Raw!A1810="","",Raw!A1810)&amp;"|"&amp;LEN(IF(Raw!B1810="","",Raw!B1810))&amp;":"&amp;IF(Raw!B1810="","",Raw!B1810)&amp;"|"&amp;LEN(IF(Raw!C1810="","",Raw!C1810))&amp;":"&amp;IF(Raw!C1810="","",Raw!C1810)&amp;"|"&amp;LEN(IF(Raw!D1810="","",Raw!D1810))&amp;":"&amp;IF(Raw!D1810="","",Raw!D1810)&amp;"|"&amp;LEN(IF(Raw!E1810="","",Raw!E1810))&amp;":"&amp;IF(Raw!E1810="","",Raw!E1810)&amp;"|"&amp;LEN(IF(Raw!F1810="","",Raw!F1810))&amp;":"&amp;IF(Raw!F1810="","",Raw!F1810)&amp;"|"&amp;LEN(IF(Raw!G1810="","",Raw!G1810))&amp;":"&amp;IF(Raw!G1810="","",Raw!G1810)</f>
        <v>6:L01804|6:T00902|10:2026-01-08|3:P-A|11:Accessories|4:sale|6:144.20</v>
      </c>
      <c r="Q1810" s="1">
        <f>1</f>
        <v>1</v>
      </c>
      <c r="R1810" s="1" t="b">
        <f>FALSE</f>
        <v>0</v>
      </c>
      <c r="S1810" s="1">
        <f>1</f>
        <v>1</v>
      </c>
      <c r="T1810" s="1" t="str">
        <f>IF(AND(Raw!A1810="",Raw!B1810="",Raw!C1810="",Raw!D1810="",Raw!E1810="",Raw!F1810="",Raw!G1810=""),"UNUSED",IF(A1810="","missing line ID",IF(B1810="","missing transaction ID",IF(G1810="",IF(C1810="","missing date","invalid date"),IF(I1810="","unknown product",IF(J1810="","conflicting category",IF(NOT(OR(EXACT(K1810,"sale"),EXACT(K1810,"refund"))),"unknown event",IF(OR(N1810="",NOT(O1810)),"invalid amount",IF(OR(AND(K1810="sale",N1810&lt;=0),AND(K1810="refund",N1810&gt;=0)),"invalid sign","")))))))))</f>
        <v/>
      </c>
      <c r="U1810" s="1" t="str">
        <f t="shared" si="229"/>
        <v>INCLUDED</v>
      </c>
      <c r="V1810" s="1" t="str">
        <f t="shared" si="230"/>
        <v>2026-01</v>
      </c>
      <c r="W1810" s="1">
        <f>IF(AND(U1810="INCLUDED",X1810&gt;0,EXACT(A1810,'AI output'!A1810)),1,0)</f>
        <v>1</v>
      </c>
      <c r="X1810" s="1">
        <f>1810</f>
        <v>1810</v>
      </c>
      <c r="Y1810" s="1">
        <f>IF(AND(U1810="INCLUDED",W1810=1),--(NOT(EXACT(A1810,'AI output'!A1810)))+--(NOT(EXACT(B1810,'AI output'!B1810)))+--(NOT(EXACT(TEXT(G1810,"yyyy-mm-dd"),'AI output'!C1810)))+--(NOT(EXACT(H1810,'AI output'!D1810)))+--(NOT(EXACT(J1810,'AI output'!E1810)))+--(NOT(EXACT(K1810,'AI output'!F1810)))+--(N1810&lt;&gt;'AI output'!L1810)+--(NOT('AI output'!M1810)),0)</f>
        <v>0</v>
      </c>
      <c r="Z1810" s="1">
        <f t="shared" si="231"/>
        <v>0</v>
      </c>
      <c r="AA1810" s="1">
        <f>--EXACT(A1810,"L01804")</f>
        <v>1</v>
      </c>
    </row>
    <row r="1811" spans="1:27" ht="18.95" customHeight="1">
      <c r="A1811" s="1" t="str">
        <f>IF(Raw!A1811="","",Raw!A1811)</f>
        <v>L01805</v>
      </c>
      <c r="B1811" s="1" t="str">
        <f>IF(Raw!B1811="","",Raw!B1811)</f>
        <v>T00903</v>
      </c>
      <c r="C1811" s="1" t="str">
        <f>IF(Raw!C1811="","",Raw!C1811)</f>
        <v>2026-01-15</v>
      </c>
      <c r="D1811" s="1">
        <f t="shared" si="224"/>
        <v>2026</v>
      </c>
      <c r="E1811" s="1">
        <f>IFERROR(IF(AND(LEN(C1811)=10,MID(C1811,5,1)="-",MID(C1811,8,1)="-"),VALUE(MID(C1811,6,2)),IF(AND(LEN(C1811)=11,MID(C1811,3,1)="-",MID(C1811,7,1)="-"),MATCH(UPPER(MID(C1811,4,3)),Guide!$D$7:$D$18,0),0)),0)</f>
        <v>1</v>
      </c>
      <c r="F1811" s="1">
        <f t="shared" si="225"/>
        <v>15</v>
      </c>
      <c r="G1811" s="9">
        <f t="shared" si="226"/>
        <v>46037</v>
      </c>
      <c r="H1811" s="1" t="str">
        <f>IF(Raw!D1811="","",Raw!D1811)</f>
        <v>P-H</v>
      </c>
      <c r="I1811" s="1" t="str">
        <f>IFERROR(IF(EXACT(H1811,INDEX(Guide!$A$7:$A$9,MATCH(SUBSTITUTE(SUBSTITUTE(SUBSTITUTE(H1811,"~","~~"),"*","~*"),"?","~?"),Guide!$A$7:$A$9,0))),INDEX(Guide!$B$7:$B$9,MATCH(SUBSTITUTE(SUBSTITUTE(SUBSTITUTE(H1811,"~","~~"),"*","~*"),"?","~?"),Guide!$A$7:$A$9,0)),""),"")</f>
        <v>Home</v>
      </c>
      <c r="J1811" s="1" t="str">
        <f>IF(TRIM(Raw!E1811)="",I1811,IF(UPPER(TRIM(Raw!E1811))=UPPER(I1811),I1811,""))</f>
        <v>Home</v>
      </c>
      <c r="K1811" s="1" t="str">
        <f>IF(Raw!F1811="","",Raw!F1811)</f>
        <v>sale</v>
      </c>
      <c r="L1811" s="1" t="str">
        <f>IF(LEFT(TRIM(Raw!G1811),2)="-$","-"&amp;MID(TRIM(Raw!G1811),3,99),IF(LEFT(TRIM(Raw!G1811),1)="$",MID(TRIM(Raw!G1811),2,99),TRIM(Raw!G1811)))</f>
        <v>289.88</v>
      </c>
      <c r="M1811" s="1">
        <f t="shared" si="227"/>
        <v>289.88</v>
      </c>
      <c r="N1811" s="10">
        <f t="shared" si="228"/>
        <v>28988</v>
      </c>
      <c r="O1811" s="1" t="b">
        <f>IFERROR(IF(ISNUMBER(Raw!G1811),TRUE,OR(EXACT(L1811,TEXT(M1811,"0.00")),EXACT(L1811,TEXT(M1811,"#,##0.00")))),FALSE)</f>
        <v>1</v>
      </c>
      <c r="P1811" s="1" t="str">
        <f>LEN(IF(Raw!A1811="","",Raw!A1811))&amp;":"&amp;IF(Raw!A1811="","",Raw!A1811)&amp;"|"&amp;LEN(IF(Raw!B1811="","",Raw!B1811))&amp;":"&amp;IF(Raw!B1811="","",Raw!B1811)&amp;"|"&amp;LEN(IF(Raw!C1811="","",Raw!C1811))&amp;":"&amp;IF(Raw!C1811="","",Raw!C1811)&amp;"|"&amp;LEN(IF(Raw!D1811="","",Raw!D1811))&amp;":"&amp;IF(Raw!D1811="","",Raw!D1811)&amp;"|"&amp;LEN(IF(Raw!E1811="","",Raw!E1811))&amp;":"&amp;IF(Raw!E1811="","",Raw!E1811)&amp;"|"&amp;LEN(IF(Raw!F1811="","",Raw!F1811))&amp;":"&amp;IF(Raw!F1811="","",Raw!F1811)&amp;"|"&amp;LEN(IF(Raw!G1811="","",Raw!G1811))&amp;":"&amp;IF(Raw!G1811="","",Raw!G1811)</f>
        <v>6:L01805|6:T00903|10:2026-01-15|3:P-H|4:Home|4:sale|6:289.88</v>
      </c>
      <c r="Q1811" s="1">
        <f>1</f>
        <v>1</v>
      </c>
      <c r="R1811" s="1" t="b">
        <f>FALSE</f>
        <v>0</v>
      </c>
      <c r="S1811" s="1">
        <f>1</f>
        <v>1</v>
      </c>
      <c r="T1811" s="1" t="str">
        <f>IF(AND(Raw!A1811="",Raw!B1811="",Raw!C1811="",Raw!D1811="",Raw!E1811="",Raw!F1811="",Raw!G1811=""),"UNUSED",IF(A1811="","missing line ID",IF(B1811="","missing transaction ID",IF(G1811="",IF(C1811="","missing date","invalid date"),IF(I1811="","unknown product",IF(J1811="","conflicting category",IF(NOT(OR(EXACT(K1811,"sale"),EXACT(K1811,"refund"))),"unknown event",IF(OR(N1811="",NOT(O1811)),"invalid amount",IF(OR(AND(K1811="sale",N1811&lt;=0),AND(K1811="refund",N1811&gt;=0)),"invalid sign","")))))))))</f>
        <v/>
      </c>
      <c r="U1811" s="1" t="str">
        <f t="shared" si="229"/>
        <v>INCLUDED</v>
      </c>
      <c r="V1811" s="1" t="str">
        <f t="shared" si="230"/>
        <v>2026-01</v>
      </c>
      <c r="W1811" s="1">
        <f>IF(AND(U1811="INCLUDED",X1811&gt;0,EXACT(A1811,'AI output'!A1811)),1,0)</f>
        <v>1</v>
      </c>
      <c r="X1811" s="1">
        <f>1811</f>
        <v>1811</v>
      </c>
      <c r="Y1811" s="1">
        <f>IF(AND(U1811="INCLUDED",W1811=1),--(NOT(EXACT(A1811,'AI output'!A1811)))+--(NOT(EXACT(B1811,'AI output'!B1811)))+--(NOT(EXACT(TEXT(G1811,"yyyy-mm-dd"),'AI output'!C1811)))+--(NOT(EXACT(H1811,'AI output'!D1811)))+--(NOT(EXACT(J1811,'AI output'!E1811)))+--(NOT(EXACT(K1811,'AI output'!F1811)))+--(N1811&lt;&gt;'AI output'!L1811)+--(NOT('AI output'!M1811)),0)</f>
        <v>0</v>
      </c>
      <c r="Z1811" s="1">
        <f t="shared" si="231"/>
        <v>0</v>
      </c>
      <c r="AA1811" s="1">
        <f>--EXACT(A1811,"L01805")</f>
        <v>1</v>
      </c>
    </row>
    <row r="1812" spans="1:27" ht="18.95" customHeight="1">
      <c r="A1812" s="1" t="str">
        <f>IF(Raw!A1812="","",Raw!A1812)</f>
        <v>L01806</v>
      </c>
      <c r="B1812" s="1" t="str">
        <f>IF(Raw!B1812="","",Raw!B1812)</f>
        <v>T00903</v>
      </c>
      <c r="C1812" s="1" t="str">
        <f>IF(Raw!C1812="","",Raw!C1812)</f>
        <v>2026-01-15</v>
      </c>
      <c r="D1812" s="1">
        <f t="shared" si="224"/>
        <v>2026</v>
      </c>
      <c r="E1812" s="1">
        <f>IFERROR(IF(AND(LEN(C1812)=10,MID(C1812,5,1)="-",MID(C1812,8,1)="-"),VALUE(MID(C1812,6,2)),IF(AND(LEN(C1812)=11,MID(C1812,3,1)="-",MID(C1812,7,1)="-"),MATCH(UPPER(MID(C1812,4,3)),Guide!$D$7:$D$18,0),0)),0)</f>
        <v>1</v>
      </c>
      <c r="F1812" s="1">
        <f t="shared" si="225"/>
        <v>15</v>
      </c>
      <c r="G1812" s="9">
        <f t="shared" si="226"/>
        <v>46037</v>
      </c>
      <c r="H1812" s="1" t="str">
        <f>IF(Raw!D1812="","",Raw!D1812)</f>
        <v>P-O</v>
      </c>
      <c r="I1812" s="1" t="str">
        <f>IFERROR(IF(EXACT(H1812,INDEX(Guide!$A$7:$A$9,MATCH(SUBSTITUTE(SUBSTITUTE(SUBSTITUTE(H1812,"~","~~"),"*","~*"),"?","~?"),Guide!$A$7:$A$9,0))),INDEX(Guide!$B$7:$B$9,MATCH(SUBSTITUTE(SUBSTITUTE(SUBSTITUTE(H1812,"~","~~"),"*","~*"),"?","~?"),Guide!$A$7:$A$9,0)),""),"")</f>
        <v>Office</v>
      </c>
      <c r="J1812" s="1" t="str">
        <f>IF(TRIM(Raw!E1812)="",I1812,IF(UPPER(TRIM(Raw!E1812))=UPPER(I1812),I1812,""))</f>
        <v>Office</v>
      </c>
      <c r="K1812" s="1" t="str">
        <f>IF(Raw!F1812="","",Raw!F1812)</f>
        <v>sale</v>
      </c>
      <c r="L1812" s="1" t="str">
        <f>IF(LEFT(TRIM(Raw!G1812),2)="-$","-"&amp;MID(TRIM(Raw!G1812),3,99),IF(LEFT(TRIM(Raw!G1812),1)="$",MID(TRIM(Raw!G1812),2,99),TRIM(Raw!G1812)))</f>
        <v>72.84</v>
      </c>
      <c r="M1812" s="1">
        <f t="shared" si="227"/>
        <v>72.84</v>
      </c>
      <c r="N1812" s="10">
        <f t="shared" si="228"/>
        <v>7284</v>
      </c>
      <c r="O1812" s="1" t="b">
        <f>IFERROR(IF(ISNUMBER(Raw!G1812),TRUE,OR(EXACT(L1812,TEXT(M1812,"0.00")),EXACT(L1812,TEXT(M1812,"#,##0.00")))),FALSE)</f>
        <v>1</v>
      </c>
      <c r="P1812" s="1" t="str">
        <f>LEN(IF(Raw!A1812="","",Raw!A1812))&amp;":"&amp;IF(Raw!A1812="","",Raw!A1812)&amp;"|"&amp;LEN(IF(Raw!B1812="","",Raw!B1812))&amp;":"&amp;IF(Raw!B1812="","",Raw!B1812)&amp;"|"&amp;LEN(IF(Raw!C1812="","",Raw!C1812))&amp;":"&amp;IF(Raw!C1812="","",Raw!C1812)&amp;"|"&amp;LEN(IF(Raw!D1812="","",Raw!D1812))&amp;":"&amp;IF(Raw!D1812="","",Raw!D1812)&amp;"|"&amp;LEN(IF(Raw!E1812="","",Raw!E1812))&amp;":"&amp;IF(Raw!E1812="","",Raw!E1812)&amp;"|"&amp;LEN(IF(Raw!F1812="","",Raw!F1812))&amp;":"&amp;IF(Raw!F1812="","",Raw!F1812)&amp;"|"&amp;LEN(IF(Raw!G1812="","",Raw!G1812))&amp;":"&amp;IF(Raw!G1812="","",Raw!G1812)</f>
        <v>6:L01806|6:T00903|10:2026-01-15|3:P-O|6:Office|4:sale|5:72.84</v>
      </c>
      <c r="Q1812" s="1">
        <f>1</f>
        <v>1</v>
      </c>
      <c r="R1812" s="1" t="b">
        <f>FALSE</f>
        <v>0</v>
      </c>
      <c r="S1812" s="1">
        <f>1</f>
        <v>1</v>
      </c>
      <c r="T1812" s="1" t="str">
        <f>IF(AND(Raw!A1812="",Raw!B1812="",Raw!C1812="",Raw!D1812="",Raw!E1812="",Raw!F1812="",Raw!G1812=""),"UNUSED",IF(A1812="","missing line ID",IF(B1812="","missing transaction ID",IF(G1812="",IF(C1812="","missing date","invalid date"),IF(I1812="","unknown product",IF(J1812="","conflicting category",IF(NOT(OR(EXACT(K1812,"sale"),EXACT(K1812,"refund"))),"unknown event",IF(OR(N1812="",NOT(O1812)),"invalid amount",IF(OR(AND(K1812="sale",N1812&lt;=0),AND(K1812="refund",N1812&gt;=0)),"invalid sign","")))))))))</f>
        <v/>
      </c>
      <c r="U1812" s="1" t="str">
        <f t="shared" si="229"/>
        <v>INCLUDED</v>
      </c>
      <c r="V1812" s="1" t="str">
        <f t="shared" si="230"/>
        <v>2026-01</v>
      </c>
      <c r="W1812" s="1">
        <f>IF(AND(U1812="INCLUDED",X1812&gt;0,EXACT(A1812,'AI output'!A1812)),1,0)</f>
        <v>1</v>
      </c>
      <c r="X1812" s="1">
        <f>1812</f>
        <v>1812</v>
      </c>
      <c r="Y1812" s="1">
        <f>IF(AND(U1812="INCLUDED",W1812=1),--(NOT(EXACT(A1812,'AI output'!A1812)))+--(NOT(EXACT(B1812,'AI output'!B1812)))+--(NOT(EXACT(TEXT(G1812,"yyyy-mm-dd"),'AI output'!C1812)))+--(NOT(EXACT(H1812,'AI output'!D1812)))+--(NOT(EXACT(J1812,'AI output'!E1812)))+--(NOT(EXACT(K1812,'AI output'!F1812)))+--(N1812&lt;&gt;'AI output'!L1812)+--(NOT('AI output'!M1812)),0)</f>
        <v>0</v>
      </c>
      <c r="Z1812" s="1">
        <f t="shared" si="231"/>
        <v>0</v>
      </c>
      <c r="AA1812" s="1">
        <f>--EXACT(A1812,"L01806")</f>
        <v>1</v>
      </c>
    </row>
    <row r="1813" spans="1:27" ht="18.95" customHeight="1">
      <c r="A1813" s="1" t="str">
        <f>IF(Raw!A1813="","",Raw!A1813)</f>
        <v>L01807</v>
      </c>
      <c r="B1813" s="1" t="str">
        <f>IF(Raw!B1813="","",Raw!B1813)</f>
        <v>T00904</v>
      </c>
      <c r="C1813" s="1" t="str">
        <f>IF(Raw!C1813="","",Raw!C1813)</f>
        <v>2026-01-22</v>
      </c>
      <c r="D1813" s="1">
        <f t="shared" si="224"/>
        <v>2026</v>
      </c>
      <c r="E1813" s="1">
        <f>IFERROR(IF(AND(LEN(C1813)=10,MID(C1813,5,1)="-",MID(C1813,8,1)="-"),VALUE(MID(C1813,6,2)),IF(AND(LEN(C1813)=11,MID(C1813,3,1)="-",MID(C1813,7,1)="-"),MATCH(UPPER(MID(C1813,4,3)),Guide!$D$7:$D$18,0),0)),0)</f>
        <v>1</v>
      </c>
      <c r="F1813" s="1">
        <f t="shared" si="225"/>
        <v>22</v>
      </c>
      <c r="G1813" s="9">
        <f t="shared" si="226"/>
        <v>46044</v>
      </c>
      <c r="H1813" s="1" t="str">
        <f>IF(Raw!D1813="","",Raw!D1813)</f>
        <v>P-A</v>
      </c>
      <c r="I1813" s="1" t="str">
        <f>IFERROR(IF(EXACT(H1813,INDEX(Guide!$A$7:$A$9,MATCH(SUBSTITUTE(SUBSTITUTE(SUBSTITUTE(H1813,"~","~~"),"*","~*"),"?","~?"),Guide!$A$7:$A$9,0))),INDEX(Guide!$B$7:$B$9,MATCH(SUBSTITUTE(SUBSTITUTE(SUBSTITUTE(H1813,"~","~~"),"*","~*"),"?","~?"),Guide!$A$7:$A$9,0)),""),"")</f>
        <v>Accessories</v>
      </c>
      <c r="J1813" s="1" t="str">
        <f>IF(TRIM(Raw!E1813)="",I1813,IF(UPPER(TRIM(Raw!E1813))=UPPER(I1813),I1813,""))</f>
        <v>Accessories</v>
      </c>
      <c r="K1813" s="1" t="str">
        <f>IF(Raw!F1813="","",Raw!F1813)</f>
        <v>sale</v>
      </c>
      <c r="L1813" s="1" t="str">
        <f>IF(LEFT(TRIM(Raw!G1813),2)="-$","-"&amp;MID(TRIM(Raw!G1813),3,99),IF(LEFT(TRIM(Raw!G1813),1)="$",MID(TRIM(Raw!G1813),2,99),TRIM(Raw!G1813)))</f>
        <v>219.63</v>
      </c>
      <c r="M1813" s="1">
        <f t="shared" si="227"/>
        <v>219.63</v>
      </c>
      <c r="N1813" s="10">
        <f t="shared" si="228"/>
        <v>21963</v>
      </c>
      <c r="O1813" s="1" t="b">
        <f>IFERROR(IF(ISNUMBER(Raw!G1813),TRUE,OR(EXACT(L1813,TEXT(M1813,"0.00")),EXACT(L1813,TEXT(M1813,"#,##0.00")))),FALSE)</f>
        <v>1</v>
      </c>
      <c r="P1813" s="1" t="str">
        <f>LEN(IF(Raw!A1813="","",Raw!A1813))&amp;":"&amp;IF(Raw!A1813="","",Raw!A1813)&amp;"|"&amp;LEN(IF(Raw!B1813="","",Raw!B1813))&amp;":"&amp;IF(Raw!B1813="","",Raw!B1813)&amp;"|"&amp;LEN(IF(Raw!C1813="","",Raw!C1813))&amp;":"&amp;IF(Raw!C1813="","",Raw!C1813)&amp;"|"&amp;LEN(IF(Raw!D1813="","",Raw!D1813))&amp;":"&amp;IF(Raw!D1813="","",Raw!D1813)&amp;"|"&amp;LEN(IF(Raw!E1813="","",Raw!E1813))&amp;":"&amp;IF(Raw!E1813="","",Raw!E1813)&amp;"|"&amp;LEN(IF(Raw!F1813="","",Raw!F1813))&amp;":"&amp;IF(Raw!F1813="","",Raw!F1813)&amp;"|"&amp;LEN(IF(Raw!G1813="","",Raw!G1813))&amp;":"&amp;IF(Raw!G1813="","",Raw!G1813)</f>
        <v>6:L01807|6:T00904|10:2026-01-22|3:P-A|11:Accessories|4:sale|6:219.63</v>
      </c>
      <c r="Q1813" s="1">
        <f>1</f>
        <v>1</v>
      </c>
      <c r="R1813" s="1" t="b">
        <f>FALSE</f>
        <v>0</v>
      </c>
      <c r="S1813" s="1">
        <f>1</f>
        <v>1</v>
      </c>
      <c r="T1813" s="1" t="str">
        <f>IF(AND(Raw!A1813="",Raw!B1813="",Raw!C1813="",Raw!D1813="",Raw!E1813="",Raw!F1813="",Raw!G1813=""),"UNUSED",IF(A1813="","missing line ID",IF(B1813="","missing transaction ID",IF(G1813="",IF(C1813="","missing date","invalid date"),IF(I1813="","unknown product",IF(J1813="","conflicting category",IF(NOT(OR(EXACT(K1813,"sale"),EXACT(K1813,"refund"))),"unknown event",IF(OR(N1813="",NOT(O1813)),"invalid amount",IF(OR(AND(K1813="sale",N1813&lt;=0),AND(K1813="refund",N1813&gt;=0)),"invalid sign","")))))))))</f>
        <v/>
      </c>
      <c r="U1813" s="1" t="str">
        <f t="shared" si="229"/>
        <v>INCLUDED</v>
      </c>
      <c r="V1813" s="1" t="str">
        <f t="shared" si="230"/>
        <v>2026-01</v>
      </c>
      <c r="W1813" s="1">
        <f>IF(AND(U1813="INCLUDED",X1813&gt;0,EXACT(A1813,'AI output'!A1813)),1,0)</f>
        <v>1</v>
      </c>
      <c r="X1813" s="1">
        <f>1813</f>
        <v>1813</v>
      </c>
      <c r="Y1813" s="1">
        <f>IF(AND(U1813="INCLUDED",W1813=1),--(NOT(EXACT(A1813,'AI output'!A1813)))+--(NOT(EXACT(B1813,'AI output'!B1813)))+--(NOT(EXACT(TEXT(G1813,"yyyy-mm-dd"),'AI output'!C1813)))+--(NOT(EXACT(H1813,'AI output'!D1813)))+--(NOT(EXACT(J1813,'AI output'!E1813)))+--(NOT(EXACT(K1813,'AI output'!F1813)))+--(N1813&lt;&gt;'AI output'!L1813)+--(NOT('AI output'!M1813)),0)</f>
        <v>0</v>
      </c>
      <c r="Z1813" s="1">
        <f t="shared" si="231"/>
        <v>0</v>
      </c>
      <c r="AA1813" s="1">
        <f>--EXACT(A1813,"L01807")</f>
        <v>1</v>
      </c>
    </row>
    <row r="1814" spans="1:27" ht="18.95" customHeight="1">
      <c r="A1814" s="1" t="str">
        <f>IF(Raw!A1814="","",Raw!A1814)</f>
        <v>L01808</v>
      </c>
      <c r="B1814" s="1" t="str">
        <f>IF(Raw!B1814="","",Raw!B1814)</f>
        <v>T00904</v>
      </c>
      <c r="C1814" s="1" t="str">
        <f>IF(Raw!C1814="","",Raw!C1814)</f>
        <v>2026-01-22</v>
      </c>
      <c r="D1814" s="1">
        <f t="shared" si="224"/>
        <v>2026</v>
      </c>
      <c r="E1814" s="1">
        <f>IFERROR(IF(AND(LEN(C1814)=10,MID(C1814,5,1)="-",MID(C1814,8,1)="-"),VALUE(MID(C1814,6,2)),IF(AND(LEN(C1814)=11,MID(C1814,3,1)="-",MID(C1814,7,1)="-"),MATCH(UPPER(MID(C1814,4,3)),Guide!$D$7:$D$18,0),0)),0)</f>
        <v>1</v>
      </c>
      <c r="F1814" s="1">
        <f t="shared" si="225"/>
        <v>22</v>
      </c>
      <c r="G1814" s="9">
        <f t="shared" si="226"/>
        <v>46044</v>
      </c>
      <c r="H1814" s="1" t="str">
        <f>IF(Raw!D1814="","",Raw!D1814)</f>
        <v>P-H</v>
      </c>
      <c r="I1814" s="1" t="str">
        <f>IFERROR(IF(EXACT(H1814,INDEX(Guide!$A$7:$A$9,MATCH(SUBSTITUTE(SUBSTITUTE(SUBSTITUTE(H1814,"~","~~"),"*","~*"),"?","~?"),Guide!$A$7:$A$9,0))),INDEX(Guide!$B$7:$B$9,MATCH(SUBSTITUTE(SUBSTITUTE(SUBSTITUTE(H1814,"~","~~"),"*","~*"),"?","~?"),Guide!$A$7:$A$9,0)),""),"")</f>
        <v>Home</v>
      </c>
      <c r="J1814" s="1" t="str">
        <f>IF(TRIM(Raw!E1814)="",I1814,IF(UPPER(TRIM(Raw!E1814))=UPPER(I1814),I1814,""))</f>
        <v>Home</v>
      </c>
      <c r="K1814" s="1" t="str">
        <f>IF(Raw!F1814="","",Raw!F1814)</f>
        <v>sale</v>
      </c>
      <c r="L1814" s="1" t="str">
        <f>IF(LEFT(TRIM(Raw!G1814),2)="-$","-"&amp;MID(TRIM(Raw!G1814),3,99),IF(LEFT(TRIM(Raw!G1814),1)="$",MID(TRIM(Raw!G1814),2,99),TRIM(Raw!G1814)))</f>
        <v>367.90</v>
      </c>
      <c r="M1814" s="1">
        <f t="shared" si="227"/>
        <v>367.9</v>
      </c>
      <c r="N1814" s="10">
        <f t="shared" si="228"/>
        <v>36790</v>
      </c>
      <c r="O1814" s="1" t="b">
        <f>IFERROR(IF(ISNUMBER(Raw!G1814),TRUE,OR(EXACT(L1814,TEXT(M1814,"0.00")),EXACT(L1814,TEXT(M1814,"#,##0.00")))),FALSE)</f>
        <v>1</v>
      </c>
      <c r="P1814" s="1" t="str">
        <f>LEN(IF(Raw!A1814="","",Raw!A1814))&amp;":"&amp;IF(Raw!A1814="","",Raw!A1814)&amp;"|"&amp;LEN(IF(Raw!B1814="","",Raw!B1814))&amp;":"&amp;IF(Raw!B1814="","",Raw!B1814)&amp;"|"&amp;LEN(IF(Raw!C1814="","",Raw!C1814))&amp;":"&amp;IF(Raw!C1814="","",Raw!C1814)&amp;"|"&amp;LEN(IF(Raw!D1814="","",Raw!D1814))&amp;":"&amp;IF(Raw!D1814="","",Raw!D1814)&amp;"|"&amp;LEN(IF(Raw!E1814="","",Raw!E1814))&amp;":"&amp;IF(Raw!E1814="","",Raw!E1814)&amp;"|"&amp;LEN(IF(Raw!F1814="","",Raw!F1814))&amp;":"&amp;IF(Raw!F1814="","",Raw!F1814)&amp;"|"&amp;LEN(IF(Raw!G1814="","",Raw!G1814))&amp;":"&amp;IF(Raw!G1814="","",Raw!G1814)</f>
        <v>6:L01808|6:T00904|10:2026-01-22|3:P-H|4:Home|4:sale|6:367.90</v>
      </c>
      <c r="Q1814" s="1">
        <f>1</f>
        <v>1</v>
      </c>
      <c r="R1814" s="1" t="b">
        <f>FALSE</f>
        <v>0</v>
      </c>
      <c r="S1814" s="1">
        <f>1</f>
        <v>1</v>
      </c>
      <c r="T1814" s="1" t="str">
        <f>IF(AND(Raw!A1814="",Raw!B1814="",Raw!C1814="",Raw!D1814="",Raw!E1814="",Raw!F1814="",Raw!G1814=""),"UNUSED",IF(A1814="","missing line ID",IF(B1814="","missing transaction ID",IF(G1814="",IF(C1814="","missing date","invalid date"),IF(I1814="","unknown product",IF(J1814="","conflicting category",IF(NOT(OR(EXACT(K1814,"sale"),EXACT(K1814,"refund"))),"unknown event",IF(OR(N1814="",NOT(O1814)),"invalid amount",IF(OR(AND(K1814="sale",N1814&lt;=0),AND(K1814="refund",N1814&gt;=0)),"invalid sign","")))))))))</f>
        <v/>
      </c>
      <c r="U1814" s="1" t="str">
        <f t="shared" si="229"/>
        <v>INCLUDED</v>
      </c>
      <c r="V1814" s="1" t="str">
        <f t="shared" si="230"/>
        <v>2026-01</v>
      </c>
      <c r="W1814" s="1">
        <f>IF(AND(U1814="INCLUDED",X1814&gt;0,EXACT(A1814,'AI output'!A1814)),1,0)</f>
        <v>1</v>
      </c>
      <c r="X1814" s="1">
        <f>1814</f>
        <v>1814</v>
      </c>
      <c r="Y1814" s="1">
        <f>IF(AND(U1814="INCLUDED",W1814=1),--(NOT(EXACT(A1814,'AI output'!A1814)))+--(NOT(EXACT(B1814,'AI output'!B1814)))+--(NOT(EXACT(TEXT(G1814,"yyyy-mm-dd"),'AI output'!C1814)))+--(NOT(EXACT(H1814,'AI output'!D1814)))+--(NOT(EXACT(J1814,'AI output'!E1814)))+--(NOT(EXACT(K1814,'AI output'!F1814)))+--(N1814&lt;&gt;'AI output'!L1814)+--(NOT('AI output'!M1814)),0)</f>
        <v>0</v>
      </c>
      <c r="Z1814" s="1">
        <f t="shared" si="231"/>
        <v>0</v>
      </c>
      <c r="AA1814" s="1">
        <f>--EXACT(A1814,"L01808")</f>
        <v>1</v>
      </c>
    </row>
    <row r="1815" spans="1:27" ht="18.95" customHeight="1">
      <c r="A1815" s="1" t="str">
        <f>IF(Raw!A1815="","",Raw!A1815)</f>
        <v>L01809</v>
      </c>
      <c r="B1815" s="1" t="str">
        <f>IF(Raw!B1815="","",Raw!B1815)</f>
        <v>T00905</v>
      </c>
      <c r="C1815" s="1" t="str">
        <f>IF(Raw!C1815="","",Raw!C1815)</f>
        <v>2026-01-29</v>
      </c>
      <c r="D1815" s="1">
        <f t="shared" si="224"/>
        <v>2026</v>
      </c>
      <c r="E1815" s="1">
        <f>IFERROR(IF(AND(LEN(C1815)=10,MID(C1815,5,1)="-",MID(C1815,8,1)="-"),VALUE(MID(C1815,6,2)),IF(AND(LEN(C1815)=11,MID(C1815,3,1)="-",MID(C1815,7,1)="-"),MATCH(UPPER(MID(C1815,4,3)),Guide!$D$7:$D$18,0),0)),0)</f>
        <v>1</v>
      </c>
      <c r="F1815" s="1">
        <f t="shared" si="225"/>
        <v>29</v>
      </c>
      <c r="G1815" s="9">
        <f t="shared" si="226"/>
        <v>46051</v>
      </c>
      <c r="H1815" s="1" t="str">
        <f>IF(Raw!D1815="","",Raw!D1815)</f>
        <v>P-O</v>
      </c>
      <c r="I1815" s="1" t="str">
        <f>IFERROR(IF(EXACT(H1815,INDEX(Guide!$A$7:$A$9,MATCH(SUBSTITUTE(SUBSTITUTE(SUBSTITUTE(H1815,"~","~~"),"*","~*"),"?","~?"),Guide!$A$7:$A$9,0))),INDEX(Guide!$B$7:$B$9,MATCH(SUBSTITUTE(SUBSTITUTE(SUBSTITUTE(H1815,"~","~~"),"*","~*"),"?","~?"),Guide!$A$7:$A$9,0)),""),"")</f>
        <v>Office</v>
      </c>
      <c r="J1815" s="1" t="str">
        <f>IF(TRIM(Raw!E1815)="",I1815,IF(UPPER(TRIM(Raw!E1815))=UPPER(I1815),I1815,""))</f>
        <v>Office</v>
      </c>
      <c r="K1815" s="1" t="str">
        <f>IF(Raw!F1815="","",Raw!F1815)</f>
        <v>sale</v>
      </c>
      <c r="L1815" s="1" t="str">
        <f>IF(LEFT(TRIM(Raw!G1815),2)="-$","-"&amp;MID(TRIM(Raw!G1815),3,99),IF(LEFT(TRIM(Raw!G1815),1)="$",MID(TRIM(Raw!G1815),2,99),TRIM(Raw!G1815)))</f>
        <v>147.90</v>
      </c>
      <c r="M1815" s="1">
        <f t="shared" si="227"/>
        <v>147.9</v>
      </c>
      <c r="N1815" s="10">
        <f t="shared" si="228"/>
        <v>14790</v>
      </c>
      <c r="O1815" s="1" t="b">
        <f>IFERROR(IF(ISNUMBER(Raw!G1815),TRUE,OR(EXACT(L1815,TEXT(M1815,"0.00")),EXACT(L1815,TEXT(M1815,"#,##0.00")))),FALSE)</f>
        <v>1</v>
      </c>
      <c r="P1815" s="1" t="str">
        <f>LEN(IF(Raw!A1815="","",Raw!A1815))&amp;":"&amp;IF(Raw!A1815="","",Raw!A1815)&amp;"|"&amp;LEN(IF(Raw!B1815="","",Raw!B1815))&amp;":"&amp;IF(Raw!B1815="","",Raw!B1815)&amp;"|"&amp;LEN(IF(Raw!C1815="","",Raw!C1815))&amp;":"&amp;IF(Raw!C1815="","",Raw!C1815)&amp;"|"&amp;LEN(IF(Raw!D1815="","",Raw!D1815))&amp;":"&amp;IF(Raw!D1815="","",Raw!D1815)&amp;"|"&amp;LEN(IF(Raw!E1815="","",Raw!E1815))&amp;":"&amp;IF(Raw!E1815="","",Raw!E1815)&amp;"|"&amp;LEN(IF(Raw!F1815="","",Raw!F1815))&amp;":"&amp;IF(Raw!F1815="","",Raw!F1815)&amp;"|"&amp;LEN(IF(Raw!G1815="","",Raw!G1815))&amp;":"&amp;IF(Raw!G1815="","",Raw!G1815)</f>
        <v>6:L01809|6:T00905|10:2026-01-29|3:P-O|6:Office|4:sale|6:147.90</v>
      </c>
      <c r="Q1815" s="1">
        <f>1</f>
        <v>1</v>
      </c>
      <c r="R1815" s="1" t="b">
        <f>FALSE</f>
        <v>0</v>
      </c>
      <c r="S1815" s="1">
        <f>1</f>
        <v>1</v>
      </c>
      <c r="T1815" s="1" t="str">
        <f>IF(AND(Raw!A1815="",Raw!B1815="",Raw!C1815="",Raw!D1815="",Raw!E1815="",Raw!F1815="",Raw!G1815=""),"UNUSED",IF(A1815="","missing line ID",IF(B1815="","missing transaction ID",IF(G1815="",IF(C1815="","missing date","invalid date"),IF(I1815="","unknown product",IF(J1815="","conflicting category",IF(NOT(OR(EXACT(K1815,"sale"),EXACT(K1815,"refund"))),"unknown event",IF(OR(N1815="",NOT(O1815)),"invalid amount",IF(OR(AND(K1815="sale",N1815&lt;=0),AND(K1815="refund",N1815&gt;=0)),"invalid sign","")))))))))</f>
        <v/>
      </c>
      <c r="U1815" s="1" t="str">
        <f t="shared" si="229"/>
        <v>INCLUDED</v>
      </c>
      <c r="V1815" s="1" t="str">
        <f t="shared" si="230"/>
        <v>2026-01</v>
      </c>
      <c r="W1815" s="1">
        <f>IF(AND(U1815="INCLUDED",X1815&gt;0,EXACT(A1815,'AI output'!A1815)),1,0)</f>
        <v>1</v>
      </c>
      <c r="X1815" s="1">
        <f>1815</f>
        <v>1815</v>
      </c>
      <c r="Y1815" s="1">
        <f>IF(AND(U1815="INCLUDED",W1815=1),--(NOT(EXACT(A1815,'AI output'!A1815)))+--(NOT(EXACT(B1815,'AI output'!B1815)))+--(NOT(EXACT(TEXT(G1815,"yyyy-mm-dd"),'AI output'!C1815)))+--(NOT(EXACT(H1815,'AI output'!D1815)))+--(NOT(EXACT(J1815,'AI output'!E1815)))+--(NOT(EXACT(K1815,'AI output'!F1815)))+--(N1815&lt;&gt;'AI output'!L1815)+--(NOT('AI output'!M1815)),0)</f>
        <v>0</v>
      </c>
      <c r="Z1815" s="1">
        <f t="shared" si="231"/>
        <v>0</v>
      </c>
      <c r="AA1815" s="1">
        <f>--EXACT(A1815,"L01809")</f>
        <v>1</v>
      </c>
    </row>
    <row r="1816" spans="1:27" ht="18.95" customHeight="1">
      <c r="A1816" s="1" t="str">
        <f>IF(Raw!A1816="","",Raw!A1816)</f>
        <v>L01810</v>
      </c>
      <c r="B1816" s="1" t="str">
        <f>IF(Raw!B1816="","",Raw!B1816)</f>
        <v>T00905</v>
      </c>
      <c r="C1816" s="1" t="str">
        <f>IF(Raw!C1816="","",Raw!C1816)</f>
        <v>2026-01-29</v>
      </c>
      <c r="D1816" s="1">
        <f t="shared" si="224"/>
        <v>2026</v>
      </c>
      <c r="E1816" s="1">
        <f>IFERROR(IF(AND(LEN(C1816)=10,MID(C1816,5,1)="-",MID(C1816,8,1)="-"),VALUE(MID(C1816,6,2)),IF(AND(LEN(C1816)=11,MID(C1816,3,1)="-",MID(C1816,7,1)="-"),MATCH(UPPER(MID(C1816,4,3)),Guide!$D$7:$D$18,0),0)),0)</f>
        <v>1</v>
      </c>
      <c r="F1816" s="1">
        <f t="shared" si="225"/>
        <v>29</v>
      </c>
      <c r="G1816" s="9">
        <f t="shared" si="226"/>
        <v>46051</v>
      </c>
      <c r="H1816" s="1" t="str">
        <f>IF(Raw!D1816="","",Raw!D1816)</f>
        <v>P-A</v>
      </c>
      <c r="I1816" s="1" t="str">
        <f>IFERROR(IF(EXACT(H1816,INDEX(Guide!$A$7:$A$9,MATCH(SUBSTITUTE(SUBSTITUTE(SUBSTITUTE(H1816,"~","~~"),"*","~*"),"?","~?"),Guide!$A$7:$A$9,0))),INDEX(Guide!$B$7:$B$9,MATCH(SUBSTITUTE(SUBSTITUTE(SUBSTITUTE(H1816,"~","~~"),"*","~*"),"?","~?"),Guide!$A$7:$A$9,0)),""),"")</f>
        <v>Accessories</v>
      </c>
      <c r="J1816" s="1" t="str">
        <f>IF(TRIM(Raw!E1816)="",I1816,IF(UPPER(TRIM(Raw!E1816))=UPPER(I1816),I1816,""))</f>
        <v>Accessories</v>
      </c>
      <c r="K1816" s="1" t="str">
        <f>IF(Raw!F1816="","",Raw!F1816)</f>
        <v>sale</v>
      </c>
      <c r="L1816" s="1" t="str">
        <f>IF(LEFT(TRIM(Raw!G1816),2)="-$","-"&amp;MID(TRIM(Raw!G1816),3,99),IF(LEFT(TRIM(Raw!G1816),1)="$",MID(TRIM(Raw!G1816),2,99),TRIM(Raw!G1816)))</f>
        <v>297.28</v>
      </c>
      <c r="M1816" s="1">
        <f t="shared" si="227"/>
        <v>297.27999999999997</v>
      </c>
      <c r="N1816" s="10">
        <f t="shared" si="228"/>
        <v>29728</v>
      </c>
      <c r="O1816" s="1" t="b">
        <f>IFERROR(IF(ISNUMBER(Raw!G1816),TRUE,OR(EXACT(L1816,TEXT(M1816,"0.00")),EXACT(L1816,TEXT(M1816,"#,##0.00")))),FALSE)</f>
        <v>1</v>
      </c>
      <c r="P1816" s="1" t="str">
        <f>LEN(IF(Raw!A1816="","",Raw!A1816))&amp;":"&amp;IF(Raw!A1816="","",Raw!A1816)&amp;"|"&amp;LEN(IF(Raw!B1816="","",Raw!B1816))&amp;":"&amp;IF(Raw!B1816="","",Raw!B1816)&amp;"|"&amp;LEN(IF(Raw!C1816="","",Raw!C1816))&amp;":"&amp;IF(Raw!C1816="","",Raw!C1816)&amp;"|"&amp;LEN(IF(Raw!D1816="","",Raw!D1816))&amp;":"&amp;IF(Raw!D1816="","",Raw!D1816)&amp;"|"&amp;LEN(IF(Raw!E1816="","",Raw!E1816))&amp;":"&amp;IF(Raw!E1816="","",Raw!E1816)&amp;"|"&amp;LEN(IF(Raw!F1816="","",Raw!F1816))&amp;":"&amp;IF(Raw!F1816="","",Raw!F1816)&amp;"|"&amp;LEN(IF(Raw!G1816="","",Raw!G1816))&amp;":"&amp;IF(Raw!G1816="","",Raw!G1816)</f>
        <v>6:L01810|6:T00905|10:2026-01-29|3:P-A|11:Accessories|4:sale|6:297.28</v>
      </c>
      <c r="Q1816" s="1">
        <f>1</f>
        <v>1</v>
      </c>
      <c r="R1816" s="1" t="b">
        <f>FALSE</f>
        <v>0</v>
      </c>
      <c r="S1816" s="1">
        <f>1</f>
        <v>1</v>
      </c>
      <c r="T1816" s="1" t="str">
        <f>IF(AND(Raw!A1816="",Raw!B1816="",Raw!C1816="",Raw!D1816="",Raw!E1816="",Raw!F1816="",Raw!G1816=""),"UNUSED",IF(A1816="","missing line ID",IF(B1816="","missing transaction ID",IF(G1816="",IF(C1816="","missing date","invalid date"),IF(I1816="","unknown product",IF(J1816="","conflicting category",IF(NOT(OR(EXACT(K1816,"sale"),EXACT(K1816,"refund"))),"unknown event",IF(OR(N1816="",NOT(O1816)),"invalid amount",IF(OR(AND(K1816="sale",N1816&lt;=0),AND(K1816="refund",N1816&gt;=0)),"invalid sign","")))))))))</f>
        <v/>
      </c>
      <c r="U1816" s="1" t="str">
        <f t="shared" si="229"/>
        <v>INCLUDED</v>
      </c>
      <c r="V1816" s="1" t="str">
        <f t="shared" si="230"/>
        <v>2026-01</v>
      </c>
      <c r="W1816" s="1">
        <f>IF(AND(U1816="INCLUDED",X1816&gt;0,EXACT(A1816,'AI output'!A1816)),1,0)</f>
        <v>1</v>
      </c>
      <c r="X1816" s="1">
        <f>1816</f>
        <v>1816</v>
      </c>
      <c r="Y1816" s="1">
        <f>IF(AND(U1816="INCLUDED",W1816=1),--(NOT(EXACT(A1816,'AI output'!A1816)))+--(NOT(EXACT(B1816,'AI output'!B1816)))+--(NOT(EXACT(TEXT(G1816,"yyyy-mm-dd"),'AI output'!C1816)))+--(NOT(EXACT(H1816,'AI output'!D1816)))+--(NOT(EXACT(J1816,'AI output'!E1816)))+--(NOT(EXACT(K1816,'AI output'!F1816)))+--(N1816&lt;&gt;'AI output'!L1816)+--(NOT('AI output'!M1816)),0)</f>
        <v>0</v>
      </c>
      <c r="Z1816" s="1">
        <f t="shared" si="231"/>
        <v>0</v>
      </c>
      <c r="AA1816" s="1">
        <f>--EXACT(A1816,"L01810")</f>
        <v>1</v>
      </c>
    </row>
    <row r="1817" spans="1:27" ht="18.95" customHeight="1">
      <c r="A1817" s="1" t="str">
        <f>IF(Raw!A1817="","",Raw!A1817)</f>
        <v>L01811</v>
      </c>
      <c r="B1817" s="1" t="str">
        <f>IF(Raw!B1817="","",Raw!B1817)</f>
        <v>T00906</v>
      </c>
      <c r="C1817" s="1" t="str">
        <f>IF(Raw!C1817="","",Raw!C1817)</f>
        <v>2026-02-05</v>
      </c>
      <c r="D1817" s="1">
        <f t="shared" si="224"/>
        <v>2026</v>
      </c>
      <c r="E1817" s="1">
        <f>IFERROR(IF(AND(LEN(C1817)=10,MID(C1817,5,1)="-",MID(C1817,8,1)="-"),VALUE(MID(C1817,6,2)),IF(AND(LEN(C1817)=11,MID(C1817,3,1)="-",MID(C1817,7,1)="-"),MATCH(UPPER(MID(C1817,4,3)),Guide!$D$7:$D$18,0),0)),0)</f>
        <v>2</v>
      </c>
      <c r="F1817" s="1">
        <f t="shared" si="225"/>
        <v>5</v>
      </c>
      <c r="G1817" s="9">
        <f t="shared" si="226"/>
        <v>46058</v>
      </c>
      <c r="H1817" s="1" t="str">
        <f>IF(Raw!D1817="","",Raw!D1817)</f>
        <v>P-H</v>
      </c>
      <c r="I1817" s="1" t="str">
        <f>IFERROR(IF(EXACT(H1817,INDEX(Guide!$A$7:$A$9,MATCH(SUBSTITUTE(SUBSTITUTE(SUBSTITUTE(H1817,"~","~~"),"*","~*"),"?","~?"),Guide!$A$7:$A$9,0))),INDEX(Guide!$B$7:$B$9,MATCH(SUBSTITUTE(SUBSTITUTE(SUBSTITUTE(H1817,"~","~~"),"*","~*"),"?","~?"),Guide!$A$7:$A$9,0)),""),"")</f>
        <v>Home</v>
      </c>
      <c r="J1817" s="1" t="str">
        <f>IF(TRIM(Raw!E1817)="",I1817,IF(UPPER(TRIM(Raw!E1817))=UPPER(I1817),I1817,""))</f>
        <v>Home</v>
      </c>
      <c r="K1817" s="1" t="str">
        <f>IF(Raw!F1817="","",Raw!F1817)</f>
        <v>sale</v>
      </c>
      <c r="L1817" s="1" t="str">
        <f>IF(LEFT(TRIM(Raw!G1817),2)="-$","-"&amp;MID(TRIM(Raw!G1817),3,99),IF(LEFT(TRIM(Raw!G1817),1)="$",MID(TRIM(Raw!G1817),2,99),TRIM(Raw!G1817)))</f>
        <v>74.69</v>
      </c>
      <c r="M1817" s="1">
        <f t="shared" si="227"/>
        <v>74.69</v>
      </c>
      <c r="N1817" s="10">
        <f t="shared" si="228"/>
        <v>7469</v>
      </c>
      <c r="O1817" s="1" t="b">
        <f>IFERROR(IF(ISNUMBER(Raw!G1817),TRUE,OR(EXACT(L1817,TEXT(M1817,"0.00")),EXACT(L1817,TEXT(M1817,"#,##0.00")))),FALSE)</f>
        <v>1</v>
      </c>
      <c r="P1817" s="1" t="str">
        <f>LEN(IF(Raw!A1817="","",Raw!A1817))&amp;":"&amp;IF(Raw!A1817="","",Raw!A1817)&amp;"|"&amp;LEN(IF(Raw!B1817="","",Raw!B1817))&amp;":"&amp;IF(Raw!B1817="","",Raw!B1817)&amp;"|"&amp;LEN(IF(Raw!C1817="","",Raw!C1817))&amp;":"&amp;IF(Raw!C1817="","",Raw!C1817)&amp;"|"&amp;LEN(IF(Raw!D1817="","",Raw!D1817))&amp;":"&amp;IF(Raw!D1817="","",Raw!D1817)&amp;"|"&amp;LEN(IF(Raw!E1817="","",Raw!E1817))&amp;":"&amp;IF(Raw!E1817="","",Raw!E1817)&amp;"|"&amp;LEN(IF(Raw!F1817="","",Raw!F1817))&amp;":"&amp;IF(Raw!F1817="","",Raw!F1817)&amp;"|"&amp;LEN(IF(Raw!G1817="","",Raw!G1817))&amp;":"&amp;IF(Raw!G1817="","",Raw!G1817)</f>
        <v>6:L01811|6:T00906|10:2026-02-05|3:P-H|4:Home|4:sale|5:74.69</v>
      </c>
      <c r="Q1817" s="1">
        <f>1</f>
        <v>1</v>
      </c>
      <c r="R1817" s="1" t="b">
        <f>FALSE</f>
        <v>0</v>
      </c>
      <c r="S1817" s="1">
        <f>1</f>
        <v>1</v>
      </c>
      <c r="T1817" s="1" t="str">
        <f>IF(AND(Raw!A1817="",Raw!B1817="",Raw!C1817="",Raw!D1817="",Raw!E1817="",Raw!F1817="",Raw!G1817=""),"UNUSED",IF(A1817="","missing line ID",IF(B1817="","missing transaction ID",IF(G1817="",IF(C1817="","missing date","invalid date"),IF(I1817="","unknown product",IF(J1817="","conflicting category",IF(NOT(OR(EXACT(K1817,"sale"),EXACT(K1817,"refund"))),"unknown event",IF(OR(N1817="",NOT(O1817)),"invalid amount",IF(OR(AND(K1817="sale",N1817&lt;=0),AND(K1817="refund",N1817&gt;=0)),"invalid sign","")))))))))</f>
        <v/>
      </c>
      <c r="U1817" s="1" t="str">
        <f t="shared" si="229"/>
        <v>INCLUDED</v>
      </c>
      <c r="V1817" s="1" t="str">
        <f t="shared" si="230"/>
        <v>2026-02</v>
      </c>
      <c r="W1817" s="1">
        <f>IF(AND(U1817="INCLUDED",X1817&gt;0,EXACT(A1817,'AI output'!A1817)),1,0)</f>
        <v>1</v>
      </c>
      <c r="X1817" s="1">
        <f>1817</f>
        <v>1817</v>
      </c>
      <c r="Y1817" s="1">
        <f>IF(AND(U1817="INCLUDED",W1817=1),--(NOT(EXACT(A1817,'AI output'!A1817)))+--(NOT(EXACT(B1817,'AI output'!B1817)))+--(NOT(EXACT(TEXT(G1817,"yyyy-mm-dd"),'AI output'!C1817)))+--(NOT(EXACT(H1817,'AI output'!D1817)))+--(NOT(EXACT(J1817,'AI output'!E1817)))+--(NOT(EXACT(K1817,'AI output'!F1817)))+--(N1817&lt;&gt;'AI output'!L1817)+--(NOT('AI output'!M1817)),0)</f>
        <v>0</v>
      </c>
      <c r="Z1817" s="1">
        <f t="shared" si="231"/>
        <v>0</v>
      </c>
      <c r="AA1817" s="1">
        <f>--EXACT(A1817,"L01811")</f>
        <v>1</v>
      </c>
    </row>
    <row r="1818" spans="1:27" ht="18.95" customHeight="1">
      <c r="A1818" s="1" t="str">
        <f>IF(Raw!A1818="","",Raw!A1818)</f>
        <v>L01812</v>
      </c>
      <c r="B1818" s="1" t="str">
        <f>IF(Raw!B1818="","",Raw!B1818)</f>
        <v>T00906</v>
      </c>
      <c r="C1818" s="1" t="str">
        <f>IF(Raw!C1818="","",Raw!C1818)</f>
        <v>2026-02-05</v>
      </c>
      <c r="D1818" s="1">
        <f t="shared" si="224"/>
        <v>2026</v>
      </c>
      <c r="E1818" s="1">
        <f>IFERROR(IF(AND(LEN(C1818)=10,MID(C1818,5,1)="-",MID(C1818,8,1)="-"),VALUE(MID(C1818,6,2)),IF(AND(LEN(C1818)=11,MID(C1818,3,1)="-",MID(C1818,7,1)="-"),MATCH(UPPER(MID(C1818,4,3)),Guide!$D$7:$D$18,0),0)),0)</f>
        <v>2</v>
      </c>
      <c r="F1818" s="1">
        <f t="shared" si="225"/>
        <v>5</v>
      </c>
      <c r="G1818" s="9">
        <f t="shared" si="226"/>
        <v>46058</v>
      </c>
      <c r="H1818" s="1" t="str">
        <f>IF(Raw!D1818="","",Raw!D1818)</f>
        <v>P-O</v>
      </c>
      <c r="I1818" s="1" t="str">
        <f>IFERROR(IF(EXACT(H1818,INDEX(Guide!$A$7:$A$9,MATCH(SUBSTITUTE(SUBSTITUTE(SUBSTITUTE(H1818,"~","~~"),"*","~*"),"?","~?"),Guide!$A$7:$A$9,0))),INDEX(Guide!$B$7:$B$9,MATCH(SUBSTITUTE(SUBSTITUTE(SUBSTITUTE(H1818,"~","~~"),"*","~*"),"?","~?"),Guide!$A$7:$A$9,0)),""),"")</f>
        <v>Office</v>
      </c>
      <c r="J1818" s="1" t="str">
        <f>IF(TRIM(Raw!E1818)="",I1818,IF(UPPER(TRIM(Raw!E1818))=UPPER(I1818),I1818,""))</f>
        <v>Office</v>
      </c>
      <c r="K1818" s="1" t="str">
        <f>IF(Raw!F1818="","",Raw!F1818)</f>
        <v>sale</v>
      </c>
      <c r="L1818" s="1" t="str">
        <f>IF(LEFT(TRIM(Raw!G1818),2)="-$","-"&amp;MID(TRIM(Raw!G1818),3,99),IF(LEFT(TRIM(Raw!G1818),1)="$",MID(TRIM(Raw!G1818),2,99),TRIM(Raw!G1818)))</f>
        <v>225.18</v>
      </c>
      <c r="M1818" s="1">
        <f t="shared" si="227"/>
        <v>225.18</v>
      </c>
      <c r="N1818" s="10">
        <f t="shared" si="228"/>
        <v>22518</v>
      </c>
      <c r="O1818" s="1" t="b">
        <f>IFERROR(IF(ISNUMBER(Raw!G1818),TRUE,OR(EXACT(L1818,TEXT(M1818,"0.00")),EXACT(L1818,TEXT(M1818,"#,##0.00")))),FALSE)</f>
        <v>1</v>
      </c>
      <c r="P1818" s="1" t="str">
        <f>LEN(IF(Raw!A1818="","",Raw!A1818))&amp;":"&amp;IF(Raw!A1818="","",Raw!A1818)&amp;"|"&amp;LEN(IF(Raw!B1818="","",Raw!B1818))&amp;":"&amp;IF(Raw!B1818="","",Raw!B1818)&amp;"|"&amp;LEN(IF(Raw!C1818="","",Raw!C1818))&amp;":"&amp;IF(Raw!C1818="","",Raw!C1818)&amp;"|"&amp;LEN(IF(Raw!D1818="","",Raw!D1818))&amp;":"&amp;IF(Raw!D1818="","",Raw!D1818)&amp;"|"&amp;LEN(IF(Raw!E1818="","",Raw!E1818))&amp;":"&amp;IF(Raw!E1818="","",Raw!E1818)&amp;"|"&amp;LEN(IF(Raw!F1818="","",Raw!F1818))&amp;":"&amp;IF(Raw!F1818="","",Raw!F1818)&amp;"|"&amp;LEN(IF(Raw!G1818="","",Raw!G1818))&amp;":"&amp;IF(Raw!G1818="","",Raw!G1818)</f>
        <v>6:L01812|6:T00906|10:2026-02-05|3:P-O|6:Office|4:sale|6:225.18</v>
      </c>
      <c r="Q1818" s="1">
        <f>1</f>
        <v>1</v>
      </c>
      <c r="R1818" s="1" t="b">
        <f>FALSE</f>
        <v>0</v>
      </c>
      <c r="S1818" s="1">
        <f>1</f>
        <v>1</v>
      </c>
      <c r="T1818" s="1" t="str">
        <f>IF(AND(Raw!A1818="",Raw!B1818="",Raw!C1818="",Raw!D1818="",Raw!E1818="",Raw!F1818="",Raw!G1818=""),"UNUSED",IF(A1818="","missing line ID",IF(B1818="","missing transaction ID",IF(G1818="",IF(C1818="","missing date","invalid date"),IF(I1818="","unknown product",IF(J1818="","conflicting category",IF(NOT(OR(EXACT(K1818,"sale"),EXACT(K1818,"refund"))),"unknown event",IF(OR(N1818="",NOT(O1818)),"invalid amount",IF(OR(AND(K1818="sale",N1818&lt;=0),AND(K1818="refund",N1818&gt;=0)),"invalid sign","")))))))))</f>
        <v/>
      </c>
      <c r="U1818" s="1" t="str">
        <f t="shared" si="229"/>
        <v>INCLUDED</v>
      </c>
      <c r="V1818" s="1" t="str">
        <f t="shared" si="230"/>
        <v>2026-02</v>
      </c>
      <c r="W1818" s="1">
        <f>IF(AND(U1818="INCLUDED",X1818&gt;0,EXACT(A1818,'AI output'!A1818)),1,0)</f>
        <v>1</v>
      </c>
      <c r="X1818" s="1">
        <f>1818</f>
        <v>1818</v>
      </c>
      <c r="Y1818" s="1">
        <f>IF(AND(U1818="INCLUDED",W1818=1),--(NOT(EXACT(A1818,'AI output'!A1818)))+--(NOT(EXACT(B1818,'AI output'!B1818)))+--(NOT(EXACT(TEXT(G1818,"yyyy-mm-dd"),'AI output'!C1818)))+--(NOT(EXACT(H1818,'AI output'!D1818)))+--(NOT(EXACT(J1818,'AI output'!E1818)))+--(NOT(EXACT(K1818,'AI output'!F1818)))+--(N1818&lt;&gt;'AI output'!L1818)+--(NOT('AI output'!M1818)),0)</f>
        <v>0</v>
      </c>
      <c r="Z1818" s="1">
        <f t="shared" si="231"/>
        <v>0</v>
      </c>
      <c r="AA1818" s="1">
        <f>--EXACT(A1818,"L01812")</f>
        <v>1</v>
      </c>
    </row>
    <row r="1819" spans="1:27" ht="18.95" customHeight="1">
      <c r="A1819" s="1" t="str">
        <f>IF(Raw!A1819="","",Raw!A1819)</f>
        <v>L01813</v>
      </c>
      <c r="B1819" s="1" t="str">
        <f>IF(Raw!B1819="","",Raw!B1819)</f>
        <v>T00907</v>
      </c>
      <c r="C1819" s="1" t="str">
        <f>IF(Raw!C1819="","",Raw!C1819)</f>
        <v>2026-02-12</v>
      </c>
      <c r="D1819" s="1">
        <f t="shared" si="224"/>
        <v>2026</v>
      </c>
      <c r="E1819" s="1">
        <f>IFERROR(IF(AND(LEN(C1819)=10,MID(C1819,5,1)="-",MID(C1819,8,1)="-"),VALUE(MID(C1819,6,2)),IF(AND(LEN(C1819)=11,MID(C1819,3,1)="-",MID(C1819,7,1)="-"),MATCH(UPPER(MID(C1819,4,3)),Guide!$D$7:$D$18,0),0)),0)</f>
        <v>2</v>
      </c>
      <c r="F1819" s="1">
        <f t="shared" si="225"/>
        <v>12</v>
      </c>
      <c r="G1819" s="9">
        <f t="shared" si="226"/>
        <v>46065</v>
      </c>
      <c r="H1819" s="1" t="str">
        <f>IF(Raw!D1819="","",Raw!D1819)</f>
        <v>P-A</v>
      </c>
      <c r="I1819" s="1" t="str">
        <f>IFERROR(IF(EXACT(H1819,INDEX(Guide!$A$7:$A$9,MATCH(SUBSTITUTE(SUBSTITUTE(SUBSTITUTE(H1819,"~","~~"),"*","~*"),"?","~?"),Guide!$A$7:$A$9,0))),INDEX(Guide!$B$7:$B$9,MATCH(SUBSTITUTE(SUBSTITUTE(SUBSTITUTE(H1819,"~","~~"),"*","~*"),"?","~?"),Guide!$A$7:$A$9,0)),""),"")</f>
        <v>Accessories</v>
      </c>
      <c r="J1819" s="1" t="str">
        <f>IF(TRIM(Raw!E1819)="",I1819,IF(UPPER(TRIM(Raw!E1819))=UPPER(I1819),I1819,""))</f>
        <v>Accessories</v>
      </c>
      <c r="K1819" s="1" t="str">
        <f>IF(Raw!F1819="","",Raw!F1819)</f>
        <v>sale</v>
      </c>
      <c r="L1819" s="1" t="str">
        <f>IF(LEFT(TRIM(Raw!G1819),2)="-$","-"&amp;MID(TRIM(Raw!G1819),3,99),IF(LEFT(TRIM(Raw!G1819),1)="$",MID(TRIM(Raw!G1819),2,99),TRIM(Raw!G1819)))</f>
        <v>377.15</v>
      </c>
      <c r="M1819" s="1">
        <f t="shared" si="227"/>
        <v>377.15</v>
      </c>
      <c r="N1819" s="10">
        <f t="shared" si="228"/>
        <v>37715</v>
      </c>
      <c r="O1819" s="1" t="b">
        <f>IFERROR(IF(ISNUMBER(Raw!G1819),TRUE,OR(EXACT(L1819,TEXT(M1819,"0.00")),EXACT(L1819,TEXT(M1819,"#,##0.00")))),FALSE)</f>
        <v>1</v>
      </c>
      <c r="P1819" s="1" t="str">
        <f>LEN(IF(Raw!A1819="","",Raw!A1819))&amp;":"&amp;IF(Raw!A1819="","",Raw!A1819)&amp;"|"&amp;LEN(IF(Raw!B1819="","",Raw!B1819))&amp;":"&amp;IF(Raw!B1819="","",Raw!B1819)&amp;"|"&amp;LEN(IF(Raw!C1819="","",Raw!C1819))&amp;":"&amp;IF(Raw!C1819="","",Raw!C1819)&amp;"|"&amp;LEN(IF(Raw!D1819="","",Raw!D1819))&amp;":"&amp;IF(Raw!D1819="","",Raw!D1819)&amp;"|"&amp;LEN(IF(Raw!E1819="","",Raw!E1819))&amp;":"&amp;IF(Raw!E1819="","",Raw!E1819)&amp;"|"&amp;LEN(IF(Raw!F1819="","",Raw!F1819))&amp;":"&amp;IF(Raw!F1819="","",Raw!F1819)&amp;"|"&amp;LEN(IF(Raw!G1819="","",Raw!G1819))&amp;":"&amp;IF(Raw!G1819="","",Raw!G1819)</f>
        <v>6:L01813|6:T00907|10:2026-02-12|3:P-A|11:Accessories|4:sale|6:377.15</v>
      </c>
      <c r="Q1819" s="1">
        <f>1</f>
        <v>1</v>
      </c>
      <c r="R1819" s="1" t="b">
        <f>FALSE</f>
        <v>0</v>
      </c>
      <c r="S1819" s="1">
        <f>1</f>
        <v>1</v>
      </c>
      <c r="T1819" s="1" t="str">
        <f>IF(AND(Raw!A1819="",Raw!B1819="",Raw!C1819="",Raw!D1819="",Raw!E1819="",Raw!F1819="",Raw!G1819=""),"UNUSED",IF(A1819="","missing line ID",IF(B1819="","missing transaction ID",IF(G1819="",IF(C1819="","missing date","invalid date"),IF(I1819="","unknown product",IF(J1819="","conflicting category",IF(NOT(OR(EXACT(K1819,"sale"),EXACT(K1819,"refund"))),"unknown event",IF(OR(N1819="",NOT(O1819)),"invalid amount",IF(OR(AND(K1819="sale",N1819&lt;=0),AND(K1819="refund",N1819&gt;=0)),"invalid sign","")))))))))</f>
        <v/>
      </c>
      <c r="U1819" s="1" t="str">
        <f t="shared" si="229"/>
        <v>INCLUDED</v>
      </c>
      <c r="V1819" s="1" t="str">
        <f t="shared" si="230"/>
        <v>2026-02</v>
      </c>
      <c r="W1819" s="1">
        <f>IF(AND(U1819="INCLUDED",X1819&gt;0,EXACT(A1819,'AI output'!A1819)),1,0)</f>
        <v>1</v>
      </c>
      <c r="X1819" s="1">
        <f>1819</f>
        <v>1819</v>
      </c>
      <c r="Y1819" s="1">
        <f>IF(AND(U1819="INCLUDED",W1819=1),--(NOT(EXACT(A1819,'AI output'!A1819)))+--(NOT(EXACT(B1819,'AI output'!B1819)))+--(NOT(EXACT(TEXT(G1819,"yyyy-mm-dd"),'AI output'!C1819)))+--(NOT(EXACT(H1819,'AI output'!D1819)))+--(NOT(EXACT(J1819,'AI output'!E1819)))+--(NOT(EXACT(K1819,'AI output'!F1819)))+--(N1819&lt;&gt;'AI output'!L1819)+--(NOT('AI output'!M1819)),0)</f>
        <v>0</v>
      </c>
      <c r="Z1819" s="1">
        <f t="shared" si="231"/>
        <v>0</v>
      </c>
      <c r="AA1819" s="1">
        <f>--EXACT(A1819,"L01813")</f>
        <v>1</v>
      </c>
    </row>
    <row r="1820" spans="1:27" ht="18.95" customHeight="1">
      <c r="A1820" s="1" t="str">
        <f>IF(Raw!A1820="","",Raw!A1820)</f>
        <v>L01814</v>
      </c>
      <c r="B1820" s="1" t="str">
        <f>IF(Raw!B1820="","",Raw!B1820)</f>
        <v>T00907</v>
      </c>
      <c r="C1820" s="1" t="str">
        <f>IF(Raw!C1820="","",Raw!C1820)</f>
        <v>2026-02-12</v>
      </c>
      <c r="D1820" s="1">
        <f t="shared" si="224"/>
        <v>2026</v>
      </c>
      <c r="E1820" s="1">
        <f>IFERROR(IF(AND(LEN(C1820)=10,MID(C1820,5,1)="-",MID(C1820,8,1)="-"),VALUE(MID(C1820,6,2)),IF(AND(LEN(C1820)=11,MID(C1820,3,1)="-",MID(C1820,7,1)="-"),MATCH(UPPER(MID(C1820,4,3)),Guide!$D$7:$D$18,0),0)),0)</f>
        <v>2</v>
      </c>
      <c r="F1820" s="1">
        <f t="shared" si="225"/>
        <v>12</v>
      </c>
      <c r="G1820" s="9">
        <f t="shared" si="226"/>
        <v>46065</v>
      </c>
      <c r="H1820" s="1" t="str">
        <f>IF(Raw!D1820="","",Raw!D1820)</f>
        <v>P-H</v>
      </c>
      <c r="I1820" s="1" t="str">
        <f>IFERROR(IF(EXACT(H1820,INDEX(Guide!$A$7:$A$9,MATCH(SUBSTITUTE(SUBSTITUTE(SUBSTITUTE(H1820,"~","~~"),"*","~*"),"?","~?"),Guide!$A$7:$A$9,0))),INDEX(Guide!$B$7:$B$9,MATCH(SUBSTITUTE(SUBSTITUTE(SUBSTITUTE(H1820,"~","~~"),"*","~*"),"?","~?"),Guide!$A$7:$A$9,0)),""),"")</f>
        <v>Home</v>
      </c>
      <c r="J1820" s="1" t="str">
        <f>IF(TRIM(Raw!E1820)="",I1820,IF(UPPER(TRIM(Raw!E1820))=UPPER(I1820),I1820,""))</f>
        <v>Home</v>
      </c>
      <c r="K1820" s="1" t="str">
        <f>IF(Raw!F1820="","",Raw!F1820)</f>
        <v>sale</v>
      </c>
      <c r="L1820" s="1" t="str">
        <f>IF(LEFT(TRIM(Raw!G1820),2)="-$","-"&amp;MID(TRIM(Raw!G1820),3,99),IF(LEFT(TRIM(Raw!G1820),1)="$",MID(TRIM(Raw!G1820),2,99),TRIM(Raw!G1820)))</f>
        <v>151.60</v>
      </c>
      <c r="M1820" s="1">
        <f t="shared" si="227"/>
        <v>151.6</v>
      </c>
      <c r="N1820" s="10">
        <f t="shared" si="228"/>
        <v>15160</v>
      </c>
      <c r="O1820" s="1" t="b">
        <f>IFERROR(IF(ISNUMBER(Raw!G1820),TRUE,OR(EXACT(L1820,TEXT(M1820,"0.00")),EXACT(L1820,TEXT(M1820,"#,##0.00")))),FALSE)</f>
        <v>1</v>
      </c>
      <c r="P1820" s="1" t="str">
        <f>LEN(IF(Raw!A1820="","",Raw!A1820))&amp;":"&amp;IF(Raw!A1820="","",Raw!A1820)&amp;"|"&amp;LEN(IF(Raw!B1820="","",Raw!B1820))&amp;":"&amp;IF(Raw!B1820="","",Raw!B1820)&amp;"|"&amp;LEN(IF(Raw!C1820="","",Raw!C1820))&amp;":"&amp;IF(Raw!C1820="","",Raw!C1820)&amp;"|"&amp;LEN(IF(Raw!D1820="","",Raw!D1820))&amp;":"&amp;IF(Raw!D1820="","",Raw!D1820)&amp;"|"&amp;LEN(IF(Raw!E1820="","",Raw!E1820))&amp;":"&amp;IF(Raw!E1820="","",Raw!E1820)&amp;"|"&amp;LEN(IF(Raw!F1820="","",Raw!F1820))&amp;":"&amp;IF(Raw!F1820="","",Raw!F1820)&amp;"|"&amp;LEN(IF(Raw!G1820="","",Raw!G1820))&amp;":"&amp;IF(Raw!G1820="","",Raw!G1820)</f>
        <v>6:L01814|6:T00907|10:2026-02-12|3:P-H|4:Home|4:sale|6:151.60</v>
      </c>
      <c r="Q1820" s="1">
        <f>1</f>
        <v>1</v>
      </c>
      <c r="R1820" s="1" t="b">
        <f>FALSE</f>
        <v>0</v>
      </c>
      <c r="S1820" s="1">
        <f>1</f>
        <v>1</v>
      </c>
      <c r="T1820" s="1" t="str">
        <f>IF(AND(Raw!A1820="",Raw!B1820="",Raw!C1820="",Raw!D1820="",Raw!E1820="",Raw!F1820="",Raw!G1820=""),"UNUSED",IF(A1820="","missing line ID",IF(B1820="","missing transaction ID",IF(G1820="",IF(C1820="","missing date","invalid date"),IF(I1820="","unknown product",IF(J1820="","conflicting category",IF(NOT(OR(EXACT(K1820,"sale"),EXACT(K1820,"refund"))),"unknown event",IF(OR(N1820="",NOT(O1820)),"invalid amount",IF(OR(AND(K1820="sale",N1820&lt;=0),AND(K1820="refund",N1820&gt;=0)),"invalid sign","")))))))))</f>
        <v/>
      </c>
      <c r="U1820" s="1" t="str">
        <f t="shared" si="229"/>
        <v>INCLUDED</v>
      </c>
      <c r="V1820" s="1" t="str">
        <f t="shared" si="230"/>
        <v>2026-02</v>
      </c>
      <c r="W1820" s="1">
        <f>IF(AND(U1820="INCLUDED",X1820&gt;0,EXACT(A1820,'AI output'!A1820)),1,0)</f>
        <v>1</v>
      </c>
      <c r="X1820" s="1">
        <f>1820</f>
        <v>1820</v>
      </c>
      <c r="Y1820" s="1">
        <f>IF(AND(U1820="INCLUDED",W1820=1),--(NOT(EXACT(A1820,'AI output'!A1820)))+--(NOT(EXACT(B1820,'AI output'!B1820)))+--(NOT(EXACT(TEXT(G1820,"yyyy-mm-dd"),'AI output'!C1820)))+--(NOT(EXACT(H1820,'AI output'!D1820)))+--(NOT(EXACT(J1820,'AI output'!E1820)))+--(NOT(EXACT(K1820,'AI output'!F1820)))+--(N1820&lt;&gt;'AI output'!L1820)+--(NOT('AI output'!M1820)),0)</f>
        <v>0</v>
      </c>
      <c r="Z1820" s="1">
        <f t="shared" si="231"/>
        <v>0</v>
      </c>
      <c r="AA1820" s="1">
        <f>--EXACT(A1820,"L01814")</f>
        <v>1</v>
      </c>
    </row>
    <row r="1821" spans="1:27" ht="18.95" customHeight="1">
      <c r="A1821" s="1" t="str">
        <f>IF(Raw!A1821="","",Raw!A1821)</f>
        <v>L01815</v>
      </c>
      <c r="B1821" s="1" t="str">
        <f>IF(Raw!B1821="","",Raw!B1821)</f>
        <v>T00908</v>
      </c>
      <c r="C1821" s="1" t="str">
        <f>IF(Raw!C1821="","",Raw!C1821)</f>
        <v>2026-02-19</v>
      </c>
      <c r="D1821" s="1">
        <f t="shared" si="224"/>
        <v>2026</v>
      </c>
      <c r="E1821" s="1">
        <f>IFERROR(IF(AND(LEN(C1821)=10,MID(C1821,5,1)="-",MID(C1821,8,1)="-"),VALUE(MID(C1821,6,2)),IF(AND(LEN(C1821)=11,MID(C1821,3,1)="-",MID(C1821,7,1)="-"),MATCH(UPPER(MID(C1821,4,3)),Guide!$D$7:$D$18,0),0)),0)</f>
        <v>2</v>
      </c>
      <c r="F1821" s="1">
        <f t="shared" si="225"/>
        <v>19</v>
      </c>
      <c r="G1821" s="9">
        <f t="shared" si="226"/>
        <v>46072</v>
      </c>
      <c r="H1821" s="1" t="str">
        <f>IF(Raw!D1821="","",Raw!D1821)</f>
        <v>P-O</v>
      </c>
      <c r="I1821" s="1" t="str">
        <f>IFERROR(IF(EXACT(H1821,INDEX(Guide!$A$7:$A$9,MATCH(SUBSTITUTE(SUBSTITUTE(SUBSTITUTE(H1821,"~","~~"),"*","~*"),"?","~?"),Guide!$A$7:$A$9,0))),INDEX(Guide!$B$7:$B$9,MATCH(SUBSTITUTE(SUBSTITUTE(SUBSTITUTE(H1821,"~","~~"),"*","~*"),"?","~?"),Guide!$A$7:$A$9,0)),""),"")</f>
        <v>Office</v>
      </c>
      <c r="J1821" s="1" t="str">
        <f>IF(TRIM(Raw!E1821)="",I1821,IF(UPPER(TRIM(Raw!E1821))=UPPER(I1821),I1821,""))</f>
        <v>Office</v>
      </c>
      <c r="K1821" s="1" t="str">
        <f>IF(Raw!F1821="","",Raw!F1821)</f>
        <v>sale</v>
      </c>
      <c r="L1821" s="1" t="str">
        <f>IF(LEFT(TRIM(Raw!G1821),2)="-$","-"&amp;MID(TRIM(Raw!G1821),3,99),IF(LEFT(TRIM(Raw!G1821),1)="$",MID(TRIM(Raw!G1821),2,99),TRIM(Raw!G1821)))</f>
        <v>304.68</v>
      </c>
      <c r="M1821" s="1">
        <f t="shared" si="227"/>
        <v>304.68</v>
      </c>
      <c r="N1821" s="10">
        <f t="shared" si="228"/>
        <v>30468</v>
      </c>
      <c r="O1821" s="1" t="b">
        <f>IFERROR(IF(ISNUMBER(Raw!G1821),TRUE,OR(EXACT(L1821,TEXT(M1821,"0.00")),EXACT(L1821,TEXT(M1821,"#,##0.00")))),FALSE)</f>
        <v>1</v>
      </c>
      <c r="P1821" s="1" t="str">
        <f>LEN(IF(Raw!A1821="","",Raw!A1821))&amp;":"&amp;IF(Raw!A1821="","",Raw!A1821)&amp;"|"&amp;LEN(IF(Raw!B1821="","",Raw!B1821))&amp;":"&amp;IF(Raw!B1821="","",Raw!B1821)&amp;"|"&amp;LEN(IF(Raw!C1821="","",Raw!C1821))&amp;":"&amp;IF(Raw!C1821="","",Raw!C1821)&amp;"|"&amp;LEN(IF(Raw!D1821="","",Raw!D1821))&amp;":"&amp;IF(Raw!D1821="","",Raw!D1821)&amp;"|"&amp;LEN(IF(Raw!E1821="","",Raw!E1821))&amp;":"&amp;IF(Raw!E1821="","",Raw!E1821)&amp;"|"&amp;LEN(IF(Raw!F1821="","",Raw!F1821))&amp;":"&amp;IF(Raw!F1821="","",Raw!F1821)&amp;"|"&amp;LEN(IF(Raw!G1821="","",Raw!G1821))&amp;":"&amp;IF(Raw!G1821="","",Raw!G1821)</f>
        <v>6:L01815|6:T00908|10:2026-02-19|3:P-O|6:Office|4:sale|6:304.68</v>
      </c>
      <c r="Q1821" s="1">
        <f>1</f>
        <v>1</v>
      </c>
      <c r="R1821" s="1" t="b">
        <f>FALSE</f>
        <v>0</v>
      </c>
      <c r="S1821" s="1">
        <f>1</f>
        <v>1</v>
      </c>
      <c r="T1821" s="1" t="str">
        <f>IF(AND(Raw!A1821="",Raw!B1821="",Raw!C1821="",Raw!D1821="",Raw!E1821="",Raw!F1821="",Raw!G1821=""),"UNUSED",IF(A1821="","missing line ID",IF(B1821="","missing transaction ID",IF(G1821="",IF(C1821="","missing date","invalid date"),IF(I1821="","unknown product",IF(J1821="","conflicting category",IF(NOT(OR(EXACT(K1821,"sale"),EXACT(K1821,"refund"))),"unknown event",IF(OR(N1821="",NOT(O1821)),"invalid amount",IF(OR(AND(K1821="sale",N1821&lt;=0),AND(K1821="refund",N1821&gt;=0)),"invalid sign","")))))))))</f>
        <v/>
      </c>
      <c r="U1821" s="1" t="str">
        <f t="shared" si="229"/>
        <v>INCLUDED</v>
      </c>
      <c r="V1821" s="1" t="str">
        <f t="shared" si="230"/>
        <v>2026-02</v>
      </c>
      <c r="W1821" s="1">
        <f>IF(AND(U1821="INCLUDED",X1821&gt;0,EXACT(A1821,'AI output'!A1821)),1,0)</f>
        <v>1</v>
      </c>
      <c r="X1821" s="1">
        <f>1821</f>
        <v>1821</v>
      </c>
      <c r="Y1821" s="1">
        <f>IF(AND(U1821="INCLUDED",W1821=1),--(NOT(EXACT(A1821,'AI output'!A1821)))+--(NOT(EXACT(B1821,'AI output'!B1821)))+--(NOT(EXACT(TEXT(G1821,"yyyy-mm-dd"),'AI output'!C1821)))+--(NOT(EXACT(H1821,'AI output'!D1821)))+--(NOT(EXACT(J1821,'AI output'!E1821)))+--(NOT(EXACT(K1821,'AI output'!F1821)))+--(N1821&lt;&gt;'AI output'!L1821)+--(NOT('AI output'!M1821)),0)</f>
        <v>0</v>
      </c>
      <c r="Z1821" s="1">
        <f t="shared" si="231"/>
        <v>0</v>
      </c>
      <c r="AA1821" s="1">
        <f>--EXACT(A1821,"L01815")</f>
        <v>1</v>
      </c>
    </row>
    <row r="1822" spans="1:27" ht="18.95" customHeight="1">
      <c r="A1822" s="1" t="str">
        <f>IF(Raw!A1822="","",Raw!A1822)</f>
        <v>L01816</v>
      </c>
      <c r="B1822" s="1" t="str">
        <f>IF(Raw!B1822="","",Raw!B1822)</f>
        <v>T00908</v>
      </c>
      <c r="C1822" s="1" t="str">
        <f>IF(Raw!C1822="","",Raw!C1822)</f>
        <v>2026-02-19</v>
      </c>
      <c r="D1822" s="1">
        <f t="shared" si="224"/>
        <v>2026</v>
      </c>
      <c r="E1822" s="1">
        <f>IFERROR(IF(AND(LEN(C1822)=10,MID(C1822,5,1)="-",MID(C1822,8,1)="-"),VALUE(MID(C1822,6,2)),IF(AND(LEN(C1822)=11,MID(C1822,3,1)="-",MID(C1822,7,1)="-"),MATCH(UPPER(MID(C1822,4,3)),Guide!$D$7:$D$18,0),0)),0)</f>
        <v>2</v>
      </c>
      <c r="F1822" s="1">
        <f t="shared" si="225"/>
        <v>19</v>
      </c>
      <c r="G1822" s="9">
        <f t="shared" si="226"/>
        <v>46072</v>
      </c>
      <c r="H1822" s="1" t="str">
        <f>IF(Raw!D1822="","",Raw!D1822)</f>
        <v>P-A</v>
      </c>
      <c r="I1822" s="1" t="str">
        <f>IFERROR(IF(EXACT(H1822,INDEX(Guide!$A$7:$A$9,MATCH(SUBSTITUTE(SUBSTITUTE(SUBSTITUTE(H1822,"~","~~"),"*","~*"),"?","~?"),Guide!$A$7:$A$9,0))),INDEX(Guide!$B$7:$B$9,MATCH(SUBSTITUTE(SUBSTITUTE(SUBSTITUTE(H1822,"~","~~"),"*","~*"),"?","~?"),Guide!$A$7:$A$9,0)),""),"")</f>
        <v>Accessories</v>
      </c>
      <c r="J1822" s="1" t="str">
        <f>IF(TRIM(Raw!E1822)="",I1822,IF(UPPER(TRIM(Raw!E1822))=UPPER(I1822),I1822,""))</f>
        <v>Accessories</v>
      </c>
      <c r="K1822" s="1" t="str">
        <f>IF(Raw!F1822="","",Raw!F1822)</f>
        <v>sale</v>
      </c>
      <c r="L1822" s="1" t="str">
        <f>IF(LEFT(TRIM(Raw!G1822),2)="-$","-"&amp;MID(TRIM(Raw!G1822),3,99),IF(LEFT(TRIM(Raw!G1822),1)="$",MID(TRIM(Raw!G1822),2,99),TRIM(Raw!G1822)))</f>
        <v>76.54</v>
      </c>
      <c r="M1822" s="1">
        <f t="shared" si="227"/>
        <v>76.540000000000006</v>
      </c>
      <c r="N1822" s="10">
        <f t="shared" si="228"/>
        <v>7654</v>
      </c>
      <c r="O1822" s="1" t="b">
        <f>IFERROR(IF(ISNUMBER(Raw!G1822),TRUE,OR(EXACT(L1822,TEXT(M1822,"0.00")),EXACT(L1822,TEXT(M1822,"#,##0.00")))),FALSE)</f>
        <v>1</v>
      </c>
      <c r="P1822" s="1" t="str">
        <f>LEN(IF(Raw!A1822="","",Raw!A1822))&amp;":"&amp;IF(Raw!A1822="","",Raw!A1822)&amp;"|"&amp;LEN(IF(Raw!B1822="","",Raw!B1822))&amp;":"&amp;IF(Raw!B1822="","",Raw!B1822)&amp;"|"&amp;LEN(IF(Raw!C1822="","",Raw!C1822))&amp;":"&amp;IF(Raw!C1822="","",Raw!C1822)&amp;"|"&amp;LEN(IF(Raw!D1822="","",Raw!D1822))&amp;":"&amp;IF(Raw!D1822="","",Raw!D1822)&amp;"|"&amp;LEN(IF(Raw!E1822="","",Raw!E1822))&amp;":"&amp;IF(Raw!E1822="","",Raw!E1822)&amp;"|"&amp;LEN(IF(Raw!F1822="","",Raw!F1822))&amp;":"&amp;IF(Raw!F1822="","",Raw!F1822)&amp;"|"&amp;LEN(IF(Raw!G1822="","",Raw!G1822))&amp;":"&amp;IF(Raw!G1822="","",Raw!G1822)</f>
        <v>6:L01816|6:T00908|10:2026-02-19|3:P-A|11:Accessories|4:sale|5:76.54</v>
      </c>
      <c r="Q1822" s="1">
        <f>1</f>
        <v>1</v>
      </c>
      <c r="R1822" s="1" t="b">
        <f>FALSE</f>
        <v>0</v>
      </c>
      <c r="S1822" s="1">
        <f>1</f>
        <v>1</v>
      </c>
      <c r="T1822" s="1" t="str">
        <f>IF(AND(Raw!A1822="",Raw!B1822="",Raw!C1822="",Raw!D1822="",Raw!E1822="",Raw!F1822="",Raw!G1822=""),"UNUSED",IF(A1822="","missing line ID",IF(B1822="","missing transaction ID",IF(G1822="",IF(C1822="","missing date","invalid date"),IF(I1822="","unknown product",IF(J1822="","conflicting category",IF(NOT(OR(EXACT(K1822,"sale"),EXACT(K1822,"refund"))),"unknown event",IF(OR(N1822="",NOT(O1822)),"invalid amount",IF(OR(AND(K1822="sale",N1822&lt;=0),AND(K1822="refund",N1822&gt;=0)),"invalid sign","")))))))))</f>
        <v/>
      </c>
      <c r="U1822" s="1" t="str">
        <f t="shared" si="229"/>
        <v>INCLUDED</v>
      </c>
      <c r="V1822" s="1" t="str">
        <f t="shared" si="230"/>
        <v>2026-02</v>
      </c>
      <c r="W1822" s="1">
        <f>IF(AND(U1822="INCLUDED",X1822&gt;0,EXACT(A1822,'AI output'!A1822)),1,0)</f>
        <v>1</v>
      </c>
      <c r="X1822" s="1">
        <f>1822</f>
        <v>1822</v>
      </c>
      <c r="Y1822" s="1">
        <f>IF(AND(U1822="INCLUDED",W1822=1),--(NOT(EXACT(A1822,'AI output'!A1822)))+--(NOT(EXACT(B1822,'AI output'!B1822)))+--(NOT(EXACT(TEXT(G1822,"yyyy-mm-dd"),'AI output'!C1822)))+--(NOT(EXACT(H1822,'AI output'!D1822)))+--(NOT(EXACT(J1822,'AI output'!E1822)))+--(NOT(EXACT(K1822,'AI output'!F1822)))+--(N1822&lt;&gt;'AI output'!L1822)+--(NOT('AI output'!M1822)),0)</f>
        <v>0</v>
      </c>
      <c r="Z1822" s="1">
        <f t="shared" si="231"/>
        <v>0</v>
      </c>
      <c r="AA1822" s="1">
        <f>--EXACT(A1822,"L01816")</f>
        <v>1</v>
      </c>
    </row>
    <row r="1823" spans="1:27" ht="18.95" customHeight="1">
      <c r="A1823" s="1" t="str">
        <f>IF(Raw!A1823="","",Raw!A1823)</f>
        <v>L01817</v>
      </c>
      <c r="B1823" s="1" t="str">
        <f>IF(Raw!B1823="","",Raw!B1823)</f>
        <v>T00909</v>
      </c>
      <c r="C1823" s="1" t="str">
        <f>IF(Raw!C1823="","",Raw!C1823)</f>
        <v>2026-02-26</v>
      </c>
      <c r="D1823" s="1">
        <f t="shared" si="224"/>
        <v>2026</v>
      </c>
      <c r="E1823" s="1">
        <f>IFERROR(IF(AND(LEN(C1823)=10,MID(C1823,5,1)="-",MID(C1823,8,1)="-"),VALUE(MID(C1823,6,2)),IF(AND(LEN(C1823)=11,MID(C1823,3,1)="-",MID(C1823,7,1)="-"),MATCH(UPPER(MID(C1823,4,3)),Guide!$D$7:$D$18,0),0)),0)</f>
        <v>2</v>
      </c>
      <c r="F1823" s="1">
        <f t="shared" si="225"/>
        <v>26</v>
      </c>
      <c r="G1823" s="9">
        <f t="shared" si="226"/>
        <v>46079</v>
      </c>
      <c r="H1823" s="1" t="str">
        <f>IF(Raw!D1823="","",Raw!D1823)</f>
        <v>P-H</v>
      </c>
      <c r="I1823" s="1" t="str">
        <f>IFERROR(IF(EXACT(H1823,INDEX(Guide!$A$7:$A$9,MATCH(SUBSTITUTE(SUBSTITUTE(SUBSTITUTE(H1823,"~","~~"),"*","~*"),"?","~?"),Guide!$A$7:$A$9,0))),INDEX(Guide!$B$7:$B$9,MATCH(SUBSTITUTE(SUBSTITUTE(SUBSTITUTE(H1823,"~","~~"),"*","~*"),"?","~?"),Guide!$A$7:$A$9,0)),""),"")</f>
        <v>Home</v>
      </c>
      <c r="J1823" s="1" t="str">
        <f>IF(TRIM(Raw!E1823)="",I1823,IF(UPPER(TRIM(Raw!E1823))=UPPER(I1823),I1823,""))</f>
        <v>Home</v>
      </c>
      <c r="K1823" s="1" t="str">
        <f>IF(Raw!F1823="","",Raw!F1823)</f>
        <v>sale</v>
      </c>
      <c r="L1823" s="1" t="str">
        <f>IF(LEFT(TRIM(Raw!G1823),2)="-$","-"&amp;MID(TRIM(Raw!G1823),3,99),IF(LEFT(TRIM(Raw!G1823),1)="$",MID(TRIM(Raw!G1823),2,99),TRIM(Raw!G1823)))</f>
        <v>230.73</v>
      </c>
      <c r="M1823" s="1">
        <f t="shared" si="227"/>
        <v>230.73</v>
      </c>
      <c r="N1823" s="10">
        <f t="shared" si="228"/>
        <v>23073</v>
      </c>
      <c r="O1823" s="1" t="b">
        <f>IFERROR(IF(ISNUMBER(Raw!G1823),TRUE,OR(EXACT(L1823,TEXT(M1823,"0.00")),EXACT(L1823,TEXT(M1823,"#,##0.00")))),FALSE)</f>
        <v>1</v>
      </c>
      <c r="P1823" s="1" t="str">
        <f>LEN(IF(Raw!A1823="","",Raw!A1823))&amp;":"&amp;IF(Raw!A1823="","",Raw!A1823)&amp;"|"&amp;LEN(IF(Raw!B1823="","",Raw!B1823))&amp;":"&amp;IF(Raw!B1823="","",Raw!B1823)&amp;"|"&amp;LEN(IF(Raw!C1823="","",Raw!C1823))&amp;":"&amp;IF(Raw!C1823="","",Raw!C1823)&amp;"|"&amp;LEN(IF(Raw!D1823="","",Raw!D1823))&amp;":"&amp;IF(Raw!D1823="","",Raw!D1823)&amp;"|"&amp;LEN(IF(Raw!E1823="","",Raw!E1823))&amp;":"&amp;IF(Raw!E1823="","",Raw!E1823)&amp;"|"&amp;LEN(IF(Raw!F1823="","",Raw!F1823))&amp;":"&amp;IF(Raw!F1823="","",Raw!F1823)&amp;"|"&amp;LEN(IF(Raw!G1823="","",Raw!G1823))&amp;":"&amp;IF(Raw!G1823="","",Raw!G1823)</f>
        <v>6:L01817|6:T00909|10:2026-02-26|3:P-H|4:Home|4:sale|6:230.73</v>
      </c>
      <c r="Q1823" s="1">
        <f>1</f>
        <v>1</v>
      </c>
      <c r="R1823" s="1" t="b">
        <f>FALSE</f>
        <v>0</v>
      </c>
      <c r="S1823" s="1">
        <f>1</f>
        <v>1</v>
      </c>
      <c r="T1823" s="1" t="str">
        <f>IF(AND(Raw!A1823="",Raw!B1823="",Raw!C1823="",Raw!D1823="",Raw!E1823="",Raw!F1823="",Raw!G1823=""),"UNUSED",IF(A1823="","missing line ID",IF(B1823="","missing transaction ID",IF(G1823="",IF(C1823="","missing date","invalid date"),IF(I1823="","unknown product",IF(J1823="","conflicting category",IF(NOT(OR(EXACT(K1823,"sale"),EXACT(K1823,"refund"))),"unknown event",IF(OR(N1823="",NOT(O1823)),"invalid amount",IF(OR(AND(K1823="sale",N1823&lt;=0),AND(K1823="refund",N1823&gt;=0)),"invalid sign","")))))))))</f>
        <v/>
      </c>
      <c r="U1823" s="1" t="str">
        <f t="shared" si="229"/>
        <v>INCLUDED</v>
      </c>
      <c r="V1823" s="1" t="str">
        <f t="shared" si="230"/>
        <v>2026-02</v>
      </c>
      <c r="W1823" s="1">
        <f>IF(AND(U1823="INCLUDED",X1823&gt;0,EXACT(A1823,'AI output'!A1823)),1,0)</f>
        <v>1</v>
      </c>
      <c r="X1823" s="1">
        <f>1823</f>
        <v>1823</v>
      </c>
      <c r="Y1823" s="1">
        <f>IF(AND(U1823="INCLUDED",W1823=1),--(NOT(EXACT(A1823,'AI output'!A1823)))+--(NOT(EXACT(B1823,'AI output'!B1823)))+--(NOT(EXACT(TEXT(G1823,"yyyy-mm-dd"),'AI output'!C1823)))+--(NOT(EXACT(H1823,'AI output'!D1823)))+--(NOT(EXACT(J1823,'AI output'!E1823)))+--(NOT(EXACT(K1823,'AI output'!F1823)))+--(N1823&lt;&gt;'AI output'!L1823)+--(NOT('AI output'!M1823)),0)</f>
        <v>0</v>
      </c>
      <c r="Z1823" s="1">
        <f t="shared" si="231"/>
        <v>0</v>
      </c>
      <c r="AA1823" s="1">
        <f>--EXACT(A1823,"L01817")</f>
        <v>1</v>
      </c>
    </row>
    <row r="1824" spans="1:27" ht="18.95" customHeight="1">
      <c r="A1824" s="1" t="str">
        <f>IF(Raw!A1824="","",Raw!A1824)</f>
        <v>L01818</v>
      </c>
      <c r="B1824" s="1" t="str">
        <f>IF(Raw!B1824="","",Raw!B1824)</f>
        <v>T00909</v>
      </c>
      <c r="C1824" s="1" t="str">
        <f>IF(Raw!C1824="","",Raw!C1824)</f>
        <v>2026-02-26</v>
      </c>
      <c r="D1824" s="1">
        <f t="shared" si="224"/>
        <v>2026</v>
      </c>
      <c r="E1824" s="1">
        <f>IFERROR(IF(AND(LEN(C1824)=10,MID(C1824,5,1)="-",MID(C1824,8,1)="-"),VALUE(MID(C1824,6,2)),IF(AND(LEN(C1824)=11,MID(C1824,3,1)="-",MID(C1824,7,1)="-"),MATCH(UPPER(MID(C1824,4,3)),Guide!$D$7:$D$18,0),0)),0)</f>
        <v>2</v>
      </c>
      <c r="F1824" s="1">
        <f t="shared" si="225"/>
        <v>26</v>
      </c>
      <c r="G1824" s="9">
        <f t="shared" si="226"/>
        <v>46079</v>
      </c>
      <c r="H1824" s="1" t="str">
        <f>IF(Raw!D1824="","",Raw!D1824)</f>
        <v>P-O</v>
      </c>
      <c r="I1824" s="1" t="str">
        <f>IFERROR(IF(EXACT(H1824,INDEX(Guide!$A$7:$A$9,MATCH(SUBSTITUTE(SUBSTITUTE(SUBSTITUTE(H1824,"~","~~"),"*","~*"),"?","~?"),Guide!$A$7:$A$9,0))),INDEX(Guide!$B$7:$B$9,MATCH(SUBSTITUTE(SUBSTITUTE(SUBSTITUTE(H1824,"~","~~"),"*","~*"),"?","~?"),Guide!$A$7:$A$9,0)),""),"")</f>
        <v>Office</v>
      </c>
      <c r="J1824" s="1" t="str">
        <f>IF(TRIM(Raw!E1824)="",I1824,IF(UPPER(TRIM(Raw!E1824))=UPPER(I1824),I1824,""))</f>
        <v>Office</v>
      </c>
      <c r="K1824" s="1" t="str">
        <f>IF(Raw!F1824="","",Raw!F1824)</f>
        <v>refund</v>
      </c>
      <c r="L1824" s="1" t="str">
        <f>IF(LEFT(TRIM(Raw!G1824),2)="-$","-"&amp;MID(TRIM(Raw!G1824),3,99),IF(LEFT(TRIM(Raw!G1824),1)="$",MID(TRIM(Raw!G1824),2,99),TRIM(Raw!G1824)))</f>
        <v>-386.40</v>
      </c>
      <c r="M1824" s="1">
        <f t="shared" si="227"/>
        <v>-386.4</v>
      </c>
      <c r="N1824" s="10">
        <f t="shared" si="228"/>
        <v>-38640</v>
      </c>
      <c r="O1824" s="1" t="b">
        <f>IFERROR(IF(ISNUMBER(Raw!G1824),TRUE,OR(EXACT(L1824,TEXT(M1824,"0.00")),EXACT(L1824,TEXT(M1824,"#,##0.00")))),FALSE)</f>
        <v>1</v>
      </c>
      <c r="P1824" s="1" t="str">
        <f>LEN(IF(Raw!A1824="","",Raw!A1824))&amp;":"&amp;IF(Raw!A1824="","",Raw!A1824)&amp;"|"&amp;LEN(IF(Raw!B1824="","",Raw!B1824))&amp;":"&amp;IF(Raw!B1824="","",Raw!B1824)&amp;"|"&amp;LEN(IF(Raw!C1824="","",Raw!C1824))&amp;":"&amp;IF(Raw!C1824="","",Raw!C1824)&amp;"|"&amp;LEN(IF(Raw!D1824="","",Raw!D1824))&amp;":"&amp;IF(Raw!D1824="","",Raw!D1824)&amp;"|"&amp;LEN(IF(Raw!E1824="","",Raw!E1824))&amp;":"&amp;IF(Raw!E1824="","",Raw!E1824)&amp;"|"&amp;LEN(IF(Raw!F1824="","",Raw!F1824))&amp;":"&amp;IF(Raw!F1824="","",Raw!F1824)&amp;"|"&amp;LEN(IF(Raw!G1824="","",Raw!G1824))&amp;":"&amp;IF(Raw!G1824="","",Raw!G1824)</f>
        <v>6:L01818|6:T00909|10:2026-02-26|3:P-O|6:Office|6:refund|7:-386.40</v>
      </c>
      <c r="Q1824" s="1">
        <f>1</f>
        <v>1</v>
      </c>
      <c r="R1824" s="1" t="b">
        <f>FALSE</f>
        <v>0</v>
      </c>
      <c r="S1824" s="1">
        <f>1</f>
        <v>1</v>
      </c>
      <c r="T1824" s="1" t="str">
        <f>IF(AND(Raw!A1824="",Raw!B1824="",Raw!C1824="",Raw!D1824="",Raw!E1824="",Raw!F1824="",Raw!G1824=""),"UNUSED",IF(A1824="","missing line ID",IF(B1824="","missing transaction ID",IF(G1824="",IF(C1824="","missing date","invalid date"),IF(I1824="","unknown product",IF(J1824="","conflicting category",IF(NOT(OR(EXACT(K1824,"sale"),EXACT(K1824,"refund"))),"unknown event",IF(OR(N1824="",NOT(O1824)),"invalid amount",IF(OR(AND(K1824="sale",N1824&lt;=0),AND(K1824="refund",N1824&gt;=0)),"invalid sign","")))))))))</f>
        <v/>
      </c>
      <c r="U1824" s="1" t="str">
        <f t="shared" si="229"/>
        <v>INCLUDED</v>
      </c>
      <c r="V1824" s="1" t="str">
        <f t="shared" si="230"/>
        <v>2026-02</v>
      </c>
      <c r="W1824" s="1">
        <f>IF(AND(U1824="INCLUDED",X1824&gt;0,EXACT(A1824,'AI output'!A1824)),1,0)</f>
        <v>1</v>
      </c>
      <c r="X1824" s="1">
        <f>1824</f>
        <v>1824</v>
      </c>
      <c r="Y1824" s="1">
        <f>IF(AND(U1824="INCLUDED",W1824=1),--(NOT(EXACT(A1824,'AI output'!A1824)))+--(NOT(EXACT(B1824,'AI output'!B1824)))+--(NOT(EXACT(TEXT(G1824,"yyyy-mm-dd"),'AI output'!C1824)))+--(NOT(EXACT(H1824,'AI output'!D1824)))+--(NOT(EXACT(J1824,'AI output'!E1824)))+--(NOT(EXACT(K1824,'AI output'!F1824)))+--(N1824&lt;&gt;'AI output'!L1824)+--(NOT('AI output'!M1824)),0)</f>
        <v>0</v>
      </c>
      <c r="Z1824" s="1">
        <f t="shared" si="231"/>
        <v>0</v>
      </c>
      <c r="AA1824" s="1">
        <f>--EXACT(A1824,"L01818")</f>
        <v>1</v>
      </c>
    </row>
    <row r="1825" spans="1:27" ht="18.95" customHeight="1">
      <c r="A1825" s="1" t="str">
        <f>IF(Raw!A1825="","",Raw!A1825)</f>
        <v>L01819</v>
      </c>
      <c r="B1825" s="1" t="str">
        <f>IF(Raw!B1825="","",Raw!B1825)</f>
        <v>T00910</v>
      </c>
      <c r="C1825" s="1" t="str">
        <f>IF(Raw!C1825="","",Raw!C1825)</f>
        <v>2026-03-05</v>
      </c>
      <c r="D1825" s="1">
        <f t="shared" si="224"/>
        <v>2026</v>
      </c>
      <c r="E1825" s="1">
        <f>IFERROR(IF(AND(LEN(C1825)=10,MID(C1825,5,1)="-",MID(C1825,8,1)="-"),VALUE(MID(C1825,6,2)),IF(AND(LEN(C1825)=11,MID(C1825,3,1)="-",MID(C1825,7,1)="-"),MATCH(UPPER(MID(C1825,4,3)),Guide!$D$7:$D$18,0),0)),0)</f>
        <v>3</v>
      </c>
      <c r="F1825" s="1">
        <f t="shared" si="225"/>
        <v>5</v>
      </c>
      <c r="G1825" s="9">
        <f t="shared" si="226"/>
        <v>46086</v>
      </c>
      <c r="H1825" s="1" t="str">
        <f>IF(Raw!D1825="","",Raw!D1825)</f>
        <v>P-A</v>
      </c>
      <c r="I1825" s="1" t="str">
        <f>IFERROR(IF(EXACT(H1825,INDEX(Guide!$A$7:$A$9,MATCH(SUBSTITUTE(SUBSTITUTE(SUBSTITUTE(H1825,"~","~~"),"*","~*"),"?","~?"),Guide!$A$7:$A$9,0))),INDEX(Guide!$B$7:$B$9,MATCH(SUBSTITUTE(SUBSTITUTE(SUBSTITUTE(H1825,"~","~~"),"*","~*"),"?","~?"),Guide!$A$7:$A$9,0)),""),"")</f>
        <v>Accessories</v>
      </c>
      <c r="J1825" s="1" t="str">
        <f>IF(TRIM(Raw!E1825)="",I1825,IF(UPPER(TRIM(Raw!E1825))=UPPER(I1825),I1825,""))</f>
        <v>Accessories</v>
      </c>
      <c r="K1825" s="1" t="str">
        <f>IF(Raw!F1825="","",Raw!F1825)</f>
        <v>sale</v>
      </c>
      <c r="L1825" s="1" t="str">
        <f>IF(LEFT(TRIM(Raw!G1825),2)="-$","-"&amp;MID(TRIM(Raw!G1825),3,99),IF(LEFT(TRIM(Raw!G1825),1)="$",MID(TRIM(Raw!G1825),2,99),TRIM(Raw!G1825)))</f>
        <v>155.30</v>
      </c>
      <c r="M1825" s="1">
        <f t="shared" si="227"/>
        <v>155.30000000000001</v>
      </c>
      <c r="N1825" s="10">
        <f t="shared" si="228"/>
        <v>15530</v>
      </c>
      <c r="O1825" s="1" t="b">
        <f>IFERROR(IF(ISNUMBER(Raw!G1825),TRUE,OR(EXACT(L1825,TEXT(M1825,"0.00")),EXACT(L1825,TEXT(M1825,"#,##0.00")))),FALSE)</f>
        <v>1</v>
      </c>
      <c r="P1825" s="1" t="str">
        <f>LEN(IF(Raw!A1825="","",Raw!A1825))&amp;":"&amp;IF(Raw!A1825="","",Raw!A1825)&amp;"|"&amp;LEN(IF(Raw!B1825="","",Raw!B1825))&amp;":"&amp;IF(Raw!B1825="","",Raw!B1825)&amp;"|"&amp;LEN(IF(Raw!C1825="","",Raw!C1825))&amp;":"&amp;IF(Raw!C1825="","",Raw!C1825)&amp;"|"&amp;LEN(IF(Raw!D1825="","",Raw!D1825))&amp;":"&amp;IF(Raw!D1825="","",Raw!D1825)&amp;"|"&amp;LEN(IF(Raw!E1825="","",Raw!E1825))&amp;":"&amp;IF(Raw!E1825="","",Raw!E1825)&amp;"|"&amp;LEN(IF(Raw!F1825="","",Raw!F1825))&amp;":"&amp;IF(Raw!F1825="","",Raw!F1825)&amp;"|"&amp;LEN(IF(Raw!G1825="","",Raw!G1825))&amp;":"&amp;IF(Raw!G1825="","",Raw!G1825)</f>
        <v>6:L01819|6:T00910|10:2026-03-05|3:P-A|11:Accessories|4:sale|6:155.30</v>
      </c>
      <c r="Q1825" s="1">
        <f>1</f>
        <v>1</v>
      </c>
      <c r="R1825" s="1" t="b">
        <f>FALSE</f>
        <v>0</v>
      </c>
      <c r="S1825" s="1">
        <f>1</f>
        <v>1</v>
      </c>
      <c r="T1825" s="1" t="str">
        <f>IF(AND(Raw!A1825="",Raw!B1825="",Raw!C1825="",Raw!D1825="",Raw!E1825="",Raw!F1825="",Raw!G1825=""),"UNUSED",IF(A1825="","missing line ID",IF(B1825="","missing transaction ID",IF(G1825="",IF(C1825="","missing date","invalid date"),IF(I1825="","unknown product",IF(J1825="","conflicting category",IF(NOT(OR(EXACT(K1825,"sale"),EXACT(K1825,"refund"))),"unknown event",IF(OR(N1825="",NOT(O1825)),"invalid amount",IF(OR(AND(K1825="sale",N1825&lt;=0),AND(K1825="refund",N1825&gt;=0)),"invalid sign","")))))))))</f>
        <v/>
      </c>
      <c r="U1825" s="1" t="str">
        <f t="shared" si="229"/>
        <v>INCLUDED</v>
      </c>
      <c r="V1825" s="1" t="str">
        <f t="shared" si="230"/>
        <v>2026-03</v>
      </c>
      <c r="W1825" s="1">
        <f>IF(AND(U1825="INCLUDED",X1825&gt;0,EXACT(A1825,'AI output'!A1825)),1,0)</f>
        <v>1</v>
      </c>
      <c r="X1825" s="1">
        <f>1825</f>
        <v>1825</v>
      </c>
      <c r="Y1825" s="1">
        <f>IF(AND(U1825="INCLUDED",W1825=1),--(NOT(EXACT(A1825,'AI output'!A1825)))+--(NOT(EXACT(B1825,'AI output'!B1825)))+--(NOT(EXACT(TEXT(G1825,"yyyy-mm-dd"),'AI output'!C1825)))+--(NOT(EXACT(H1825,'AI output'!D1825)))+--(NOT(EXACT(J1825,'AI output'!E1825)))+--(NOT(EXACT(K1825,'AI output'!F1825)))+--(N1825&lt;&gt;'AI output'!L1825)+--(NOT('AI output'!M1825)),0)</f>
        <v>0</v>
      </c>
      <c r="Z1825" s="1">
        <f t="shared" si="231"/>
        <v>0</v>
      </c>
      <c r="AA1825" s="1">
        <f>--EXACT(A1825,"L01819")</f>
        <v>1</v>
      </c>
    </row>
    <row r="1826" spans="1:27" ht="18.95" customHeight="1">
      <c r="A1826" s="1" t="str">
        <f>IF(Raw!A1826="","",Raw!A1826)</f>
        <v>L01820</v>
      </c>
      <c r="B1826" s="1" t="str">
        <f>IF(Raw!B1826="","",Raw!B1826)</f>
        <v>T00910</v>
      </c>
      <c r="C1826" s="1" t="str">
        <f>IF(Raw!C1826="","",Raw!C1826)</f>
        <v>2026-03-05</v>
      </c>
      <c r="D1826" s="1">
        <f t="shared" si="224"/>
        <v>2026</v>
      </c>
      <c r="E1826" s="1">
        <f>IFERROR(IF(AND(LEN(C1826)=10,MID(C1826,5,1)="-",MID(C1826,8,1)="-"),VALUE(MID(C1826,6,2)),IF(AND(LEN(C1826)=11,MID(C1826,3,1)="-",MID(C1826,7,1)="-"),MATCH(UPPER(MID(C1826,4,3)),Guide!$D$7:$D$18,0),0)),0)</f>
        <v>3</v>
      </c>
      <c r="F1826" s="1">
        <f t="shared" si="225"/>
        <v>5</v>
      </c>
      <c r="G1826" s="9">
        <f t="shared" si="226"/>
        <v>46086</v>
      </c>
      <c r="H1826" s="1" t="str">
        <f>IF(Raw!D1826="","",Raw!D1826)</f>
        <v>P-H</v>
      </c>
      <c r="I1826" s="1" t="str">
        <f>IFERROR(IF(EXACT(H1826,INDEX(Guide!$A$7:$A$9,MATCH(SUBSTITUTE(SUBSTITUTE(SUBSTITUTE(H1826,"~","~~"),"*","~*"),"?","~?"),Guide!$A$7:$A$9,0))),INDEX(Guide!$B$7:$B$9,MATCH(SUBSTITUTE(SUBSTITUTE(SUBSTITUTE(H1826,"~","~~"),"*","~*"),"?","~?"),Guide!$A$7:$A$9,0)),""),"")</f>
        <v>Home</v>
      </c>
      <c r="J1826" s="1" t="str">
        <f>IF(TRIM(Raw!E1826)="",I1826,IF(UPPER(TRIM(Raw!E1826))=UPPER(I1826),I1826,""))</f>
        <v>Home</v>
      </c>
      <c r="K1826" s="1" t="str">
        <f>IF(Raw!F1826="","",Raw!F1826)</f>
        <v>sale</v>
      </c>
      <c r="L1826" s="1" t="str">
        <f>IF(LEFT(TRIM(Raw!G1826),2)="-$","-"&amp;MID(TRIM(Raw!G1826),3,99),IF(LEFT(TRIM(Raw!G1826),1)="$",MID(TRIM(Raw!G1826),2,99),TRIM(Raw!G1826)))</f>
        <v>312.08</v>
      </c>
      <c r="M1826" s="1">
        <f t="shared" si="227"/>
        <v>312.08</v>
      </c>
      <c r="N1826" s="10">
        <f t="shared" si="228"/>
        <v>31208</v>
      </c>
      <c r="O1826" s="1" t="b">
        <f>IFERROR(IF(ISNUMBER(Raw!G1826),TRUE,OR(EXACT(L1826,TEXT(M1826,"0.00")),EXACT(L1826,TEXT(M1826,"#,##0.00")))),FALSE)</f>
        <v>1</v>
      </c>
      <c r="P1826" s="1" t="str">
        <f>LEN(IF(Raw!A1826="","",Raw!A1826))&amp;":"&amp;IF(Raw!A1826="","",Raw!A1826)&amp;"|"&amp;LEN(IF(Raw!B1826="","",Raw!B1826))&amp;":"&amp;IF(Raw!B1826="","",Raw!B1826)&amp;"|"&amp;LEN(IF(Raw!C1826="","",Raw!C1826))&amp;":"&amp;IF(Raw!C1826="","",Raw!C1826)&amp;"|"&amp;LEN(IF(Raw!D1826="","",Raw!D1826))&amp;":"&amp;IF(Raw!D1826="","",Raw!D1826)&amp;"|"&amp;LEN(IF(Raw!E1826="","",Raw!E1826))&amp;":"&amp;IF(Raw!E1826="","",Raw!E1826)&amp;"|"&amp;LEN(IF(Raw!F1826="","",Raw!F1826))&amp;":"&amp;IF(Raw!F1826="","",Raw!F1826)&amp;"|"&amp;LEN(IF(Raw!G1826="","",Raw!G1826))&amp;":"&amp;IF(Raw!G1826="","",Raw!G1826)</f>
        <v>6:L01820|6:T00910|10:2026-03-05|3:P-H|4:Home|4:sale|6:312.08</v>
      </c>
      <c r="Q1826" s="1">
        <f>1</f>
        <v>1</v>
      </c>
      <c r="R1826" s="1" t="b">
        <f>FALSE</f>
        <v>0</v>
      </c>
      <c r="S1826" s="1">
        <f>1</f>
        <v>1</v>
      </c>
      <c r="T1826" s="1" t="str">
        <f>IF(AND(Raw!A1826="",Raw!B1826="",Raw!C1826="",Raw!D1826="",Raw!E1826="",Raw!F1826="",Raw!G1826=""),"UNUSED",IF(A1826="","missing line ID",IF(B1826="","missing transaction ID",IF(G1826="",IF(C1826="","missing date","invalid date"),IF(I1826="","unknown product",IF(J1826="","conflicting category",IF(NOT(OR(EXACT(K1826,"sale"),EXACT(K1826,"refund"))),"unknown event",IF(OR(N1826="",NOT(O1826)),"invalid amount",IF(OR(AND(K1826="sale",N1826&lt;=0),AND(K1826="refund",N1826&gt;=0)),"invalid sign","")))))))))</f>
        <v/>
      </c>
      <c r="U1826" s="1" t="str">
        <f t="shared" si="229"/>
        <v>INCLUDED</v>
      </c>
      <c r="V1826" s="1" t="str">
        <f t="shared" si="230"/>
        <v>2026-03</v>
      </c>
      <c r="W1826" s="1">
        <f>IF(AND(U1826="INCLUDED",X1826&gt;0,EXACT(A1826,'AI output'!A1826)),1,0)</f>
        <v>1</v>
      </c>
      <c r="X1826" s="1">
        <f>1826</f>
        <v>1826</v>
      </c>
      <c r="Y1826" s="1">
        <f>IF(AND(U1826="INCLUDED",W1826=1),--(NOT(EXACT(A1826,'AI output'!A1826)))+--(NOT(EXACT(B1826,'AI output'!B1826)))+--(NOT(EXACT(TEXT(G1826,"yyyy-mm-dd"),'AI output'!C1826)))+--(NOT(EXACT(H1826,'AI output'!D1826)))+--(NOT(EXACT(J1826,'AI output'!E1826)))+--(NOT(EXACT(K1826,'AI output'!F1826)))+--(N1826&lt;&gt;'AI output'!L1826)+--(NOT('AI output'!M1826)),0)</f>
        <v>0</v>
      </c>
      <c r="Z1826" s="1">
        <f t="shared" si="231"/>
        <v>0</v>
      </c>
      <c r="AA1826" s="1">
        <f>--EXACT(A1826,"L01820")</f>
        <v>1</v>
      </c>
    </row>
    <row r="1827" spans="1:27" ht="18.95" customHeight="1">
      <c r="A1827" s="1" t="str">
        <f>IF(Raw!A1827="","",Raw!A1827)</f>
        <v>L01821</v>
      </c>
      <c r="B1827" s="1" t="str">
        <f>IF(Raw!B1827="","",Raw!B1827)</f>
        <v>T00911</v>
      </c>
      <c r="C1827" s="1" t="str">
        <f>IF(Raw!C1827="","",Raw!C1827)</f>
        <v>2026-03-12</v>
      </c>
      <c r="D1827" s="1">
        <f t="shared" si="224"/>
        <v>2026</v>
      </c>
      <c r="E1827" s="1">
        <f>IFERROR(IF(AND(LEN(C1827)=10,MID(C1827,5,1)="-",MID(C1827,8,1)="-"),VALUE(MID(C1827,6,2)),IF(AND(LEN(C1827)=11,MID(C1827,3,1)="-",MID(C1827,7,1)="-"),MATCH(UPPER(MID(C1827,4,3)),Guide!$D$7:$D$18,0),0)),0)</f>
        <v>3</v>
      </c>
      <c r="F1827" s="1">
        <f t="shared" si="225"/>
        <v>12</v>
      </c>
      <c r="G1827" s="9">
        <f t="shared" si="226"/>
        <v>46093</v>
      </c>
      <c r="H1827" s="1" t="str">
        <f>IF(Raw!D1827="","",Raw!D1827)</f>
        <v>P-O</v>
      </c>
      <c r="I1827" s="1" t="str">
        <f>IFERROR(IF(EXACT(H1827,INDEX(Guide!$A$7:$A$9,MATCH(SUBSTITUTE(SUBSTITUTE(SUBSTITUTE(H1827,"~","~~"),"*","~*"),"?","~?"),Guide!$A$7:$A$9,0))),INDEX(Guide!$B$7:$B$9,MATCH(SUBSTITUTE(SUBSTITUTE(SUBSTITUTE(H1827,"~","~~"),"*","~*"),"?","~?"),Guide!$A$7:$A$9,0)),""),"")</f>
        <v>Office</v>
      </c>
      <c r="J1827" s="1" t="str">
        <f>IF(TRIM(Raw!E1827)="",I1827,IF(UPPER(TRIM(Raw!E1827))=UPPER(I1827),I1827,""))</f>
        <v>Office</v>
      </c>
      <c r="K1827" s="1" t="str">
        <f>IF(Raw!F1827="","",Raw!F1827)</f>
        <v>sale</v>
      </c>
      <c r="L1827" s="1" t="str">
        <f>IF(LEFT(TRIM(Raw!G1827),2)="-$","-"&amp;MID(TRIM(Raw!G1827),3,99),IF(LEFT(TRIM(Raw!G1827),1)="$",MID(TRIM(Raw!G1827),2,99),TRIM(Raw!G1827)))</f>
        <v>78.39</v>
      </c>
      <c r="M1827" s="1">
        <f t="shared" si="227"/>
        <v>78.39</v>
      </c>
      <c r="N1827" s="10">
        <f t="shared" si="228"/>
        <v>7839</v>
      </c>
      <c r="O1827" s="1" t="b">
        <f>IFERROR(IF(ISNUMBER(Raw!G1827),TRUE,OR(EXACT(L1827,TEXT(M1827,"0.00")),EXACT(L1827,TEXT(M1827,"#,##0.00")))),FALSE)</f>
        <v>1</v>
      </c>
      <c r="P1827" s="1" t="str">
        <f>LEN(IF(Raw!A1827="","",Raw!A1827))&amp;":"&amp;IF(Raw!A1827="","",Raw!A1827)&amp;"|"&amp;LEN(IF(Raw!B1827="","",Raw!B1827))&amp;":"&amp;IF(Raw!B1827="","",Raw!B1827)&amp;"|"&amp;LEN(IF(Raw!C1827="","",Raw!C1827))&amp;":"&amp;IF(Raw!C1827="","",Raw!C1827)&amp;"|"&amp;LEN(IF(Raw!D1827="","",Raw!D1827))&amp;":"&amp;IF(Raw!D1827="","",Raw!D1827)&amp;"|"&amp;LEN(IF(Raw!E1827="","",Raw!E1827))&amp;":"&amp;IF(Raw!E1827="","",Raw!E1827)&amp;"|"&amp;LEN(IF(Raw!F1827="","",Raw!F1827))&amp;":"&amp;IF(Raw!F1827="","",Raw!F1827)&amp;"|"&amp;LEN(IF(Raw!G1827="","",Raw!G1827))&amp;":"&amp;IF(Raw!G1827="","",Raw!G1827)</f>
        <v>6:L01821|6:T00911|10:2026-03-12|3:P-O|6:Office|4:sale|5:78.39</v>
      </c>
      <c r="Q1827" s="1">
        <f>1</f>
        <v>1</v>
      </c>
      <c r="R1827" s="1" t="b">
        <f>FALSE</f>
        <v>0</v>
      </c>
      <c r="S1827" s="1">
        <f>1</f>
        <v>1</v>
      </c>
      <c r="T1827" s="1" t="str">
        <f>IF(AND(Raw!A1827="",Raw!B1827="",Raw!C1827="",Raw!D1827="",Raw!E1827="",Raw!F1827="",Raw!G1827=""),"UNUSED",IF(A1827="","missing line ID",IF(B1827="","missing transaction ID",IF(G1827="",IF(C1827="","missing date","invalid date"),IF(I1827="","unknown product",IF(J1827="","conflicting category",IF(NOT(OR(EXACT(K1827,"sale"),EXACT(K1827,"refund"))),"unknown event",IF(OR(N1827="",NOT(O1827)),"invalid amount",IF(OR(AND(K1827="sale",N1827&lt;=0),AND(K1827="refund",N1827&gt;=0)),"invalid sign","")))))))))</f>
        <v/>
      </c>
      <c r="U1827" s="1" t="str">
        <f t="shared" si="229"/>
        <v>INCLUDED</v>
      </c>
      <c r="V1827" s="1" t="str">
        <f t="shared" si="230"/>
        <v>2026-03</v>
      </c>
      <c r="W1827" s="1">
        <f>IF(AND(U1827="INCLUDED",X1827&gt;0,EXACT(A1827,'AI output'!A1827)),1,0)</f>
        <v>1</v>
      </c>
      <c r="X1827" s="1">
        <f>1827</f>
        <v>1827</v>
      </c>
      <c r="Y1827" s="1">
        <f>IF(AND(U1827="INCLUDED",W1827=1),--(NOT(EXACT(A1827,'AI output'!A1827)))+--(NOT(EXACT(B1827,'AI output'!B1827)))+--(NOT(EXACT(TEXT(G1827,"yyyy-mm-dd"),'AI output'!C1827)))+--(NOT(EXACT(H1827,'AI output'!D1827)))+--(NOT(EXACT(J1827,'AI output'!E1827)))+--(NOT(EXACT(K1827,'AI output'!F1827)))+--(N1827&lt;&gt;'AI output'!L1827)+--(NOT('AI output'!M1827)),0)</f>
        <v>0</v>
      </c>
      <c r="Z1827" s="1">
        <f t="shared" si="231"/>
        <v>0</v>
      </c>
      <c r="AA1827" s="1">
        <f>--EXACT(A1827,"L01821")</f>
        <v>1</v>
      </c>
    </row>
    <row r="1828" spans="1:27" ht="18.95" customHeight="1">
      <c r="A1828" s="1" t="str">
        <f>IF(Raw!A1828="","",Raw!A1828)</f>
        <v>L01822</v>
      </c>
      <c r="B1828" s="1" t="str">
        <f>IF(Raw!B1828="","",Raw!B1828)</f>
        <v>T00911</v>
      </c>
      <c r="C1828" s="1" t="str">
        <f>IF(Raw!C1828="","",Raw!C1828)</f>
        <v>2026-03-12</v>
      </c>
      <c r="D1828" s="1">
        <f t="shared" si="224"/>
        <v>2026</v>
      </c>
      <c r="E1828" s="1">
        <f>IFERROR(IF(AND(LEN(C1828)=10,MID(C1828,5,1)="-",MID(C1828,8,1)="-"),VALUE(MID(C1828,6,2)),IF(AND(LEN(C1828)=11,MID(C1828,3,1)="-",MID(C1828,7,1)="-"),MATCH(UPPER(MID(C1828,4,3)),Guide!$D$7:$D$18,0),0)),0)</f>
        <v>3</v>
      </c>
      <c r="F1828" s="1">
        <f t="shared" si="225"/>
        <v>12</v>
      </c>
      <c r="G1828" s="9">
        <f t="shared" si="226"/>
        <v>46093</v>
      </c>
      <c r="H1828" s="1" t="str">
        <f>IF(Raw!D1828="","",Raw!D1828)</f>
        <v>P-A</v>
      </c>
      <c r="I1828" s="1" t="str">
        <f>IFERROR(IF(EXACT(H1828,INDEX(Guide!$A$7:$A$9,MATCH(SUBSTITUTE(SUBSTITUTE(SUBSTITUTE(H1828,"~","~~"),"*","~*"),"?","~?"),Guide!$A$7:$A$9,0))),INDEX(Guide!$B$7:$B$9,MATCH(SUBSTITUTE(SUBSTITUTE(SUBSTITUTE(H1828,"~","~~"),"*","~*"),"?","~?"),Guide!$A$7:$A$9,0)),""),"")</f>
        <v>Accessories</v>
      </c>
      <c r="J1828" s="1" t="str">
        <f>IF(TRIM(Raw!E1828)="",I1828,IF(UPPER(TRIM(Raw!E1828))=UPPER(I1828),I1828,""))</f>
        <v>Accessories</v>
      </c>
      <c r="K1828" s="1" t="str">
        <f>IF(Raw!F1828="","",Raw!F1828)</f>
        <v>sale</v>
      </c>
      <c r="L1828" s="1" t="str">
        <f>IF(LEFT(TRIM(Raw!G1828),2)="-$","-"&amp;MID(TRIM(Raw!G1828),3,99),IF(LEFT(TRIM(Raw!G1828),1)="$",MID(TRIM(Raw!G1828),2,99),TRIM(Raw!G1828)))</f>
        <v>236.28</v>
      </c>
      <c r="M1828" s="1">
        <f t="shared" si="227"/>
        <v>236.28</v>
      </c>
      <c r="N1828" s="10">
        <f t="shared" si="228"/>
        <v>23628</v>
      </c>
      <c r="O1828" s="1" t="b">
        <f>IFERROR(IF(ISNUMBER(Raw!G1828),TRUE,OR(EXACT(L1828,TEXT(M1828,"0.00")),EXACT(L1828,TEXT(M1828,"#,##0.00")))),FALSE)</f>
        <v>1</v>
      </c>
      <c r="P1828" s="1" t="str">
        <f>LEN(IF(Raw!A1828="","",Raw!A1828))&amp;":"&amp;IF(Raw!A1828="","",Raw!A1828)&amp;"|"&amp;LEN(IF(Raw!B1828="","",Raw!B1828))&amp;":"&amp;IF(Raw!B1828="","",Raw!B1828)&amp;"|"&amp;LEN(IF(Raw!C1828="","",Raw!C1828))&amp;":"&amp;IF(Raw!C1828="","",Raw!C1828)&amp;"|"&amp;LEN(IF(Raw!D1828="","",Raw!D1828))&amp;":"&amp;IF(Raw!D1828="","",Raw!D1828)&amp;"|"&amp;LEN(IF(Raw!E1828="","",Raw!E1828))&amp;":"&amp;IF(Raw!E1828="","",Raw!E1828)&amp;"|"&amp;LEN(IF(Raw!F1828="","",Raw!F1828))&amp;":"&amp;IF(Raw!F1828="","",Raw!F1828)&amp;"|"&amp;LEN(IF(Raw!G1828="","",Raw!G1828))&amp;":"&amp;IF(Raw!G1828="","",Raw!G1828)</f>
        <v>6:L01822|6:T00911|10:2026-03-12|3:P-A|11:Accessories|4:sale|6:236.28</v>
      </c>
      <c r="Q1828" s="1">
        <f>1</f>
        <v>1</v>
      </c>
      <c r="R1828" s="1" t="b">
        <f>FALSE</f>
        <v>0</v>
      </c>
      <c r="S1828" s="1">
        <f>1</f>
        <v>1</v>
      </c>
      <c r="T1828" s="1" t="str">
        <f>IF(AND(Raw!A1828="",Raw!B1828="",Raw!C1828="",Raw!D1828="",Raw!E1828="",Raw!F1828="",Raw!G1828=""),"UNUSED",IF(A1828="","missing line ID",IF(B1828="","missing transaction ID",IF(G1828="",IF(C1828="","missing date","invalid date"),IF(I1828="","unknown product",IF(J1828="","conflicting category",IF(NOT(OR(EXACT(K1828,"sale"),EXACT(K1828,"refund"))),"unknown event",IF(OR(N1828="",NOT(O1828)),"invalid amount",IF(OR(AND(K1828="sale",N1828&lt;=0),AND(K1828="refund",N1828&gt;=0)),"invalid sign","")))))))))</f>
        <v/>
      </c>
      <c r="U1828" s="1" t="str">
        <f t="shared" si="229"/>
        <v>INCLUDED</v>
      </c>
      <c r="V1828" s="1" t="str">
        <f t="shared" si="230"/>
        <v>2026-03</v>
      </c>
      <c r="W1828" s="1">
        <f>IF(AND(U1828="INCLUDED",X1828&gt;0,EXACT(A1828,'AI output'!A1828)),1,0)</f>
        <v>1</v>
      </c>
      <c r="X1828" s="1">
        <f>1828</f>
        <v>1828</v>
      </c>
      <c r="Y1828" s="1">
        <f>IF(AND(U1828="INCLUDED",W1828=1),--(NOT(EXACT(A1828,'AI output'!A1828)))+--(NOT(EXACT(B1828,'AI output'!B1828)))+--(NOT(EXACT(TEXT(G1828,"yyyy-mm-dd"),'AI output'!C1828)))+--(NOT(EXACT(H1828,'AI output'!D1828)))+--(NOT(EXACT(J1828,'AI output'!E1828)))+--(NOT(EXACT(K1828,'AI output'!F1828)))+--(N1828&lt;&gt;'AI output'!L1828)+--(NOT('AI output'!M1828)),0)</f>
        <v>0</v>
      </c>
      <c r="Z1828" s="1">
        <f t="shared" si="231"/>
        <v>0</v>
      </c>
      <c r="AA1828" s="1">
        <f>--EXACT(A1828,"L01822")</f>
        <v>1</v>
      </c>
    </row>
    <row r="1829" spans="1:27" ht="18.95" customHeight="1">
      <c r="A1829" s="1" t="str">
        <f>IF(Raw!A1829="","",Raw!A1829)</f>
        <v>L01823</v>
      </c>
      <c r="B1829" s="1" t="str">
        <f>IF(Raw!B1829="","",Raw!B1829)</f>
        <v>T00912</v>
      </c>
      <c r="C1829" s="1" t="str">
        <f>IF(Raw!C1829="","",Raw!C1829)</f>
        <v>2026-03-19</v>
      </c>
      <c r="D1829" s="1">
        <f t="shared" si="224"/>
        <v>2026</v>
      </c>
      <c r="E1829" s="1">
        <f>IFERROR(IF(AND(LEN(C1829)=10,MID(C1829,5,1)="-",MID(C1829,8,1)="-"),VALUE(MID(C1829,6,2)),IF(AND(LEN(C1829)=11,MID(C1829,3,1)="-",MID(C1829,7,1)="-"),MATCH(UPPER(MID(C1829,4,3)),Guide!$D$7:$D$18,0),0)),0)</f>
        <v>3</v>
      </c>
      <c r="F1829" s="1">
        <f t="shared" si="225"/>
        <v>19</v>
      </c>
      <c r="G1829" s="9">
        <f t="shared" si="226"/>
        <v>46100</v>
      </c>
      <c r="H1829" s="1" t="str">
        <f>IF(Raw!D1829="","",Raw!D1829)</f>
        <v>P-H</v>
      </c>
      <c r="I1829" s="1" t="str">
        <f>IFERROR(IF(EXACT(H1829,INDEX(Guide!$A$7:$A$9,MATCH(SUBSTITUTE(SUBSTITUTE(SUBSTITUTE(H1829,"~","~~"),"*","~*"),"?","~?"),Guide!$A$7:$A$9,0))),INDEX(Guide!$B$7:$B$9,MATCH(SUBSTITUTE(SUBSTITUTE(SUBSTITUTE(H1829,"~","~~"),"*","~*"),"?","~?"),Guide!$A$7:$A$9,0)),""),"")</f>
        <v>Home</v>
      </c>
      <c r="J1829" s="1" t="str">
        <f>IF(TRIM(Raw!E1829)="",I1829,IF(UPPER(TRIM(Raw!E1829))=UPPER(I1829),I1829,""))</f>
        <v>Home</v>
      </c>
      <c r="K1829" s="1" t="str">
        <f>IF(Raw!F1829="","",Raw!F1829)</f>
        <v>sale</v>
      </c>
      <c r="L1829" s="1" t="str">
        <f>IF(LEFT(TRIM(Raw!G1829),2)="-$","-"&amp;MID(TRIM(Raw!G1829),3,99),IF(LEFT(TRIM(Raw!G1829),1)="$",MID(TRIM(Raw!G1829),2,99),TRIM(Raw!G1829)))</f>
        <v>395.65</v>
      </c>
      <c r="M1829" s="1">
        <f t="shared" si="227"/>
        <v>395.65</v>
      </c>
      <c r="N1829" s="10">
        <f t="shared" si="228"/>
        <v>39565</v>
      </c>
      <c r="O1829" s="1" t="b">
        <f>IFERROR(IF(ISNUMBER(Raw!G1829),TRUE,OR(EXACT(L1829,TEXT(M1829,"0.00")),EXACT(L1829,TEXT(M1829,"#,##0.00")))),FALSE)</f>
        <v>1</v>
      </c>
      <c r="P1829" s="1" t="str">
        <f>LEN(IF(Raw!A1829="","",Raw!A1829))&amp;":"&amp;IF(Raw!A1829="","",Raw!A1829)&amp;"|"&amp;LEN(IF(Raw!B1829="","",Raw!B1829))&amp;":"&amp;IF(Raw!B1829="","",Raw!B1829)&amp;"|"&amp;LEN(IF(Raw!C1829="","",Raw!C1829))&amp;":"&amp;IF(Raw!C1829="","",Raw!C1829)&amp;"|"&amp;LEN(IF(Raw!D1829="","",Raw!D1829))&amp;":"&amp;IF(Raw!D1829="","",Raw!D1829)&amp;"|"&amp;LEN(IF(Raw!E1829="","",Raw!E1829))&amp;":"&amp;IF(Raw!E1829="","",Raw!E1829)&amp;"|"&amp;LEN(IF(Raw!F1829="","",Raw!F1829))&amp;":"&amp;IF(Raw!F1829="","",Raw!F1829)&amp;"|"&amp;LEN(IF(Raw!G1829="","",Raw!G1829))&amp;":"&amp;IF(Raw!G1829="","",Raw!G1829)</f>
        <v>6:L01823|6:T00912|10:2026-03-19|3:P-H|4:Home|4:sale|6:395.65</v>
      </c>
      <c r="Q1829" s="1">
        <f>1</f>
        <v>1</v>
      </c>
      <c r="R1829" s="1" t="b">
        <f>FALSE</f>
        <v>0</v>
      </c>
      <c r="S1829" s="1">
        <f>1</f>
        <v>1</v>
      </c>
      <c r="T1829" s="1" t="str">
        <f>IF(AND(Raw!A1829="",Raw!B1829="",Raw!C1829="",Raw!D1829="",Raw!E1829="",Raw!F1829="",Raw!G1829=""),"UNUSED",IF(A1829="","missing line ID",IF(B1829="","missing transaction ID",IF(G1829="",IF(C1829="","missing date","invalid date"),IF(I1829="","unknown product",IF(J1829="","conflicting category",IF(NOT(OR(EXACT(K1829,"sale"),EXACT(K1829,"refund"))),"unknown event",IF(OR(N1829="",NOT(O1829)),"invalid amount",IF(OR(AND(K1829="sale",N1829&lt;=0),AND(K1829="refund",N1829&gt;=0)),"invalid sign","")))))))))</f>
        <v/>
      </c>
      <c r="U1829" s="1" t="str">
        <f t="shared" si="229"/>
        <v>INCLUDED</v>
      </c>
      <c r="V1829" s="1" t="str">
        <f t="shared" si="230"/>
        <v>2026-03</v>
      </c>
      <c r="W1829" s="1">
        <f>IF(AND(U1829="INCLUDED",X1829&gt;0,EXACT(A1829,'AI output'!A1829)),1,0)</f>
        <v>1</v>
      </c>
      <c r="X1829" s="1">
        <f>1829</f>
        <v>1829</v>
      </c>
      <c r="Y1829" s="1">
        <f>IF(AND(U1829="INCLUDED",W1829=1),--(NOT(EXACT(A1829,'AI output'!A1829)))+--(NOT(EXACT(B1829,'AI output'!B1829)))+--(NOT(EXACT(TEXT(G1829,"yyyy-mm-dd"),'AI output'!C1829)))+--(NOT(EXACT(H1829,'AI output'!D1829)))+--(NOT(EXACT(J1829,'AI output'!E1829)))+--(NOT(EXACT(K1829,'AI output'!F1829)))+--(N1829&lt;&gt;'AI output'!L1829)+--(NOT('AI output'!M1829)),0)</f>
        <v>0</v>
      </c>
      <c r="Z1829" s="1">
        <f t="shared" si="231"/>
        <v>0</v>
      </c>
      <c r="AA1829" s="1">
        <f>--EXACT(A1829,"L01823")</f>
        <v>1</v>
      </c>
    </row>
    <row r="1830" spans="1:27" ht="18.95" customHeight="1">
      <c r="A1830" s="1" t="str">
        <f>IF(Raw!A1830="","",Raw!A1830)</f>
        <v>L01824</v>
      </c>
      <c r="B1830" s="1" t="str">
        <f>IF(Raw!B1830="","",Raw!B1830)</f>
        <v>T00912</v>
      </c>
      <c r="C1830" s="1" t="str">
        <f>IF(Raw!C1830="","",Raw!C1830)</f>
        <v>2026-03-19</v>
      </c>
      <c r="D1830" s="1">
        <f t="shared" si="224"/>
        <v>2026</v>
      </c>
      <c r="E1830" s="1">
        <f>IFERROR(IF(AND(LEN(C1830)=10,MID(C1830,5,1)="-",MID(C1830,8,1)="-"),VALUE(MID(C1830,6,2)),IF(AND(LEN(C1830)=11,MID(C1830,3,1)="-",MID(C1830,7,1)="-"),MATCH(UPPER(MID(C1830,4,3)),Guide!$D$7:$D$18,0),0)),0)</f>
        <v>3</v>
      </c>
      <c r="F1830" s="1">
        <f t="shared" si="225"/>
        <v>19</v>
      </c>
      <c r="G1830" s="9">
        <f t="shared" si="226"/>
        <v>46100</v>
      </c>
      <c r="H1830" s="1" t="str">
        <f>IF(Raw!D1830="","",Raw!D1830)</f>
        <v>P-O</v>
      </c>
      <c r="I1830" s="1" t="str">
        <f>IFERROR(IF(EXACT(H1830,INDEX(Guide!$A$7:$A$9,MATCH(SUBSTITUTE(SUBSTITUTE(SUBSTITUTE(H1830,"~","~~"),"*","~*"),"?","~?"),Guide!$A$7:$A$9,0))),INDEX(Guide!$B$7:$B$9,MATCH(SUBSTITUTE(SUBSTITUTE(SUBSTITUTE(H1830,"~","~~"),"*","~*"),"?","~?"),Guide!$A$7:$A$9,0)),""),"")</f>
        <v>Office</v>
      </c>
      <c r="J1830" s="1" t="str">
        <f>IF(TRIM(Raw!E1830)="",I1830,IF(UPPER(TRIM(Raw!E1830))=UPPER(I1830),I1830,""))</f>
        <v>Office</v>
      </c>
      <c r="K1830" s="1" t="str">
        <f>IF(Raw!F1830="","",Raw!F1830)</f>
        <v>sale</v>
      </c>
      <c r="L1830" s="1" t="str">
        <f>IF(LEFT(TRIM(Raw!G1830),2)="-$","-"&amp;MID(TRIM(Raw!G1830),3,99),IF(LEFT(TRIM(Raw!G1830),1)="$",MID(TRIM(Raw!G1830),2,99),TRIM(Raw!G1830)))</f>
        <v>159.00</v>
      </c>
      <c r="M1830" s="1">
        <f t="shared" si="227"/>
        <v>159</v>
      </c>
      <c r="N1830" s="10">
        <f t="shared" si="228"/>
        <v>15900</v>
      </c>
      <c r="O1830" s="1" t="b">
        <f>IFERROR(IF(ISNUMBER(Raw!G1830),TRUE,OR(EXACT(L1830,TEXT(M1830,"0.00")),EXACT(L1830,TEXT(M1830,"#,##0.00")))),FALSE)</f>
        <v>1</v>
      </c>
      <c r="P1830" s="1" t="str">
        <f>LEN(IF(Raw!A1830="","",Raw!A1830))&amp;":"&amp;IF(Raw!A1830="","",Raw!A1830)&amp;"|"&amp;LEN(IF(Raw!B1830="","",Raw!B1830))&amp;":"&amp;IF(Raw!B1830="","",Raw!B1830)&amp;"|"&amp;LEN(IF(Raw!C1830="","",Raw!C1830))&amp;":"&amp;IF(Raw!C1830="","",Raw!C1830)&amp;"|"&amp;LEN(IF(Raw!D1830="","",Raw!D1830))&amp;":"&amp;IF(Raw!D1830="","",Raw!D1830)&amp;"|"&amp;LEN(IF(Raw!E1830="","",Raw!E1830))&amp;":"&amp;IF(Raw!E1830="","",Raw!E1830)&amp;"|"&amp;LEN(IF(Raw!F1830="","",Raw!F1830))&amp;":"&amp;IF(Raw!F1830="","",Raw!F1830)&amp;"|"&amp;LEN(IF(Raw!G1830="","",Raw!G1830))&amp;":"&amp;IF(Raw!G1830="","",Raw!G1830)</f>
        <v>6:L01824|6:T00912|10:2026-03-19|3:P-O|6:Office|4:sale|6:159.00</v>
      </c>
      <c r="Q1830" s="1">
        <f>1</f>
        <v>1</v>
      </c>
      <c r="R1830" s="1" t="b">
        <f>FALSE</f>
        <v>0</v>
      </c>
      <c r="S1830" s="1">
        <f>1</f>
        <v>1</v>
      </c>
      <c r="T1830" s="1" t="str">
        <f>IF(AND(Raw!A1830="",Raw!B1830="",Raw!C1830="",Raw!D1830="",Raw!E1830="",Raw!F1830="",Raw!G1830=""),"UNUSED",IF(A1830="","missing line ID",IF(B1830="","missing transaction ID",IF(G1830="",IF(C1830="","missing date","invalid date"),IF(I1830="","unknown product",IF(J1830="","conflicting category",IF(NOT(OR(EXACT(K1830,"sale"),EXACT(K1830,"refund"))),"unknown event",IF(OR(N1830="",NOT(O1830)),"invalid amount",IF(OR(AND(K1830="sale",N1830&lt;=0),AND(K1830="refund",N1830&gt;=0)),"invalid sign","")))))))))</f>
        <v/>
      </c>
      <c r="U1830" s="1" t="str">
        <f t="shared" si="229"/>
        <v>INCLUDED</v>
      </c>
      <c r="V1830" s="1" t="str">
        <f t="shared" si="230"/>
        <v>2026-03</v>
      </c>
      <c r="W1830" s="1">
        <f>IF(AND(U1830="INCLUDED",X1830&gt;0,EXACT(A1830,'AI output'!A1830)),1,0)</f>
        <v>1</v>
      </c>
      <c r="X1830" s="1">
        <f>1830</f>
        <v>1830</v>
      </c>
      <c r="Y1830" s="1">
        <f>IF(AND(U1830="INCLUDED",W1830=1),--(NOT(EXACT(A1830,'AI output'!A1830)))+--(NOT(EXACT(B1830,'AI output'!B1830)))+--(NOT(EXACT(TEXT(G1830,"yyyy-mm-dd"),'AI output'!C1830)))+--(NOT(EXACT(H1830,'AI output'!D1830)))+--(NOT(EXACT(J1830,'AI output'!E1830)))+--(NOT(EXACT(K1830,'AI output'!F1830)))+--(N1830&lt;&gt;'AI output'!L1830)+--(NOT('AI output'!M1830)),0)</f>
        <v>0</v>
      </c>
      <c r="Z1830" s="1">
        <f t="shared" si="231"/>
        <v>0</v>
      </c>
      <c r="AA1830" s="1">
        <f>--EXACT(A1830,"L01824")</f>
        <v>1</v>
      </c>
    </row>
    <row r="1831" spans="1:27" ht="18.95" customHeight="1">
      <c r="A1831" s="1" t="str">
        <f>IF(Raw!A1831="","",Raw!A1831)</f>
        <v>L01825</v>
      </c>
      <c r="B1831" s="1" t="str">
        <f>IF(Raw!B1831="","",Raw!B1831)</f>
        <v>T00913</v>
      </c>
      <c r="C1831" s="1" t="str">
        <f>IF(Raw!C1831="","",Raw!C1831)</f>
        <v>2026-03-26</v>
      </c>
      <c r="D1831" s="1">
        <f t="shared" si="224"/>
        <v>2026</v>
      </c>
      <c r="E1831" s="1">
        <f>IFERROR(IF(AND(LEN(C1831)=10,MID(C1831,5,1)="-",MID(C1831,8,1)="-"),VALUE(MID(C1831,6,2)),IF(AND(LEN(C1831)=11,MID(C1831,3,1)="-",MID(C1831,7,1)="-"),MATCH(UPPER(MID(C1831,4,3)),Guide!$D$7:$D$18,0),0)),0)</f>
        <v>3</v>
      </c>
      <c r="F1831" s="1">
        <f t="shared" si="225"/>
        <v>26</v>
      </c>
      <c r="G1831" s="9">
        <f t="shared" si="226"/>
        <v>46107</v>
      </c>
      <c r="H1831" s="1" t="str">
        <f>IF(Raw!D1831="","",Raw!D1831)</f>
        <v>P-A</v>
      </c>
      <c r="I1831" s="1" t="str">
        <f>IFERROR(IF(EXACT(H1831,INDEX(Guide!$A$7:$A$9,MATCH(SUBSTITUTE(SUBSTITUTE(SUBSTITUTE(H1831,"~","~~"),"*","~*"),"?","~?"),Guide!$A$7:$A$9,0))),INDEX(Guide!$B$7:$B$9,MATCH(SUBSTITUTE(SUBSTITUTE(SUBSTITUTE(H1831,"~","~~"),"*","~*"),"?","~?"),Guide!$A$7:$A$9,0)),""),"")</f>
        <v>Accessories</v>
      </c>
      <c r="J1831" s="1" t="str">
        <f>IF(TRIM(Raw!E1831)="",I1831,IF(UPPER(TRIM(Raw!E1831))=UPPER(I1831),I1831,""))</f>
        <v>Accessories</v>
      </c>
      <c r="K1831" s="1" t="str">
        <f>IF(Raw!F1831="","",Raw!F1831)</f>
        <v>sale</v>
      </c>
      <c r="L1831" s="1" t="str">
        <f>IF(LEFT(TRIM(Raw!G1831),2)="-$","-"&amp;MID(TRIM(Raw!G1831),3,99),IF(LEFT(TRIM(Raw!G1831),1)="$",MID(TRIM(Raw!G1831),2,99),TRIM(Raw!G1831)))</f>
        <v>319.48</v>
      </c>
      <c r="M1831" s="1">
        <f t="shared" si="227"/>
        <v>319.48</v>
      </c>
      <c r="N1831" s="10">
        <f t="shared" si="228"/>
        <v>31948</v>
      </c>
      <c r="O1831" s="1" t="b">
        <f>IFERROR(IF(ISNUMBER(Raw!G1831),TRUE,OR(EXACT(L1831,TEXT(M1831,"0.00")),EXACT(L1831,TEXT(M1831,"#,##0.00")))),FALSE)</f>
        <v>1</v>
      </c>
      <c r="P1831" s="1" t="str">
        <f>LEN(IF(Raw!A1831="","",Raw!A1831))&amp;":"&amp;IF(Raw!A1831="","",Raw!A1831)&amp;"|"&amp;LEN(IF(Raw!B1831="","",Raw!B1831))&amp;":"&amp;IF(Raw!B1831="","",Raw!B1831)&amp;"|"&amp;LEN(IF(Raw!C1831="","",Raw!C1831))&amp;":"&amp;IF(Raw!C1831="","",Raw!C1831)&amp;"|"&amp;LEN(IF(Raw!D1831="","",Raw!D1831))&amp;":"&amp;IF(Raw!D1831="","",Raw!D1831)&amp;"|"&amp;LEN(IF(Raw!E1831="","",Raw!E1831))&amp;":"&amp;IF(Raw!E1831="","",Raw!E1831)&amp;"|"&amp;LEN(IF(Raw!F1831="","",Raw!F1831))&amp;":"&amp;IF(Raw!F1831="","",Raw!F1831)&amp;"|"&amp;LEN(IF(Raw!G1831="","",Raw!G1831))&amp;":"&amp;IF(Raw!G1831="","",Raw!G1831)</f>
        <v>6:L01825|6:T00913|10:2026-03-26|3:P-A|11:Accessories|4:sale|6:319.48</v>
      </c>
      <c r="Q1831" s="1">
        <f>1</f>
        <v>1</v>
      </c>
      <c r="R1831" s="1" t="b">
        <f>FALSE</f>
        <v>0</v>
      </c>
      <c r="S1831" s="1">
        <f>1</f>
        <v>1</v>
      </c>
      <c r="T1831" s="1" t="str">
        <f>IF(AND(Raw!A1831="",Raw!B1831="",Raw!C1831="",Raw!D1831="",Raw!E1831="",Raw!F1831="",Raw!G1831=""),"UNUSED",IF(A1831="","missing line ID",IF(B1831="","missing transaction ID",IF(G1831="",IF(C1831="","missing date","invalid date"),IF(I1831="","unknown product",IF(J1831="","conflicting category",IF(NOT(OR(EXACT(K1831,"sale"),EXACT(K1831,"refund"))),"unknown event",IF(OR(N1831="",NOT(O1831)),"invalid amount",IF(OR(AND(K1831="sale",N1831&lt;=0),AND(K1831="refund",N1831&gt;=0)),"invalid sign","")))))))))</f>
        <v/>
      </c>
      <c r="U1831" s="1" t="str">
        <f t="shared" si="229"/>
        <v>INCLUDED</v>
      </c>
      <c r="V1831" s="1" t="str">
        <f t="shared" si="230"/>
        <v>2026-03</v>
      </c>
      <c r="W1831" s="1">
        <f>IF(AND(U1831="INCLUDED",X1831&gt;0,EXACT(A1831,'AI output'!A1831)),1,0)</f>
        <v>1</v>
      </c>
      <c r="X1831" s="1">
        <f>1831</f>
        <v>1831</v>
      </c>
      <c r="Y1831" s="1">
        <f>IF(AND(U1831="INCLUDED",W1831=1),--(NOT(EXACT(A1831,'AI output'!A1831)))+--(NOT(EXACT(B1831,'AI output'!B1831)))+--(NOT(EXACT(TEXT(G1831,"yyyy-mm-dd"),'AI output'!C1831)))+--(NOT(EXACT(H1831,'AI output'!D1831)))+--(NOT(EXACT(J1831,'AI output'!E1831)))+--(NOT(EXACT(K1831,'AI output'!F1831)))+--(N1831&lt;&gt;'AI output'!L1831)+--(NOT('AI output'!M1831)),0)</f>
        <v>0</v>
      </c>
      <c r="Z1831" s="1">
        <f t="shared" si="231"/>
        <v>0</v>
      </c>
      <c r="AA1831" s="1">
        <f>--EXACT(A1831,"L01825")</f>
        <v>1</v>
      </c>
    </row>
    <row r="1832" spans="1:27" ht="18.95" customHeight="1">
      <c r="A1832" s="1" t="str">
        <f>IF(Raw!A1832="","",Raw!A1832)</f>
        <v>L01826</v>
      </c>
      <c r="B1832" s="1" t="str">
        <f>IF(Raw!B1832="","",Raw!B1832)</f>
        <v>T00913</v>
      </c>
      <c r="C1832" s="1" t="str">
        <f>IF(Raw!C1832="","",Raw!C1832)</f>
        <v>2026-03-26</v>
      </c>
      <c r="D1832" s="1">
        <f t="shared" si="224"/>
        <v>2026</v>
      </c>
      <c r="E1832" s="1">
        <f>IFERROR(IF(AND(LEN(C1832)=10,MID(C1832,5,1)="-",MID(C1832,8,1)="-"),VALUE(MID(C1832,6,2)),IF(AND(LEN(C1832)=11,MID(C1832,3,1)="-",MID(C1832,7,1)="-"),MATCH(UPPER(MID(C1832,4,3)),Guide!$D$7:$D$18,0),0)),0)</f>
        <v>3</v>
      </c>
      <c r="F1832" s="1">
        <f t="shared" si="225"/>
        <v>26</v>
      </c>
      <c r="G1832" s="9">
        <f t="shared" si="226"/>
        <v>46107</v>
      </c>
      <c r="H1832" s="1" t="str">
        <f>IF(Raw!D1832="","",Raw!D1832)</f>
        <v>P-H</v>
      </c>
      <c r="I1832" s="1" t="str">
        <f>IFERROR(IF(EXACT(H1832,INDEX(Guide!$A$7:$A$9,MATCH(SUBSTITUTE(SUBSTITUTE(SUBSTITUTE(H1832,"~","~~"),"*","~*"),"?","~?"),Guide!$A$7:$A$9,0))),INDEX(Guide!$B$7:$B$9,MATCH(SUBSTITUTE(SUBSTITUTE(SUBSTITUTE(H1832,"~","~~"),"*","~*"),"?","~?"),Guide!$A$7:$A$9,0)),""),"")</f>
        <v>Home</v>
      </c>
      <c r="J1832" s="1" t="str">
        <f>IF(TRIM(Raw!E1832)="",I1832,IF(UPPER(TRIM(Raw!E1832))=UPPER(I1832),I1832,""))</f>
        <v>Home</v>
      </c>
      <c r="K1832" s="1" t="str">
        <f>IF(Raw!F1832="","",Raw!F1832)</f>
        <v>sale</v>
      </c>
      <c r="L1832" s="1" t="str">
        <f>IF(LEFT(TRIM(Raw!G1832),2)="-$","-"&amp;MID(TRIM(Raw!G1832),3,99),IF(LEFT(TRIM(Raw!G1832),1)="$",MID(TRIM(Raw!G1832),2,99),TRIM(Raw!G1832)))</f>
        <v>80.24</v>
      </c>
      <c r="M1832" s="1">
        <f t="shared" si="227"/>
        <v>80.239999999999995</v>
      </c>
      <c r="N1832" s="10">
        <f t="shared" si="228"/>
        <v>8024</v>
      </c>
      <c r="O1832" s="1" t="b">
        <f>IFERROR(IF(ISNUMBER(Raw!G1832),TRUE,OR(EXACT(L1832,TEXT(M1832,"0.00")),EXACT(L1832,TEXT(M1832,"#,##0.00")))),FALSE)</f>
        <v>1</v>
      </c>
      <c r="P1832" s="1" t="str">
        <f>LEN(IF(Raw!A1832="","",Raw!A1832))&amp;":"&amp;IF(Raw!A1832="","",Raw!A1832)&amp;"|"&amp;LEN(IF(Raw!B1832="","",Raw!B1832))&amp;":"&amp;IF(Raw!B1832="","",Raw!B1832)&amp;"|"&amp;LEN(IF(Raw!C1832="","",Raw!C1832))&amp;":"&amp;IF(Raw!C1832="","",Raw!C1832)&amp;"|"&amp;LEN(IF(Raw!D1832="","",Raw!D1832))&amp;":"&amp;IF(Raw!D1832="","",Raw!D1832)&amp;"|"&amp;LEN(IF(Raw!E1832="","",Raw!E1832))&amp;":"&amp;IF(Raw!E1832="","",Raw!E1832)&amp;"|"&amp;LEN(IF(Raw!F1832="","",Raw!F1832))&amp;":"&amp;IF(Raw!F1832="","",Raw!F1832)&amp;"|"&amp;LEN(IF(Raw!G1832="","",Raw!G1832))&amp;":"&amp;IF(Raw!G1832="","",Raw!G1832)</f>
        <v>6:L01826|6:T00913|10:2026-03-26|3:P-H|4:Home|4:sale|5:80.24</v>
      </c>
      <c r="Q1832" s="1">
        <f>1</f>
        <v>1</v>
      </c>
      <c r="R1832" s="1" t="b">
        <f>FALSE</f>
        <v>0</v>
      </c>
      <c r="S1832" s="1">
        <f>1</f>
        <v>1</v>
      </c>
      <c r="T1832" s="1" t="str">
        <f>IF(AND(Raw!A1832="",Raw!B1832="",Raw!C1832="",Raw!D1832="",Raw!E1832="",Raw!F1832="",Raw!G1832=""),"UNUSED",IF(A1832="","missing line ID",IF(B1832="","missing transaction ID",IF(G1832="",IF(C1832="","missing date","invalid date"),IF(I1832="","unknown product",IF(J1832="","conflicting category",IF(NOT(OR(EXACT(K1832,"sale"),EXACT(K1832,"refund"))),"unknown event",IF(OR(N1832="",NOT(O1832)),"invalid amount",IF(OR(AND(K1832="sale",N1832&lt;=0),AND(K1832="refund",N1832&gt;=0)),"invalid sign","")))))))))</f>
        <v/>
      </c>
      <c r="U1832" s="1" t="str">
        <f t="shared" si="229"/>
        <v>INCLUDED</v>
      </c>
      <c r="V1832" s="1" t="str">
        <f t="shared" si="230"/>
        <v>2026-03</v>
      </c>
      <c r="W1832" s="1">
        <f>IF(AND(U1832="INCLUDED",X1832&gt;0,EXACT(A1832,'AI output'!A1832)),1,0)</f>
        <v>1</v>
      </c>
      <c r="X1832" s="1">
        <f>1832</f>
        <v>1832</v>
      </c>
      <c r="Y1832" s="1">
        <f>IF(AND(U1832="INCLUDED",W1832=1),--(NOT(EXACT(A1832,'AI output'!A1832)))+--(NOT(EXACT(B1832,'AI output'!B1832)))+--(NOT(EXACT(TEXT(G1832,"yyyy-mm-dd"),'AI output'!C1832)))+--(NOT(EXACT(H1832,'AI output'!D1832)))+--(NOT(EXACT(J1832,'AI output'!E1832)))+--(NOT(EXACT(K1832,'AI output'!F1832)))+--(N1832&lt;&gt;'AI output'!L1832)+--(NOT('AI output'!M1832)),0)</f>
        <v>0</v>
      </c>
      <c r="Z1832" s="1">
        <f t="shared" si="231"/>
        <v>0</v>
      </c>
      <c r="AA1832" s="1">
        <f>--EXACT(A1832,"L01826")</f>
        <v>1</v>
      </c>
    </row>
    <row r="1833" spans="1:27" ht="18.95" customHeight="1">
      <c r="A1833" s="1" t="str">
        <f>IF(Raw!A1833="","",Raw!A1833)</f>
        <v>L01827</v>
      </c>
      <c r="B1833" s="1" t="str">
        <f>IF(Raw!B1833="","",Raw!B1833)</f>
        <v>T00914</v>
      </c>
      <c r="C1833" s="1" t="str">
        <f>IF(Raw!C1833="","",Raw!C1833)</f>
        <v>2026-01-02</v>
      </c>
      <c r="D1833" s="1">
        <f t="shared" si="224"/>
        <v>2026</v>
      </c>
      <c r="E1833" s="1">
        <f>IFERROR(IF(AND(LEN(C1833)=10,MID(C1833,5,1)="-",MID(C1833,8,1)="-"),VALUE(MID(C1833,6,2)),IF(AND(LEN(C1833)=11,MID(C1833,3,1)="-",MID(C1833,7,1)="-"),MATCH(UPPER(MID(C1833,4,3)),Guide!$D$7:$D$18,0),0)),0)</f>
        <v>1</v>
      </c>
      <c r="F1833" s="1">
        <f t="shared" si="225"/>
        <v>2</v>
      </c>
      <c r="G1833" s="9">
        <f t="shared" si="226"/>
        <v>46024</v>
      </c>
      <c r="H1833" s="1" t="str">
        <f>IF(Raw!D1833="","",Raw!D1833)</f>
        <v>P-O</v>
      </c>
      <c r="I1833" s="1" t="str">
        <f>IFERROR(IF(EXACT(H1833,INDEX(Guide!$A$7:$A$9,MATCH(SUBSTITUTE(SUBSTITUTE(SUBSTITUTE(H1833,"~","~~"),"*","~*"),"?","~?"),Guide!$A$7:$A$9,0))),INDEX(Guide!$B$7:$B$9,MATCH(SUBSTITUTE(SUBSTITUTE(SUBSTITUTE(H1833,"~","~~"),"*","~*"),"?","~?"),Guide!$A$7:$A$9,0)),""),"")</f>
        <v>Office</v>
      </c>
      <c r="J1833" s="1" t="str">
        <f>IF(TRIM(Raw!E1833)="",I1833,IF(UPPER(TRIM(Raw!E1833))=UPPER(I1833),I1833,""))</f>
        <v>Office</v>
      </c>
      <c r="K1833" s="1" t="str">
        <f>IF(Raw!F1833="","",Raw!F1833)</f>
        <v>sale</v>
      </c>
      <c r="L1833" s="1" t="str">
        <f>IF(LEFT(TRIM(Raw!G1833),2)="-$","-"&amp;MID(TRIM(Raw!G1833),3,99),IF(LEFT(TRIM(Raw!G1833),1)="$",MID(TRIM(Raw!G1833),2,99),TRIM(Raw!G1833)))</f>
        <v>241.83</v>
      </c>
      <c r="M1833" s="1">
        <f t="shared" si="227"/>
        <v>241.83</v>
      </c>
      <c r="N1833" s="10">
        <f t="shared" si="228"/>
        <v>24183</v>
      </c>
      <c r="O1833" s="1" t="b">
        <f>IFERROR(IF(ISNUMBER(Raw!G1833),TRUE,OR(EXACT(L1833,TEXT(M1833,"0.00")),EXACT(L1833,TEXT(M1833,"#,##0.00")))),FALSE)</f>
        <v>1</v>
      </c>
      <c r="P1833" s="1" t="str">
        <f>LEN(IF(Raw!A1833="","",Raw!A1833))&amp;":"&amp;IF(Raw!A1833="","",Raw!A1833)&amp;"|"&amp;LEN(IF(Raw!B1833="","",Raw!B1833))&amp;":"&amp;IF(Raw!B1833="","",Raw!B1833)&amp;"|"&amp;LEN(IF(Raw!C1833="","",Raw!C1833))&amp;":"&amp;IF(Raw!C1833="","",Raw!C1833)&amp;"|"&amp;LEN(IF(Raw!D1833="","",Raw!D1833))&amp;":"&amp;IF(Raw!D1833="","",Raw!D1833)&amp;"|"&amp;LEN(IF(Raw!E1833="","",Raw!E1833))&amp;":"&amp;IF(Raw!E1833="","",Raw!E1833)&amp;"|"&amp;LEN(IF(Raw!F1833="","",Raw!F1833))&amp;":"&amp;IF(Raw!F1833="","",Raw!F1833)&amp;"|"&amp;LEN(IF(Raw!G1833="","",Raw!G1833))&amp;":"&amp;IF(Raw!G1833="","",Raw!G1833)</f>
        <v>6:L01827|6:T00914|10:2026-01-02|3:P-O|6:Office|4:sale|6:241.83</v>
      </c>
      <c r="Q1833" s="1">
        <f>1</f>
        <v>1</v>
      </c>
      <c r="R1833" s="1" t="b">
        <f>FALSE</f>
        <v>0</v>
      </c>
      <c r="S1833" s="1">
        <f>1</f>
        <v>1</v>
      </c>
      <c r="T1833" s="1" t="str">
        <f>IF(AND(Raw!A1833="",Raw!B1833="",Raw!C1833="",Raw!D1833="",Raw!E1833="",Raw!F1833="",Raw!G1833=""),"UNUSED",IF(A1833="","missing line ID",IF(B1833="","missing transaction ID",IF(G1833="",IF(C1833="","missing date","invalid date"),IF(I1833="","unknown product",IF(J1833="","conflicting category",IF(NOT(OR(EXACT(K1833,"sale"),EXACT(K1833,"refund"))),"unknown event",IF(OR(N1833="",NOT(O1833)),"invalid amount",IF(OR(AND(K1833="sale",N1833&lt;=0),AND(K1833="refund",N1833&gt;=0)),"invalid sign","")))))))))</f>
        <v/>
      </c>
      <c r="U1833" s="1" t="str">
        <f t="shared" si="229"/>
        <v>INCLUDED</v>
      </c>
      <c r="V1833" s="1" t="str">
        <f t="shared" si="230"/>
        <v>2026-01</v>
      </c>
      <c r="W1833" s="1">
        <f>IF(AND(U1833="INCLUDED",X1833&gt;0,EXACT(A1833,'AI output'!A1833)),1,0)</f>
        <v>1</v>
      </c>
      <c r="X1833" s="1">
        <f>1833</f>
        <v>1833</v>
      </c>
      <c r="Y1833" s="1">
        <f>IF(AND(U1833="INCLUDED",W1833=1),--(NOT(EXACT(A1833,'AI output'!A1833)))+--(NOT(EXACT(B1833,'AI output'!B1833)))+--(NOT(EXACT(TEXT(G1833,"yyyy-mm-dd"),'AI output'!C1833)))+--(NOT(EXACT(H1833,'AI output'!D1833)))+--(NOT(EXACT(J1833,'AI output'!E1833)))+--(NOT(EXACT(K1833,'AI output'!F1833)))+--(N1833&lt;&gt;'AI output'!L1833)+--(NOT('AI output'!M1833)),0)</f>
        <v>0</v>
      </c>
      <c r="Z1833" s="1">
        <f t="shared" si="231"/>
        <v>0</v>
      </c>
      <c r="AA1833" s="1">
        <f>--EXACT(A1833,"L01827")</f>
        <v>1</v>
      </c>
    </row>
    <row r="1834" spans="1:27" ht="18.95" customHeight="1">
      <c r="A1834" s="1" t="str">
        <f>IF(Raw!A1834="","",Raw!A1834)</f>
        <v>L01828</v>
      </c>
      <c r="B1834" s="1" t="str">
        <f>IF(Raw!B1834="","",Raw!B1834)</f>
        <v>T00914</v>
      </c>
      <c r="C1834" s="1" t="str">
        <f>IF(Raw!C1834="","",Raw!C1834)</f>
        <v>2026-01-02</v>
      </c>
      <c r="D1834" s="1">
        <f t="shared" si="224"/>
        <v>2026</v>
      </c>
      <c r="E1834" s="1">
        <f>IFERROR(IF(AND(LEN(C1834)=10,MID(C1834,5,1)="-",MID(C1834,8,1)="-"),VALUE(MID(C1834,6,2)),IF(AND(LEN(C1834)=11,MID(C1834,3,1)="-",MID(C1834,7,1)="-"),MATCH(UPPER(MID(C1834,4,3)),Guide!$D$7:$D$18,0),0)),0)</f>
        <v>1</v>
      </c>
      <c r="F1834" s="1">
        <f t="shared" si="225"/>
        <v>2</v>
      </c>
      <c r="G1834" s="9">
        <f t="shared" si="226"/>
        <v>46024</v>
      </c>
      <c r="H1834" s="1" t="str">
        <f>IF(Raw!D1834="","",Raw!D1834)</f>
        <v>P-A</v>
      </c>
      <c r="I1834" s="1" t="str">
        <f>IFERROR(IF(EXACT(H1834,INDEX(Guide!$A$7:$A$9,MATCH(SUBSTITUTE(SUBSTITUTE(SUBSTITUTE(H1834,"~","~~"),"*","~*"),"?","~?"),Guide!$A$7:$A$9,0))),INDEX(Guide!$B$7:$B$9,MATCH(SUBSTITUTE(SUBSTITUTE(SUBSTITUTE(H1834,"~","~~"),"*","~*"),"?","~?"),Guide!$A$7:$A$9,0)),""),"")</f>
        <v>Accessories</v>
      </c>
      <c r="J1834" s="1" t="str">
        <f>IF(TRIM(Raw!E1834)="",I1834,IF(UPPER(TRIM(Raw!E1834))=UPPER(I1834),I1834,""))</f>
        <v>Accessories</v>
      </c>
      <c r="K1834" s="1" t="str">
        <f>IF(Raw!F1834="","",Raw!F1834)</f>
        <v>sale</v>
      </c>
      <c r="L1834" s="1" t="str">
        <f>IF(LEFT(TRIM(Raw!G1834),2)="-$","-"&amp;MID(TRIM(Raw!G1834),3,99),IF(LEFT(TRIM(Raw!G1834),1)="$",MID(TRIM(Raw!G1834),2,99),TRIM(Raw!G1834)))</f>
        <v>404.90</v>
      </c>
      <c r="M1834" s="1">
        <f t="shared" si="227"/>
        <v>404.9</v>
      </c>
      <c r="N1834" s="10">
        <f t="shared" si="228"/>
        <v>40490</v>
      </c>
      <c r="O1834" s="1" t="b">
        <f>IFERROR(IF(ISNUMBER(Raw!G1834),TRUE,OR(EXACT(L1834,TEXT(M1834,"0.00")),EXACT(L1834,TEXT(M1834,"#,##0.00")))),FALSE)</f>
        <v>1</v>
      </c>
      <c r="P1834" s="1" t="str">
        <f>LEN(IF(Raw!A1834="","",Raw!A1834))&amp;":"&amp;IF(Raw!A1834="","",Raw!A1834)&amp;"|"&amp;LEN(IF(Raw!B1834="","",Raw!B1834))&amp;":"&amp;IF(Raw!B1834="","",Raw!B1834)&amp;"|"&amp;LEN(IF(Raw!C1834="","",Raw!C1834))&amp;":"&amp;IF(Raw!C1834="","",Raw!C1834)&amp;"|"&amp;LEN(IF(Raw!D1834="","",Raw!D1834))&amp;":"&amp;IF(Raw!D1834="","",Raw!D1834)&amp;"|"&amp;LEN(IF(Raw!E1834="","",Raw!E1834))&amp;":"&amp;IF(Raw!E1834="","",Raw!E1834)&amp;"|"&amp;LEN(IF(Raw!F1834="","",Raw!F1834))&amp;":"&amp;IF(Raw!F1834="","",Raw!F1834)&amp;"|"&amp;LEN(IF(Raw!G1834="","",Raw!G1834))&amp;":"&amp;IF(Raw!G1834="","",Raw!G1834)</f>
        <v>6:L01828|6:T00914|10:2026-01-02|3:P-A|11:Accessories|4:sale|6:404.90</v>
      </c>
      <c r="Q1834" s="1">
        <f>1</f>
        <v>1</v>
      </c>
      <c r="R1834" s="1" t="b">
        <f>FALSE</f>
        <v>0</v>
      </c>
      <c r="S1834" s="1">
        <f>1</f>
        <v>1</v>
      </c>
      <c r="T1834" s="1" t="str">
        <f>IF(AND(Raw!A1834="",Raw!B1834="",Raw!C1834="",Raw!D1834="",Raw!E1834="",Raw!F1834="",Raw!G1834=""),"UNUSED",IF(A1834="","missing line ID",IF(B1834="","missing transaction ID",IF(G1834="",IF(C1834="","missing date","invalid date"),IF(I1834="","unknown product",IF(J1834="","conflicting category",IF(NOT(OR(EXACT(K1834,"sale"),EXACT(K1834,"refund"))),"unknown event",IF(OR(N1834="",NOT(O1834)),"invalid amount",IF(OR(AND(K1834="sale",N1834&lt;=0),AND(K1834="refund",N1834&gt;=0)),"invalid sign","")))))))))</f>
        <v/>
      </c>
      <c r="U1834" s="1" t="str">
        <f t="shared" si="229"/>
        <v>INCLUDED</v>
      </c>
      <c r="V1834" s="1" t="str">
        <f t="shared" si="230"/>
        <v>2026-01</v>
      </c>
      <c r="W1834" s="1">
        <f>IF(AND(U1834="INCLUDED",X1834&gt;0,EXACT(A1834,'AI output'!A1834)),1,0)</f>
        <v>1</v>
      </c>
      <c r="X1834" s="1">
        <f>1834</f>
        <v>1834</v>
      </c>
      <c r="Y1834" s="1">
        <f>IF(AND(U1834="INCLUDED",W1834=1),--(NOT(EXACT(A1834,'AI output'!A1834)))+--(NOT(EXACT(B1834,'AI output'!B1834)))+--(NOT(EXACT(TEXT(G1834,"yyyy-mm-dd"),'AI output'!C1834)))+--(NOT(EXACT(H1834,'AI output'!D1834)))+--(NOT(EXACT(J1834,'AI output'!E1834)))+--(NOT(EXACT(K1834,'AI output'!F1834)))+--(N1834&lt;&gt;'AI output'!L1834)+--(NOT('AI output'!M1834)),0)</f>
        <v>0</v>
      </c>
      <c r="Z1834" s="1">
        <f t="shared" si="231"/>
        <v>0</v>
      </c>
      <c r="AA1834" s="1">
        <f>--EXACT(A1834,"L01828")</f>
        <v>1</v>
      </c>
    </row>
    <row r="1835" spans="1:27" ht="18.95" customHeight="1">
      <c r="A1835" s="1" t="str">
        <f>IF(Raw!A1835="","",Raw!A1835)</f>
        <v>L01829</v>
      </c>
      <c r="B1835" s="1" t="str">
        <f>IF(Raw!B1835="","",Raw!B1835)</f>
        <v>T00915</v>
      </c>
      <c r="C1835" s="1" t="str">
        <f>IF(Raw!C1835="","",Raw!C1835)</f>
        <v>2026-01-09</v>
      </c>
      <c r="D1835" s="1">
        <f t="shared" si="224"/>
        <v>2026</v>
      </c>
      <c r="E1835" s="1">
        <f>IFERROR(IF(AND(LEN(C1835)=10,MID(C1835,5,1)="-",MID(C1835,8,1)="-"),VALUE(MID(C1835,6,2)),IF(AND(LEN(C1835)=11,MID(C1835,3,1)="-",MID(C1835,7,1)="-"),MATCH(UPPER(MID(C1835,4,3)),Guide!$D$7:$D$18,0),0)),0)</f>
        <v>1</v>
      </c>
      <c r="F1835" s="1">
        <f t="shared" si="225"/>
        <v>9</v>
      </c>
      <c r="G1835" s="9">
        <f t="shared" si="226"/>
        <v>46031</v>
      </c>
      <c r="H1835" s="1" t="str">
        <f>IF(Raw!D1835="","",Raw!D1835)</f>
        <v>P-H</v>
      </c>
      <c r="I1835" s="1" t="str">
        <f>IFERROR(IF(EXACT(H1835,INDEX(Guide!$A$7:$A$9,MATCH(SUBSTITUTE(SUBSTITUTE(SUBSTITUTE(H1835,"~","~~"),"*","~*"),"?","~?"),Guide!$A$7:$A$9,0))),INDEX(Guide!$B$7:$B$9,MATCH(SUBSTITUTE(SUBSTITUTE(SUBSTITUTE(H1835,"~","~~"),"*","~*"),"?","~?"),Guide!$A$7:$A$9,0)),""),"")</f>
        <v>Home</v>
      </c>
      <c r="J1835" s="1" t="str">
        <f>IF(TRIM(Raw!E1835)="",I1835,IF(UPPER(TRIM(Raw!E1835))=UPPER(I1835),I1835,""))</f>
        <v>Home</v>
      </c>
      <c r="K1835" s="1" t="str">
        <f>IF(Raw!F1835="","",Raw!F1835)</f>
        <v>sale</v>
      </c>
      <c r="L1835" s="1" t="str">
        <f>IF(LEFT(TRIM(Raw!G1835),2)="-$","-"&amp;MID(TRIM(Raw!G1835),3,99),IF(LEFT(TRIM(Raw!G1835),1)="$",MID(TRIM(Raw!G1835),2,99),TRIM(Raw!G1835)))</f>
        <v>162.70</v>
      </c>
      <c r="M1835" s="1">
        <f t="shared" si="227"/>
        <v>162.69999999999999</v>
      </c>
      <c r="N1835" s="10">
        <f t="shared" si="228"/>
        <v>16270</v>
      </c>
      <c r="O1835" s="1" t="b">
        <f>IFERROR(IF(ISNUMBER(Raw!G1835),TRUE,OR(EXACT(L1835,TEXT(M1835,"0.00")),EXACT(L1835,TEXT(M1835,"#,##0.00")))),FALSE)</f>
        <v>1</v>
      </c>
      <c r="P1835" s="1" t="str">
        <f>LEN(IF(Raw!A1835="","",Raw!A1835))&amp;":"&amp;IF(Raw!A1835="","",Raw!A1835)&amp;"|"&amp;LEN(IF(Raw!B1835="","",Raw!B1835))&amp;":"&amp;IF(Raw!B1835="","",Raw!B1835)&amp;"|"&amp;LEN(IF(Raw!C1835="","",Raw!C1835))&amp;":"&amp;IF(Raw!C1835="","",Raw!C1835)&amp;"|"&amp;LEN(IF(Raw!D1835="","",Raw!D1835))&amp;":"&amp;IF(Raw!D1835="","",Raw!D1835)&amp;"|"&amp;LEN(IF(Raw!E1835="","",Raw!E1835))&amp;":"&amp;IF(Raw!E1835="","",Raw!E1835)&amp;"|"&amp;LEN(IF(Raw!F1835="","",Raw!F1835))&amp;":"&amp;IF(Raw!F1835="","",Raw!F1835)&amp;"|"&amp;LEN(IF(Raw!G1835="","",Raw!G1835))&amp;":"&amp;IF(Raw!G1835="","",Raw!G1835)</f>
        <v>6:L01829|6:T00915|10:2026-01-09|3:P-H|4:Home|4:sale|6:162.70</v>
      </c>
      <c r="Q1835" s="1">
        <f>1</f>
        <v>1</v>
      </c>
      <c r="R1835" s="1" t="b">
        <f>FALSE</f>
        <v>0</v>
      </c>
      <c r="S1835" s="1">
        <f>1</f>
        <v>1</v>
      </c>
      <c r="T1835" s="1" t="str">
        <f>IF(AND(Raw!A1835="",Raw!B1835="",Raw!C1835="",Raw!D1835="",Raw!E1835="",Raw!F1835="",Raw!G1835=""),"UNUSED",IF(A1835="","missing line ID",IF(B1835="","missing transaction ID",IF(G1835="",IF(C1835="","missing date","invalid date"),IF(I1835="","unknown product",IF(J1835="","conflicting category",IF(NOT(OR(EXACT(K1835,"sale"),EXACT(K1835,"refund"))),"unknown event",IF(OR(N1835="",NOT(O1835)),"invalid amount",IF(OR(AND(K1835="sale",N1835&lt;=0),AND(K1835="refund",N1835&gt;=0)),"invalid sign","")))))))))</f>
        <v/>
      </c>
      <c r="U1835" s="1" t="str">
        <f t="shared" si="229"/>
        <v>INCLUDED</v>
      </c>
      <c r="V1835" s="1" t="str">
        <f t="shared" si="230"/>
        <v>2026-01</v>
      </c>
      <c r="W1835" s="1">
        <f>IF(AND(U1835="INCLUDED",X1835&gt;0,EXACT(A1835,'AI output'!A1835)),1,0)</f>
        <v>1</v>
      </c>
      <c r="X1835" s="1">
        <f>1835</f>
        <v>1835</v>
      </c>
      <c r="Y1835" s="1">
        <f>IF(AND(U1835="INCLUDED",W1835=1),--(NOT(EXACT(A1835,'AI output'!A1835)))+--(NOT(EXACT(B1835,'AI output'!B1835)))+--(NOT(EXACT(TEXT(G1835,"yyyy-mm-dd"),'AI output'!C1835)))+--(NOT(EXACT(H1835,'AI output'!D1835)))+--(NOT(EXACT(J1835,'AI output'!E1835)))+--(NOT(EXACT(K1835,'AI output'!F1835)))+--(N1835&lt;&gt;'AI output'!L1835)+--(NOT('AI output'!M1835)),0)</f>
        <v>0</v>
      </c>
      <c r="Z1835" s="1">
        <f t="shared" si="231"/>
        <v>0</v>
      </c>
      <c r="AA1835" s="1">
        <f>--EXACT(A1835,"L01829")</f>
        <v>1</v>
      </c>
    </row>
    <row r="1836" spans="1:27" ht="18.95" customHeight="1">
      <c r="A1836" s="1" t="str">
        <f>IF(Raw!A1836="","",Raw!A1836)</f>
        <v>L01830</v>
      </c>
      <c r="B1836" s="1" t="str">
        <f>IF(Raw!B1836="","",Raw!B1836)</f>
        <v>T00915</v>
      </c>
      <c r="C1836" s="1" t="str">
        <f>IF(Raw!C1836="","",Raw!C1836)</f>
        <v>2026-01-09</v>
      </c>
      <c r="D1836" s="1">
        <f t="shared" si="224"/>
        <v>2026</v>
      </c>
      <c r="E1836" s="1">
        <f>IFERROR(IF(AND(LEN(C1836)=10,MID(C1836,5,1)="-",MID(C1836,8,1)="-"),VALUE(MID(C1836,6,2)),IF(AND(LEN(C1836)=11,MID(C1836,3,1)="-",MID(C1836,7,1)="-"),MATCH(UPPER(MID(C1836,4,3)),Guide!$D$7:$D$18,0),0)),0)</f>
        <v>1</v>
      </c>
      <c r="F1836" s="1">
        <f t="shared" si="225"/>
        <v>9</v>
      </c>
      <c r="G1836" s="9">
        <f t="shared" si="226"/>
        <v>46031</v>
      </c>
      <c r="H1836" s="1" t="str">
        <f>IF(Raw!D1836="","",Raw!D1836)</f>
        <v>P-O</v>
      </c>
      <c r="I1836" s="1" t="str">
        <f>IFERROR(IF(EXACT(H1836,INDEX(Guide!$A$7:$A$9,MATCH(SUBSTITUTE(SUBSTITUTE(SUBSTITUTE(H1836,"~","~~"),"*","~*"),"?","~?"),Guide!$A$7:$A$9,0))),INDEX(Guide!$B$7:$B$9,MATCH(SUBSTITUTE(SUBSTITUTE(SUBSTITUTE(H1836,"~","~~"),"*","~*"),"?","~?"),Guide!$A$7:$A$9,0)),""),"")</f>
        <v>Office</v>
      </c>
      <c r="J1836" s="1" t="str">
        <f>IF(TRIM(Raw!E1836)="",I1836,IF(UPPER(TRIM(Raw!E1836))=UPPER(I1836),I1836,""))</f>
        <v>Office</v>
      </c>
      <c r="K1836" s="1" t="str">
        <f>IF(Raw!F1836="","",Raw!F1836)</f>
        <v>sale</v>
      </c>
      <c r="L1836" s="1" t="str">
        <f>IF(LEFT(TRIM(Raw!G1836),2)="-$","-"&amp;MID(TRIM(Raw!G1836),3,99),IF(LEFT(TRIM(Raw!G1836),1)="$",MID(TRIM(Raw!G1836),2,99),TRIM(Raw!G1836)))</f>
        <v>326.88</v>
      </c>
      <c r="M1836" s="1">
        <f t="shared" si="227"/>
        <v>326.88</v>
      </c>
      <c r="N1836" s="10">
        <f t="shared" si="228"/>
        <v>32688</v>
      </c>
      <c r="O1836" s="1" t="b">
        <f>IFERROR(IF(ISNUMBER(Raw!G1836),TRUE,OR(EXACT(L1836,TEXT(M1836,"0.00")),EXACT(L1836,TEXT(M1836,"#,##0.00")))),FALSE)</f>
        <v>1</v>
      </c>
      <c r="P1836" s="1" t="str">
        <f>LEN(IF(Raw!A1836="","",Raw!A1836))&amp;":"&amp;IF(Raw!A1836="","",Raw!A1836)&amp;"|"&amp;LEN(IF(Raw!B1836="","",Raw!B1836))&amp;":"&amp;IF(Raw!B1836="","",Raw!B1836)&amp;"|"&amp;LEN(IF(Raw!C1836="","",Raw!C1836))&amp;":"&amp;IF(Raw!C1836="","",Raw!C1836)&amp;"|"&amp;LEN(IF(Raw!D1836="","",Raw!D1836))&amp;":"&amp;IF(Raw!D1836="","",Raw!D1836)&amp;"|"&amp;LEN(IF(Raw!E1836="","",Raw!E1836))&amp;":"&amp;IF(Raw!E1836="","",Raw!E1836)&amp;"|"&amp;LEN(IF(Raw!F1836="","",Raw!F1836))&amp;":"&amp;IF(Raw!F1836="","",Raw!F1836)&amp;"|"&amp;LEN(IF(Raw!G1836="","",Raw!G1836))&amp;":"&amp;IF(Raw!G1836="","",Raw!G1836)</f>
        <v>6:L01830|6:T00915|10:2026-01-09|3:P-O|6:Office|4:sale|6:326.88</v>
      </c>
      <c r="Q1836" s="1">
        <f>1</f>
        <v>1</v>
      </c>
      <c r="R1836" s="1" t="b">
        <f>FALSE</f>
        <v>0</v>
      </c>
      <c r="S1836" s="1">
        <f>1</f>
        <v>1</v>
      </c>
      <c r="T1836" s="1" t="str">
        <f>IF(AND(Raw!A1836="",Raw!B1836="",Raw!C1836="",Raw!D1836="",Raw!E1836="",Raw!F1836="",Raw!G1836=""),"UNUSED",IF(A1836="","missing line ID",IF(B1836="","missing transaction ID",IF(G1836="",IF(C1836="","missing date","invalid date"),IF(I1836="","unknown product",IF(J1836="","conflicting category",IF(NOT(OR(EXACT(K1836,"sale"),EXACT(K1836,"refund"))),"unknown event",IF(OR(N1836="",NOT(O1836)),"invalid amount",IF(OR(AND(K1836="sale",N1836&lt;=0),AND(K1836="refund",N1836&gt;=0)),"invalid sign","")))))))))</f>
        <v/>
      </c>
      <c r="U1836" s="1" t="str">
        <f t="shared" si="229"/>
        <v>INCLUDED</v>
      </c>
      <c r="V1836" s="1" t="str">
        <f t="shared" si="230"/>
        <v>2026-01</v>
      </c>
      <c r="W1836" s="1">
        <f>IF(AND(U1836="INCLUDED",X1836&gt;0,EXACT(A1836,'AI output'!A1836)),1,0)</f>
        <v>1</v>
      </c>
      <c r="X1836" s="1">
        <f>1836</f>
        <v>1836</v>
      </c>
      <c r="Y1836" s="1">
        <f>IF(AND(U1836="INCLUDED",W1836=1),--(NOT(EXACT(A1836,'AI output'!A1836)))+--(NOT(EXACT(B1836,'AI output'!B1836)))+--(NOT(EXACT(TEXT(G1836,"yyyy-mm-dd"),'AI output'!C1836)))+--(NOT(EXACT(H1836,'AI output'!D1836)))+--(NOT(EXACT(J1836,'AI output'!E1836)))+--(NOT(EXACT(K1836,'AI output'!F1836)))+--(N1836&lt;&gt;'AI output'!L1836)+--(NOT('AI output'!M1836)),0)</f>
        <v>0</v>
      </c>
      <c r="Z1836" s="1">
        <f t="shared" si="231"/>
        <v>0</v>
      </c>
      <c r="AA1836" s="1">
        <f>--EXACT(A1836,"L01830")</f>
        <v>1</v>
      </c>
    </row>
    <row r="1837" spans="1:27" ht="18.95" customHeight="1">
      <c r="A1837" s="1" t="str">
        <f>IF(Raw!A1837="","",Raw!A1837)</f>
        <v>L01831</v>
      </c>
      <c r="B1837" s="1" t="str">
        <f>IF(Raw!B1837="","",Raw!B1837)</f>
        <v>T00916</v>
      </c>
      <c r="C1837" s="1" t="str">
        <f>IF(Raw!C1837="","",Raw!C1837)</f>
        <v>2026-01-16</v>
      </c>
      <c r="D1837" s="1">
        <f t="shared" si="224"/>
        <v>2026</v>
      </c>
      <c r="E1837" s="1">
        <f>IFERROR(IF(AND(LEN(C1837)=10,MID(C1837,5,1)="-",MID(C1837,8,1)="-"),VALUE(MID(C1837,6,2)),IF(AND(LEN(C1837)=11,MID(C1837,3,1)="-",MID(C1837,7,1)="-"),MATCH(UPPER(MID(C1837,4,3)),Guide!$D$7:$D$18,0),0)),0)</f>
        <v>1</v>
      </c>
      <c r="F1837" s="1">
        <f t="shared" si="225"/>
        <v>16</v>
      </c>
      <c r="G1837" s="9">
        <f t="shared" si="226"/>
        <v>46038</v>
      </c>
      <c r="H1837" s="1" t="str">
        <f>IF(Raw!D1837="","",Raw!D1837)</f>
        <v>P-A</v>
      </c>
      <c r="I1837" s="1" t="str">
        <f>IFERROR(IF(EXACT(H1837,INDEX(Guide!$A$7:$A$9,MATCH(SUBSTITUTE(SUBSTITUTE(SUBSTITUTE(H1837,"~","~~"),"*","~*"),"?","~?"),Guide!$A$7:$A$9,0))),INDEX(Guide!$B$7:$B$9,MATCH(SUBSTITUTE(SUBSTITUTE(SUBSTITUTE(H1837,"~","~~"),"*","~*"),"?","~?"),Guide!$A$7:$A$9,0)),""),"")</f>
        <v>Accessories</v>
      </c>
      <c r="J1837" s="1" t="str">
        <f>IF(TRIM(Raw!E1837)="",I1837,IF(UPPER(TRIM(Raw!E1837))=UPPER(I1837),I1837,""))</f>
        <v>Accessories</v>
      </c>
      <c r="K1837" s="1" t="str">
        <f>IF(Raw!F1837="","",Raw!F1837)</f>
        <v>sale</v>
      </c>
      <c r="L1837" s="1" t="str">
        <f>IF(LEFT(TRIM(Raw!G1837),2)="-$","-"&amp;MID(TRIM(Raw!G1837),3,99),IF(LEFT(TRIM(Raw!G1837),1)="$",MID(TRIM(Raw!G1837),2,99),TRIM(Raw!G1837)))</f>
        <v>82.09</v>
      </c>
      <c r="M1837" s="1">
        <f t="shared" si="227"/>
        <v>82.09</v>
      </c>
      <c r="N1837" s="10">
        <f t="shared" si="228"/>
        <v>8209</v>
      </c>
      <c r="O1837" s="1" t="b">
        <f>IFERROR(IF(ISNUMBER(Raw!G1837),TRUE,OR(EXACT(L1837,TEXT(M1837,"0.00")),EXACT(L1837,TEXT(M1837,"#,##0.00")))),FALSE)</f>
        <v>1</v>
      </c>
      <c r="P1837" s="1" t="str">
        <f>LEN(IF(Raw!A1837="","",Raw!A1837))&amp;":"&amp;IF(Raw!A1837="","",Raw!A1837)&amp;"|"&amp;LEN(IF(Raw!B1837="","",Raw!B1837))&amp;":"&amp;IF(Raw!B1837="","",Raw!B1837)&amp;"|"&amp;LEN(IF(Raw!C1837="","",Raw!C1837))&amp;":"&amp;IF(Raw!C1837="","",Raw!C1837)&amp;"|"&amp;LEN(IF(Raw!D1837="","",Raw!D1837))&amp;":"&amp;IF(Raw!D1837="","",Raw!D1837)&amp;"|"&amp;LEN(IF(Raw!E1837="","",Raw!E1837))&amp;":"&amp;IF(Raw!E1837="","",Raw!E1837)&amp;"|"&amp;LEN(IF(Raw!F1837="","",Raw!F1837))&amp;":"&amp;IF(Raw!F1837="","",Raw!F1837)&amp;"|"&amp;LEN(IF(Raw!G1837="","",Raw!G1837))&amp;":"&amp;IF(Raw!G1837="","",Raw!G1837)</f>
        <v>6:L01831|6:T00916|10:2026-01-16|3:P-A|11:Accessories|4:sale|5:82.09</v>
      </c>
      <c r="Q1837" s="1">
        <f>1</f>
        <v>1</v>
      </c>
      <c r="R1837" s="1" t="b">
        <f>FALSE</f>
        <v>0</v>
      </c>
      <c r="S1837" s="1">
        <f>1</f>
        <v>1</v>
      </c>
      <c r="T1837" s="1" t="str">
        <f>IF(AND(Raw!A1837="",Raw!B1837="",Raw!C1837="",Raw!D1837="",Raw!E1837="",Raw!F1837="",Raw!G1837=""),"UNUSED",IF(A1837="","missing line ID",IF(B1837="","missing transaction ID",IF(G1837="",IF(C1837="","missing date","invalid date"),IF(I1837="","unknown product",IF(J1837="","conflicting category",IF(NOT(OR(EXACT(K1837,"sale"),EXACT(K1837,"refund"))),"unknown event",IF(OR(N1837="",NOT(O1837)),"invalid amount",IF(OR(AND(K1837="sale",N1837&lt;=0),AND(K1837="refund",N1837&gt;=0)),"invalid sign","")))))))))</f>
        <v/>
      </c>
      <c r="U1837" s="1" t="str">
        <f t="shared" si="229"/>
        <v>INCLUDED</v>
      </c>
      <c r="V1837" s="1" t="str">
        <f t="shared" si="230"/>
        <v>2026-01</v>
      </c>
      <c r="W1837" s="1">
        <f>IF(AND(U1837="INCLUDED",X1837&gt;0,EXACT(A1837,'AI output'!A1837)),1,0)</f>
        <v>1</v>
      </c>
      <c r="X1837" s="1">
        <f>1837</f>
        <v>1837</v>
      </c>
      <c r="Y1837" s="1">
        <f>IF(AND(U1837="INCLUDED",W1837=1),--(NOT(EXACT(A1837,'AI output'!A1837)))+--(NOT(EXACT(B1837,'AI output'!B1837)))+--(NOT(EXACT(TEXT(G1837,"yyyy-mm-dd"),'AI output'!C1837)))+--(NOT(EXACT(H1837,'AI output'!D1837)))+--(NOT(EXACT(J1837,'AI output'!E1837)))+--(NOT(EXACT(K1837,'AI output'!F1837)))+--(N1837&lt;&gt;'AI output'!L1837)+--(NOT('AI output'!M1837)),0)</f>
        <v>0</v>
      </c>
      <c r="Z1837" s="1">
        <f t="shared" si="231"/>
        <v>0</v>
      </c>
      <c r="AA1837" s="1">
        <f>--EXACT(A1837,"L01831")</f>
        <v>1</v>
      </c>
    </row>
    <row r="1838" spans="1:27" ht="18.95" customHeight="1">
      <c r="A1838" s="1" t="str">
        <f>IF(Raw!A1838="","",Raw!A1838)</f>
        <v>L01832</v>
      </c>
      <c r="B1838" s="1" t="str">
        <f>IF(Raw!B1838="","",Raw!B1838)</f>
        <v>T00916</v>
      </c>
      <c r="C1838" s="1" t="str">
        <f>IF(Raw!C1838="","",Raw!C1838)</f>
        <v>2026-01-16</v>
      </c>
      <c r="D1838" s="1">
        <f t="shared" si="224"/>
        <v>2026</v>
      </c>
      <c r="E1838" s="1">
        <f>IFERROR(IF(AND(LEN(C1838)=10,MID(C1838,5,1)="-",MID(C1838,8,1)="-"),VALUE(MID(C1838,6,2)),IF(AND(LEN(C1838)=11,MID(C1838,3,1)="-",MID(C1838,7,1)="-"),MATCH(UPPER(MID(C1838,4,3)),Guide!$D$7:$D$18,0),0)),0)</f>
        <v>1</v>
      </c>
      <c r="F1838" s="1">
        <f t="shared" si="225"/>
        <v>16</v>
      </c>
      <c r="G1838" s="9">
        <f t="shared" si="226"/>
        <v>46038</v>
      </c>
      <c r="H1838" s="1" t="str">
        <f>IF(Raw!D1838="","",Raw!D1838)</f>
        <v>P-H</v>
      </c>
      <c r="I1838" s="1" t="str">
        <f>IFERROR(IF(EXACT(H1838,INDEX(Guide!$A$7:$A$9,MATCH(SUBSTITUTE(SUBSTITUTE(SUBSTITUTE(H1838,"~","~~"),"*","~*"),"?","~?"),Guide!$A$7:$A$9,0))),INDEX(Guide!$B$7:$B$9,MATCH(SUBSTITUTE(SUBSTITUTE(SUBSTITUTE(H1838,"~","~~"),"*","~*"),"?","~?"),Guide!$A$7:$A$9,0)),""),"")</f>
        <v>Home</v>
      </c>
      <c r="J1838" s="1" t="str">
        <f>IF(TRIM(Raw!E1838)="",I1838,IF(UPPER(TRIM(Raw!E1838))=UPPER(I1838),I1838,""))</f>
        <v>Home</v>
      </c>
      <c r="K1838" s="1" t="str">
        <f>IF(Raw!F1838="","",Raw!F1838)</f>
        <v>sale</v>
      </c>
      <c r="L1838" s="1" t="str">
        <f>IF(LEFT(TRIM(Raw!G1838),2)="-$","-"&amp;MID(TRIM(Raw!G1838),3,99),IF(LEFT(TRIM(Raw!G1838),1)="$",MID(TRIM(Raw!G1838),2,99),TRIM(Raw!G1838)))</f>
        <v>247.38</v>
      </c>
      <c r="M1838" s="1">
        <f t="shared" si="227"/>
        <v>247.38</v>
      </c>
      <c r="N1838" s="10">
        <f t="shared" si="228"/>
        <v>24738</v>
      </c>
      <c r="O1838" s="1" t="b">
        <f>IFERROR(IF(ISNUMBER(Raw!G1838),TRUE,OR(EXACT(L1838,TEXT(M1838,"0.00")),EXACT(L1838,TEXT(M1838,"#,##0.00")))),FALSE)</f>
        <v>1</v>
      </c>
      <c r="P1838" s="1" t="str">
        <f>LEN(IF(Raw!A1838="","",Raw!A1838))&amp;":"&amp;IF(Raw!A1838="","",Raw!A1838)&amp;"|"&amp;LEN(IF(Raw!B1838="","",Raw!B1838))&amp;":"&amp;IF(Raw!B1838="","",Raw!B1838)&amp;"|"&amp;LEN(IF(Raw!C1838="","",Raw!C1838))&amp;":"&amp;IF(Raw!C1838="","",Raw!C1838)&amp;"|"&amp;LEN(IF(Raw!D1838="","",Raw!D1838))&amp;":"&amp;IF(Raw!D1838="","",Raw!D1838)&amp;"|"&amp;LEN(IF(Raw!E1838="","",Raw!E1838))&amp;":"&amp;IF(Raw!E1838="","",Raw!E1838)&amp;"|"&amp;LEN(IF(Raw!F1838="","",Raw!F1838))&amp;":"&amp;IF(Raw!F1838="","",Raw!F1838)&amp;"|"&amp;LEN(IF(Raw!G1838="","",Raw!G1838))&amp;":"&amp;IF(Raw!G1838="","",Raw!G1838)</f>
        <v>6:L01832|6:T00916|10:2026-01-16|3:P-H|4:Home|4:sale|6:247.38</v>
      </c>
      <c r="Q1838" s="1">
        <f>1</f>
        <v>1</v>
      </c>
      <c r="R1838" s="1" t="b">
        <f>FALSE</f>
        <v>0</v>
      </c>
      <c r="S1838" s="1">
        <f>1</f>
        <v>1</v>
      </c>
      <c r="T1838" s="1" t="str">
        <f>IF(AND(Raw!A1838="",Raw!B1838="",Raw!C1838="",Raw!D1838="",Raw!E1838="",Raw!F1838="",Raw!G1838=""),"UNUSED",IF(A1838="","missing line ID",IF(B1838="","missing transaction ID",IF(G1838="",IF(C1838="","missing date","invalid date"),IF(I1838="","unknown product",IF(J1838="","conflicting category",IF(NOT(OR(EXACT(K1838,"sale"),EXACT(K1838,"refund"))),"unknown event",IF(OR(N1838="",NOT(O1838)),"invalid amount",IF(OR(AND(K1838="sale",N1838&lt;=0),AND(K1838="refund",N1838&gt;=0)),"invalid sign","")))))))))</f>
        <v/>
      </c>
      <c r="U1838" s="1" t="str">
        <f t="shared" si="229"/>
        <v>INCLUDED</v>
      </c>
      <c r="V1838" s="1" t="str">
        <f t="shared" si="230"/>
        <v>2026-01</v>
      </c>
      <c r="W1838" s="1">
        <f>IF(AND(U1838="INCLUDED",X1838&gt;0,EXACT(A1838,'AI output'!A1838)),1,0)</f>
        <v>1</v>
      </c>
      <c r="X1838" s="1">
        <f>1838</f>
        <v>1838</v>
      </c>
      <c r="Y1838" s="1">
        <f>IF(AND(U1838="INCLUDED",W1838=1),--(NOT(EXACT(A1838,'AI output'!A1838)))+--(NOT(EXACT(B1838,'AI output'!B1838)))+--(NOT(EXACT(TEXT(G1838,"yyyy-mm-dd"),'AI output'!C1838)))+--(NOT(EXACT(H1838,'AI output'!D1838)))+--(NOT(EXACT(J1838,'AI output'!E1838)))+--(NOT(EXACT(K1838,'AI output'!F1838)))+--(N1838&lt;&gt;'AI output'!L1838)+--(NOT('AI output'!M1838)),0)</f>
        <v>0</v>
      </c>
      <c r="Z1838" s="1">
        <f t="shared" si="231"/>
        <v>0</v>
      </c>
      <c r="AA1838" s="1">
        <f>--EXACT(A1838,"L01832")</f>
        <v>1</v>
      </c>
    </row>
    <row r="1839" spans="1:27" ht="18.95" customHeight="1">
      <c r="A1839" s="1" t="str">
        <f>IF(Raw!A1839="","",Raw!A1839)</f>
        <v>L01833</v>
      </c>
      <c r="B1839" s="1" t="str">
        <f>IF(Raw!B1839="","",Raw!B1839)</f>
        <v>T00917</v>
      </c>
      <c r="C1839" s="1" t="str">
        <f>IF(Raw!C1839="","",Raw!C1839)</f>
        <v>2026-01-23</v>
      </c>
      <c r="D1839" s="1">
        <f t="shared" si="224"/>
        <v>2026</v>
      </c>
      <c r="E1839" s="1">
        <f>IFERROR(IF(AND(LEN(C1839)=10,MID(C1839,5,1)="-",MID(C1839,8,1)="-"),VALUE(MID(C1839,6,2)),IF(AND(LEN(C1839)=11,MID(C1839,3,1)="-",MID(C1839,7,1)="-"),MATCH(UPPER(MID(C1839,4,3)),Guide!$D$7:$D$18,0),0)),0)</f>
        <v>1</v>
      </c>
      <c r="F1839" s="1">
        <f t="shared" si="225"/>
        <v>23</v>
      </c>
      <c r="G1839" s="9">
        <f t="shared" si="226"/>
        <v>46045</v>
      </c>
      <c r="H1839" s="1" t="str">
        <f>IF(Raw!D1839="","",Raw!D1839)</f>
        <v>P-O</v>
      </c>
      <c r="I1839" s="1" t="str">
        <f>IFERROR(IF(EXACT(H1839,INDEX(Guide!$A$7:$A$9,MATCH(SUBSTITUTE(SUBSTITUTE(SUBSTITUTE(H1839,"~","~~"),"*","~*"),"?","~?"),Guide!$A$7:$A$9,0))),INDEX(Guide!$B$7:$B$9,MATCH(SUBSTITUTE(SUBSTITUTE(SUBSTITUTE(H1839,"~","~~"),"*","~*"),"?","~?"),Guide!$A$7:$A$9,0)),""),"")</f>
        <v>Office</v>
      </c>
      <c r="J1839" s="1" t="str">
        <f>IF(TRIM(Raw!E1839)="",I1839,IF(UPPER(TRIM(Raw!E1839))=UPPER(I1839),I1839,""))</f>
        <v>Office</v>
      </c>
      <c r="K1839" s="1" t="str">
        <f>IF(Raw!F1839="","",Raw!F1839)</f>
        <v>sale</v>
      </c>
      <c r="L1839" s="1" t="str">
        <f>IF(LEFT(TRIM(Raw!G1839),2)="-$","-"&amp;MID(TRIM(Raw!G1839),3,99),IF(LEFT(TRIM(Raw!G1839),1)="$",MID(TRIM(Raw!G1839),2,99),TRIM(Raw!G1839)))</f>
        <v>414.15</v>
      </c>
      <c r="M1839" s="1">
        <f t="shared" si="227"/>
        <v>414.15</v>
      </c>
      <c r="N1839" s="10">
        <f t="shared" si="228"/>
        <v>41415</v>
      </c>
      <c r="O1839" s="1" t="b">
        <f>IFERROR(IF(ISNUMBER(Raw!G1839),TRUE,OR(EXACT(L1839,TEXT(M1839,"0.00")),EXACT(L1839,TEXT(M1839,"#,##0.00")))),FALSE)</f>
        <v>1</v>
      </c>
      <c r="P1839" s="1" t="str">
        <f>LEN(IF(Raw!A1839="","",Raw!A1839))&amp;":"&amp;IF(Raw!A1839="","",Raw!A1839)&amp;"|"&amp;LEN(IF(Raw!B1839="","",Raw!B1839))&amp;":"&amp;IF(Raw!B1839="","",Raw!B1839)&amp;"|"&amp;LEN(IF(Raw!C1839="","",Raw!C1839))&amp;":"&amp;IF(Raw!C1839="","",Raw!C1839)&amp;"|"&amp;LEN(IF(Raw!D1839="","",Raw!D1839))&amp;":"&amp;IF(Raw!D1839="","",Raw!D1839)&amp;"|"&amp;LEN(IF(Raw!E1839="","",Raw!E1839))&amp;":"&amp;IF(Raw!E1839="","",Raw!E1839)&amp;"|"&amp;LEN(IF(Raw!F1839="","",Raw!F1839))&amp;":"&amp;IF(Raw!F1839="","",Raw!F1839)&amp;"|"&amp;LEN(IF(Raw!G1839="","",Raw!G1839))&amp;":"&amp;IF(Raw!G1839="","",Raw!G1839)</f>
        <v>6:L01833|6:T00917|10:2026-01-23|3:P-O|6:Office|4:sale|6:414.15</v>
      </c>
      <c r="Q1839" s="1">
        <f>1</f>
        <v>1</v>
      </c>
      <c r="R1839" s="1" t="b">
        <f>FALSE</f>
        <v>0</v>
      </c>
      <c r="S1839" s="1">
        <f>1</f>
        <v>1</v>
      </c>
      <c r="T1839" s="1" t="str">
        <f>IF(AND(Raw!A1839="",Raw!B1839="",Raw!C1839="",Raw!D1839="",Raw!E1839="",Raw!F1839="",Raw!G1839=""),"UNUSED",IF(A1839="","missing line ID",IF(B1839="","missing transaction ID",IF(G1839="",IF(C1839="","missing date","invalid date"),IF(I1839="","unknown product",IF(J1839="","conflicting category",IF(NOT(OR(EXACT(K1839,"sale"),EXACT(K1839,"refund"))),"unknown event",IF(OR(N1839="",NOT(O1839)),"invalid amount",IF(OR(AND(K1839="sale",N1839&lt;=0),AND(K1839="refund",N1839&gt;=0)),"invalid sign","")))))))))</f>
        <v/>
      </c>
      <c r="U1839" s="1" t="str">
        <f t="shared" si="229"/>
        <v>INCLUDED</v>
      </c>
      <c r="V1839" s="1" t="str">
        <f t="shared" si="230"/>
        <v>2026-01</v>
      </c>
      <c r="W1839" s="1">
        <f>IF(AND(U1839="INCLUDED",X1839&gt;0,EXACT(A1839,'AI output'!A1839)),1,0)</f>
        <v>1</v>
      </c>
      <c r="X1839" s="1">
        <f>1839</f>
        <v>1839</v>
      </c>
      <c r="Y1839" s="1">
        <f>IF(AND(U1839="INCLUDED",W1839=1),--(NOT(EXACT(A1839,'AI output'!A1839)))+--(NOT(EXACT(B1839,'AI output'!B1839)))+--(NOT(EXACT(TEXT(G1839,"yyyy-mm-dd"),'AI output'!C1839)))+--(NOT(EXACT(H1839,'AI output'!D1839)))+--(NOT(EXACT(J1839,'AI output'!E1839)))+--(NOT(EXACT(K1839,'AI output'!F1839)))+--(N1839&lt;&gt;'AI output'!L1839)+--(NOT('AI output'!M1839)),0)</f>
        <v>0</v>
      </c>
      <c r="Z1839" s="1">
        <f t="shared" si="231"/>
        <v>0</v>
      </c>
      <c r="AA1839" s="1">
        <f>--EXACT(A1839,"L01833")</f>
        <v>1</v>
      </c>
    </row>
    <row r="1840" spans="1:27" ht="18.95" customHeight="1">
      <c r="A1840" s="1" t="str">
        <f>IF(Raw!A1840="","",Raw!A1840)</f>
        <v>L01834</v>
      </c>
      <c r="B1840" s="1" t="str">
        <f>IF(Raw!B1840="","",Raw!B1840)</f>
        <v>T00917</v>
      </c>
      <c r="C1840" s="1" t="str">
        <f>IF(Raw!C1840="","",Raw!C1840)</f>
        <v>2026-01-23</v>
      </c>
      <c r="D1840" s="1">
        <f t="shared" si="224"/>
        <v>2026</v>
      </c>
      <c r="E1840" s="1">
        <f>IFERROR(IF(AND(LEN(C1840)=10,MID(C1840,5,1)="-",MID(C1840,8,1)="-"),VALUE(MID(C1840,6,2)),IF(AND(LEN(C1840)=11,MID(C1840,3,1)="-",MID(C1840,7,1)="-"),MATCH(UPPER(MID(C1840,4,3)),Guide!$D$7:$D$18,0),0)),0)</f>
        <v>1</v>
      </c>
      <c r="F1840" s="1">
        <f t="shared" si="225"/>
        <v>23</v>
      </c>
      <c r="G1840" s="9">
        <f t="shared" si="226"/>
        <v>46045</v>
      </c>
      <c r="H1840" s="1" t="str">
        <f>IF(Raw!D1840="","",Raw!D1840)</f>
        <v>P-A</v>
      </c>
      <c r="I1840" s="1" t="str">
        <f>IFERROR(IF(EXACT(H1840,INDEX(Guide!$A$7:$A$9,MATCH(SUBSTITUTE(SUBSTITUTE(SUBSTITUTE(H1840,"~","~~"),"*","~*"),"?","~?"),Guide!$A$7:$A$9,0))),INDEX(Guide!$B$7:$B$9,MATCH(SUBSTITUTE(SUBSTITUTE(SUBSTITUTE(H1840,"~","~~"),"*","~*"),"?","~?"),Guide!$A$7:$A$9,0)),""),"")</f>
        <v>Accessories</v>
      </c>
      <c r="J1840" s="1" t="str">
        <f>IF(TRIM(Raw!E1840)="",I1840,IF(UPPER(TRIM(Raw!E1840))=UPPER(I1840),I1840,""))</f>
        <v>Accessories</v>
      </c>
      <c r="K1840" s="1" t="str">
        <f>IF(Raw!F1840="","",Raw!F1840)</f>
        <v>sale</v>
      </c>
      <c r="L1840" s="1" t="str">
        <f>IF(LEFT(TRIM(Raw!G1840),2)="-$","-"&amp;MID(TRIM(Raw!G1840),3,99),IF(LEFT(TRIM(Raw!G1840),1)="$",MID(TRIM(Raw!G1840),2,99),TRIM(Raw!G1840)))</f>
        <v>166.40</v>
      </c>
      <c r="M1840" s="1">
        <f t="shared" si="227"/>
        <v>166.4</v>
      </c>
      <c r="N1840" s="10">
        <f t="shared" si="228"/>
        <v>16640</v>
      </c>
      <c r="O1840" s="1" t="b">
        <f>IFERROR(IF(ISNUMBER(Raw!G1840),TRUE,OR(EXACT(L1840,TEXT(M1840,"0.00")),EXACT(L1840,TEXT(M1840,"#,##0.00")))),FALSE)</f>
        <v>1</v>
      </c>
      <c r="P1840" s="1" t="str">
        <f>LEN(IF(Raw!A1840="","",Raw!A1840))&amp;":"&amp;IF(Raw!A1840="","",Raw!A1840)&amp;"|"&amp;LEN(IF(Raw!B1840="","",Raw!B1840))&amp;":"&amp;IF(Raw!B1840="","",Raw!B1840)&amp;"|"&amp;LEN(IF(Raw!C1840="","",Raw!C1840))&amp;":"&amp;IF(Raw!C1840="","",Raw!C1840)&amp;"|"&amp;LEN(IF(Raw!D1840="","",Raw!D1840))&amp;":"&amp;IF(Raw!D1840="","",Raw!D1840)&amp;"|"&amp;LEN(IF(Raw!E1840="","",Raw!E1840))&amp;":"&amp;IF(Raw!E1840="","",Raw!E1840)&amp;"|"&amp;LEN(IF(Raw!F1840="","",Raw!F1840))&amp;":"&amp;IF(Raw!F1840="","",Raw!F1840)&amp;"|"&amp;LEN(IF(Raw!G1840="","",Raw!G1840))&amp;":"&amp;IF(Raw!G1840="","",Raw!G1840)</f>
        <v>6:L01834|6:T00917|10:2026-01-23|3:P-A|11:Accessories|4:sale|6:166.40</v>
      </c>
      <c r="Q1840" s="1">
        <f>1</f>
        <v>1</v>
      </c>
      <c r="R1840" s="1" t="b">
        <f>FALSE</f>
        <v>0</v>
      </c>
      <c r="S1840" s="1">
        <f>1</f>
        <v>1</v>
      </c>
      <c r="T1840" s="1" t="str">
        <f>IF(AND(Raw!A1840="",Raw!B1840="",Raw!C1840="",Raw!D1840="",Raw!E1840="",Raw!F1840="",Raw!G1840=""),"UNUSED",IF(A1840="","missing line ID",IF(B1840="","missing transaction ID",IF(G1840="",IF(C1840="","missing date","invalid date"),IF(I1840="","unknown product",IF(J1840="","conflicting category",IF(NOT(OR(EXACT(K1840,"sale"),EXACT(K1840,"refund"))),"unknown event",IF(OR(N1840="",NOT(O1840)),"invalid amount",IF(OR(AND(K1840="sale",N1840&lt;=0),AND(K1840="refund",N1840&gt;=0)),"invalid sign","")))))))))</f>
        <v/>
      </c>
      <c r="U1840" s="1" t="str">
        <f t="shared" si="229"/>
        <v>INCLUDED</v>
      </c>
      <c r="V1840" s="1" t="str">
        <f t="shared" si="230"/>
        <v>2026-01</v>
      </c>
      <c r="W1840" s="1">
        <f>IF(AND(U1840="INCLUDED",X1840&gt;0,EXACT(A1840,'AI output'!A1840)),1,0)</f>
        <v>1</v>
      </c>
      <c r="X1840" s="1">
        <f>1840</f>
        <v>1840</v>
      </c>
      <c r="Y1840" s="1">
        <f>IF(AND(U1840="INCLUDED",W1840=1),--(NOT(EXACT(A1840,'AI output'!A1840)))+--(NOT(EXACT(B1840,'AI output'!B1840)))+--(NOT(EXACT(TEXT(G1840,"yyyy-mm-dd"),'AI output'!C1840)))+--(NOT(EXACT(H1840,'AI output'!D1840)))+--(NOT(EXACT(J1840,'AI output'!E1840)))+--(NOT(EXACT(K1840,'AI output'!F1840)))+--(N1840&lt;&gt;'AI output'!L1840)+--(NOT('AI output'!M1840)),0)</f>
        <v>0</v>
      </c>
      <c r="Z1840" s="1">
        <f t="shared" si="231"/>
        <v>0</v>
      </c>
      <c r="AA1840" s="1">
        <f>--EXACT(A1840,"L01834")</f>
        <v>1</v>
      </c>
    </row>
    <row r="1841" spans="1:27" ht="18.95" customHeight="1">
      <c r="A1841" s="1" t="str">
        <f>IF(Raw!A1841="","",Raw!A1841)</f>
        <v>L01835</v>
      </c>
      <c r="B1841" s="1" t="str">
        <f>IF(Raw!B1841="","",Raw!B1841)</f>
        <v>T00918</v>
      </c>
      <c r="C1841" s="1" t="str">
        <f>IF(Raw!C1841="","",Raw!C1841)</f>
        <v>2026-01-30</v>
      </c>
      <c r="D1841" s="1">
        <f t="shared" si="224"/>
        <v>2026</v>
      </c>
      <c r="E1841" s="1">
        <f>IFERROR(IF(AND(LEN(C1841)=10,MID(C1841,5,1)="-",MID(C1841,8,1)="-"),VALUE(MID(C1841,6,2)),IF(AND(LEN(C1841)=11,MID(C1841,3,1)="-",MID(C1841,7,1)="-"),MATCH(UPPER(MID(C1841,4,3)),Guide!$D$7:$D$18,0),0)),0)</f>
        <v>1</v>
      </c>
      <c r="F1841" s="1">
        <f t="shared" si="225"/>
        <v>30</v>
      </c>
      <c r="G1841" s="9">
        <f t="shared" si="226"/>
        <v>46052</v>
      </c>
      <c r="H1841" s="1" t="str">
        <f>IF(Raw!D1841="","",Raw!D1841)</f>
        <v>P-H</v>
      </c>
      <c r="I1841" s="1" t="str">
        <f>IFERROR(IF(EXACT(H1841,INDEX(Guide!$A$7:$A$9,MATCH(SUBSTITUTE(SUBSTITUTE(SUBSTITUTE(H1841,"~","~~"),"*","~*"),"?","~?"),Guide!$A$7:$A$9,0))),INDEX(Guide!$B$7:$B$9,MATCH(SUBSTITUTE(SUBSTITUTE(SUBSTITUTE(H1841,"~","~~"),"*","~*"),"?","~?"),Guide!$A$7:$A$9,0)),""),"")</f>
        <v>Home</v>
      </c>
      <c r="J1841" s="1" t="str">
        <f>IF(TRIM(Raw!E1841)="",I1841,IF(UPPER(TRIM(Raw!E1841))=UPPER(I1841),I1841,""))</f>
        <v>Home</v>
      </c>
      <c r="K1841" s="1" t="str">
        <f>IF(Raw!F1841="","",Raw!F1841)</f>
        <v>sale</v>
      </c>
      <c r="L1841" s="1" t="str">
        <f>IF(LEFT(TRIM(Raw!G1841),2)="-$","-"&amp;MID(TRIM(Raw!G1841),3,99),IF(LEFT(TRIM(Raw!G1841),1)="$",MID(TRIM(Raw!G1841),2,99),TRIM(Raw!G1841)))</f>
        <v>334.28</v>
      </c>
      <c r="M1841" s="1">
        <f t="shared" si="227"/>
        <v>334.28</v>
      </c>
      <c r="N1841" s="10">
        <f t="shared" si="228"/>
        <v>33428</v>
      </c>
      <c r="O1841" s="1" t="b">
        <f>IFERROR(IF(ISNUMBER(Raw!G1841),TRUE,OR(EXACT(L1841,TEXT(M1841,"0.00")),EXACT(L1841,TEXT(M1841,"#,##0.00")))),FALSE)</f>
        <v>1</v>
      </c>
      <c r="P1841" s="1" t="str">
        <f>LEN(IF(Raw!A1841="","",Raw!A1841))&amp;":"&amp;IF(Raw!A1841="","",Raw!A1841)&amp;"|"&amp;LEN(IF(Raw!B1841="","",Raw!B1841))&amp;":"&amp;IF(Raw!B1841="","",Raw!B1841)&amp;"|"&amp;LEN(IF(Raw!C1841="","",Raw!C1841))&amp;":"&amp;IF(Raw!C1841="","",Raw!C1841)&amp;"|"&amp;LEN(IF(Raw!D1841="","",Raw!D1841))&amp;":"&amp;IF(Raw!D1841="","",Raw!D1841)&amp;"|"&amp;LEN(IF(Raw!E1841="","",Raw!E1841))&amp;":"&amp;IF(Raw!E1841="","",Raw!E1841)&amp;"|"&amp;LEN(IF(Raw!F1841="","",Raw!F1841))&amp;":"&amp;IF(Raw!F1841="","",Raw!F1841)&amp;"|"&amp;LEN(IF(Raw!G1841="","",Raw!G1841))&amp;":"&amp;IF(Raw!G1841="","",Raw!G1841)</f>
        <v>6:L01835|6:T00918|10:2026-01-30|3:P-H|4:Home|4:sale|6:334.28</v>
      </c>
      <c r="Q1841" s="1">
        <f>1</f>
        <v>1</v>
      </c>
      <c r="R1841" s="1" t="b">
        <f>FALSE</f>
        <v>0</v>
      </c>
      <c r="S1841" s="1">
        <f>1</f>
        <v>1</v>
      </c>
      <c r="T1841" s="1" t="str">
        <f>IF(AND(Raw!A1841="",Raw!B1841="",Raw!C1841="",Raw!D1841="",Raw!E1841="",Raw!F1841="",Raw!G1841=""),"UNUSED",IF(A1841="","missing line ID",IF(B1841="","missing transaction ID",IF(G1841="",IF(C1841="","missing date","invalid date"),IF(I1841="","unknown product",IF(J1841="","conflicting category",IF(NOT(OR(EXACT(K1841,"sale"),EXACT(K1841,"refund"))),"unknown event",IF(OR(N1841="",NOT(O1841)),"invalid amount",IF(OR(AND(K1841="sale",N1841&lt;=0),AND(K1841="refund",N1841&gt;=0)),"invalid sign","")))))))))</f>
        <v/>
      </c>
      <c r="U1841" s="1" t="str">
        <f t="shared" si="229"/>
        <v>INCLUDED</v>
      </c>
      <c r="V1841" s="1" t="str">
        <f t="shared" si="230"/>
        <v>2026-01</v>
      </c>
      <c r="W1841" s="1">
        <f>IF(AND(U1841="INCLUDED",X1841&gt;0,EXACT(A1841,'AI output'!A1841)),1,0)</f>
        <v>1</v>
      </c>
      <c r="X1841" s="1">
        <f>1841</f>
        <v>1841</v>
      </c>
      <c r="Y1841" s="1">
        <f>IF(AND(U1841="INCLUDED",W1841=1),--(NOT(EXACT(A1841,'AI output'!A1841)))+--(NOT(EXACT(B1841,'AI output'!B1841)))+--(NOT(EXACT(TEXT(G1841,"yyyy-mm-dd"),'AI output'!C1841)))+--(NOT(EXACT(H1841,'AI output'!D1841)))+--(NOT(EXACT(J1841,'AI output'!E1841)))+--(NOT(EXACT(K1841,'AI output'!F1841)))+--(N1841&lt;&gt;'AI output'!L1841)+--(NOT('AI output'!M1841)),0)</f>
        <v>0</v>
      </c>
      <c r="Z1841" s="1">
        <f t="shared" si="231"/>
        <v>0</v>
      </c>
      <c r="AA1841" s="1">
        <f>--EXACT(A1841,"L01835")</f>
        <v>1</v>
      </c>
    </row>
    <row r="1842" spans="1:27" ht="18.95" customHeight="1">
      <c r="A1842" s="1" t="str">
        <f>IF(Raw!A1842="","",Raw!A1842)</f>
        <v>L01836</v>
      </c>
      <c r="B1842" s="1" t="str">
        <f>IF(Raw!B1842="","",Raw!B1842)</f>
        <v>T00918</v>
      </c>
      <c r="C1842" s="1" t="str">
        <f>IF(Raw!C1842="","",Raw!C1842)</f>
        <v>2026-01-30</v>
      </c>
      <c r="D1842" s="1">
        <f t="shared" si="224"/>
        <v>2026</v>
      </c>
      <c r="E1842" s="1">
        <f>IFERROR(IF(AND(LEN(C1842)=10,MID(C1842,5,1)="-",MID(C1842,8,1)="-"),VALUE(MID(C1842,6,2)),IF(AND(LEN(C1842)=11,MID(C1842,3,1)="-",MID(C1842,7,1)="-"),MATCH(UPPER(MID(C1842,4,3)),Guide!$D$7:$D$18,0),0)),0)</f>
        <v>1</v>
      </c>
      <c r="F1842" s="1">
        <f t="shared" si="225"/>
        <v>30</v>
      </c>
      <c r="G1842" s="9">
        <f t="shared" si="226"/>
        <v>46052</v>
      </c>
      <c r="H1842" s="1" t="str">
        <f>IF(Raw!D1842="","",Raw!D1842)</f>
        <v>P-O</v>
      </c>
      <c r="I1842" s="1" t="str">
        <f>IFERROR(IF(EXACT(H1842,INDEX(Guide!$A$7:$A$9,MATCH(SUBSTITUTE(SUBSTITUTE(SUBSTITUTE(H1842,"~","~~"),"*","~*"),"?","~?"),Guide!$A$7:$A$9,0))),INDEX(Guide!$B$7:$B$9,MATCH(SUBSTITUTE(SUBSTITUTE(SUBSTITUTE(H1842,"~","~~"),"*","~*"),"?","~?"),Guide!$A$7:$A$9,0)),""),"")</f>
        <v>Office</v>
      </c>
      <c r="J1842" s="1" t="str">
        <f>IF(TRIM(Raw!E1842)="",I1842,IF(UPPER(TRIM(Raw!E1842))=UPPER(I1842),I1842,""))</f>
        <v>Office</v>
      </c>
      <c r="K1842" s="1" t="str">
        <f>IF(Raw!F1842="","",Raw!F1842)</f>
        <v>sale</v>
      </c>
      <c r="L1842" s="1" t="str">
        <f>IF(LEFT(TRIM(Raw!G1842),2)="-$","-"&amp;MID(TRIM(Raw!G1842),3,99),IF(LEFT(TRIM(Raw!G1842),1)="$",MID(TRIM(Raw!G1842),2,99),TRIM(Raw!G1842)))</f>
        <v>83.94</v>
      </c>
      <c r="M1842" s="1">
        <f t="shared" si="227"/>
        <v>83.94</v>
      </c>
      <c r="N1842" s="10">
        <f t="shared" si="228"/>
        <v>8394</v>
      </c>
      <c r="O1842" s="1" t="b">
        <f>IFERROR(IF(ISNUMBER(Raw!G1842),TRUE,OR(EXACT(L1842,TEXT(M1842,"0.00")),EXACT(L1842,TEXT(M1842,"#,##0.00")))),FALSE)</f>
        <v>1</v>
      </c>
      <c r="P1842" s="1" t="str">
        <f>LEN(IF(Raw!A1842="","",Raw!A1842))&amp;":"&amp;IF(Raw!A1842="","",Raw!A1842)&amp;"|"&amp;LEN(IF(Raw!B1842="","",Raw!B1842))&amp;":"&amp;IF(Raw!B1842="","",Raw!B1842)&amp;"|"&amp;LEN(IF(Raw!C1842="","",Raw!C1842))&amp;":"&amp;IF(Raw!C1842="","",Raw!C1842)&amp;"|"&amp;LEN(IF(Raw!D1842="","",Raw!D1842))&amp;":"&amp;IF(Raw!D1842="","",Raw!D1842)&amp;"|"&amp;LEN(IF(Raw!E1842="","",Raw!E1842))&amp;":"&amp;IF(Raw!E1842="","",Raw!E1842)&amp;"|"&amp;LEN(IF(Raw!F1842="","",Raw!F1842))&amp;":"&amp;IF(Raw!F1842="","",Raw!F1842)&amp;"|"&amp;LEN(IF(Raw!G1842="","",Raw!G1842))&amp;":"&amp;IF(Raw!G1842="","",Raw!G1842)</f>
        <v>6:L01836|6:T00918|10:2026-01-30|3:P-O|6:Office|4:sale|5:83.94</v>
      </c>
      <c r="Q1842" s="1">
        <f>1</f>
        <v>1</v>
      </c>
      <c r="R1842" s="1" t="b">
        <f>FALSE</f>
        <v>0</v>
      </c>
      <c r="S1842" s="1">
        <f>1</f>
        <v>1</v>
      </c>
      <c r="T1842" s="1" t="str">
        <f>IF(AND(Raw!A1842="",Raw!B1842="",Raw!C1842="",Raw!D1842="",Raw!E1842="",Raw!F1842="",Raw!G1842=""),"UNUSED",IF(A1842="","missing line ID",IF(B1842="","missing transaction ID",IF(G1842="",IF(C1842="","missing date","invalid date"),IF(I1842="","unknown product",IF(J1842="","conflicting category",IF(NOT(OR(EXACT(K1842,"sale"),EXACT(K1842,"refund"))),"unknown event",IF(OR(N1842="",NOT(O1842)),"invalid amount",IF(OR(AND(K1842="sale",N1842&lt;=0),AND(K1842="refund",N1842&gt;=0)),"invalid sign","")))))))))</f>
        <v/>
      </c>
      <c r="U1842" s="1" t="str">
        <f t="shared" si="229"/>
        <v>INCLUDED</v>
      </c>
      <c r="V1842" s="1" t="str">
        <f t="shared" si="230"/>
        <v>2026-01</v>
      </c>
      <c r="W1842" s="1">
        <f>IF(AND(U1842="INCLUDED",X1842&gt;0,EXACT(A1842,'AI output'!A1842)),1,0)</f>
        <v>1</v>
      </c>
      <c r="X1842" s="1">
        <f>1842</f>
        <v>1842</v>
      </c>
      <c r="Y1842" s="1">
        <f>IF(AND(U1842="INCLUDED",W1842=1),--(NOT(EXACT(A1842,'AI output'!A1842)))+--(NOT(EXACT(B1842,'AI output'!B1842)))+--(NOT(EXACT(TEXT(G1842,"yyyy-mm-dd"),'AI output'!C1842)))+--(NOT(EXACT(H1842,'AI output'!D1842)))+--(NOT(EXACT(J1842,'AI output'!E1842)))+--(NOT(EXACT(K1842,'AI output'!F1842)))+--(N1842&lt;&gt;'AI output'!L1842)+--(NOT('AI output'!M1842)),0)</f>
        <v>0</v>
      </c>
      <c r="Z1842" s="1">
        <f t="shared" si="231"/>
        <v>0</v>
      </c>
      <c r="AA1842" s="1">
        <f>--EXACT(A1842,"L01836")</f>
        <v>1</v>
      </c>
    </row>
    <row r="1843" spans="1:27" ht="18.95" customHeight="1">
      <c r="A1843" s="1" t="str">
        <f>IF(Raw!A1843="","",Raw!A1843)</f>
        <v>L01837</v>
      </c>
      <c r="B1843" s="1" t="str">
        <f>IF(Raw!B1843="","",Raw!B1843)</f>
        <v>T00919</v>
      </c>
      <c r="C1843" s="1" t="str">
        <f>IF(Raw!C1843="","",Raw!C1843)</f>
        <v>2026-02-06</v>
      </c>
      <c r="D1843" s="1">
        <f t="shared" si="224"/>
        <v>2026</v>
      </c>
      <c r="E1843" s="1">
        <f>IFERROR(IF(AND(LEN(C1843)=10,MID(C1843,5,1)="-",MID(C1843,8,1)="-"),VALUE(MID(C1843,6,2)),IF(AND(LEN(C1843)=11,MID(C1843,3,1)="-",MID(C1843,7,1)="-"),MATCH(UPPER(MID(C1843,4,3)),Guide!$D$7:$D$18,0),0)),0)</f>
        <v>2</v>
      </c>
      <c r="F1843" s="1">
        <f t="shared" si="225"/>
        <v>6</v>
      </c>
      <c r="G1843" s="9">
        <f t="shared" si="226"/>
        <v>46059</v>
      </c>
      <c r="H1843" s="1" t="str">
        <f>IF(Raw!D1843="","",Raw!D1843)</f>
        <v>P-A</v>
      </c>
      <c r="I1843" s="1" t="str">
        <f>IFERROR(IF(EXACT(H1843,INDEX(Guide!$A$7:$A$9,MATCH(SUBSTITUTE(SUBSTITUTE(SUBSTITUTE(H1843,"~","~~"),"*","~*"),"?","~?"),Guide!$A$7:$A$9,0))),INDEX(Guide!$B$7:$B$9,MATCH(SUBSTITUTE(SUBSTITUTE(SUBSTITUTE(H1843,"~","~~"),"*","~*"),"?","~?"),Guide!$A$7:$A$9,0)),""),"")</f>
        <v>Accessories</v>
      </c>
      <c r="J1843" s="1" t="str">
        <f>IF(TRIM(Raw!E1843)="",I1843,IF(UPPER(TRIM(Raw!E1843))=UPPER(I1843),I1843,""))</f>
        <v>Accessories</v>
      </c>
      <c r="K1843" s="1" t="str">
        <f>IF(Raw!F1843="","",Raw!F1843)</f>
        <v>sale</v>
      </c>
      <c r="L1843" s="1" t="str">
        <f>IF(LEFT(TRIM(Raw!G1843),2)="-$","-"&amp;MID(TRIM(Raw!G1843),3,99),IF(LEFT(TRIM(Raw!G1843),1)="$",MID(TRIM(Raw!G1843),2,99),TRIM(Raw!G1843)))</f>
        <v>252.93</v>
      </c>
      <c r="M1843" s="1">
        <f t="shared" si="227"/>
        <v>252.93</v>
      </c>
      <c r="N1843" s="10">
        <f t="shared" si="228"/>
        <v>25293</v>
      </c>
      <c r="O1843" s="1" t="b">
        <f>IFERROR(IF(ISNUMBER(Raw!G1843),TRUE,OR(EXACT(L1843,TEXT(M1843,"0.00")),EXACT(L1843,TEXT(M1843,"#,##0.00")))),FALSE)</f>
        <v>1</v>
      </c>
      <c r="P1843" s="1" t="str">
        <f>LEN(IF(Raw!A1843="","",Raw!A1843))&amp;":"&amp;IF(Raw!A1843="","",Raw!A1843)&amp;"|"&amp;LEN(IF(Raw!B1843="","",Raw!B1843))&amp;":"&amp;IF(Raw!B1843="","",Raw!B1843)&amp;"|"&amp;LEN(IF(Raw!C1843="","",Raw!C1843))&amp;":"&amp;IF(Raw!C1843="","",Raw!C1843)&amp;"|"&amp;LEN(IF(Raw!D1843="","",Raw!D1843))&amp;":"&amp;IF(Raw!D1843="","",Raw!D1843)&amp;"|"&amp;LEN(IF(Raw!E1843="","",Raw!E1843))&amp;":"&amp;IF(Raw!E1843="","",Raw!E1843)&amp;"|"&amp;LEN(IF(Raw!F1843="","",Raw!F1843))&amp;":"&amp;IF(Raw!F1843="","",Raw!F1843)&amp;"|"&amp;LEN(IF(Raw!G1843="","",Raw!G1843))&amp;":"&amp;IF(Raw!G1843="","",Raw!G1843)</f>
        <v>6:L01837|6:T00919|10:2026-02-06|3:P-A|11:Accessories|4:sale|6:252.93</v>
      </c>
      <c r="Q1843" s="1">
        <f>1</f>
        <v>1</v>
      </c>
      <c r="R1843" s="1" t="b">
        <f>FALSE</f>
        <v>0</v>
      </c>
      <c r="S1843" s="1">
        <f>1</f>
        <v>1</v>
      </c>
      <c r="T1843" s="1" t="str">
        <f>IF(AND(Raw!A1843="",Raw!B1843="",Raw!C1843="",Raw!D1843="",Raw!E1843="",Raw!F1843="",Raw!G1843=""),"UNUSED",IF(A1843="","missing line ID",IF(B1843="","missing transaction ID",IF(G1843="",IF(C1843="","missing date","invalid date"),IF(I1843="","unknown product",IF(J1843="","conflicting category",IF(NOT(OR(EXACT(K1843,"sale"),EXACT(K1843,"refund"))),"unknown event",IF(OR(N1843="",NOT(O1843)),"invalid amount",IF(OR(AND(K1843="sale",N1843&lt;=0),AND(K1843="refund",N1843&gt;=0)),"invalid sign","")))))))))</f>
        <v/>
      </c>
      <c r="U1843" s="1" t="str">
        <f t="shared" si="229"/>
        <v>INCLUDED</v>
      </c>
      <c r="V1843" s="1" t="str">
        <f t="shared" si="230"/>
        <v>2026-02</v>
      </c>
      <c r="W1843" s="1">
        <f>IF(AND(U1843="INCLUDED",X1843&gt;0,EXACT(A1843,'AI output'!A1843)),1,0)</f>
        <v>1</v>
      </c>
      <c r="X1843" s="1">
        <f>1843</f>
        <v>1843</v>
      </c>
      <c r="Y1843" s="1">
        <f>IF(AND(U1843="INCLUDED",W1843=1),--(NOT(EXACT(A1843,'AI output'!A1843)))+--(NOT(EXACT(B1843,'AI output'!B1843)))+--(NOT(EXACT(TEXT(G1843,"yyyy-mm-dd"),'AI output'!C1843)))+--(NOT(EXACT(H1843,'AI output'!D1843)))+--(NOT(EXACT(J1843,'AI output'!E1843)))+--(NOT(EXACT(K1843,'AI output'!F1843)))+--(N1843&lt;&gt;'AI output'!L1843)+--(NOT('AI output'!M1843)),0)</f>
        <v>0</v>
      </c>
      <c r="Z1843" s="1">
        <f t="shared" si="231"/>
        <v>0</v>
      </c>
      <c r="AA1843" s="1">
        <f>--EXACT(A1843,"L01837")</f>
        <v>1</v>
      </c>
    </row>
    <row r="1844" spans="1:27" ht="18.95" customHeight="1">
      <c r="A1844" s="1" t="str">
        <f>IF(Raw!A1844="","",Raw!A1844)</f>
        <v>L01838</v>
      </c>
      <c r="B1844" s="1" t="str">
        <f>IF(Raw!B1844="","",Raw!B1844)</f>
        <v>T00919</v>
      </c>
      <c r="C1844" s="1" t="str">
        <f>IF(Raw!C1844="","",Raw!C1844)</f>
        <v>2026-02-06</v>
      </c>
      <c r="D1844" s="1">
        <f t="shared" si="224"/>
        <v>2026</v>
      </c>
      <c r="E1844" s="1">
        <f>IFERROR(IF(AND(LEN(C1844)=10,MID(C1844,5,1)="-",MID(C1844,8,1)="-"),VALUE(MID(C1844,6,2)),IF(AND(LEN(C1844)=11,MID(C1844,3,1)="-",MID(C1844,7,1)="-"),MATCH(UPPER(MID(C1844,4,3)),Guide!$D$7:$D$18,0),0)),0)</f>
        <v>2</v>
      </c>
      <c r="F1844" s="1">
        <f t="shared" si="225"/>
        <v>6</v>
      </c>
      <c r="G1844" s="9">
        <f t="shared" si="226"/>
        <v>46059</v>
      </c>
      <c r="H1844" s="1" t="str">
        <f>IF(Raw!D1844="","",Raw!D1844)</f>
        <v>P-H</v>
      </c>
      <c r="I1844" s="1" t="str">
        <f>IFERROR(IF(EXACT(H1844,INDEX(Guide!$A$7:$A$9,MATCH(SUBSTITUTE(SUBSTITUTE(SUBSTITUTE(H1844,"~","~~"),"*","~*"),"?","~?"),Guide!$A$7:$A$9,0))),INDEX(Guide!$B$7:$B$9,MATCH(SUBSTITUTE(SUBSTITUTE(SUBSTITUTE(H1844,"~","~~"),"*","~*"),"?","~?"),Guide!$A$7:$A$9,0)),""),"")</f>
        <v>Home</v>
      </c>
      <c r="J1844" s="1" t="str">
        <f>IF(TRIM(Raw!E1844)="",I1844,IF(UPPER(TRIM(Raw!E1844))=UPPER(I1844),I1844,""))</f>
        <v>Home</v>
      </c>
      <c r="K1844" s="1" t="str">
        <f>IF(Raw!F1844="","",Raw!F1844)</f>
        <v>sale</v>
      </c>
      <c r="L1844" s="1" t="str">
        <f>IF(LEFT(TRIM(Raw!G1844),2)="-$","-"&amp;MID(TRIM(Raw!G1844),3,99),IF(LEFT(TRIM(Raw!G1844),1)="$",MID(TRIM(Raw!G1844),2,99),TRIM(Raw!G1844)))</f>
        <v>423.40</v>
      </c>
      <c r="M1844" s="1">
        <f t="shared" si="227"/>
        <v>423.4</v>
      </c>
      <c r="N1844" s="10">
        <f t="shared" si="228"/>
        <v>42340</v>
      </c>
      <c r="O1844" s="1" t="b">
        <f>IFERROR(IF(ISNUMBER(Raw!G1844),TRUE,OR(EXACT(L1844,TEXT(M1844,"0.00")),EXACT(L1844,TEXT(M1844,"#,##0.00")))),FALSE)</f>
        <v>1</v>
      </c>
      <c r="P1844" s="1" t="str">
        <f>LEN(IF(Raw!A1844="","",Raw!A1844))&amp;":"&amp;IF(Raw!A1844="","",Raw!A1844)&amp;"|"&amp;LEN(IF(Raw!B1844="","",Raw!B1844))&amp;":"&amp;IF(Raw!B1844="","",Raw!B1844)&amp;"|"&amp;LEN(IF(Raw!C1844="","",Raw!C1844))&amp;":"&amp;IF(Raw!C1844="","",Raw!C1844)&amp;"|"&amp;LEN(IF(Raw!D1844="","",Raw!D1844))&amp;":"&amp;IF(Raw!D1844="","",Raw!D1844)&amp;"|"&amp;LEN(IF(Raw!E1844="","",Raw!E1844))&amp;":"&amp;IF(Raw!E1844="","",Raw!E1844)&amp;"|"&amp;LEN(IF(Raw!F1844="","",Raw!F1844))&amp;":"&amp;IF(Raw!F1844="","",Raw!F1844)&amp;"|"&amp;LEN(IF(Raw!G1844="","",Raw!G1844))&amp;":"&amp;IF(Raw!G1844="","",Raw!G1844)</f>
        <v>6:L01838|6:T00919|10:2026-02-06|3:P-H|4:Home|4:sale|6:423.40</v>
      </c>
      <c r="Q1844" s="1">
        <f>1</f>
        <v>1</v>
      </c>
      <c r="R1844" s="1" t="b">
        <f>FALSE</f>
        <v>0</v>
      </c>
      <c r="S1844" s="1">
        <f>1</f>
        <v>1</v>
      </c>
      <c r="T1844" s="1" t="str">
        <f>IF(AND(Raw!A1844="",Raw!B1844="",Raw!C1844="",Raw!D1844="",Raw!E1844="",Raw!F1844="",Raw!G1844=""),"UNUSED",IF(A1844="","missing line ID",IF(B1844="","missing transaction ID",IF(G1844="",IF(C1844="","missing date","invalid date"),IF(I1844="","unknown product",IF(J1844="","conflicting category",IF(NOT(OR(EXACT(K1844,"sale"),EXACT(K1844,"refund"))),"unknown event",IF(OR(N1844="",NOT(O1844)),"invalid amount",IF(OR(AND(K1844="sale",N1844&lt;=0),AND(K1844="refund",N1844&gt;=0)),"invalid sign","")))))))))</f>
        <v/>
      </c>
      <c r="U1844" s="1" t="str">
        <f t="shared" si="229"/>
        <v>INCLUDED</v>
      </c>
      <c r="V1844" s="1" t="str">
        <f t="shared" si="230"/>
        <v>2026-02</v>
      </c>
      <c r="W1844" s="1">
        <f>IF(AND(U1844="INCLUDED",X1844&gt;0,EXACT(A1844,'AI output'!A1844)),1,0)</f>
        <v>1</v>
      </c>
      <c r="X1844" s="1">
        <f>1844</f>
        <v>1844</v>
      </c>
      <c r="Y1844" s="1">
        <f>IF(AND(U1844="INCLUDED",W1844=1),--(NOT(EXACT(A1844,'AI output'!A1844)))+--(NOT(EXACT(B1844,'AI output'!B1844)))+--(NOT(EXACT(TEXT(G1844,"yyyy-mm-dd"),'AI output'!C1844)))+--(NOT(EXACT(H1844,'AI output'!D1844)))+--(NOT(EXACT(J1844,'AI output'!E1844)))+--(NOT(EXACT(K1844,'AI output'!F1844)))+--(N1844&lt;&gt;'AI output'!L1844)+--(NOT('AI output'!M1844)),0)</f>
        <v>0</v>
      </c>
      <c r="Z1844" s="1">
        <f t="shared" si="231"/>
        <v>0</v>
      </c>
      <c r="AA1844" s="1">
        <f>--EXACT(A1844,"L01838")</f>
        <v>1</v>
      </c>
    </row>
    <row r="1845" spans="1:27" ht="18.95" customHeight="1">
      <c r="A1845" s="1" t="str">
        <f>IF(Raw!A1845="","",Raw!A1845)</f>
        <v>L01839</v>
      </c>
      <c r="B1845" s="1" t="str">
        <f>IF(Raw!B1845="","",Raw!B1845)</f>
        <v>T00920</v>
      </c>
      <c r="C1845" s="1" t="str">
        <f>IF(Raw!C1845="","",Raw!C1845)</f>
        <v>2026-02-13</v>
      </c>
      <c r="D1845" s="1">
        <f t="shared" si="224"/>
        <v>2026</v>
      </c>
      <c r="E1845" s="1">
        <f>IFERROR(IF(AND(LEN(C1845)=10,MID(C1845,5,1)="-",MID(C1845,8,1)="-"),VALUE(MID(C1845,6,2)),IF(AND(LEN(C1845)=11,MID(C1845,3,1)="-",MID(C1845,7,1)="-"),MATCH(UPPER(MID(C1845,4,3)),Guide!$D$7:$D$18,0),0)),0)</f>
        <v>2</v>
      </c>
      <c r="F1845" s="1">
        <f t="shared" si="225"/>
        <v>13</v>
      </c>
      <c r="G1845" s="9">
        <f t="shared" si="226"/>
        <v>46066</v>
      </c>
      <c r="H1845" s="1" t="str">
        <f>IF(Raw!D1845="","",Raw!D1845)</f>
        <v>P-O</v>
      </c>
      <c r="I1845" s="1" t="str">
        <f>IFERROR(IF(EXACT(H1845,INDEX(Guide!$A$7:$A$9,MATCH(SUBSTITUTE(SUBSTITUTE(SUBSTITUTE(H1845,"~","~~"),"*","~*"),"?","~?"),Guide!$A$7:$A$9,0))),INDEX(Guide!$B$7:$B$9,MATCH(SUBSTITUTE(SUBSTITUTE(SUBSTITUTE(H1845,"~","~~"),"*","~*"),"?","~?"),Guide!$A$7:$A$9,0)),""),"")</f>
        <v>Office</v>
      </c>
      <c r="J1845" s="1" t="str">
        <f>IF(TRIM(Raw!E1845)="",I1845,IF(UPPER(TRIM(Raw!E1845))=UPPER(I1845),I1845,""))</f>
        <v>Office</v>
      </c>
      <c r="K1845" s="1" t="str">
        <f>IF(Raw!F1845="","",Raw!F1845)</f>
        <v>sale</v>
      </c>
      <c r="L1845" s="1" t="str">
        <f>IF(LEFT(TRIM(Raw!G1845),2)="-$","-"&amp;MID(TRIM(Raw!G1845),3,99),IF(LEFT(TRIM(Raw!G1845),1)="$",MID(TRIM(Raw!G1845),2,99),TRIM(Raw!G1845)))</f>
        <v>170.10</v>
      </c>
      <c r="M1845" s="1">
        <f t="shared" si="227"/>
        <v>170.1</v>
      </c>
      <c r="N1845" s="10">
        <f t="shared" si="228"/>
        <v>17010</v>
      </c>
      <c r="O1845" s="1" t="b">
        <f>IFERROR(IF(ISNUMBER(Raw!G1845),TRUE,OR(EXACT(L1845,TEXT(M1845,"0.00")),EXACT(L1845,TEXT(M1845,"#,##0.00")))),FALSE)</f>
        <v>1</v>
      </c>
      <c r="P1845" s="1" t="str">
        <f>LEN(IF(Raw!A1845="","",Raw!A1845))&amp;":"&amp;IF(Raw!A1845="","",Raw!A1845)&amp;"|"&amp;LEN(IF(Raw!B1845="","",Raw!B1845))&amp;":"&amp;IF(Raw!B1845="","",Raw!B1845)&amp;"|"&amp;LEN(IF(Raw!C1845="","",Raw!C1845))&amp;":"&amp;IF(Raw!C1845="","",Raw!C1845)&amp;"|"&amp;LEN(IF(Raw!D1845="","",Raw!D1845))&amp;":"&amp;IF(Raw!D1845="","",Raw!D1845)&amp;"|"&amp;LEN(IF(Raw!E1845="","",Raw!E1845))&amp;":"&amp;IF(Raw!E1845="","",Raw!E1845)&amp;"|"&amp;LEN(IF(Raw!F1845="","",Raw!F1845))&amp;":"&amp;IF(Raw!F1845="","",Raw!F1845)&amp;"|"&amp;LEN(IF(Raw!G1845="","",Raw!G1845))&amp;":"&amp;IF(Raw!G1845="","",Raw!G1845)</f>
        <v>6:L01839|6:T00920|10:2026-02-13|3:P-O|6:Office|4:sale|6:170.10</v>
      </c>
      <c r="Q1845" s="1">
        <f>1</f>
        <v>1</v>
      </c>
      <c r="R1845" s="1" t="b">
        <f>FALSE</f>
        <v>0</v>
      </c>
      <c r="S1845" s="1">
        <f>1</f>
        <v>1</v>
      </c>
      <c r="T1845" s="1" t="str">
        <f>IF(AND(Raw!A1845="",Raw!B1845="",Raw!C1845="",Raw!D1845="",Raw!E1845="",Raw!F1845="",Raw!G1845=""),"UNUSED",IF(A1845="","missing line ID",IF(B1845="","missing transaction ID",IF(G1845="",IF(C1845="","missing date","invalid date"),IF(I1845="","unknown product",IF(J1845="","conflicting category",IF(NOT(OR(EXACT(K1845,"sale"),EXACT(K1845,"refund"))),"unknown event",IF(OR(N1845="",NOT(O1845)),"invalid amount",IF(OR(AND(K1845="sale",N1845&lt;=0),AND(K1845="refund",N1845&gt;=0)),"invalid sign","")))))))))</f>
        <v/>
      </c>
      <c r="U1845" s="1" t="str">
        <f t="shared" si="229"/>
        <v>INCLUDED</v>
      </c>
      <c r="V1845" s="1" t="str">
        <f t="shared" si="230"/>
        <v>2026-02</v>
      </c>
      <c r="W1845" s="1">
        <f>IF(AND(U1845="INCLUDED",X1845&gt;0,EXACT(A1845,'AI output'!A1845)),1,0)</f>
        <v>1</v>
      </c>
      <c r="X1845" s="1">
        <f>1845</f>
        <v>1845</v>
      </c>
      <c r="Y1845" s="1">
        <f>IF(AND(U1845="INCLUDED",W1845=1),--(NOT(EXACT(A1845,'AI output'!A1845)))+--(NOT(EXACT(B1845,'AI output'!B1845)))+--(NOT(EXACT(TEXT(G1845,"yyyy-mm-dd"),'AI output'!C1845)))+--(NOT(EXACT(H1845,'AI output'!D1845)))+--(NOT(EXACT(J1845,'AI output'!E1845)))+--(NOT(EXACT(K1845,'AI output'!F1845)))+--(N1845&lt;&gt;'AI output'!L1845)+--(NOT('AI output'!M1845)),0)</f>
        <v>0</v>
      </c>
      <c r="Z1845" s="1">
        <f t="shared" si="231"/>
        <v>0</v>
      </c>
      <c r="AA1845" s="1">
        <f>--EXACT(A1845,"L01839")</f>
        <v>1</v>
      </c>
    </row>
    <row r="1846" spans="1:27" ht="18.95" customHeight="1">
      <c r="A1846" s="1" t="str">
        <f>IF(Raw!A1846="","",Raw!A1846)</f>
        <v>L01840</v>
      </c>
      <c r="B1846" s="1" t="str">
        <f>IF(Raw!B1846="","",Raw!B1846)</f>
        <v>T00920</v>
      </c>
      <c r="C1846" s="1" t="str">
        <f>IF(Raw!C1846="","",Raw!C1846)</f>
        <v>2026-02-13</v>
      </c>
      <c r="D1846" s="1">
        <f t="shared" si="224"/>
        <v>2026</v>
      </c>
      <c r="E1846" s="1">
        <f>IFERROR(IF(AND(LEN(C1846)=10,MID(C1846,5,1)="-",MID(C1846,8,1)="-"),VALUE(MID(C1846,6,2)),IF(AND(LEN(C1846)=11,MID(C1846,3,1)="-",MID(C1846,7,1)="-"),MATCH(UPPER(MID(C1846,4,3)),Guide!$D$7:$D$18,0),0)),0)</f>
        <v>2</v>
      </c>
      <c r="F1846" s="1">
        <f t="shared" si="225"/>
        <v>13</v>
      </c>
      <c r="G1846" s="9">
        <f t="shared" si="226"/>
        <v>46066</v>
      </c>
      <c r="H1846" s="1" t="str">
        <f>IF(Raw!D1846="","",Raw!D1846)</f>
        <v>P-A</v>
      </c>
      <c r="I1846" s="1" t="str">
        <f>IFERROR(IF(EXACT(H1846,INDEX(Guide!$A$7:$A$9,MATCH(SUBSTITUTE(SUBSTITUTE(SUBSTITUTE(H1846,"~","~~"),"*","~*"),"?","~?"),Guide!$A$7:$A$9,0))),INDEX(Guide!$B$7:$B$9,MATCH(SUBSTITUTE(SUBSTITUTE(SUBSTITUTE(H1846,"~","~~"),"*","~*"),"?","~?"),Guide!$A$7:$A$9,0)),""),"")</f>
        <v>Accessories</v>
      </c>
      <c r="J1846" s="1" t="str">
        <f>IF(TRIM(Raw!E1846)="",I1846,IF(UPPER(TRIM(Raw!E1846))=UPPER(I1846),I1846,""))</f>
        <v>Accessories</v>
      </c>
      <c r="K1846" s="1" t="str">
        <f>IF(Raw!F1846="","",Raw!F1846)</f>
        <v>sale</v>
      </c>
      <c r="L1846" s="1" t="str">
        <f>IF(LEFT(TRIM(Raw!G1846),2)="-$","-"&amp;MID(TRIM(Raw!G1846),3,99),IF(LEFT(TRIM(Raw!G1846),1)="$",MID(TRIM(Raw!G1846),2,99),TRIM(Raw!G1846)))</f>
        <v>341.68</v>
      </c>
      <c r="M1846" s="1">
        <f t="shared" si="227"/>
        <v>341.68</v>
      </c>
      <c r="N1846" s="10">
        <f t="shared" si="228"/>
        <v>34168</v>
      </c>
      <c r="O1846" s="1" t="b">
        <f>IFERROR(IF(ISNUMBER(Raw!G1846),TRUE,OR(EXACT(L1846,TEXT(M1846,"0.00")),EXACT(L1846,TEXT(M1846,"#,##0.00")))),FALSE)</f>
        <v>1</v>
      </c>
      <c r="P1846" s="1" t="str">
        <f>LEN(IF(Raw!A1846="","",Raw!A1846))&amp;":"&amp;IF(Raw!A1846="","",Raw!A1846)&amp;"|"&amp;LEN(IF(Raw!B1846="","",Raw!B1846))&amp;":"&amp;IF(Raw!B1846="","",Raw!B1846)&amp;"|"&amp;LEN(IF(Raw!C1846="","",Raw!C1846))&amp;":"&amp;IF(Raw!C1846="","",Raw!C1846)&amp;"|"&amp;LEN(IF(Raw!D1846="","",Raw!D1846))&amp;":"&amp;IF(Raw!D1846="","",Raw!D1846)&amp;"|"&amp;LEN(IF(Raw!E1846="","",Raw!E1846))&amp;":"&amp;IF(Raw!E1846="","",Raw!E1846)&amp;"|"&amp;LEN(IF(Raw!F1846="","",Raw!F1846))&amp;":"&amp;IF(Raw!F1846="","",Raw!F1846)&amp;"|"&amp;LEN(IF(Raw!G1846="","",Raw!G1846))&amp;":"&amp;IF(Raw!G1846="","",Raw!G1846)</f>
        <v>6:L01840|6:T00920|10:2026-02-13|3:P-A|11:Accessories|4:sale|6:341.68</v>
      </c>
      <c r="Q1846" s="1">
        <f>1</f>
        <v>1</v>
      </c>
      <c r="R1846" s="1" t="b">
        <f>FALSE</f>
        <v>0</v>
      </c>
      <c r="S1846" s="1">
        <f>1</f>
        <v>1</v>
      </c>
      <c r="T1846" s="1" t="str">
        <f>IF(AND(Raw!A1846="",Raw!B1846="",Raw!C1846="",Raw!D1846="",Raw!E1846="",Raw!F1846="",Raw!G1846=""),"UNUSED",IF(A1846="","missing line ID",IF(B1846="","missing transaction ID",IF(G1846="",IF(C1846="","missing date","invalid date"),IF(I1846="","unknown product",IF(J1846="","conflicting category",IF(NOT(OR(EXACT(K1846,"sale"),EXACT(K1846,"refund"))),"unknown event",IF(OR(N1846="",NOT(O1846)),"invalid amount",IF(OR(AND(K1846="sale",N1846&lt;=0),AND(K1846="refund",N1846&gt;=0)),"invalid sign","")))))))))</f>
        <v/>
      </c>
      <c r="U1846" s="1" t="str">
        <f t="shared" si="229"/>
        <v>INCLUDED</v>
      </c>
      <c r="V1846" s="1" t="str">
        <f t="shared" si="230"/>
        <v>2026-02</v>
      </c>
      <c r="W1846" s="1">
        <f>IF(AND(U1846="INCLUDED",X1846&gt;0,EXACT(A1846,'AI output'!A1846)),1,0)</f>
        <v>1</v>
      </c>
      <c r="X1846" s="1">
        <f>1846</f>
        <v>1846</v>
      </c>
      <c r="Y1846" s="1">
        <f>IF(AND(U1846="INCLUDED",W1846=1),--(NOT(EXACT(A1846,'AI output'!A1846)))+--(NOT(EXACT(B1846,'AI output'!B1846)))+--(NOT(EXACT(TEXT(G1846,"yyyy-mm-dd"),'AI output'!C1846)))+--(NOT(EXACT(H1846,'AI output'!D1846)))+--(NOT(EXACT(J1846,'AI output'!E1846)))+--(NOT(EXACT(K1846,'AI output'!F1846)))+--(N1846&lt;&gt;'AI output'!L1846)+--(NOT('AI output'!M1846)),0)</f>
        <v>0</v>
      </c>
      <c r="Z1846" s="1">
        <f t="shared" si="231"/>
        <v>0</v>
      </c>
      <c r="AA1846" s="1">
        <f>--EXACT(A1846,"L01840")</f>
        <v>1</v>
      </c>
    </row>
    <row r="1847" spans="1:27" ht="18.95" customHeight="1">
      <c r="A1847" s="1" t="str">
        <f>IF(Raw!A1847="","",Raw!A1847)</f>
        <v>L01841</v>
      </c>
      <c r="B1847" s="1" t="str">
        <f>IF(Raw!B1847="","",Raw!B1847)</f>
        <v>T00921</v>
      </c>
      <c r="C1847" s="1" t="str">
        <f>IF(Raw!C1847="","",Raw!C1847)</f>
        <v>2026-02-20</v>
      </c>
      <c r="D1847" s="1">
        <f t="shared" si="224"/>
        <v>2026</v>
      </c>
      <c r="E1847" s="1">
        <f>IFERROR(IF(AND(LEN(C1847)=10,MID(C1847,5,1)="-",MID(C1847,8,1)="-"),VALUE(MID(C1847,6,2)),IF(AND(LEN(C1847)=11,MID(C1847,3,1)="-",MID(C1847,7,1)="-"),MATCH(UPPER(MID(C1847,4,3)),Guide!$D$7:$D$18,0),0)),0)</f>
        <v>2</v>
      </c>
      <c r="F1847" s="1">
        <f t="shared" si="225"/>
        <v>20</v>
      </c>
      <c r="G1847" s="9">
        <f t="shared" si="226"/>
        <v>46073</v>
      </c>
      <c r="H1847" s="1" t="str">
        <f>IF(Raw!D1847="","",Raw!D1847)</f>
        <v>P-H</v>
      </c>
      <c r="I1847" s="1" t="str">
        <f>IFERROR(IF(EXACT(H1847,INDEX(Guide!$A$7:$A$9,MATCH(SUBSTITUTE(SUBSTITUTE(SUBSTITUTE(H1847,"~","~~"),"*","~*"),"?","~?"),Guide!$A$7:$A$9,0))),INDEX(Guide!$B$7:$B$9,MATCH(SUBSTITUTE(SUBSTITUTE(SUBSTITUTE(H1847,"~","~~"),"*","~*"),"?","~?"),Guide!$A$7:$A$9,0)),""),"")</f>
        <v>Home</v>
      </c>
      <c r="J1847" s="1" t="str">
        <f>IF(TRIM(Raw!E1847)="",I1847,IF(UPPER(TRIM(Raw!E1847))=UPPER(I1847),I1847,""))</f>
        <v>Home</v>
      </c>
      <c r="K1847" s="1" t="str">
        <f>IF(Raw!F1847="","",Raw!F1847)</f>
        <v>refund</v>
      </c>
      <c r="L1847" s="1" t="str">
        <f>IF(LEFT(TRIM(Raw!G1847),2)="-$","-"&amp;MID(TRIM(Raw!G1847),3,99),IF(LEFT(TRIM(Raw!G1847),1)="$",MID(TRIM(Raw!G1847),2,99),TRIM(Raw!G1847)))</f>
        <v>-85.79</v>
      </c>
      <c r="M1847" s="1">
        <f t="shared" si="227"/>
        <v>-85.79</v>
      </c>
      <c r="N1847" s="10">
        <f t="shared" si="228"/>
        <v>-8579</v>
      </c>
      <c r="O1847" s="1" t="b">
        <f>IFERROR(IF(ISNUMBER(Raw!G1847),TRUE,OR(EXACT(L1847,TEXT(M1847,"0.00")),EXACT(L1847,TEXT(M1847,"#,##0.00")))),FALSE)</f>
        <v>1</v>
      </c>
      <c r="P1847" s="1" t="str">
        <f>LEN(IF(Raw!A1847="","",Raw!A1847))&amp;":"&amp;IF(Raw!A1847="","",Raw!A1847)&amp;"|"&amp;LEN(IF(Raw!B1847="","",Raw!B1847))&amp;":"&amp;IF(Raw!B1847="","",Raw!B1847)&amp;"|"&amp;LEN(IF(Raw!C1847="","",Raw!C1847))&amp;":"&amp;IF(Raw!C1847="","",Raw!C1847)&amp;"|"&amp;LEN(IF(Raw!D1847="","",Raw!D1847))&amp;":"&amp;IF(Raw!D1847="","",Raw!D1847)&amp;"|"&amp;LEN(IF(Raw!E1847="","",Raw!E1847))&amp;":"&amp;IF(Raw!E1847="","",Raw!E1847)&amp;"|"&amp;LEN(IF(Raw!F1847="","",Raw!F1847))&amp;":"&amp;IF(Raw!F1847="","",Raw!F1847)&amp;"|"&amp;LEN(IF(Raw!G1847="","",Raw!G1847))&amp;":"&amp;IF(Raw!G1847="","",Raw!G1847)</f>
        <v>6:L01841|6:T00921|10:2026-02-20|3:P-H|4:Home|6:refund|6:-85.79</v>
      </c>
      <c r="Q1847" s="1">
        <f>1</f>
        <v>1</v>
      </c>
      <c r="R1847" s="1" t="b">
        <f>FALSE</f>
        <v>0</v>
      </c>
      <c r="S1847" s="1">
        <f>1</f>
        <v>1</v>
      </c>
      <c r="T1847" s="1" t="str">
        <f>IF(AND(Raw!A1847="",Raw!B1847="",Raw!C1847="",Raw!D1847="",Raw!E1847="",Raw!F1847="",Raw!G1847=""),"UNUSED",IF(A1847="","missing line ID",IF(B1847="","missing transaction ID",IF(G1847="",IF(C1847="","missing date","invalid date"),IF(I1847="","unknown product",IF(J1847="","conflicting category",IF(NOT(OR(EXACT(K1847,"sale"),EXACT(K1847,"refund"))),"unknown event",IF(OR(N1847="",NOT(O1847)),"invalid amount",IF(OR(AND(K1847="sale",N1847&lt;=0),AND(K1847="refund",N1847&gt;=0)),"invalid sign","")))))))))</f>
        <v/>
      </c>
      <c r="U1847" s="1" t="str">
        <f t="shared" si="229"/>
        <v>INCLUDED</v>
      </c>
      <c r="V1847" s="1" t="str">
        <f t="shared" si="230"/>
        <v>2026-02</v>
      </c>
      <c r="W1847" s="1">
        <f>IF(AND(U1847="INCLUDED",X1847&gt;0,EXACT(A1847,'AI output'!A1847)),1,0)</f>
        <v>1</v>
      </c>
      <c r="X1847" s="1">
        <f>1847</f>
        <v>1847</v>
      </c>
      <c r="Y1847" s="1">
        <f>IF(AND(U1847="INCLUDED",W1847=1),--(NOT(EXACT(A1847,'AI output'!A1847)))+--(NOT(EXACT(B1847,'AI output'!B1847)))+--(NOT(EXACT(TEXT(G1847,"yyyy-mm-dd"),'AI output'!C1847)))+--(NOT(EXACT(H1847,'AI output'!D1847)))+--(NOT(EXACT(J1847,'AI output'!E1847)))+--(NOT(EXACT(K1847,'AI output'!F1847)))+--(N1847&lt;&gt;'AI output'!L1847)+--(NOT('AI output'!M1847)),0)</f>
        <v>0</v>
      </c>
      <c r="Z1847" s="1">
        <f t="shared" si="231"/>
        <v>0</v>
      </c>
      <c r="AA1847" s="1">
        <f>--EXACT(A1847,"L01841")</f>
        <v>1</v>
      </c>
    </row>
    <row r="1848" spans="1:27" ht="18.95" customHeight="1">
      <c r="A1848" s="1" t="str">
        <f>IF(Raw!A1848="","",Raw!A1848)</f>
        <v>L01842</v>
      </c>
      <c r="B1848" s="1" t="str">
        <f>IF(Raw!B1848="","",Raw!B1848)</f>
        <v>T00921</v>
      </c>
      <c r="C1848" s="1" t="str">
        <f>IF(Raw!C1848="","",Raw!C1848)</f>
        <v>2026-02-20</v>
      </c>
      <c r="D1848" s="1">
        <f t="shared" si="224"/>
        <v>2026</v>
      </c>
      <c r="E1848" s="1">
        <f>IFERROR(IF(AND(LEN(C1848)=10,MID(C1848,5,1)="-",MID(C1848,8,1)="-"),VALUE(MID(C1848,6,2)),IF(AND(LEN(C1848)=11,MID(C1848,3,1)="-",MID(C1848,7,1)="-"),MATCH(UPPER(MID(C1848,4,3)),Guide!$D$7:$D$18,0),0)),0)</f>
        <v>2</v>
      </c>
      <c r="F1848" s="1">
        <f t="shared" si="225"/>
        <v>20</v>
      </c>
      <c r="G1848" s="9">
        <f t="shared" si="226"/>
        <v>46073</v>
      </c>
      <c r="H1848" s="1" t="str">
        <f>IF(Raw!D1848="","",Raw!D1848)</f>
        <v>P-O</v>
      </c>
      <c r="I1848" s="1" t="str">
        <f>IFERROR(IF(EXACT(H1848,INDEX(Guide!$A$7:$A$9,MATCH(SUBSTITUTE(SUBSTITUTE(SUBSTITUTE(H1848,"~","~~"),"*","~*"),"?","~?"),Guide!$A$7:$A$9,0))),INDEX(Guide!$B$7:$B$9,MATCH(SUBSTITUTE(SUBSTITUTE(SUBSTITUTE(H1848,"~","~~"),"*","~*"),"?","~?"),Guide!$A$7:$A$9,0)),""),"")</f>
        <v>Office</v>
      </c>
      <c r="J1848" s="1" t="str">
        <f>IF(TRIM(Raw!E1848)="",I1848,IF(UPPER(TRIM(Raw!E1848))=UPPER(I1848),I1848,""))</f>
        <v>Office</v>
      </c>
      <c r="K1848" s="1" t="str">
        <f>IF(Raw!F1848="","",Raw!F1848)</f>
        <v>sale</v>
      </c>
      <c r="L1848" s="1" t="str">
        <f>IF(LEFT(TRIM(Raw!G1848),2)="-$","-"&amp;MID(TRIM(Raw!G1848),3,99),IF(LEFT(TRIM(Raw!G1848),1)="$",MID(TRIM(Raw!G1848),2,99),TRIM(Raw!G1848)))</f>
        <v>258.48</v>
      </c>
      <c r="M1848" s="1">
        <f t="shared" si="227"/>
        <v>258.48</v>
      </c>
      <c r="N1848" s="10">
        <f t="shared" si="228"/>
        <v>25848</v>
      </c>
      <c r="O1848" s="1" t="b">
        <f>IFERROR(IF(ISNUMBER(Raw!G1848),TRUE,OR(EXACT(L1848,TEXT(M1848,"0.00")),EXACT(L1848,TEXT(M1848,"#,##0.00")))),FALSE)</f>
        <v>1</v>
      </c>
      <c r="P1848" s="1" t="str">
        <f>LEN(IF(Raw!A1848="","",Raw!A1848))&amp;":"&amp;IF(Raw!A1848="","",Raw!A1848)&amp;"|"&amp;LEN(IF(Raw!B1848="","",Raw!B1848))&amp;":"&amp;IF(Raw!B1848="","",Raw!B1848)&amp;"|"&amp;LEN(IF(Raw!C1848="","",Raw!C1848))&amp;":"&amp;IF(Raw!C1848="","",Raw!C1848)&amp;"|"&amp;LEN(IF(Raw!D1848="","",Raw!D1848))&amp;":"&amp;IF(Raw!D1848="","",Raw!D1848)&amp;"|"&amp;LEN(IF(Raw!E1848="","",Raw!E1848))&amp;":"&amp;IF(Raw!E1848="","",Raw!E1848)&amp;"|"&amp;LEN(IF(Raw!F1848="","",Raw!F1848))&amp;":"&amp;IF(Raw!F1848="","",Raw!F1848)&amp;"|"&amp;LEN(IF(Raw!G1848="","",Raw!G1848))&amp;":"&amp;IF(Raw!G1848="","",Raw!G1848)</f>
        <v>6:L01842|6:T00921|10:2026-02-20|3:P-O|6:Office|4:sale|6:258.48</v>
      </c>
      <c r="Q1848" s="1">
        <f>1</f>
        <v>1</v>
      </c>
      <c r="R1848" s="1" t="b">
        <f>FALSE</f>
        <v>0</v>
      </c>
      <c r="S1848" s="1">
        <f>1</f>
        <v>1</v>
      </c>
      <c r="T1848" s="1" t="str">
        <f>IF(AND(Raw!A1848="",Raw!B1848="",Raw!C1848="",Raw!D1848="",Raw!E1848="",Raw!F1848="",Raw!G1848=""),"UNUSED",IF(A1848="","missing line ID",IF(B1848="","missing transaction ID",IF(G1848="",IF(C1848="","missing date","invalid date"),IF(I1848="","unknown product",IF(J1848="","conflicting category",IF(NOT(OR(EXACT(K1848,"sale"),EXACT(K1848,"refund"))),"unknown event",IF(OR(N1848="",NOT(O1848)),"invalid amount",IF(OR(AND(K1848="sale",N1848&lt;=0),AND(K1848="refund",N1848&gt;=0)),"invalid sign","")))))))))</f>
        <v/>
      </c>
      <c r="U1848" s="1" t="str">
        <f t="shared" si="229"/>
        <v>INCLUDED</v>
      </c>
      <c r="V1848" s="1" t="str">
        <f t="shared" si="230"/>
        <v>2026-02</v>
      </c>
      <c r="W1848" s="1">
        <f>IF(AND(U1848="INCLUDED",X1848&gt;0,EXACT(A1848,'AI output'!A1848)),1,0)</f>
        <v>1</v>
      </c>
      <c r="X1848" s="1">
        <f>1848</f>
        <v>1848</v>
      </c>
      <c r="Y1848" s="1">
        <f>IF(AND(U1848="INCLUDED",W1848=1),--(NOT(EXACT(A1848,'AI output'!A1848)))+--(NOT(EXACT(B1848,'AI output'!B1848)))+--(NOT(EXACT(TEXT(G1848,"yyyy-mm-dd"),'AI output'!C1848)))+--(NOT(EXACT(H1848,'AI output'!D1848)))+--(NOT(EXACT(J1848,'AI output'!E1848)))+--(NOT(EXACT(K1848,'AI output'!F1848)))+--(N1848&lt;&gt;'AI output'!L1848)+--(NOT('AI output'!M1848)),0)</f>
        <v>0</v>
      </c>
      <c r="Z1848" s="1">
        <f t="shared" si="231"/>
        <v>0</v>
      </c>
      <c r="AA1848" s="1">
        <f>--EXACT(A1848,"L01842")</f>
        <v>1</v>
      </c>
    </row>
    <row r="1849" spans="1:27" ht="18.95" customHeight="1">
      <c r="A1849" s="1" t="str">
        <f>IF(Raw!A1849="","",Raw!A1849)</f>
        <v>L01843</v>
      </c>
      <c r="B1849" s="1" t="str">
        <f>IF(Raw!B1849="","",Raw!B1849)</f>
        <v>T00922</v>
      </c>
      <c r="C1849" s="1" t="str">
        <f>IF(Raw!C1849="","",Raw!C1849)</f>
        <v>2026-02-27</v>
      </c>
      <c r="D1849" s="1">
        <f t="shared" si="224"/>
        <v>2026</v>
      </c>
      <c r="E1849" s="1">
        <f>IFERROR(IF(AND(LEN(C1849)=10,MID(C1849,5,1)="-",MID(C1849,8,1)="-"),VALUE(MID(C1849,6,2)),IF(AND(LEN(C1849)=11,MID(C1849,3,1)="-",MID(C1849,7,1)="-"),MATCH(UPPER(MID(C1849,4,3)),Guide!$D$7:$D$18,0),0)),0)</f>
        <v>2</v>
      </c>
      <c r="F1849" s="1">
        <f t="shared" si="225"/>
        <v>27</v>
      </c>
      <c r="G1849" s="9">
        <f t="shared" si="226"/>
        <v>46080</v>
      </c>
      <c r="H1849" s="1" t="str">
        <f>IF(Raw!D1849="","",Raw!D1849)</f>
        <v>P-A</v>
      </c>
      <c r="I1849" s="1" t="str">
        <f>IFERROR(IF(EXACT(H1849,INDEX(Guide!$A$7:$A$9,MATCH(SUBSTITUTE(SUBSTITUTE(SUBSTITUTE(H1849,"~","~~"),"*","~*"),"?","~?"),Guide!$A$7:$A$9,0))),INDEX(Guide!$B$7:$B$9,MATCH(SUBSTITUTE(SUBSTITUTE(SUBSTITUTE(H1849,"~","~~"),"*","~*"),"?","~?"),Guide!$A$7:$A$9,0)),""),"")</f>
        <v>Accessories</v>
      </c>
      <c r="J1849" s="1" t="str">
        <f>IF(TRIM(Raw!E1849)="",I1849,IF(UPPER(TRIM(Raw!E1849))=UPPER(I1849),I1849,""))</f>
        <v>Accessories</v>
      </c>
      <c r="K1849" s="1" t="str">
        <f>IF(Raw!F1849="","",Raw!F1849)</f>
        <v>sale</v>
      </c>
      <c r="L1849" s="1" t="str">
        <f>IF(LEFT(TRIM(Raw!G1849),2)="-$","-"&amp;MID(TRIM(Raw!G1849),3,99),IF(LEFT(TRIM(Raw!G1849),1)="$",MID(TRIM(Raw!G1849),2,99),TRIM(Raw!G1849)))</f>
        <v>432.65</v>
      </c>
      <c r="M1849" s="1">
        <f t="shared" si="227"/>
        <v>432.65</v>
      </c>
      <c r="N1849" s="10">
        <f t="shared" si="228"/>
        <v>43265</v>
      </c>
      <c r="O1849" s="1" t="b">
        <f>IFERROR(IF(ISNUMBER(Raw!G1849),TRUE,OR(EXACT(L1849,TEXT(M1849,"0.00")),EXACT(L1849,TEXT(M1849,"#,##0.00")))),FALSE)</f>
        <v>1</v>
      </c>
      <c r="P1849" s="1" t="str">
        <f>LEN(IF(Raw!A1849="","",Raw!A1849))&amp;":"&amp;IF(Raw!A1849="","",Raw!A1849)&amp;"|"&amp;LEN(IF(Raw!B1849="","",Raw!B1849))&amp;":"&amp;IF(Raw!B1849="","",Raw!B1849)&amp;"|"&amp;LEN(IF(Raw!C1849="","",Raw!C1849))&amp;":"&amp;IF(Raw!C1849="","",Raw!C1849)&amp;"|"&amp;LEN(IF(Raw!D1849="","",Raw!D1849))&amp;":"&amp;IF(Raw!D1849="","",Raw!D1849)&amp;"|"&amp;LEN(IF(Raw!E1849="","",Raw!E1849))&amp;":"&amp;IF(Raw!E1849="","",Raw!E1849)&amp;"|"&amp;LEN(IF(Raw!F1849="","",Raw!F1849))&amp;":"&amp;IF(Raw!F1849="","",Raw!F1849)&amp;"|"&amp;LEN(IF(Raw!G1849="","",Raw!G1849))&amp;":"&amp;IF(Raw!G1849="","",Raw!G1849)</f>
        <v>6:L01843|6:T00922|10:2026-02-27|3:P-A|11:Accessories|4:sale|6:432.65</v>
      </c>
      <c r="Q1849" s="1">
        <f>1</f>
        <v>1</v>
      </c>
      <c r="R1849" s="1" t="b">
        <f>FALSE</f>
        <v>0</v>
      </c>
      <c r="S1849" s="1">
        <f>1</f>
        <v>1</v>
      </c>
      <c r="T1849" s="1" t="str">
        <f>IF(AND(Raw!A1849="",Raw!B1849="",Raw!C1849="",Raw!D1849="",Raw!E1849="",Raw!F1849="",Raw!G1849=""),"UNUSED",IF(A1849="","missing line ID",IF(B1849="","missing transaction ID",IF(G1849="",IF(C1849="","missing date","invalid date"),IF(I1849="","unknown product",IF(J1849="","conflicting category",IF(NOT(OR(EXACT(K1849,"sale"),EXACT(K1849,"refund"))),"unknown event",IF(OR(N1849="",NOT(O1849)),"invalid amount",IF(OR(AND(K1849="sale",N1849&lt;=0),AND(K1849="refund",N1849&gt;=0)),"invalid sign","")))))))))</f>
        <v/>
      </c>
      <c r="U1849" s="1" t="str">
        <f t="shared" si="229"/>
        <v>INCLUDED</v>
      </c>
      <c r="V1849" s="1" t="str">
        <f t="shared" si="230"/>
        <v>2026-02</v>
      </c>
      <c r="W1849" s="1">
        <f>IF(AND(U1849="INCLUDED",X1849&gt;0,EXACT(A1849,'AI output'!A1849)),1,0)</f>
        <v>1</v>
      </c>
      <c r="X1849" s="1">
        <f>1849</f>
        <v>1849</v>
      </c>
      <c r="Y1849" s="1">
        <f>IF(AND(U1849="INCLUDED",W1849=1),--(NOT(EXACT(A1849,'AI output'!A1849)))+--(NOT(EXACT(B1849,'AI output'!B1849)))+--(NOT(EXACT(TEXT(G1849,"yyyy-mm-dd"),'AI output'!C1849)))+--(NOT(EXACT(H1849,'AI output'!D1849)))+--(NOT(EXACT(J1849,'AI output'!E1849)))+--(NOT(EXACT(K1849,'AI output'!F1849)))+--(N1849&lt;&gt;'AI output'!L1849)+--(NOT('AI output'!M1849)),0)</f>
        <v>0</v>
      </c>
      <c r="Z1849" s="1">
        <f t="shared" si="231"/>
        <v>0</v>
      </c>
      <c r="AA1849" s="1">
        <f>--EXACT(A1849,"L01843")</f>
        <v>1</v>
      </c>
    </row>
    <row r="1850" spans="1:27" ht="18.95" customHeight="1">
      <c r="A1850" s="1" t="str">
        <f>IF(Raw!A1850="","",Raw!A1850)</f>
        <v>L01844</v>
      </c>
      <c r="B1850" s="1" t="str">
        <f>IF(Raw!B1850="","",Raw!B1850)</f>
        <v>T00922</v>
      </c>
      <c r="C1850" s="1" t="str">
        <f>IF(Raw!C1850="","",Raw!C1850)</f>
        <v>2026-02-27</v>
      </c>
      <c r="D1850" s="1">
        <f t="shared" si="224"/>
        <v>2026</v>
      </c>
      <c r="E1850" s="1">
        <f>IFERROR(IF(AND(LEN(C1850)=10,MID(C1850,5,1)="-",MID(C1850,8,1)="-"),VALUE(MID(C1850,6,2)),IF(AND(LEN(C1850)=11,MID(C1850,3,1)="-",MID(C1850,7,1)="-"),MATCH(UPPER(MID(C1850,4,3)),Guide!$D$7:$D$18,0),0)),0)</f>
        <v>2</v>
      </c>
      <c r="F1850" s="1">
        <f t="shared" si="225"/>
        <v>27</v>
      </c>
      <c r="G1850" s="9">
        <f t="shared" si="226"/>
        <v>46080</v>
      </c>
      <c r="H1850" s="1" t="str">
        <f>IF(Raw!D1850="","",Raw!D1850)</f>
        <v>P-H</v>
      </c>
      <c r="I1850" s="1" t="str">
        <f>IFERROR(IF(EXACT(H1850,INDEX(Guide!$A$7:$A$9,MATCH(SUBSTITUTE(SUBSTITUTE(SUBSTITUTE(H1850,"~","~~"),"*","~*"),"?","~?"),Guide!$A$7:$A$9,0))),INDEX(Guide!$B$7:$B$9,MATCH(SUBSTITUTE(SUBSTITUTE(SUBSTITUTE(H1850,"~","~~"),"*","~*"),"?","~?"),Guide!$A$7:$A$9,0)),""),"")</f>
        <v>Home</v>
      </c>
      <c r="J1850" s="1" t="str">
        <f>IF(TRIM(Raw!E1850)="",I1850,IF(UPPER(TRIM(Raw!E1850))=UPPER(I1850),I1850,""))</f>
        <v>Home</v>
      </c>
      <c r="K1850" s="1" t="str">
        <f>IF(Raw!F1850="","",Raw!F1850)</f>
        <v>sale</v>
      </c>
      <c r="L1850" s="1" t="str">
        <f>IF(LEFT(TRIM(Raw!G1850),2)="-$","-"&amp;MID(TRIM(Raw!G1850),3,99),IF(LEFT(TRIM(Raw!G1850),1)="$",MID(TRIM(Raw!G1850),2,99),TRIM(Raw!G1850)))</f>
        <v>173.80</v>
      </c>
      <c r="M1850" s="1">
        <f t="shared" si="227"/>
        <v>173.8</v>
      </c>
      <c r="N1850" s="10">
        <f t="shared" si="228"/>
        <v>17380</v>
      </c>
      <c r="O1850" s="1" t="b">
        <f>IFERROR(IF(ISNUMBER(Raw!G1850),TRUE,OR(EXACT(L1850,TEXT(M1850,"0.00")),EXACT(L1850,TEXT(M1850,"#,##0.00")))),FALSE)</f>
        <v>1</v>
      </c>
      <c r="P1850" s="1" t="str">
        <f>LEN(IF(Raw!A1850="","",Raw!A1850))&amp;":"&amp;IF(Raw!A1850="","",Raw!A1850)&amp;"|"&amp;LEN(IF(Raw!B1850="","",Raw!B1850))&amp;":"&amp;IF(Raw!B1850="","",Raw!B1850)&amp;"|"&amp;LEN(IF(Raw!C1850="","",Raw!C1850))&amp;":"&amp;IF(Raw!C1850="","",Raw!C1850)&amp;"|"&amp;LEN(IF(Raw!D1850="","",Raw!D1850))&amp;":"&amp;IF(Raw!D1850="","",Raw!D1850)&amp;"|"&amp;LEN(IF(Raw!E1850="","",Raw!E1850))&amp;":"&amp;IF(Raw!E1850="","",Raw!E1850)&amp;"|"&amp;LEN(IF(Raw!F1850="","",Raw!F1850))&amp;":"&amp;IF(Raw!F1850="","",Raw!F1850)&amp;"|"&amp;LEN(IF(Raw!G1850="","",Raw!G1850))&amp;":"&amp;IF(Raw!G1850="","",Raw!G1850)</f>
        <v>6:L01844|6:T00922|10:2026-02-27|3:P-H|4:Home|4:sale|6:173.80</v>
      </c>
      <c r="Q1850" s="1">
        <f>1</f>
        <v>1</v>
      </c>
      <c r="R1850" s="1" t="b">
        <f>FALSE</f>
        <v>0</v>
      </c>
      <c r="S1850" s="1">
        <f>1</f>
        <v>1</v>
      </c>
      <c r="T1850" s="1" t="str">
        <f>IF(AND(Raw!A1850="",Raw!B1850="",Raw!C1850="",Raw!D1850="",Raw!E1850="",Raw!F1850="",Raw!G1850=""),"UNUSED",IF(A1850="","missing line ID",IF(B1850="","missing transaction ID",IF(G1850="",IF(C1850="","missing date","invalid date"),IF(I1850="","unknown product",IF(J1850="","conflicting category",IF(NOT(OR(EXACT(K1850,"sale"),EXACT(K1850,"refund"))),"unknown event",IF(OR(N1850="",NOT(O1850)),"invalid amount",IF(OR(AND(K1850="sale",N1850&lt;=0),AND(K1850="refund",N1850&gt;=0)),"invalid sign","")))))))))</f>
        <v/>
      </c>
      <c r="U1850" s="1" t="str">
        <f t="shared" si="229"/>
        <v>INCLUDED</v>
      </c>
      <c r="V1850" s="1" t="str">
        <f t="shared" si="230"/>
        <v>2026-02</v>
      </c>
      <c r="W1850" s="1">
        <f>IF(AND(U1850="INCLUDED",X1850&gt;0,EXACT(A1850,'AI output'!A1850)),1,0)</f>
        <v>1</v>
      </c>
      <c r="X1850" s="1">
        <f>1850</f>
        <v>1850</v>
      </c>
      <c r="Y1850" s="1">
        <f>IF(AND(U1850="INCLUDED",W1850=1),--(NOT(EXACT(A1850,'AI output'!A1850)))+--(NOT(EXACT(B1850,'AI output'!B1850)))+--(NOT(EXACT(TEXT(G1850,"yyyy-mm-dd"),'AI output'!C1850)))+--(NOT(EXACT(H1850,'AI output'!D1850)))+--(NOT(EXACT(J1850,'AI output'!E1850)))+--(NOT(EXACT(K1850,'AI output'!F1850)))+--(N1850&lt;&gt;'AI output'!L1850)+--(NOT('AI output'!M1850)),0)</f>
        <v>0</v>
      </c>
      <c r="Z1850" s="1">
        <f t="shared" si="231"/>
        <v>0</v>
      </c>
      <c r="AA1850" s="1">
        <f>--EXACT(A1850,"L01844")</f>
        <v>1</v>
      </c>
    </row>
    <row r="1851" spans="1:27" ht="18.95" customHeight="1">
      <c r="A1851" s="1" t="str">
        <f>IF(Raw!A1851="","",Raw!A1851)</f>
        <v>L01845</v>
      </c>
      <c r="B1851" s="1" t="str">
        <f>IF(Raw!B1851="","",Raw!B1851)</f>
        <v>T00923</v>
      </c>
      <c r="C1851" s="1" t="str">
        <f>IF(Raw!C1851="","",Raw!C1851)</f>
        <v>2026-03-06</v>
      </c>
      <c r="D1851" s="1">
        <f t="shared" si="224"/>
        <v>2026</v>
      </c>
      <c r="E1851" s="1">
        <f>IFERROR(IF(AND(LEN(C1851)=10,MID(C1851,5,1)="-",MID(C1851,8,1)="-"),VALUE(MID(C1851,6,2)),IF(AND(LEN(C1851)=11,MID(C1851,3,1)="-",MID(C1851,7,1)="-"),MATCH(UPPER(MID(C1851,4,3)),Guide!$D$7:$D$18,0),0)),0)</f>
        <v>3</v>
      </c>
      <c r="F1851" s="1">
        <f t="shared" si="225"/>
        <v>6</v>
      </c>
      <c r="G1851" s="9">
        <f t="shared" si="226"/>
        <v>46087</v>
      </c>
      <c r="H1851" s="1" t="str">
        <f>IF(Raw!D1851="","",Raw!D1851)</f>
        <v>P-O</v>
      </c>
      <c r="I1851" s="1" t="str">
        <f>IFERROR(IF(EXACT(H1851,INDEX(Guide!$A$7:$A$9,MATCH(SUBSTITUTE(SUBSTITUTE(SUBSTITUTE(H1851,"~","~~"),"*","~*"),"?","~?"),Guide!$A$7:$A$9,0))),INDEX(Guide!$B$7:$B$9,MATCH(SUBSTITUTE(SUBSTITUTE(SUBSTITUTE(H1851,"~","~~"),"*","~*"),"?","~?"),Guide!$A$7:$A$9,0)),""),"")</f>
        <v>Office</v>
      </c>
      <c r="J1851" s="1" t="str">
        <f>IF(TRIM(Raw!E1851)="",I1851,IF(UPPER(TRIM(Raw!E1851))=UPPER(I1851),I1851,""))</f>
        <v>Office</v>
      </c>
      <c r="K1851" s="1" t="str">
        <f>IF(Raw!F1851="","",Raw!F1851)</f>
        <v>sale</v>
      </c>
      <c r="L1851" s="1" t="str">
        <f>IF(LEFT(TRIM(Raw!G1851),2)="-$","-"&amp;MID(TRIM(Raw!G1851),3,99),IF(LEFT(TRIM(Raw!G1851),1)="$",MID(TRIM(Raw!G1851),2,99),TRIM(Raw!G1851)))</f>
        <v>349.08</v>
      </c>
      <c r="M1851" s="1">
        <f t="shared" si="227"/>
        <v>349.08</v>
      </c>
      <c r="N1851" s="10">
        <f t="shared" si="228"/>
        <v>34908</v>
      </c>
      <c r="O1851" s="1" t="b">
        <f>IFERROR(IF(ISNUMBER(Raw!G1851),TRUE,OR(EXACT(L1851,TEXT(M1851,"0.00")),EXACT(L1851,TEXT(M1851,"#,##0.00")))),FALSE)</f>
        <v>1</v>
      </c>
      <c r="P1851" s="1" t="str">
        <f>LEN(IF(Raw!A1851="","",Raw!A1851))&amp;":"&amp;IF(Raw!A1851="","",Raw!A1851)&amp;"|"&amp;LEN(IF(Raw!B1851="","",Raw!B1851))&amp;":"&amp;IF(Raw!B1851="","",Raw!B1851)&amp;"|"&amp;LEN(IF(Raw!C1851="","",Raw!C1851))&amp;":"&amp;IF(Raw!C1851="","",Raw!C1851)&amp;"|"&amp;LEN(IF(Raw!D1851="","",Raw!D1851))&amp;":"&amp;IF(Raw!D1851="","",Raw!D1851)&amp;"|"&amp;LEN(IF(Raw!E1851="","",Raw!E1851))&amp;":"&amp;IF(Raw!E1851="","",Raw!E1851)&amp;"|"&amp;LEN(IF(Raw!F1851="","",Raw!F1851))&amp;":"&amp;IF(Raw!F1851="","",Raw!F1851)&amp;"|"&amp;LEN(IF(Raw!G1851="","",Raw!G1851))&amp;":"&amp;IF(Raw!G1851="","",Raw!G1851)</f>
        <v>6:L01845|6:T00923|10:2026-03-06|3:P-O|6:Office|4:sale|6:349.08</v>
      </c>
      <c r="Q1851" s="1">
        <f>1</f>
        <v>1</v>
      </c>
      <c r="R1851" s="1" t="b">
        <f>FALSE</f>
        <v>0</v>
      </c>
      <c r="S1851" s="1">
        <f>1</f>
        <v>1</v>
      </c>
      <c r="T1851" s="1" t="str">
        <f>IF(AND(Raw!A1851="",Raw!B1851="",Raw!C1851="",Raw!D1851="",Raw!E1851="",Raw!F1851="",Raw!G1851=""),"UNUSED",IF(A1851="","missing line ID",IF(B1851="","missing transaction ID",IF(G1851="",IF(C1851="","missing date","invalid date"),IF(I1851="","unknown product",IF(J1851="","conflicting category",IF(NOT(OR(EXACT(K1851,"sale"),EXACT(K1851,"refund"))),"unknown event",IF(OR(N1851="",NOT(O1851)),"invalid amount",IF(OR(AND(K1851="sale",N1851&lt;=0),AND(K1851="refund",N1851&gt;=0)),"invalid sign","")))))))))</f>
        <v/>
      </c>
      <c r="U1851" s="1" t="str">
        <f t="shared" si="229"/>
        <v>INCLUDED</v>
      </c>
      <c r="V1851" s="1" t="str">
        <f t="shared" si="230"/>
        <v>2026-03</v>
      </c>
      <c r="W1851" s="1">
        <f>IF(AND(U1851="INCLUDED",X1851&gt;0,EXACT(A1851,'AI output'!A1851)),1,0)</f>
        <v>1</v>
      </c>
      <c r="X1851" s="1">
        <f>1851</f>
        <v>1851</v>
      </c>
      <c r="Y1851" s="1">
        <f>IF(AND(U1851="INCLUDED",W1851=1),--(NOT(EXACT(A1851,'AI output'!A1851)))+--(NOT(EXACT(B1851,'AI output'!B1851)))+--(NOT(EXACT(TEXT(G1851,"yyyy-mm-dd"),'AI output'!C1851)))+--(NOT(EXACT(H1851,'AI output'!D1851)))+--(NOT(EXACT(J1851,'AI output'!E1851)))+--(NOT(EXACT(K1851,'AI output'!F1851)))+--(N1851&lt;&gt;'AI output'!L1851)+--(NOT('AI output'!M1851)),0)</f>
        <v>0</v>
      </c>
      <c r="Z1851" s="1">
        <f t="shared" si="231"/>
        <v>0</v>
      </c>
      <c r="AA1851" s="1">
        <f>--EXACT(A1851,"L01845")</f>
        <v>1</v>
      </c>
    </row>
    <row r="1852" spans="1:27" ht="18.95" customHeight="1">
      <c r="A1852" s="1" t="str">
        <f>IF(Raw!A1852="","",Raw!A1852)</f>
        <v>L01846</v>
      </c>
      <c r="B1852" s="1" t="str">
        <f>IF(Raw!B1852="","",Raw!B1852)</f>
        <v>T00923</v>
      </c>
      <c r="C1852" s="1" t="str">
        <f>IF(Raw!C1852="","",Raw!C1852)</f>
        <v>2026-03-06</v>
      </c>
      <c r="D1852" s="1">
        <f t="shared" si="224"/>
        <v>2026</v>
      </c>
      <c r="E1852" s="1">
        <f>IFERROR(IF(AND(LEN(C1852)=10,MID(C1852,5,1)="-",MID(C1852,8,1)="-"),VALUE(MID(C1852,6,2)),IF(AND(LEN(C1852)=11,MID(C1852,3,1)="-",MID(C1852,7,1)="-"),MATCH(UPPER(MID(C1852,4,3)),Guide!$D$7:$D$18,0),0)),0)</f>
        <v>3</v>
      </c>
      <c r="F1852" s="1">
        <f t="shared" si="225"/>
        <v>6</v>
      </c>
      <c r="G1852" s="9">
        <f t="shared" si="226"/>
        <v>46087</v>
      </c>
      <c r="H1852" s="1" t="str">
        <f>IF(Raw!D1852="","",Raw!D1852)</f>
        <v>P-A</v>
      </c>
      <c r="I1852" s="1" t="str">
        <f>IFERROR(IF(EXACT(H1852,INDEX(Guide!$A$7:$A$9,MATCH(SUBSTITUTE(SUBSTITUTE(SUBSTITUTE(H1852,"~","~~"),"*","~*"),"?","~?"),Guide!$A$7:$A$9,0))),INDEX(Guide!$B$7:$B$9,MATCH(SUBSTITUTE(SUBSTITUTE(SUBSTITUTE(H1852,"~","~~"),"*","~*"),"?","~?"),Guide!$A$7:$A$9,0)),""),"")</f>
        <v>Accessories</v>
      </c>
      <c r="J1852" s="1" t="str">
        <f>IF(TRIM(Raw!E1852)="",I1852,IF(UPPER(TRIM(Raw!E1852))=UPPER(I1852),I1852,""))</f>
        <v>Accessories</v>
      </c>
      <c r="K1852" s="1" t="str">
        <f>IF(Raw!F1852="","",Raw!F1852)</f>
        <v>sale</v>
      </c>
      <c r="L1852" s="1" t="str">
        <f>IF(LEFT(TRIM(Raw!G1852),2)="-$","-"&amp;MID(TRIM(Raw!G1852),3,99),IF(LEFT(TRIM(Raw!G1852),1)="$",MID(TRIM(Raw!G1852),2,99),TRIM(Raw!G1852)))</f>
        <v>87.64</v>
      </c>
      <c r="M1852" s="1">
        <f t="shared" si="227"/>
        <v>87.64</v>
      </c>
      <c r="N1852" s="10">
        <f t="shared" si="228"/>
        <v>8764</v>
      </c>
      <c r="O1852" s="1" t="b">
        <f>IFERROR(IF(ISNUMBER(Raw!G1852),TRUE,OR(EXACT(L1852,TEXT(M1852,"0.00")),EXACT(L1852,TEXT(M1852,"#,##0.00")))),FALSE)</f>
        <v>1</v>
      </c>
      <c r="P1852" s="1" t="str">
        <f>LEN(IF(Raw!A1852="","",Raw!A1852))&amp;":"&amp;IF(Raw!A1852="","",Raw!A1852)&amp;"|"&amp;LEN(IF(Raw!B1852="","",Raw!B1852))&amp;":"&amp;IF(Raw!B1852="","",Raw!B1852)&amp;"|"&amp;LEN(IF(Raw!C1852="","",Raw!C1852))&amp;":"&amp;IF(Raw!C1852="","",Raw!C1852)&amp;"|"&amp;LEN(IF(Raw!D1852="","",Raw!D1852))&amp;":"&amp;IF(Raw!D1852="","",Raw!D1852)&amp;"|"&amp;LEN(IF(Raw!E1852="","",Raw!E1852))&amp;":"&amp;IF(Raw!E1852="","",Raw!E1852)&amp;"|"&amp;LEN(IF(Raw!F1852="","",Raw!F1852))&amp;":"&amp;IF(Raw!F1852="","",Raw!F1852)&amp;"|"&amp;LEN(IF(Raw!G1852="","",Raw!G1852))&amp;":"&amp;IF(Raw!G1852="","",Raw!G1852)</f>
        <v>6:L01846|6:T00923|10:2026-03-06|3:P-A|11:Accessories|4:sale|5:87.64</v>
      </c>
      <c r="Q1852" s="1">
        <f>1</f>
        <v>1</v>
      </c>
      <c r="R1852" s="1" t="b">
        <f>FALSE</f>
        <v>0</v>
      </c>
      <c r="S1852" s="1">
        <f>1</f>
        <v>1</v>
      </c>
      <c r="T1852" s="1" t="str">
        <f>IF(AND(Raw!A1852="",Raw!B1852="",Raw!C1852="",Raw!D1852="",Raw!E1852="",Raw!F1852="",Raw!G1852=""),"UNUSED",IF(A1852="","missing line ID",IF(B1852="","missing transaction ID",IF(G1852="",IF(C1852="","missing date","invalid date"),IF(I1852="","unknown product",IF(J1852="","conflicting category",IF(NOT(OR(EXACT(K1852,"sale"),EXACT(K1852,"refund"))),"unknown event",IF(OR(N1852="",NOT(O1852)),"invalid amount",IF(OR(AND(K1852="sale",N1852&lt;=0),AND(K1852="refund",N1852&gt;=0)),"invalid sign","")))))))))</f>
        <v/>
      </c>
      <c r="U1852" s="1" t="str">
        <f t="shared" si="229"/>
        <v>INCLUDED</v>
      </c>
      <c r="V1852" s="1" t="str">
        <f t="shared" si="230"/>
        <v>2026-03</v>
      </c>
      <c r="W1852" s="1">
        <f>IF(AND(U1852="INCLUDED",X1852&gt;0,EXACT(A1852,'AI output'!A1852)),1,0)</f>
        <v>1</v>
      </c>
      <c r="X1852" s="1">
        <f>1852</f>
        <v>1852</v>
      </c>
      <c r="Y1852" s="1">
        <f>IF(AND(U1852="INCLUDED",W1852=1),--(NOT(EXACT(A1852,'AI output'!A1852)))+--(NOT(EXACT(B1852,'AI output'!B1852)))+--(NOT(EXACT(TEXT(G1852,"yyyy-mm-dd"),'AI output'!C1852)))+--(NOT(EXACT(H1852,'AI output'!D1852)))+--(NOT(EXACT(J1852,'AI output'!E1852)))+--(NOT(EXACT(K1852,'AI output'!F1852)))+--(N1852&lt;&gt;'AI output'!L1852)+--(NOT('AI output'!M1852)),0)</f>
        <v>0</v>
      </c>
      <c r="Z1852" s="1">
        <f t="shared" si="231"/>
        <v>0</v>
      </c>
      <c r="AA1852" s="1">
        <f>--EXACT(A1852,"L01846")</f>
        <v>1</v>
      </c>
    </row>
    <row r="1853" spans="1:27" ht="18.95" customHeight="1">
      <c r="A1853" s="1" t="str">
        <f>IF(Raw!A1853="","",Raw!A1853)</f>
        <v>L01847</v>
      </c>
      <c r="B1853" s="1" t="str">
        <f>IF(Raw!B1853="","",Raw!B1853)</f>
        <v>T00924</v>
      </c>
      <c r="C1853" s="1" t="str">
        <f>IF(Raw!C1853="","",Raw!C1853)</f>
        <v>2026-03-13</v>
      </c>
      <c r="D1853" s="1">
        <f t="shared" si="224"/>
        <v>2026</v>
      </c>
      <c r="E1853" s="1">
        <f>IFERROR(IF(AND(LEN(C1853)=10,MID(C1853,5,1)="-",MID(C1853,8,1)="-"),VALUE(MID(C1853,6,2)),IF(AND(LEN(C1853)=11,MID(C1853,3,1)="-",MID(C1853,7,1)="-"),MATCH(UPPER(MID(C1853,4,3)),Guide!$D$7:$D$18,0),0)),0)</f>
        <v>3</v>
      </c>
      <c r="F1853" s="1">
        <f t="shared" si="225"/>
        <v>13</v>
      </c>
      <c r="G1853" s="9">
        <f t="shared" si="226"/>
        <v>46094</v>
      </c>
      <c r="H1853" s="1" t="str">
        <f>IF(Raw!D1853="","",Raw!D1853)</f>
        <v>P-H</v>
      </c>
      <c r="I1853" s="1" t="str">
        <f>IFERROR(IF(EXACT(H1853,INDEX(Guide!$A$7:$A$9,MATCH(SUBSTITUTE(SUBSTITUTE(SUBSTITUTE(H1853,"~","~~"),"*","~*"),"?","~?"),Guide!$A$7:$A$9,0))),INDEX(Guide!$B$7:$B$9,MATCH(SUBSTITUTE(SUBSTITUTE(SUBSTITUTE(H1853,"~","~~"),"*","~*"),"?","~?"),Guide!$A$7:$A$9,0)),""),"")</f>
        <v>Home</v>
      </c>
      <c r="J1853" s="1" t="str">
        <f>IF(TRIM(Raw!E1853)="",I1853,IF(UPPER(TRIM(Raw!E1853))=UPPER(I1853),I1853,""))</f>
        <v>Home</v>
      </c>
      <c r="K1853" s="1" t="str">
        <f>IF(Raw!F1853="","",Raw!F1853)</f>
        <v>sale</v>
      </c>
      <c r="L1853" s="1" t="str">
        <f>IF(LEFT(TRIM(Raw!G1853),2)="-$","-"&amp;MID(TRIM(Raw!G1853),3,99),IF(LEFT(TRIM(Raw!G1853),1)="$",MID(TRIM(Raw!G1853),2,99),TRIM(Raw!G1853)))</f>
        <v>264.03</v>
      </c>
      <c r="M1853" s="1">
        <f t="shared" si="227"/>
        <v>264.02999999999997</v>
      </c>
      <c r="N1853" s="10">
        <f t="shared" si="228"/>
        <v>26403</v>
      </c>
      <c r="O1853" s="1" t="b">
        <f>IFERROR(IF(ISNUMBER(Raw!G1853),TRUE,OR(EXACT(L1853,TEXT(M1853,"0.00")),EXACT(L1853,TEXT(M1853,"#,##0.00")))),FALSE)</f>
        <v>1</v>
      </c>
      <c r="P1853" s="1" t="str">
        <f>LEN(IF(Raw!A1853="","",Raw!A1853))&amp;":"&amp;IF(Raw!A1853="","",Raw!A1853)&amp;"|"&amp;LEN(IF(Raw!B1853="","",Raw!B1853))&amp;":"&amp;IF(Raw!B1853="","",Raw!B1853)&amp;"|"&amp;LEN(IF(Raw!C1853="","",Raw!C1853))&amp;":"&amp;IF(Raw!C1853="","",Raw!C1853)&amp;"|"&amp;LEN(IF(Raw!D1853="","",Raw!D1853))&amp;":"&amp;IF(Raw!D1853="","",Raw!D1853)&amp;"|"&amp;LEN(IF(Raw!E1853="","",Raw!E1853))&amp;":"&amp;IF(Raw!E1853="","",Raw!E1853)&amp;"|"&amp;LEN(IF(Raw!F1853="","",Raw!F1853))&amp;":"&amp;IF(Raw!F1853="","",Raw!F1853)&amp;"|"&amp;LEN(IF(Raw!G1853="","",Raw!G1853))&amp;":"&amp;IF(Raw!G1853="","",Raw!G1853)</f>
        <v>6:L01847|6:T00924|10:2026-03-13|3:P-H|4:Home|4:sale|6:264.03</v>
      </c>
      <c r="Q1853" s="1">
        <f>1</f>
        <v>1</v>
      </c>
      <c r="R1853" s="1" t="b">
        <f>FALSE</f>
        <v>0</v>
      </c>
      <c r="S1853" s="1">
        <f>1</f>
        <v>1</v>
      </c>
      <c r="T1853" s="1" t="str">
        <f>IF(AND(Raw!A1853="",Raw!B1853="",Raw!C1853="",Raw!D1853="",Raw!E1853="",Raw!F1853="",Raw!G1853=""),"UNUSED",IF(A1853="","missing line ID",IF(B1853="","missing transaction ID",IF(G1853="",IF(C1853="","missing date","invalid date"),IF(I1853="","unknown product",IF(J1853="","conflicting category",IF(NOT(OR(EXACT(K1853,"sale"),EXACT(K1853,"refund"))),"unknown event",IF(OR(N1853="",NOT(O1853)),"invalid amount",IF(OR(AND(K1853="sale",N1853&lt;=0),AND(K1853="refund",N1853&gt;=0)),"invalid sign","")))))))))</f>
        <v/>
      </c>
      <c r="U1853" s="1" t="str">
        <f t="shared" si="229"/>
        <v>INCLUDED</v>
      </c>
      <c r="V1853" s="1" t="str">
        <f t="shared" si="230"/>
        <v>2026-03</v>
      </c>
      <c r="W1853" s="1">
        <f>IF(AND(U1853="INCLUDED",X1853&gt;0,EXACT(A1853,'AI output'!A1853)),1,0)</f>
        <v>1</v>
      </c>
      <c r="X1853" s="1">
        <f>1853</f>
        <v>1853</v>
      </c>
      <c r="Y1853" s="1">
        <f>IF(AND(U1853="INCLUDED",W1853=1),--(NOT(EXACT(A1853,'AI output'!A1853)))+--(NOT(EXACT(B1853,'AI output'!B1853)))+--(NOT(EXACT(TEXT(G1853,"yyyy-mm-dd"),'AI output'!C1853)))+--(NOT(EXACT(H1853,'AI output'!D1853)))+--(NOT(EXACT(J1853,'AI output'!E1853)))+--(NOT(EXACT(K1853,'AI output'!F1853)))+--(N1853&lt;&gt;'AI output'!L1853)+--(NOT('AI output'!M1853)),0)</f>
        <v>0</v>
      </c>
      <c r="Z1853" s="1">
        <f t="shared" si="231"/>
        <v>0</v>
      </c>
      <c r="AA1853" s="1">
        <f>--EXACT(A1853,"L01847")</f>
        <v>1</v>
      </c>
    </row>
    <row r="1854" spans="1:27" ht="18.95" customHeight="1">
      <c r="A1854" s="1" t="str">
        <f>IF(Raw!A1854="","",Raw!A1854)</f>
        <v>L01848</v>
      </c>
      <c r="B1854" s="1" t="str">
        <f>IF(Raw!B1854="","",Raw!B1854)</f>
        <v>T00924</v>
      </c>
      <c r="C1854" s="1" t="str">
        <f>IF(Raw!C1854="","",Raw!C1854)</f>
        <v>2026-03-13</v>
      </c>
      <c r="D1854" s="1">
        <f t="shared" si="224"/>
        <v>2026</v>
      </c>
      <c r="E1854" s="1">
        <f>IFERROR(IF(AND(LEN(C1854)=10,MID(C1854,5,1)="-",MID(C1854,8,1)="-"),VALUE(MID(C1854,6,2)),IF(AND(LEN(C1854)=11,MID(C1854,3,1)="-",MID(C1854,7,1)="-"),MATCH(UPPER(MID(C1854,4,3)),Guide!$D$7:$D$18,0),0)),0)</f>
        <v>3</v>
      </c>
      <c r="F1854" s="1">
        <f t="shared" si="225"/>
        <v>13</v>
      </c>
      <c r="G1854" s="9">
        <f t="shared" si="226"/>
        <v>46094</v>
      </c>
      <c r="H1854" s="1" t="str">
        <f>IF(Raw!D1854="","",Raw!D1854)</f>
        <v>P-O</v>
      </c>
      <c r="I1854" s="1" t="str">
        <f>IFERROR(IF(EXACT(H1854,INDEX(Guide!$A$7:$A$9,MATCH(SUBSTITUTE(SUBSTITUTE(SUBSTITUTE(H1854,"~","~~"),"*","~*"),"?","~?"),Guide!$A$7:$A$9,0))),INDEX(Guide!$B$7:$B$9,MATCH(SUBSTITUTE(SUBSTITUTE(SUBSTITUTE(H1854,"~","~~"),"*","~*"),"?","~?"),Guide!$A$7:$A$9,0)),""),"")</f>
        <v>Office</v>
      </c>
      <c r="J1854" s="1" t="str">
        <f>IF(TRIM(Raw!E1854)="",I1854,IF(UPPER(TRIM(Raw!E1854))=UPPER(I1854),I1854,""))</f>
        <v>Office</v>
      </c>
      <c r="K1854" s="1" t="str">
        <f>IF(Raw!F1854="","",Raw!F1854)</f>
        <v>sale</v>
      </c>
      <c r="L1854" s="1" t="str">
        <f>IF(LEFT(TRIM(Raw!G1854),2)="-$","-"&amp;MID(TRIM(Raw!G1854),3,99),IF(LEFT(TRIM(Raw!G1854),1)="$",MID(TRIM(Raw!G1854),2,99),TRIM(Raw!G1854)))</f>
        <v>441.90</v>
      </c>
      <c r="M1854" s="1">
        <f t="shared" si="227"/>
        <v>441.9</v>
      </c>
      <c r="N1854" s="10">
        <f t="shared" si="228"/>
        <v>44190</v>
      </c>
      <c r="O1854" s="1" t="b">
        <f>IFERROR(IF(ISNUMBER(Raw!G1854),TRUE,OR(EXACT(L1854,TEXT(M1854,"0.00")),EXACT(L1854,TEXT(M1854,"#,##0.00")))),FALSE)</f>
        <v>1</v>
      </c>
      <c r="P1854" s="1" t="str">
        <f>LEN(IF(Raw!A1854="","",Raw!A1854))&amp;":"&amp;IF(Raw!A1854="","",Raw!A1854)&amp;"|"&amp;LEN(IF(Raw!B1854="","",Raw!B1854))&amp;":"&amp;IF(Raw!B1854="","",Raw!B1854)&amp;"|"&amp;LEN(IF(Raw!C1854="","",Raw!C1854))&amp;":"&amp;IF(Raw!C1854="","",Raw!C1854)&amp;"|"&amp;LEN(IF(Raw!D1854="","",Raw!D1854))&amp;":"&amp;IF(Raw!D1854="","",Raw!D1854)&amp;"|"&amp;LEN(IF(Raw!E1854="","",Raw!E1854))&amp;":"&amp;IF(Raw!E1854="","",Raw!E1854)&amp;"|"&amp;LEN(IF(Raw!F1854="","",Raw!F1854))&amp;":"&amp;IF(Raw!F1854="","",Raw!F1854)&amp;"|"&amp;LEN(IF(Raw!G1854="","",Raw!G1854))&amp;":"&amp;IF(Raw!G1854="","",Raw!G1854)</f>
        <v>6:L01848|6:T00924|10:2026-03-13|3:P-O|6:Office|4:sale|6:441.90</v>
      </c>
      <c r="Q1854" s="1">
        <f>1</f>
        <v>1</v>
      </c>
      <c r="R1854" s="1" t="b">
        <f>FALSE</f>
        <v>0</v>
      </c>
      <c r="S1854" s="1">
        <f>1</f>
        <v>1</v>
      </c>
      <c r="T1854" s="1" t="str">
        <f>IF(AND(Raw!A1854="",Raw!B1854="",Raw!C1854="",Raw!D1854="",Raw!E1854="",Raw!F1854="",Raw!G1854=""),"UNUSED",IF(A1854="","missing line ID",IF(B1854="","missing transaction ID",IF(G1854="",IF(C1854="","missing date","invalid date"),IF(I1854="","unknown product",IF(J1854="","conflicting category",IF(NOT(OR(EXACT(K1854,"sale"),EXACT(K1854,"refund"))),"unknown event",IF(OR(N1854="",NOT(O1854)),"invalid amount",IF(OR(AND(K1854="sale",N1854&lt;=0),AND(K1854="refund",N1854&gt;=0)),"invalid sign","")))))))))</f>
        <v/>
      </c>
      <c r="U1854" s="1" t="str">
        <f t="shared" si="229"/>
        <v>INCLUDED</v>
      </c>
      <c r="V1854" s="1" t="str">
        <f t="shared" si="230"/>
        <v>2026-03</v>
      </c>
      <c r="W1854" s="1">
        <f>IF(AND(U1854="INCLUDED",X1854&gt;0,EXACT(A1854,'AI output'!A1854)),1,0)</f>
        <v>1</v>
      </c>
      <c r="X1854" s="1">
        <f>1854</f>
        <v>1854</v>
      </c>
      <c r="Y1854" s="1">
        <f>IF(AND(U1854="INCLUDED",W1854=1),--(NOT(EXACT(A1854,'AI output'!A1854)))+--(NOT(EXACT(B1854,'AI output'!B1854)))+--(NOT(EXACT(TEXT(G1854,"yyyy-mm-dd"),'AI output'!C1854)))+--(NOT(EXACT(H1854,'AI output'!D1854)))+--(NOT(EXACT(J1854,'AI output'!E1854)))+--(NOT(EXACT(K1854,'AI output'!F1854)))+--(N1854&lt;&gt;'AI output'!L1854)+--(NOT('AI output'!M1854)),0)</f>
        <v>0</v>
      </c>
      <c r="Z1854" s="1">
        <f t="shared" si="231"/>
        <v>0</v>
      </c>
      <c r="AA1854" s="1">
        <f>--EXACT(A1854,"L01848")</f>
        <v>1</v>
      </c>
    </row>
    <row r="1855" spans="1:27" ht="18.95" customHeight="1">
      <c r="A1855" s="1" t="str">
        <f>IF(Raw!A1855="","",Raw!A1855)</f>
        <v>L01849</v>
      </c>
      <c r="B1855" s="1" t="str">
        <f>IF(Raw!B1855="","",Raw!B1855)</f>
        <v>T00925</v>
      </c>
      <c r="C1855" s="1" t="str">
        <f>IF(Raw!C1855="","",Raw!C1855)</f>
        <v>2026-03-20</v>
      </c>
      <c r="D1855" s="1">
        <f t="shared" si="224"/>
        <v>2026</v>
      </c>
      <c r="E1855" s="1">
        <f>IFERROR(IF(AND(LEN(C1855)=10,MID(C1855,5,1)="-",MID(C1855,8,1)="-"),VALUE(MID(C1855,6,2)),IF(AND(LEN(C1855)=11,MID(C1855,3,1)="-",MID(C1855,7,1)="-"),MATCH(UPPER(MID(C1855,4,3)),Guide!$D$7:$D$18,0),0)),0)</f>
        <v>3</v>
      </c>
      <c r="F1855" s="1">
        <f t="shared" si="225"/>
        <v>20</v>
      </c>
      <c r="G1855" s="9">
        <f t="shared" si="226"/>
        <v>46101</v>
      </c>
      <c r="H1855" s="1" t="str">
        <f>IF(Raw!D1855="","",Raw!D1855)</f>
        <v>P-A</v>
      </c>
      <c r="I1855" s="1" t="str">
        <f>IFERROR(IF(EXACT(H1855,INDEX(Guide!$A$7:$A$9,MATCH(SUBSTITUTE(SUBSTITUTE(SUBSTITUTE(H1855,"~","~~"),"*","~*"),"?","~?"),Guide!$A$7:$A$9,0))),INDEX(Guide!$B$7:$B$9,MATCH(SUBSTITUTE(SUBSTITUTE(SUBSTITUTE(H1855,"~","~~"),"*","~*"),"?","~?"),Guide!$A$7:$A$9,0)),""),"")</f>
        <v>Accessories</v>
      </c>
      <c r="J1855" s="1" t="str">
        <f>IF(TRIM(Raw!E1855)="",I1855,IF(UPPER(TRIM(Raw!E1855))=UPPER(I1855),I1855,""))</f>
        <v>Accessories</v>
      </c>
      <c r="K1855" s="1" t="str">
        <f>IF(Raw!F1855="","",Raw!F1855)</f>
        <v>sale</v>
      </c>
      <c r="L1855" s="1" t="str">
        <f>IF(LEFT(TRIM(Raw!G1855),2)="-$","-"&amp;MID(TRIM(Raw!G1855),3,99),IF(LEFT(TRIM(Raw!G1855),1)="$",MID(TRIM(Raw!G1855),2,99),TRIM(Raw!G1855)))</f>
        <v>177.50</v>
      </c>
      <c r="M1855" s="1">
        <f t="shared" si="227"/>
        <v>177.5</v>
      </c>
      <c r="N1855" s="10">
        <f t="shared" si="228"/>
        <v>17750</v>
      </c>
      <c r="O1855" s="1" t="b">
        <f>IFERROR(IF(ISNUMBER(Raw!G1855),TRUE,OR(EXACT(L1855,TEXT(M1855,"0.00")),EXACT(L1855,TEXT(M1855,"#,##0.00")))),FALSE)</f>
        <v>1</v>
      </c>
      <c r="P1855" s="1" t="str">
        <f>LEN(IF(Raw!A1855="","",Raw!A1855))&amp;":"&amp;IF(Raw!A1855="","",Raw!A1855)&amp;"|"&amp;LEN(IF(Raw!B1855="","",Raw!B1855))&amp;":"&amp;IF(Raw!B1855="","",Raw!B1855)&amp;"|"&amp;LEN(IF(Raw!C1855="","",Raw!C1855))&amp;":"&amp;IF(Raw!C1855="","",Raw!C1855)&amp;"|"&amp;LEN(IF(Raw!D1855="","",Raw!D1855))&amp;":"&amp;IF(Raw!D1855="","",Raw!D1855)&amp;"|"&amp;LEN(IF(Raw!E1855="","",Raw!E1855))&amp;":"&amp;IF(Raw!E1855="","",Raw!E1855)&amp;"|"&amp;LEN(IF(Raw!F1855="","",Raw!F1855))&amp;":"&amp;IF(Raw!F1855="","",Raw!F1855)&amp;"|"&amp;LEN(IF(Raw!G1855="","",Raw!G1855))&amp;":"&amp;IF(Raw!G1855="","",Raw!G1855)</f>
        <v>6:L01849|6:T00925|10:2026-03-20|3:P-A|11:Accessories|4:sale|6:177.50</v>
      </c>
      <c r="Q1855" s="1">
        <f>1</f>
        <v>1</v>
      </c>
      <c r="R1855" s="1" t="b">
        <f>FALSE</f>
        <v>0</v>
      </c>
      <c r="S1855" s="1">
        <f>1</f>
        <v>1</v>
      </c>
      <c r="T1855" s="1" t="str">
        <f>IF(AND(Raw!A1855="",Raw!B1855="",Raw!C1855="",Raw!D1855="",Raw!E1855="",Raw!F1855="",Raw!G1855=""),"UNUSED",IF(A1855="","missing line ID",IF(B1855="","missing transaction ID",IF(G1855="",IF(C1855="","missing date","invalid date"),IF(I1855="","unknown product",IF(J1855="","conflicting category",IF(NOT(OR(EXACT(K1855,"sale"),EXACT(K1855,"refund"))),"unknown event",IF(OR(N1855="",NOT(O1855)),"invalid amount",IF(OR(AND(K1855="sale",N1855&lt;=0),AND(K1855="refund",N1855&gt;=0)),"invalid sign","")))))))))</f>
        <v/>
      </c>
      <c r="U1855" s="1" t="str">
        <f t="shared" si="229"/>
        <v>INCLUDED</v>
      </c>
      <c r="V1855" s="1" t="str">
        <f t="shared" si="230"/>
        <v>2026-03</v>
      </c>
      <c r="W1855" s="1">
        <f>IF(AND(U1855="INCLUDED",X1855&gt;0,EXACT(A1855,'AI output'!A1855)),1,0)</f>
        <v>1</v>
      </c>
      <c r="X1855" s="1">
        <f>1855</f>
        <v>1855</v>
      </c>
      <c r="Y1855" s="1">
        <f>IF(AND(U1855="INCLUDED",W1855=1),--(NOT(EXACT(A1855,'AI output'!A1855)))+--(NOT(EXACT(B1855,'AI output'!B1855)))+--(NOT(EXACT(TEXT(G1855,"yyyy-mm-dd"),'AI output'!C1855)))+--(NOT(EXACT(H1855,'AI output'!D1855)))+--(NOT(EXACT(J1855,'AI output'!E1855)))+--(NOT(EXACT(K1855,'AI output'!F1855)))+--(N1855&lt;&gt;'AI output'!L1855)+--(NOT('AI output'!M1855)),0)</f>
        <v>0</v>
      </c>
      <c r="Z1855" s="1">
        <f t="shared" si="231"/>
        <v>0</v>
      </c>
      <c r="AA1855" s="1">
        <f>--EXACT(A1855,"L01849")</f>
        <v>1</v>
      </c>
    </row>
    <row r="1856" spans="1:27" ht="18.95" customHeight="1">
      <c r="A1856" s="1" t="str">
        <f>IF(Raw!A1856="","",Raw!A1856)</f>
        <v>L01850</v>
      </c>
      <c r="B1856" s="1" t="str">
        <f>IF(Raw!B1856="","",Raw!B1856)</f>
        <v>T00925</v>
      </c>
      <c r="C1856" s="1" t="str">
        <f>IF(Raw!C1856="","",Raw!C1856)</f>
        <v>2026-03-20</v>
      </c>
      <c r="D1856" s="1">
        <f t="shared" si="224"/>
        <v>2026</v>
      </c>
      <c r="E1856" s="1">
        <f>IFERROR(IF(AND(LEN(C1856)=10,MID(C1856,5,1)="-",MID(C1856,8,1)="-"),VALUE(MID(C1856,6,2)),IF(AND(LEN(C1856)=11,MID(C1856,3,1)="-",MID(C1856,7,1)="-"),MATCH(UPPER(MID(C1856,4,3)),Guide!$D$7:$D$18,0),0)),0)</f>
        <v>3</v>
      </c>
      <c r="F1856" s="1">
        <f t="shared" si="225"/>
        <v>20</v>
      </c>
      <c r="G1856" s="9">
        <f t="shared" si="226"/>
        <v>46101</v>
      </c>
      <c r="H1856" s="1" t="str">
        <f>IF(Raw!D1856="","",Raw!D1856)</f>
        <v>P-H</v>
      </c>
      <c r="I1856" s="1" t="str">
        <f>IFERROR(IF(EXACT(H1856,INDEX(Guide!$A$7:$A$9,MATCH(SUBSTITUTE(SUBSTITUTE(SUBSTITUTE(H1856,"~","~~"),"*","~*"),"?","~?"),Guide!$A$7:$A$9,0))),INDEX(Guide!$B$7:$B$9,MATCH(SUBSTITUTE(SUBSTITUTE(SUBSTITUTE(H1856,"~","~~"),"*","~*"),"?","~?"),Guide!$A$7:$A$9,0)),""),"")</f>
        <v>Home</v>
      </c>
      <c r="J1856" s="1" t="str">
        <f>IF(TRIM(Raw!E1856)="",I1856,IF(UPPER(TRIM(Raw!E1856))=UPPER(I1856),I1856,""))</f>
        <v>Home</v>
      </c>
      <c r="K1856" s="1" t="str">
        <f>IF(Raw!F1856="","",Raw!F1856)</f>
        <v>sale</v>
      </c>
      <c r="L1856" s="1" t="str">
        <f>IF(LEFT(TRIM(Raw!G1856),2)="-$","-"&amp;MID(TRIM(Raw!G1856),3,99),IF(LEFT(TRIM(Raw!G1856),1)="$",MID(TRIM(Raw!G1856),2,99),TRIM(Raw!G1856)))</f>
        <v>356.48</v>
      </c>
      <c r="M1856" s="1">
        <f t="shared" si="227"/>
        <v>356.48</v>
      </c>
      <c r="N1856" s="10">
        <f t="shared" si="228"/>
        <v>35648</v>
      </c>
      <c r="O1856" s="1" t="b">
        <f>IFERROR(IF(ISNUMBER(Raw!G1856),TRUE,OR(EXACT(L1856,TEXT(M1856,"0.00")),EXACT(L1856,TEXT(M1856,"#,##0.00")))),FALSE)</f>
        <v>1</v>
      </c>
      <c r="P1856" s="1" t="str">
        <f>LEN(IF(Raw!A1856="","",Raw!A1856))&amp;":"&amp;IF(Raw!A1856="","",Raw!A1856)&amp;"|"&amp;LEN(IF(Raw!B1856="","",Raw!B1856))&amp;":"&amp;IF(Raw!B1856="","",Raw!B1856)&amp;"|"&amp;LEN(IF(Raw!C1856="","",Raw!C1856))&amp;":"&amp;IF(Raw!C1856="","",Raw!C1856)&amp;"|"&amp;LEN(IF(Raw!D1856="","",Raw!D1856))&amp;":"&amp;IF(Raw!D1856="","",Raw!D1856)&amp;"|"&amp;LEN(IF(Raw!E1856="","",Raw!E1856))&amp;":"&amp;IF(Raw!E1856="","",Raw!E1856)&amp;"|"&amp;LEN(IF(Raw!F1856="","",Raw!F1856))&amp;":"&amp;IF(Raw!F1856="","",Raw!F1856)&amp;"|"&amp;LEN(IF(Raw!G1856="","",Raw!G1856))&amp;":"&amp;IF(Raw!G1856="","",Raw!G1856)</f>
        <v>6:L01850|6:T00925|10:2026-03-20|3:P-H|4:Home|4:sale|6:356.48</v>
      </c>
      <c r="Q1856" s="1">
        <f>1</f>
        <v>1</v>
      </c>
      <c r="R1856" s="1" t="b">
        <f>FALSE</f>
        <v>0</v>
      </c>
      <c r="S1856" s="1">
        <f>1</f>
        <v>1</v>
      </c>
      <c r="T1856" s="1" t="str">
        <f>IF(AND(Raw!A1856="",Raw!B1856="",Raw!C1856="",Raw!D1856="",Raw!E1856="",Raw!F1856="",Raw!G1856=""),"UNUSED",IF(A1856="","missing line ID",IF(B1856="","missing transaction ID",IF(G1856="",IF(C1856="","missing date","invalid date"),IF(I1856="","unknown product",IF(J1856="","conflicting category",IF(NOT(OR(EXACT(K1856,"sale"),EXACT(K1856,"refund"))),"unknown event",IF(OR(N1856="",NOT(O1856)),"invalid amount",IF(OR(AND(K1856="sale",N1856&lt;=0),AND(K1856="refund",N1856&gt;=0)),"invalid sign","")))))))))</f>
        <v/>
      </c>
      <c r="U1856" s="1" t="str">
        <f t="shared" si="229"/>
        <v>INCLUDED</v>
      </c>
      <c r="V1856" s="1" t="str">
        <f t="shared" si="230"/>
        <v>2026-03</v>
      </c>
      <c r="W1856" s="1">
        <f>IF(AND(U1856="INCLUDED",X1856&gt;0,EXACT(A1856,'AI output'!A1856)),1,0)</f>
        <v>1</v>
      </c>
      <c r="X1856" s="1">
        <f>1856</f>
        <v>1856</v>
      </c>
      <c r="Y1856" s="1">
        <f>IF(AND(U1856="INCLUDED",W1856=1),--(NOT(EXACT(A1856,'AI output'!A1856)))+--(NOT(EXACT(B1856,'AI output'!B1856)))+--(NOT(EXACT(TEXT(G1856,"yyyy-mm-dd"),'AI output'!C1856)))+--(NOT(EXACT(H1856,'AI output'!D1856)))+--(NOT(EXACT(J1856,'AI output'!E1856)))+--(NOT(EXACT(K1856,'AI output'!F1856)))+--(N1856&lt;&gt;'AI output'!L1856)+--(NOT('AI output'!M1856)),0)</f>
        <v>0</v>
      </c>
      <c r="Z1856" s="1">
        <f t="shared" si="231"/>
        <v>0</v>
      </c>
      <c r="AA1856" s="1">
        <f>--EXACT(A1856,"L01850")</f>
        <v>1</v>
      </c>
    </row>
    <row r="1857" spans="1:27" ht="18.95" customHeight="1">
      <c r="A1857" s="1" t="str">
        <f>IF(Raw!A1857="","",Raw!A1857)</f>
        <v>L01851</v>
      </c>
      <c r="B1857" s="1" t="str">
        <f>IF(Raw!B1857="","",Raw!B1857)</f>
        <v>T00926</v>
      </c>
      <c r="C1857" s="1" t="str">
        <f>IF(Raw!C1857="","",Raw!C1857)</f>
        <v>2026-03-27</v>
      </c>
      <c r="D1857" s="1">
        <f t="shared" si="224"/>
        <v>2026</v>
      </c>
      <c r="E1857" s="1">
        <f>IFERROR(IF(AND(LEN(C1857)=10,MID(C1857,5,1)="-",MID(C1857,8,1)="-"),VALUE(MID(C1857,6,2)),IF(AND(LEN(C1857)=11,MID(C1857,3,1)="-",MID(C1857,7,1)="-"),MATCH(UPPER(MID(C1857,4,3)),Guide!$D$7:$D$18,0),0)),0)</f>
        <v>3</v>
      </c>
      <c r="F1857" s="1">
        <f t="shared" si="225"/>
        <v>27</v>
      </c>
      <c r="G1857" s="9">
        <f t="shared" si="226"/>
        <v>46108</v>
      </c>
      <c r="H1857" s="1" t="str">
        <f>IF(Raw!D1857="","",Raw!D1857)</f>
        <v>P-O</v>
      </c>
      <c r="I1857" s="1" t="str">
        <f>IFERROR(IF(EXACT(H1857,INDEX(Guide!$A$7:$A$9,MATCH(SUBSTITUTE(SUBSTITUTE(SUBSTITUTE(H1857,"~","~~"),"*","~*"),"?","~?"),Guide!$A$7:$A$9,0))),INDEX(Guide!$B$7:$B$9,MATCH(SUBSTITUTE(SUBSTITUTE(SUBSTITUTE(H1857,"~","~~"),"*","~*"),"?","~?"),Guide!$A$7:$A$9,0)),""),"")</f>
        <v>Office</v>
      </c>
      <c r="J1857" s="1" t="str">
        <f>IF(TRIM(Raw!E1857)="",I1857,IF(UPPER(TRIM(Raw!E1857))=UPPER(I1857),I1857,""))</f>
        <v>Office</v>
      </c>
      <c r="K1857" s="1" t="str">
        <f>IF(Raw!F1857="","",Raw!F1857)</f>
        <v>sale</v>
      </c>
      <c r="L1857" s="1" t="str">
        <f>IF(LEFT(TRIM(Raw!G1857),2)="-$","-"&amp;MID(TRIM(Raw!G1857),3,99),IF(LEFT(TRIM(Raw!G1857),1)="$",MID(TRIM(Raw!G1857),2,99),TRIM(Raw!G1857)))</f>
        <v>89.49</v>
      </c>
      <c r="M1857" s="1">
        <f t="shared" si="227"/>
        <v>89.49</v>
      </c>
      <c r="N1857" s="10">
        <f t="shared" si="228"/>
        <v>8949</v>
      </c>
      <c r="O1857" s="1" t="b">
        <f>IFERROR(IF(ISNUMBER(Raw!G1857),TRUE,OR(EXACT(L1857,TEXT(M1857,"0.00")),EXACT(L1857,TEXT(M1857,"#,##0.00")))),FALSE)</f>
        <v>1</v>
      </c>
      <c r="P1857" s="1" t="str">
        <f>LEN(IF(Raw!A1857="","",Raw!A1857))&amp;":"&amp;IF(Raw!A1857="","",Raw!A1857)&amp;"|"&amp;LEN(IF(Raw!B1857="","",Raw!B1857))&amp;":"&amp;IF(Raw!B1857="","",Raw!B1857)&amp;"|"&amp;LEN(IF(Raw!C1857="","",Raw!C1857))&amp;":"&amp;IF(Raw!C1857="","",Raw!C1857)&amp;"|"&amp;LEN(IF(Raw!D1857="","",Raw!D1857))&amp;":"&amp;IF(Raw!D1857="","",Raw!D1857)&amp;"|"&amp;LEN(IF(Raw!E1857="","",Raw!E1857))&amp;":"&amp;IF(Raw!E1857="","",Raw!E1857)&amp;"|"&amp;LEN(IF(Raw!F1857="","",Raw!F1857))&amp;":"&amp;IF(Raw!F1857="","",Raw!F1857)&amp;"|"&amp;LEN(IF(Raw!G1857="","",Raw!G1857))&amp;":"&amp;IF(Raw!G1857="","",Raw!G1857)</f>
        <v>6:L01851|6:T00926|10:2026-03-27|3:P-O|6:Office|4:sale|5:89.49</v>
      </c>
      <c r="Q1857" s="1">
        <f>1</f>
        <v>1</v>
      </c>
      <c r="R1857" s="1" t="b">
        <f>FALSE</f>
        <v>0</v>
      </c>
      <c r="S1857" s="1">
        <f>1</f>
        <v>1</v>
      </c>
      <c r="T1857" s="1" t="str">
        <f>IF(AND(Raw!A1857="",Raw!B1857="",Raw!C1857="",Raw!D1857="",Raw!E1857="",Raw!F1857="",Raw!G1857=""),"UNUSED",IF(A1857="","missing line ID",IF(B1857="","missing transaction ID",IF(G1857="",IF(C1857="","missing date","invalid date"),IF(I1857="","unknown product",IF(J1857="","conflicting category",IF(NOT(OR(EXACT(K1857,"sale"),EXACT(K1857,"refund"))),"unknown event",IF(OR(N1857="",NOT(O1857)),"invalid amount",IF(OR(AND(K1857="sale",N1857&lt;=0),AND(K1857="refund",N1857&gt;=0)),"invalid sign","")))))))))</f>
        <v/>
      </c>
      <c r="U1857" s="1" t="str">
        <f t="shared" si="229"/>
        <v>INCLUDED</v>
      </c>
      <c r="V1857" s="1" t="str">
        <f t="shared" si="230"/>
        <v>2026-03</v>
      </c>
      <c r="W1857" s="1">
        <f>IF(AND(U1857="INCLUDED",X1857&gt;0,EXACT(A1857,'AI output'!A1857)),1,0)</f>
        <v>1</v>
      </c>
      <c r="X1857" s="1">
        <f>1857</f>
        <v>1857</v>
      </c>
      <c r="Y1857" s="1">
        <f>IF(AND(U1857="INCLUDED",W1857=1),--(NOT(EXACT(A1857,'AI output'!A1857)))+--(NOT(EXACT(B1857,'AI output'!B1857)))+--(NOT(EXACT(TEXT(G1857,"yyyy-mm-dd"),'AI output'!C1857)))+--(NOT(EXACT(H1857,'AI output'!D1857)))+--(NOT(EXACT(J1857,'AI output'!E1857)))+--(NOT(EXACT(K1857,'AI output'!F1857)))+--(N1857&lt;&gt;'AI output'!L1857)+--(NOT('AI output'!M1857)),0)</f>
        <v>0</v>
      </c>
      <c r="Z1857" s="1">
        <f t="shared" si="231"/>
        <v>0</v>
      </c>
      <c r="AA1857" s="1">
        <f>--EXACT(A1857,"L01851")</f>
        <v>1</v>
      </c>
    </row>
    <row r="1858" spans="1:27" ht="18.95" customHeight="1">
      <c r="A1858" s="1" t="str">
        <f>IF(Raw!A1858="","",Raw!A1858)</f>
        <v>L01852</v>
      </c>
      <c r="B1858" s="1" t="str">
        <f>IF(Raw!B1858="","",Raw!B1858)</f>
        <v>T00926</v>
      </c>
      <c r="C1858" s="1" t="str">
        <f>IF(Raw!C1858="","",Raw!C1858)</f>
        <v>2026-03-27</v>
      </c>
      <c r="D1858" s="1">
        <f t="shared" si="224"/>
        <v>2026</v>
      </c>
      <c r="E1858" s="1">
        <f>IFERROR(IF(AND(LEN(C1858)=10,MID(C1858,5,1)="-",MID(C1858,8,1)="-"),VALUE(MID(C1858,6,2)),IF(AND(LEN(C1858)=11,MID(C1858,3,1)="-",MID(C1858,7,1)="-"),MATCH(UPPER(MID(C1858,4,3)),Guide!$D$7:$D$18,0),0)),0)</f>
        <v>3</v>
      </c>
      <c r="F1858" s="1">
        <f t="shared" si="225"/>
        <v>27</v>
      </c>
      <c r="G1858" s="9">
        <f t="shared" si="226"/>
        <v>46108</v>
      </c>
      <c r="H1858" s="1" t="str">
        <f>IF(Raw!D1858="","",Raw!D1858)</f>
        <v>P-A</v>
      </c>
      <c r="I1858" s="1" t="str">
        <f>IFERROR(IF(EXACT(H1858,INDEX(Guide!$A$7:$A$9,MATCH(SUBSTITUTE(SUBSTITUTE(SUBSTITUTE(H1858,"~","~~"),"*","~*"),"?","~?"),Guide!$A$7:$A$9,0))),INDEX(Guide!$B$7:$B$9,MATCH(SUBSTITUTE(SUBSTITUTE(SUBSTITUTE(H1858,"~","~~"),"*","~*"),"?","~?"),Guide!$A$7:$A$9,0)),""),"")</f>
        <v>Accessories</v>
      </c>
      <c r="J1858" s="1" t="str">
        <f>IF(TRIM(Raw!E1858)="",I1858,IF(UPPER(TRIM(Raw!E1858))=UPPER(I1858),I1858,""))</f>
        <v>Accessories</v>
      </c>
      <c r="K1858" s="1" t="str">
        <f>IF(Raw!F1858="","",Raw!F1858)</f>
        <v>sale</v>
      </c>
      <c r="L1858" s="1" t="str">
        <f>IF(LEFT(TRIM(Raw!G1858),2)="-$","-"&amp;MID(TRIM(Raw!G1858),3,99),IF(LEFT(TRIM(Raw!G1858),1)="$",MID(TRIM(Raw!G1858),2,99),TRIM(Raw!G1858)))</f>
        <v>269.58</v>
      </c>
      <c r="M1858" s="1">
        <f t="shared" si="227"/>
        <v>269.58</v>
      </c>
      <c r="N1858" s="10">
        <f t="shared" si="228"/>
        <v>26958</v>
      </c>
      <c r="O1858" s="1" t="b">
        <f>IFERROR(IF(ISNUMBER(Raw!G1858),TRUE,OR(EXACT(L1858,TEXT(M1858,"0.00")),EXACT(L1858,TEXT(M1858,"#,##0.00")))),FALSE)</f>
        <v>1</v>
      </c>
      <c r="P1858" s="1" t="str">
        <f>LEN(IF(Raw!A1858="","",Raw!A1858))&amp;":"&amp;IF(Raw!A1858="","",Raw!A1858)&amp;"|"&amp;LEN(IF(Raw!B1858="","",Raw!B1858))&amp;":"&amp;IF(Raw!B1858="","",Raw!B1858)&amp;"|"&amp;LEN(IF(Raw!C1858="","",Raw!C1858))&amp;":"&amp;IF(Raw!C1858="","",Raw!C1858)&amp;"|"&amp;LEN(IF(Raw!D1858="","",Raw!D1858))&amp;":"&amp;IF(Raw!D1858="","",Raw!D1858)&amp;"|"&amp;LEN(IF(Raw!E1858="","",Raw!E1858))&amp;":"&amp;IF(Raw!E1858="","",Raw!E1858)&amp;"|"&amp;LEN(IF(Raw!F1858="","",Raw!F1858))&amp;":"&amp;IF(Raw!F1858="","",Raw!F1858)&amp;"|"&amp;LEN(IF(Raw!G1858="","",Raw!G1858))&amp;":"&amp;IF(Raw!G1858="","",Raw!G1858)</f>
        <v>6:L01852|6:T00926|10:2026-03-27|3:P-A|11:Accessories|4:sale|6:269.58</v>
      </c>
      <c r="Q1858" s="1">
        <f>1</f>
        <v>1</v>
      </c>
      <c r="R1858" s="1" t="b">
        <f>FALSE</f>
        <v>0</v>
      </c>
      <c r="S1858" s="1">
        <f>1</f>
        <v>1</v>
      </c>
      <c r="T1858" s="1" t="str">
        <f>IF(AND(Raw!A1858="",Raw!B1858="",Raw!C1858="",Raw!D1858="",Raw!E1858="",Raw!F1858="",Raw!G1858=""),"UNUSED",IF(A1858="","missing line ID",IF(B1858="","missing transaction ID",IF(G1858="",IF(C1858="","missing date","invalid date"),IF(I1858="","unknown product",IF(J1858="","conflicting category",IF(NOT(OR(EXACT(K1858,"sale"),EXACT(K1858,"refund"))),"unknown event",IF(OR(N1858="",NOT(O1858)),"invalid amount",IF(OR(AND(K1858="sale",N1858&lt;=0),AND(K1858="refund",N1858&gt;=0)),"invalid sign","")))))))))</f>
        <v/>
      </c>
      <c r="U1858" s="1" t="str">
        <f t="shared" si="229"/>
        <v>INCLUDED</v>
      </c>
      <c r="V1858" s="1" t="str">
        <f t="shared" si="230"/>
        <v>2026-03</v>
      </c>
      <c r="W1858" s="1">
        <f>IF(AND(U1858="INCLUDED",X1858&gt;0,EXACT(A1858,'AI output'!A1858)),1,0)</f>
        <v>1</v>
      </c>
      <c r="X1858" s="1">
        <f>1858</f>
        <v>1858</v>
      </c>
      <c r="Y1858" s="1">
        <f>IF(AND(U1858="INCLUDED",W1858=1),--(NOT(EXACT(A1858,'AI output'!A1858)))+--(NOT(EXACT(B1858,'AI output'!B1858)))+--(NOT(EXACT(TEXT(G1858,"yyyy-mm-dd"),'AI output'!C1858)))+--(NOT(EXACT(H1858,'AI output'!D1858)))+--(NOT(EXACT(J1858,'AI output'!E1858)))+--(NOT(EXACT(K1858,'AI output'!F1858)))+--(N1858&lt;&gt;'AI output'!L1858)+--(NOT('AI output'!M1858)),0)</f>
        <v>0</v>
      </c>
      <c r="Z1858" s="1">
        <f t="shared" si="231"/>
        <v>0</v>
      </c>
      <c r="AA1858" s="1">
        <f>--EXACT(A1858,"L01852")</f>
        <v>1</v>
      </c>
    </row>
    <row r="1859" spans="1:27" ht="18.95" customHeight="1">
      <c r="A1859" s="1" t="str">
        <f>IF(Raw!A1859="","",Raw!A1859)</f>
        <v>L01853</v>
      </c>
      <c r="B1859" s="1" t="str">
        <f>IF(Raw!B1859="","",Raw!B1859)</f>
        <v>T00927</v>
      </c>
      <c r="C1859" s="1" t="str">
        <f>IF(Raw!C1859="","",Raw!C1859)</f>
        <v>2026-01-03</v>
      </c>
      <c r="D1859" s="1">
        <f t="shared" si="224"/>
        <v>2026</v>
      </c>
      <c r="E1859" s="1">
        <f>IFERROR(IF(AND(LEN(C1859)=10,MID(C1859,5,1)="-",MID(C1859,8,1)="-"),VALUE(MID(C1859,6,2)),IF(AND(LEN(C1859)=11,MID(C1859,3,1)="-",MID(C1859,7,1)="-"),MATCH(UPPER(MID(C1859,4,3)),Guide!$D$7:$D$18,0),0)),0)</f>
        <v>1</v>
      </c>
      <c r="F1859" s="1">
        <f t="shared" si="225"/>
        <v>3</v>
      </c>
      <c r="G1859" s="9">
        <f t="shared" si="226"/>
        <v>46025</v>
      </c>
      <c r="H1859" s="1" t="str">
        <f>IF(Raw!D1859="","",Raw!D1859)</f>
        <v>P-H</v>
      </c>
      <c r="I1859" s="1" t="str">
        <f>IFERROR(IF(EXACT(H1859,INDEX(Guide!$A$7:$A$9,MATCH(SUBSTITUTE(SUBSTITUTE(SUBSTITUTE(H1859,"~","~~"),"*","~*"),"?","~?"),Guide!$A$7:$A$9,0))),INDEX(Guide!$B$7:$B$9,MATCH(SUBSTITUTE(SUBSTITUTE(SUBSTITUTE(H1859,"~","~~"),"*","~*"),"?","~?"),Guide!$A$7:$A$9,0)),""),"")</f>
        <v>Home</v>
      </c>
      <c r="J1859" s="1" t="str">
        <f>IF(TRIM(Raw!E1859)="",I1859,IF(UPPER(TRIM(Raw!E1859))=UPPER(I1859),I1859,""))</f>
        <v>Home</v>
      </c>
      <c r="K1859" s="1" t="str">
        <f>IF(Raw!F1859="","",Raw!F1859)</f>
        <v>sale</v>
      </c>
      <c r="L1859" s="1" t="str">
        <f>IF(LEFT(TRIM(Raw!G1859),2)="-$","-"&amp;MID(TRIM(Raw!G1859),3,99),IF(LEFT(TRIM(Raw!G1859),1)="$",MID(TRIM(Raw!G1859),2,99),TRIM(Raw!G1859)))</f>
        <v>451.15</v>
      </c>
      <c r="M1859" s="1">
        <f t="shared" si="227"/>
        <v>451.15</v>
      </c>
      <c r="N1859" s="10">
        <f t="shared" si="228"/>
        <v>45115</v>
      </c>
      <c r="O1859" s="1" t="b">
        <f>IFERROR(IF(ISNUMBER(Raw!G1859),TRUE,OR(EXACT(L1859,TEXT(M1859,"0.00")),EXACT(L1859,TEXT(M1859,"#,##0.00")))),FALSE)</f>
        <v>1</v>
      </c>
      <c r="P1859" s="1" t="str">
        <f>LEN(IF(Raw!A1859="","",Raw!A1859))&amp;":"&amp;IF(Raw!A1859="","",Raw!A1859)&amp;"|"&amp;LEN(IF(Raw!B1859="","",Raw!B1859))&amp;":"&amp;IF(Raw!B1859="","",Raw!B1859)&amp;"|"&amp;LEN(IF(Raw!C1859="","",Raw!C1859))&amp;":"&amp;IF(Raw!C1859="","",Raw!C1859)&amp;"|"&amp;LEN(IF(Raw!D1859="","",Raw!D1859))&amp;":"&amp;IF(Raw!D1859="","",Raw!D1859)&amp;"|"&amp;LEN(IF(Raw!E1859="","",Raw!E1859))&amp;":"&amp;IF(Raw!E1859="","",Raw!E1859)&amp;"|"&amp;LEN(IF(Raw!F1859="","",Raw!F1859))&amp;":"&amp;IF(Raw!F1859="","",Raw!F1859)&amp;"|"&amp;LEN(IF(Raw!G1859="","",Raw!G1859))&amp;":"&amp;IF(Raw!G1859="","",Raw!G1859)</f>
        <v>6:L01853|6:T00927|10:2026-01-03|3:P-H|4:Home|4:sale|6:451.15</v>
      </c>
      <c r="Q1859" s="1">
        <f>1</f>
        <v>1</v>
      </c>
      <c r="R1859" s="1" t="b">
        <f>FALSE</f>
        <v>0</v>
      </c>
      <c r="S1859" s="1">
        <f>1</f>
        <v>1</v>
      </c>
      <c r="T1859" s="1" t="str">
        <f>IF(AND(Raw!A1859="",Raw!B1859="",Raw!C1859="",Raw!D1859="",Raw!E1859="",Raw!F1859="",Raw!G1859=""),"UNUSED",IF(A1859="","missing line ID",IF(B1859="","missing transaction ID",IF(G1859="",IF(C1859="","missing date","invalid date"),IF(I1859="","unknown product",IF(J1859="","conflicting category",IF(NOT(OR(EXACT(K1859,"sale"),EXACT(K1859,"refund"))),"unknown event",IF(OR(N1859="",NOT(O1859)),"invalid amount",IF(OR(AND(K1859="sale",N1859&lt;=0),AND(K1859="refund",N1859&gt;=0)),"invalid sign","")))))))))</f>
        <v/>
      </c>
      <c r="U1859" s="1" t="str">
        <f t="shared" si="229"/>
        <v>INCLUDED</v>
      </c>
      <c r="V1859" s="1" t="str">
        <f t="shared" si="230"/>
        <v>2026-01</v>
      </c>
      <c r="W1859" s="1">
        <f>IF(AND(U1859="INCLUDED",X1859&gt;0,EXACT(A1859,'AI output'!A1859)),1,0)</f>
        <v>1</v>
      </c>
      <c r="X1859" s="1">
        <f>1859</f>
        <v>1859</v>
      </c>
      <c r="Y1859" s="1">
        <f>IF(AND(U1859="INCLUDED",W1859=1),--(NOT(EXACT(A1859,'AI output'!A1859)))+--(NOT(EXACT(B1859,'AI output'!B1859)))+--(NOT(EXACT(TEXT(G1859,"yyyy-mm-dd"),'AI output'!C1859)))+--(NOT(EXACT(H1859,'AI output'!D1859)))+--(NOT(EXACT(J1859,'AI output'!E1859)))+--(NOT(EXACT(K1859,'AI output'!F1859)))+--(N1859&lt;&gt;'AI output'!L1859)+--(NOT('AI output'!M1859)),0)</f>
        <v>0</v>
      </c>
      <c r="Z1859" s="1">
        <f t="shared" si="231"/>
        <v>0</v>
      </c>
      <c r="AA1859" s="1">
        <f>--EXACT(A1859,"L01853")</f>
        <v>1</v>
      </c>
    </row>
    <row r="1860" spans="1:27" ht="18.95" customHeight="1">
      <c r="A1860" s="1" t="str">
        <f>IF(Raw!A1860="","",Raw!A1860)</f>
        <v>L01854</v>
      </c>
      <c r="B1860" s="1" t="str">
        <f>IF(Raw!B1860="","",Raw!B1860)</f>
        <v>T00927</v>
      </c>
      <c r="C1860" s="1" t="str">
        <f>IF(Raw!C1860="","",Raw!C1860)</f>
        <v>2026-01-03</v>
      </c>
      <c r="D1860" s="1">
        <f t="shared" si="224"/>
        <v>2026</v>
      </c>
      <c r="E1860" s="1">
        <f>IFERROR(IF(AND(LEN(C1860)=10,MID(C1860,5,1)="-",MID(C1860,8,1)="-"),VALUE(MID(C1860,6,2)),IF(AND(LEN(C1860)=11,MID(C1860,3,1)="-",MID(C1860,7,1)="-"),MATCH(UPPER(MID(C1860,4,3)),Guide!$D$7:$D$18,0),0)),0)</f>
        <v>1</v>
      </c>
      <c r="F1860" s="1">
        <f t="shared" si="225"/>
        <v>3</v>
      </c>
      <c r="G1860" s="9">
        <f t="shared" si="226"/>
        <v>46025</v>
      </c>
      <c r="H1860" s="1" t="str">
        <f>IF(Raw!D1860="","",Raw!D1860)</f>
        <v>P-O</v>
      </c>
      <c r="I1860" s="1" t="str">
        <f>IFERROR(IF(EXACT(H1860,INDEX(Guide!$A$7:$A$9,MATCH(SUBSTITUTE(SUBSTITUTE(SUBSTITUTE(H1860,"~","~~"),"*","~*"),"?","~?"),Guide!$A$7:$A$9,0))),INDEX(Guide!$B$7:$B$9,MATCH(SUBSTITUTE(SUBSTITUTE(SUBSTITUTE(H1860,"~","~~"),"*","~*"),"?","~?"),Guide!$A$7:$A$9,0)),""),"")</f>
        <v>Office</v>
      </c>
      <c r="J1860" s="1" t="str">
        <f>IF(TRIM(Raw!E1860)="",I1860,IF(UPPER(TRIM(Raw!E1860))=UPPER(I1860),I1860,""))</f>
        <v>Office</v>
      </c>
      <c r="K1860" s="1" t="str">
        <f>IF(Raw!F1860="","",Raw!F1860)</f>
        <v>sale</v>
      </c>
      <c r="L1860" s="1" t="str">
        <f>IF(LEFT(TRIM(Raw!G1860),2)="-$","-"&amp;MID(TRIM(Raw!G1860),3,99),IF(LEFT(TRIM(Raw!G1860),1)="$",MID(TRIM(Raw!G1860),2,99),TRIM(Raw!G1860)))</f>
        <v>181.20</v>
      </c>
      <c r="M1860" s="1">
        <f t="shared" si="227"/>
        <v>181.2</v>
      </c>
      <c r="N1860" s="10">
        <f t="shared" si="228"/>
        <v>18120</v>
      </c>
      <c r="O1860" s="1" t="b">
        <f>IFERROR(IF(ISNUMBER(Raw!G1860),TRUE,OR(EXACT(L1860,TEXT(M1860,"0.00")),EXACT(L1860,TEXT(M1860,"#,##0.00")))),FALSE)</f>
        <v>1</v>
      </c>
      <c r="P1860" s="1" t="str">
        <f>LEN(IF(Raw!A1860="","",Raw!A1860))&amp;":"&amp;IF(Raw!A1860="","",Raw!A1860)&amp;"|"&amp;LEN(IF(Raw!B1860="","",Raw!B1860))&amp;":"&amp;IF(Raw!B1860="","",Raw!B1860)&amp;"|"&amp;LEN(IF(Raw!C1860="","",Raw!C1860))&amp;":"&amp;IF(Raw!C1860="","",Raw!C1860)&amp;"|"&amp;LEN(IF(Raw!D1860="","",Raw!D1860))&amp;":"&amp;IF(Raw!D1860="","",Raw!D1860)&amp;"|"&amp;LEN(IF(Raw!E1860="","",Raw!E1860))&amp;":"&amp;IF(Raw!E1860="","",Raw!E1860)&amp;"|"&amp;LEN(IF(Raw!F1860="","",Raw!F1860))&amp;":"&amp;IF(Raw!F1860="","",Raw!F1860)&amp;"|"&amp;LEN(IF(Raw!G1860="","",Raw!G1860))&amp;":"&amp;IF(Raw!G1860="","",Raw!G1860)</f>
        <v>6:L01854|6:T00927|10:2026-01-03|3:P-O|6:Office|4:sale|6:181.20</v>
      </c>
      <c r="Q1860" s="1">
        <f>1</f>
        <v>1</v>
      </c>
      <c r="R1860" s="1" t="b">
        <f>FALSE</f>
        <v>0</v>
      </c>
      <c r="S1860" s="1">
        <f>1</f>
        <v>1</v>
      </c>
      <c r="T1860" s="1" t="str">
        <f>IF(AND(Raw!A1860="",Raw!B1860="",Raw!C1860="",Raw!D1860="",Raw!E1860="",Raw!F1860="",Raw!G1860=""),"UNUSED",IF(A1860="","missing line ID",IF(B1860="","missing transaction ID",IF(G1860="",IF(C1860="","missing date","invalid date"),IF(I1860="","unknown product",IF(J1860="","conflicting category",IF(NOT(OR(EXACT(K1860,"sale"),EXACT(K1860,"refund"))),"unknown event",IF(OR(N1860="",NOT(O1860)),"invalid amount",IF(OR(AND(K1860="sale",N1860&lt;=0),AND(K1860="refund",N1860&gt;=0)),"invalid sign","")))))))))</f>
        <v/>
      </c>
      <c r="U1860" s="1" t="str">
        <f t="shared" si="229"/>
        <v>INCLUDED</v>
      </c>
      <c r="V1860" s="1" t="str">
        <f t="shared" si="230"/>
        <v>2026-01</v>
      </c>
      <c r="W1860" s="1">
        <f>IF(AND(U1860="INCLUDED",X1860&gt;0,EXACT(A1860,'AI output'!A1860)),1,0)</f>
        <v>1</v>
      </c>
      <c r="X1860" s="1">
        <f>1860</f>
        <v>1860</v>
      </c>
      <c r="Y1860" s="1">
        <f>IF(AND(U1860="INCLUDED",W1860=1),--(NOT(EXACT(A1860,'AI output'!A1860)))+--(NOT(EXACT(B1860,'AI output'!B1860)))+--(NOT(EXACT(TEXT(G1860,"yyyy-mm-dd"),'AI output'!C1860)))+--(NOT(EXACT(H1860,'AI output'!D1860)))+--(NOT(EXACT(J1860,'AI output'!E1860)))+--(NOT(EXACT(K1860,'AI output'!F1860)))+--(N1860&lt;&gt;'AI output'!L1860)+--(NOT('AI output'!M1860)),0)</f>
        <v>0</v>
      </c>
      <c r="Z1860" s="1">
        <f t="shared" si="231"/>
        <v>0</v>
      </c>
      <c r="AA1860" s="1">
        <f>--EXACT(A1860,"L01854")</f>
        <v>1</v>
      </c>
    </row>
    <row r="1861" spans="1:27" ht="18.95" customHeight="1">
      <c r="A1861" s="1" t="str">
        <f>IF(Raw!A1861="","",Raw!A1861)</f>
        <v>L01855</v>
      </c>
      <c r="B1861" s="1" t="str">
        <f>IF(Raw!B1861="","",Raw!B1861)</f>
        <v>T00928</v>
      </c>
      <c r="C1861" s="1" t="str">
        <f>IF(Raw!C1861="","",Raw!C1861)</f>
        <v>2026-01-10</v>
      </c>
      <c r="D1861" s="1">
        <f t="shared" si="224"/>
        <v>2026</v>
      </c>
      <c r="E1861" s="1">
        <f>IFERROR(IF(AND(LEN(C1861)=10,MID(C1861,5,1)="-",MID(C1861,8,1)="-"),VALUE(MID(C1861,6,2)),IF(AND(LEN(C1861)=11,MID(C1861,3,1)="-",MID(C1861,7,1)="-"),MATCH(UPPER(MID(C1861,4,3)),Guide!$D$7:$D$18,0),0)),0)</f>
        <v>1</v>
      </c>
      <c r="F1861" s="1">
        <f t="shared" si="225"/>
        <v>10</v>
      </c>
      <c r="G1861" s="9">
        <f t="shared" si="226"/>
        <v>46032</v>
      </c>
      <c r="H1861" s="1" t="str">
        <f>IF(Raw!D1861="","",Raw!D1861)</f>
        <v>P-A</v>
      </c>
      <c r="I1861" s="1" t="str">
        <f>IFERROR(IF(EXACT(H1861,INDEX(Guide!$A$7:$A$9,MATCH(SUBSTITUTE(SUBSTITUTE(SUBSTITUTE(H1861,"~","~~"),"*","~*"),"?","~?"),Guide!$A$7:$A$9,0))),INDEX(Guide!$B$7:$B$9,MATCH(SUBSTITUTE(SUBSTITUTE(SUBSTITUTE(H1861,"~","~~"),"*","~*"),"?","~?"),Guide!$A$7:$A$9,0)),""),"")</f>
        <v>Accessories</v>
      </c>
      <c r="J1861" s="1" t="str">
        <f>IF(TRIM(Raw!E1861)="",I1861,IF(UPPER(TRIM(Raw!E1861))=UPPER(I1861),I1861,""))</f>
        <v>Accessories</v>
      </c>
      <c r="K1861" s="1" t="str">
        <f>IF(Raw!F1861="","",Raw!F1861)</f>
        <v>sale</v>
      </c>
      <c r="L1861" s="1" t="str">
        <f>IF(LEFT(TRIM(Raw!G1861),2)="-$","-"&amp;MID(TRIM(Raw!G1861),3,99),IF(LEFT(TRIM(Raw!G1861),1)="$",MID(TRIM(Raw!G1861),2,99),TRIM(Raw!G1861)))</f>
        <v>363.88</v>
      </c>
      <c r="M1861" s="1">
        <f t="shared" si="227"/>
        <v>363.88</v>
      </c>
      <c r="N1861" s="10">
        <f t="shared" si="228"/>
        <v>36388</v>
      </c>
      <c r="O1861" s="1" t="b">
        <f>IFERROR(IF(ISNUMBER(Raw!G1861),TRUE,OR(EXACT(L1861,TEXT(M1861,"0.00")),EXACT(L1861,TEXT(M1861,"#,##0.00")))),FALSE)</f>
        <v>1</v>
      </c>
      <c r="P1861" s="1" t="str">
        <f>LEN(IF(Raw!A1861="","",Raw!A1861))&amp;":"&amp;IF(Raw!A1861="","",Raw!A1861)&amp;"|"&amp;LEN(IF(Raw!B1861="","",Raw!B1861))&amp;":"&amp;IF(Raw!B1861="","",Raw!B1861)&amp;"|"&amp;LEN(IF(Raw!C1861="","",Raw!C1861))&amp;":"&amp;IF(Raw!C1861="","",Raw!C1861)&amp;"|"&amp;LEN(IF(Raw!D1861="","",Raw!D1861))&amp;":"&amp;IF(Raw!D1861="","",Raw!D1861)&amp;"|"&amp;LEN(IF(Raw!E1861="","",Raw!E1861))&amp;":"&amp;IF(Raw!E1861="","",Raw!E1861)&amp;"|"&amp;LEN(IF(Raw!F1861="","",Raw!F1861))&amp;":"&amp;IF(Raw!F1861="","",Raw!F1861)&amp;"|"&amp;LEN(IF(Raw!G1861="","",Raw!G1861))&amp;":"&amp;IF(Raw!G1861="","",Raw!G1861)</f>
        <v>6:L01855|6:T00928|10:2026-01-10|3:P-A|11:Accessories|4:sale|6:363.88</v>
      </c>
      <c r="Q1861" s="1">
        <f>1</f>
        <v>1</v>
      </c>
      <c r="R1861" s="1" t="b">
        <f>FALSE</f>
        <v>0</v>
      </c>
      <c r="S1861" s="1">
        <f>1</f>
        <v>1</v>
      </c>
      <c r="T1861" s="1" t="str">
        <f>IF(AND(Raw!A1861="",Raw!B1861="",Raw!C1861="",Raw!D1861="",Raw!E1861="",Raw!F1861="",Raw!G1861=""),"UNUSED",IF(A1861="","missing line ID",IF(B1861="","missing transaction ID",IF(G1861="",IF(C1861="","missing date","invalid date"),IF(I1861="","unknown product",IF(J1861="","conflicting category",IF(NOT(OR(EXACT(K1861,"sale"),EXACT(K1861,"refund"))),"unknown event",IF(OR(N1861="",NOT(O1861)),"invalid amount",IF(OR(AND(K1861="sale",N1861&lt;=0),AND(K1861="refund",N1861&gt;=0)),"invalid sign","")))))))))</f>
        <v/>
      </c>
      <c r="U1861" s="1" t="str">
        <f t="shared" si="229"/>
        <v>INCLUDED</v>
      </c>
      <c r="V1861" s="1" t="str">
        <f t="shared" si="230"/>
        <v>2026-01</v>
      </c>
      <c r="W1861" s="1">
        <f>IF(AND(U1861="INCLUDED",X1861&gt;0,EXACT(A1861,'AI output'!A1861)),1,0)</f>
        <v>1</v>
      </c>
      <c r="X1861" s="1">
        <f>1861</f>
        <v>1861</v>
      </c>
      <c r="Y1861" s="1">
        <f>IF(AND(U1861="INCLUDED",W1861=1),--(NOT(EXACT(A1861,'AI output'!A1861)))+--(NOT(EXACT(B1861,'AI output'!B1861)))+--(NOT(EXACT(TEXT(G1861,"yyyy-mm-dd"),'AI output'!C1861)))+--(NOT(EXACT(H1861,'AI output'!D1861)))+--(NOT(EXACT(J1861,'AI output'!E1861)))+--(NOT(EXACT(K1861,'AI output'!F1861)))+--(N1861&lt;&gt;'AI output'!L1861)+--(NOT('AI output'!M1861)),0)</f>
        <v>0</v>
      </c>
      <c r="Z1861" s="1">
        <f t="shared" si="231"/>
        <v>0</v>
      </c>
      <c r="AA1861" s="1">
        <f>--EXACT(A1861,"L01855")</f>
        <v>1</v>
      </c>
    </row>
    <row r="1862" spans="1:27" ht="18.95" customHeight="1">
      <c r="A1862" s="1" t="str">
        <f>IF(Raw!A1862="","",Raw!A1862)</f>
        <v>L01856</v>
      </c>
      <c r="B1862" s="1" t="str">
        <f>IF(Raw!B1862="","",Raw!B1862)</f>
        <v>T00928</v>
      </c>
      <c r="C1862" s="1" t="str">
        <f>IF(Raw!C1862="","",Raw!C1862)</f>
        <v>2026-01-10</v>
      </c>
      <c r="D1862" s="1">
        <f t="shared" si="224"/>
        <v>2026</v>
      </c>
      <c r="E1862" s="1">
        <f>IFERROR(IF(AND(LEN(C1862)=10,MID(C1862,5,1)="-",MID(C1862,8,1)="-"),VALUE(MID(C1862,6,2)),IF(AND(LEN(C1862)=11,MID(C1862,3,1)="-",MID(C1862,7,1)="-"),MATCH(UPPER(MID(C1862,4,3)),Guide!$D$7:$D$18,0),0)),0)</f>
        <v>1</v>
      </c>
      <c r="F1862" s="1">
        <f t="shared" si="225"/>
        <v>10</v>
      </c>
      <c r="G1862" s="9">
        <f t="shared" si="226"/>
        <v>46032</v>
      </c>
      <c r="H1862" s="1" t="str">
        <f>IF(Raw!D1862="","",Raw!D1862)</f>
        <v>P-H</v>
      </c>
      <c r="I1862" s="1" t="str">
        <f>IFERROR(IF(EXACT(H1862,INDEX(Guide!$A$7:$A$9,MATCH(SUBSTITUTE(SUBSTITUTE(SUBSTITUTE(H1862,"~","~~"),"*","~*"),"?","~?"),Guide!$A$7:$A$9,0))),INDEX(Guide!$B$7:$B$9,MATCH(SUBSTITUTE(SUBSTITUTE(SUBSTITUTE(H1862,"~","~~"),"*","~*"),"?","~?"),Guide!$A$7:$A$9,0)),""),"")</f>
        <v>Home</v>
      </c>
      <c r="J1862" s="1" t="str">
        <f>IF(TRIM(Raw!E1862)="",I1862,IF(UPPER(TRIM(Raw!E1862))=UPPER(I1862),I1862,""))</f>
        <v>Home</v>
      </c>
      <c r="K1862" s="1" t="str">
        <f>IF(Raw!F1862="","",Raw!F1862)</f>
        <v>sale</v>
      </c>
      <c r="L1862" s="1" t="str">
        <f>IF(LEFT(TRIM(Raw!G1862),2)="-$","-"&amp;MID(TRIM(Raw!G1862),3,99),IF(LEFT(TRIM(Raw!G1862),1)="$",MID(TRIM(Raw!G1862),2,99),TRIM(Raw!G1862)))</f>
        <v>91.34</v>
      </c>
      <c r="M1862" s="1">
        <f t="shared" si="227"/>
        <v>91.34</v>
      </c>
      <c r="N1862" s="10">
        <f t="shared" si="228"/>
        <v>9134</v>
      </c>
      <c r="O1862" s="1" t="b">
        <f>IFERROR(IF(ISNUMBER(Raw!G1862),TRUE,OR(EXACT(L1862,TEXT(M1862,"0.00")),EXACT(L1862,TEXT(M1862,"#,##0.00")))),FALSE)</f>
        <v>1</v>
      </c>
      <c r="P1862" s="1" t="str">
        <f>LEN(IF(Raw!A1862="","",Raw!A1862))&amp;":"&amp;IF(Raw!A1862="","",Raw!A1862)&amp;"|"&amp;LEN(IF(Raw!B1862="","",Raw!B1862))&amp;":"&amp;IF(Raw!B1862="","",Raw!B1862)&amp;"|"&amp;LEN(IF(Raw!C1862="","",Raw!C1862))&amp;":"&amp;IF(Raw!C1862="","",Raw!C1862)&amp;"|"&amp;LEN(IF(Raw!D1862="","",Raw!D1862))&amp;":"&amp;IF(Raw!D1862="","",Raw!D1862)&amp;"|"&amp;LEN(IF(Raw!E1862="","",Raw!E1862))&amp;":"&amp;IF(Raw!E1862="","",Raw!E1862)&amp;"|"&amp;LEN(IF(Raw!F1862="","",Raw!F1862))&amp;":"&amp;IF(Raw!F1862="","",Raw!F1862)&amp;"|"&amp;LEN(IF(Raw!G1862="","",Raw!G1862))&amp;":"&amp;IF(Raw!G1862="","",Raw!G1862)</f>
        <v>6:L01856|6:T00928|10:2026-01-10|3:P-H|4:Home|4:sale|5:91.34</v>
      </c>
      <c r="Q1862" s="1">
        <f>1</f>
        <v>1</v>
      </c>
      <c r="R1862" s="1" t="b">
        <f>FALSE</f>
        <v>0</v>
      </c>
      <c r="S1862" s="1">
        <f>1</f>
        <v>1</v>
      </c>
      <c r="T1862" s="1" t="str">
        <f>IF(AND(Raw!A1862="",Raw!B1862="",Raw!C1862="",Raw!D1862="",Raw!E1862="",Raw!F1862="",Raw!G1862=""),"UNUSED",IF(A1862="","missing line ID",IF(B1862="","missing transaction ID",IF(G1862="",IF(C1862="","missing date","invalid date"),IF(I1862="","unknown product",IF(J1862="","conflicting category",IF(NOT(OR(EXACT(K1862,"sale"),EXACT(K1862,"refund"))),"unknown event",IF(OR(N1862="",NOT(O1862)),"invalid amount",IF(OR(AND(K1862="sale",N1862&lt;=0),AND(K1862="refund",N1862&gt;=0)),"invalid sign","")))))))))</f>
        <v/>
      </c>
      <c r="U1862" s="1" t="str">
        <f t="shared" si="229"/>
        <v>INCLUDED</v>
      </c>
      <c r="V1862" s="1" t="str">
        <f t="shared" si="230"/>
        <v>2026-01</v>
      </c>
      <c r="W1862" s="1">
        <f>IF(AND(U1862="INCLUDED",X1862&gt;0,EXACT(A1862,'AI output'!A1862)),1,0)</f>
        <v>1</v>
      </c>
      <c r="X1862" s="1">
        <f>1862</f>
        <v>1862</v>
      </c>
      <c r="Y1862" s="1">
        <f>IF(AND(U1862="INCLUDED",W1862=1),--(NOT(EXACT(A1862,'AI output'!A1862)))+--(NOT(EXACT(B1862,'AI output'!B1862)))+--(NOT(EXACT(TEXT(G1862,"yyyy-mm-dd"),'AI output'!C1862)))+--(NOT(EXACT(H1862,'AI output'!D1862)))+--(NOT(EXACT(J1862,'AI output'!E1862)))+--(NOT(EXACT(K1862,'AI output'!F1862)))+--(N1862&lt;&gt;'AI output'!L1862)+--(NOT('AI output'!M1862)),0)</f>
        <v>0</v>
      </c>
      <c r="Z1862" s="1">
        <f t="shared" si="231"/>
        <v>0</v>
      </c>
      <c r="AA1862" s="1">
        <f>--EXACT(A1862,"L01856")</f>
        <v>1</v>
      </c>
    </row>
    <row r="1863" spans="1:27" ht="18.95" customHeight="1">
      <c r="A1863" s="1" t="str">
        <f>IF(Raw!A1863="","",Raw!A1863)</f>
        <v>L01857</v>
      </c>
      <c r="B1863" s="1" t="str">
        <f>IF(Raw!B1863="","",Raw!B1863)</f>
        <v>T00929</v>
      </c>
      <c r="C1863" s="1" t="str">
        <f>IF(Raw!C1863="","",Raw!C1863)</f>
        <v>2026-01-17</v>
      </c>
      <c r="D1863" s="1">
        <f t="shared" ref="D1863:D1926" si="232">IFERROR(IF(AND(LEN(C1863)=10,MID(C1863,5,1)="-",MID(C1863,8,1)="-"),VALUE(LEFT(C1863,4)),IF(AND(LEN(C1863)=11,MID(C1863,3,1)="-",MID(C1863,7,1)="-"),VALUE(RIGHT(C1863,4)),0)),0)</f>
        <v>2026</v>
      </c>
      <c r="E1863" s="1">
        <f>IFERROR(IF(AND(LEN(C1863)=10,MID(C1863,5,1)="-",MID(C1863,8,1)="-"),VALUE(MID(C1863,6,2)),IF(AND(LEN(C1863)=11,MID(C1863,3,1)="-",MID(C1863,7,1)="-"),MATCH(UPPER(MID(C1863,4,3)),Guide!$D$7:$D$18,0),0)),0)</f>
        <v>1</v>
      </c>
      <c r="F1863" s="1">
        <f t="shared" ref="F1863:F1926" si="233">IFERROR(IF(AND(LEN(C1863)=10,MID(C1863,5,1)="-",MID(C1863,8,1)="-"),VALUE(RIGHT(C1863,2)),IF(AND(LEN(C1863)=11,MID(C1863,3,1)="-",MID(C1863,7,1)="-"),VALUE(LEFT(C1863,2)),0)),0)</f>
        <v>17</v>
      </c>
      <c r="G1863" s="9">
        <f t="shared" ref="G1863:G1926" si="234">IFERROR(IF(AND(D1863&gt;=1900,D1863&lt;=9999,YEAR(DATE(D1863,E1863,F1863))=D1863,MONTH(DATE(D1863,E1863,F1863))=E1863,DAY(DATE(D1863,E1863,F1863))=F1863),DATE(D1863,E1863,F1863),""),"")</f>
        <v>46039</v>
      </c>
      <c r="H1863" s="1" t="str">
        <f>IF(Raw!D1863="","",Raw!D1863)</f>
        <v>P-O</v>
      </c>
      <c r="I1863" s="1" t="str">
        <f>IFERROR(IF(EXACT(H1863,INDEX(Guide!$A$7:$A$9,MATCH(SUBSTITUTE(SUBSTITUTE(SUBSTITUTE(H1863,"~","~~"),"*","~*"),"?","~?"),Guide!$A$7:$A$9,0))),INDEX(Guide!$B$7:$B$9,MATCH(SUBSTITUTE(SUBSTITUTE(SUBSTITUTE(H1863,"~","~~"),"*","~*"),"?","~?"),Guide!$A$7:$A$9,0)),""),"")</f>
        <v>Office</v>
      </c>
      <c r="J1863" s="1" t="str">
        <f>IF(TRIM(Raw!E1863)="",I1863,IF(UPPER(TRIM(Raw!E1863))=UPPER(I1863),I1863,""))</f>
        <v>Office</v>
      </c>
      <c r="K1863" s="1" t="str">
        <f>IF(Raw!F1863="","",Raw!F1863)</f>
        <v>sale</v>
      </c>
      <c r="L1863" s="1" t="str">
        <f>IF(LEFT(TRIM(Raw!G1863),2)="-$","-"&amp;MID(TRIM(Raw!G1863),3,99),IF(LEFT(TRIM(Raw!G1863),1)="$",MID(TRIM(Raw!G1863),2,99),TRIM(Raw!G1863)))</f>
        <v>275.13</v>
      </c>
      <c r="M1863" s="1">
        <f t="shared" ref="M1863:M1926" si="235">IFERROR(VALUE(L1863),"")</f>
        <v>275.13</v>
      </c>
      <c r="N1863" s="10">
        <f t="shared" ref="N1863:N1926" si="236">IF(AND(ISNUMBER(M1863),ABS(M1863*100-ROUND(M1863*100,0))&lt;0.0000001),ROUND(M1863*100,0),"")</f>
        <v>27513</v>
      </c>
      <c r="O1863" s="1" t="b">
        <f>IFERROR(IF(ISNUMBER(Raw!G1863),TRUE,OR(EXACT(L1863,TEXT(M1863,"0.00")),EXACT(L1863,TEXT(M1863,"#,##0.00")))),FALSE)</f>
        <v>1</v>
      </c>
      <c r="P1863" s="1" t="str">
        <f>LEN(IF(Raw!A1863="","",Raw!A1863))&amp;":"&amp;IF(Raw!A1863="","",Raw!A1863)&amp;"|"&amp;LEN(IF(Raw!B1863="","",Raw!B1863))&amp;":"&amp;IF(Raw!B1863="","",Raw!B1863)&amp;"|"&amp;LEN(IF(Raw!C1863="","",Raw!C1863))&amp;":"&amp;IF(Raw!C1863="","",Raw!C1863)&amp;"|"&amp;LEN(IF(Raw!D1863="","",Raw!D1863))&amp;":"&amp;IF(Raw!D1863="","",Raw!D1863)&amp;"|"&amp;LEN(IF(Raw!E1863="","",Raw!E1863))&amp;":"&amp;IF(Raw!E1863="","",Raw!E1863)&amp;"|"&amp;LEN(IF(Raw!F1863="","",Raw!F1863))&amp;":"&amp;IF(Raw!F1863="","",Raw!F1863)&amp;"|"&amp;LEN(IF(Raw!G1863="","",Raw!G1863))&amp;":"&amp;IF(Raw!G1863="","",Raw!G1863)</f>
        <v>6:L01857|6:T00929|10:2026-01-17|3:P-O|6:Office|4:sale|6:275.13</v>
      </c>
      <c r="Q1863" s="1">
        <f>1</f>
        <v>1</v>
      </c>
      <c r="R1863" s="1" t="b">
        <f>FALSE</f>
        <v>0</v>
      </c>
      <c r="S1863" s="1">
        <f>1</f>
        <v>1</v>
      </c>
      <c r="T1863" s="1" t="str">
        <f>IF(AND(Raw!A1863="",Raw!B1863="",Raw!C1863="",Raw!D1863="",Raw!E1863="",Raw!F1863="",Raw!G1863=""),"UNUSED",IF(A1863="","missing line ID",IF(B1863="","missing transaction ID",IF(G1863="",IF(C1863="","missing date","invalid date"),IF(I1863="","unknown product",IF(J1863="","conflicting category",IF(NOT(OR(EXACT(K1863,"sale"),EXACT(K1863,"refund"))),"unknown event",IF(OR(N1863="",NOT(O1863)),"invalid amount",IF(OR(AND(K1863="sale",N1863&lt;=0),AND(K1863="refund",N1863&gt;=0)),"invalid sign","")))))))))</f>
        <v/>
      </c>
      <c r="U1863" s="1" t="str">
        <f t="shared" ref="U1863:U1926" si="237">IF(T1863="UNUSED","UNUSED",IF(R1863,"QUARANTINE",IF(S1863&gt;1,"DUPLICATE",IF(T1863&lt;&gt;"","QUARANTINE","INCLUDED"))))</f>
        <v>INCLUDED</v>
      </c>
      <c r="V1863" s="1" t="str">
        <f t="shared" ref="V1863:V1926" si="238">IF(G1863="","",TEXT(G1863,"yyyy-mm"))</f>
        <v>2026-01</v>
      </c>
      <c r="W1863" s="1">
        <f>IF(AND(U1863="INCLUDED",X1863&gt;0,EXACT(A1863,'AI output'!A1863)),1,0)</f>
        <v>1</v>
      </c>
      <c r="X1863" s="1">
        <f>1863</f>
        <v>1863</v>
      </c>
      <c r="Y1863" s="1">
        <f>IF(AND(U1863="INCLUDED",W1863=1),--(NOT(EXACT(A1863,'AI output'!A1863)))+--(NOT(EXACT(B1863,'AI output'!B1863)))+--(NOT(EXACT(TEXT(G1863,"yyyy-mm-dd"),'AI output'!C1863)))+--(NOT(EXACT(H1863,'AI output'!D1863)))+--(NOT(EXACT(J1863,'AI output'!E1863)))+--(NOT(EXACT(K1863,'AI output'!F1863)))+--(N1863&lt;&gt;'AI output'!L1863)+--(NOT('AI output'!M1863)),0)</f>
        <v>0</v>
      </c>
      <c r="Z1863" s="1">
        <f t="shared" ref="Z1863:Z1926" si="239">IF(U1863="INCLUDED",IF(OR(W1863&lt;&gt;1,Y1863&lt;&gt;0),1,0),0)</f>
        <v>0</v>
      </c>
      <c r="AA1863" s="1">
        <f>--EXACT(A1863,"L01857")</f>
        <v>1</v>
      </c>
    </row>
    <row r="1864" spans="1:27" ht="18.95" customHeight="1">
      <c r="A1864" s="1" t="str">
        <f>IF(Raw!A1864="","",Raw!A1864)</f>
        <v>L01858</v>
      </c>
      <c r="B1864" s="1" t="str">
        <f>IF(Raw!B1864="","",Raw!B1864)</f>
        <v>T00929</v>
      </c>
      <c r="C1864" s="1" t="str">
        <f>IF(Raw!C1864="","",Raw!C1864)</f>
        <v>2026-01-17</v>
      </c>
      <c r="D1864" s="1">
        <f t="shared" si="232"/>
        <v>2026</v>
      </c>
      <c r="E1864" s="1">
        <f>IFERROR(IF(AND(LEN(C1864)=10,MID(C1864,5,1)="-",MID(C1864,8,1)="-"),VALUE(MID(C1864,6,2)),IF(AND(LEN(C1864)=11,MID(C1864,3,1)="-",MID(C1864,7,1)="-"),MATCH(UPPER(MID(C1864,4,3)),Guide!$D$7:$D$18,0),0)),0)</f>
        <v>1</v>
      </c>
      <c r="F1864" s="1">
        <f t="shared" si="233"/>
        <v>17</v>
      </c>
      <c r="G1864" s="9">
        <f t="shared" si="234"/>
        <v>46039</v>
      </c>
      <c r="H1864" s="1" t="str">
        <f>IF(Raw!D1864="","",Raw!D1864)</f>
        <v>P-A</v>
      </c>
      <c r="I1864" s="1" t="str">
        <f>IFERROR(IF(EXACT(H1864,INDEX(Guide!$A$7:$A$9,MATCH(SUBSTITUTE(SUBSTITUTE(SUBSTITUTE(H1864,"~","~~"),"*","~*"),"?","~?"),Guide!$A$7:$A$9,0))),INDEX(Guide!$B$7:$B$9,MATCH(SUBSTITUTE(SUBSTITUTE(SUBSTITUTE(H1864,"~","~~"),"*","~*"),"?","~?"),Guide!$A$7:$A$9,0)),""),"")</f>
        <v>Accessories</v>
      </c>
      <c r="J1864" s="1" t="str">
        <f>IF(TRIM(Raw!E1864)="",I1864,IF(UPPER(TRIM(Raw!E1864))=UPPER(I1864),I1864,""))</f>
        <v>Accessories</v>
      </c>
      <c r="K1864" s="1" t="str">
        <f>IF(Raw!F1864="","",Raw!F1864)</f>
        <v>sale</v>
      </c>
      <c r="L1864" s="1" t="str">
        <f>IF(LEFT(TRIM(Raw!G1864),2)="-$","-"&amp;MID(TRIM(Raw!G1864),3,99),IF(LEFT(TRIM(Raw!G1864),1)="$",MID(TRIM(Raw!G1864),2,99),TRIM(Raw!G1864)))</f>
        <v>460.40</v>
      </c>
      <c r="M1864" s="1">
        <f t="shared" si="235"/>
        <v>460.4</v>
      </c>
      <c r="N1864" s="10">
        <f t="shared" si="236"/>
        <v>46040</v>
      </c>
      <c r="O1864" s="1" t="b">
        <f>IFERROR(IF(ISNUMBER(Raw!G1864),TRUE,OR(EXACT(L1864,TEXT(M1864,"0.00")),EXACT(L1864,TEXT(M1864,"#,##0.00")))),FALSE)</f>
        <v>1</v>
      </c>
      <c r="P1864" s="1" t="str">
        <f>LEN(IF(Raw!A1864="","",Raw!A1864))&amp;":"&amp;IF(Raw!A1864="","",Raw!A1864)&amp;"|"&amp;LEN(IF(Raw!B1864="","",Raw!B1864))&amp;":"&amp;IF(Raw!B1864="","",Raw!B1864)&amp;"|"&amp;LEN(IF(Raw!C1864="","",Raw!C1864))&amp;":"&amp;IF(Raw!C1864="","",Raw!C1864)&amp;"|"&amp;LEN(IF(Raw!D1864="","",Raw!D1864))&amp;":"&amp;IF(Raw!D1864="","",Raw!D1864)&amp;"|"&amp;LEN(IF(Raw!E1864="","",Raw!E1864))&amp;":"&amp;IF(Raw!E1864="","",Raw!E1864)&amp;"|"&amp;LEN(IF(Raw!F1864="","",Raw!F1864))&amp;":"&amp;IF(Raw!F1864="","",Raw!F1864)&amp;"|"&amp;LEN(IF(Raw!G1864="","",Raw!G1864))&amp;":"&amp;IF(Raw!G1864="","",Raw!G1864)</f>
        <v>6:L01858|6:T00929|10:2026-01-17|3:P-A|11:Accessories|4:sale|6:460.40</v>
      </c>
      <c r="Q1864" s="1">
        <f>1</f>
        <v>1</v>
      </c>
      <c r="R1864" s="1" t="b">
        <f>FALSE</f>
        <v>0</v>
      </c>
      <c r="S1864" s="1">
        <f>1</f>
        <v>1</v>
      </c>
      <c r="T1864" s="1" t="str">
        <f>IF(AND(Raw!A1864="",Raw!B1864="",Raw!C1864="",Raw!D1864="",Raw!E1864="",Raw!F1864="",Raw!G1864=""),"UNUSED",IF(A1864="","missing line ID",IF(B1864="","missing transaction ID",IF(G1864="",IF(C1864="","missing date","invalid date"),IF(I1864="","unknown product",IF(J1864="","conflicting category",IF(NOT(OR(EXACT(K1864,"sale"),EXACT(K1864,"refund"))),"unknown event",IF(OR(N1864="",NOT(O1864)),"invalid amount",IF(OR(AND(K1864="sale",N1864&lt;=0),AND(K1864="refund",N1864&gt;=0)),"invalid sign","")))))))))</f>
        <v/>
      </c>
      <c r="U1864" s="1" t="str">
        <f t="shared" si="237"/>
        <v>INCLUDED</v>
      </c>
      <c r="V1864" s="1" t="str">
        <f t="shared" si="238"/>
        <v>2026-01</v>
      </c>
      <c r="W1864" s="1">
        <f>IF(AND(U1864="INCLUDED",X1864&gt;0,EXACT(A1864,'AI output'!A1864)),1,0)</f>
        <v>1</v>
      </c>
      <c r="X1864" s="1">
        <f>1864</f>
        <v>1864</v>
      </c>
      <c r="Y1864" s="1">
        <f>IF(AND(U1864="INCLUDED",W1864=1),--(NOT(EXACT(A1864,'AI output'!A1864)))+--(NOT(EXACT(B1864,'AI output'!B1864)))+--(NOT(EXACT(TEXT(G1864,"yyyy-mm-dd"),'AI output'!C1864)))+--(NOT(EXACT(H1864,'AI output'!D1864)))+--(NOT(EXACT(J1864,'AI output'!E1864)))+--(NOT(EXACT(K1864,'AI output'!F1864)))+--(N1864&lt;&gt;'AI output'!L1864)+--(NOT('AI output'!M1864)),0)</f>
        <v>0</v>
      </c>
      <c r="Z1864" s="1">
        <f t="shared" si="239"/>
        <v>0</v>
      </c>
      <c r="AA1864" s="1">
        <f>--EXACT(A1864,"L01858")</f>
        <v>1</v>
      </c>
    </row>
    <row r="1865" spans="1:27" ht="18.95" customHeight="1">
      <c r="A1865" s="1" t="str">
        <f>IF(Raw!A1865="","",Raw!A1865)</f>
        <v>L01859</v>
      </c>
      <c r="B1865" s="1" t="str">
        <f>IF(Raw!B1865="","",Raw!B1865)</f>
        <v>T00930</v>
      </c>
      <c r="C1865" s="1" t="str">
        <f>IF(Raw!C1865="","",Raw!C1865)</f>
        <v>2026-01-24</v>
      </c>
      <c r="D1865" s="1">
        <f t="shared" si="232"/>
        <v>2026</v>
      </c>
      <c r="E1865" s="1">
        <f>IFERROR(IF(AND(LEN(C1865)=10,MID(C1865,5,1)="-",MID(C1865,8,1)="-"),VALUE(MID(C1865,6,2)),IF(AND(LEN(C1865)=11,MID(C1865,3,1)="-",MID(C1865,7,1)="-"),MATCH(UPPER(MID(C1865,4,3)),Guide!$D$7:$D$18,0),0)),0)</f>
        <v>1</v>
      </c>
      <c r="F1865" s="1">
        <f t="shared" si="233"/>
        <v>24</v>
      </c>
      <c r="G1865" s="9">
        <f t="shared" si="234"/>
        <v>46046</v>
      </c>
      <c r="H1865" s="1" t="str">
        <f>IF(Raw!D1865="","",Raw!D1865)</f>
        <v>P-H</v>
      </c>
      <c r="I1865" s="1" t="str">
        <f>IFERROR(IF(EXACT(H1865,INDEX(Guide!$A$7:$A$9,MATCH(SUBSTITUTE(SUBSTITUTE(SUBSTITUTE(H1865,"~","~~"),"*","~*"),"?","~?"),Guide!$A$7:$A$9,0))),INDEX(Guide!$B$7:$B$9,MATCH(SUBSTITUTE(SUBSTITUTE(SUBSTITUTE(H1865,"~","~~"),"*","~*"),"?","~?"),Guide!$A$7:$A$9,0)),""),"")</f>
        <v>Home</v>
      </c>
      <c r="J1865" s="1" t="str">
        <f>IF(TRIM(Raw!E1865)="",I1865,IF(UPPER(TRIM(Raw!E1865))=UPPER(I1865),I1865,""))</f>
        <v>Home</v>
      </c>
      <c r="K1865" s="1" t="str">
        <f>IF(Raw!F1865="","",Raw!F1865)</f>
        <v>sale</v>
      </c>
      <c r="L1865" s="1" t="str">
        <f>IF(LEFT(TRIM(Raw!G1865),2)="-$","-"&amp;MID(TRIM(Raw!G1865),3,99),IF(LEFT(TRIM(Raw!G1865),1)="$",MID(TRIM(Raw!G1865),2,99),TRIM(Raw!G1865)))</f>
        <v>184.90</v>
      </c>
      <c r="M1865" s="1">
        <f t="shared" si="235"/>
        <v>184.9</v>
      </c>
      <c r="N1865" s="10">
        <f t="shared" si="236"/>
        <v>18490</v>
      </c>
      <c r="O1865" s="1" t="b">
        <f>IFERROR(IF(ISNUMBER(Raw!G1865),TRUE,OR(EXACT(L1865,TEXT(M1865,"0.00")),EXACT(L1865,TEXT(M1865,"#,##0.00")))),FALSE)</f>
        <v>1</v>
      </c>
      <c r="P1865" s="1" t="str">
        <f>LEN(IF(Raw!A1865="","",Raw!A1865))&amp;":"&amp;IF(Raw!A1865="","",Raw!A1865)&amp;"|"&amp;LEN(IF(Raw!B1865="","",Raw!B1865))&amp;":"&amp;IF(Raw!B1865="","",Raw!B1865)&amp;"|"&amp;LEN(IF(Raw!C1865="","",Raw!C1865))&amp;":"&amp;IF(Raw!C1865="","",Raw!C1865)&amp;"|"&amp;LEN(IF(Raw!D1865="","",Raw!D1865))&amp;":"&amp;IF(Raw!D1865="","",Raw!D1865)&amp;"|"&amp;LEN(IF(Raw!E1865="","",Raw!E1865))&amp;":"&amp;IF(Raw!E1865="","",Raw!E1865)&amp;"|"&amp;LEN(IF(Raw!F1865="","",Raw!F1865))&amp;":"&amp;IF(Raw!F1865="","",Raw!F1865)&amp;"|"&amp;LEN(IF(Raw!G1865="","",Raw!G1865))&amp;":"&amp;IF(Raw!G1865="","",Raw!G1865)</f>
        <v>6:L01859|6:T00930|10:2026-01-24|3:P-H|4:Home|4:sale|6:184.90</v>
      </c>
      <c r="Q1865" s="1">
        <f>1</f>
        <v>1</v>
      </c>
      <c r="R1865" s="1" t="b">
        <f>FALSE</f>
        <v>0</v>
      </c>
      <c r="S1865" s="1">
        <f>1</f>
        <v>1</v>
      </c>
      <c r="T1865" s="1" t="str">
        <f>IF(AND(Raw!A1865="",Raw!B1865="",Raw!C1865="",Raw!D1865="",Raw!E1865="",Raw!F1865="",Raw!G1865=""),"UNUSED",IF(A1865="","missing line ID",IF(B1865="","missing transaction ID",IF(G1865="",IF(C1865="","missing date","invalid date"),IF(I1865="","unknown product",IF(J1865="","conflicting category",IF(NOT(OR(EXACT(K1865,"sale"),EXACT(K1865,"refund"))),"unknown event",IF(OR(N1865="",NOT(O1865)),"invalid amount",IF(OR(AND(K1865="sale",N1865&lt;=0),AND(K1865="refund",N1865&gt;=0)),"invalid sign","")))))))))</f>
        <v/>
      </c>
      <c r="U1865" s="1" t="str">
        <f t="shared" si="237"/>
        <v>INCLUDED</v>
      </c>
      <c r="V1865" s="1" t="str">
        <f t="shared" si="238"/>
        <v>2026-01</v>
      </c>
      <c r="W1865" s="1">
        <f>IF(AND(U1865="INCLUDED",X1865&gt;0,EXACT(A1865,'AI output'!A1865)),1,0)</f>
        <v>1</v>
      </c>
      <c r="X1865" s="1">
        <f>1865</f>
        <v>1865</v>
      </c>
      <c r="Y1865" s="1">
        <f>IF(AND(U1865="INCLUDED",W1865=1),--(NOT(EXACT(A1865,'AI output'!A1865)))+--(NOT(EXACT(B1865,'AI output'!B1865)))+--(NOT(EXACT(TEXT(G1865,"yyyy-mm-dd"),'AI output'!C1865)))+--(NOT(EXACT(H1865,'AI output'!D1865)))+--(NOT(EXACT(J1865,'AI output'!E1865)))+--(NOT(EXACT(K1865,'AI output'!F1865)))+--(N1865&lt;&gt;'AI output'!L1865)+--(NOT('AI output'!M1865)),0)</f>
        <v>0</v>
      </c>
      <c r="Z1865" s="1">
        <f t="shared" si="239"/>
        <v>0</v>
      </c>
      <c r="AA1865" s="1">
        <f>--EXACT(A1865,"L01859")</f>
        <v>1</v>
      </c>
    </row>
    <row r="1866" spans="1:27" ht="18.95" customHeight="1">
      <c r="A1866" s="1" t="str">
        <f>IF(Raw!A1866="","",Raw!A1866)</f>
        <v>L01860</v>
      </c>
      <c r="B1866" s="1" t="str">
        <f>IF(Raw!B1866="","",Raw!B1866)</f>
        <v>T00930</v>
      </c>
      <c r="C1866" s="1" t="str">
        <f>IF(Raw!C1866="","",Raw!C1866)</f>
        <v>2026-01-24</v>
      </c>
      <c r="D1866" s="1">
        <f t="shared" si="232"/>
        <v>2026</v>
      </c>
      <c r="E1866" s="1">
        <f>IFERROR(IF(AND(LEN(C1866)=10,MID(C1866,5,1)="-",MID(C1866,8,1)="-"),VALUE(MID(C1866,6,2)),IF(AND(LEN(C1866)=11,MID(C1866,3,1)="-",MID(C1866,7,1)="-"),MATCH(UPPER(MID(C1866,4,3)),Guide!$D$7:$D$18,0),0)),0)</f>
        <v>1</v>
      </c>
      <c r="F1866" s="1">
        <f t="shared" si="233"/>
        <v>24</v>
      </c>
      <c r="G1866" s="9">
        <f t="shared" si="234"/>
        <v>46046</v>
      </c>
      <c r="H1866" s="1" t="str">
        <f>IF(Raw!D1866="","",Raw!D1866)</f>
        <v>P-O</v>
      </c>
      <c r="I1866" s="1" t="str">
        <f>IFERROR(IF(EXACT(H1866,INDEX(Guide!$A$7:$A$9,MATCH(SUBSTITUTE(SUBSTITUTE(SUBSTITUTE(H1866,"~","~~"),"*","~*"),"?","~?"),Guide!$A$7:$A$9,0))),INDEX(Guide!$B$7:$B$9,MATCH(SUBSTITUTE(SUBSTITUTE(SUBSTITUTE(H1866,"~","~~"),"*","~*"),"?","~?"),Guide!$A$7:$A$9,0)),""),"")</f>
        <v>Office</v>
      </c>
      <c r="J1866" s="1" t="str">
        <f>IF(TRIM(Raw!E1866)="",I1866,IF(UPPER(TRIM(Raw!E1866))=UPPER(I1866),I1866,""))</f>
        <v>Office</v>
      </c>
      <c r="K1866" s="1" t="str">
        <f>IF(Raw!F1866="","",Raw!F1866)</f>
        <v>sale</v>
      </c>
      <c r="L1866" s="1" t="str">
        <f>IF(LEFT(TRIM(Raw!G1866),2)="-$","-"&amp;MID(TRIM(Raw!G1866),3,99),IF(LEFT(TRIM(Raw!G1866),1)="$",MID(TRIM(Raw!G1866),2,99),TRIM(Raw!G1866)))</f>
        <v>371.28</v>
      </c>
      <c r="M1866" s="1">
        <f t="shared" si="235"/>
        <v>371.28</v>
      </c>
      <c r="N1866" s="10">
        <f t="shared" si="236"/>
        <v>37128</v>
      </c>
      <c r="O1866" s="1" t="b">
        <f>IFERROR(IF(ISNUMBER(Raw!G1866),TRUE,OR(EXACT(L1866,TEXT(M1866,"0.00")),EXACT(L1866,TEXT(M1866,"#,##0.00")))),FALSE)</f>
        <v>1</v>
      </c>
      <c r="P1866" s="1" t="str">
        <f>LEN(IF(Raw!A1866="","",Raw!A1866))&amp;":"&amp;IF(Raw!A1866="","",Raw!A1866)&amp;"|"&amp;LEN(IF(Raw!B1866="","",Raw!B1866))&amp;":"&amp;IF(Raw!B1866="","",Raw!B1866)&amp;"|"&amp;LEN(IF(Raw!C1866="","",Raw!C1866))&amp;":"&amp;IF(Raw!C1866="","",Raw!C1866)&amp;"|"&amp;LEN(IF(Raw!D1866="","",Raw!D1866))&amp;":"&amp;IF(Raw!D1866="","",Raw!D1866)&amp;"|"&amp;LEN(IF(Raw!E1866="","",Raw!E1866))&amp;":"&amp;IF(Raw!E1866="","",Raw!E1866)&amp;"|"&amp;LEN(IF(Raw!F1866="","",Raw!F1866))&amp;":"&amp;IF(Raw!F1866="","",Raw!F1866)&amp;"|"&amp;LEN(IF(Raw!G1866="","",Raw!G1866))&amp;":"&amp;IF(Raw!G1866="","",Raw!G1866)</f>
        <v>6:L01860|6:T00930|10:2026-01-24|3:P-O|6:Office|4:sale|6:371.28</v>
      </c>
      <c r="Q1866" s="1">
        <f>1</f>
        <v>1</v>
      </c>
      <c r="R1866" s="1" t="b">
        <f>FALSE</f>
        <v>0</v>
      </c>
      <c r="S1866" s="1">
        <f>1</f>
        <v>1</v>
      </c>
      <c r="T1866" s="1" t="str">
        <f>IF(AND(Raw!A1866="",Raw!B1866="",Raw!C1866="",Raw!D1866="",Raw!E1866="",Raw!F1866="",Raw!G1866=""),"UNUSED",IF(A1866="","missing line ID",IF(B1866="","missing transaction ID",IF(G1866="",IF(C1866="","missing date","invalid date"),IF(I1866="","unknown product",IF(J1866="","conflicting category",IF(NOT(OR(EXACT(K1866,"sale"),EXACT(K1866,"refund"))),"unknown event",IF(OR(N1866="",NOT(O1866)),"invalid amount",IF(OR(AND(K1866="sale",N1866&lt;=0),AND(K1866="refund",N1866&gt;=0)),"invalid sign","")))))))))</f>
        <v/>
      </c>
      <c r="U1866" s="1" t="str">
        <f t="shared" si="237"/>
        <v>INCLUDED</v>
      </c>
      <c r="V1866" s="1" t="str">
        <f t="shared" si="238"/>
        <v>2026-01</v>
      </c>
      <c r="W1866" s="1">
        <f>IF(AND(U1866="INCLUDED",X1866&gt;0,EXACT(A1866,'AI output'!A1866)),1,0)</f>
        <v>1</v>
      </c>
      <c r="X1866" s="1">
        <f>1866</f>
        <v>1866</v>
      </c>
      <c r="Y1866" s="1">
        <f>IF(AND(U1866="INCLUDED",W1866=1),--(NOT(EXACT(A1866,'AI output'!A1866)))+--(NOT(EXACT(B1866,'AI output'!B1866)))+--(NOT(EXACT(TEXT(G1866,"yyyy-mm-dd"),'AI output'!C1866)))+--(NOT(EXACT(H1866,'AI output'!D1866)))+--(NOT(EXACT(J1866,'AI output'!E1866)))+--(NOT(EXACT(K1866,'AI output'!F1866)))+--(N1866&lt;&gt;'AI output'!L1866)+--(NOT('AI output'!M1866)),0)</f>
        <v>0</v>
      </c>
      <c r="Z1866" s="1">
        <f t="shared" si="239"/>
        <v>0</v>
      </c>
      <c r="AA1866" s="1">
        <f>--EXACT(A1866,"L01860")</f>
        <v>1</v>
      </c>
    </row>
    <row r="1867" spans="1:27" ht="18.95" customHeight="1">
      <c r="A1867" s="1" t="str">
        <f>IF(Raw!A1867="","",Raw!A1867)</f>
        <v>L01861</v>
      </c>
      <c r="B1867" s="1" t="str">
        <f>IF(Raw!B1867="","",Raw!B1867)</f>
        <v>T00931</v>
      </c>
      <c r="C1867" s="1" t="str">
        <f>IF(Raw!C1867="","",Raw!C1867)</f>
        <v>2026-01-31</v>
      </c>
      <c r="D1867" s="1">
        <f t="shared" si="232"/>
        <v>2026</v>
      </c>
      <c r="E1867" s="1">
        <f>IFERROR(IF(AND(LEN(C1867)=10,MID(C1867,5,1)="-",MID(C1867,8,1)="-"),VALUE(MID(C1867,6,2)),IF(AND(LEN(C1867)=11,MID(C1867,3,1)="-",MID(C1867,7,1)="-"),MATCH(UPPER(MID(C1867,4,3)),Guide!$D$7:$D$18,0),0)),0)</f>
        <v>1</v>
      </c>
      <c r="F1867" s="1">
        <f t="shared" si="233"/>
        <v>31</v>
      </c>
      <c r="G1867" s="9">
        <f t="shared" si="234"/>
        <v>46053</v>
      </c>
      <c r="H1867" s="1" t="str">
        <f>IF(Raw!D1867="","",Raw!D1867)</f>
        <v>P-A</v>
      </c>
      <c r="I1867" s="1" t="str">
        <f>IFERROR(IF(EXACT(H1867,INDEX(Guide!$A$7:$A$9,MATCH(SUBSTITUTE(SUBSTITUTE(SUBSTITUTE(H1867,"~","~~"),"*","~*"),"?","~?"),Guide!$A$7:$A$9,0))),INDEX(Guide!$B$7:$B$9,MATCH(SUBSTITUTE(SUBSTITUTE(SUBSTITUTE(H1867,"~","~~"),"*","~*"),"?","~?"),Guide!$A$7:$A$9,0)),""),"")</f>
        <v>Accessories</v>
      </c>
      <c r="J1867" s="1" t="str">
        <f>IF(TRIM(Raw!E1867)="",I1867,IF(UPPER(TRIM(Raw!E1867))=UPPER(I1867),I1867,""))</f>
        <v>Accessories</v>
      </c>
      <c r="K1867" s="1" t="str">
        <f>IF(Raw!F1867="","",Raw!F1867)</f>
        <v>sale</v>
      </c>
      <c r="L1867" s="1" t="str">
        <f>IF(LEFT(TRIM(Raw!G1867),2)="-$","-"&amp;MID(TRIM(Raw!G1867),3,99),IF(LEFT(TRIM(Raw!G1867),1)="$",MID(TRIM(Raw!G1867),2,99),TRIM(Raw!G1867)))</f>
        <v>93.19</v>
      </c>
      <c r="M1867" s="1">
        <f t="shared" si="235"/>
        <v>93.19</v>
      </c>
      <c r="N1867" s="10">
        <f t="shared" si="236"/>
        <v>9319</v>
      </c>
      <c r="O1867" s="1" t="b">
        <f>IFERROR(IF(ISNUMBER(Raw!G1867),TRUE,OR(EXACT(L1867,TEXT(M1867,"0.00")),EXACT(L1867,TEXT(M1867,"#,##0.00")))),FALSE)</f>
        <v>1</v>
      </c>
      <c r="P1867" s="1" t="str">
        <f>LEN(IF(Raw!A1867="","",Raw!A1867))&amp;":"&amp;IF(Raw!A1867="","",Raw!A1867)&amp;"|"&amp;LEN(IF(Raw!B1867="","",Raw!B1867))&amp;":"&amp;IF(Raw!B1867="","",Raw!B1867)&amp;"|"&amp;LEN(IF(Raw!C1867="","",Raw!C1867))&amp;":"&amp;IF(Raw!C1867="","",Raw!C1867)&amp;"|"&amp;LEN(IF(Raw!D1867="","",Raw!D1867))&amp;":"&amp;IF(Raw!D1867="","",Raw!D1867)&amp;"|"&amp;LEN(IF(Raw!E1867="","",Raw!E1867))&amp;":"&amp;IF(Raw!E1867="","",Raw!E1867)&amp;"|"&amp;LEN(IF(Raw!F1867="","",Raw!F1867))&amp;":"&amp;IF(Raw!F1867="","",Raw!F1867)&amp;"|"&amp;LEN(IF(Raw!G1867="","",Raw!G1867))&amp;":"&amp;IF(Raw!G1867="","",Raw!G1867)</f>
        <v>6:L01861|6:T00931|10:2026-01-31|3:P-A|11:Accessories|4:sale|5:93.19</v>
      </c>
      <c r="Q1867" s="1">
        <f>1</f>
        <v>1</v>
      </c>
      <c r="R1867" s="1" t="b">
        <f>FALSE</f>
        <v>0</v>
      </c>
      <c r="S1867" s="1">
        <f>1</f>
        <v>1</v>
      </c>
      <c r="T1867" s="1" t="str">
        <f>IF(AND(Raw!A1867="",Raw!B1867="",Raw!C1867="",Raw!D1867="",Raw!E1867="",Raw!F1867="",Raw!G1867=""),"UNUSED",IF(A1867="","missing line ID",IF(B1867="","missing transaction ID",IF(G1867="",IF(C1867="","missing date","invalid date"),IF(I1867="","unknown product",IF(J1867="","conflicting category",IF(NOT(OR(EXACT(K1867,"sale"),EXACT(K1867,"refund"))),"unknown event",IF(OR(N1867="",NOT(O1867)),"invalid amount",IF(OR(AND(K1867="sale",N1867&lt;=0),AND(K1867="refund",N1867&gt;=0)),"invalid sign","")))))))))</f>
        <v/>
      </c>
      <c r="U1867" s="1" t="str">
        <f t="shared" si="237"/>
        <v>INCLUDED</v>
      </c>
      <c r="V1867" s="1" t="str">
        <f t="shared" si="238"/>
        <v>2026-01</v>
      </c>
      <c r="W1867" s="1">
        <f>IF(AND(U1867="INCLUDED",X1867&gt;0,EXACT(A1867,'AI output'!A1867)),1,0)</f>
        <v>1</v>
      </c>
      <c r="X1867" s="1">
        <f>1867</f>
        <v>1867</v>
      </c>
      <c r="Y1867" s="1">
        <f>IF(AND(U1867="INCLUDED",W1867=1),--(NOT(EXACT(A1867,'AI output'!A1867)))+--(NOT(EXACT(B1867,'AI output'!B1867)))+--(NOT(EXACT(TEXT(G1867,"yyyy-mm-dd"),'AI output'!C1867)))+--(NOT(EXACT(H1867,'AI output'!D1867)))+--(NOT(EXACT(J1867,'AI output'!E1867)))+--(NOT(EXACT(K1867,'AI output'!F1867)))+--(N1867&lt;&gt;'AI output'!L1867)+--(NOT('AI output'!M1867)),0)</f>
        <v>0</v>
      </c>
      <c r="Z1867" s="1">
        <f t="shared" si="239"/>
        <v>0</v>
      </c>
      <c r="AA1867" s="1">
        <f>--EXACT(A1867,"L01861")</f>
        <v>1</v>
      </c>
    </row>
    <row r="1868" spans="1:27" ht="18.95" customHeight="1">
      <c r="A1868" s="1" t="str">
        <f>IF(Raw!A1868="","",Raw!A1868)</f>
        <v>L01862</v>
      </c>
      <c r="B1868" s="1" t="str">
        <f>IF(Raw!B1868="","",Raw!B1868)</f>
        <v>T00931</v>
      </c>
      <c r="C1868" s="1" t="str">
        <f>IF(Raw!C1868="","",Raw!C1868)</f>
        <v>2026-01-31</v>
      </c>
      <c r="D1868" s="1">
        <f t="shared" si="232"/>
        <v>2026</v>
      </c>
      <c r="E1868" s="1">
        <f>IFERROR(IF(AND(LEN(C1868)=10,MID(C1868,5,1)="-",MID(C1868,8,1)="-"),VALUE(MID(C1868,6,2)),IF(AND(LEN(C1868)=11,MID(C1868,3,1)="-",MID(C1868,7,1)="-"),MATCH(UPPER(MID(C1868,4,3)),Guide!$D$7:$D$18,0),0)),0)</f>
        <v>1</v>
      </c>
      <c r="F1868" s="1">
        <f t="shared" si="233"/>
        <v>31</v>
      </c>
      <c r="G1868" s="9">
        <f t="shared" si="234"/>
        <v>46053</v>
      </c>
      <c r="H1868" s="1" t="str">
        <f>IF(Raw!D1868="","",Raw!D1868)</f>
        <v>P-H</v>
      </c>
      <c r="I1868" s="1" t="str">
        <f>IFERROR(IF(EXACT(H1868,INDEX(Guide!$A$7:$A$9,MATCH(SUBSTITUTE(SUBSTITUTE(SUBSTITUTE(H1868,"~","~~"),"*","~*"),"?","~?"),Guide!$A$7:$A$9,0))),INDEX(Guide!$B$7:$B$9,MATCH(SUBSTITUTE(SUBSTITUTE(SUBSTITUTE(H1868,"~","~~"),"*","~*"),"?","~?"),Guide!$A$7:$A$9,0)),""),"")</f>
        <v>Home</v>
      </c>
      <c r="J1868" s="1" t="str">
        <f>IF(TRIM(Raw!E1868)="",I1868,IF(UPPER(TRIM(Raw!E1868))=UPPER(I1868),I1868,""))</f>
        <v>Home</v>
      </c>
      <c r="K1868" s="1" t="str">
        <f>IF(Raw!F1868="","",Raw!F1868)</f>
        <v>sale</v>
      </c>
      <c r="L1868" s="1" t="str">
        <f>IF(LEFT(TRIM(Raw!G1868),2)="-$","-"&amp;MID(TRIM(Raw!G1868),3,99),IF(LEFT(TRIM(Raw!G1868),1)="$",MID(TRIM(Raw!G1868),2,99),TRIM(Raw!G1868)))</f>
        <v>280.68</v>
      </c>
      <c r="M1868" s="1">
        <f t="shared" si="235"/>
        <v>280.68</v>
      </c>
      <c r="N1868" s="10">
        <f t="shared" si="236"/>
        <v>28068</v>
      </c>
      <c r="O1868" s="1" t="b">
        <f>IFERROR(IF(ISNUMBER(Raw!G1868),TRUE,OR(EXACT(L1868,TEXT(M1868,"0.00")),EXACT(L1868,TEXT(M1868,"#,##0.00")))),FALSE)</f>
        <v>1</v>
      </c>
      <c r="P1868" s="1" t="str">
        <f>LEN(IF(Raw!A1868="","",Raw!A1868))&amp;":"&amp;IF(Raw!A1868="","",Raw!A1868)&amp;"|"&amp;LEN(IF(Raw!B1868="","",Raw!B1868))&amp;":"&amp;IF(Raw!B1868="","",Raw!B1868)&amp;"|"&amp;LEN(IF(Raw!C1868="","",Raw!C1868))&amp;":"&amp;IF(Raw!C1868="","",Raw!C1868)&amp;"|"&amp;LEN(IF(Raw!D1868="","",Raw!D1868))&amp;":"&amp;IF(Raw!D1868="","",Raw!D1868)&amp;"|"&amp;LEN(IF(Raw!E1868="","",Raw!E1868))&amp;":"&amp;IF(Raw!E1868="","",Raw!E1868)&amp;"|"&amp;LEN(IF(Raw!F1868="","",Raw!F1868))&amp;":"&amp;IF(Raw!F1868="","",Raw!F1868)&amp;"|"&amp;LEN(IF(Raw!G1868="","",Raw!G1868))&amp;":"&amp;IF(Raw!G1868="","",Raw!G1868)</f>
        <v>6:L01862|6:T00931|10:2026-01-31|3:P-H|4:Home|4:sale|6:280.68</v>
      </c>
      <c r="Q1868" s="1">
        <f>1</f>
        <v>1</v>
      </c>
      <c r="R1868" s="1" t="b">
        <f>FALSE</f>
        <v>0</v>
      </c>
      <c r="S1868" s="1">
        <f>1</f>
        <v>1</v>
      </c>
      <c r="T1868" s="1" t="str">
        <f>IF(AND(Raw!A1868="",Raw!B1868="",Raw!C1868="",Raw!D1868="",Raw!E1868="",Raw!F1868="",Raw!G1868=""),"UNUSED",IF(A1868="","missing line ID",IF(B1868="","missing transaction ID",IF(G1868="",IF(C1868="","missing date","invalid date"),IF(I1868="","unknown product",IF(J1868="","conflicting category",IF(NOT(OR(EXACT(K1868,"sale"),EXACT(K1868,"refund"))),"unknown event",IF(OR(N1868="",NOT(O1868)),"invalid amount",IF(OR(AND(K1868="sale",N1868&lt;=0),AND(K1868="refund",N1868&gt;=0)),"invalid sign","")))))))))</f>
        <v/>
      </c>
      <c r="U1868" s="1" t="str">
        <f t="shared" si="237"/>
        <v>INCLUDED</v>
      </c>
      <c r="V1868" s="1" t="str">
        <f t="shared" si="238"/>
        <v>2026-01</v>
      </c>
      <c r="W1868" s="1">
        <f>IF(AND(U1868="INCLUDED",X1868&gt;0,EXACT(A1868,'AI output'!A1868)),1,0)</f>
        <v>1</v>
      </c>
      <c r="X1868" s="1">
        <f>1868</f>
        <v>1868</v>
      </c>
      <c r="Y1868" s="1">
        <f>IF(AND(U1868="INCLUDED",W1868=1),--(NOT(EXACT(A1868,'AI output'!A1868)))+--(NOT(EXACT(B1868,'AI output'!B1868)))+--(NOT(EXACT(TEXT(G1868,"yyyy-mm-dd"),'AI output'!C1868)))+--(NOT(EXACT(H1868,'AI output'!D1868)))+--(NOT(EXACT(J1868,'AI output'!E1868)))+--(NOT(EXACT(K1868,'AI output'!F1868)))+--(N1868&lt;&gt;'AI output'!L1868)+--(NOT('AI output'!M1868)),0)</f>
        <v>0</v>
      </c>
      <c r="Z1868" s="1">
        <f t="shared" si="239"/>
        <v>0</v>
      </c>
      <c r="AA1868" s="1">
        <f>--EXACT(A1868,"L01862")</f>
        <v>1</v>
      </c>
    </row>
    <row r="1869" spans="1:27" ht="18.95" customHeight="1">
      <c r="A1869" s="1" t="str">
        <f>IF(Raw!A1869="","",Raw!A1869)</f>
        <v>L01863</v>
      </c>
      <c r="B1869" s="1" t="str">
        <f>IF(Raw!B1869="","",Raw!B1869)</f>
        <v>T00932</v>
      </c>
      <c r="C1869" s="1" t="str">
        <f>IF(Raw!C1869="","",Raw!C1869)</f>
        <v>2026-02-07</v>
      </c>
      <c r="D1869" s="1">
        <f t="shared" si="232"/>
        <v>2026</v>
      </c>
      <c r="E1869" s="1">
        <f>IFERROR(IF(AND(LEN(C1869)=10,MID(C1869,5,1)="-",MID(C1869,8,1)="-"),VALUE(MID(C1869,6,2)),IF(AND(LEN(C1869)=11,MID(C1869,3,1)="-",MID(C1869,7,1)="-"),MATCH(UPPER(MID(C1869,4,3)),Guide!$D$7:$D$18,0),0)),0)</f>
        <v>2</v>
      </c>
      <c r="F1869" s="1">
        <f t="shared" si="233"/>
        <v>7</v>
      </c>
      <c r="G1869" s="9">
        <f t="shared" si="234"/>
        <v>46060</v>
      </c>
      <c r="H1869" s="1" t="str">
        <f>IF(Raw!D1869="","",Raw!D1869)</f>
        <v>P-O</v>
      </c>
      <c r="I1869" s="1" t="str">
        <f>IFERROR(IF(EXACT(H1869,INDEX(Guide!$A$7:$A$9,MATCH(SUBSTITUTE(SUBSTITUTE(SUBSTITUTE(H1869,"~","~~"),"*","~*"),"?","~?"),Guide!$A$7:$A$9,0))),INDEX(Guide!$B$7:$B$9,MATCH(SUBSTITUTE(SUBSTITUTE(SUBSTITUTE(H1869,"~","~~"),"*","~*"),"?","~?"),Guide!$A$7:$A$9,0)),""),"")</f>
        <v>Office</v>
      </c>
      <c r="J1869" s="1" t="str">
        <f>IF(TRIM(Raw!E1869)="",I1869,IF(UPPER(TRIM(Raw!E1869))=UPPER(I1869),I1869,""))</f>
        <v>Office</v>
      </c>
      <c r="K1869" s="1" t="str">
        <f>IF(Raw!F1869="","",Raw!F1869)</f>
        <v>sale</v>
      </c>
      <c r="L1869" s="1" t="str">
        <f>IF(LEFT(TRIM(Raw!G1869),2)="-$","-"&amp;MID(TRIM(Raw!G1869),3,99),IF(LEFT(TRIM(Raw!G1869),1)="$",MID(TRIM(Raw!G1869),2,99),TRIM(Raw!G1869)))</f>
        <v>469.65</v>
      </c>
      <c r="M1869" s="1">
        <f t="shared" si="235"/>
        <v>469.65</v>
      </c>
      <c r="N1869" s="10">
        <f t="shared" si="236"/>
        <v>46965</v>
      </c>
      <c r="O1869" s="1" t="b">
        <f>IFERROR(IF(ISNUMBER(Raw!G1869),TRUE,OR(EXACT(L1869,TEXT(M1869,"0.00")),EXACT(L1869,TEXT(M1869,"#,##0.00")))),FALSE)</f>
        <v>1</v>
      </c>
      <c r="P1869" s="1" t="str">
        <f>LEN(IF(Raw!A1869="","",Raw!A1869))&amp;":"&amp;IF(Raw!A1869="","",Raw!A1869)&amp;"|"&amp;LEN(IF(Raw!B1869="","",Raw!B1869))&amp;":"&amp;IF(Raw!B1869="","",Raw!B1869)&amp;"|"&amp;LEN(IF(Raw!C1869="","",Raw!C1869))&amp;":"&amp;IF(Raw!C1869="","",Raw!C1869)&amp;"|"&amp;LEN(IF(Raw!D1869="","",Raw!D1869))&amp;":"&amp;IF(Raw!D1869="","",Raw!D1869)&amp;"|"&amp;LEN(IF(Raw!E1869="","",Raw!E1869))&amp;":"&amp;IF(Raw!E1869="","",Raw!E1869)&amp;"|"&amp;LEN(IF(Raw!F1869="","",Raw!F1869))&amp;":"&amp;IF(Raw!F1869="","",Raw!F1869)&amp;"|"&amp;LEN(IF(Raw!G1869="","",Raw!G1869))&amp;":"&amp;IF(Raw!G1869="","",Raw!G1869)</f>
        <v>6:L01863|6:T00932|10:2026-02-07|3:P-O|6:Office|4:sale|6:469.65</v>
      </c>
      <c r="Q1869" s="1">
        <f>1</f>
        <v>1</v>
      </c>
      <c r="R1869" s="1" t="b">
        <f>FALSE</f>
        <v>0</v>
      </c>
      <c r="S1869" s="1">
        <f>1</f>
        <v>1</v>
      </c>
      <c r="T1869" s="1" t="str">
        <f>IF(AND(Raw!A1869="",Raw!B1869="",Raw!C1869="",Raw!D1869="",Raw!E1869="",Raw!F1869="",Raw!G1869=""),"UNUSED",IF(A1869="","missing line ID",IF(B1869="","missing transaction ID",IF(G1869="",IF(C1869="","missing date","invalid date"),IF(I1869="","unknown product",IF(J1869="","conflicting category",IF(NOT(OR(EXACT(K1869,"sale"),EXACT(K1869,"refund"))),"unknown event",IF(OR(N1869="",NOT(O1869)),"invalid amount",IF(OR(AND(K1869="sale",N1869&lt;=0),AND(K1869="refund",N1869&gt;=0)),"invalid sign","")))))))))</f>
        <v/>
      </c>
      <c r="U1869" s="1" t="str">
        <f t="shared" si="237"/>
        <v>INCLUDED</v>
      </c>
      <c r="V1869" s="1" t="str">
        <f t="shared" si="238"/>
        <v>2026-02</v>
      </c>
      <c r="W1869" s="1">
        <f>IF(AND(U1869="INCLUDED",X1869&gt;0,EXACT(A1869,'AI output'!A1869)),1,0)</f>
        <v>1</v>
      </c>
      <c r="X1869" s="1">
        <f>1869</f>
        <v>1869</v>
      </c>
      <c r="Y1869" s="1">
        <f>IF(AND(U1869="INCLUDED",W1869=1),--(NOT(EXACT(A1869,'AI output'!A1869)))+--(NOT(EXACT(B1869,'AI output'!B1869)))+--(NOT(EXACT(TEXT(G1869,"yyyy-mm-dd"),'AI output'!C1869)))+--(NOT(EXACT(H1869,'AI output'!D1869)))+--(NOT(EXACT(J1869,'AI output'!E1869)))+--(NOT(EXACT(K1869,'AI output'!F1869)))+--(N1869&lt;&gt;'AI output'!L1869)+--(NOT('AI output'!M1869)),0)</f>
        <v>0</v>
      </c>
      <c r="Z1869" s="1">
        <f t="shared" si="239"/>
        <v>0</v>
      </c>
      <c r="AA1869" s="1">
        <f>--EXACT(A1869,"L01863")</f>
        <v>1</v>
      </c>
    </row>
    <row r="1870" spans="1:27" ht="18.95" customHeight="1">
      <c r="A1870" s="1" t="str">
        <f>IF(Raw!A1870="","",Raw!A1870)</f>
        <v>L01864</v>
      </c>
      <c r="B1870" s="1" t="str">
        <f>IF(Raw!B1870="","",Raw!B1870)</f>
        <v>T00932</v>
      </c>
      <c r="C1870" s="1" t="str">
        <f>IF(Raw!C1870="","",Raw!C1870)</f>
        <v>2026-02-07</v>
      </c>
      <c r="D1870" s="1">
        <f t="shared" si="232"/>
        <v>2026</v>
      </c>
      <c r="E1870" s="1">
        <f>IFERROR(IF(AND(LEN(C1870)=10,MID(C1870,5,1)="-",MID(C1870,8,1)="-"),VALUE(MID(C1870,6,2)),IF(AND(LEN(C1870)=11,MID(C1870,3,1)="-",MID(C1870,7,1)="-"),MATCH(UPPER(MID(C1870,4,3)),Guide!$D$7:$D$18,0),0)),0)</f>
        <v>2</v>
      </c>
      <c r="F1870" s="1">
        <f t="shared" si="233"/>
        <v>7</v>
      </c>
      <c r="G1870" s="9">
        <f t="shared" si="234"/>
        <v>46060</v>
      </c>
      <c r="H1870" s="1" t="str">
        <f>IF(Raw!D1870="","",Raw!D1870)</f>
        <v>P-A</v>
      </c>
      <c r="I1870" s="1" t="str">
        <f>IFERROR(IF(EXACT(H1870,INDEX(Guide!$A$7:$A$9,MATCH(SUBSTITUTE(SUBSTITUTE(SUBSTITUTE(H1870,"~","~~"),"*","~*"),"?","~?"),Guide!$A$7:$A$9,0))),INDEX(Guide!$B$7:$B$9,MATCH(SUBSTITUTE(SUBSTITUTE(SUBSTITUTE(H1870,"~","~~"),"*","~*"),"?","~?"),Guide!$A$7:$A$9,0)),""),"")</f>
        <v>Accessories</v>
      </c>
      <c r="J1870" s="1" t="str">
        <f>IF(TRIM(Raw!E1870)="",I1870,IF(UPPER(TRIM(Raw!E1870))=UPPER(I1870),I1870,""))</f>
        <v>Accessories</v>
      </c>
      <c r="K1870" s="1" t="str">
        <f>IF(Raw!F1870="","",Raw!F1870)</f>
        <v>refund</v>
      </c>
      <c r="L1870" s="1" t="str">
        <f>IF(LEFT(TRIM(Raw!G1870),2)="-$","-"&amp;MID(TRIM(Raw!G1870),3,99),IF(LEFT(TRIM(Raw!G1870),1)="$",MID(TRIM(Raw!G1870),2,99),TRIM(Raw!G1870)))</f>
        <v>-188.60</v>
      </c>
      <c r="M1870" s="1">
        <f t="shared" si="235"/>
        <v>-188.6</v>
      </c>
      <c r="N1870" s="10">
        <f t="shared" si="236"/>
        <v>-18860</v>
      </c>
      <c r="O1870" s="1" t="b">
        <f>IFERROR(IF(ISNUMBER(Raw!G1870),TRUE,OR(EXACT(L1870,TEXT(M1870,"0.00")),EXACT(L1870,TEXT(M1870,"#,##0.00")))),FALSE)</f>
        <v>1</v>
      </c>
      <c r="P1870" s="1" t="str">
        <f>LEN(IF(Raw!A1870="","",Raw!A1870))&amp;":"&amp;IF(Raw!A1870="","",Raw!A1870)&amp;"|"&amp;LEN(IF(Raw!B1870="","",Raw!B1870))&amp;":"&amp;IF(Raw!B1870="","",Raw!B1870)&amp;"|"&amp;LEN(IF(Raw!C1870="","",Raw!C1870))&amp;":"&amp;IF(Raw!C1870="","",Raw!C1870)&amp;"|"&amp;LEN(IF(Raw!D1870="","",Raw!D1870))&amp;":"&amp;IF(Raw!D1870="","",Raw!D1870)&amp;"|"&amp;LEN(IF(Raw!E1870="","",Raw!E1870))&amp;":"&amp;IF(Raw!E1870="","",Raw!E1870)&amp;"|"&amp;LEN(IF(Raw!F1870="","",Raw!F1870))&amp;":"&amp;IF(Raw!F1870="","",Raw!F1870)&amp;"|"&amp;LEN(IF(Raw!G1870="","",Raw!G1870))&amp;":"&amp;IF(Raw!G1870="","",Raw!G1870)</f>
        <v>6:L01864|6:T00932|10:2026-02-07|3:P-A|11:Accessories|6:refund|7:-188.60</v>
      </c>
      <c r="Q1870" s="1">
        <f>1</f>
        <v>1</v>
      </c>
      <c r="R1870" s="1" t="b">
        <f>FALSE</f>
        <v>0</v>
      </c>
      <c r="S1870" s="1">
        <f>1</f>
        <v>1</v>
      </c>
      <c r="T1870" s="1" t="str">
        <f>IF(AND(Raw!A1870="",Raw!B1870="",Raw!C1870="",Raw!D1870="",Raw!E1870="",Raw!F1870="",Raw!G1870=""),"UNUSED",IF(A1870="","missing line ID",IF(B1870="","missing transaction ID",IF(G1870="",IF(C1870="","missing date","invalid date"),IF(I1870="","unknown product",IF(J1870="","conflicting category",IF(NOT(OR(EXACT(K1870,"sale"),EXACT(K1870,"refund"))),"unknown event",IF(OR(N1870="",NOT(O1870)),"invalid amount",IF(OR(AND(K1870="sale",N1870&lt;=0),AND(K1870="refund",N1870&gt;=0)),"invalid sign","")))))))))</f>
        <v/>
      </c>
      <c r="U1870" s="1" t="str">
        <f t="shared" si="237"/>
        <v>INCLUDED</v>
      </c>
      <c r="V1870" s="1" t="str">
        <f t="shared" si="238"/>
        <v>2026-02</v>
      </c>
      <c r="W1870" s="1">
        <f>IF(AND(U1870="INCLUDED",X1870&gt;0,EXACT(A1870,'AI output'!A1870)),1,0)</f>
        <v>1</v>
      </c>
      <c r="X1870" s="1">
        <f>1870</f>
        <v>1870</v>
      </c>
      <c r="Y1870" s="1">
        <f>IF(AND(U1870="INCLUDED",W1870=1),--(NOT(EXACT(A1870,'AI output'!A1870)))+--(NOT(EXACT(B1870,'AI output'!B1870)))+--(NOT(EXACT(TEXT(G1870,"yyyy-mm-dd"),'AI output'!C1870)))+--(NOT(EXACT(H1870,'AI output'!D1870)))+--(NOT(EXACT(J1870,'AI output'!E1870)))+--(NOT(EXACT(K1870,'AI output'!F1870)))+--(N1870&lt;&gt;'AI output'!L1870)+--(NOT('AI output'!M1870)),0)</f>
        <v>0</v>
      </c>
      <c r="Z1870" s="1">
        <f t="shared" si="239"/>
        <v>0</v>
      </c>
      <c r="AA1870" s="1">
        <f>--EXACT(A1870,"L01864")</f>
        <v>1</v>
      </c>
    </row>
    <row r="1871" spans="1:27" ht="18.95" customHeight="1">
      <c r="A1871" s="1" t="str">
        <f>IF(Raw!A1871="","",Raw!A1871)</f>
        <v>L01865</v>
      </c>
      <c r="B1871" s="1" t="str">
        <f>IF(Raw!B1871="","",Raw!B1871)</f>
        <v>T00933</v>
      </c>
      <c r="C1871" s="1" t="str">
        <f>IF(Raw!C1871="","",Raw!C1871)</f>
        <v>2026-02-14</v>
      </c>
      <c r="D1871" s="1">
        <f t="shared" si="232"/>
        <v>2026</v>
      </c>
      <c r="E1871" s="1">
        <f>IFERROR(IF(AND(LEN(C1871)=10,MID(C1871,5,1)="-",MID(C1871,8,1)="-"),VALUE(MID(C1871,6,2)),IF(AND(LEN(C1871)=11,MID(C1871,3,1)="-",MID(C1871,7,1)="-"),MATCH(UPPER(MID(C1871,4,3)),Guide!$D$7:$D$18,0),0)),0)</f>
        <v>2</v>
      </c>
      <c r="F1871" s="1">
        <f t="shared" si="233"/>
        <v>14</v>
      </c>
      <c r="G1871" s="9">
        <f t="shared" si="234"/>
        <v>46067</v>
      </c>
      <c r="H1871" s="1" t="str">
        <f>IF(Raw!D1871="","",Raw!D1871)</f>
        <v>P-H</v>
      </c>
      <c r="I1871" s="1" t="str">
        <f>IFERROR(IF(EXACT(H1871,INDEX(Guide!$A$7:$A$9,MATCH(SUBSTITUTE(SUBSTITUTE(SUBSTITUTE(H1871,"~","~~"),"*","~*"),"?","~?"),Guide!$A$7:$A$9,0))),INDEX(Guide!$B$7:$B$9,MATCH(SUBSTITUTE(SUBSTITUTE(SUBSTITUTE(H1871,"~","~~"),"*","~*"),"?","~?"),Guide!$A$7:$A$9,0)),""),"")</f>
        <v>Home</v>
      </c>
      <c r="J1871" s="1" t="str">
        <f>IF(TRIM(Raw!E1871)="",I1871,IF(UPPER(TRIM(Raw!E1871))=UPPER(I1871),I1871,""))</f>
        <v>Home</v>
      </c>
      <c r="K1871" s="1" t="str">
        <f>IF(Raw!F1871="","",Raw!F1871)</f>
        <v>sale</v>
      </c>
      <c r="L1871" s="1" t="str">
        <f>IF(LEFT(TRIM(Raw!G1871),2)="-$","-"&amp;MID(TRIM(Raw!G1871),3,99),IF(LEFT(TRIM(Raw!G1871),1)="$",MID(TRIM(Raw!G1871),2,99),TRIM(Raw!G1871)))</f>
        <v>378.68</v>
      </c>
      <c r="M1871" s="1">
        <f t="shared" si="235"/>
        <v>378.68</v>
      </c>
      <c r="N1871" s="10">
        <f t="shared" si="236"/>
        <v>37868</v>
      </c>
      <c r="O1871" s="1" t="b">
        <f>IFERROR(IF(ISNUMBER(Raw!G1871),TRUE,OR(EXACT(L1871,TEXT(M1871,"0.00")),EXACT(L1871,TEXT(M1871,"#,##0.00")))),FALSE)</f>
        <v>1</v>
      </c>
      <c r="P1871" s="1" t="str">
        <f>LEN(IF(Raw!A1871="","",Raw!A1871))&amp;":"&amp;IF(Raw!A1871="","",Raw!A1871)&amp;"|"&amp;LEN(IF(Raw!B1871="","",Raw!B1871))&amp;":"&amp;IF(Raw!B1871="","",Raw!B1871)&amp;"|"&amp;LEN(IF(Raw!C1871="","",Raw!C1871))&amp;":"&amp;IF(Raw!C1871="","",Raw!C1871)&amp;"|"&amp;LEN(IF(Raw!D1871="","",Raw!D1871))&amp;":"&amp;IF(Raw!D1871="","",Raw!D1871)&amp;"|"&amp;LEN(IF(Raw!E1871="","",Raw!E1871))&amp;":"&amp;IF(Raw!E1871="","",Raw!E1871)&amp;"|"&amp;LEN(IF(Raw!F1871="","",Raw!F1871))&amp;":"&amp;IF(Raw!F1871="","",Raw!F1871)&amp;"|"&amp;LEN(IF(Raw!G1871="","",Raw!G1871))&amp;":"&amp;IF(Raw!G1871="","",Raw!G1871)</f>
        <v>6:L01865|6:T00933|10:2026-02-14|3:P-H|4:Home|4:sale|6:378.68</v>
      </c>
      <c r="Q1871" s="1">
        <f>1</f>
        <v>1</v>
      </c>
      <c r="R1871" s="1" t="b">
        <f>FALSE</f>
        <v>0</v>
      </c>
      <c r="S1871" s="1">
        <f>1</f>
        <v>1</v>
      </c>
      <c r="T1871" s="1" t="str">
        <f>IF(AND(Raw!A1871="",Raw!B1871="",Raw!C1871="",Raw!D1871="",Raw!E1871="",Raw!F1871="",Raw!G1871=""),"UNUSED",IF(A1871="","missing line ID",IF(B1871="","missing transaction ID",IF(G1871="",IF(C1871="","missing date","invalid date"),IF(I1871="","unknown product",IF(J1871="","conflicting category",IF(NOT(OR(EXACT(K1871,"sale"),EXACT(K1871,"refund"))),"unknown event",IF(OR(N1871="",NOT(O1871)),"invalid amount",IF(OR(AND(K1871="sale",N1871&lt;=0),AND(K1871="refund",N1871&gt;=0)),"invalid sign","")))))))))</f>
        <v/>
      </c>
      <c r="U1871" s="1" t="str">
        <f t="shared" si="237"/>
        <v>INCLUDED</v>
      </c>
      <c r="V1871" s="1" t="str">
        <f t="shared" si="238"/>
        <v>2026-02</v>
      </c>
      <c r="W1871" s="1">
        <f>IF(AND(U1871="INCLUDED",X1871&gt;0,EXACT(A1871,'AI output'!A1871)),1,0)</f>
        <v>1</v>
      </c>
      <c r="X1871" s="1">
        <f>1871</f>
        <v>1871</v>
      </c>
      <c r="Y1871" s="1">
        <f>IF(AND(U1871="INCLUDED",W1871=1),--(NOT(EXACT(A1871,'AI output'!A1871)))+--(NOT(EXACT(B1871,'AI output'!B1871)))+--(NOT(EXACT(TEXT(G1871,"yyyy-mm-dd"),'AI output'!C1871)))+--(NOT(EXACT(H1871,'AI output'!D1871)))+--(NOT(EXACT(J1871,'AI output'!E1871)))+--(NOT(EXACT(K1871,'AI output'!F1871)))+--(N1871&lt;&gt;'AI output'!L1871)+--(NOT('AI output'!M1871)),0)</f>
        <v>0</v>
      </c>
      <c r="Z1871" s="1">
        <f t="shared" si="239"/>
        <v>0</v>
      </c>
      <c r="AA1871" s="1">
        <f>--EXACT(A1871,"L01865")</f>
        <v>1</v>
      </c>
    </row>
    <row r="1872" spans="1:27" ht="18.95" customHeight="1">
      <c r="A1872" s="1" t="str">
        <f>IF(Raw!A1872="","",Raw!A1872)</f>
        <v>L01866</v>
      </c>
      <c r="B1872" s="1" t="str">
        <f>IF(Raw!B1872="","",Raw!B1872)</f>
        <v>T00933</v>
      </c>
      <c r="C1872" s="1" t="str">
        <f>IF(Raw!C1872="","",Raw!C1872)</f>
        <v>2026-02-14</v>
      </c>
      <c r="D1872" s="1">
        <f t="shared" si="232"/>
        <v>2026</v>
      </c>
      <c r="E1872" s="1">
        <f>IFERROR(IF(AND(LEN(C1872)=10,MID(C1872,5,1)="-",MID(C1872,8,1)="-"),VALUE(MID(C1872,6,2)),IF(AND(LEN(C1872)=11,MID(C1872,3,1)="-",MID(C1872,7,1)="-"),MATCH(UPPER(MID(C1872,4,3)),Guide!$D$7:$D$18,0),0)),0)</f>
        <v>2</v>
      </c>
      <c r="F1872" s="1">
        <f t="shared" si="233"/>
        <v>14</v>
      </c>
      <c r="G1872" s="9">
        <f t="shared" si="234"/>
        <v>46067</v>
      </c>
      <c r="H1872" s="1" t="str">
        <f>IF(Raw!D1872="","",Raw!D1872)</f>
        <v>P-O</v>
      </c>
      <c r="I1872" s="1" t="str">
        <f>IFERROR(IF(EXACT(H1872,INDEX(Guide!$A$7:$A$9,MATCH(SUBSTITUTE(SUBSTITUTE(SUBSTITUTE(H1872,"~","~~"),"*","~*"),"?","~?"),Guide!$A$7:$A$9,0))),INDEX(Guide!$B$7:$B$9,MATCH(SUBSTITUTE(SUBSTITUTE(SUBSTITUTE(H1872,"~","~~"),"*","~*"),"?","~?"),Guide!$A$7:$A$9,0)),""),"")</f>
        <v>Office</v>
      </c>
      <c r="J1872" s="1" t="str">
        <f>IF(TRIM(Raw!E1872)="",I1872,IF(UPPER(TRIM(Raw!E1872))=UPPER(I1872),I1872,""))</f>
        <v>Office</v>
      </c>
      <c r="K1872" s="1" t="str">
        <f>IF(Raw!F1872="","",Raw!F1872)</f>
        <v>sale</v>
      </c>
      <c r="L1872" s="1" t="str">
        <f>IF(LEFT(TRIM(Raw!G1872),2)="-$","-"&amp;MID(TRIM(Raw!G1872),3,99),IF(LEFT(TRIM(Raw!G1872),1)="$",MID(TRIM(Raw!G1872),2,99),TRIM(Raw!G1872)))</f>
        <v>95.04</v>
      </c>
      <c r="M1872" s="1">
        <f t="shared" si="235"/>
        <v>95.04</v>
      </c>
      <c r="N1872" s="10">
        <f t="shared" si="236"/>
        <v>9504</v>
      </c>
      <c r="O1872" s="1" t="b">
        <f>IFERROR(IF(ISNUMBER(Raw!G1872),TRUE,OR(EXACT(L1872,TEXT(M1872,"0.00")),EXACT(L1872,TEXT(M1872,"#,##0.00")))),FALSE)</f>
        <v>1</v>
      </c>
      <c r="P1872" s="1" t="str">
        <f>LEN(IF(Raw!A1872="","",Raw!A1872))&amp;":"&amp;IF(Raw!A1872="","",Raw!A1872)&amp;"|"&amp;LEN(IF(Raw!B1872="","",Raw!B1872))&amp;":"&amp;IF(Raw!B1872="","",Raw!B1872)&amp;"|"&amp;LEN(IF(Raw!C1872="","",Raw!C1872))&amp;":"&amp;IF(Raw!C1872="","",Raw!C1872)&amp;"|"&amp;LEN(IF(Raw!D1872="","",Raw!D1872))&amp;":"&amp;IF(Raw!D1872="","",Raw!D1872)&amp;"|"&amp;LEN(IF(Raw!E1872="","",Raw!E1872))&amp;":"&amp;IF(Raw!E1872="","",Raw!E1872)&amp;"|"&amp;LEN(IF(Raw!F1872="","",Raw!F1872))&amp;":"&amp;IF(Raw!F1872="","",Raw!F1872)&amp;"|"&amp;LEN(IF(Raw!G1872="","",Raw!G1872))&amp;":"&amp;IF(Raw!G1872="","",Raw!G1872)</f>
        <v>6:L01866|6:T00933|10:2026-02-14|3:P-O|6:Office|4:sale|5:95.04</v>
      </c>
      <c r="Q1872" s="1">
        <f>1</f>
        <v>1</v>
      </c>
      <c r="R1872" s="1" t="b">
        <f>FALSE</f>
        <v>0</v>
      </c>
      <c r="S1872" s="1">
        <f>1</f>
        <v>1</v>
      </c>
      <c r="T1872" s="1" t="str">
        <f>IF(AND(Raw!A1872="",Raw!B1872="",Raw!C1872="",Raw!D1872="",Raw!E1872="",Raw!F1872="",Raw!G1872=""),"UNUSED",IF(A1872="","missing line ID",IF(B1872="","missing transaction ID",IF(G1872="",IF(C1872="","missing date","invalid date"),IF(I1872="","unknown product",IF(J1872="","conflicting category",IF(NOT(OR(EXACT(K1872,"sale"),EXACT(K1872,"refund"))),"unknown event",IF(OR(N1872="",NOT(O1872)),"invalid amount",IF(OR(AND(K1872="sale",N1872&lt;=0),AND(K1872="refund",N1872&gt;=0)),"invalid sign","")))))))))</f>
        <v/>
      </c>
      <c r="U1872" s="1" t="str">
        <f t="shared" si="237"/>
        <v>INCLUDED</v>
      </c>
      <c r="V1872" s="1" t="str">
        <f t="shared" si="238"/>
        <v>2026-02</v>
      </c>
      <c r="W1872" s="1">
        <f>IF(AND(U1872="INCLUDED",X1872&gt;0,EXACT(A1872,'AI output'!A1872)),1,0)</f>
        <v>1</v>
      </c>
      <c r="X1872" s="1">
        <f>1872</f>
        <v>1872</v>
      </c>
      <c r="Y1872" s="1">
        <f>IF(AND(U1872="INCLUDED",W1872=1),--(NOT(EXACT(A1872,'AI output'!A1872)))+--(NOT(EXACT(B1872,'AI output'!B1872)))+--(NOT(EXACT(TEXT(G1872,"yyyy-mm-dd"),'AI output'!C1872)))+--(NOT(EXACT(H1872,'AI output'!D1872)))+--(NOT(EXACT(J1872,'AI output'!E1872)))+--(NOT(EXACT(K1872,'AI output'!F1872)))+--(N1872&lt;&gt;'AI output'!L1872)+--(NOT('AI output'!M1872)),0)</f>
        <v>0</v>
      </c>
      <c r="Z1872" s="1">
        <f t="shared" si="239"/>
        <v>0</v>
      </c>
      <c r="AA1872" s="1">
        <f>--EXACT(A1872,"L01866")</f>
        <v>1</v>
      </c>
    </row>
    <row r="1873" spans="1:27" ht="18.95" customHeight="1">
      <c r="A1873" s="1" t="str">
        <f>IF(Raw!A1873="","",Raw!A1873)</f>
        <v>L01867</v>
      </c>
      <c r="B1873" s="1" t="str">
        <f>IF(Raw!B1873="","",Raw!B1873)</f>
        <v>T00934</v>
      </c>
      <c r="C1873" s="1" t="str">
        <f>IF(Raw!C1873="","",Raw!C1873)</f>
        <v>2026-02-21</v>
      </c>
      <c r="D1873" s="1">
        <f t="shared" si="232"/>
        <v>2026</v>
      </c>
      <c r="E1873" s="1">
        <f>IFERROR(IF(AND(LEN(C1873)=10,MID(C1873,5,1)="-",MID(C1873,8,1)="-"),VALUE(MID(C1873,6,2)),IF(AND(LEN(C1873)=11,MID(C1873,3,1)="-",MID(C1873,7,1)="-"),MATCH(UPPER(MID(C1873,4,3)),Guide!$D$7:$D$18,0),0)),0)</f>
        <v>2</v>
      </c>
      <c r="F1873" s="1">
        <f t="shared" si="233"/>
        <v>21</v>
      </c>
      <c r="G1873" s="9">
        <f t="shared" si="234"/>
        <v>46074</v>
      </c>
      <c r="H1873" s="1" t="str">
        <f>IF(Raw!D1873="","",Raw!D1873)</f>
        <v>P-A</v>
      </c>
      <c r="I1873" s="1" t="str">
        <f>IFERROR(IF(EXACT(H1873,INDEX(Guide!$A$7:$A$9,MATCH(SUBSTITUTE(SUBSTITUTE(SUBSTITUTE(H1873,"~","~~"),"*","~*"),"?","~?"),Guide!$A$7:$A$9,0))),INDEX(Guide!$B$7:$B$9,MATCH(SUBSTITUTE(SUBSTITUTE(SUBSTITUTE(H1873,"~","~~"),"*","~*"),"?","~?"),Guide!$A$7:$A$9,0)),""),"")</f>
        <v>Accessories</v>
      </c>
      <c r="J1873" s="1" t="str">
        <f>IF(TRIM(Raw!E1873)="",I1873,IF(UPPER(TRIM(Raw!E1873))=UPPER(I1873),I1873,""))</f>
        <v>Accessories</v>
      </c>
      <c r="K1873" s="1" t="str">
        <f>IF(Raw!F1873="","",Raw!F1873)</f>
        <v>sale</v>
      </c>
      <c r="L1873" s="1" t="str">
        <f>IF(LEFT(TRIM(Raw!G1873),2)="-$","-"&amp;MID(TRIM(Raw!G1873),3,99),IF(LEFT(TRIM(Raw!G1873),1)="$",MID(TRIM(Raw!G1873),2,99),TRIM(Raw!G1873)))</f>
        <v>286.23</v>
      </c>
      <c r="M1873" s="1">
        <f t="shared" si="235"/>
        <v>286.23</v>
      </c>
      <c r="N1873" s="10">
        <f t="shared" si="236"/>
        <v>28623</v>
      </c>
      <c r="O1873" s="1" t="b">
        <f>IFERROR(IF(ISNUMBER(Raw!G1873),TRUE,OR(EXACT(L1873,TEXT(M1873,"0.00")),EXACT(L1873,TEXT(M1873,"#,##0.00")))),FALSE)</f>
        <v>1</v>
      </c>
      <c r="P1873" s="1" t="str">
        <f>LEN(IF(Raw!A1873="","",Raw!A1873))&amp;":"&amp;IF(Raw!A1873="","",Raw!A1873)&amp;"|"&amp;LEN(IF(Raw!B1873="","",Raw!B1873))&amp;":"&amp;IF(Raw!B1873="","",Raw!B1873)&amp;"|"&amp;LEN(IF(Raw!C1873="","",Raw!C1873))&amp;":"&amp;IF(Raw!C1873="","",Raw!C1873)&amp;"|"&amp;LEN(IF(Raw!D1873="","",Raw!D1873))&amp;":"&amp;IF(Raw!D1873="","",Raw!D1873)&amp;"|"&amp;LEN(IF(Raw!E1873="","",Raw!E1873))&amp;":"&amp;IF(Raw!E1873="","",Raw!E1873)&amp;"|"&amp;LEN(IF(Raw!F1873="","",Raw!F1873))&amp;":"&amp;IF(Raw!F1873="","",Raw!F1873)&amp;"|"&amp;LEN(IF(Raw!G1873="","",Raw!G1873))&amp;":"&amp;IF(Raw!G1873="","",Raw!G1873)</f>
        <v>6:L01867|6:T00934|10:2026-02-21|3:P-A|11:Accessories|4:sale|6:286.23</v>
      </c>
      <c r="Q1873" s="1">
        <f>1</f>
        <v>1</v>
      </c>
      <c r="R1873" s="1" t="b">
        <f>FALSE</f>
        <v>0</v>
      </c>
      <c r="S1873" s="1">
        <f>1</f>
        <v>1</v>
      </c>
      <c r="T1873" s="1" t="str">
        <f>IF(AND(Raw!A1873="",Raw!B1873="",Raw!C1873="",Raw!D1873="",Raw!E1873="",Raw!F1873="",Raw!G1873=""),"UNUSED",IF(A1873="","missing line ID",IF(B1873="","missing transaction ID",IF(G1873="",IF(C1873="","missing date","invalid date"),IF(I1873="","unknown product",IF(J1873="","conflicting category",IF(NOT(OR(EXACT(K1873,"sale"),EXACT(K1873,"refund"))),"unknown event",IF(OR(N1873="",NOT(O1873)),"invalid amount",IF(OR(AND(K1873="sale",N1873&lt;=0),AND(K1873="refund",N1873&gt;=0)),"invalid sign","")))))))))</f>
        <v/>
      </c>
      <c r="U1873" s="1" t="str">
        <f t="shared" si="237"/>
        <v>INCLUDED</v>
      </c>
      <c r="V1873" s="1" t="str">
        <f t="shared" si="238"/>
        <v>2026-02</v>
      </c>
      <c r="W1873" s="1">
        <f>IF(AND(U1873="INCLUDED",X1873&gt;0,EXACT(A1873,'AI output'!A1873)),1,0)</f>
        <v>1</v>
      </c>
      <c r="X1873" s="1">
        <f>1873</f>
        <v>1873</v>
      </c>
      <c r="Y1873" s="1">
        <f>IF(AND(U1873="INCLUDED",W1873=1),--(NOT(EXACT(A1873,'AI output'!A1873)))+--(NOT(EXACT(B1873,'AI output'!B1873)))+--(NOT(EXACT(TEXT(G1873,"yyyy-mm-dd"),'AI output'!C1873)))+--(NOT(EXACT(H1873,'AI output'!D1873)))+--(NOT(EXACT(J1873,'AI output'!E1873)))+--(NOT(EXACT(K1873,'AI output'!F1873)))+--(N1873&lt;&gt;'AI output'!L1873)+--(NOT('AI output'!M1873)),0)</f>
        <v>0</v>
      </c>
      <c r="Z1873" s="1">
        <f t="shared" si="239"/>
        <v>0</v>
      </c>
      <c r="AA1873" s="1">
        <f>--EXACT(A1873,"L01867")</f>
        <v>1</v>
      </c>
    </row>
    <row r="1874" spans="1:27" ht="18.95" customHeight="1">
      <c r="A1874" s="1" t="str">
        <f>IF(Raw!A1874="","",Raw!A1874)</f>
        <v>L01868</v>
      </c>
      <c r="B1874" s="1" t="str">
        <f>IF(Raw!B1874="","",Raw!B1874)</f>
        <v>T00934</v>
      </c>
      <c r="C1874" s="1" t="str">
        <f>IF(Raw!C1874="","",Raw!C1874)</f>
        <v>2026-02-21</v>
      </c>
      <c r="D1874" s="1">
        <f t="shared" si="232"/>
        <v>2026</v>
      </c>
      <c r="E1874" s="1">
        <f>IFERROR(IF(AND(LEN(C1874)=10,MID(C1874,5,1)="-",MID(C1874,8,1)="-"),VALUE(MID(C1874,6,2)),IF(AND(LEN(C1874)=11,MID(C1874,3,1)="-",MID(C1874,7,1)="-"),MATCH(UPPER(MID(C1874,4,3)),Guide!$D$7:$D$18,0),0)),0)</f>
        <v>2</v>
      </c>
      <c r="F1874" s="1">
        <f t="shared" si="233"/>
        <v>21</v>
      </c>
      <c r="G1874" s="9">
        <f t="shared" si="234"/>
        <v>46074</v>
      </c>
      <c r="H1874" s="1" t="str">
        <f>IF(Raw!D1874="","",Raw!D1874)</f>
        <v>P-H</v>
      </c>
      <c r="I1874" s="1" t="str">
        <f>IFERROR(IF(EXACT(H1874,INDEX(Guide!$A$7:$A$9,MATCH(SUBSTITUTE(SUBSTITUTE(SUBSTITUTE(H1874,"~","~~"),"*","~*"),"?","~?"),Guide!$A$7:$A$9,0))),INDEX(Guide!$B$7:$B$9,MATCH(SUBSTITUTE(SUBSTITUTE(SUBSTITUTE(H1874,"~","~~"),"*","~*"),"?","~?"),Guide!$A$7:$A$9,0)),""),"")</f>
        <v>Home</v>
      </c>
      <c r="J1874" s="1" t="str">
        <f>IF(TRIM(Raw!E1874)="",I1874,IF(UPPER(TRIM(Raw!E1874))=UPPER(I1874),I1874,""))</f>
        <v>Home</v>
      </c>
      <c r="K1874" s="1" t="str">
        <f>IF(Raw!F1874="","",Raw!F1874)</f>
        <v>sale</v>
      </c>
      <c r="L1874" s="1" t="str">
        <f>IF(LEFT(TRIM(Raw!G1874),2)="-$","-"&amp;MID(TRIM(Raw!G1874),3,99),IF(LEFT(TRIM(Raw!G1874),1)="$",MID(TRIM(Raw!G1874),2,99),TRIM(Raw!G1874)))</f>
        <v>478.90</v>
      </c>
      <c r="M1874" s="1">
        <f t="shared" si="235"/>
        <v>478.9</v>
      </c>
      <c r="N1874" s="10">
        <f t="shared" si="236"/>
        <v>47890</v>
      </c>
      <c r="O1874" s="1" t="b">
        <f>IFERROR(IF(ISNUMBER(Raw!G1874),TRUE,OR(EXACT(L1874,TEXT(M1874,"0.00")),EXACT(L1874,TEXT(M1874,"#,##0.00")))),FALSE)</f>
        <v>1</v>
      </c>
      <c r="P1874" s="1" t="str">
        <f>LEN(IF(Raw!A1874="","",Raw!A1874))&amp;":"&amp;IF(Raw!A1874="","",Raw!A1874)&amp;"|"&amp;LEN(IF(Raw!B1874="","",Raw!B1874))&amp;":"&amp;IF(Raw!B1874="","",Raw!B1874)&amp;"|"&amp;LEN(IF(Raw!C1874="","",Raw!C1874))&amp;":"&amp;IF(Raw!C1874="","",Raw!C1874)&amp;"|"&amp;LEN(IF(Raw!D1874="","",Raw!D1874))&amp;":"&amp;IF(Raw!D1874="","",Raw!D1874)&amp;"|"&amp;LEN(IF(Raw!E1874="","",Raw!E1874))&amp;":"&amp;IF(Raw!E1874="","",Raw!E1874)&amp;"|"&amp;LEN(IF(Raw!F1874="","",Raw!F1874))&amp;":"&amp;IF(Raw!F1874="","",Raw!F1874)&amp;"|"&amp;LEN(IF(Raw!G1874="","",Raw!G1874))&amp;":"&amp;IF(Raw!G1874="","",Raw!G1874)</f>
        <v>6:L01868|6:T00934|10:2026-02-21|3:P-H|4:Home|4:sale|6:478.90</v>
      </c>
      <c r="Q1874" s="1">
        <f>1</f>
        <v>1</v>
      </c>
      <c r="R1874" s="1" t="b">
        <f>FALSE</f>
        <v>0</v>
      </c>
      <c r="S1874" s="1">
        <f>1</f>
        <v>1</v>
      </c>
      <c r="T1874" s="1" t="str">
        <f>IF(AND(Raw!A1874="",Raw!B1874="",Raw!C1874="",Raw!D1874="",Raw!E1874="",Raw!F1874="",Raw!G1874=""),"UNUSED",IF(A1874="","missing line ID",IF(B1874="","missing transaction ID",IF(G1874="",IF(C1874="","missing date","invalid date"),IF(I1874="","unknown product",IF(J1874="","conflicting category",IF(NOT(OR(EXACT(K1874,"sale"),EXACT(K1874,"refund"))),"unknown event",IF(OR(N1874="",NOT(O1874)),"invalid amount",IF(OR(AND(K1874="sale",N1874&lt;=0),AND(K1874="refund",N1874&gt;=0)),"invalid sign","")))))))))</f>
        <v/>
      </c>
      <c r="U1874" s="1" t="str">
        <f t="shared" si="237"/>
        <v>INCLUDED</v>
      </c>
      <c r="V1874" s="1" t="str">
        <f t="shared" si="238"/>
        <v>2026-02</v>
      </c>
      <c r="W1874" s="1">
        <f>IF(AND(U1874="INCLUDED",X1874&gt;0,EXACT(A1874,'AI output'!A1874)),1,0)</f>
        <v>1</v>
      </c>
      <c r="X1874" s="1">
        <f>1874</f>
        <v>1874</v>
      </c>
      <c r="Y1874" s="1">
        <f>IF(AND(U1874="INCLUDED",W1874=1),--(NOT(EXACT(A1874,'AI output'!A1874)))+--(NOT(EXACT(B1874,'AI output'!B1874)))+--(NOT(EXACT(TEXT(G1874,"yyyy-mm-dd"),'AI output'!C1874)))+--(NOT(EXACT(H1874,'AI output'!D1874)))+--(NOT(EXACT(J1874,'AI output'!E1874)))+--(NOT(EXACT(K1874,'AI output'!F1874)))+--(N1874&lt;&gt;'AI output'!L1874)+--(NOT('AI output'!M1874)),0)</f>
        <v>0</v>
      </c>
      <c r="Z1874" s="1">
        <f t="shared" si="239"/>
        <v>0</v>
      </c>
      <c r="AA1874" s="1">
        <f>--EXACT(A1874,"L01868")</f>
        <v>1</v>
      </c>
    </row>
    <row r="1875" spans="1:27" ht="18.95" customHeight="1">
      <c r="A1875" s="1" t="str">
        <f>IF(Raw!A1875="","",Raw!A1875)</f>
        <v>L01869</v>
      </c>
      <c r="B1875" s="1" t="str">
        <f>IF(Raw!B1875="","",Raw!B1875)</f>
        <v>T00935</v>
      </c>
      <c r="C1875" s="1" t="str">
        <f>IF(Raw!C1875="","",Raw!C1875)</f>
        <v>2026-02-28</v>
      </c>
      <c r="D1875" s="1">
        <f t="shared" si="232"/>
        <v>2026</v>
      </c>
      <c r="E1875" s="1">
        <f>IFERROR(IF(AND(LEN(C1875)=10,MID(C1875,5,1)="-",MID(C1875,8,1)="-"),VALUE(MID(C1875,6,2)),IF(AND(LEN(C1875)=11,MID(C1875,3,1)="-",MID(C1875,7,1)="-"),MATCH(UPPER(MID(C1875,4,3)),Guide!$D$7:$D$18,0),0)),0)</f>
        <v>2</v>
      </c>
      <c r="F1875" s="1">
        <f t="shared" si="233"/>
        <v>28</v>
      </c>
      <c r="G1875" s="9">
        <f t="shared" si="234"/>
        <v>46081</v>
      </c>
      <c r="H1875" s="1" t="str">
        <f>IF(Raw!D1875="","",Raw!D1875)</f>
        <v>P-O</v>
      </c>
      <c r="I1875" s="1" t="str">
        <f>IFERROR(IF(EXACT(H1875,INDEX(Guide!$A$7:$A$9,MATCH(SUBSTITUTE(SUBSTITUTE(SUBSTITUTE(H1875,"~","~~"),"*","~*"),"?","~?"),Guide!$A$7:$A$9,0))),INDEX(Guide!$B$7:$B$9,MATCH(SUBSTITUTE(SUBSTITUTE(SUBSTITUTE(H1875,"~","~~"),"*","~*"),"?","~?"),Guide!$A$7:$A$9,0)),""),"")</f>
        <v>Office</v>
      </c>
      <c r="J1875" s="1" t="str">
        <f>IF(TRIM(Raw!E1875)="",I1875,IF(UPPER(TRIM(Raw!E1875))=UPPER(I1875),I1875,""))</f>
        <v>Office</v>
      </c>
      <c r="K1875" s="1" t="str">
        <f>IF(Raw!F1875="","",Raw!F1875)</f>
        <v>sale</v>
      </c>
      <c r="L1875" s="1" t="str">
        <f>IF(LEFT(TRIM(Raw!G1875),2)="-$","-"&amp;MID(TRIM(Raw!G1875),3,99),IF(LEFT(TRIM(Raw!G1875),1)="$",MID(TRIM(Raw!G1875),2,99),TRIM(Raw!G1875)))</f>
        <v>192.30</v>
      </c>
      <c r="M1875" s="1">
        <f t="shared" si="235"/>
        <v>192.3</v>
      </c>
      <c r="N1875" s="10">
        <f t="shared" si="236"/>
        <v>19230</v>
      </c>
      <c r="O1875" s="1" t="b">
        <f>IFERROR(IF(ISNUMBER(Raw!G1875),TRUE,OR(EXACT(L1875,TEXT(M1875,"0.00")),EXACT(L1875,TEXT(M1875,"#,##0.00")))),FALSE)</f>
        <v>1</v>
      </c>
      <c r="P1875" s="1" t="str">
        <f>LEN(IF(Raw!A1875="","",Raw!A1875))&amp;":"&amp;IF(Raw!A1875="","",Raw!A1875)&amp;"|"&amp;LEN(IF(Raw!B1875="","",Raw!B1875))&amp;":"&amp;IF(Raw!B1875="","",Raw!B1875)&amp;"|"&amp;LEN(IF(Raw!C1875="","",Raw!C1875))&amp;":"&amp;IF(Raw!C1875="","",Raw!C1875)&amp;"|"&amp;LEN(IF(Raw!D1875="","",Raw!D1875))&amp;":"&amp;IF(Raw!D1875="","",Raw!D1875)&amp;"|"&amp;LEN(IF(Raw!E1875="","",Raw!E1875))&amp;":"&amp;IF(Raw!E1875="","",Raw!E1875)&amp;"|"&amp;LEN(IF(Raw!F1875="","",Raw!F1875))&amp;":"&amp;IF(Raw!F1875="","",Raw!F1875)&amp;"|"&amp;LEN(IF(Raw!G1875="","",Raw!G1875))&amp;":"&amp;IF(Raw!G1875="","",Raw!G1875)</f>
        <v>6:L01869|6:T00935|10:2026-02-28|3:P-O|6:Office|4:sale|6:192.30</v>
      </c>
      <c r="Q1875" s="1">
        <f>1</f>
        <v>1</v>
      </c>
      <c r="R1875" s="1" t="b">
        <f>FALSE</f>
        <v>0</v>
      </c>
      <c r="S1875" s="1">
        <f>1</f>
        <v>1</v>
      </c>
      <c r="T1875" s="1" t="str">
        <f>IF(AND(Raw!A1875="",Raw!B1875="",Raw!C1875="",Raw!D1875="",Raw!E1875="",Raw!F1875="",Raw!G1875=""),"UNUSED",IF(A1875="","missing line ID",IF(B1875="","missing transaction ID",IF(G1875="",IF(C1875="","missing date","invalid date"),IF(I1875="","unknown product",IF(J1875="","conflicting category",IF(NOT(OR(EXACT(K1875,"sale"),EXACT(K1875,"refund"))),"unknown event",IF(OR(N1875="",NOT(O1875)),"invalid amount",IF(OR(AND(K1875="sale",N1875&lt;=0),AND(K1875="refund",N1875&gt;=0)),"invalid sign","")))))))))</f>
        <v/>
      </c>
      <c r="U1875" s="1" t="str">
        <f t="shared" si="237"/>
        <v>INCLUDED</v>
      </c>
      <c r="V1875" s="1" t="str">
        <f t="shared" si="238"/>
        <v>2026-02</v>
      </c>
      <c r="W1875" s="1">
        <f>IF(AND(U1875="INCLUDED",X1875&gt;0,EXACT(A1875,'AI output'!A1875)),1,0)</f>
        <v>1</v>
      </c>
      <c r="X1875" s="1">
        <f>1875</f>
        <v>1875</v>
      </c>
      <c r="Y1875" s="1">
        <f>IF(AND(U1875="INCLUDED",W1875=1),--(NOT(EXACT(A1875,'AI output'!A1875)))+--(NOT(EXACT(B1875,'AI output'!B1875)))+--(NOT(EXACT(TEXT(G1875,"yyyy-mm-dd"),'AI output'!C1875)))+--(NOT(EXACT(H1875,'AI output'!D1875)))+--(NOT(EXACT(J1875,'AI output'!E1875)))+--(NOT(EXACT(K1875,'AI output'!F1875)))+--(N1875&lt;&gt;'AI output'!L1875)+--(NOT('AI output'!M1875)),0)</f>
        <v>0</v>
      </c>
      <c r="Z1875" s="1">
        <f t="shared" si="239"/>
        <v>0</v>
      </c>
      <c r="AA1875" s="1">
        <f>--EXACT(A1875,"L01869")</f>
        <v>1</v>
      </c>
    </row>
    <row r="1876" spans="1:27" ht="18.95" customHeight="1">
      <c r="A1876" s="1" t="str">
        <f>IF(Raw!A1876="","",Raw!A1876)</f>
        <v>L01870</v>
      </c>
      <c r="B1876" s="1" t="str">
        <f>IF(Raw!B1876="","",Raw!B1876)</f>
        <v>T00935</v>
      </c>
      <c r="C1876" s="1" t="str">
        <f>IF(Raw!C1876="","",Raw!C1876)</f>
        <v>2026-02-28</v>
      </c>
      <c r="D1876" s="1">
        <f t="shared" si="232"/>
        <v>2026</v>
      </c>
      <c r="E1876" s="1">
        <f>IFERROR(IF(AND(LEN(C1876)=10,MID(C1876,5,1)="-",MID(C1876,8,1)="-"),VALUE(MID(C1876,6,2)),IF(AND(LEN(C1876)=11,MID(C1876,3,1)="-",MID(C1876,7,1)="-"),MATCH(UPPER(MID(C1876,4,3)),Guide!$D$7:$D$18,0),0)),0)</f>
        <v>2</v>
      </c>
      <c r="F1876" s="1">
        <f t="shared" si="233"/>
        <v>28</v>
      </c>
      <c r="G1876" s="9">
        <f t="shared" si="234"/>
        <v>46081</v>
      </c>
      <c r="H1876" s="1" t="str">
        <f>IF(Raw!D1876="","",Raw!D1876)</f>
        <v>P-A</v>
      </c>
      <c r="I1876" s="1" t="str">
        <f>IFERROR(IF(EXACT(H1876,INDEX(Guide!$A$7:$A$9,MATCH(SUBSTITUTE(SUBSTITUTE(SUBSTITUTE(H1876,"~","~~"),"*","~*"),"?","~?"),Guide!$A$7:$A$9,0))),INDEX(Guide!$B$7:$B$9,MATCH(SUBSTITUTE(SUBSTITUTE(SUBSTITUTE(H1876,"~","~~"),"*","~*"),"?","~?"),Guide!$A$7:$A$9,0)),""),"")</f>
        <v>Accessories</v>
      </c>
      <c r="J1876" s="1" t="str">
        <f>IF(TRIM(Raw!E1876)="",I1876,IF(UPPER(TRIM(Raw!E1876))=UPPER(I1876),I1876,""))</f>
        <v>Accessories</v>
      </c>
      <c r="K1876" s="1" t="str">
        <f>IF(Raw!F1876="","",Raw!F1876)</f>
        <v>sale</v>
      </c>
      <c r="L1876" s="1" t="str">
        <f>IF(LEFT(TRIM(Raw!G1876),2)="-$","-"&amp;MID(TRIM(Raw!G1876),3,99),IF(LEFT(TRIM(Raw!G1876),1)="$",MID(TRIM(Raw!G1876),2,99),TRIM(Raw!G1876)))</f>
        <v>386.08</v>
      </c>
      <c r="M1876" s="1">
        <f t="shared" si="235"/>
        <v>386.08</v>
      </c>
      <c r="N1876" s="10">
        <f t="shared" si="236"/>
        <v>38608</v>
      </c>
      <c r="O1876" s="1" t="b">
        <f>IFERROR(IF(ISNUMBER(Raw!G1876),TRUE,OR(EXACT(L1876,TEXT(M1876,"0.00")),EXACT(L1876,TEXT(M1876,"#,##0.00")))),FALSE)</f>
        <v>1</v>
      </c>
      <c r="P1876" s="1" t="str">
        <f>LEN(IF(Raw!A1876="","",Raw!A1876))&amp;":"&amp;IF(Raw!A1876="","",Raw!A1876)&amp;"|"&amp;LEN(IF(Raw!B1876="","",Raw!B1876))&amp;":"&amp;IF(Raw!B1876="","",Raw!B1876)&amp;"|"&amp;LEN(IF(Raw!C1876="","",Raw!C1876))&amp;":"&amp;IF(Raw!C1876="","",Raw!C1876)&amp;"|"&amp;LEN(IF(Raw!D1876="","",Raw!D1876))&amp;":"&amp;IF(Raw!D1876="","",Raw!D1876)&amp;"|"&amp;LEN(IF(Raw!E1876="","",Raw!E1876))&amp;":"&amp;IF(Raw!E1876="","",Raw!E1876)&amp;"|"&amp;LEN(IF(Raw!F1876="","",Raw!F1876))&amp;":"&amp;IF(Raw!F1876="","",Raw!F1876)&amp;"|"&amp;LEN(IF(Raw!G1876="","",Raw!G1876))&amp;":"&amp;IF(Raw!G1876="","",Raw!G1876)</f>
        <v>6:L01870|6:T00935|10:2026-02-28|3:P-A|11:Accessories|4:sale|6:386.08</v>
      </c>
      <c r="Q1876" s="1">
        <f>1</f>
        <v>1</v>
      </c>
      <c r="R1876" s="1" t="b">
        <f>FALSE</f>
        <v>0</v>
      </c>
      <c r="S1876" s="1">
        <f>1</f>
        <v>1</v>
      </c>
      <c r="T1876" s="1" t="str">
        <f>IF(AND(Raw!A1876="",Raw!B1876="",Raw!C1876="",Raw!D1876="",Raw!E1876="",Raw!F1876="",Raw!G1876=""),"UNUSED",IF(A1876="","missing line ID",IF(B1876="","missing transaction ID",IF(G1876="",IF(C1876="","missing date","invalid date"),IF(I1876="","unknown product",IF(J1876="","conflicting category",IF(NOT(OR(EXACT(K1876,"sale"),EXACT(K1876,"refund"))),"unknown event",IF(OR(N1876="",NOT(O1876)),"invalid amount",IF(OR(AND(K1876="sale",N1876&lt;=0),AND(K1876="refund",N1876&gt;=0)),"invalid sign","")))))))))</f>
        <v/>
      </c>
      <c r="U1876" s="1" t="str">
        <f t="shared" si="237"/>
        <v>INCLUDED</v>
      </c>
      <c r="V1876" s="1" t="str">
        <f t="shared" si="238"/>
        <v>2026-02</v>
      </c>
      <c r="W1876" s="1">
        <f>IF(AND(U1876="INCLUDED",X1876&gt;0,EXACT(A1876,'AI output'!A1876)),1,0)</f>
        <v>1</v>
      </c>
      <c r="X1876" s="1">
        <f>1876</f>
        <v>1876</v>
      </c>
      <c r="Y1876" s="1">
        <f>IF(AND(U1876="INCLUDED",W1876=1),--(NOT(EXACT(A1876,'AI output'!A1876)))+--(NOT(EXACT(B1876,'AI output'!B1876)))+--(NOT(EXACT(TEXT(G1876,"yyyy-mm-dd"),'AI output'!C1876)))+--(NOT(EXACT(H1876,'AI output'!D1876)))+--(NOT(EXACT(J1876,'AI output'!E1876)))+--(NOT(EXACT(K1876,'AI output'!F1876)))+--(N1876&lt;&gt;'AI output'!L1876)+--(NOT('AI output'!M1876)),0)</f>
        <v>0</v>
      </c>
      <c r="Z1876" s="1">
        <f t="shared" si="239"/>
        <v>0</v>
      </c>
      <c r="AA1876" s="1">
        <f>--EXACT(A1876,"L01870")</f>
        <v>1</v>
      </c>
    </row>
    <row r="1877" spans="1:27" ht="18.95" customHeight="1">
      <c r="A1877" s="1" t="str">
        <f>IF(Raw!A1877="","",Raw!A1877)</f>
        <v>L01871</v>
      </c>
      <c r="B1877" s="1" t="str">
        <f>IF(Raw!B1877="","",Raw!B1877)</f>
        <v>T00936</v>
      </c>
      <c r="C1877" s="1" t="str">
        <f>IF(Raw!C1877="","",Raw!C1877)</f>
        <v>2026-03-07</v>
      </c>
      <c r="D1877" s="1">
        <f t="shared" si="232"/>
        <v>2026</v>
      </c>
      <c r="E1877" s="1">
        <f>IFERROR(IF(AND(LEN(C1877)=10,MID(C1877,5,1)="-",MID(C1877,8,1)="-"),VALUE(MID(C1877,6,2)),IF(AND(LEN(C1877)=11,MID(C1877,3,1)="-",MID(C1877,7,1)="-"),MATCH(UPPER(MID(C1877,4,3)),Guide!$D$7:$D$18,0),0)),0)</f>
        <v>3</v>
      </c>
      <c r="F1877" s="1">
        <f t="shared" si="233"/>
        <v>7</v>
      </c>
      <c r="G1877" s="9">
        <f t="shared" si="234"/>
        <v>46088</v>
      </c>
      <c r="H1877" s="1" t="str">
        <f>IF(Raw!D1877="","",Raw!D1877)</f>
        <v>P-H</v>
      </c>
      <c r="I1877" s="1" t="str">
        <f>IFERROR(IF(EXACT(H1877,INDEX(Guide!$A$7:$A$9,MATCH(SUBSTITUTE(SUBSTITUTE(SUBSTITUTE(H1877,"~","~~"),"*","~*"),"?","~?"),Guide!$A$7:$A$9,0))),INDEX(Guide!$B$7:$B$9,MATCH(SUBSTITUTE(SUBSTITUTE(SUBSTITUTE(H1877,"~","~~"),"*","~*"),"?","~?"),Guide!$A$7:$A$9,0)),""),"")</f>
        <v>Home</v>
      </c>
      <c r="J1877" s="1" t="str">
        <f>IF(TRIM(Raw!E1877)="",I1877,IF(UPPER(TRIM(Raw!E1877))=UPPER(I1877),I1877,""))</f>
        <v>Home</v>
      </c>
      <c r="K1877" s="1" t="str">
        <f>IF(Raw!F1877="","",Raw!F1877)</f>
        <v>sale</v>
      </c>
      <c r="L1877" s="1" t="str">
        <f>IF(LEFT(TRIM(Raw!G1877),2)="-$","-"&amp;MID(TRIM(Raw!G1877),3,99),IF(LEFT(TRIM(Raw!G1877),1)="$",MID(TRIM(Raw!G1877),2,99),TRIM(Raw!G1877)))</f>
        <v>96.89</v>
      </c>
      <c r="M1877" s="1">
        <f t="shared" si="235"/>
        <v>96.89</v>
      </c>
      <c r="N1877" s="10">
        <f t="shared" si="236"/>
        <v>9689</v>
      </c>
      <c r="O1877" s="1" t="b">
        <f>IFERROR(IF(ISNUMBER(Raw!G1877),TRUE,OR(EXACT(L1877,TEXT(M1877,"0.00")),EXACT(L1877,TEXT(M1877,"#,##0.00")))),FALSE)</f>
        <v>1</v>
      </c>
      <c r="P1877" s="1" t="str">
        <f>LEN(IF(Raw!A1877="","",Raw!A1877))&amp;":"&amp;IF(Raw!A1877="","",Raw!A1877)&amp;"|"&amp;LEN(IF(Raw!B1877="","",Raw!B1877))&amp;":"&amp;IF(Raw!B1877="","",Raw!B1877)&amp;"|"&amp;LEN(IF(Raw!C1877="","",Raw!C1877))&amp;":"&amp;IF(Raw!C1877="","",Raw!C1877)&amp;"|"&amp;LEN(IF(Raw!D1877="","",Raw!D1877))&amp;":"&amp;IF(Raw!D1877="","",Raw!D1877)&amp;"|"&amp;LEN(IF(Raw!E1877="","",Raw!E1877))&amp;":"&amp;IF(Raw!E1877="","",Raw!E1877)&amp;"|"&amp;LEN(IF(Raw!F1877="","",Raw!F1877))&amp;":"&amp;IF(Raw!F1877="","",Raw!F1877)&amp;"|"&amp;LEN(IF(Raw!G1877="","",Raw!G1877))&amp;":"&amp;IF(Raw!G1877="","",Raw!G1877)</f>
        <v>6:L01871|6:T00936|10:2026-03-07|3:P-H|4:Home|4:sale|5:96.89</v>
      </c>
      <c r="Q1877" s="1">
        <f>1</f>
        <v>1</v>
      </c>
      <c r="R1877" s="1" t="b">
        <f>FALSE</f>
        <v>0</v>
      </c>
      <c r="S1877" s="1">
        <f>1</f>
        <v>1</v>
      </c>
      <c r="T1877" s="1" t="str">
        <f>IF(AND(Raw!A1877="",Raw!B1877="",Raw!C1877="",Raw!D1877="",Raw!E1877="",Raw!F1877="",Raw!G1877=""),"UNUSED",IF(A1877="","missing line ID",IF(B1877="","missing transaction ID",IF(G1877="",IF(C1877="","missing date","invalid date"),IF(I1877="","unknown product",IF(J1877="","conflicting category",IF(NOT(OR(EXACT(K1877,"sale"),EXACT(K1877,"refund"))),"unknown event",IF(OR(N1877="",NOT(O1877)),"invalid amount",IF(OR(AND(K1877="sale",N1877&lt;=0),AND(K1877="refund",N1877&gt;=0)),"invalid sign","")))))))))</f>
        <v/>
      </c>
      <c r="U1877" s="1" t="str">
        <f t="shared" si="237"/>
        <v>INCLUDED</v>
      </c>
      <c r="V1877" s="1" t="str">
        <f t="shared" si="238"/>
        <v>2026-03</v>
      </c>
      <c r="W1877" s="1">
        <f>IF(AND(U1877="INCLUDED",X1877&gt;0,EXACT(A1877,'AI output'!A1877)),1,0)</f>
        <v>1</v>
      </c>
      <c r="X1877" s="1">
        <f>1877</f>
        <v>1877</v>
      </c>
      <c r="Y1877" s="1">
        <f>IF(AND(U1877="INCLUDED",W1877=1),--(NOT(EXACT(A1877,'AI output'!A1877)))+--(NOT(EXACT(B1877,'AI output'!B1877)))+--(NOT(EXACT(TEXT(G1877,"yyyy-mm-dd"),'AI output'!C1877)))+--(NOT(EXACT(H1877,'AI output'!D1877)))+--(NOT(EXACT(J1877,'AI output'!E1877)))+--(NOT(EXACT(K1877,'AI output'!F1877)))+--(N1877&lt;&gt;'AI output'!L1877)+--(NOT('AI output'!M1877)),0)</f>
        <v>0</v>
      </c>
      <c r="Z1877" s="1">
        <f t="shared" si="239"/>
        <v>0</v>
      </c>
      <c r="AA1877" s="1">
        <f>--EXACT(A1877,"L01871")</f>
        <v>1</v>
      </c>
    </row>
    <row r="1878" spans="1:27" ht="18.95" customHeight="1">
      <c r="A1878" s="1" t="str">
        <f>IF(Raw!A1878="","",Raw!A1878)</f>
        <v>L01872</v>
      </c>
      <c r="B1878" s="1" t="str">
        <f>IF(Raw!B1878="","",Raw!B1878)</f>
        <v>T00936</v>
      </c>
      <c r="C1878" s="1" t="str">
        <f>IF(Raw!C1878="","",Raw!C1878)</f>
        <v>2026-03-07</v>
      </c>
      <c r="D1878" s="1">
        <f t="shared" si="232"/>
        <v>2026</v>
      </c>
      <c r="E1878" s="1">
        <f>IFERROR(IF(AND(LEN(C1878)=10,MID(C1878,5,1)="-",MID(C1878,8,1)="-"),VALUE(MID(C1878,6,2)),IF(AND(LEN(C1878)=11,MID(C1878,3,1)="-",MID(C1878,7,1)="-"),MATCH(UPPER(MID(C1878,4,3)),Guide!$D$7:$D$18,0),0)),0)</f>
        <v>3</v>
      </c>
      <c r="F1878" s="1">
        <f t="shared" si="233"/>
        <v>7</v>
      </c>
      <c r="G1878" s="9">
        <f t="shared" si="234"/>
        <v>46088</v>
      </c>
      <c r="H1878" s="1" t="str">
        <f>IF(Raw!D1878="","",Raw!D1878)</f>
        <v>P-O</v>
      </c>
      <c r="I1878" s="1" t="str">
        <f>IFERROR(IF(EXACT(H1878,INDEX(Guide!$A$7:$A$9,MATCH(SUBSTITUTE(SUBSTITUTE(SUBSTITUTE(H1878,"~","~~"),"*","~*"),"?","~?"),Guide!$A$7:$A$9,0))),INDEX(Guide!$B$7:$B$9,MATCH(SUBSTITUTE(SUBSTITUTE(SUBSTITUTE(H1878,"~","~~"),"*","~*"),"?","~?"),Guide!$A$7:$A$9,0)),""),"")</f>
        <v>Office</v>
      </c>
      <c r="J1878" s="1" t="str">
        <f>IF(TRIM(Raw!E1878)="",I1878,IF(UPPER(TRIM(Raw!E1878))=UPPER(I1878),I1878,""))</f>
        <v>Office</v>
      </c>
      <c r="K1878" s="1" t="str">
        <f>IF(Raw!F1878="","",Raw!F1878)</f>
        <v>sale</v>
      </c>
      <c r="L1878" s="1" t="str">
        <f>IF(LEFT(TRIM(Raw!G1878),2)="-$","-"&amp;MID(TRIM(Raw!G1878),3,99),IF(LEFT(TRIM(Raw!G1878),1)="$",MID(TRIM(Raw!G1878),2,99),TRIM(Raw!G1878)))</f>
        <v>291.78</v>
      </c>
      <c r="M1878" s="1">
        <f t="shared" si="235"/>
        <v>291.77999999999997</v>
      </c>
      <c r="N1878" s="10">
        <f t="shared" si="236"/>
        <v>29178</v>
      </c>
      <c r="O1878" s="1" t="b">
        <f>IFERROR(IF(ISNUMBER(Raw!G1878),TRUE,OR(EXACT(L1878,TEXT(M1878,"0.00")),EXACT(L1878,TEXT(M1878,"#,##0.00")))),FALSE)</f>
        <v>1</v>
      </c>
      <c r="P1878" s="1" t="str">
        <f>LEN(IF(Raw!A1878="","",Raw!A1878))&amp;":"&amp;IF(Raw!A1878="","",Raw!A1878)&amp;"|"&amp;LEN(IF(Raw!B1878="","",Raw!B1878))&amp;":"&amp;IF(Raw!B1878="","",Raw!B1878)&amp;"|"&amp;LEN(IF(Raw!C1878="","",Raw!C1878))&amp;":"&amp;IF(Raw!C1878="","",Raw!C1878)&amp;"|"&amp;LEN(IF(Raw!D1878="","",Raw!D1878))&amp;":"&amp;IF(Raw!D1878="","",Raw!D1878)&amp;"|"&amp;LEN(IF(Raw!E1878="","",Raw!E1878))&amp;":"&amp;IF(Raw!E1878="","",Raw!E1878)&amp;"|"&amp;LEN(IF(Raw!F1878="","",Raw!F1878))&amp;":"&amp;IF(Raw!F1878="","",Raw!F1878)&amp;"|"&amp;LEN(IF(Raw!G1878="","",Raw!G1878))&amp;":"&amp;IF(Raw!G1878="","",Raw!G1878)</f>
        <v>6:L01872|6:T00936|10:2026-03-07|3:P-O|6:Office|4:sale|6:291.78</v>
      </c>
      <c r="Q1878" s="1">
        <f>1</f>
        <v>1</v>
      </c>
      <c r="R1878" s="1" t="b">
        <f>FALSE</f>
        <v>0</v>
      </c>
      <c r="S1878" s="1">
        <f>1</f>
        <v>1</v>
      </c>
      <c r="T1878" s="1" t="str">
        <f>IF(AND(Raw!A1878="",Raw!B1878="",Raw!C1878="",Raw!D1878="",Raw!E1878="",Raw!F1878="",Raw!G1878=""),"UNUSED",IF(A1878="","missing line ID",IF(B1878="","missing transaction ID",IF(G1878="",IF(C1878="","missing date","invalid date"),IF(I1878="","unknown product",IF(J1878="","conflicting category",IF(NOT(OR(EXACT(K1878,"sale"),EXACT(K1878,"refund"))),"unknown event",IF(OR(N1878="",NOT(O1878)),"invalid amount",IF(OR(AND(K1878="sale",N1878&lt;=0),AND(K1878="refund",N1878&gt;=0)),"invalid sign","")))))))))</f>
        <v/>
      </c>
      <c r="U1878" s="1" t="str">
        <f t="shared" si="237"/>
        <v>INCLUDED</v>
      </c>
      <c r="V1878" s="1" t="str">
        <f t="shared" si="238"/>
        <v>2026-03</v>
      </c>
      <c r="W1878" s="1">
        <f>IF(AND(U1878="INCLUDED",X1878&gt;0,EXACT(A1878,'AI output'!A1878)),1,0)</f>
        <v>1</v>
      </c>
      <c r="X1878" s="1">
        <f>1878</f>
        <v>1878</v>
      </c>
      <c r="Y1878" s="1">
        <f>IF(AND(U1878="INCLUDED",W1878=1),--(NOT(EXACT(A1878,'AI output'!A1878)))+--(NOT(EXACT(B1878,'AI output'!B1878)))+--(NOT(EXACT(TEXT(G1878,"yyyy-mm-dd"),'AI output'!C1878)))+--(NOT(EXACT(H1878,'AI output'!D1878)))+--(NOT(EXACT(J1878,'AI output'!E1878)))+--(NOT(EXACT(K1878,'AI output'!F1878)))+--(N1878&lt;&gt;'AI output'!L1878)+--(NOT('AI output'!M1878)),0)</f>
        <v>0</v>
      </c>
      <c r="Z1878" s="1">
        <f t="shared" si="239"/>
        <v>0</v>
      </c>
      <c r="AA1878" s="1">
        <f>--EXACT(A1878,"L01872")</f>
        <v>1</v>
      </c>
    </row>
    <row r="1879" spans="1:27" ht="18.95" customHeight="1">
      <c r="A1879" s="1" t="str">
        <f>IF(Raw!A1879="","",Raw!A1879)</f>
        <v>L01873</v>
      </c>
      <c r="B1879" s="1" t="str">
        <f>IF(Raw!B1879="","",Raw!B1879)</f>
        <v>T00937</v>
      </c>
      <c r="C1879" s="1" t="str">
        <f>IF(Raw!C1879="","",Raw!C1879)</f>
        <v>2026-03-14</v>
      </c>
      <c r="D1879" s="1">
        <f t="shared" si="232"/>
        <v>2026</v>
      </c>
      <c r="E1879" s="1">
        <f>IFERROR(IF(AND(LEN(C1879)=10,MID(C1879,5,1)="-",MID(C1879,8,1)="-"),VALUE(MID(C1879,6,2)),IF(AND(LEN(C1879)=11,MID(C1879,3,1)="-",MID(C1879,7,1)="-"),MATCH(UPPER(MID(C1879,4,3)),Guide!$D$7:$D$18,0),0)),0)</f>
        <v>3</v>
      </c>
      <c r="F1879" s="1">
        <f t="shared" si="233"/>
        <v>14</v>
      </c>
      <c r="G1879" s="9">
        <f t="shared" si="234"/>
        <v>46095</v>
      </c>
      <c r="H1879" s="1" t="str">
        <f>IF(Raw!D1879="","",Raw!D1879)</f>
        <v>P-A</v>
      </c>
      <c r="I1879" s="1" t="str">
        <f>IFERROR(IF(EXACT(H1879,INDEX(Guide!$A$7:$A$9,MATCH(SUBSTITUTE(SUBSTITUTE(SUBSTITUTE(H1879,"~","~~"),"*","~*"),"?","~?"),Guide!$A$7:$A$9,0))),INDEX(Guide!$B$7:$B$9,MATCH(SUBSTITUTE(SUBSTITUTE(SUBSTITUTE(H1879,"~","~~"),"*","~*"),"?","~?"),Guide!$A$7:$A$9,0)),""),"")</f>
        <v>Accessories</v>
      </c>
      <c r="J1879" s="1" t="str">
        <f>IF(TRIM(Raw!E1879)="",I1879,IF(UPPER(TRIM(Raw!E1879))=UPPER(I1879),I1879,""))</f>
        <v>Accessories</v>
      </c>
      <c r="K1879" s="1" t="str">
        <f>IF(Raw!F1879="","",Raw!F1879)</f>
        <v>sale</v>
      </c>
      <c r="L1879" s="1" t="str">
        <f>IF(LEFT(TRIM(Raw!G1879),2)="-$","-"&amp;MID(TRIM(Raw!G1879),3,99),IF(LEFT(TRIM(Raw!G1879),1)="$",MID(TRIM(Raw!G1879),2,99),TRIM(Raw!G1879)))</f>
        <v>488.15</v>
      </c>
      <c r="M1879" s="1">
        <f t="shared" si="235"/>
        <v>488.15</v>
      </c>
      <c r="N1879" s="10">
        <f t="shared" si="236"/>
        <v>48815</v>
      </c>
      <c r="O1879" s="1" t="b">
        <f>IFERROR(IF(ISNUMBER(Raw!G1879),TRUE,OR(EXACT(L1879,TEXT(M1879,"0.00")),EXACT(L1879,TEXT(M1879,"#,##0.00")))),FALSE)</f>
        <v>1</v>
      </c>
      <c r="P1879" s="1" t="str">
        <f>LEN(IF(Raw!A1879="","",Raw!A1879))&amp;":"&amp;IF(Raw!A1879="","",Raw!A1879)&amp;"|"&amp;LEN(IF(Raw!B1879="","",Raw!B1879))&amp;":"&amp;IF(Raw!B1879="","",Raw!B1879)&amp;"|"&amp;LEN(IF(Raw!C1879="","",Raw!C1879))&amp;":"&amp;IF(Raw!C1879="","",Raw!C1879)&amp;"|"&amp;LEN(IF(Raw!D1879="","",Raw!D1879))&amp;":"&amp;IF(Raw!D1879="","",Raw!D1879)&amp;"|"&amp;LEN(IF(Raw!E1879="","",Raw!E1879))&amp;":"&amp;IF(Raw!E1879="","",Raw!E1879)&amp;"|"&amp;LEN(IF(Raw!F1879="","",Raw!F1879))&amp;":"&amp;IF(Raw!F1879="","",Raw!F1879)&amp;"|"&amp;LEN(IF(Raw!G1879="","",Raw!G1879))&amp;":"&amp;IF(Raw!G1879="","",Raw!G1879)</f>
        <v>6:L01873|6:T00937|10:2026-03-14|3:P-A|11:Accessories|4:sale|6:488.15</v>
      </c>
      <c r="Q1879" s="1">
        <f>1</f>
        <v>1</v>
      </c>
      <c r="R1879" s="1" t="b">
        <f>FALSE</f>
        <v>0</v>
      </c>
      <c r="S1879" s="1">
        <f>1</f>
        <v>1</v>
      </c>
      <c r="T1879" s="1" t="str">
        <f>IF(AND(Raw!A1879="",Raw!B1879="",Raw!C1879="",Raw!D1879="",Raw!E1879="",Raw!F1879="",Raw!G1879=""),"UNUSED",IF(A1879="","missing line ID",IF(B1879="","missing transaction ID",IF(G1879="",IF(C1879="","missing date","invalid date"),IF(I1879="","unknown product",IF(J1879="","conflicting category",IF(NOT(OR(EXACT(K1879,"sale"),EXACT(K1879,"refund"))),"unknown event",IF(OR(N1879="",NOT(O1879)),"invalid amount",IF(OR(AND(K1879="sale",N1879&lt;=0),AND(K1879="refund",N1879&gt;=0)),"invalid sign","")))))))))</f>
        <v/>
      </c>
      <c r="U1879" s="1" t="str">
        <f t="shared" si="237"/>
        <v>INCLUDED</v>
      </c>
      <c r="V1879" s="1" t="str">
        <f t="shared" si="238"/>
        <v>2026-03</v>
      </c>
      <c r="W1879" s="1">
        <f>IF(AND(U1879="INCLUDED",X1879&gt;0,EXACT(A1879,'AI output'!A1879)),1,0)</f>
        <v>1</v>
      </c>
      <c r="X1879" s="1">
        <f>1879</f>
        <v>1879</v>
      </c>
      <c r="Y1879" s="1">
        <f>IF(AND(U1879="INCLUDED",W1879=1),--(NOT(EXACT(A1879,'AI output'!A1879)))+--(NOT(EXACT(B1879,'AI output'!B1879)))+--(NOT(EXACT(TEXT(G1879,"yyyy-mm-dd"),'AI output'!C1879)))+--(NOT(EXACT(H1879,'AI output'!D1879)))+--(NOT(EXACT(J1879,'AI output'!E1879)))+--(NOT(EXACT(K1879,'AI output'!F1879)))+--(N1879&lt;&gt;'AI output'!L1879)+--(NOT('AI output'!M1879)),0)</f>
        <v>0</v>
      </c>
      <c r="Z1879" s="1">
        <f t="shared" si="239"/>
        <v>0</v>
      </c>
      <c r="AA1879" s="1">
        <f>--EXACT(A1879,"L01873")</f>
        <v>1</v>
      </c>
    </row>
    <row r="1880" spans="1:27" ht="18.95" customHeight="1">
      <c r="A1880" s="1" t="str">
        <f>IF(Raw!A1880="","",Raw!A1880)</f>
        <v>L01874</v>
      </c>
      <c r="B1880" s="1" t="str">
        <f>IF(Raw!B1880="","",Raw!B1880)</f>
        <v>T00937</v>
      </c>
      <c r="C1880" s="1" t="str">
        <f>IF(Raw!C1880="","",Raw!C1880)</f>
        <v>2026-03-14</v>
      </c>
      <c r="D1880" s="1">
        <f t="shared" si="232"/>
        <v>2026</v>
      </c>
      <c r="E1880" s="1">
        <f>IFERROR(IF(AND(LEN(C1880)=10,MID(C1880,5,1)="-",MID(C1880,8,1)="-"),VALUE(MID(C1880,6,2)),IF(AND(LEN(C1880)=11,MID(C1880,3,1)="-",MID(C1880,7,1)="-"),MATCH(UPPER(MID(C1880,4,3)),Guide!$D$7:$D$18,0),0)),0)</f>
        <v>3</v>
      </c>
      <c r="F1880" s="1">
        <f t="shared" si="233"/>
        <v>14</v>
      </c>
      <c r="G1880" s="9">
        <f t="shared" si="234"/>
        <v>46095</v>
      </c>
      <c r="H1880" s="1" t="str">
        <f>IF(Raw!D1880="","",Raw!D1880)</f>
        <v>P-H</v>
      </c>
      <c r="I1880" s="1" t="str">
        <f>IFERROR(IF(EXACT(H1880,INDEX(Guide!$A$7:$A$9,MATCH(SUBSTITUTE(SUBSTITUTE(SUBSTITUTE(H1880,"~","~~"),"*","~*"),"?","~?"),Guide!$A$7:$A$9,0))),INDEX(Guide!$B$7:$B$9,MATCH(SUBSTITUTE(SUBSTITUTE(SUBSTITUTE(H1880,"~","~~"),"*","~*"),"?","~?"),Guide!$A$7:$A$9,0)),""),"")</f>
        <v>Home</v>
      </c>
      <c r="J1880" s="1" t="str">
        <f>IF(TRIM(Raw!E1880)="",I1880,IF(UPPER(TRIM(Raw!E1880))=UPPER(I1880),I1880,""))</f>
        <v>Home</v>
      </c>
      <c r="K1880" s="1" t="str">
        <f>IF(Raw!F1880="","",Raw!F1880)</f>
        <v>sale</v>
      </c>
      <c r="L1880" s="1" t="str">
        <f>IF(LEFT(TRIM(Raw!G1880),2)="-$","-"&amp;MID(TRIM(Raw!G1880),3,99),IF(LEFT(TRIM(Raw!G1880),1)="$",MID(TRIM(Raw!G1880),2,99),TRIM(Raw!G1880)))</f>
        <v>196.00</v>
      </c>
      <c r="M1880" s="1">
        <f t="shared" si="235"/>
        <v>196</v>
      </c>
      <c r="N1880" s="10">
        <f t="shared" si="236"/>
        <v>19600</v>
      </c>
      <c r="O1880" s="1" t="b">
        <f>IFERROR(IF(ISNUMBER(Raw!G1880),TRUE,OR(EXACT(L1880,TEXT(M1880,"0.00")),EXACT(L1880,TEXT(M1880,"#,##0.00")))),FALSE)</f>
        <v>1</v>
      </c>
      <c r="P1880" s="1" t="str">
        <f>LEN(IF(Raw!A1880="","",Raw!A1880))&amp;":"&amp;IF(Raw!A1880="","",Raw!A1880)&amp;"|"&amp;LEN(IF(Raw!B1880="","",Raw!B1880))&amp;":"&amp;IF(Raw!B1880="","",Raw!B1880)&amp;"|"&amp;LEN(IF(Raw!C1880="","",Raw!C1880))&amp;":"&amp;IF(Raw!C1880="","",Raw!C1880)&amp;"|"&amp;LEN(IF(Raw!D1880="","",Raw!D1880))&amp;":"&amp;IF(Raw!D1880="","",Raw!D1880)&amp;"|"&amp;LEN(IF(Raw!E1880="","",Raw!E1880))&amp;":"&amp;IF(Raw!E1880="","",Raw!E1880)&amp;"|"&amp;LEN(IF(Raw!F1880="","",Raw!F1880))&amp;":"&amp;IF(Raw!F1880="","",Raw!F1880)&amp;"|"&amp;LEN(IF(Raw!G1880="","",Raw!G1880))&amp;":"&amp;IF(Raw!G1880="","",Raw!G1880)</f>
        <v>6:L01874|6:T00937|10:2026-03-14|3:P-H|4:Home|4:sale|6:196.00</v>
      </c>
      <c r="Q1880" s="1">
        <f>1</f>
        <v>1</v>
      </c>
      <c r="R1880" s="1" t="b">
        <f>FALSE</f>
        <v>0</v>
      </c>
      <c r="S1880" s="1">
        <f>1</f>
        <v>1</v>
      </c>
      <c r="T1880" s="1" t="str">
        <f>IF(AND(Raw!A1880="",Raw!B1880="",Raw!C1880="",Raw!D1880="",Raw!E1880="",Raw!F1880="",Raw!G1880=""),"UNUSED",IF(A1880="","missing line ID",IF(B1880="","missing transaction ID",IF(G1880="",IF(C1880="","missing date","invalid date"),IF(I1880="","unknown product",IF(J1880="","conflicting category",IF(NOT(OR(EXACT(K1880,"sale"),EXACT(K1880,"refund"))),"unknown event",IF(OR(N1880="",NOT(O1880)),"invalid amount",IF(OR(AND(K1880="sale",N1880&lt;=0),AND(K1880="refund",N1880&gt;=0)),"invalid sign","")))))))))</f>
        <v/>
      </c>
      <c r="U1880" s="1" t="str">
        <f t="shared" si="237"/>
        <v>INCLUDED</v>
      </c>
      <c r="V1880" s="1" t="str">
        <f t="shared" si="238"/>
        <v>2026-03</v>
      </c>
      <c r="W1880" s="1">
        <f>IF(AND(U1880="INCLUDED",X1880&gt;0,EXACT(A1880,'AI output'!A1880)),1,0)</f>
        <v>1</v>
      </c>
      <c r="X1880" s="1">
        <f>1880</f>
        <v>1880</v>
      </c>
      <c r="Y1880" s="1">
        <f>IF(AND(U1880="INCLUDED",W1880=1),--(NOT(EXACT(A1880,'AI output'!A1880)))+--(NOT(EXACT(B1880,'AI output'!B1880)))+--(NOT(EXACT(TEXT(G1880,"yyyy-mm-dd"),'AI output'!C1880)))+--(NOT(EXACT(H1880,'AI output'!D1880)))+--(NOT(EXACT(J1880,'AI output'!E1880)))+--(NOT(EXACT(K1880,'AI output'!F1880)))+--(N1880&lt;&gt;'AI output'!L1880)+--(NOT('AI output'!M1880)),0)</f>
        <v>0</v>
      </c>
      <c r="Z1880" s="1">
        <f t="shared" si="239"/>
        <v>0</v>
      </c>
      <c r="AA1880" s="1">
        <f>--EXACT(A1880,"L01874")</f>
        <v>1</v>
      </c>
    </row>
    <row r="1881" spans="1:27" ht="18.95" customHeight="1">
      <c r="A1881" s="1" t="str">
        <f>IF(Raw!A1881="","",Raw!A1881)</f>
        <v>L01875</v>
      </c>
      <c r="B1881" s="1" t="str">
        <f>IF(Raw!B1881="","",Raw!B1881)</f>
        <v>T00938</v>
      </c>
      <c r="C1881" s="1" t="str">
        <f>IF(Raw!C1881="","",Raw!C1881)</f>
        <v>2026-03-21</v>
      </c>
      <c r="D1881" s="1">
        <f t="shared" si="232"/>
        <v>2026</v>
      </c>
      <c r="E1881" s="1">
        <f>IFERROR(IF(AND(LEN(C1881)=10,MID(C1881,5,1)="-",MID(C1881,8,1)="-"),VALUE(MID(C1881,6,2)),IF(AND(LEN(C1881)=11,MID(C1881,3,1)="-",MID(C1881,7,1)="-"),MATCH(UPPER(MID(C1881,4,3)),Guide!$D$7:$D$18,0),0)),0)</f>
        <v>3</v>
      </c>
      <c r="F1881" s="1">
        <f t="shared" si="233"/>
        <v>21</v>
      </c>
      <c r="G1881" s="9">
        <f t="shared" si="234"/>
        <v>46102</v>
      </c>
      <c r="H1881" s="1" t="str">
        <f>IF(Raw!D1881="","",Raw!D1881)</f>
        <v>P-O</v>
      </c>
      <c r="I1881" s="1" t="str">
        <f>IFERROR(IF(EXACT(H1881,INDEX(Guide!$A$7:$A$9,MATCH(SUBSTITUTE(SUBSTITUTE(SUBSTITUTE(H1881,"~","~~"),"*","~*"),"?","~?"),Guide!$A$7:$A$9,0))),INDEX(Guide!$B$7:$B$9,MATCH(SUBSTITUTE(SUBSTITUTE(SUBSTITUTE(H1881,"~","~~"),"*","~*"),"?","~?"),Guide!$A$7:$A$9,0)),""),"")</f>
        <v>Office</v>
      </c>
      <c r="J1881" s="1" t="str">
        <f>IF(TRIM(Raw!E1881)="",I1881,IF(UPPER(TRIM(Raw!E1881))=UPPER(I1881),I1881,""))</f>
        <v>Office</v>
      </c>
      <c r="K1881" s="1" t="str">
        <f>IF(Raw!F1881="","",Raw!F1881)</f>
        <v>sale</v>
      </c>
      <c r="L1881" s="1" t="str">
        <f>IF(LEFT(TRIM(Raw!G1881),2)="-$","-"&amp;MID(TRIM(Raw!G1881),3,99),IF(LEFT(TRIM(Raw!G1881),1)="$",MID(TRIM(Raw!G1881),2,99),TRIM(Raw!G1881)))</f>
        <v>393.48</v>
      </c>
      <c r="M1881" s="1">
        <f t="shared" si="235"/>
        <v>393.48</v>
      </c>
      <c r="N1881" s="10">
        <f t="shared" si="236"/>
        <v>39348</v>
      </c>
      <c r="O1881" s="1" t="b">
        <f>IFERROR(IF(ISNUMBER(Raw!G1881),TRUE,OR(EXACT(L1881,TEXT(M1881,"0.00")),EXACT(L1881,TEXT(M1881,"#,##0.00")))),FALSE)</f>
        <v>1</v>
      </c>
      <c r="P1881" s="1" t="str">
        <f>LEN(IF(Raw!A1881="","",Raw!A1881))&amp;":"&amp;IF(Raw!A1881="","",Raw!A1881)&amp;"|"&amp;LEN(IF(Raw!B1881="","",Raw!B1881))&amp;":"&amp;IF(Raw!B1881="","",Raw!B1881)&amp;"|"&amp;LEN(IF(Raw!C1881="","",Raw!C1881))&amp;":"&amp;IF(Raw!C1881="","",Raw!C1881)&amp;"|"&amp;LEN(IF(Raw!D1881="","",Raw!D1881))&amp;":"&amp;IF(Raw!D1881="","",Raw!D1881)&amp;"|"&amp;LEN(IF(Raw!E1881="","",Raw!E1881))&amp;":"&amp;IF(Raw!E1881="","",Raw!E1881)&amp;"|"&amp;LEN(IF(Raw!F1881="","",Raw!F1881))&amp;":"&amp;IF(Raw!F1881="","",Raw!F1881)&amp;"|"&amp;LEN(IF(Raw!G1881="","",Raw!G1881))&amp;":"&amp;IF(Raw!G1881="","",Raw!G1881)</f>
        <v>6:L01875|6:T00938|10:2026-03-21|3:P-O|6:Office|4:sale|6:393.48</v>
      </c>
      <c r="Q1881" s="1">
        <f>1</f>
        <v>1</v>
      </c>
      <c r="R1881" s="1" t="b">
        <f>FALSE</f>
        <v>0</v>
      </c>
      <c r="S1881" s="1">
        <f>1</f>
        <v>1</v>
      </c>
      <c r="T1881" s="1" t="str">
        <f>IF(AND(Raw!A1881="",Raw!B1881="",Raw!C1881="",Raw!D1881="",Raw!E1881="",Raw!F1881="",Raw!G1881=""),"UNUSED",IF(A1881="","missing line ID",IF(B1881="","missing transaction ID",IF(G1881="",IF(C1881="","missing date","invalid date"),IF(I1881="","unknown product",IF(J1881="","conflicting category",IF(NOT(OR(EXACT(K1881,"sale"),EXACT(K1881,"refund"))),"unknown event",IF(OR(N1881="",NOT(O1881)),"invalid amount",IF(OR(AND(K1881="sale",N1881&lt;=0),AND(K1881="refund",N1881&gt;=0)),"invalid sign","")))))))))</f>
        <v/>
      </c>
      <c r="U1881" s="1" t="str">
        <f t="shared" si="237"/>
        <v>INCLUDED</v>
      </c>
      <c r="V1881" s="1" t="str">
        <f t="shared" si="238"/>
        <v>2026-03</v>
      </c>
      <c r="W1881" s="1">
        <f>IF(AND(U1881="INCLUDED",X1881&gt;0,EXACT(A1881,'AI output'!A1881)),1,0)</f>
        <v>1</v>
      </c>
      <c r="X1881" s="1">
        <f>1881</f>
        <v>1881</v>
      </c>
      <c r="Y1881" s="1">
        <f>IF(AND(U1881="INCLUDED",W1881=1),--(NOT(EXACT(A1881,'AI output'!A1881)))+--(NOT(EXACT(B1881,'AI output'!B1881)))+--(NOT(EXACT(TEXT(G1881,"yyyy-mm-dd"),'AI output'!C1881)))+--(NOT(EXACT(H1881,'AI output'!D1881)))+--(NOT(EXACT(J1881,'AI output'!E1881)))+--(NOT(EXACT(K1881,'AI output'!F1881)))+--(N1881&lt;&gt;'AI output'!L1881)+--(NOT('AI output'!M1881)),0)</f>
        <v>0</v>
      </c>
      <c r="Z1881" s="1">
        <f t="shared" si="239"/>
        <v>0</v>
      </c>
      <c r="AA1881" s="1">
        <f>--EXACT(A1881,"L01875")</f>
        <v>1</v>
      </c>
    </row>
    <row r="1882" spans="1:27" ht="18.95" customHeight="1">
      <c r="A1882" s="1" t="str">
        <f>IF(Raw!A1882="","",Raw!A1882)</f>
        <v>L01876</v>
      </c>
      <c r="B1882" s="1" t="str">
        <f>IF(Raw!B1882="","",Raw!B1882)</f>
        <v>T00938</v>
      </c>
      <c r="C1882" s="1" t="str">
        <f>IF(Raw!C1882="","",Raw!C1882)</f>
        <v>2026-03-21</v>
      </c>
      <c r="D1882" s="1">
        <f t="shared" si="232"/>
        <v>2026</v>
      </c>
      <c r="E1882" s="1">
        <f>IFERROR(IF(AND(LEN(C1882)=10,MID(C1882,5,1)="-",MID(C1882,8,1)="-"),VALUE(MID(C1882,6,2)),IF(AND(LEN(C1882)=11,MID(C1882,3,1)="-",MID(C1882,7,1)="-"),MATCH(UPPER(MID(C1882,4,3)),Guide!$D$7:$D$18,0),0)),0)</f>
        <v>3</v>
      </c>
      <c r="F1882" s="1">
        <f t="shared" si="233"/>
        <v>21</v>
      </c>
      <c r="G1882" s="9">
        <f t="shared" si="234"/>
        <v>46102</v>
      </c>
      <c r="H1882" s="1" t="str">
        <f>IF(Raw!D1882="","",Raw!D1882)</f>
        <v>P-A</v>
      </c>
      <c r="I1882" s="1" t="str">
        <f>IFERROR(IF(EXACT(H1882,INDEX(Guide!$A$7:$A$9,MATCH(SUBSTITUTE(SUBSTITUTE(SUBSTITUTE(H1882,"~","~~"),"*","~*"),"?","~?"),Guide!$A$7:$A$9,0))),INDEX(Guide!$B$7:$B$9,MATCH(SUBSTITUTE(SUBSTITUTE(SUBSTITUTE(H1882,"~","~~"),"*","~*"),"?","~?"),Guide!$A$7:$A$9,0)),""),"")</f>
        <v>Accessories</v>
      </c>
      <c r="J1882" s="1" t="str">
        <f>IF(TRIM(Raw!E1882)="",I1882,IF(UPPER(TRIM(Raw!E1882))=UPPER(I1882),I1882,""))</f>
        <v>Accessories</v>
      </c>
      <c r="K1882" s="1" t="str">
        <f>IF(Raw!F1882="","",Raw!F1882)</f>
        <v>sale</v>
      </c>
      <c r="L1882" s="1" t="str">
        <f>IF(LEFT(TRIM(Raw!G1882),2)="-$","-"&amp;MID(TRIM(Raw!G1882),3,99),IF(LEFT(TRIM(Raw!G1882),1)="$",MID(TRIM(Raw!G1882),2,99),TRIM(Raw!G1882)))</f>
        <v>98.74</v>
      </c>
      <c r="M1882" s="1">
        <f t="shared" si="235"/>
        <v>98.74</v>
      </c>
      <c r="N1882" s="10">
        <f t="shared" si="236"/>
        <v>9874</v>
      </c>
      <c r="O1882" s="1" t="b">
        <f>IFERROR(IF(ISNUMBER(Raw!G1882),TRUE,OR(EXACT(L1882,TEXT(M1882,"0.00")),EXACT(L1882,TEXT(M1882,"#,##0.00")))),FALSE)</f>
        <v>1</v>
      </c>
      <c r="P1882" s="1" t="str">
        <f>LEN(IF(Raw!A1882="","",Raw!A1882))&amp;":"&amp;IF(Raw!A1882="","",Raw!A1882)&amp;"|"&amp;LEN(IF(Raw!B1882="","",Raw!B1882))&amp;":"&amp;IF(Raw!B1882="","",Raw!B1882)&amp;"|"&amp;LEN(IF(Raw!C1882="","",Raw!C1882))&amp;":"&amp;IF(Raw!C1882="","",Raw!C1882)&amp;"|"&amp;LEN(IF(Raw!D1882="","",Raw!D1882))&amp;":"&amp;IF(Raw!D1882="","",Raw!D1882)&amp;"|"&amp;LEN(IF(Raw!E1882="","",Raw!E1882))&amp;":"&amp;IF(Raw!E1882="","",Raw!E1882)&amp;"|"&amp;LEN(IF(Raw!F1882="","",Raw!F1882))&amp;":"&amp;IF(Raw!F1882="","",Raw!F1882)&amp;"|"&amp;LEN(IF(Raw!G1882="","",Raw!G1882))&amp;":"&amp;IF(Raw!G1882="","",Raw!G1882)</f>
        <v>6:L01876|6:T00938|10:2026-03-21|3:P-A|11:Accessories|4:sale|5:98.74</v>
      </c>
      <c r="Q1882" s="1">
        <f>1</f>
        <v>1</v>
      </c>
      <c r="R1882" s="1" t="b">
        <f>FALSE</f>
        <v>0</v>
      </c>
      <c r="S1882" s="1">
        <f>1</f>
        <v>1</v>
      </c>
      <c r="T1882" s="1" t="str">
        <f>IF(AND(Raw!A1882="",Raw!B1882="",Raw!C1882="",Raw!D1882="",Raw!E1882="",Raw!F1882="",Raw!G1882=""),"UNUSED",IF(A1882="","missing line ID",IF(B1882="","missing transaction ID",IF(G1882="",IF(C1882="","missing date","invalid date"),IF(I1882="","unknown product",IF(J1882="","conflicting category",IF(NOT(OR(EXACT(K1882,"sale"),EXACT(K1882,"refund"))),"unknown event",IF(OR(N1882="",NOT(O1882)),"invalid amount",IF(OR(AND(K1882="sale",N1882&lt;=0),AND(K1882="refund",N1882&gt;=0)),"invalid sign","")))))))))</f>
        <v/>
      </c>
      <c r="U1882" s="1" t="str">
        <f t="shared" si="237"/>
        <v>INCLUDED</v>
      </c>
      <c r="V1882" s="1" t="str">
        <f t="shared" si="238"/>
        <v>2026-03</v>
      </c>
      <c r="W1882" s="1">
        <f>IF(AND(U1882="INCLUDED",X1882&gt;0,EXACT(A1882,'AI output'!A1882)),1,0)</f>
        <v>1</v>
      </c>
      <c r="X1882" s="1">
        <f>1882</f>
        <v>1882</v>
      </c>
      <c r="Y1882" s="1">
        <f>IF(AND(U1882="INCLUDED",W1882=1),--(NOT(EXACT(A1882,'AI output'!A1882)))+--(NOT(EXACT(B1882,'AI output'!B1882)))+--(NOT(EXACT(TEXT(G1882,"yyyy-mm-dd"),'AI output'!C1882)))+--(NOT(EXACT(H1882,'AI output'!D1882)))+--(NOT(EXACT(J1882,'AI output'!E1882)))+--(NOT(EXACT(K1882,'AI output'!F1882)))+--(N1882&lt;&gt;'AI output'!L1882)+--(NOT('AI output'!M1882)),0)</f>
        <v>0</v>
      </c>
      <c r="Z1882" s="1">
        <f t="shared" si="239"/>
        <v>0</v>
      </c>
      <c r="AA1882" s="1">
        <f>--EXACT(A1882,"L01876")</f>
        <v>1</v>
      </c>
    </row>
    <row r="1883" spans="1:27" ht="18.95" customHeight="1">
      <c r="A1883" s="1" t="str">
        <f>IF(Raw!A1883="","",Raw!A1883)</f>
        <v>L01877</v>
      </c>
      <c r="B1883" s="1" t="str">
        <f>IF(Raw!B1883="","",Raw!B1883)</f>
        <v>T00939</v>
      </c>
      <c r="C1883" s="1" t="str">
        <f>IF(Raw!C1883="","",Raw!C1883)</f>
        <v>2026-03-28</v>
      </c>
      <c r="D1883" s="1">
        <f t="shared" si="232"/>
        <v>2026</v>
      </c>
      <c r="E1883" s="1">
        <f>IFERROR(IF(AND(LEN(C1883)=10,MID(C1883,5,1)="-",MID(C1883,8,1)="-"),VALUE(MID(C1883,6,2)),IF(AND(LEN(C1883)=11,MID(C1883,3,1)="-",MID(C1883,7,1)="-"),MATCH(UPPER(MID(C1883,4,3)),Guide!$D$7:$D$18,0),0)),0)</f>
        <v>3</v>
      </c>
      <c r="F1883" s="1">
        <f t="shared" si="233"/>
        <v>28</v>
      </c>
      <c r="G1883" s="9">
        <f t="shared" si="234"/>
        <v>46109</v>
      </c>
      <c r="H1883" s="1" t="str">
        <f>IF(Raw!D1883="","",Raw!D1883)</f>
        <v>P-H</v>
      </c>
      <c r="I1883" s="1" t="str">
        <f>IFERROR(IF(EXACT(H1883,INDEX(Guide!$A$7:$A$9,MATCH(SUBSTITUTE(SUBSTITUTE(SUBSTITUTE(H1883,"~","~~"),"*","~*"),"?","~?"),Guide!$A$7:$A$9,0))),INDEX(Guide!$B$7:$B$9,MATCH(SUBSTITUTE(SUBSTITUTE(SUBSTITUTE(H1883,"~","~~"),"*","~*"),"?","~?"),Guide!$A$7:$A$9,0)),""),"")</f>
        <v>Home</v>
      </c>
      <c r="J1883" s="1" t="str">
        <f>IF(TRIM(Raw!E1883)="",I1883,IF(UPPER(TRIM(Raw!E1883))=UPPER(I1883),I1883,""))</f>
        <v>Home</v>
      </c>
      <c r="K1883" s="1" t="str">
        <f>IF(Raw!F1883="","",Raw!F1883)</f>
        <v>sale</v>
      </c>
      <c r="L1883" s="1" t="str">
        <f>IF(LEFT(TRIM(Raw!G1883),2)="-$","-"&amp;MID(TRIM(Raw!G1883),3,99),IF(LEFT(TRIM(Raw!G1883),1)="$",MID(TRIM(Raw!G1883),2,99),TRIM(Raw!G1883)))</f>
        <v>297.33</v>
      </c>
      <c r="M1883" s="1">
        <f t="shared" si="235"/>
        <v>297.33</v>
      </c>
      <c r="N1883" s="10">
        <f t="shared" si="236"/>
        <v>29733</v>
      </c>
      <c r="O1883" s="1" t="b">
        <f>IFERROR(IF(ISNUMBER(Raw!G1883),TRUE,OR(EXACT(L1883,TEXT(M1883,"0.00")),EXACT(L1883,TEXT(M1883,"#,##0.00")))),FALSE)</f>
        <v>1</v>
      </c>
      <c r="P1883" s="1" t="str">
        <f>LEN(IF(Raw!A1883="","",Raw!A1883))&amp;":"&amp;IF(Raw!A1883="","",Raw!A1883)&amp;"|"&amp;LEN(IF(Raw!B1883="","",Raw!B1883))&amp;":"&amp;IF(Raw!B1883="","",Raw!B1883)&amp;"|"&amp;LEN(IF(Raw!C1883="","",Raw!C1883))&amp;":"&amp;IF(Raw!C1883="","",Raw!C1883)&amp;"|"&amp;LEN(IF(Raw!D1883="","",Raw!D1883))&amp;":"&amp;IF(Raw!D1883="","",Raw!D1883)&amp;"|"&amp;LEN(IF(Raw!E1883="","",Raw!E1883))&amp;":"&amp;IF(Raw!E1883="","",Raw!E1883)&amp;"|"&amp;LEN(IF(Raw!F1883="","",Raw!F1883))&amp;":"&amp;IF(Raw!F1883="","",Raw!F1883)&amp;"|"&amp;LEN(IF(Raw!G1883="","",Raw!G1883))&amp;":"&amp;IF(Raw!G1883="","",Raw!G1883)</f>
        <v>6:L01877|6:T00939|10:2026-03-28|3:P-H|4:Home|4:sale|6:297.33</v>
      </c>
      <c r="Q1883" s="1">
        <f>1</f>
        <v>1</v>
      </c>
      <c r="R1883" s="1" t="b">
        <f>FALSE</f>
        <v>0</v>
      </c>
      <c r="S1883" s="1">
        <f>1</f>
        <v>1</v>
      </c>
      <c r="T1883" s="1" t="str">
        <f>IF(AND(Raw!A1883="",Raw!B1883="",Raw!C1883="",Raw!D1883="",Raw!E1883="",Raw!F1883="",Raw!G1883=""),"UNUSED",IF(A1883="","missing line ID",IF(B1883="","missing transaction ID",IF(G1883="",IF(C1883="","missing date","invalid date"),IF(I1883="","unknown product",IF(J1883="","conflicting category",IF(NOT(OR(EXACT(K1883,"sale"),EXACT(K1883,"refund"))),"unknown event",IF(OR(N1883="",NOT(O1883)),"invalid amount",IF(OR(AND(K1883="sale",N1883&lt;=0),AND(K1883="refund",N1883&gt;=0)),"invalid sign","")))))))))</f>
        <v/>
      </c>
      <c r="U1883" s="1" t="str">
        <f t="shared" si="237"/>
        <v>INCLUDED</v>
      </c>
      <c r="V1883" s="1" t="str">
        <f t="shared" si="238"/>
        <v>2026-03</v>
      </c>
      <c r="W1883" s="1">
        <f>IF(AND(U1883="INCLUDED",X1883&gt;0,EXACT(A1883,'AI output'!A1883)),1,0)</f>
        <v>1</v>
      </c>
      <c r="X1883" s="1">
        <f>1883</f>
        <v>1883</v>
      </c>
      <c r="Y1883" s="1">
        <f>IF(AND(U1883="INCLUDED",W1883=1),--(NOT(EXACT(A1883,'AI output'!A1883)))+--(NOT(EXACT(B1883,'AI output'!B1883)))+--(NOT(EXACT(TEXT(G1883,"yyyy-mm-dd"),'AI output'!C1883)))+--(NOT(EXACT(H1883,'AI output'!D1883)))+--(NOT(EXACT(J1883,'AI output'!E1883)))+--(NOT(EXACT(K1883,'AI output'!F1883)))+--(N1883&lt;&gt;'AI output'!L1883)+--(NOT('AI output'!M1883)),0)</f>
        <v>0</v>
      </c>
      <c r="Z1883" s="1">
        <f t="shared" si="239"/>
        <v>0</v>
      </c>
      <c r="AA1883" s="1">
        <f>--EXACT(A1883,"L01877")</f>
        <v>1</v>
      </c>
    </row>
    <row r="1884" spans="1:27" ht="18.95" customHeight="1">
      <c r="A1884" s="1" t="str">
        <f>IF(Raw!A1884="","",Raw!A1884)</f>
        <v>L01878</v>
      </c>
      <c r="B1884" s="1" t="str">
        <f>IF(Raw!B1884="","",Raw!B1884)</f>
        <v>T00939</v>
      </c>
      <c r="C1884" s="1" t="str">
        <f>IF(Raw!C1884="","",Raw!C1884)</f>
        <v>2026-03-28</v>
      </c>
      <c r="D1884" s="1">
        <f t="shared" si="232"/>
        <v>2026</v>
      </c>
      <c r="E1884" s="1">
        <f>IFERROR(IF(AND(LEN(C1884)=10,MID(C1884,5,1)="-",MID(C1884,8,1)="-"),VALUE(MID(C1884,6,2)),IF(AND(LEN(C1884)=11,MID(C1884,3,1)="-",MID(C1884,7,1)="-"),MATCH(UPPER(MID(C1884,4,3)),Guide!$D$7:$D$18,0),0)),0)</f>
        <v>3</v>
      </c>
      <c r="F1884" s="1">
        <f t="shared" si="233"/>
        <v>28</v>
      </c>
      <c r="G1884" s="9">
        <f t="shared" si="234"/>
        <v>46109</v>
      </c>
      <c r="H1884" s="1" t="str">
        <f>IF(Raw!D1884="","",Raw!D1884)</f>
        <v>P-O</v>
      </c>
      <c r="I1884" s="1" t="str">
        <f>IFERROR(IF(EXACT(H1884,INDEX(Guide!$A$7:$A$9,MATCH(SUBSTITUTE(SUBSTITUTE(SUBSTITUTE(H1884,"~","~~"),"*","~*"),"?","~?"),Guide!$A$7:$A$9,0))),INDEX(Guide!$B$7:$B$9,MATCH(SUBSTITUTE(SUBSTITUTE(SUBSTITUTE(H1884,"~","~~"),"*","~*"),"?","~?"),Guide!$A$7:$A$9,0)),""),"")</f>
        <v>Office</v>
      </c>
      <c r="J1884" s="1" t="str">
        <f>IF(TRIM(Raw!E1884)="",I1884,IF(UPPER(TRIM(Raw!E1884))=UPPER(I1884),I1884,""))</f>
        <v>Office</v>
      </c>
      <c r="K1884" s="1" t="str">
        <f>IF(Raw!F1884="","",Raw!F1884)</f>
        <v>sale</v>
      </c>
      <c r="L1884" s="1" t="str">
        <f>IF(LEFT(TRIM(Raw!G1884),2)="-$","-"&amp;MID(TRIM(Raw!G1884),3,99),IF(LEFT(TRIM(Raw!G1884),1)="$",MID(TRIM(Raw!G1884),2,99),TRIM(Raw!G1884)))</f>
        <v>497.40</v>
      </c>
      <c r="M1884" s="1">
        <f t="shared" si="235"/>
        <v>497.4</v>
      </c>
      <c r="N1884" s="10">
        <f t="shared" si="236"/>
        <v>49740</v>
      </c>
      <c r="O1884" s="1" t="b">
        <f>IFERROR(IF(ISNUMBER(Raw!G1884),TRUE,OR(EXACT(L1884,TEXT(M1884,"0.00")),EXACT(L1884,TEXT(M1884,"#,##0.00")))),FALSE)</f>
        <v>1</v>
      </c>
      <c r="P1884" s="1" t="str">
        <f>LEN(IF(Raw!A1884="","",Raw!A1884))&amp;":"&amp;IF(Raw!A1884="","",Raw!A1884)&amp;"|"&amp;LEN(IF(Raw!B1884="","",Raw!B1884))&amp;":"&amp;IF(Raw!B1884="","",Raw!B1884)&amp;"|"&amp;LEN(IF(Raw!C1884="","",Raw!C1884))&amp;":"&amp;IF(Raw!C1884="","",Raw!C1884)&amp;"|"&amp;LEN(IF(Raw!D1884="","",Raw!D1884))&amp;":"&amp;IF(Raw!D1884="","",Raw!D1884)&amp;"|"&amp;LEN(IF(Raw!E1884="","",Raw!E1884))&amp;":"&amp;IF(Raw!E1884="","",Raw!E1884)&amp;"|"&amp;LEN(IF(Raw!F1884="","",Raw!F1884))&amp;":"&amp;IF(Raw!F1884="","",Raw!F1884)&amp;"|"&amp;LEN(IF(Raw!G1884="","",Raw!G1884))&amp;":"&amp;IF(Raw!G1884="","",Raw!G1884)</f>
        <v>6:L01878|6:T00939|10:2026-03-28|3:P-O|6:Office|4:sale|6:497.40</v>
      </c>
      <c r="Q1884" s="1">
        <f>1</f>
        <v>1</v>
      </c>
      <c r="R1884" s="1" t="b">
        <f>FALSE</f>
        <v>0</v>
      </c>
      <c r="S1884" s="1">
        <f>1</f>
        <v>1</v>
      </c>
      <c r="T1884" s="1" t="str">
        <f>IF(AND(Raw!A1884="",Raw!B1884="",Raw!C1884="",Raw!D1884="",Raw!E1884="",Raw!F1884="",Raw!G1884=""),"UNUSED",IF(A1884="","missing line ID",IF(B1884="","missing transaction ID",IF(G1884="",IF(C1884="","missing date","invalid date"),IF(I1884="","unknown product",IF(J1884="","conflicting category",IF(NOT(OR(EXACT(K1884,"sale"),EXACT(K1884,"refund"))),"unknown event",IF(OR(N1884="",NOT(O1884)),"invalid amount",IF(OR(AND(K1884="sale",N1884&lt;=0),AND(K1884="refund",N1884&gt;=0)),"invalid sign","")))))))))</f>
        <v/>
      </c>
      <c r="U1884" s="1" t="str">
        <f t="shared" si="237"/>
        <v>INCLUDED</v>
      </c>
      <c r="V1884" s="1" t="str">
        <f t="shared" si="238"/>
        <v>2026-03</v>
      </c>
      <c r="W1884" s="1">
        <f>IF(AND(U1884="INCLUDED",X1884&gt;0,EXACT(A1884,'AI output'!A1884)),1,0)</f>
        <v>1</v>
      </c>
      <c r="X1884" s="1">
        <f>1884</f>
        <v>1884</v>
      </c>
      <c r="Y1884" s="1">
        <f>IF(AND(U1884="INCLUDED",W1884=1),--(NOT(EXACT(A1884,'AI output'!A1884)))+--(NOT(EXACT(B1884,'AI output'!B1884)))+--(NOT(EXACT(TEXT(G1884,"yyyy-mm-dd"),'AI output'!C1884)))+--(NOT(EXACT(H1884,'AI output'!D1884)))+--(NOT(EXACT(J1884,'AI output'!E1884)))+--(NOT(EXACT(K1884,'AI output'!F1884)))+--(N1884&lt;&gt;'AI output'!L1884)+--(NOT('AI output'!M1884)),0)</f>
        <v>0</v>
      </c>
      <c r="Z1884" s="1">
        <f t="shared" si="239"/>
        <v>0</v>
      </c>
      <c r="AA1884" s="1">
        <f>--EXACT(A1884,"L01878")</f>
        <v>1</v>
      </c>
    </row>
    <row r="1885" spans="1:27" ht="18.95" customHeight="1">
      <c r="A1885" s="1" t="str">
        <f>IF(Raw!A1885="","",Raw!A1885)</f>
        <v>L01879</v>
      </c>
      <c r="B1885" s="1" t="str">
        <f>IF(Raw!B1885="","",Raw!B1885)</f>
        <v>T00940</v>
      </c>
      <c r="C1885" s="1" t="str">
        <f>IF(Raw!C1885="","",Raw!C1885)</f>
        <v>2026-01-04</v>
      </c>
      <c r="D1885" s="1">
        <f t="shared" si="232"/>
        <v>2026</v>
      </c>
      <c r="E1885" s="1">
        <f>IFERROR(IF(AND(LEN(C1885)=10,MID(C1885,5,1)="-",MID(C1885,8,1)="-"),VALUE(MID(C1885,6,2)),IF(AND(LEN(C1885)=11,MID(C1885,3,1)="-",MID(C1885,7,1)="-"),MATCH(UPPER(MID(C1885,4,3)),Guide!$D$7:$D$18,0),0)),0)</f>
        <v>1</v>
      </c>
      <c r="F1885" s="1">
        <f t="shared" si="233"/>
        <v>4</v>
      </c>
      <c r="G1885" s="9">
        <f t="shared" si="234"/>
        <v>46026</v>
      </c>
      <c r="H1885" s="1" t="str">
        <f>IF(Raw!D1885="","",Raw!D1885)</f>
        <v>P-A</v>
      </c>
      <c r="I1885" s="1" t="str">
        <f>IFERROR(IF(EXACT(H1885,INDEX(Guide!$A$7:$A$9,MATCH(SUBSTITUTE(SUBSTITUTE(SUBSTITUTE(H1885,"~","~~"),"*","~*"),"?","~?"),Guide!$A$7:$A$9,0))),INDEX(Guide!$B$7:$B$9,MATCH(SUBSTITUTE(SUBSTITUTE(SUBSTITUTE(H1885,"~","~~"),"*","~*"),"?","~?"),Guide!$A$7:$A$9,0)),""),"")</f>
        <v>Accessories</v>
      </c>
      <c r="J1885" s="1" t="str">
        <f>IF(TRIM(Raw!E1885)="",I1885,IF(UPPER(TRIM(Raw!E1885))=UPPER(I1885),I1885,""))</f>
        <v>Accessories</v>
      </c>
      <c r="K1885" s="1" t="str">
        <f>IF(Raw!F1885="","",Raw!F1885)</f>
        <v>sale</v>
      </c>
      <c r="L1885" s="1" t="str">
        <f>IF(LEFT(TRIM(Raw!G1885),2)="-$","-"&amp;MID(TRIM(Raw!G1885),3,99),IF(LEFT(TRIM(Raw!G1885),1)="$",MID(TRIM(Raw!G1885),2,99),TRIM(Raw!G1885)))</f>
        <v>199.70</v>
      </c>
      <c r="M1885" s="1">
        <f t="shared" si="235"/>
        <v>199.7</v>
      </c>
      <c r="N1885" s="10">
        <f t="shared" si="236"/>
        <v>19970</v>
      </c>
      <c r="O1885" s="1" t="b">
        <f>IFERROR(IF(ISNUMBER(Raw!G1885),TRUE,OR(EXACT(L1885,TEXT(M1885,"0.00")),EXACT(L1885,TEXT(M1885,"#,##0.00")))),FALSE)</f>
        <v>1</v>
      </c>
      <c r="P1885" s="1" t="str">
        <f>LEN(IF(Raw!A1885="","",Raw!A1885))&amp;":"&amp;IF(Raw!A1885="","",Raw!A1885)&amp;"|"&amp;LEN(IF(Raw!B1885="","",Raw!B1885))&amp;":"&amp;IF(Raw!B1885="","",Raw!B1885)&amp;"|"&amp;LEN(IF(Raw!C1885="","",Raw!C1885))&amp;":"&amp;IF(Raw!C1885="","",Raw!C1885)&amp;"|"&amp;LEN(IF(Raw!D1885="","",Raw!D1885))&amp;":"&amp;IF(Raw!D1885="","",Raw!D1885)&amp;"|"&amp;LEN(IF(Raw!E1885="","",Raw!E1885))&amp;":"&amp;IF(Raw!E1885="","",Raw!E1885)&amp;"|"&amp;LEN(IF(Raw!F1885="","",Raw!F1885))&amp;":"&amp;IF(Raw!F1885="","",Raw!F1885)&amp;"|"&amp;LEN(IF(Raw!G1885="","",Raw!G1885))&amp;":"&amp;IF(Raw!G1885="","",Raw!G1885)</f>
        <v>6:L01879|6:T00940|10:2026-01-04|3:P-A|11:Accessories|4:sale|6:199.70</v>
      </c>
      <c r="Q1885" s="1">
        <f>1</f>
        <v>1</v>
      </c>
      <c r="R1885" s="1" t="b">
        <f>FALSE</f>
        <v>0</v>
      </c>
      <c r="S1885" s="1">
        <f>1</f>
        <v>1</v>
      </c>
      <c r="T1885" s="1" t="str">
        <f>IF(AND(Raw!A1885="",Raw!B1885="",Raw!C1885="",Raw!D1885="",Raw!E1885="",Raw!F1885="",Raw!G1885=""),"UNUSED",IF(A1885="","missing line ID",IF(B1885="","missing transaction ID",IF(G1885="",IF(C1885="","missing date","invalid date"),IF(I1885="","unknown product",IF(J1885="","conflicting category",IF(NOT(OR(EXACT(K1885,"sale"),EXACT(K1885,"refund"))),"unknown event",IF(OR(N1885="",NOT(O1885)),"invalid amount",IF(OR(AND(K1885="sale",N1885&lt;=0),AND(K1885="refund",N1885&gt;=0)),"invalid sign","")))))))))</f>
        <v/>
      </c>
      <c r="U1885" s="1" t="str">
        <f t="shared" si="237"/>
        <v>INCLUDED</v>
      </c>
      <c r="V1885" s="1" t="str">
        <f t="shared" si="238"/>
        <v>2026-01</v>
      </c>
      <c r="W1885" s="1">
        <f>IF(AND(U1885="INCLUDED",X1885&gt;0,EXACT(A1885,'AI output'!A1885)),1,0)</f>
        <v>1</v>
      </c>
      <c r="X1885" s="1">
        <f>1885</f>
        <v>1885</v>
      </c>
      <c r="Y1885" s="1">
        <f>IF(AND(U1885="INCLUDED",W1885=1),--(NOT(EXACT(A1885,'AI output'!A1885)))+--(NOT(EXACT(B1885,'AI output'!B1885)))+--(NOT(EXACT(TEXT(G1885,"yyyy-mm-dd"),'AI output'!C1885)))+--(NOT(EXACT(H1885,'AI output'!D1885)))+--(NOT(EXACT(J1885,'AI output'!E1885)))+--(NOT(EXACT(K1885,'AI output'!F1885)))+--(N1885&lt;&gt;'AI output'!L1885)+--(NOT('AI output'!M1885)),0)</f>
        <v>0</v>
      </c>
      <c r="Z1885" s="1">
        <f t="shared" si="239"/>
        <v>0</v>
      </c>
      <c r="AA1885" s="1">
        <f>--EXACT(A1885,"L01879")</f>
        <v>1</v>
      </c>
    </row>
    <row r="1886" spans="1:27" ht="18.95" customHeight="1">
      <c r="A1886" s="1" t="str">
        <f>IF(Raw!A1886="","",Raw!A1886)</f>
        <v>L01880</v>
      </c>
      <c r="B1886" s="1" t="str">
        <f>IF(Raw!B1886="","",Raw!B1886)</f>
        <v>T00940</v>
      </c>
      <c r="C1886" s="1" t="str">
        <f>IF(Raw!C1886="","",Raw!C1886)</f>
        <v>2026-01-04</v>
      </c>
      <c r="D1886" s="1">
        <f t="shared" si="232"/>
        <v>2026</v>
      </c>
      <c r="E1886" s="1">
        <f>IFERROR(IF(AND(LEN(C1886)=10,MID(C1886,5,1)="-",MID(C1886,8,1)="-"),VALUE(MID(C1886,6,2)),IF(AND(LEN(C1886)=11,MID(C1886,3,1)="-",MID(C1886,7,1)="-"),MATCH(UPPER(MID(C1886,4,3)),Guide!$D$7:$D$18,0),0)),0)</f>
        <v>1</v>
      </c>
      <c r="F1886" s="1">
        <f t="shared" si="233"/>
        <v>4</v>
      </c>
      <c r="G1886" s="9">
        <f t="shared" si="234"/>
        <v>46026</v>
      </c>
      <c r="H1886" s="1" t="str">
        <f>IF(Raw!D1886="","",Raw!D1886)</f>
        <v>P-H</v>
      </c>
      <c r="I1886" s="1" t="str">
        <f>IFERROR(IF(EXACT(H1886,INDEX(Guide!$A$7:$A$9,MATCH(SUBSTITUTE(SUBSTITUTE(SUBSTITUTE(H1886,"~","~~"),"*","~*"),"?","~?"),Guide!$A$7:$A$9,0))),INDEX(Guide!$B$7:$B$9,MATCH(SUBSTITUTE(SUBSTITUTE(SUBSTITUTE(H1886,"~","~~"),"*","~*"),"?","~?"),Guide!$A$7:$A$9,0)),""),"")</f>
        <v>Home</v>
      </c>
      <c r="J1886" s="1" t="str">
        <f>IF(TRIM(Raw!E1886)="",I1886,IF(UPPER(TRIM(Raw!E1886))=UPPER(I1886),I1886,""))</f>
        <v>Home</v>
      </c>
      <c r="K1886" s="1" t="str">
        <f>IF(Raw!F1886="","",Raw!F1886)</f>
        <v>sale</v>
      </c>
      <c r="L1886" s="1" t="str">
        <f>IF(LEFT(TRIM(Raw!G1886),2)="-$","-"&amp;MID(TRIM(Raw!G1886),3,99),IF(LEFT(TRIM(Raw!G1886),1)="$",MID(TRIM(Raw!G1886),2,99),TRIM(Raw!G1886)))</f>
        <v>400.88</v>
      </c>
      <c r="M1886" s="1">
        <f t="shared" si="235"/>
        <v>400.88</v>
      </c>
      <c r="N1886" s="10">
        <f t="shared" si="236"/>
        <v>40088</v>
      </c>
      <c r="O1886" s="1" t="b">
        <f>IFERROR(IF(ISNUMBER(Raw!G1886),TRUE,OR(EXACT(L1886,TEXT(M1886,"0.00")),EXACT(L1886,TEXT(M1886,"#,##0.00")))),FALSE)</f>
        <v>1</v>
      </c>
      <c r="P1886" s="1" t="str">
        <f>LEN(IF(Raw!A1886="","",Raw!A1886))&amp;":"&amp;IF(Raw!A1886="","",Raw!A1886)&amp;"|"&amp;LEN(IF(Raw!B1886="","",Raw!B1886))&amp;":"&amp;IF(Raw!B1886="","",Raw!B1886)&amp;"|"&amp;LEN(IF(Raw!C1886="","",Raw!C1886))&amp;":"&amp;IF(Raw!C1886="","",Raw!C1886)&amp;"|"&amp;LEN(IF(Raw!D1886="","",Raw!D1886))&amp;":"&amp;IF(Raw!D1886="","",Raw!D1886)&amp;"|"&amp;LEN(IF(Raw!E1886="","",Raw!E1886))&amp;":"&amp;IF(Raw!E1886="","",Raw!E1886)&amp;"|"&amp;LEN(IF(Raw!F1886="","",Raw!F1886))&amp;":"&amp;IF(Raw!F1886="","",Raw!F1886)&amp;"|"&amp;LEN(IF(Raw!G1886="","",Raw!G1886))&amp;":"&amp;IF(Raw!G1886="","",Raw!G1886)</f>
        <v>6:L01880|6:T00940|10:2026-01-04|3:P-H|4:Home|4:sale|6:400.88</v>
      </c>
      <c r="Q1886" s="1">
        <f>1</f>
        <v>1</v>
      </c>
      <c r="R1886" s="1" t="b">
        <f>FALSE</f>
        <v>0</v>
      </c>
      <c r="S1886" s="1">
        <f>1</f>
        <v>1</v>
      </c>
      <c r="T1886" s="1" t="str">
        <f>IF(AND(Raw!A1886="",Raw!B1886="",Raw!C1886="",Raw!D1886="",Raw!E1886="",Raw!F1886="",Raw!G1886=""),"UNUSED",IF(A1886="","missing line ID",IF(B1886="","missing transaction ID",IF(G1886="",IF(C1886="","missing date","invalid date"),IF(I1886="","unknown product",IF(J1886="","conflicting category",IF(NOT(OR(EXACT(K1886,"sale"),EXACT(K1886,"refund"))),"unknown event",IF(OR(N1886="",NOT(O1886)),"invalid amount",IF(OR(AND(K1886="sale",N1886&lt;=0),AND(K1886="refund",N1886&gt;=0)),"invalid sign","")))))))))</f>
        <v/>
      </c>
      <c r="U1886" s="1" t="str">
        <f t="shared" si="237"/>
        <v>INCLUDED</v>
      </c>
      <c r="V1886" s="1" t="str">
        <f t="shared" si="238"/>
        <v>2026-01</v>
      </c>
      <c r="W1886" s="1">
        <f>IF(AND(U1886="INCLUDED",X1886&gt;0,EXACT(A1886,'AI output'!A1886)),1,0)</f>
        <v>1</v>
      </c>
      <c r="X1886" s="1">
        <f>1886</f>
        <v>1886</v>
      </c>
      <c r="Y1886" s="1">
        <f>IF(AND(U1886="INCLUDED",W1886=1),--(NOT(EXACT(A1886,'AI output'!A1886)))+--(NOT(EXACT(B1886,'AI output'!B1886)))+--(NOT(EXACT(TEXT(G1886,"yyyy-mm-dd"),'AI output'!C1886)))+--(NOT(EXACT(H1886,'AI output'!D1886)))+--(NOT(EXACT(J1886,'AI output'!E1886)))+--(NOT(EXACT(K1886,'AI output'!F1886)))+--(N1886&lt;&gt;'AI output'!L1886)+--(NOT('AI output'!M1886)),0)</f>
        <v>0</v>
      </c>
      <c r="Z1886" s="1">
        <f t="shared" si="239"/>
        <v>0</v>
      </c>
      <c r="AA1886" s="1">
        <f>--EXACT(A1886,"L01880")</f>
        <v>1</v>
      </c>
    </row>
    <row r="1887" spans="1:27" ht="18.95" customHeight="1">
      <c r="A1887" s="1" t="str">
        <f>IF(Raw!A1887="","",Raw!A1887)</f>
        <v>L01881</v>
      </c>
      <c r="B1887" s="1" t="str">
        <f>IF(Raw!B1887="","",Raw!B1887)</f>
        <v>T00941</v>
      </c>
      <c r="C1887" s="1" t="str">
        <f>IF(Raw!C1887="","",Raw!C1887)</f>
        <v>2026-01-11</v>
      </c>
      <c r="D1887" s="1">
        <f t="shared" si="232"/>
        <v>2026</v>
      </c>
      <c r="E1887" s="1">
        <f>IFERROR(IF(AND(LEN(C1887)=10,MID(C1887,5,1)="-",MID(C1887,8,1)="-"),VALUE(MID(C1887,6,2)),IF(AND(LEN(C1887)=11,MID(C1887,3,1)="-",MID(C1887,7,1)="-"),MATCH(UPPER(MID(C1887,4,3)),Guide!$D$7:$D$18,0),0)),0)</f>
        <v>1</v>
      </c>
      <c r="F1887" s="1">
        <f t="shared" si="233"/>
        <v>11</v>
      </c>
      <c r="G1887" s="9">
        <f t="shared" si="234"/>
        <v>46033</v>
      </c>
      <c r="H1887" s="1" t="str">
        <f>IF(Raw!D1887="","",Raw!D1887)</f>
        <v>P-O</v>
      </c>
      <c r="I1887" s="1" t="str">
        <f>IFERROR(IF(EXACT(H1887,INDEX(Guide!$A$7:$A$9,MATCH(SUBSTITUTE(SUBSTITUTE(SUBSTITUTE(H1887,"~","~~"),"*","~*"),"?","~?"),Guide!$A$7:$A$9,0))),INDEX(Guide!$B$7:$B$9,MATCH(SUBSTITUTE(SUBSTITUTE(SUBSTITUTE(H1887,"~","~~"),"*","~*"),"?","~?"),Guide!$A$7:$A$9,0)),""),"")</f>
        <v>Office</v>
      </c>
      <c r="J1887" s="1" t="str">
        <f>IF(TRIM(Raw!E1887)="",I1887,IF(UPPER(TRIM(Raw!E1887))=UPPER(I1887),I1887,""))</f>
        <v>Office</v>
      </c>
      <c r="K1887" s="1" t="str">
        <f>IF(Raw!F1887="","",Raw!F1887)</f>
        <v>sale</v>
      </c>
      <c r="L1887" s="1" t="str">
        <f>IF(LEFT(TRIM(Raw!G1887),2)="-$","-"&amp;MID(TRIM(Raw!G1887),3,99),IF(LEFT(TRIM(Raw!G1887),1)="$",MID(TRIM(Raw!G1887),2,99),TRIM(Raw!G1887)))</f>
        <v>100.59</v>
      </c>
      <c r="M1887" s="1">
        <f t="shared" si="235"/>
        <v>100.59</v>
      </c>
      <c r="N1887" s="10">
        <f t="shared" si="236"/>
        <v>10059</v>
      </c>
      <c r="O1887" s="1" t="b">
        <f>IFERROR(IF(ISNUMBER(Raw!G1887),TRUE,OR(EXACT(L1887,TEXT(M1887,"0.00")),EXACT(L1887,TEXT(M1887,"#,##0.00")))),FALSE)</f>
        <v>1</v>
      </c>
      <c r="P1887" s="1" t="str">
        <f>LEN(IF(Raw!A1887="","",Raw!A1887))&amp;":"&amp;IF(Raw!A1887="","",Raw!A1887)&amp;"|"&amp;LEN(IF(Raw!B1887="","",Raw!B1887))&amp;":"&amp;IF(Raw!B1887="","",Raw!B1887)&amp;"|"&amp;LEN(IF(Raw!C1887="","",Raw!C1887))&amp;":"&amp;IF(Raw!C1887="","",Raw!C1887)&amp;"|"&amp;LEN(IF(Raw!D1887="","",Raw!D1887))&amp;":"&amp;IF(Raw!D1887="","",Raw!D1887)&amp;"|"&amp;LEN(IF(Raw!E1887="","",Raw!E1887))&amp;":"&amp;IF(Raw!E1887="","",Raw!E1887)&amp;"|"&amp;LEN(IF(Raw!F1887="","",Raw!F1887))&amp;":"&amp;IF(Raw!F1887="","",Raw!F1887)&amp;"|"&amp;LEN(IF(Raw!G1887="","",Raw!G1887))&amp;":"&amp;IF(Raw!G1887="","",Raw!G1887)</f>
        <v>6:L01881|6:T00941|10:2026-01-11|3:P-O|6:Office|4:sale|6:100.59</v>
      </c>
      <c r="Q1887" s="1">
        <f>1</f>
        <v>1</v>
      </c>
      <c r="R1887" s="1" t="b">
        <f>FALSE</f>
        <v>0</v>
      </c>
      <c r="S1887" s="1">
        <f>1</f>
        <v>1</v>
      </c>
      <c r="T1887" s="1" t="str">
        <f>IF(AND(Raw!A1887="",Raw!B1887="",Raw!C1887="",Raw!D1887="",Raw!E1887="",Raw!F1887="",Raw!G1887=""),"UNUSED",IF(A1887="","missing line ID",IF(B1887="","missing transaction ID",IF(G1887="",IF(C1887="","missing date","invalid date"),IF(I1887="","unknown product",IF(J1887="","conflicting category",IF(NOT(OR(EXACT(K1887,"sale"),EXACT(K1887,"refund"))),"unknown event",IF(OR(N1887="",NOT(O1887)),"invalid amount",IF(OR(AND(K1887="sale",N1887&lt;=0),AND(K1887="refund",N1887&gt;=0)),"invalid sign","")))))))))</f>
        <v/>
      </c>
      <c r="U1887" s="1" t="str">
        <f t="shared" si="237"/>
        <v>INCLUDED</v>
      </c>
      <c r="V1887" s="1" t="str">
        <f t="shared" si="238"/>
        <v>2026-01</v>
      </c>
      <c r="W1887" s="1">
        <f>IF(AND(U1887="INCLUDED",X1887&gt;0,EXACT(A1887,'AI output'!A1887)),1,0)</f>
        <v>1</v>
      </c>
      <c r="X1887" s="1">
        <f>1887</f>
        <v>1887</v>
      </c>
      <c r="Y1887" s="1">
        <f>IF(AND(U1887="INCLUDED",W1887=1),--(NOT(EXACT(A1887,'AI output'!A1887)))+--(NOT(EXACT(B1887,'AI output'!B1887)))+--(NOT(EXACT(TEXT(G1887,"yyyy-mm-dd"),'AI output'!C1887)))+--(NOT(EXACT(H1887,'AI output'!D1887)))+--(NOT(EXACT(J1887,'AI output'!E1887)))+--(NOT(EXACT(K1887,'AI output'!F1887)))+--(N1887&lt;&gt;'AI output'!L1887)+--(NOT('AI output'!M1887)),0)</f>
        <v>0</v>
      </c>
      <c r="Z1887" s="1">
        <f t="shared" si="239"/>
        <v>0</v>
      </c>
      <c r="AA1887" s="1">
        <f>--EXACT(A1887,"L01881")</f>
        <v>1</v>
      </c>
    </row>
    <row r="1888" spans="1:27" ht="18.95" customHeight="1">
      <c r="A1888" s="1" t="str">
        <f>IF(Raw!A1888="","",Raw!A1888)</f>
        <v>L01882</v>
      </c>
      <c r="B1888" s="1" t="str">
        <f>IF(Raw!B1888="","",Raw!B1888)</f>
        <v>T00941</v>
      </c>
      <c r="C1888" s="1" t="str">
        <f>IF(Raw!C1888="","",Raw!C1888)</f>
        <v>2026-01-11</v>
      </c>
      <c r="D1888" s="1">
        <f t="shared" si="232"/>
        <v>2026</v>
      </c>
      <c r="E1888" s="1">
        <f>IFERROR(IF(AND(LEN(C1888)=10,MID(C1888,5,1)="-",MID(C1888,8,1)="-"),VALUE(MID(C1888,6,2)),IF(AND(LEN(C1888)=11,MID(C1888,3,1)="-",MID(C1888,7,1)="-"),MATCH(UPPER(MID(C1888,4,3)),Guide!$D$7:$D$18,0),0)),0)</f>
        <v>1</v>
      </c>
      <c r="F1888" s="1">
        <f t="shared" si="233"/>
        <v>11</v>
      </c>
      <c r="G1888" s="9">
        <f t="shared" si="234"/>
        <v>46033</v>
      </c>
      <c r="H1888" s="1" t="str">
        <f>IF(Raw!D1888="","",Raw!D1888)</f>
        <v>P-A</v>
      </c>
      <c r="I1888" s="1" t="str">
        <f>IFERROR(IF(EXACT(H1888,INDEX(Guide!$A$7:$A$9,MATCH(SUBSTITUTE(SUBSTITUTE(SUBSTITUTE(H1888,"~","~~"),"*","~*"),"?","~?"),Guide!$A$7:$A$9,0))),INDEX(Guide!$B$7:$B$9,MATCH(SUBSTITUTE(SUBSTITUTE(SUBSTITUTE(H1888,"~","~~"),"*","~*"),"?","~?"),Guide!$A$7:$A$9,0)),""),"")</f>
        <v>Accessories</v>
      </c>
      <c r="J1888" s="1" t="str">
        <f>IF(TRIM(Raw!E1888)="",I1888,IF(UPPER(TRIM(Raw!E1888))=UPPER(I1888),I1888,""))</f>
        <v>Accessories</v>
      </c>
      <c r="K1888" s="1" t="str">
        <f>IF(Raw!F1888="","",Raw!F1888)</f>
        <v>sale</v>
      </c>
      <c r="L1888" s="1" t="str">
        <f>IF(LEFT(TRIM(Raw!G1888),2)="-$","-"&amp;MID(TRIM(Raw!G1888),3,99),IF(LEFT(TRIM(Raw!G1888),1)="$",MID(TRIM(Raw!G1888),2,99),TRIM(Raw!G1888)))</f>
        <v>302.88</v>
      </c>
      <c r="M1888" s="1">
        <f t="shared" si="235"/>
        <v>302.88</v>
      </c>
      <c r="N1888" s="10">
        <f t="shared" si="236"/>
        <v>30288</v>
      </c>
      <c r="O1888" s="1" t="b">
        <f>IFERROR(IF(ISNUMBER(Raw!G1888),TRUE,OR(EXACT(L1888,TEXT(M1888,"0.00")),EXACT(L1888,TEXT(M1888,"#,##0.00")))),FALSE)</f>
        <v>1</v>
      </c>
      <c r="P1888" s="1" t="str">
        <f>LEN(IF(Raw!A1888="","",Raw!A1888))&amp;":"&amp;IF(Raw!A1888="","",Raw!A1888)&amp;"|"&amp;LEN(IF(Raw!B1888="","",Raw!B1888))&amp;":"&amp;IF(Raw!B1888="","",Raw!B1888)&amp;"|"&amp;LEN(IF(Raw!C1888="","",Raw!C1888))&amp;":"&amp;IF(Raw!C1888="","",Raw!C1888)&amp;"|"&amp;LEN(IF(Raw!D1888="","",Raw!D1888))&amp;":"&amp;IF(Raw!D1888="","",Raw!D1888)&amp;"|"&amp;LEN(IF(Raw!E1888="","",Raw!E1888))&amp;":"&amp;IF(Raw!E1888="","",Raw!E1888)&amp;"|"&amp;LEN(IF(Raw!F1888="","",Raw!F1888))&amp;":"&amp;IF(Raw!F1888="","",Raw!F1888)&amp;"|"&amp;LEN(IF(Raw!G1888="","",Raw!G1888))&amp;":"&amp;IF(Raw!G1888="","",Raw!G1888)</f>
        <v>6:L01882|6:T00941|10:2026-01-11|3:P-A|11:Accessories|4:sale|6:302.88</v>
      </c>
      <c r="Q1888" s="1">
        <f>1</f>
        <v>1</v>
      </c>
      <c r="R1888" s="1" t="b">
        <f>FALSE</f>
        <v>0</v>
      </c>
      <c r="S1888" s="1">
        <f>1</f>
        <v>1</v>
      </c>
      <c r="T1888" s="1" t="str">
        <f>IF(AND(Raw!A1888="",Raw!B1888="",Raw!C1888="",Raw!D1888="",Raw!E1888="",Raw!F1888="",Raw!G1888=""),"UNUSED",IF(A1888="","missing line ID",IF(B1888="","missing transaction ID",IF(G1888="",IF(C1888="","missing date","invalid date"),IF(I1888="","unknown product",IF(J1888="","conflicting category",IF(NOT(OR(EXACT(K1888,"sale"),EXACT(K1888,"refund"))),"unknown event",IF(OR(N1888="",NOT(O1888)),"invalid amount",IF(OR(AND(K1888="sale",N1888&lt;=0),AND(K1888="refund",N1888&gt;=0)),"invalid sign","")))))))))</f>
        <v/>
      </c>
      <c r="U1888" s="1" t="str">
        <f t="shared" si="237"/>
        <v>INCLUDED</v>
      </c>
      <c r="V1888" s="1" t="str">
        <f t="shared" si="238"/>
        <v>2026-01</v>
      </c>
      <c r="W1888" s="1">
        <f>IF(AND(U1888="INCLUDED",X1888&gt;0,EXACT(A1888,'AI output'!A1888)),1,0)</f>
        <v>1</v>
      </c>
      <c r="X1888" s="1">
        <f>1888</f>
        <v>1888</v>
      </c>
      <c r="Y1888" s="1">
        <f>IF(AND(U1888="INCLUDED",W1888=1),--(NOT(EXACT(A1888,'AI output'!A1888)))+--(NOT(EXACT(B1888,'AI output'!B1888)))+--(NOT(EXACT(TEXT(G1888,"yyyy-mm-dd"),'AI output'!C1888)))+--(NOT(EXACT(H1888,'AI output'!D1888)))+--(NOT(EXACT(J1888,'AI output'!E1888)))+--(NOT(EXACT(K1888,'AI output'!F1888)))+--(N1888&lt;&gt;'AI output'!L1888)+--(NOT('AI output'!M1888)),0)</f>
        <v>0</v>
      </c>
      <c r="Z1888" s="1">
        <f t="shared" si="239"/>
        <v>0</v>
      </c>
      <c r="AA1888" s="1">
        <f>--EXACT(A1888,"L01882")</f>
        <v>1</v>
      </c>
    </row>
    <row r="1889" spans="1:27" ht="18.95" customHeight="1">
      <c r="A1889" s="1" t="str">
        <f>IF(Raw!A1889="","",Raw!A1889)</f>
        <v>L01883</v>
      </c>
      <c r="B1889" s="1" t="str">
        <f>IF(Raw!B1889="","",Raw!B1889)</f>
        <v>T00942</v>
      </c>
      <c r="C1889" s="1" t="str">
        <f>IF(Raw!C1889="","",Raw!C1889)</f>
        <v>2026-01-18</v>
      </c>
      <c r="D1889" s="1">
        <f t="shared" si="232"/>
        <v>2026</v>
      </c>
      <c r="E1889" s="1">
        <f>IFERROR(IF(AND(LEN(C1889)=10,MID(C1889,5,1)="-",MID(C1889,8,1)="-"),VALUE(MID(C1889,6,2)),IF(AND(LEN(C1889)=11,MID(C1889,3,1)="-",MID(C1889,7,1)="-"),MATCH(UPPER(MID(C1889,4,3)),Guide!$D$7:$D$18,0),0)),0)</f>
        <v>1</v>
      </c>
      <c r="F1889" s="1">
        <f t="shared" si="233"/>
        <v>18</v>
      </c>
      <c r="G1889" s="9">
        <f t="shared" si="234"/>
        <v>46040</v>
      </c>
      <c r="H1889" s="1" t="str">
        <f>IF(Raw!D1889="","",Raw!D1889)</f>
        <v>P-H</v>
      </c>
      <c r="I1889" s="1" t="str">
        <f>IFERROR(IF(EXACT(H1889,INDEX(Guide!$A$7:$A$9,MATCH(SUBSTITUTE(SUBSTITUTE(SUBSTITUTE(H1889,"~","~~"),"*","~*"),"?","~?"),Guide!$A$7:$A$9,0))),INDEX(Guide!$B$7:$B$9,MATCH(SUBSTITUTE(SUBSTITUTE(SUBSTITUTE(H1889,"~","~~"),"*","~*"),"?","~?"),Guide!$A$7:$A$9,0)),""),"")</f>
        <v>Home</v>
      </c>
      <c r="J1889" s="1" t="str">
        <f>IF(TRIM(Raw!E1889)="",I1889,IF(UPPER(TRIM(Raw!E1889))=UPPER(I1889),I1889,""))</f>
        <v>Home</v>
      </c>
      <c r="K1889" s="1" t="str">
        <f>IF(Raw!F1889="","",Raw!F1889)</f>
        <v>sale</v>
      </c>
      <c r="L1889" s="1" t="str">
        <f>IF(LEFT(TRIM(Raw!G1889),2)="-$","-"&amp;MID(TRIM(Raw!G1889),3,99),IF(LEFT(TRIM(Raw!G1889),1)="$",MID(TRIM(Raw!G1889),2,99),TRIM(Raw!G1889)))</f>
        <v>506.65</v>
      </c>
      <c r="M1889" s="1">
        <f t="shared" si="235"/>
        <v>506.65</v>
      </c>
      <c r="N1889" s="10">
        <f t="shared" si="236"/>
        <v>50665</v>
      </c>
      <c r="O1889" s="1" t="b">
        <f>IFERROR(IF(ISNUMBER(Raw!G1889),TRUE,OR(EXACT(L1889,TEXT(M1889,"0.00")),EXACT(L1889,TEXT(M1889,"#,##0.00")))),FALSE)</f>
        <v>1</v>
      </c>
      <c r="P1889" s="1" t="str">
        <f>LEN(IF(Raw!A1889="","",Raw!A1889))&amp;":"&amp;IF(Raw!A1889="","",Raw!A1889)&amp;"|"&amp;LEN(IF(Raw!B1889="","",Raw!B1889))&amp;":"&amp;IF(Raw!B1889="","",Raw!B1889)&amp;"|"&amp;LEN(IF(Raw!C1889="","",Raw!C1889))&amp;":"&amp;IF(Raw!C1889="","",Raw!C1889)&amp;"|"&amp;LEN(IF(Raw!D1889="","",Raw!D1889))&amp;":"&amp;IF(Raw!D1889="","",Raw!D1889)&amp;"|"&amp;LEN(IF(Raw!E1889="","",Raw!E1889))&amp;":"&amp;IF(Raw!E1889="","",Raw!E1889)&amp;"|"&amp;LEN(IF(Raw!F1889="","",Raw!F1889))&amp;":"&amp;IF(Raw!F1889="","",Raw!F1889)&amp;"|"&amp;LEN(IF(Raw!G1889="","",Raw!G1889))&amp;":"&amp;IF(Raw!G1889="","",Raw!G1889)</f>
        <v>6:L01883|6:T00942|10:2026-01-18|3:P-H|4:Home|4:sale|6:506.65</v>
      </c>
      <c r="Q1889" s="1">
        <f>1</f>
        <v>1</v>
      </c>
      <c r="R1889" s="1" t="b">
        <f>FALSE</f>
        <v>0</v>
      </c>
      <c r="S1889" s="1">
        <f>1</f>
        <v>1</v>
      </c>
      <c r="T1889" s="1" t="str">
        <f>IF(AND(Raw!A1889="",Raw!B1889="",Raw!C1889="",Raw!D1889="",Raw!E1889="",Raw!F1889="",Raw!G1889=""),"UNUSED",IF(A1889="","missing line ID",IF(B1889="","missing transaction ID",IF(G1889="",IF(C1889="","missing date","invalid date"),IF(I1889="","unknown product",IF(J1889="","conflicting category",IF(NOT(OR(EXACT(K1889,"sale"),EXACT(K1889,"refund"))),"unknown event",IF(OR(N1889="",NOT(O1889)),"invalid amount",IF(OR(AND(K1889="sale",N1889&lt;=0),AND(K1889="refund",N1889&gt;=0)),"invalid sign","")))))))))</f>
        <v/>
      </c>
      <c r="U1889" s="1" t="str">
        <f t="shared" si="237"/>
        <v>INCLUDED</v>
      </c>
      <c r="V1889" s="1" t="str">
        <f t="shared" si="238"/>
        <v>2026-01</v>
      </c>
      <c r="W1889" s="1">
        <f>IF(AND(U1889="INCLUDED",X1889&gt;0,EXACT(A1889,'AI output'!A1889)),1,0)</f>
        <v>1</v>
      </c>
      <c r="X1889" s="1">
        <f>1889</f>
        <v>1889</v>
      </c>
      <c r="Y1889" s="1">
        <f>IF(AND(U1889="INCLUDED",W1889=1),--(NOT(EXACT(A1889,'AI output'!A1889)))+--(NOT(EXACT(B1889,'AI output'!B1889)))+--(NOT(EXACT(TEXT(G1889,"yyyy-mm-dd"),'AI output'!C1889)))+--(NOT(EXACT(H1889,'AI output'!D1889)))+--(NOT(EXACT(J1889,'AI output'!E1889)))+--(NOT(EXACT(K1889,'AI output'!F1889)))+--(N1889&lt;&gt;'AI output'!L1889)+--(NOT('AI output'!M1889)),0)</f>
        <v>0</v>
      </c>
      <c r="Z1889" s="1">
        <f t="shared" si="239"/>
        <v>0</v>
      </c>
      <c r="AA1889" s="1">
        <f>--EXACT(A1889,"L01883")</f>
        <v>1</v>
      </c>
    </row>
    <row r="1890" spans="1:27" ht="18.95" customHeight="1">
      <c r="A1890" s="1" t="str">
        <f>IF(Raw!A1890="","",Raw!A1890)</f>
        <v>L01884</v>
      </c>
      <c r="B1890" s="1" t="str">
        <f>IF(Raw!B1890="","",Raw!B1890)</f>
        <v>T00942</v>
      </c>
      <c r="C1890" s="1" t="str">
        <f>IF(Raw!C1890="","",Raw!C1890)</f>
        <v>2026-01-18</v>
      </c>
      <c r="D1890" s="1">
        <f t="shared" si="232"/>
        <v>2026</v>
      </c>
      <c r="E1890" s="1">
        <f>IFERROR(IF(AND(LEN(C1890)=10,MID(C1890,5,1)="-",MID(C1890,8,1)="-"),VALUE(MID(C1890,6,2)),IF(AND(LEN(C1890)=11,MID(C1890,3,1)="-",MID(C1890,7,1)="-"),MATCH(UPPER(MID(C1890,4,3)),Guide!$D$7:$D$18,0),0)),0)</f>
        <v>1</v>
      </c>
      <c r="F1890" s="1">
        <f t="shared" si="233"/>
        <v>18</v>
      </c>
      <c r="G1890" s="9">
        <f t="shared" si="234"/>
        <v>46040</v>
      </c>
      <c r="H1890" s="1" t="str">
        <f>IF(Raw!D1890="","",Raw!D1890)</f>
        <v>P-O</v>
      </c>
      <c r="I1890" s="1" t="str">
        <f>IFERROR(IF(EXACT(H1890,INDEX(Guide!$A$7:$A$9,MATCH(SUBSTITUTE(SUBSTITUTE(SUBSTITUTE(H1890,"~","~~"),"*","~*"),"?","~?"),Guide!$A$7:$A$9,0))),INDEX(Guide!$B$7:$B$9,MATCH(SUBSTITUTE(SUBSTITUTE(SUBSTITUTE(H1890,"~","~~"),"*","~*"),"?","~?"),Guide!$A$7:$A$9,0)),""),"")</f>
        <v>Office</v>
      </c>
      <c r="J1890" s="1" t="str">
        <f>IF(TRIM(Raw!E1890)="",I1890,IF(UPPER(TRIM(Raw!E1890))=UPPER(I1890),I1890,""))</f>
        <v>Office</v>
      </c>
      <c r="K1890" s="1" t="str">
        <f>IF(Raw!F1890="","",Raw!F1890)</f>
        <v>sale</v>
      </c>
      <c r="L1890" s="1" t="str">
        <f>IF(LEFT(TRIM(Raw!G1890),2)="-$","-"&amp;MID(TRIM(Raw!G1890),3,99),IF(LEFT(TRIM(Raw!G1890),1)="$",MID(TRIM(Raw!G1890),2,99),TRIM(Raw!G1890)))</f>
        <v>203.40</v>
      </c>
      <c r="M1890" s="1">
        <f t="shared" si="235"/>
        <v>203.4</v>
      </c>
      <c r="N1890" s="10">
        <f t="shared" si="236"/>
        <v>20340</v>
      </c>
      <c r="O1890" s="1" t="b">
        <f>IFERROR(IF(ISNUMBER(Raw!G1890),TRUE,OR(EXACT(L1890,TEXT(M1890,"0.00")),EXACT(L1890,TEXT(M1890,"#,##0.00")))),FALSE)</f>
        <v>1</v>
      </c>
      <c r="P1890" s="1" t="str">
        <f>LEN(IF(Raw!A1890="","",Raw!A1890))&amp;":"&amp;IF(Raw!A1890="","",Raw!A1890)&amp;"|"&amp;LEN(IF(Raw!B1890="","",Raw!B1890))&amp;":"&amp;IF(Raw!B1890="","",Raw!B1890)&amp;"|"&amp;LEN(IF(Raw!C1890="","",Raw!C1890))&amp;":"&amp;IF(Raw!C1890="","",Raw!C1890)&amp;"|"&amp;LEN(IF(Raw!D1890="","",Raw!D1890))&amp;":"&amp;IF(Raw!D1890="","",Raw!D1890)&amp;"|"&amp;LEN(IF(Raw!E1890="","",Raw!E1890))&amp;":"&amp;IF(Raw!E1890="","",Raw!E1890)&amp;"|"&amp;LEN(IF(Raw!F1890="","",Raw!F1890))&amp;":"&amp;IF(Raw!F1890="","",Raw!F1890)&amp;"|"&amp;LEN(IF(Raw!G1890="","",Raw!G1890))&amp;":"&amp;IF(Raw!G1890="","",Raw!G1890)</f>
        <v>6:L01884|6:T00942|10:2026-01-18|3:P-O|6:Office|4:sale|6:203.40</v>
      </c>
      <c r="Q1890" s="1">
        <f>1</f>
        <v>1</v>
      </c>
      <c r="R1890" s="1" t="b">
        <f>FALSE</f>
        <v>0</v>
      </c>
      <c r="S1890" s="1">
        <f>1</f>
        <v>1</v>
      </c>
      <c r="T1890" s="1" t="str">
        <f>IF(AND(Raw!A1890="",Raw!B1890="",Raw!C1890="",Raw!D1890="",Raw!E1890="",Raw!F1890="",Raw!G1890=""),"UNUSED",IF(A1890="","missing line ID",IF(B1890="","missing transaction ID",IF(G1890="",IF(C1890="","missing date","invalid date"),IF(I1890="","unknown product",IF(J1890="","conflicting category",IF(NOT(OR(EXACT(K1890,"sale"),EXACT(K1890,"refund"))),"unknown event",IF(OR(N1890="",NOT(O1890)),"invalid amount",IF(OR(AND(K1890="sale",N1890&lt;=0),AND(K1890="refund",N1890&gt;=0)),"invalid sign","")))))))))</f>
        <v/>
      </c>
      <c r="U1890" s="1" t="str">
        <f t="shared" si="237"/>
        <v>INCLUDED</v>
      </c>
      <c r="V1890" s="1" t="str">
        <f t="shared" si="238"/>
        <v>2026-01</v>
      </c>
      <c r="W1890" s="1">
        <f>IF(AND(U1890="INCLUDED",X1890&gt;0,EXACT(A1890,'AI output'!A1890)),1,0)</f>
        <v>1</v>
      </c>
      <c r="X1890" s="1">
        <f>1890</f>
        <v>1890</v>
      </c>
      <c r="Y1890" s="1">
        <f>IF(AND(U1890="INCLUDED",W1890=1),--(NOT(EXACT(A1890,'AI output'!A1890)))+--(NOT(EXACT(B1890,'AI output'!B1890)))+--(NOT(EXACT(TEXT(G1890,"yyyy-mm-dd"),'AI output'!C1890)))+--(NOT(EXACT(H1890,'AI output'!D1890)))+--(NOT(EXACT(J1890,'AI output'!E1890)))+--(NOT(EXACT(K1890,'AI output'!F1890)))+--(N1890&lt;&gt;'AI output'!L1890)+--(NOT('AI output'!M1890)),0)</f>
        <v>0</v>
      </c>
      <c r="Z1890" s="1">
        <f t="shared" si="239"/>
        <v>0</v>
      </c>
      <c r="AA1890" s="1">
        <f>--EXACT(A1890,"L01884")</f>
        <v>1</v>
      </c>
    </row>
    <row r="1891" spans="1:27" ht="18.95" customHeight="1">
      <c r="A1891" s="1" t="str">
        <f>IF(Raw!A1891="","",Raw!A1891)</f>
        <v>L01885</v>
      </c>
      <c r="B1891" s="1" t="str">
        <f>IF(Raw!B1891="","",Raw!B1891)</f>
        <v>T00943</v>
      </c>
      <c r="C1891" s="1" t="str">
        <f>IF(Raw!C1891="","",Raw!C1891)</f>
        <v>2026-01-25</v>
      </c>
      <c r="D1891" s="1">
        <f t="shared" si="232"/>
        <v>2026</v>
      </c>
      <c r="E1891" s="1">
        <f>IFERROR(IF(AND(LEN(C1891)=10,MID(C1891,5,1)="-",MID(C1891,8,1)="-"),VALUE(MID(C1891,6,2)),IF(AND(LEN(C1891)=11,MID(C1891,3,1)="-",MID(C1891,7,1)="-"),MATCH(UPPER(MID(C1891,4,3)),Guide!$D$7:$D$18,0),0)),0)</f>
        <v>1</v>
      </c>
      <c r="F1891" s="1">
        <f t="shared" si="233"/>
        <v>25</v>
      </c>
      <c r="G1891" s="9">
        <f t="shared" si="234"/>
        <v>46047</v>
      </c>
      <c r="H1891" s="1" t="str">
        <f>IF(Raw!D1891="","",Raw!D1891)</f>
        <v>P-A</v>
      </c>
      <c r="I1891" s="1" t="str">
        <f>IFERROR(IF(EXACT(H1891,INDEX(Guide!$A$7:$A$9,MATCH(SUBSTITUTE(SUBSTITUTE(SUBSTITUTE(H1891,"~","~~"),"*","~*"),"?","~?"),Guide!$A$7:$A$9,0))),INDEX(Guide!$B$7:$B$9,MATCH(SUBSTITUTE(SUBSTITUTE(SUBSTITUTE(H1891,"~","~~"),"*","~*"),"?","~?"),Guide!$A$7:$A$9,0)),""),"")</f>
        <v>Accessories</v>
      </c>
      <c r="J1891" s="1" t="str">
        <f>IF(TRIM(Raw!E1891)="",I1891,IF(UPPER(TRIM(Raw!E1891))=UPPER(I1891),I1891,""))</f>
        <v>Accessories</v>
      </c>
      <c r="K1891" s="1" t="str">
        <f>IF(Raw!F1891="","",Raw!F1891)</f>
        <v>sale</v>
      </c>
      <c r="L1891" s="1" t="str">
        <f>IF(LEFT(TRIM(Raw!G1891),2)="-$","-"&amp;MID(TRIM(Raw!G1891),3,99),IF(LEFT(TRIM(Raw!G1891),1)="$",MID(TRIM(Raw!G1891),2,99),TRIM(Raw!G1891)))</f>
        <v>408.28</v>
      </c>
      <c r="M1891" s="1">
        <f t="shared" si="235"/>
        <v>408.28</v>
      </c>
      <c r="N1891" s="10">
        <f t="shared" si="236"/>
        <v>40828</v>
      </c>
      <c r="O1891" s="1" t="b">
        <f>IFERROR(IF(ISNUMBER(Raw!G1891),TRUE,OR(EXACT(L1891,TEXT(M1891,"0.00")),EXACT(L1891,TEXT(M1891,"#,##0.00")))),FALSE)</f>
        <v>1</v>
      </c>
      <c r="P1891" s="1" t="str">
        <f>LEN(IF(Raw!A1891="","",Raw!A1891))&amp;":"&amp;IF(Raw!A1891="","",Raw!A1891)&amp;"|"&amp;LEN(IF(Raw!B1891="","",Raw!B1891))&amp;":"&amp;IF(Raw!B1891="","",Raw!B1891)&amp;"|"&amp;LEN(IF(Raw!C1891="","",Raw!C1891))&amp;":"&amp;IF(Raw!C1891="","",Raw!C1891)&amp;"|"&amp;LEN(IF(Raw!D1891="","",Raw!D1891))&amp;":"&amp;IF(Raw!D1891="","",Raw!D1891)&amp;"|"&amp;LEN(IF(Raw!E1891="","",Raw!E1891))&amp;":"&amp;IF(Raw!E1891="","",Raw!E1891)&amp;"|"&amp;LEN(IF(Raw!F1891="","",Raw!F1891))&amp;":"&amp;IF(Raw!F1891="","",Raw!F1891)&amp;"|"&amp;LEN(IF(Raw!G1891="","",Raw!G1891))&amp;":"&amp;IF(Raw!G1891="","",Raw!G1891)</f>
        <v>6:L01885|6:T00943|10:2026-01-25|3:P-A|11:Accessories|4:sale|6:408.28</v>
      </c>
      <c r="Q1891" s="1">
        <f>1</f>
        <v>1</v>
      </c>
      <c r="R1891" s="1" t="b">
        <f>FALSE</f>
        <v>0</v>
      </c>
      <c r="S1891" s="1">
        <f>1</f>
        <v>1</v>
      </c>
      <c r="T1891" s="1" t="str">
        <f>IF(AND(Raw!A1891="",Raw!B1891="",Raw!C1891="",Raw!D1891="",Raw!E1891="",Raw!F1891="",Raw!G1891=""),"UNUSED",IF(A1891="","missing line ID",IF(B1891="","missing transaction ID",IF(G1891="",IF(C1891="","missing date","invalid date"),IF(I1891="","unknown product",IF(J1891="","conflicting category",IF(NOT(OR(EXACT(K1891,"sale"),EXACT(K1891,"refund"))),"unknown event",IF(OR(N1891="",NOT(O1891)),"invalid amount",IF(OR(AND(K1891="sale",N1891&lt;=0),AND(K1891="refund",N1891&gt;=0)),"invalid sign","")))))))))</f>
        <v/>
      </c>
      <c r="U1891" s="1" t="str">
        <f t="shared" si="237"/>
        <v>INCLUDED</v>
      </c>
      <c r="V1891" s="1" t="str">
        <f t="shared" si="238"/>
        <v>2026-01</v>
      </c>
      <c r="W1891" s="1">
        <f>IF(AND(U1891="INCLUDED",X1891&gt;0,EXACT(A1891,'AI output'!A1891)),1,0)</f>
        <v>1</v>
      </c>
      <c r="X1891" s="1">
        <f>1891</f>
        <v>1891</v>
      </c>
      <c r="Y1891" s="1">
        <f>IF(AND(U1891="INCLUDED",W1891=1),--(NOT(EXACT(A1891,'AI output'!A1891)))+--(NOT(EXACT(B1891,'AI output'!B1891)))+--(NOT(EXACT(TEXT(G1891,"yyyy-mm-dd"),'AI output'!C1891)))+--(NOT(EXACT(H1891,'AI output'!D1891)))+--(NOT(EXACT(J1891,'AI output'!E1891)))+--(NOT(EXACT(K1891,'AI output'!F1891)))+--(N1891&lt;&gt;'AI output'!L1891)+--(NOT('AI output'!M1891)),0)</f>
        <v>0</v>
      </c>
      <c r="Z1891" s="1">
        <f t="shared" si="239"/>
        <v>0</v>
      </c>
      <c r="AA1891" s="1">
        <f>--EXACT(A1891,"L01885")</f>
        <v>1</v>
      </c>
    </row>
    <row r="1892" spans="1:27" ht="18.95" customHeight="1">
      <c r="A1892" s="1" t="str">
        <f>IF(Raw!A1892="","",Raw!A1892)</f>
        <v>L01886</v>
      </c>
      <c r="B1892" s="1" t="str">
        <f>IF(Raw!B1892="","",Raw!B1892)</f>
        <v>T00943</v>
      </c>
      <c r="C1892" s="1" t="str">
        <f>IF(Raw!C1892="","",Raw!C1892)</f>
        <v>2026-01-25</v>
      </c>
      <c r="D1892" s="1">
        <f t="shared" si="232"/>
        <v>2026</v>
      </c>
      <c r="E1892" s="1">
        <f>IFERROR(IF(AND(LEN(C1892)=10,MID(C1892,5,1)="-",MID(C1892,8,1)="-"),VALUE(MID(C1892,6,2)),IF(AND(LEN(C1892)=11,MID(C1892,3,1)="-",MID(C1892,7,1)="-"),MATCH(UPPER(MID(C1892,4,3)),Guide!$D$7:$D$18,0),0)),0)</f>
        <v>1</v>
      </c>
      <c r="F1892" s="1">
        <f t="shared" si="233"/>
        <v>25</v>
      </c>
      <c r="G1892" s="9">
        <f t="shared" si="234"/>
        <v>46047</v>
      </c>
      <c r="H1892" s="1" t="str">
        <f>IF(Raw!D1892="","",Raw!D1892)</f>
        <v>P-H</v>
      </c>
      <c r="I1892" s="1" t="str">
        <f>IFERROR(IF(EXACT(H1892,INDEX(Guide!$A$7:$A$9,MATCH(SUBSTITUTE(SUBSTITUTE(SUBSTITUTE(H1892,"~","~~"),"*","~*"),"?","~?"),Guide!$A$7:$A$9,0))),INDEX(Guide!$B$7:$B$9,MATCH(SUBSTITUTE(SUBSTITUTE(SUBSTITUTE(H1892,"~","~~"),"*","~*"),"?","~?"),Guide!$A$7:$A$9,0)),""),"")</f>
        <v>Home</v>
      </c>
      <c r="J1892" s="1" t="str">
        <f>IF(TRIM(Raw!E1892)="",I1892,IF(UPPER(TRIM(Raw!E1892))=UPPER(I1892),I1892,""))</f>
        <v>Home</v>
      </c>
      <c r="K1892" s="1" t="str">
        <f>IF(Raw!F1892="","",Raw!F1892)</f>
        <v>sale</v>
      </c>
      <c r="L1892" s="1" t="str">
        <f>IF(LEFT(TRIM(Raw!G1892),2)="-$","-"&amp;MID(TRIM(Raw!G1892),3,99),IF(LEFT(TRIM(Raw!G1892),1)="$",MID(TRIM(Raw!G1892),2,99),TRIM(Raw!G1892)))</f>
        <v>102.44</v>
      </c>
      <c r="M1892" s="1">
        <f t="shared" si="235"/>
        <v>102.44</v>
      </c>
      <c r="N1892" s="10">
        <f t="shared" si="236"/>
        <v>10244</v>
      </c>
      <c r="O1892" s="1" t="b">
        <f>IFERROR(IF(ISNUMBER(Raw!G1892),TRUE,OR(EXACT(L1892,TEXT(M1892,"0.00")),EXACT(L1892,TEXT(M1892,"#,##0.00")))),FALSE)</f>
        <v>1</v>
      </c>
      <c r="P1892" s="1" t="str">
        <f>LEN(IF(Raw!A1892="","",Raw!A1892))&amp;":"&amp;IF(Raw!A1892="","",Raw!A1892)&amp;"|"&amp;LEN(IF(Raw!B1892="","",Raw!B1892))&amp;":"&amp;IF(Raw!B1892="","",Raw!B1892)&amp;"|"&amp;LEN(IF(Raw!C1892="","",Raw!C1892))&amp;":"&amp;IF(Raw!C1892="","",Raw!C1892)&amp;"|"&amp;LEN(IF(Raw!D1892="","",Raw!D1892))&amp;":"&amp;IF(Raw!D1892="","",Raw!D1892)&amp;"|"&amp;LEN(IF(Raw!E1892="","",Raw!E1892))&amp;":"&amp;IF(Raw!E1892="","",Raw!E1892)&amp;"|"&amp;LEN(IF(Raw!F1892="","",Raw!F1892))&amp;":"&amp;IF(Raw!F1892="","",Raw!F1892)&amp;"|"&amp;LEN(IF(Raw!G1892="","",Raw!G1892))&amp;":"&amp;IF(Raw!G1892="","",Raw!G1892)</f>
        <v>6:L01886|6:T00943|10:2026-01-25|3:P-H|4:Home|4:sale|6:102.44</v>
      </c>
      <c r="Q1892" s="1">
        <f>1</f>
        <v>1</v>
      </c>
      <c r="R1892" s="1" t="b">
        <f>FALSE</f>
        <v>0</v>
      </c>
      <c r="S1892" s="1">
        <f>1</f>
        <v>1</v>
      </c>
      <c r="T1892" s="1" t="str">
        <f>IF(AND(Raw!A1892="",Raw!B1892="",Raw!C1892="",Raw!D1892="",Raw!E1892="",Raw!F1892="",Raw!G1892=""),"UNUSED",IF(A1892="","missing line ID",IF(B1892="","missing transaction ID",IF(G1892="",IF(C1892="","missing date","invalid date"),IF(I1892="","unknown product",IF(J1892="","conflicting category",IF(NOT(OR(EXACT(K1892,"sale"),EXACT(K1892,"refund"))),"unknown event",IF(OR(N1892="",NOT(O1892)),"invalid amount",IF(OR(AND(K1892="sale",N1892&lt;=0),AND(K1892="refund",N1892&gt;=0)),"invalid sign","")))))))))</f>
        <v/>
      </c>
      <c r="U1892" s="1" t="str">
        <f t="shared" si="237"/>
        <v>INCLUDED</v>
      </c>
      <c r="V1892" s="1" t="str">
        <f t="shared" si="238"/>
        <v>2026-01</v>
      </c>
      <c r="W1892" s="1">
        <f>IF(AND(U1892="INCLUDED",X1892&gt;0,EXACT(A1892,'AI output'!A1892)),1,0)</f>
        <v>1</v>
      </c>
      <c r="X1892" s="1">
        <f>1892</f>
        <v>1892</v>
      </c>
      <c r="Y1892" s="1">
        <f>IF(AND(U1892="INCLUDED",W1892=1),--(NOT(EXACT(A1892,'AI output'!A1892)))+--(NOT(EXACT(B1892,'AI output'!B1892)))+--(NOT(EXACT(TEXT(G1892,"yyyy-mm-dd"),'AI output'!C1892)))+--(NOT(EXACT(H1892,'AI output'!D1892)))+--(NOT(EXACT(J1892,'AI output'!E1892)))+--(NOT(EXACT(K1892,'AI output'!F1892)))+--(N1892&lt;&gt;'AI output'!L1892)+--(NOT('AI output'!M1892)),0)</f>
        <v>0</v>
      </c>
      <c r="Z1892" s="1">
        <f t="shared" si="239"/>
        <v>0</v>
      </c>
      <c r="AA1892" s="1">
        <f>--EXACT(A1892,"L01886")</f>
        <v>1</v>
      </c>
    </row>
    <row r="1893" spans="1:27" ht="18.95" customHeight="1">
      <c r="A1893" s="1" t="str">
        <f>IF(Raw!A1893="","",Raw!A1893)</f>
        <v>L01887</v>
      </c>
      <c r="B1893" s="1" t="str">
        <f>IF(Raw!B1893="","",Raw!B1893)</f>
        <v>T00944</v>
      </c>
      <c r="C1893" s="1" t="str">
        <f>IF(Raw!C1893="","",Raw!C1893)</f>
        <v>2026-02-01</v>
      </c>
      <c r="D1893" s="1">
        <f t="shared" si="232"/>
        <v>2026</v>
      </c>
      <c r="E1893" s="1">
        <f>IFERROR(IF(AND(LEN(C1893)=10,MID(C1893,5,1)="-",MID(C1893,8,1)="-"),VALUE(MID(C1893,6,2)),IF(AND(LEN(C1893)=11,MID(C1893,3,1)="-",MID(C1893,7,1)="-"),MATCH(UPPER(MID(C1893,4,3)),Guide!$D$7:$D$18,0),0)),0)</f>
        <v>2</v>
      </c>
      <c r="F1893" s="1">
        <f t="shared" si="233"/>
        <v>1</v>
      </c>
      <c r="G1893" s="9">
        <f t="shared" si="234"/>
        <v>46054</v>
      </c>
      <c r="H1893" s="1" t="str">
        <f>IF(Raw!D1893="","",Raw!D1893)</f>
        <v>P-O</v>
      </c>
      <c r="I1893" s="1" t="str">
        <f>IFERROR(IF(EXACT(H1893,INDEX(Guide!$A$7:$A$9,MATCH(SUBSTITUTE(SUBSTITUTE(SUBSTITUTE(H1893,"~","~~"),"*","~*"),"?","~?"),Guide!$A$7:$A$9,0))),INDEX(Guide!$B$7:$B$9,MATCH(SUBSTITUTE(SUBSTITUTE(SUBSTITUTE(H1893,"~","~~"),"*","~*"),"?","~?"),Guide!$A$7:$A$9,0)),""),"")</f>
        <v>Office</v>
      </c>
      <c r="J1893" s="1" t="str">
        <f>IF(TRIM(Raw!E1893)="",I1893,IF(UPPER(TRIM(Raw!E1893))=UPPER(I1893),I1893,""))</f>
        <v>Office</v>
      </c>
      <c r="K1893" s="1" t="str">
        <f>IF(Raw!F1893="","",Raw!F1893)</f>
        <v>refund</v>
      </c>
      <c r="L1893" s="1" t="str">
        <f>IF(LEFT(TRIM(Raw!G1893),2)="-$","-"&amp;MID(TRIM(Raw!G1893),3,99),IF(LEFT(TRIM(Raw!G1893),1)="$",MID(TRIM(Raw!G1893),2,99),TRIM(Raw!G1893)))</f>
        <v>-308.43</v>
      </c>
      <c r="M1893" s="1">
        <f t="shared" si="235"/>
        <v>-308.43</v>
      </c>
      <c r="N1893" s="10">
        <f t="shared" si="236"/>
        <v>-30843</v>
      </c>
      <c r="O1893" s="1" t="b">
        <f>IFERROR(IF(ISNUMBER(Raw!G1893),TRUE,OR(EXACT(L1893,TEXT(M1893,"0.00")),EXACT(L1893,TEXT(M1893,"#,##0.00")))),FALSE)</f>
        <v>1</v>
      </c>
      <c r="P1893" s="1" t="str">
        <f>LEN(IF(Raw!A1893="","",Raw!A1893))&amp;":"&amp;IF(Raw!A1893="","",Raw!A1893)&amp;"|"&amp;LEN(IF(Raw!B1893="","",Raw!B1893))&amp;":"&amp;IF(Raw!B1893="","",Raw!B1893)&amp;"|"&amp;LEN(IF(Raw!C1893="","",Raw!C1893))&amp;":"&amp;IF(Raw!C1893="","",Raw!C1893)&amp;"|"&amp;LEN(IF(Raw!D1893="","",Raw!D1893))&amp;":"&amp;IF(Raw!D1893="","",Raw!D1893)&amp;"|"&amp;LEN(IF(Raw!E1893="","",Raw!E1893))&amp;":"&amp;IF(Raw!E1893="","",Raw!E1893)&amp;"|"&amp;LEN(IF(Raw!F1893="","",Raw!F1893))&amp;":"&amp;IF(Raw!F1893="","",Raw!F1893)&amp;"|"&amp;LEN(IF(Raw!G1893="","",Raw!G1893))&amp;":"&amp;IF(Raw!G1893="","",Raw!G1893)</f>
        <v>6:L01887|6:T00944|10:2026-02-01|3:P-O|6:Office|6:refund|7:-308.43</v>
      </c>
      <c r="Q1893" s="1">
        <f>1</f>
        <v>1</v>
      </c>
      <c r="R1893" s="1" t="b">
        <f>FALSE</f>
        <v>0</v>
      </c>
      <c r="S1893" s="1">
        <f>1</f>
        <v>1</v>
      </c>
      <c r="T1893" s="1" t="str">
        <f>IF(AND(Raw!A1893="",Raw!B1893="",Raw!C1893="",Raw!D1893="",Raw!E1893="",Raw!F1893="",Raw!G1893=""),"UNUSED",IF(A1893="","missing line ID",IF(B1893="","missing transaction ID",IF(G1893="",IF(C1893="","missing date","invalid date"),IF(I1893="","unknown product",IF(J1893="","conflicting category",IF(NOT(OR(EXACT(K1893,"sale"),EXACT(K1893,"refund"))),"unknown event",IF(OR(N1893="",NOT(O1893)),"invalid amount",IF(OR(AND(K1893="sale",N1893&lt;=0),AND(K1893="refund",N1893&gt;=0)),"invalid sign","")))))))))</f>
        <v/>
      </c>
      <c r="U1893" s="1" t="str">
        <f t="shared" si="237"/>
        <v>INCLUDED</v>
      </c>
      <c r="V1893" s="1" t="str">
        <f t="shared" si="238"/>
        <v>2026-02</v>
      </c>
      <c r="W1893" s="1">
        <f>IF(AND(U1893="INCLUDED",X1893&gt;0,EXACT(A1893,'AI output'!A1893)),1,0)</f>
        <v>1</v>
      </c>
      <c r="X1893" s="1">
        <f>1893</f>
        <v>1893</v>
      </c>
      <c r="Y1893" s="1">
        <f>IF(AND(U1893="INCLUDED",W1893=1),--(NOT(EXACT(A1893,'AI output'!A1893)))+--(NOT(EXACT(B1893,'AI output'!B1893)))+--(NOT(EXACT(TEXT(G1893,"yyyy-mm-dd"),'AI output'!C1893)))+--(NOT(EXACT(H1893,'AI output'!D1893)))+--(NOT(EXACT(J1893,'AI output'!E1893)))+--(NOT(EXACT(K1893,'AI output'!F1893)))+--(N1893&lt;&gt;'AI output'!L1893)+--(NOT('AI output'!M1893)),0)</f>
        <v>0</v>
      </c>
      <c r="Z1893" s="1">
        <f t="shared" si="239"/>
        <v>0</v>
      </c>
      <c r="AA1893" s="1">
        <f>--EXACT(A1893,"L01887")</f>
        <v>1</v>
      </c>
    </row>
    <row r="1894" spans="1:27" ht="18.95" customHeight="1">
      <c r="A1894" s="1" t="str">
        <f>IF(Raw!A1894="","",Raw!A1894)</f>
        <v>L01888</v>
      </c>
      <c r="B1894" s="1" t="str">
        <f>IF(Raw!B1894="","",Raw!B1894)</f>
        <v>T00944</v>
      </c>
      <c r="C1894" s="1" t="str">
        <f>IF(Raw!C1894="","",Raw!C1894)</f>
        <v>2026-02-01</v>
      </c>
      <c r="D1894" s="1">
        <f t="shared" si="232"/>
        <v>2026</v>
      </c>
      <c r="E1894" s="1">
        <f>IFERROR(IF(AND(LEN(C1894)=10,MID(C1894,5,1)="-",MID(C1894,8,1)="-"),VALUE(MID(C1894,6,2)),IF(AND(LEN(C1894)=11,MID(C1894,3,1)="-",MID(C1894,7,1)="-"),MATCH(UPPER(MID(C1894,4,3)),Guide!$D$7:$D$18,0),0)),0)</f>
        <v>2</v>
      </c>
      <c r="F1894" s="1">
        <f t="shared" si="233"/>
        <v>1</v>
      </c>
      <c r="G1894" s="9">
        <f t="shared" si="234"/>
        <v>46054</v>
      </c>
      <c r="H1894" s="1" t="str">
        <f>IF(Raw!D1894="","",Raw!D1894)</f>
        <v>P-A</v>
      </c>
      <c r="I1894" s="1" t="str">
        <f>IFERROR(IF(EXACT(H1894,INDEX(Guide!$A$7:$A$9,MATCH(SUBSTITUTE(SUBSTITUTE(SUBSTITUTE(H1894,"~","~~"),"*","~*"),"?","~?"),Guide!$A$7:$A$9,0))),INDEX(Guide!$B$7:$B$9,MATCH(SUBSTITUTE(SUBSTITUTE(SUBSTITUTE(H1894,"~","~~"),"*","~*"),"?","~?"),Guide!$A$7:$A$9,0)),""),"")</f>
        <v>Accessories</v>
      </c>
      <c r="J1894" s="1" t="str">
        <f>IF(TRIM(Raw!E1894)="",I1894,IF(UPPER(TRIM(Raw!E1894))=UPPER(I1894),I1894,""))</f>
        <v>Accessories</v>
      </c>
      <c r="K1894" s="1" t="str">
        <f>IF(Raw!F1894="","",Raw!F1894)</f>
        <v>sale</v>
      </c>
      <c r="L1894" s="1" t="str">
        <f>IF(LEFT(TRIM(Raw!G1894),2)="-$","-"&amp;MID(TRIM(Raw!G1894),3,99),IF(LEFT(TRIM(Raw!G1894),1)="$",MID(TRIM(Raw!G1894),2,99),TRIM(Raw!G1894)))</f>
        <v>515.90</v>
      </c>
      <c r="M1894" s="1">
        <f t="shared" si="235"/>
        <v>515.9</v>
      </c>
      <c r="N1894" s="10">
        <f t="shared" si="236"/>
        <v>51590</v>
      </c>
      <c r="O1894" s="1" t="b">
        <f>IFERROR(IF(ISNUMBER(Raw!G1894),TRUE,OR(EXACT(L1894,TEXT(M1894,"0.00")),EXACT(L1894,TEXT(M1894,"#,##0.00")))),FALSE)</f>
        <v>1</v>
      </c>
      <c r="P1894" s="1" t="str">
        <f>LEN(IF(Raw!A1894="","",Raw!A1894))&amp;":"&amp;IF(Raw!A1894="","",Raw!A1894)&amp;"|"&amp;LEN(IF(Raw!B1894="","",Raw!B1894))&amp;":"&amp;IF(Raw!B1894="","",Raw!B1894)&amp;"|"&amp;LEN(IF(Raw!C1894="","",Raw!C1894))&amp;":"&amp;IF(Raw!C1894="","",Raw!C1894)&amp;"|"&amp;LEN(IF(Raw!D1894="","",Raw!D1894))&amp;":"&amp;IF(Raw!D1894="","",Raw!D1894)&amp;"|"&amp;LEN(IF(Raw!E1894="","",Raw!E1894))&amp;":"&amp;IF(Raw!E1894="","",Raw!E1894)&amp;"|"&amp;LEN(IF(Raw!F1894="","",Raw!F1894))&amp;":"&amp;IF(Raw!F1894="","",Raw!F1894)&amp;"|"&amp;LEN(IF(Raw!G1894="","",Raw!G1894))&amp;":"&amp;IF(Raw!G1894="","",Raw!G1894)</f>
        <v>6:L01888|6:T00944|10:2026-02-01|3:P-A|11:Accessories|4:sale|6:515.90</v>
      </c>
      <c r="Q1894" s="1">
        <f>1</f>
        <v>1</v>
      </c>
      <c r="R1894" s="1" t="b">
        <f>FALSE</f>
        <v>0</v>
      </c>
      <c r="S1894" s="1">
        <f>1</f>
        <v>1</v>
      </c>
      <c r="T1894" s="1" t="str">
        <f>IF(AND(Raw!A1894="",Raw!B1894="",Raw!C1894="",Raw!D1894="",Raw!E1894="",Raw!F1894="",Raw!G1894=""),"UNUSED",IF(A1894="","missing line ID",IF(B1894="","missing transaction ID",IF(G1894="",IF(C1894="","missing date","invalid date"),IF(I1894="","unknown product",IF(J1894="","conflicting category",IF(NOT(OR(EXACT(K1894,"sale"),EXACT(K1894,"refund"))),"unknown event",IF(OR(N1894="",NOT(O1894)),"invalid amount",IF(OR(AND(K1894="sale",N1894&lt;=0),AND(K1894="refund",N1894&gt;=0)),"invalid sign","")))))))))</f>
        <v/>
      </c>
      <c r="U1894" s="1" t="str">
        <f t="shared" si="237"/>
        <v>INCLUDED</v>
      </c>
      <c r="V1894" s="1" t="str">
        <f t="shared" si="238"/>
        <v>2026-02</v>
      </c>
      <c r="W1894" s="1">
        <f>IF(AND(U1894="INCLUDED",X1894&gt;0,EXACT(A1894,'AI output'!A1894)),1,0)</f>
        <v>1</v>
      </c>
      <c r="X1894" s="1">
        <f>1894</f>
        <v>1894</v>
      </c>
      <c r="Y1894" s="1">
        <f>IF(AND(U1894="INCLUDED",W1894=1),--(NOT(EXACT(A1894,'AI output'!A1894)))+--(NOT(EXACT(B1894,'AI output'!B1894)))+--(NOT(EXACT(TEXT(G1894,"yyyy-mm-dd"),'AI output'!C1894)))+--(NOT(EXACT(H1894,'AI output'!D1894)))+--(NOT(EXACT(J1894,'AI output'!E1894)))+--(NOT(EXACT(K1894,'AI output'!F1894)))+--(N1894&lt;&gt;'AI output'!L1894)+--(NOT('AI output'!M1894)),0)</f>
        <v>0</v>
      </c>
      <c r="Z1894" s="1">
        <f t="shared" si="239"/>
        <v>0</v>
      </c>
      <c r="AA1894" s="1">
        <f>--EXACT(A1894,"L01888")</f>
        <v>1</v>
      </c>
    </row>
    <row r="1895" spans="1:27" ht="18.95" customHeight="1">
      <c r="A1895" s="1" t="str">
        <f>IF(Raw!A1895="","",Raw!A1895)</f>
        <v>L01889</v>
      </c>
      <c r="B1895" s="1" t="str">
        <f>IF(Raw!B1895="","",Raw!B1895)</f>
        <v>T00945</v>
      </c>
      <c r="C1895" s="1" t="str">
        <f>IF(Raw!C1895="","",Raw!C1895)</f>
        <v>2026-02-08</v>
      </c>
      <c r="D1895" s="1">
        <f t="shared" si="232"/>
        <v>2026</v>
      </c>
      <c r="E1895" s="1">
        <f>IFERROR(IF(AND(LEN(C1895)=10,MID(C1895,5,1)="-",MID(C1895,8,1)="-"),VALUE(MID(C1895,6,2)),IF(AND(LEN(C1895)=11,MID(C1895,3,1)="-",MID(C1895,7,1)="-"),MATCH(UPPER(MID(C1895,4,3)),Guide!$D$7:$D$18,0),0)),0)</f>
        <v>2</v>
      </c>
      <c r="F1895" s="1">
        <f t="shared" si="233"/>
        <v>8</v>
      </c>
      <c r="G1895" s="9">
        <f t="shared" si="234"/>
        <v>46061</v>
      </c>
      <c r="H1895" s="1" t="str">
        <f>IF(Raw!D1895="","",Raw!D1895)</f>
        <v>P-H</v>
      </c>
      <c r="I1895" s="1" t="str">
        <f>IFERROR(IF(EXACT(H1895,INDEX(Guide!$A$7:$A$9,MATCH(SUBSTITUTE(SUBSTITUTE(SUBSTITUTE(H1895,"~","~~"),"*","~*"),"?","~?"),Guide!$A$7:$A$9,0))),INDEX(Guide!$B$7:$B$9,MATCH(SUBSTITUTE(SUBSTITUTE(SUBSTITUTE(H1895,"~","~~"),"*","~*"),"?","~?"),Guide!$A$7:$A$9,0)),""),"")</f>
        <v>Home</v>
      </c>
      <c r="J1895" s="1" t="str">
        <f>IF(TRIM(Raw!E1895)="",I1895,IF(UPPER(TRIM(Raw!E1895))=UPPER(I1895),I1895,""))</f>
        <v>Home</v>
      </c>
      <c r="K1895" s="1" t="str">
        <f>IF(Raw!F1895="","",Raw!F1895)</f>
        <v>sale</v>
      </c>
      <c r="L1895" s="1" t="str">
        <f>IF(LEFT(TRIM(Raw!G1895),2)="-$","-"&amp;MID(TRIM(Raw!G1895),3,99),IF(LEFT(TRIM(Raw!G1895),1)="$",MID(TRIM(Raw!G1895),2,99),TRIM(Raw!G1895)))</f>
        <v>207.10</v>
      </c>
      <c r="M1895" s="1">
        <f t="shared" si="235"/>
        <v>207.1</v>
      </c>
      <c r="N1895" s="10">
        <f t="shared" si="236"/>
        <v>20710</v>
      </c>
      <c r="O1895" s="1" t="b">
        <f>IFERROR(IF(ISNUMBER(Raw!G1895),TRUE,OR(EXACT(L1895,TEXT(M1895,"0.00")),EXACT(L1895,TEXT(M1895,"#,##0.00")))),FALSE)</f>
        <v>1</v>
      </c>
      <c r="P1895" s="1" t="str">
        <f>LEN(IF(Raw!A1895="","",Raw!A1895))&amp;":"&amp;IF(Raw!A1895="","",Raw!A1895)&amp;"|"&amp;LEN(IF(Raw!B1895="","",Raw!B1895))&amp;":"&amp;IF(Raw!B1895="","",Raw!B1895)&amp;"|"&amp;LEN(IF(Raw!C1895="","",Raw!C1895))&amp;":"&amp;IF(Raw!C1895="","",Raw!C1895)&amp;"|"&amp;LEN(IF(Raw!D1895="","",Raw!D1895))&amp;":"&amp;IF(Raw!D1895="","",Raw!D1895)&amp;"|"&amp;LEN(IF(Raw!E1895="","",Raw!E1895))&amp;":"&amp;IF(Raw!E1895="","",Raw!E1895)&amp;"|"&amp;LEN(IF(Raw!F1895="","",Raw!F1895))&amp;":"&amp;IF(Raw!F1895="","",Raw!F1895)&amp;"|"&amp;LEN(IF(Raw!G1895="","",Raw!G1895))&amp;":"&amp;IF(Raw!G1895="","",Raw!G1895)</f>
        <v>6:L01889|6:T00945|10:2026-02-08|3:P-H|4:Home|4:sale|6:207.10</v>
      </c>
      <c r="Q1895" s="1">
        <f>1</f>
        <v>1</v>
      </c>
      <c r="R1895" s="1" t="b">
        <f>FALSE</f>
        <v>0</v>
      </c>
      <c r="S1895" s="1">
        <f>1</f>
        <v>1</v>
      </c>
      <c r="T1895" s="1" t="str">
        <f>IF(AND(Raw!A1895="",Raw!B1895="",Raw!C1895="",Raw!D1895="",Raw!E1895="",Raw!F1895="",Raw!G1895=""),"UNUSED",IF(A1895="","missing line ID",IF(B1895="","missing transaction ID",IF(G1895="",IF(C1895="","missing date","invalid date"),IF(I1895="","unknown product",IF(J1895="","conflicting category",IF(NOT(OR(EXACT(K1895,"sale"),EXACT(K1895,"refund"))),"unknown event",IF(OR(N1895="",NOT(O1895)),"invalid amount",IF(OR(AND(K1895="sale",N1895&lt;=0),AND(K1895="refund",N1895&gt;=0)),"invalid sign","")))))))))</f>
        <v/>
      </c>
      <c r="U1895" s="1" t="str">
        <f t="shared" si="237"/>
        <v>INCLUDED</v>
      </c>
      <c r="V1895" s="1" t="str">
        <f t="shared" si="238"/>
        <v>2026-02</v>
      </c>
      <c r="W1895" s="1">
        <f>IF(AND(U1895="INCLUDED",X1895&gt;0,EXACT(A1895,'AI output'!A1895)),1,0)</f>
        <v>1</v>
      </c>
      <c r="X1895" s="1">
        <f>1895</f>
        <v>1895</v>
      </c>
      <c r="Y1895" s="1">
        <f>IF(AND(U1895="INCLUDED",W1895=1),--(NOT(EXACT(A1895,'AI output'!A1895)))+--(NOT(EXACT(B1895,'AI output'!B1895)))+--(NOT(EXACT(TEXT(G1895,"yyyy-mm-dd"),'AI output'!C1895)))+--(NOT(EXACT(H1895,'AI output'!D1895)))+--(NOT(EXACT(J1895,'AI output'!E1895)))+--(NOT(EXACT(K1895,'AI output'!F1895)))+--(N1895&lt;&gt;'AI output'!L1895)+--(NOT('AI output'!M1895)),0)</f>
        <v>0</v>
      </c>
      <c r="Z1895" s="1">
        <f t="shared" si="239"/>
        <v>0</v>
      </c>
      <c r="AA1895" s="1">
        <f>--EXACT(A1895,"L01889")</f>
        <v>1</v>
      </c>
    </row>
    <row r="1896" spans="1:27" ht="18.95" customHeight="1">
      <c r="A1896" s="1" t="str">
        <f>IF(Raw!A1896="","",Raw!A1896)</f>
        <v>L01890</v>
      </c>
      <c r="B1896" s="1" t="str">
        <f>IF(Raw!B1896="","",Raw!B1896)</f>
        <v>T00945</v>
      </c>
      <c r="C1896" s="1" t="str">
        <f>IF(Raw!C1896="","",Raw!C1896)</f>
        <v>2026-02-08</v>
      </c>
      <c r="D1896" s="1">
        <f t="shared" si="232"/>
        <v>2026</v>
      </c>
      <c r="E1896" s="1">
        <f>IFERROR(IF(AND(LEN(C1896)=10,MID(C1896,5,1)="-",MID(C1896,8,1)="-"),VALUE(MID(C1896,6,2)),IF(AND(LEN(C1896)=11,MID(C1896,3,1)="-",MID(C1896,7,1)="-"),MATCH(UPPER(MID(C1896,4,3)),Guide!$D$7:$D$18,0),0)),0)</f>
        <v>2</v>
      </c>
      <c r="F1896" s="1">
        <f t="shared" si="233"/>
        <v>8</v>
      </c>
      <c r="G1896" s="9">
        <f t="shared" si="234"/>
        <v>46061</v>
      </c>
      <c r="H1896" s="1" t="str">
        <f>IF(Raw!D1896="","",Raw!D1896)</f>
        <v>P-O</v>
      </c>
      <c r="I1896" s="1" t="str">
        <f>IFERROR(IF(EXACT(H1896,INDEX(Guide!$A$7:$A$9,MATCH(SUBSTITUTE(SUBSTITUTE(SUBSTITUTE(H1896,"~","~~"),"*","~*"),"?","~?"),Guide!$A$7:$A$9,0))),INDEX(Guide!$B$7:$B$9,MATCH(SUBSTITUTE(SUBSTITUTE(SUBSTITUTE(H1896,"~","~~"),"*","~*"),"?","~?"),Guide!$A$7:$A$9,0)),""),"")</f>
        <v>Office</v>
      </c>
      <c r="J1896" s="1" t="str">
        <f>IF(TRIM(Raw!E1896)="",I1896,IF(UPPER(TRIM(Raw!E1896))=UPPER(I1896),I1896,""))</f>
        <v>Office</v>
      </c>
      <c r="K1896" s="1" t="str">
        <f>IF(Raw!F1896="","",Raw!F1896)</f>
        <v>sale</v>
      </c>
      <c r="L1896" s="1" t="str">
        <f>IF(LEFT(TRIM(Raw!G1896),2)="-$","-"&amp;MID(TRIM(Raw!G1896),3,99),IF(LEFT(TRIM(Raw!G1896),1)="$",MID(TRIM(Raw!G1896),2,99),TRIM(Raw!G1896)))</f>
        <v>415.68</v>
      </c>
      <c r="M1896" s="1">
        <f t="shared" si="235"/>
        <v>415.68</v>
      </c>
      <c r="N1896" s="10">
        <f t="shared" si="236"/>
        <v>41568</v>
      </c>
      <c r="O1896" s="1" t="b">
        <f>IFERROR(IF(ISNUMBER(Raw!G1896),TRUE,OR(EXACT(L1896,TEXT(M1896,"0.00")),EXACT(L1896,TEXT(M1896,"#,##0.00")))),FALSE)</f>
        <v>1</v>
      </c>
      <c r="P1896" s="1" t="str">
        <f>LEN(IF(Raw!A1896="","",Raw!A1896))&amp;":"&amp;IF(Raw!A1896="","",Raw!A1896)&amp;"|"&amp;LEN(IF(Raw!B1896="","",Raw!B1896))&amp;":"&amp;IF(Raw!B1896="","",Raw!B1896)&amp;"|"&amp;LEN(IF(Raw!C1896="","",Raw!C1896))&amp;":"&amp;IF(Raw!C1896="","",Raw!C1896)&amp;"|"&amp;LEN(IF(Raw!D1896="","",Raw!D1896))&amp;":"&amp;IF(Raw!D1896="","",Raw!D1896)&amp;"|"&amp;LEN(IF(Raw!E1896="","",Raw!E1896))&amp;":"&amp;IF(Raw!E1896="","",Raw!E1896)&amp;"|"&amp;LEN(IF(Raw!F1896="","",Raw!F1896))&amp;":"&amp;IF(Raw!F1896="","",Raw!F1896)&amp;"|"&amp;LEN(IF(Raw!G1896="","",Raw!G1896))&amp;":"&amp;IF(Raw!G1896="","",Raw!G1896)</f>
        <v>6:L01890|6:T00945|10:2026-02-08|3:P-O|6:Office|4:sale|6:415.68</v>
      </c>
      <c r="Q1896" s="1">
        <f>1</f>
        <v>1</v>
      </c>
      <c r="R1896" s="1" t="b">
        <f>FALSE</f>
        <v>0</v>
      </c>
      <c r="S1896" s="1">
        <f>1</f>
        <v>1</v>
      </c>
      <c r="T1896" s="1" t="str">
        <f>IF(AND(Raw!A1896="",Raw!B1896="",Raw!C1896="",Raw!D1896="",Raw!E1896="",Raw!F1896="",Raw!G1896=""),"UNUSED",IF(A1896="","missing line ID",IF(B1896="","missing transaction ID",IF(G1896="",IF(C1896="","missing date","invalid date"),IF(I1896="","unknown product",IF(J1896="","conflicting category",IF(NOT(OR(EXACT(K1896,"sale"),EXACT(K1896,"refund"))),"unknown event",IF(OR(N1896="",NOT(O1896)),"invalid amount",IF(OR(AND(K1896="sale",N1896&lt;=0),AND(K1896="refund",N1896&gt;=0)),"invalid sign","")))))))))</f>
        <v/>
      </c>
      <c r="U1896" s="1" t="str">
        <f t="shared" si="237"/>
        <v>INCLUDED</v>
      </c>
      <c r="V1896" s="1" t="str">
        <f t="shared" si="238"/>
        <v>2026-02</v>
      </c>
      <c r="W1896" s="1">
        <f>IF(AND(U1896="INCLUDED",X1896&gt;0,EXACT(A1896,'AI output'!A1896)),1,0)</f>
        <v>1</v>
      </c>
      <c r="X1896" s="1">
        <f>1896</f>
        <v>1896</v>
      </c>
      <c r="Y1896" s="1">
        <f>IF(AND(U1896="INCLUDED",W1896=1),--(NOT(EXACT(A1896,'AI output'!A1896)))+--(NOT(EXACT(B1896,'AI output'!B1896)))+--(NOT(EXACT(TEXT(G1896,"yyyy-mm-dd"),'AI output'!C1896)))+--(NOT(EXACT(H1896,'AI output'!D1896)))+--(NOT(EXACT(J1896,'AI output'!E1896)))+--(NOT(EXACT(K1896,'AI output'!F1896)))+--(N1896&lt;&gt;'AI output'!L1896)+--(NOT('AI output'!M1896)),0)</f>
        <v>0</v>
      </c>
      <c r="Z1896" s="1">
        <f t="shared" si="239"/>
        <v>0</v>
      </c>
      <c r="AA1896" s="1">
        <f>--EXACT(A1896,"L01890")</f>
        <v>1</v>
      </c>
    </row>
    <row r="1897" spans="1:27" ht="18.95" customHeight="1">
      <c r="A1897" s="1" t="str">
        <f>IF(Raw!A1897="","",Raw!A1897)</f>
        <v>L01891</v>
      </c>
      <c r="B1897" s="1" t="str">
        <f>IF(Raw!B1897="","",Raw!B1897)</f>
        <v>T00946</v>
      </c>
      <c r="C1897" s="1" t="str">
        <f>IF(Raw!C1897="","",Raw!C1897)</f>
        <v>2026-02-15</v>
      </c>
      <c r="D1897" s="1">
        <f t="shared" si="232"/>
        <v>2026</v>
      </c>
      <c r="E1897" s="1">
        <f>IFERROR(IF(AND(LEN(C1897)=10,MID(C1897,5,1)="-",MID(C1897,8,1)="-"),VALUE(MID(C1897,6,2)),IF(AND(LEN(C1897)=11,MID(C1897,3,1)="-",MID(C1897,7,1)="-"),MATCH(UPPER(MID(C1897,4,3)),Guide!$D$7:$D$18,0),0)),0)</f>
        <v>2</v>
      </c>
      <c r="F1897" s="1">
        <f t="shared" si="233"/>
        <v>15</v>
      </c>
      <c r="G1897" s="9">
        <f t="shared" si="234"/>
        <v>46068</v>
      </c>
      <c r="H1897" s="1" t="str">
        <f>IF(Raw!D1897="","",Raw!D1897)</f>
        <v>P-A</v>
      </c>
      <c r="I1897" s="1" t="str">
        <f>IFERROR(IF(EXACT(H1897,INDEX(Guide!$A$7:$A$9,MATCH(SUBSTITUTE(SUBSTITUTE(SUBSTITUTE(H1897,"~","~~"),"*","~*"),"?","~?"),Guide!$A$7:$A$9,0))),INDEX(Guide!$B$7:$B$9,MATCH(SUBSTITUTE(SUBSTITUTE(SUBSTITUTE(H1897,"~","~~"),"*","~*"),"?","~?"),Guide!$A$7:$A$9,0)),""),"")</f>
        <v>Accessories</v>
      </c>
      <c r="J1897" s="1" t="str">
        <f>IF(TRIM(Raw!E1897)="",I1897,IF(UPPER(TRIM(Raw!E1897))=UPPER(I1897),I1897,""))</f>
        <v>Accessories</v>
      </c>
      <c r="K1897" s="1" t="str">
        <f>IF(Raw!F1897="","",Raw!F1897)</f>
        <v>sale</v>
      </c>
      <c r="L1897" s="1" t="str">
        <f>IF(LEFT(TRIM(Raw!G1897),2)="-$","-"&amp;MID(TRIM(Raw!G1897),3,99),IF(LEFT(TRIM(Raw!G1897),1)="$",MID(TRIM(Raw!G1897),2,99),TRIM(Raw!G1897)))</f>
        <v>104.29</v>
      </c>
      <c r="M1897" s="1">
        <f t="shared" si="235"/>
        <v>104.29</v>
      </c>
      <c r="N1897" s="10">
        <f t="shared" si="236"/>
        <v>10429</v>
      </c>
      <c r="O1897" s="1" t="b">
        <f>IFERROR(IF(ISNUMBER(Raw!G1897),TRUE,OR(EXACT(L1897,TEXT(M1897,"0.00")),EXACT(L1897,TEXT(M1897,"#,##0.00")))),FALSE)</f>
        <v>1</v>
      </c>
      <c r="P1897" s="1" t="str">
        <f>LEN(IF(Raw!A1897="","",Raw!A1897))&amp;":"&amp;IF(Raw!A1897="","",Raw!A1897)&amp;"|"&amp;LEN(IF(Raw!B1897="","",Raw!B1897))&amp;":"&amp;IF(Raw!B1897="","",Raw!B1897)&amp;"|"&amp;LEN(IF(Raw!C1897="","",Raw!C1897))&amp;":"&amp;IF(Raw!C1897="","",Raw!C1897)&amp;"|"&amp;LEN(IF(Raw!D1897="","",Raw!D1897))&amp;":"&amp;IF(Raw!D1897="","",Raw!D1897)&amp;"|"&amp;LEN(IF(Raw!E1897="","",Raw!E1897))&amp;":"&amp;IF(Raw!E1897="","",Raw!E1897)&amp;"|"&amp;LEN(IF(Raw!F1897="","",Raw!F1897))&amp;":"&amp;IF(Raw!F1897="","",Raw!F1897)&amp;"|"&amp;LEN(IF(Raw!G1897="","",Raw!G1897))&amp;":"&amp;IF(Raw!G1897="","",Raw!G1897)</f>
        <v>6:L01891|6:T00946|10:2026-02-15|3:P-A|11:Accessories|4:sale|6:104.29</v>
      </c>
      <c r="Q1897" s="1">
        <f>1</f>
        <v>1</v>
      </c>
      <c r="R1897" s="1" t="b">
        <f>FALSE</f>
        <v>0</v>
      </c>
      <c r="S1897" s="1">
        <f>1</f>
        <v>1</v>
      </c>
      <c r="T1897" s="1" t="str">
        <f>IF(AND(Raw!A1897="",Raw!B1897="",Raw!C1897="",Raw!D1897="",Raw!E1897="",Raw!F1897="",Raw!G1897=""),"UNUSED",IF(A1897="","missing line ID",IF(B1897="","missing transaction ID",IF(G1897="",IF(C1897="","missing date","invalid date"),IF(I1897="","unknown product",IF(J1897="","conflicting category",IF(NOT(OR(EXACT(K1897,"sale"),EXACT(K1897,"refund"))),"unknown event",IF(OR(N1897="",NOT(O1897)),"invalid amount",IF(OR(AND(K1897="sale",N1897&lt;=0),AND(K1897="refund",N1897&gt;=0)),"invalid sign","")))))))))</f>
        <v/>
      </c>
      <c r="U1897" s="1" t="str">
        <f t="shared" si="237"/>
        <v>INCLUDED</v>
      </c>
      <c r="V1897" s="1" t="str">
        <f t="shared" si="238"/>
        <v>2026-02</v>
      </c>
      <c r="W1897" s="1">
        <f>IF(AND(U1897="INCLUDED",X1897&gt;0,EXACT(A1897,'AI output'!A1897)),1,0)</f>
        <v>1</v>
      </c>
      <c r="X1897" s="1">
        <f>1897</f>
        <v>1897</v>
      </c>
      <c r="Y1897" s="1">
        <f>IF(AND(U1897="INCLUDED",W1897=1),--(NOT(EXACT(A1897,'AI output'!A1897)))+--(NOT(EXACT(B1897,'AI output'!B1897)))+--(NOT(EXACT(TEXT(G1897,"yyyy-mm-dd"),'AI output'!C1897)))+--(NOT(EXACT(H1897,'AI output'!D1897)))+--(NOT(EXACT(J1897,'AI output'!E1897)))+--(NOT(EXACT(K1897,'AI output'!F1897)))+--(N1897&lt;&gt;'AI output'!L1897)+--(NOT('AI output'!M1897)),0)</f>
        <v>0</v>
      </c>
      <c r="Z1897" s="1">
        <f t="shared" si="239"/>
        <v>0</v>
      </c>
      <c r="AA1897" s="1">
        <f>--EXACT(A1897,"L01891")</f>
        <v>1</v>
      </c>
    </row>
    <row r="1898" spans="1:27" ht="18.95" customHeight="1">
      <c r="A1898" s="1" t="str">
        <f>IF(Raw!A1898="","",Raw!A1898)</f>
        <v>L01892</v>
      </c>
      <c r="B1898" s="1" t="str">
        <f>IF(Raw!B1898="","",Raw!B1898)</f>
        <v>T00946</v>
      </c>
      <c r="C1898" s="1" t="str">
        <f>IF(Raw!C1898="","",Raw!C1898)</f>
        <v>2026-02-15</v>
      </c>
      <c r="D1898" s="1">
        <f t="shared" si="232"/>
        <v>2026</v>
      </c>
      <c r="E1898" s="1">
        <f>IFERROR(IF(AND(LEN(C1898)=10,MID(C1898,5,1)="-",MID(C1898,8,1)="-"),VALUE(MID(C1898,6,2)),IF(AND(LEN(C1898)=11,MID(C1898,3,1)="-",MID(C1898,7,1)="-"),MATCH(UPPER(MID(C1898,4,3)),Guide!$D$7:$D$18,0),0)),0)</f>
        <v>2</v>
      </c>
      <c r="F1898" s="1">
        <f t="shared" si="233"/>
        <v>15</v>
      </c>
      <c r="G1898" s="9">
        <f t="shared" si="234"/>
        <v>46068</v>
      </c>
      <c r="H1898" s="1" t="str">
        <f>IF(Raw!D1898="","",Raw!D1898)</f>
        <v>P-H</v>
      </c>
      <c r="I1898" s="1" t="str">
        <f>IFERROR(IF(EXACT(H1898,INDEX(Guide!$A$7:$A$9,MATCH(SUBSTITUTE(SUBSTITUTE(SUBSTITUTE(H1898,"~","~~"),"*","~*"),"?","~?"),Guide!$A$7:$A$9,0))),INDEX(Guide!$B$7:$B$9,MATCH(SUBSTITUTE(SUBSTITUTE(SUBSTITUTE(H1898,"~","~~"),"*","~*"),"?","~?"),Guide!$A$7:$A$9,0)),""),"")</f>
        <v>Home</v>
      </c>
      <c r="J1898" s="1" t="str">
        <f>IF(TRIM(Raw!E1898)="",I1898,IF(UPPER(TRIM(Raw!E1898))=UPPER(I1898),I1898,""))</f>
        <v>Home</v>
      </c>
      <c r="K1898" s="1" t="str">
        <f>IF(Raw!F1898="","",Raw!F1898)</f>
        <v>sale</v>
      </c>
      <c r="L1898" s="1" t="str">
        <f>IF(LEFT(TRIM(Raw!G1898),2)="-$","-"&amp;MID(TRIM(Raw!G1898),3,99),IF(LEFT(TRIM(Raw!G1898),1)="$",MID(TRIM(Raw!G1898),2,99),TRIM(Raw!G1898)))</f>
        <v>313.98</v>
      </c>
      <c r="M1898" s="1">
        <f t="shared" si="235"/>
        <v>313.98</v>
      </c>
      <c r="N1898" s="10">
        <f t="shared" si="236"/>
        <v>31398</v>
      </c>
      <c r="O1898" s="1" t="b">
        <f>IFERROR(IF(ISNUMBER(Raw!G1898),TRUE,OR(EXACT(L1898,TEXT(M1898,"0.00")),EXACT(L1898,TEXT(M1898,"#,##0.00")))),FALSE)</f>
        <v>1</v>
      </c>
      <c r="P1898" s="1" t="str">
        <f>LEN(IF(Raw!A1898="","",Raw!A1898))&amp;":"&amp;IF(Raw!A1898="","",Raw!A1898)&amp;"|"&amp;LEN(IF(Raw!B1898="","",Raw!B1898))&amp;":"&amp;IF(Raw!B1898="","",Raw!B1898)&amp;"|"&amp;LEN(IF(Raw!C1898="","",Raw!C1898))&amp;":"&amp;IF(Raw!C1898="","",Raw!C1898)&amp;"|"&amp;LEN(IF(Raw!D1898="","",Raw!D1898))&amp;":"&amp;IF(Raw!D1898="","",Raw!D1898)&amp;"|"&amp;LEN(IF(Raw!E1898="","",Raw!E1898))&amp;":"&amp;IF(Raw!E1898="","",Raw!E1898)&amp;"|"&amp;LEN(IF(Raw!F1898="","",Raw!F1898))&amp;":"&amp;IF(Raw!F1898="","",Raw!F1898)&amp;"|"&amp;LEN(IF(Raw!G1898="","",Raw!G1898))&amp;":"&amp;IF(Raw!G1898="","",Raw!G1898)</f>
        <v>6:L01892|6:T00946|10:2026-02-15|3:P-H|4:Home|4:sale|6:313.98</v>
      </c>
      <c r="Q1898" s="1">
        <f>1</f>
        <v>1</v>
      </c>
      <c r="R1898" s="1" t="b">
        <f>FALSE</f>
        <v>0</v>
      </c>
      <c r="S1898" s="1">
        <f>1</f>
        <v>1</v>
      </c>
      <c r="T1898" s="1" t="str">
        <f>IF(AND(Raw!A1898="",Raw!B1898="",Raw!C1898="",Raw!D1898="",Raw!E1898="",Raw!F1898="",Raw!G1898=""),"UNUSED",IF(A1898="","missing line ID",IF(B1898="","missing transaction ID",IF(G1898="",IF(C1898="","missing date","invalid date"),IF(I1898="","unknown product",IF(J1898="","conflicting category",IF(NOT(OR(EXACT(K1898,"sale"),EXACT(K1898,"refund"))),"unknown event",IF(OR(N1898="",NOT(O1898)),"invalid amount",IF(OR(AND(K1898="sale",N1898&lt;=0),AND(K1898="refund",N1898&gt;=0)),"invalid sign","")))))))))</f>
        <v/>
      </c>
      <c r="U1898" s="1" t="str">
        <f t="shared" si="237"/>
        <v>INCLUDED</v>
      </c>
      <c r="V1898" s="1" t="str">
        <f t="shared" si="238"/>
        <v>2026-02</v>
      </c>
      <c r="W1898" s="1">
        <f>IF(AND(U1898="INCLUDED",X1898&gt;0,EXACT(A1898,'AI output'!A1898)),1,0)</f>
        <v>1</v>
      </c>
      <c r="X1898" s="1">
        <f>1898</f>
        <v>1898</v>
      </c>
      <c r="Y1898" s="1">
        <f>IF(AND(U1898="INCLUDED",W1898=1),--(NOT(EXACT(A1898,'AI output'!A1898)))+--(NOT(EXACT(B1898,'AI output'!B1898)))+--(NOT(EXACT(TEXT(G1898,"yyyy-mm-dd"),'AI output'!C1898)))+--(NOT(EXACT(H1898,'AI output'!D1898)))+--(NOT(EXACT(J1898,'AI output'!E1898)))+--(NOT(EXACT(K1898,'AI output'!F1898)))+--(N1898&lt;&gt;'AI output'!L1898)+--(NOT('AI output'!M1898)),0)</f>
        <v>0</v>
      </c>
      <c r="Z1898" s="1">
        <f t="shared" si="239"/>
        <v>0</v>
      </c>
      <c r="AA1898" s="1">
        <f>--EXACT(A1898,"L01892")</f>
        <v>1</v>
      </c>
    </row>
    <row r="1899" spans="1:27" ht="18.95" customHeight="1">
      <c r="A1899" s="1" t="str">
        <f>IF(Raw!A1899="","",Raw!A1899)</f>
        <v>L01893</v>
      </c>
      <c r="B1899" s="1" t="str">
        <f>IF(Raw!B1899="","",Raw!B1899)</f>
        <v>T00947</v>
      </c>
      <c r="C1899" s="1" t="str">
        <f>IF(Raw!C1899="","",Raw!C1899)</f>
        <v>2026-02-22</v>
      </c>
      <c r="D1899" s="1">
        <f t="shared" si="232"/>
        <v>2026</v>
      </c>
      <c r="E1899" s="1">
        <f>IFERROR(IF(AND(LEN(C1899)=10,MID(C1899,5,1)="-",MID(C1899,8,1)="-"),VALUE(MID(C1899,6,2)),IF(AND(LEN(C1899)=11,MID(C1899,3,1)="-",MID(C1899,7,1)="-"),MATCH(UPPER(MID(C1899,4,3)),Guide!$D$7:$D$18,0),0)),0)</f>
        <v>2</v>
      </c>
      <c r="F1899" s="1">
        <f t="shared" si="233"/>
        <v>22</v>
      </c>
      <c r="G1899" s="9">
        <f t="shared" si="234"/>
        <v>46075</v>
      </c>
      <c r="H1899" s="1" t="str">
        <f>IF(Raw!D1899="","",Raw!D1899)</f>
        <v>P-O</v>
      </c>
      <c r="I1899" s="1" t="str">
        <f>IFERROR(IF(EXACT(H1899,INDEX(Guide!$A$7:$A$9,MATCH(SUBSTITUTE(SUBSTITUTE(SUBSTITUTE(H1899,"~","~~"),"*","~*"),"?","~?"),Guide!$A$7:$A$9,0))),INDEX(Guide!$B$7:$B$9,MATCH(SUBSTITUTE(SUBSTITUTE(SUBSTITUTE(H1899,"~","~~"),"*","~*"),"?","~?"),Guide!$A$7:$A$9,0)),""),"")</f>
        <v>Office</v>
      </c>
      <c r="J1899" s="1" t="str">
        <f>IF(TRIM(Raw!E1899)="",I1899,IF(UPPER(TRIM(Raw!E1899))=UPPER(I1899),I1899,""))</f>
        <v>Office</v>
      </c>
      <c r="K1899" s="1" t="str">
        <f>IF(Raw!F1899="","",Raw!F1899)</f>
        <v>sale</v>
      </c>
      <c r="L1899" s="1" t="str">
        <f>IF(LEFT(TRIM(Raw!G1899),2)="-$","-"&amp;MID(TRIM(Raw!G1899),3,99),IF(LEFT(TRIM(Raw!G1899),1)="$",MID(TRIM(Raw!G1899),2,99),TRIM(Raw!G1899)))</f>
        <v>525.15</v>
      </c>
      <c r="M1899" s="1">
        <f t="shared" si="235"/>
        <v>525.15</v>
      </c>
      <c r="N1899" s="10">
        <f t="shared" si="236"/>
        <v>52515</v>
      </c>
      <c r="O1899" s="1" t="b">
        <f>IFERROR(IF(ISNUMBER(Raw!G1899),TRUE,OR(EXACT(L1899,TEXT(M1899,"0.00")),EXACT(L1899,TEXT(M1899,"#,##0.00")))),FALSE)</f>
        <v>1</v>
      </c>
      <c r="P1899" s="1" t="str">
        <f>LEN(IF(Raw!A1899="","",Raw!A1899))&amp;":"&amp;IF(Raw!A1899="","",Raw!A1899)&amp;"|"&amp;LEN(IF(Raw!B1899="","",Raw!B1899))&amp;":"&amp;IF(Raw!B1899="","",Raw!B1899)&amp;"|"&amp;LEN(IF(Raw!C1899="","",Raw!C1899))&amp;":"&amp;IF(Raw!C1899="","",Raw!C1899)&amp;"|"&amp;LEN(IF(Raw!D1899="","",Raw!D1899))&amp;":"&amp;IF(Raw!D1899="","",Raw!D1899)&amp;"|"&amp;LEN(IF(Raw!E1899="","",Raw!E1899))&amp;":"&amp;IF(Raw!E1899="","",Raw!E1899)&amp;"|"&amp;LEN(IF(Raw!F1899="","",Raw!F1899))&amp;":"&amp;IF(Raw!F1899="","",Raw!F1899)&amp;"|"&amp;LEN(IF(Raw!G1899="","",Raw!G1899))&amp;":"&amp;IF(Raw!G1899="","",Raw!G1899)</f>
        <v>6:L01893|6:T00947|10:2026-02-22|3:P-O|6:Office|4:sale|6:525.15</v>
      </c>
      <c r="Q1899" s="1">
        <f>1</f>
        <v>1</v>
      </c>
      <c r="R1899" s="1" t="b">
        <f>FALSE</f>
        <v>0</v>
      </c>
      <c r="S1899" s="1">
        <f>1</f>
        <v>1</v>
      </c>
      <c r="T1899" s="1" t="str">
        <f>IF(AND(Raw!A1899="",Raw!B1899="",Raw!C1899="",Raw!D1899="",Raw!E1899="",Raw!F1899="",Raw!G1899=""),"UNUSED",IF(A1899="","missing line ID",IF(B1899="","missing transaction ID",IF(G1899="",IF(C1899="","missing date","invalid date"),IF(I1899="","unknown product",IF(J1899="","conflicting category",IF(NOT(OR(EXACT(K1899,"sale"),EXACT(K1899,"refund"))),"unknown event",IF(OR(N1899="",NOT(O1899)),"invalid amount",IF(OR(AND(K1899="sale",N1899&lt;=0),AND(K1899="refund",N1899&gt;=0)),"invalid sign","")))))))))</f>
        <v/>
      </c>
      <c r="U1899" s="1" t="str">
        <f t="shared" si="237"/>
        <v>INCLUDED</v>
      </c>
      <c r="V1899" s="1" t="str">
        <f t="shared" si="238"/>
        <v>2026-02</v>
      </c>
      <c r="W1899" s="1">
        <f>IF(AND(U1899="INCLUDED",X1899&gt;0,EXACT(A1899,'AI output'!A1899)),1,0)</f>
        <v>1</v>
      </c>
      <c r="X1899" s="1">
        <f>1899</f>
        <v>1899</v>
      </c>
      <c r="Y1899" s="1">
        <f>IF(AND(U1899="INCLUDED",W1899=1),--(NOT(EXACT(A1899,'AI output'!A1899)))+--(NOT(EXACT(B1899,'AI output'!B1899)))+--(NOT(EXACT(TEXT(G1899,"yyyy-mm-dd"),'AI output'!C1899)))+--(NOT(EXACT(H1899,'AI output'!D1899)))+--(NOT(EXACT(J1899,'AI output'!E1899)))+--(NOT(EXACT(K1899,'AI output'!F1899)))+--(N1899&lt;&gt;'AI output'!L1899)+--(NOT('AI output'!M1899)),0)</f>
        <v>0</v>
      </c>
      <c r="Z1899" s="1">
        <f t="shared" si="239"/>
        <v>0</v>
      </c>
      <c r="AA1899" s="1">
        <f>--EXACT(A1899,"L01893")</f>
        <v>1</v>
      </c>
    </row>
    <row r="1900" spans="1:27" ht="18.95" customHeight="1">
      <c r="A1900" s="1" t="str">
        <f>IF(Raw!A1900="","",Raw!A1900)</f>
        <v>L01894</v>
      </c>
      <c r="B1900" s="1" t="str">
        <f>IF(Raw!B1900="","",Raw!B1900)</f>
        <v>T00947</v>
      </c>
      <c r="C1900" s="1" t="str">
        <f>IF(Raw!C1900="","",Raw!C1900)</f>
        <v>2026-02-22</v>
      </c>
      <c r="D1900" s="1">
        <f t="shared" si="232"/>
        <v>2026</v>
      </c>
      <c r="E1900" s="1">
        <f>IFERROR(IF(AND(LEN(C1900)=10,MID(C1900,5,1)="-",MID(C1900,8,1)="-"),VALUE(MID(C1900,6,2)),IF(AND(LEN(C1900)=11,MID(C1900,3,1)="-",MID(C1900,7,1)="-"),MATCH(UPPER(MID(C1900,4,3)),Guide!$D$7:$D$18,0),0)),0)</f>
        <v>2</v>
      </c>
      <c r="F1900" s="1">
        <f t="shared" si="233"/>
        <v>22</v>
      </c>
      <c r="G1900" s="9">
        <f t="shared" si="234"/>
        <v>46075</v>
      </c>
      <c r="H1900" s="1" t="str">
        <f>IF(Raw!D1900="","",Raw!D1900)</f>
        <v>P-A</v>
      </c>
      <c r="I1900" s="1" t="str">
        <f>IFERROR(IF(EXACT(H1900,INDEX(Guide!$A$7:$A$9,MATCH(SUBSTITUTE(SUBSTITUTE(SUBSTITUTE(H1900,"~","~~"),"*","~*"),"?","~?"),Guide!$A$7:$A$9,0))),INDEX(Guide!$B$7:$B$9,MATCH(SUBSTITUTE(SUBSTITUTE(SUBSTITUTE(H1900,"~","~~"),"*","~*"),"?","~?"),Guide!$A$7:$A$9,0)),""),"")</f>
        <v>Accessories</v>
      </c>
      <c r="J1900" s="1" t="str">
        <f>IF(TRIM(Raw!E1900)="",I1900,IF(UPPER(TRIM(Raw!E1900))=UPPER(I1900),I1900,""))</f>
        <v>Accessories</v>
      </c>
      <c r="K1900" s="1" t="str">
        <f>IF(Raw!F1900="","",Raw!F1900)</f>
        <v>sale</v>
      </c>
      <c r="L1900" s="1" t="str">
        <f>IF(LEFT(TRIM(Raw!G1900),2)="-$","-"&amp;MID(TRIM(Raw!G1900),3,99),IF(LEFT(TRIM(Raw!G1900),1)="$",MID(TRIM(Raw!G1900),2,99),TRIM(Raw!G1900)))</f>
        <v>210.80</v>
      </c>
      <c r="M1900" s="1">
        <f t="shared" si="235"/>
        <v>210.8</v>
      </c>
      <c r="N1900" s="10">
        <f t="shared" si="236"/>
        <v>21080</v>
      </c>
      <c r="O1900" s="1" t="b">
        <f>IFERROR(IF(ISNUMBER(Raw!G1900),TRUE,OR(EXACT(L1900,TEXT(M1900,"0.00")),EXACT(L1900,TEXT(M1900,"#,##0.00")))),FALSE)</f>
        <v>1</v>
      </c>
      <c r="P1900" s="1" t="str">
        <f>LEN(IF(Raw!A1900="","",Raw!A1900))&amp;":"&amp;IF(Raw!A1900="","",Raw!A1900)&amp;"|"&amp;LEN(IF(Raw!B1900="","",Raw!B1900))&amp;":"&amp;IF(Raw!B1900="","",Raw!B1900)&amp;"|"&amp;LEN(IF(Raw!C1900="","",Raw!C1900))&amp;":"&amp;IF(Raw!C1900="","",Raw!C1900)&amp;"|"&amp;LEN(IF(Raw!D1900="","",Raw!D1900))&amp;":"&amp;IF(Raw!D1900="","",Raw!D1900)&amp;"|"&amp;LEN(IF(Raw!E1900="","",Raw!E1900))&amp;":"&amp;IF(Raw!E1900="","",Raw!E1900)&amp;"|"&amp;LEN(IF(Raw!F1900="","",Raw!F1900))&amp;":"&amp;IF(Raw!F1900="","",Raw!F1900)&amp;"|"&amp;LEN(IF(Raw!G1900="","",Raw!G1900))&amp;":"&amp;IF(Raw!G1900="","",Raw!G1900)</f>
        <v>6:L01894|6:T00947|10:2026-02-22|3:P-A|11:Accessories|4:sale|6:210.80</v>
      </c>
      <c r="Q1900" s="1">
        <f>1</f>
        <v>1</v>
      </c>
      <c r="R1900" s="1" t="b">
        <f>FALSE</f>
        <v>0</v>
      </c>
      <c r="S1900" s="1">
        <f>1</f>
        <v>1</v>
      </c>
      <c r="T1900" s="1" t="str">
        <f>IF(AND(Raw!A1900="",Raw!B1900="",Raw!C1900="",Raw!D1900="",Raw!E1900="",Raw!F1900="",Raw!G1900=""),"UNUSED",IF(A1900="","missing line ID",IF(B1900="","missing transaction ID",IF(G1900="",IF(C1900="","missing date","invalid date"),IF(I1900="","unknown product",IF(J1900="","conflicting category",IF(NOT(OR(EXACT(K1900,"sale"),EXACT(K1900,"refund"))),"unknown event",IF(OR(N1900="",NOT(O1900)),"invalid amount",IF(OR(AND(K1900="sale",N1900&lt;=0),AND(K1900="refund",N1900&gt;=0)),"invalid sign","")))))))))</f>
        <v/>
      </c>
      <c r="U1900" s="1" t="str">
        <f t="shared" si="237"/>
        <v>INCLUDED</v>
      </c>
      <c r="V1900" s="1" t="str">
        <f t="shared" si="238"/>
        <v>2026-02</v>
      </c>
      <c r="W1900" s="1">
        <f>IF(AND(U1900="INCLUDED",X1900&gt;0,EXACT(A1900,'AI output'!A1900)),1,0)</f>
        <v>1</v>
      </c>
      <c r="X1900" s="1">
        <f>1900</f>
        <v>1900</v>
      </c>
      <c r="Y1900" s="1">
        <f>IF(AND(U1900="INCLUDED",W1900=1),--(NOT(EXACT(A1900,'AI output'!A1900)))+--(NOT(EXACT(B1900,'AI output'!B1900)))+--(NOT(EXACT(TEXT(G1900,"yyyy-mm-dd"),'AI output'!C1900)))+--(NOT(EXACT(H1900,'AI output'!D1900)))+--(NOT(EXACT(J1900,'AI output'!E1900)))+--(NOT(EXACT(K1900,'AI output'!F1900)))+--(N1900&lt;&gt;'AI output'!L1900)+--(NOT('AI output'!M1900)),0)</f>
        <v>0</v>
      </c>
      <c r="Z1900" s="1">
        <f t="shared" si="239"/>
        <v>0</v>
      </c>
      <c r="AA1900" s="1">
        <f>--EXACT(A1900,"L01894")</f>
        <v>1</v>
      </c>
    </row>
    <row r="1901" spans="1:27" ht="18.95" customHeight="1">
      <c r="A1901" s="1" t="str">
        <f>IF(Raw!A1901="","",Raw!A1901)</f>
        <v>L01895</v>
      </c>
      <c r="B1901" s="1" t="str">
        <f>IF(Raw!B1901="","",Raw!B1901)</f>
        <v>T00948</v>
      </c>
      <c r="C1901" s="1" t="str">
        <f>IF(Raw!C1901="","",Raw!C1901)</f>
        <v>2026-03-01</v>
      </c>
      <c r="D1901" s="1">
        <f t="shared" si="232"/>
        <v>2026</v>
      </c>
      <c r="E1901" s="1">
        <f>IFERROR(IF(AND(LEN(C1901)=10,MID(C1901,5,1)="-",MID(C1901,8,1)="-"),VALUE(MID(C1901,6,2)),IF(AND(LEN(C1901)=11,MID(C1901,3,1)="-",MID(C1901,7,1)="-"),MATCH(UPPER(MID(C1901,4,3)),Guide!$D$7:$D$18,0),0)),0)</f>
        <v>3</v>
      </c>
      <c r="F1901" s="1">
        <f t="shared" si="233"/>
        <v>1</v>
      </c>
      <c r="G1901" s="9">
        <f t="shared" si="234"/>
        <v>46082</v>
      </c>
      <c r="H1901" s="1" t="str">
        <f>IF(Raw!D1901="","",Raw!D1901)</f>
        <v>P-H</v>
      </c>
      <c r="I1901" s="1" t="str">
        <f>IFERROR(IF(EXACT(H1901,INDEX(Guide!$A$7:$A$9,MATCH(SUBSTITUTE(SUBSTITUTE(SUBSTITUTE(H1901,"~","~~"),"*","~*"),"?","~?"),Guide!$A$7:$A$9,0))),INDEX(Guide!$B$7:$B$9,MATCH(SUBSTITUTE(SUBSTITUTE(SUBSTITUTE(H1901,"~","~~"),"*","~*"),"?","~?"),Guide!$A$7:$A$9,0)),""),"")</f>
        <v>Home</v>
      </c>
      <c r="J1901" s="1" t="str">
        <f>IF(TRIM(Raw!E1901)="",I1901,IF(UPPER(TRIM(Raw!E1901))=UPPER(I1901),I1901,""))</f>
        <v>Home</v>
      </c>
      <c r="K1901" s="1" t="str">
        <f>IF(Raw!F1901="","",Raw!F1901)</f>
        <v>sale</v>
      </c>
      <c r="L1901" s="1" t="str">
        <f>IF(LEFT(TRIM(Raw!G1901),2)="-$","-"&amp;MID(TRIM(Raw!G1901),3,99),IF(LEFT(TRIM(Raw!G1901),1)="$",MID(TRIM(Raw!G1901),2,99),TRIM(Raw!G1901)))</f>
        <v>423.08</v>
      </c>
      <c r="M1901" s="1">
        <f t="shared" si="235"/>
        <v>423.08</v>
      </c>
      <c r="N1901" s="10">
        <f t="shared" si="236"/>
        <v>42308</v>
      </c>
      <c r="O1901" s="1" t="b">
        <f>IFERROR(IF(ISNUMBER(Raw!G1901),TRUE,OR(EXACT(L1901,TEXT(M1901,"0.00")),EXACT(L1901,TEXT(M1901,"#,##0.00")))),FALSE)</f>
        <v>1</v>
      </c>
      <c r="P1901" s="1" t="str">
        <f>LEN(IF(Raw!A1901="","",Raw!A1901))&amp;":"&amp;IF(Raw!A1901="","",Raw!A1901)&amp;"|"&amp;LEN(IF(Raw!B1901="","",Raw!B1901))&amp;":"&amp;IF(Raw!B1901="","",Raw!B1901)&amp;"|"&amp;LEN(IF(Raw!C1901="","",Raw!C1901))&amp;":"&amp;IF(Raw!C1901="","",Raw!C1901)&amp;"|"&amp;LEN(IF(Raw!D1901="","",Raw!D1901))&amp;":"&amp;IF(Raw!D1901="","",Raw!D1901)&amp;"|"&amp;LEN(IF(Raw!E1901="","",Raw!E1901))&amp;":"&amp;IF(Raw!E1901="","",Raw!E1901)&amp;"|"&amp;LEN(IF(Raw!F1901="","",Raw!F1901))&amp;":"&amp;IF(Raw!F1901="","",Raw!F1901)&amp;"|"&amp;LEN(IF(Raw!G1901="","",Raw!G1901))&amp;":"&amp;IF(Raw!G1901="","",Raw!G1901)</f>
        <v>6:L01895|6:T00948|10:2026-03-01|3:P-H|4:Home|4:sale|6:423.08</v>
      </c>
      <c r="Q1901" s="1">
        <f>1</f>
        <v>1</v>
      </c>
      <c r="R1901" s="1" t="b">
        <f>FALSE</f>
        <v>0</v>
      </c>
      <c r="S1901" s="1">
        <f>1</f>
        <v>1</v>
      </c>
      <c r="T1901" s="1" t="str">
        <f>IF(AND(Raw!A1901="",Raw!B1901="",Raw!C1901="",Raw!D1901="",Raw!E1901="",Raw!F1901="",Raw!G1901=""),"UNUSED",IF(A1901="","missing line ID",IF(B1901="","missing transaction ID",IF(G1901="",IF(C1901="","missing date","invalid date"),IF(I1901="","unknown product",IF(J1901="","conflicting category",IF(NOT(OR(EXACT(K1901,"sale"),EXACT(K1901,"refund"))),"unknown event",IF(OR(N1901="",NOT(O1901)),"invalid amount",IF(OR(AND(K1901="sale",N1901&lt;=0),AND(K1901="refund",N1901&gt;=0)),"invalid sign","")))))))))</f>
        <v/>
      </c>
      <c r="U1901" s="1" t="str">
        <f t="shared" si="237"/>
        <v>INCLUDED</v>
      </c>
      <c r="V1901" s="1" t="str">
        <f t="shared" si="238"/>
        <v>2026-03</v>
      </c>
      <c r="W1901" s="1">
        <f>IF(AND(U1901="INCLUDED",X1901&gt;0,EXACT(A1901,'AI output'!A1901)),1,0)</f>
        <v>1</v>
      </c>
      <c r="X1901" s="1">
        <f>1901</f>
        <v>1901</v>
      </c>
      <c r="Y1901" s="1">
        <f>IF(AND(U1901="INCLUDED",W1901=1),--(NOT(EXACT(A1901,'AI output'!A1901)))+--(NOT(EXACT(B1901,'AI output'!B1901)))+--(NOT(EXACT(TEXT(G1901,"yyyy-mm-dd"),'AI output'!C1901)))+--(NOT(EXACT(H1901,'AI output'!D1901)))+--(NOT(EXACT(J1901,'AI output'!E1901)))+--(NOT(EXACT(K1901,'AI output'!F1901)))+--(N1901&lt;&gt;'AI output'!L1901)+--(NOT('AI output'!M1901)),0)</f>
        <v>0</v>
      </c>
      <c r="Z1901" s="1">
        <f t="shared" si="239"/>
        <v>0</v>
      </c>
      <c r="AA1901" s="1">
        <f>--EXACT(A1901,"L01895")</f>
        <v>1</v>
      </c>
    </row>
    <row r="1902" spans="1:27" ht="18.95" customHeight="1">
      <c r="A1902" s="1" t="str">
        <f>IF(Raw!A1902="","",Raw!A1902)</f>
        <v>L01896</v>
      </c>
      <c r="B1902" s="1" t="str">
        <f>IF(Raw!B1902="","",Raw!B1902)</f>
        <v>T00948</v>
      </c>
      <c r="C1902" s="1" t="str">
        <f>IF(Raw!C1902="","",Raw!C1902)</f>
        <v>2026-03-01</v>
      </c>
      <c r="D1902" s="1">
        <f t="shared" si="232"/>
        <v>2026</v>
      </c>
      <c r="E1902" s="1">
        <f>IFERROR(IF(AND(LEN(C1902)=10,MID(C1902,5,1)="-",MID(C1902,8,1)="-"),VALUE(MID(C1902,6,2)),IF(AND(LEN(C1902)=11,MID(C1902,3,1)="-",MID(C1902,7,1)="-"),MATCH(UPPER(MID(C1902,4,3)),Guide!$D$7:$D$18,0),0)),0)</f>
        <v>3</v>
      </c>
      <c r="F1902" s="1">
        <f t="shared" si="233"/>
        <v>1</v>
      </c>
      <c r="G1902" s="9">
        <f t="shared" si="234"/>
        <v>46082</v>
      </c>
      <c r="H1902" s="1" t="str">
        <f>IF(Raw!D1902="","",Raw!D1902)</f>
        <v>P-O</v>
      </c>
      <c r="I1902" s="1" t="str">
        <f>IFERROR(IF(EXACT(H1902,INDEX(Guide!$A$7:$A$9,MATCH(SUBSTITUTE(SUBSTITUTE(SUBSTITUTE(H1902,"~","~~"),"*","~*"),"?","~?"),Guide!$A$7:$A$9,0))),INDEX(Guide!$B$7:$B$9,MATCH(SUBSTITUTE(SUBSTITUTE(SUBSTITUTE(H1902,"~","~~"),"*","~*"),"?","~?"),Guide!$A$7:$A$9,0)),""),"")</f>
        <v>Office</v>
      </c>
      <c r="J1902" s="1" t="str">
        <f>IF(TRIM(Raw!E1902)="",I1902,IF(UPPER(TRIM(Raw!E1902))=UPPER(I1902),I1902,""))</f>
        <v>Office</v>
      </c>
      <c r="K1902" s="1" t="str">
        <f>IF(Raw!F1902="","",Raw!F1902)</f>
        <v>sale</v>
      </c>
      <c r="L1902" s="1" t="str">
        <f>IF(LEFT(TRIM(Raw!G1902),2)="-$","-"&amp;MID(TRIM(Raw!G1902),3,99),IF(LEFT(TRIM(Raw!G1902),1)="$",MID(TRIM(Raw!G1902),2,99),TRIM(Raw!G1902)))</f>
        <v>106.14</v>
      </c>
      <c r="M1902" s="1">
        <f t="shared" si="235"/>
        <v>106.14</v>
      </c>
      <c r="N1902" s="10">
        <f t="shared" si="236"/>
        <v>10614</v>
      </c>
      <c r="O1902" s="1" t="b">
        <f>IFERROR(IF(ISNUMBER(Raw!G1902),TRUE,OR(EXACT(L1902,TEXT(M1902,"0.00")),EXACT(L1902,TEXT(M1902,"#,##0.00")))),FALSE)</f>
        <v>1</v>
      </c>
      <c r="P1902" s="1" t="str">
        <f>LEN(IF(Raw!A1902="","",Raw!A1902))&amp;":"&amp;IF(Raw!A1902="","",Raw!A1902)&amp;"|"&amp;LEN(IF(Raw!B1902="","",Raw!B1902))&amp;":"&amp;IF(Raw!B1902="","",Raw!B1902)&amp;"|"&amp;LEN(IF(Raw!C1902="","",Raw!C1902))&amp;":"&amp;IF(Raw!C1902="","",Raw!C1902)&amp;"|"&amp;LEN(IF(Raw!D1902="","",Raw!D1902))&amp;":"&amp;IF(Raw!D1902="","",Raw!D1902)&amp;"|"&amp;LEN(IF(Raw!E1902="","",Raw!E1902))&amp;":"&amp;IF(Raw!E1902="","",Raw!E1902)&amp;"|"&amp;LEN(IF(Raw!F1902="","",Raw!F1902))&amp;":"&amp;IF(Raw!F1902="","",Raw!F1902)&amp;"|"&amp;LEN(IF(Raw!G1902="","",Raw!G1902))&amp;":"&amp;IF(Raw!G1902="","",Raw!G1902)</f>
        <v>6:L01896|6:T00948|10:2026-03-01|3:P-O|6:Office|4:sale|6:106.14</v>
      </c>
      <c r="Q1902" s="1">
        <f>1</f>
        <v>1</v>
      </c>
      <c r="R1902" s="1" t="b">
        <f>FALSE</f>
        <v>0</v>
      </c>
      <c r="S1902" s="1">
        <f>1</f>
        <v>1</v>
      </c>
      <c r="T1902" s="1" t="str">
        <f>IF(AND(Raw!A1902="",Raw!B1902="",Raw!C1902="",Raw!D1902="",Raw!E1902="",Raw!F1902="",Raw!G1902=""),"UNUSED",IF(A1902="","missing line ID",IF(B1902="","missing transaction ID",IF(G1902="",IF(C1902="","missing date","invalid date"),IF(I1902="","unknown product",IF(J1902="","conflicting category",IF(NOT(OR(EXACT(K1902,"sale"),EXACT(K1902,"refund"))),"unknown event",IF(OR(N1902="",NOT(O1902)),"invalid amount",IF(OR(AND(K1902="sale",N1902&lt;=0),AND(K1902="refund",N1902&gt;=0)),"invalid sign","")))))))))</f>
        <v/>
      </c>
      <c r="U1902" s="1" t="str">
        <f t="shared" si="237"/>
        <v>INCLUDED</v>
      </c>
      <c r="V1902" s="1" t="str">
        <f t="shared" si="238"/>
        <v>2026-03</v>
      </c>
      <c r="W1902" s="1">
        <f>IF(AND(U1902="INCLUDED",X1902&gt;0,EXACT(A1902,'AI output'!A1902)),1,0)</f>
        <v>1</v>
      </c>
      <c r="X1902" s="1">
        <f>1902</f>
        <v>1902</v>
      </c>
      <c r="Y1902" s="1">
        <f>IF(AND(U1902="INCLUDED",W1902=1),--(NOT(EXACT(A1902,'AI output'!A1902)))+--(NOT(EXACT(B1902,'AI output'!B1902)))+--(NOT(EXACT(TEXT(G1902,"yyyy-mm-dd"),'AI output'!C1902)))+--(NOT(EXACT(H1902,'AI output'!D1902)))+--(NOT(EXACT(J1902,'AI output'!E1902)))+--(NOT(EXACT(K1902,'AI output'!F1902)))+--(N1902&lt;&gt;'AI output'!L1902)+--(NOT('AI output'!M1902)),0)</f>
        <v>0</v>
      </c>
      <c r="Z1902" s="1">
        <f t="shared" si="239"/>
        <v>0</v>
      </c>
      <c r="AA1902" s="1">
        <f>--EXACT(A1902,"L01896")</f>
        <v>1</v>
      </c>
    </row>
    <row r="1903" spans="1:27" ht="18.95" customHeight="1">
      <c r="A1903" s="1" t="str">
        <f>IF(Raw!A1903="","",Raw!A1903)</f>
        <v>L01897</v>
      </c>
      <c r="B1903" s="1" t="str">
        <f>IF(Raw!B1903="","",Raw!B1903)</f>
        <v>T00949</v>
      </c>
      <c r="C1903" s="1" t="str">
        <f>IF(Raw!C1903="","",Raw!C1903)</f>
        <v>2026-03-08</v>
      </c>
      <c r="D1903" s="1">
        <f t="shared" si="232"/>
        <v>2026</v>
      </c>
      <c r="E1903" s="1">
        <f>IFERROR(IF(AND(LEN(C1903)=10,MID(C1903,5,1)="-",MID(C1903,8,1)="-"),VALUE(MID(C1903,6,2)),IF(AND(LEN(C1903)=11,MID(C1903,3,1)="-",MID(C1903,7,1)="-"),MATCH(UPPER(MID(C1903,4,3)),Guide!$D$7:$D$18,0),0)),0)</f>
        <v>3</v>
      </c>
      <c r="F1903" s="1">
        <f t="shared" si="233"/>
        <v>8</v>
      </c>
      <c r="G1903" s="9">
        <f t="shared" si="234"/>
        <v>46089</v>
      </c>
      <c r="H1903" s="1" t="str">
        <f>IF(Raw!D1903="","",Raw!D1903)</f>
        <v>P-A</v>
      </c>
      <c r="I1903" s="1" t="str">
        <f>IFERROR(IF(EXACT(H1903,INDEX(Guide!$A$7:$A$9,MATCH(SUBSTITUTE(SUBSTITUTE(SUBSTITUTE(H1903,"~","~~"),"*","~*"),"?","~?"),Guide!$A$7:$A$9,0))),INDEX(Guide!$B$7:$B$9,MATCH(SUBSTITUTE(SUBSTITUTE(SUBSTITUTE(H1903,"~","~~"),"*","~*"),"?","~?"),Guide!$A$7:$A$9,0)),""),"")</f>
        <v>Accessories</v>
      </c>
      <c r="J1903" s="1" t="str">
        <f>IF(TRIM(Raw!E1903)="",I1903,IF(UPPER(TRIM(Raw!E1903))=UPPER(I1903),I1903,""))</f>
        <v>Accessories</v>
      </c>
      <c r="K1903" s="1" t="str">
        <f>IF(Raw!F1903="","",Raw!F1903)</f>
        <v>sale</v>
      </c>
      <c r="L1903" s="1" t="str">
        <f>IF(LEFT(TRIM(Raw!G1903),2)="-$","-"&amp;MID(TRIM(Raw!G1903),3,99),IF(LEFT(TRIM(Raw!G1903),1)="$",MID(TRIM(Raw!G1903),2,99),TRIM(Raw!G1903)))</f>
        <v>319.53</v>
      </c>
      <c r="M1903" s="1">
        <f t="shared" si="235"/>
        <v>319.52999999999997</v>
      </c>
      <c r="N1903" s="10">
        <f t="shared" si="236"/>
        <v>31953</v>
      </c>
      <c r="O1903" s="1" t="b">
        <f>IFERROR(IF(ISNUMBER(Raw!G1903),TRUE,OR(EXACT(L1903,TEXT(M1903,"0.00")),EXACT(L1903,TEXT(M1903,"#,##0.00")))),FALSE)</f>
        <v>1</v>
      </c>
      <c r="P1903" s="1" t="str">
        <f>LEN(IF(Raw!A1903="","",Raw!A1903))&amp;":"&amp;IF(Raw!A1903="","",Raw!A1903)&amp;"|"&amp;LEN(IF(Raw!B1903="","",Raw!B1903))&amp;":"&amp;IF(Raw!B1903="","",Raw!B1903)&amp;"|"&amp;LEN(IF(Raw!C1903="","",Raw!C1903))&amp;":"&amp;IF(Raw!C1903="","",Raw!C1903)&amp;"|"&amp;LEN(IF(Raw!D1903="","",Raw!D1903))&amp;":"&amp;IF(Raw!D1903="","",Raw!D1903)&amp;"|"&amp;LEN(IF(Raw!E1903="","",Raw!E1903))&amp;":"&amp;IF(Raw!E1903="","",Raw!E1903)&amp;"|"&amp;LEN(IF(Raw!F1903="","",Raw!F1903))&amp;":"&amp;IF(Raw!F1903="","",Raw!F1903)&amp;"|"&amp;LEN(IF(Raw!G1903="","",Raw!G1903))&amp;":"&amp;IF(Raw!G1903="","",Raw!G1903)</f>
        <v>6:L01897|6:T00949|10:2026-03-08|3:P-A|11:Accessories|4:sale|6:319.53</v>
      </c>
      <c r="Q1903" s="1">
        <f>1</f>
        <v>1</v>
      </c>
      <c r="R1903" s="1" t="b">
        <f>FALSE</f>
        <v>0</v>
      </c>
      <c r="S1903" s="1">
        <f>1</f>
        <v>1</v>
      </c>
      <c r="T1903" s="1" t="str">
        <f>IF(AND(Raw!A1903="",Raw!B1903="",Raw!C1903="",Raw!D1903="",Raw!E1903="",Raw!F1903="",Raw!G1903=""),"UNUSED",IF(A1903="","missing line ID",IF(B1903="","missing transaction ID",IF(G1903="",IF(C1903="","missing date","invalid date"),IF(I1903="","unknown product",IF(J1903="","conflicting category",IF(NOT(OR(EXACT(K1903,"sale"),EXACT(K1903,"refund"))),"unknown event",IF(OR(N1903="",NOT(O1903)),"invalid amount",IF(OR(AND(K1903="sale",N1903&lt;=0),AND(K1903="refund",N1903&gt;=0)),"invalid sign","")))))))))</f>
        <v/>
      </c>
      <c r="U1903" s="1" t="str">
        <f t="shared" si="237"/>
        <v>INCLUDED</v>
      </c>
      <c r="V1903" s="1" t="str">
        <f t="shared" si="238"/>
        <v>2026-03</v>
      </c>
      <c r="W1903" s="1">
        <f>IF(AND(U1903="INCLUDED",X1903&gt;0,EXACT(A1903,'AI output'!A1903)),1,0)</f>
        <v>1</v>
      </c>
      <c r="X1903" s="1">
        <f>1903</f>
        <v>1903</v>
      </c>
      <c r="Y1903" s="1">
        <f>IF(AND(U1903="INCLUDED",W1903=1),--(NOT(EXACT(A1903,'AI output'!A1903)))+--(NOT(EXACT(B1903,'AI output'!B1903)))+--(NOT(EXACT(TEXT(G1903,"yyyy-mm-dd"),'AI output'!C1903)))+--(NOT(EXACT(H1903,'AI output'!D1903)))+--(NOT(EXACT(J1903,'AI output'!E1903)))+--(NOT(EXACT(K1903,'AI output'!F1903)))+--(N1903&lt;&gt;'AI output'!L1903)+--(NOT('AI output'!M1903)),0)</f>
        <v>0</v>
      </c>
      <c r="Z1903" s="1">
        <f t="shared" si="239"/>
        <v>0</v>
      </c>
      <c r="AA1903" s="1">
        <f>--EXACT(A1903,"L01897")</f>
        <v>1</v>
      </c>
    </row>
    <row r="1904" spans="1:27" ht="18.95" customHeight="1">
      <c r="A1904" s="1" t="str">
        <f>IF(Raw!A1904="","",Raw!A1904)</f>
        <v>L01898</v>
      </c>
      <c r="B1904" s="1" t="str">
        <f>IF(Raw!B1904="","",Raw!B1904)</f>
        <v>T00949</v>
      </c>
      <c r="C1904" s="1" t="str">
        <f>IF(Raw!C1904="","",Raw!C1904)</f>
        <v>2026-03-08</v>
      </c>
      <c r="D1904" s="1">
        <f t="shared" si="232"/>
        <v>2026</v>
      </c>
      <c r="E1904" s="1">
        <f>IFERROR(IF(AND(LEN(C1904)=10,MID(C1904,5,1)="-",MID(C1904,8,1)="-"),VALUE(MID(C1904,6,2)),IF(AND(LEN(C1904)=11,MID(C1904,3,1)="-",MID(C1904,7,1)="-"),MATCH(UPPER(MID(C1904,4,3)),Guide!$D$7:$D$18,0),0)),0)</f>
        <v>3</v>
      </c>
      <c r="F1904" s="1">
        <f t="shared" si="233"/>
        <v>8</v>
      </c>
      <c r="G1904" s="9">
        <f t="shared" si="234"/>
        <v>46089</v>
      </c>
      <c r="H1904" s="1" t="str">
        <f>IF(Raw!D1904="","",Raw!D1904)</f>
        <v>P-H</v>
      </c>
      <c r="I1904" s="1" t="str">
        <f>IFERROR(IF(EXACT(H1904,INDEX(Guide!$A$7:$A$9,MATCH(SUBSTITUTE(SUBSTITUTE(SUBSTITUTE(H1904,"~","~~"),"*","~*"),"?","~?"),Guide!$A$7:$A$9,0))),INDEX(Guide!$B$7:$B$9,MATCH(SUBSTITUTE(SUBSTITUTE(SUBSTITUTE(H1904,"~","~~"),"*","~*"),"?","~?"),Guide!$A$7:$A$9,0)),""),"")</f>
        <v>Home</v>
      </c>
      <c r="J1904" s="1" t="str">
        <f>IF(TRIM(Raw!E1904)="",I1904,IF(UPPER(TRIM(Raw!E1904))=UPPER(I1904),I1904,""))</f>
        <v>Home</v>
      </c>
      <c r="K1904" s="1" t="str">
        <f>IF(Raw!F1904="","",Raw!F1904)</f>
        <v>sale</v>
      </c>
      <c r="L1904" s="1" t="str">
        <f>IF(LEFT(TRIM(Raw!G1904),2)="-$","-"&amp;MID(TRIM(Raw!G1904),3,99),IF(LEFT(TRIM(Raw!G1904),1)="$",MID(TRIM(Raw!G1904),2,99),TRIM(Raw!G1904)))</f>
        <v>534.40</v>
      </c>
      <c r="M1904" s="1">
        <f t="shared" si="235"/>
        <v>534.4</v>
      </c>
      <c r="N1904" s="10">
        <f t="shared" si="236"/>
        <v>53440</v>
      </c>
      <c r="O1904" s="1" t="b">
        <f>IFERROR(IF(ISNUMBER(Raw!G1904),TRUE,OR(EXACT(L1904,TEXT(M1904,"0.00")),EXACT(L1904,TEXT(M1904,"#,##0.00")))),FALSE)</f>
        <v>1</v>
      </c>
      <c r="P1904" s="1" t="str">
        <f>LEN(IF(Raw!A1904="","",Raw!A1904))&amp;":"&amp;IF(Raw!A1904="","",Raw!A1904)&amp;"|"&amp;LEN(IF(Raw!B1904="","",Raw!B1904))&amp;":"&amp;IF(Raw!B1904="","",Raw!B1904)&amp;"|"&amp;LEN(IF(Raw!C1904="","",Raw!C1904))&amp;":"&amp;IF(Raw!C1904="","",Raw!C1904)&amp;"|"&amp;LEN(IF(Raw!D1904="","",Raw!D1904))&amp;":"&amp;IF(Raw!D1904="","",Raw!D1904)&amp;"|"&amp;LEN(IF(Raw!E1904="","",Raw!E1904))&amp;":"&amp;IF(Raw!E1904="","",Raw!E1904)&amp;"|"&amp;LEN(IF(Raw!F1904="","",Raw!F1904))&amp;":"&amp;IF(Raw!F1904="","",Raw!F1904)&amp;"|"&amp;LEN(IF(Raw!G1904="","",Raw!G1904))&amp;":"&amp;IF(Raw!G1904="","",Raw!G1904)</f>
        <v>6:L01898|6:T00949|10:2026-03-08|3:P-H|4:Home|4:sale|6:534.40</v>
      </c>
      <c r="Q1904" s="1">
        <f>1</f>
        <v>1</v>
      </c>
      <c r="R1904" s="1" t="b">
        <f>FALSE</f>
        <v>0</v>
      </c>
      <c r="S1904" s="1">
        <f>1</f>
        <v>1</v>
      </c>
      <c r="T1904" s="1" t="str">
        <f>IF(AND(Raw!A1904="",Raw!B1904="",Raw!C1904="",Raw!D1904="",Raw!E1904="",Raw!F1904="",Raw!G1904=""),"UNUSED",IF(A1904="","missing line ID",IF(B1904="","missing transaction ID",IF(G1904="",IF(C1904="","missing date","invalid date"),IF(I1904="","unknown product",IF(J1904="","conflicting category",IF(NOT(OR(EXACT(K1904,"sale"),EXACT(K1904,"refund"))),"unknown event",IF(OR(N1904="",NOT(O1904)),"invalid amount",IF(OR(AND(K1904="sale",N1904&lt;=0),AND(K1904="refund",N1904&gt;=0)),"invalid sign","")))))))))</f>
        <v/>
      </c>
      <c r="U1904" s="1" t="str">
        <f t="shared" si="237"/>
        <v>INCLUDED</v>
      </c>
      <c r="V1904" s="1" t="str">
        <f t="shared" si="238"/>
        <v>2026-03</v>
      </c>
      <c r="W1904" s="1">
        <f>IF(AND(U1904="INCLUDED",X1904&gt;0,EXACT(A1904,'AI output'!A1904)),1,0)</f>
        <v>1</v>
      </c>
      <c r="X1904" s="1">
        <f>1904</f>
        <v>1904</v>
      </c>
      <c r="Y1904" s="1">
        <f>IF(AND(U1904="INCLUDED",W1904=1),--(NOT(EXACT(A1904,'AI output'!A1904)))+--(NOT(EXACT(B1904,'AI output'!B1904)))+--(NOT(EXACT(TEXT(G1904,"yyyy-mm-dd"),'AI output'!C1904)))+--(NOT(EXACT(H1904,'AI output'!D1904)))+--(NOT(EXACT(J1904,'AI output'!E1904)))+--(NOT(EXACT(K1904,'AI output'!F1904)))+--(N1904&lt;&gt;'AI output'!L1904)+--(NOT('AI output'!M1904)),0)</f>
        <v>0</v>
      </c>
      <c r="Z1904" s="1">
        <f t="shared" si="239"/>
        <v>0</v>
      </c>
      <c r="AA1904" s="1">
        <f>--EXACT(A1904,"L01898")</f>
        <v>1</v>
      </c>
    </row>
    <row r="1905" spans="1:27" ht="18.95" customHeight="1">
      <c r="A1905" s="1" t="str">
        <f>IF(Raw!A1905="","",Raw!A1905)</f>
        <v>L01899</v>
      </c>
      <c r="B1905" s="1" t="str">
        <f>IF(Raw!B1905="","",Raw!B1905)</f>
        <v>T00950</v>
      </c>
      <c r="C1905" s="1" t="str">
        <f>IF(Raw!C1905="","",Raw!C1905)</f>
        <v>2026-03-15</v>
      </c>
      <c r="D1905" s="1">
        <f t="shared" si="232"/>
        <v>2026</v>
      </c>
      <c r="E1905" s="1">
        <f>IFERROR(IF(AND(LEN(C1905)=10,MID(C1905,5,1)="-",MID(C1905,8,1)="-"),VALUE(MID(C1905,6,2)),IF(AND(LEN(C1905)=11,MID(C1905,3,1)="-",MID(C1905,7,1)="-"),MATCH(UPPER(MID(C1905,4,3)),Guide!$D$7:$D$18,0),0)),0)</f>
        <v>3</v>
      </c>
      <c r="F1905" s="1">
        <f t="shared" si="233"/>
        <v>15</v>
      </c>
      <c r="G1905" s="9">
        <f t="shared" si="234"/>
        <v>46096</v>
      </c>
      <c r="H1905" s="1" t="str">
        <f>IF(Raw!D1905="","",Raw!D1905)</f>
        <v>P-O</v>
      </c>
      <c r="I1905" s="1" t="str">
        <f>IFERROR(IF(EXACT(H1905,INDEX(Guide!$A$7:$A$9,MATCH(SUBSTITUTE(SUBSTITUTE(SUBSTITUTE(H1905,"~","~~"),"*","~*"),"?","~?"),Guide!$A$7:$A$9,0))),INDEX(Guide!$B$7:$B$9,MATCH(SUBSTITUTE(SUBSTITUTE(SUBSTITUTE(H1905,"~","~~"),"*","~*"),"?","~?"),Guide!$A$7:$A$9,0)),""),"")</f>
        <v>Office</v>
      </c>
      <c r="J1905" s="1" t="str">
        <f>IF(TRIM(Raw!E1905)="",I1905,IF(UPPER(TRIM(Raw!E1905))=UPPER(I1905),I1905,""))</f>
        <v>Office</v>
      </c>
      <c r="K1905" s="1" t="str">
        <f>IF(Raw!F1905="","",Raw!F1905)</f>
        <v>sale</v>
      </c>
      <c r="L1905" s="1" t="str">
        <f>IF(LEFT(TRIM(Raw!G1905),2)="-$","-"&amp;MID(TRIM(Raw!G1905),3,99),IF(LEFT(TRIM(Raw!G1905),1)="$",MID(TRIM(Raw!G1905),2,99),TRIM(Raw!G1905)))</f>
        <v>214.50</v>
      </c>
      <c r="M1905" s="1">
        <f t="shared" si="235"/>
        <v>214.5</v>
      </c>
      <c r="N1905" s="10">
        <f t="shared" si="236"/>
        <v>21450</v>
      </c>
      <c r="O1905" s="1" t="b">
        <f>IFERROR(IF(ISNUMBER(Raw!G1905),TRUE,OR(EXACT(L1905,TEXT(M1905,"0.00")),EXACT(L1905,TEXT(M1905,"#,##0.00")))),FALSE)</f>
        <v>1</v>
      </c>
      <c r="P1905" s="1" t="str">
        <f>LEN(IF(Raw!A1905="","",Raw!A1905))&amp;":"&amp;IF(Raw!A1905="","",Raw!A1905)&amp;"|"&amp;LEN(IF(Raw!B1905="","",Raw!B1905))&amp;":"&amp;IF(Raw!B1905="","",Raw!B1905)&amp;"|"&amp;LEN(IF(Raw!C1905="","",Raw!C1905))&amp;":"&amp;IF(Raw!C1905="","",Raw!C1905)&amp;"|"&amp;LEN(IF(Raw!D1905="","",Raw!D1905))&amp;":"&amp;IF(Raw!D1905="","",Raw!D1905)&amp;"|"&amp;LEN(IF(Raw!E1905="","",Raw!E1905))&amp;":"&amp;IF(Raw!E1905="","",Raw!E1905)&amp;"|"&amp;LEN(IF(Raw!F1905="","",Raw!F1905))&amp;":"&amp;IF(Raw!F1905="","",Raw!F1905)&amp;"|"&amp;LEN(IF(Raw!G1905="","",Raw!G1905))&amp;":"&amp;IF(Raw!G1905="","",Raw!G1905)</f>
        <v>6:L01899|6:T00950|10:2026-03-15|3:P-O|6:Office|4:sale|6:214.50</v>
      </c>
      <c r="Q1905" s="1">
        <f>1</f>
        <v>1</v>
      </c>
      <c r="R1905" s="1" t="b">
        <f>FALSE</f>
        <v>0</v>
      </c>
      <c r="S1905" s="1">
        <f>1</f>
        <v>1</v>
      </c>
      <c r="T1905" s="1" t="str">
        <f>IF(AND(Raw!A1905="",Raw!B1905="",Raw!C1905="",Raw!D1905="",Raw!E1905="",Raw!F1905="",Raw!G1905=""),"UNUSED",IF(A1905="","missing line ID",IF(B1905="","missing transaction ID",IF(G1905="",IF(C1905="","missing date","invalid date"),IF(I1905="","unknown product",IF(J1905="","conflicting category",IF(NOT(OR(EXACT(K1905,"sale"),EXACT(K1905,"refund"))),"unknown event",IF(OR(N1905="",NOT(O1905)),"invalid amount",IF(OR(AND(K1905="sale",N1905&lt;=0),AND(K1905="refund",N1905&gt;=0)),"invalid sign","")))))))))</f>
        <v/>
      </c>
      <c r="U1905" s="1" t="str">
        <f t="shared" si="237"/>
        <v>INCLUDED</v>
      </c>
      <c r="V1905" s="1" t="str">
        <f t="shared" si="238"/>
        <v>2026-03</v>
      </c>
      <c r="W1905" s="1">
        <f>IF(AND(U1905="INCLUDED",X1905&gt;0,EXACT(A1905,'AI output'!A1905)),1,0)</f>
        <v>1</v>
      </c>
      <c r="X1905" s="1">
        <f>1905</f>
        <v>1905</v>
      </c>
      <c r="Y1905" s="1">
        <f>IF(AND(U1905="INCLUDED",W1905=1),--(NOT(EXACT(A1905,'AI output'!A1905)))+--(NOT(EXACT(B1905,'AI output'!B1905)))+--(NOT(EXACT(TEXT(G1905,"yyyy-mm-dd"),'AI output'!C1905)))+--(NOT(EXACT(H1905,'AI output'!D1905)))+--(NOT(EXACT(J1905,'AI output'!E1905)))+--(NOT(EXACT(K1905,'AI output'!F1905)))+--(N1905&lt;&gt;'AI output'!L1905)+--(NOT('AI output'!M1905)),0)</f>
        <v>0</v>
      </c>
      <c r="Z1905" s="1">
        <f t="shared" si="239"/>
        <v>0</v>
      </c>
      <c r="AA1905" s="1">
        <f>--EXACT(A1905,"L01899")</f>
        <v>1</v>
      </c>
    </row>
    <row r="1906" spans="1:27" ht="18.95" customHeight="1">
      <c r="A1906" s="1" t="str">
        <f>IF(Raw!A1906="","",Raw!A1906)</f>
        <v>L01900</v>
      </c>
      <c r="B1906" s="1" t="str">
        <f>IF(Raw!B1906="","",Raw!B1906)</f>
        <v>T00950</v>
      </c>
      <c r="C1906" s="1" t="str">
        <f>IF(Raw!C1906="","",Raw!C1906)</f>
        <v>2026-03-15</v>
      </c>
      <c r="D1906" s="1">
        <f t="shared" si="232"/>
        <v>2026</v>
      </c>
      <c r="E1906" s="1">
        <f>IFERROR(IF(AND(LEN(C1906)=10,MID(C1906,5,1)="-",MID(C1906,8,1)="-"),VALUE(MID(C1906,6,2)),IF(AND(LEN(C1906)=11,MID(C1906,3,1)="-",MID(C1906,7,1)="-"),MATCH(UPPER(MID(C1906,4,3)),Guide!$D$7:$D$18,0),0)),0)</f>
        <v>3</v>
      </c>
      <c r="F1906" s="1">
        <f t="shared" si="233"/>
        <v>15</v>
      </c>
      <c r="G1906" s="9">
        <f t="shared" si="234"/>
        <v>46096</v>
      </c>
      <c r="H1906" s="1" t="str">
        <f>IF(Raw!D1906="","",Raw!D1906)</f>
        <v>P-A</v>
      </c>
      <c r="I1906" s="1" t="str">
        <f>IFERROR(IF(EXACT(H1906,INDEX(Guide!$A$7:$A$9,MATCH(SUBSTITUTE(SUBSTITUTE(SUBSTITUTE(H1906,"~","~~"),"*","~*"),"?","~?"),Guide!$A$7:$A$9,0))),INDEX(Guide!$B$7:$B$9,MATCH(SUBSTITUTE(SUBSTITUTE(SUBSTITUTE(H1906,"~","~~"),"*","~*"),"?","~?"),Guide!$A$7:$A$9,0)),""),"")</f>
        <v>Accessories</v>
      </c>
      <c r="J1906" s="1" t="str">
        <f>IF(TRIM(Raw!E1906)="",I1906,IF(UPPER(TRIM(Raw!E1906))=UPPER(I1906),I1906,""))</f>
        <v>Accessories</v>
      </c>
      <c r="K1906" s="1" t="str">
        <f>IF(Raw!F1906="","",Raw!F1906)</f>
        <v>sale</v>
      </c>
      <c r="L1906" s="1" t="str">
        <f>IF(LEFT(TRIM(Raw!G1906),2)="-$","-"&amp;MID(TRIM(Raw!G1906),3,99),IF(LEFT(TRIM(Raw!G1906),1)="$",MID(TRIM(Raw!G1906),2,99),TRIM(Raw!G1906)))</f>
        <v>430.48</v>
      </c>
      <c r="M1906" s="1">
        <f t="shared" si="235"/>
        <v>430.48</v>
      </c>
      <c r="N1906" s="10">
        <f t="shared" si="236"/>
        <v>43048</v>
      </c>
      <c r="O1906" s="1" t="b">
        <f>IFERROR(IF(ISNUMBER(Raw!G1906),TRUE,OR(EXACT(L1906,TEXT(M1906,"0.00")),EXACT(L1906,TEXT(M1906,"#,##0.00")))),FALSE)</f>
        <v>1</v>
      </c>
      <c r="P1906" s="1" t="str">
        <f>LEN(IF(Raw!A1906="","",Raw!A1906))&amp;":"&amp;IF(Raw!A1906="","",Raw!A1906)&amp;"|"&amp;LEN(IF(Raw!B1906="","",Raw!B1906))&amp;":"&amp;IF(Raw!B1906="","",Raw!B1906)&amp;"|"&amp;LEN(IF(Raw!C1906="","",Raw!C1906))&amp;":"&amp;IF(Raw!C1906="","",Raw!C1906)&amp;"|"&amp;LEN(IF(Raw!D1906="","",Raw!D1906))&amp;":"&amp;IF(Raw!D1906="","",Raw!D1906)&amp;"|"&amp;LEN(IF(Raw!E1906="","",Raw!E1906))&amp;":"&amp;IF(Raw!E1906="","",Raw!E1906)&amp;"|"&amp;LEN(IF(Raw!F1906="","",Raw!F1906))&amp;":"&amp;IF(Raw!F1906="","",Raw!F1906)&amp;"|"&amp;LEN(IF(Raw!G1906="","",Raw!G1906))&amp;":"&amp;IF(Raw!G1906="","",Raw!G1906)</f>
        <v>6:L01900|6:T00950|10:2026-03-15|3:P-A|11:Accessories|4:sale|6:430.48</v>
      </c>
      <c r="Q1906" s="1">
        <f>1</f>
        <v>1</v>
      </c>
      <c r="R1906" s="1" t="b">
        <f>FALSE</f>
        <v>0</v>
      </c>
      <c r="S1906" s="1">
        <f>1</f>
        <v>1</v>
      </c>
      <c r="T1906" s="1" t="str">
        <f>IF(AND(Raw!A1906="",Raw!B1906="",Raw!C1906="",Raw!D1906="",Raw!E1906="",Raw!F1906="",Raw!G1906=""),"UNUSED",IF(A1906="","missing line ID",IF(B1906="","missing transaction ID",IF(G1906="",IF(C1906="","missing date","invalid date"),IF(I1906="","unknown product",IF(J1906="","conflicting category",IF(NOT(OR(EXACT(K1906,"sale"),EXACT(K1906,"refund"))),"unknown event",IF(OR(N1906="",NOT(O1906)),"invalid amount",IF(OR(AND(K1906="sale",N1906&lt;=0),AND(K1906="refund",N1906&gt;=0)),"invalid sign","")))))))))</f>
        <v/>
      </c>
      <c r="U1906" s="1" t="str">
        <f t="shared" si="237"/>
        <v>INCLUDED</v>
      </c>
      <c r="V1906" s="1" t="str">
        <f t="shared" si="238"/>
        <v>2026-03</v>
      </c>
      <c r="W1906" s="1">
        <f>IF(AND(U1906="INCLUDED",X1906&gt;0,EXACT(A1906,'AI output'!A1906)),1,0)</f>
        <v>1</v>
      </c>
      <c r="X1906" s="1">
        <f>1906</f>
        <v>1906</v>
      </c>
      <c r="Y1906" s="1">
        <f>IF(AND(U1906="INCLUDED",W1906=1),--(NOT(EXACT(A1906,'AI output'!A1906)))+--(NOT(EXACT(B1906,'AI output'!B1906)))+--(NOT(EXACT(TEXT(G1906,"yyyy-mm-dd"),'AI output'!C1906)))+--(NOT(EXACT(H1906,'AI output'!D1906)))+--(NOT(EXACT(J1906,'AI output'!E1906)))+--(NOT(EXACT(K1906,'AI output'!F1906)))+--(N1906&lt;&gt;'AI output'!L1906)+--(NOT('AI output'!M1906)),0)</f>
        <v>0</v>
      </c>
      <c r="Z1906" s="1">
        <f t="shared" si="239"/>
        <v>0</v>
      </c>
      <c r="AA1906" s="1">
        <f>--EXACT(A1906,"L01900")</f>
        <v>1</v>
      </c>
    </row>
    <row r="1907" spans="1:27" ht="18.95" customHeight="1">
      <c r="A1907" s="1" t="str">
        <f>IF(Raw!A1907="","",Raw!A1907)</f>
        <v>L01901</v>
      </c>
      <c r="B1907" s="1" t="str">
        <f>IF(Raw!B1907="","",Raw!B1907)</f>
        <v>T00951</v>
      </c>
      <c r="C1907" s="1" t="str">
        <f>IF(Raw!C1907="","",Raw!C1907)</f>
        <v>2026-03-22</v>
      </c>
      <c r="D1907" s="1">
        <f t="shared" si="232"/>
        <v>2026</v>
      </c>
      <c r="E1907" s="1">
        <f>IFERROR(IF(AND(LEN(C1907)=10,MID(C1907,5,1)="-",MID(C1907,8,1)="-"),VALUE(MID(C1907,6,2)),IF(AND(LEN(C1907)=11,MID(C1907,3,1)="-",MID(C1907,7,1)="-"),MATCH(UPPER(MID(C1907,4,3)),Guide!$D$7:$D$18,0),0)),0)</f>
        <v>3</v>
      </c>
      <c r="F1907" s="1">
        <f t="shared" si="233"/>
        <v>22</v>
      </c>
      <c r="G1907" s="9">
        <f t="shared" si="234"/>
        <v>46103</v>
      </c>
      <c r="H1907" s="1" t="str">
        <f>IF(Raw!D1907="","",Raw!D1907)</f>
        <v>P-H</v>
      </c>
      <c r="I1907" s="1" t="str">
        <f>IFERROR(IF(EXACT(H1907,INDEX(Guide!$A$7:$A$9,MATCH(SUBSTITUTE(SUBSTITUTE(SUBSTITUTE(H1907,"~","~~"),"*","~*"),"?","~?"),Guide!$A$7:$A$9,0))),INDEX(Guide!$B$7:$B$9,MATCH(SUBSTITUTE(SUBSTITUTE(SUBSTITUTE(H1907,"~","~~"),"*","~*"),"?","~?"),Guide!$A$7:$A$9,0)),""),"")</f>
        <v>Home</v>
      </c>
      <c r="J1907" s="1" t="str">
        <f>IF(TRIM(Raw!E1907)="",I1907,IF(UPPER(TRIM(Raw!E1907))=UPPER(I1907),I1907,""))</f>
        <v>Home</v>
      </c>
      <c r="K1907" s="1" t="str">
        <f>IF(Raw!F1907="","",Raw!F1907)</f>
        <v>sale</v>
      </c>
      <c r="L1907" s="1" t="str">
        <f>IF(LEFT(TRIM(Raw!G1907),2)="-$","-"&amp;MID(TRIM(Raw!G1907),3,99),IF(LEFT(TRIM(Raw!G1907),1)="$",MID(TRIM(Raw!G1907),2,99),TRIM(Raw!G1907)))</f>
        <v>107.99</v>
      </c>
      <c r="M1907" s="1">
        <f t="shared" si="235"/>
        <v>107.99</v>
      </c>
      <c r="N1907" s="10">
        <f t="shared" si="236"/>
        <v>10799</v>
      </c>
      <c r="O1907" s="1" t="b">
        <f>IFERROR(IF(ISNUMBER(Raw!G1907),TRUE,OR(EXACT(L1907,TEXT(M1907,"0.00")),EXACT(L1907,TEXT(M1907,"#,##0.00")))),FALSE)</f>
        <v>1</v>
      </c>
      <c r="P1907" s="1" t="str">
        <f>LEN(IF(Raw!A1907="","",Raw!A1907))&amp;":"&amp;IF(Raw!A1907="","",Raw!A1907)&amp;"|"&amp;LEN(IF(Raw!B1907="","",Raw!B1907))&amp;":"&amp;IF(Raw!B1907="","",Raw!B1907)&amp;"|"&amp;LEN(IF(Raw!C1907="","",Raw!C1907))&amp;":"&amp;IF(Raw!C1907="","",Raw!C1907)&amp;"|"&amp;LEN(IF(Raw!D1907="","",Raw!D1907))&amp;":"&amp;IF(Raw!D1907="","",Raw!D1907)&amp;"|"&amp;LEN(IF(Raw!E1907="","",Raw!E1907))&amp;":"&amp;IF(Raw!E1907="","",Raw!E1907)&amp;"|"&amp;LEN(IF(Raw!F1907="","",Raw!F1907))&amp;":"&amp;IF(Raw!F1907="","",Raw!F1907)&amp;"|"&amp;LEN(IF(Raw!G1907="","",Raw!G1907))&amp;":"&amp;IF(Raw!G1907="","",Raw!G1907)</f>
        <v>6:L01901|6:T00951|10:2026-03-22|3:P-H|4:Home|4:sale|6:107.99</v>
      </c>
      <c r="Q1907" s="1">
        <f>1</f>
        <v>1</v>
      </c>
      <c r="R1907" s="1" t="b">
        <f>FALSE</f>
        <v>0</v>
      </c>
      <c r="S1907" s="1">
        <f>1</f>
        <v>1</v>
      </c>
      <c r="T1907" s="1" t="str">
        <f>IF(AND(Raw!A1907="",Raw!B1907="",Raw!C1907="",Raw!D1907="",Raw!E1907="",Raw!F1907="",Raw!G1907=""),"UNUSED",IF(A1907="","missing line ID",IF(B1907="","missing transaction ID",IF(G1907="",IF(C1907="","missing date","invalid date"),IF(I1907="","unknown product",IF(J1907="","conflicting category",IF(NOT(OR(EXACT(K1907,"sale"),EXACT(K1907,"refund"))),"unknown event",IF(OR(N1907="",NOT(O1907)),"invalid amount",IF(OR(AND(K1907="sale",N1907&lt;=0),AND(K1907="refund",N1907&gt;=0)),"invalid sign","")))))))))</f>
        <v/>
      </c>
      <c r="U1907" s="1" t="str">
        <f t="shared" si="237"/>
        <v>INCLUDED</v>
      </c>
      <c r="V1907" s="1" t="str">
        <f t="shared" si="238"/>
        <v>2026-03</v>
      </c>
      <c r="W1907" s="1">
        <f>IF(AND(U1907="INCLUDED",X1907&gt;0,EXACT(A1907,'AI output'!A1907)),1,0)</f>
        <v>1</v>
      </c>
      <c r="X1907" s="1">
        <f>1907</f>
        <v>1907</v>
      </c>
      <c r="Y1907" s="1">
        <f>IF(AND(U1907="INCLUDED",W1907=1),--(NOT(EXACT(A1907,'AI output'!A1907)))+--(NOT(EXACT(B1907,'AI output'!B1907)))+--(NOT(EXACT(TEXT(G1907,"yyyy-mm-dd"),'AI output'!C1907)))+--(NOT(EXACT(H1907,'AI output'!D1907)))+--(NOT(EXACT(J1907,'AI output'!E1907)))+--(NOT(EXACT(K1907,'AI output'!F1907)))+--(N1907&lt;&gt;'AI output'!L1907)+--(NOT('AI output'!M1907)),0)</f>
        <v>0</v>
      </c>
      <c r="Z1907" s="1">
        <f t="shared" si="239"/>
        <v>0</v>
      </c>
      <c r="AA1907" s="1">
        <f>--EXACT(A1907,"L01901")</f>
        <v>1</v>
      </c>
    </row>
    <row r="1908" spans="1:27" ht="18.95" customHeight="1">
      <c r="A1908" s="1" t="str">
        <f>IF(Raw!A1908="","",Raw!A1908)</f>
        <v>L01902</v>
      </c>
      <c r="B1908" s="1" t="str">
        <f>IF(Raw!B1908="","",Raw!B1908)</f>
        <v>T00951</v>
      </c>
      <c r="C1908" s="1" t="str">
        <f>IF(Raw!C1908="","",Raw!C1908)</f>
        <v>2026-03-22</v>
      </c>
      <c r="D1908" s="1">
        <f t="shared" si="232"/>
        <v>2026</v>
      </c>
      <c r="E1908" s="1">
        <f>IFERROR(IF(AND(LEN(C1908)=10,MID(C1908,5,1)="-",MID(C1908,8,1)="-"),VALUE(MID(C1908,6,2)),IF(AND(LEN(C1908)=11,MID(C1908,3,1)="-",MID(C1908,7,1)="-"),MATCH(UPPER(MID(C1908,4,3)),Guide!$D$7:$D$18,0),0)),0)</f>
        <v>3</v>
      </c>
      <c r="F1908" s="1">
        <f t="shared" si="233"/>
        <v>22</v>
      </c>
      <c r="G1908" s="9">
        <f t="shared" si="234"/>
        <v>46103</v>
      </c>
      <c r="H1908" s="1" t="str">
        <f>IF(Raw!D1908="","",Raw!D1908)</f>
        <v>P-O</v>
      </c>
      <c r="I1908" s="1" t="str">
        <f>IFERROR(IF(EXACT(H1908,INDEX(Guide!$A$7:$A$9,MATCH(SUBSTITUTE(SUBSTITUTE(SUBSTITUTE(H1908,"~","~~"),"*","~*"),"?","~?"),Guide!$A$7:$A$9,0))),INDEX(Guide!$B$7:$B$9,MATCH(SUBSTITUTE(SUBSTITUTE(SUBSTITUTE(H1908,"~","~~"),"*","~*"),"?","~?"),Guide!$A$7:$A$9,0)),""),"")</f>
        <v>Office</v>
      </c>
      <c r="J1908" s="1" t="str">
        <f>IF(TRIM(Raw!E1908)="",I1908,IF(UPPER(TRIM(Raw!E1908))=UPPER(I1908),I1908,""))</f>
        <v>Office</v>
      </c>
      <c r="K1908" s="1" t="str">
        <f>IF(Raw!F1908="","",Raw!F1908)</f>
        <v>sale</v>
      </c>
      <c r="L1908" s="1" t="str">
        <f>IF(LEFT(TRIM(Raw!G1908),2)="-$","-"&amp;MID(TRIM(Raw!G1908),3,99),IF(LEFT(TRIM(Raw!G1908),1)="$",MID(TRIM(Raw!G1908),2,99),TRIM(Raw!G1908)))</f>
        <v>325.08</v>
      </c>
      <c r="M1908" s="1">
        <f t="shared" si="235"/>
        <v>325.08</v>
      </c>
      <c r="N1908" s="10">
        <f t="shared" si="236"/>
        <v>32508</v>
      </c>
      <c r="O1908" s="1" t="b">
        <f>IFERROR(IF(ISNUMBER(Raw!G1908),TRUE,OR(EXACT(L1908,TEXT(M1908,"0.00")),EXACT(L1908,TEXT(M1908,"#,##0.00")))),FALSE)</f>
        <v>1</v>
      </c>
      <c r="P1908" s="1" t="str">
        <f>LEN(IF(Raw!A1908="","",Raw!A1908))&amp;":"&amp;IF(Raw!A1908="","",Raw!A1908)&amp;"|"&amp;LEN(IF(Raw!B1908="","",Raw!B1908))&amp;":"&amp;IF(Raw!B1908="","",Raw!B1908)&amp;"|"&amp;LEN(IF(Raw!C1908="","",Raw!C1908))&amp;":"&amp;IF(Raw!C1908="","",Raw!C1908)&amp;"|"&amp;LEN(IF(Raw!D1908="","",Raw!D1908))&amp;":"&amp;IF(Raw!D1908="","",Raw!D1908)&amp;"|"&amp;LEN(IF(Raw!E1908="","",Raw!E1908))&amp;":"&amp;IF(Raw!E1908="","",Raw!E1908)&amp;"|"&amp;LEN(IF(Raw!F1908="","",Raw!F1908))&amp;":"&amp;IF(Raw!F1908="","",Raw!F1908)&amp;"|"&amp;LEN(IF(Raw!G1908="","",Raw!G1908))&amp;":"&amp;IF(Raw!G1908="","",Raw!G1908)</f>
        <v>6:L01902|6:T00951|10:2026-03-22|3:P-O|6:Office|4:sale|6:325.08</v>
      </c>
      <c r="Q1908" s="1">
        <f>1</f>
        <v>1</v>
      </c>
      <c r="R1908" s="1" t="b">
        <f>FALSE</f>
        <v>0</v>
      </c>
      <c r="S1908" s="1">
        <f>1</f>
        <v>1</v>
      </c>
      <c r="T1908" s="1" t="str">
        <f>IF(AND(Raw!A1908="",Raw!B1908="",Raw!C1908="",Raw!D1908="",Raw!E1908="",Raw!F1908="",Raw!G1908=""),"UNUSED",IF(A1908="","missing line ID",IF(B1908="","missing transaction ID",IF(G1908="",IF(C1908="","missing date","invalid date"),IF(I1908="","unknown product",IF(J1908="","conflicting category",IF(NOT(OR(EXACT(K1908,"sale"),EXACT(K1908,"refund"))),"unknown event",IF(OR(N1908="",NOT(O1908)),"invalid amount",IF(OR(AND(K1908="sale",N1908&lt;=0),AND(K1908="refund",N1908&gt;=0)),"invalid sign","")))))))))</f>
        <v/>
      </c>
      <c r="U1908" s="1" t="str">
        <f t="shared" si="237"/>
        <v>INCLUDED</v>
      </c>
      <c r="V1908" s="1" t="str">
        <f t="shared" si="238"/>
        <v>2026-03</v>
      </c>
      <c r="W1908" s="1">
        <f>IF(AND(U1908="INCLUDED",X1908&gt;0,EXACT(A1908,'AI output'!A1908)),1,0)</f>
        <v>1</v>
      </c>
      <c r="X1908" s="1">
        <f>1908</f>
        <v>1908</v>
      </c>
      <c r="Y1908" s="1">
        <f>IF(AND(U1908="INCLUDED",W1908=1),--(NOT(EXACT(A1908,'AI output'!A1908)))+--(NOT(EXACT(B1908,'AI output'!B1908)))+--(NOT(EXACT(TEXT(G1908,"yyyy-mm-dd"),'AI output'!C1908)))+--(NOT(EXACT(H1908,'AI output'!D1908)))+--(NOT(EXACT(J1908,'AI output'!E1908)))+--(NOT(EXACT(K1908,'AI output'!F1908)))+--(N1908&lt;&gt;'AI output'!L1908)+--(NOT('AI output'!M1908)),0)</f>
        <v>0</v>
      </c>
      <c r="Z1908" s="1">
        <f t="shared" si="239"/>
        <v>0</v>
      </c>
      <c r="AA1908" s="1">
        <f>--EXACT(A1908,"L01902")</f>
        <v>1</v>
      </c>
    </row>
    <row r="1909" spans="1:27" ht="18.95" customHeight="1">
      <c r="A1909" s="1" t="str">
        <f>IF(Raw!A1909="","",Raw!A1909)</f>
        <v>L01903</v>
      </c>
      <c r="B1909" s="1" t="str">
        <f>IF(Raw!B1909="","",Raw!B1909)</f>
        <v>T00952</v>
      </c>
      <c r="C1909" s="1" t="str">
        <f>IF(Raw!C1909="","",Raw!C1909)</f>
        <v>2026-03-29</v>
      </c>
      <c r="D1909" s="1">
        <f t="shared" si="232"/>
        <v>2026</v>
      </c>
      <c r="E1909" s="1">
        <f>IFERROR(IF(AND(LEN(C1909)=10,MID(C1909,5,1)="-",MID(C1909,8,1)="-"),VALUE(MID(C1909,6,2)),IF(AND(LEN(C1909)=11,MID(C1909,3,1)="-",MID(C1909,7,1)="-"),MATCH(UPPER(MID(C1909,4,3)),Guide!$D$7:$D$18,0),0)),0)</f>
        <v>3</v>
      </c>
      <c r="F1909" s="1">
        <f t="shared" si="233"/>
        <v>29</v>
      </c>
      <c r="G1909" s="9">
        <f t="shared" si="234"/>
        <v>46110</v>
      </c>
      <c r="H1909" s="1" t="str">
        <f>IF(Raw!D1909="","",Raw!D1909)</f>
        <v>P-A</v>
      </c>
      <c r="I1909" s="1" t="str">
        <f>IFERROR(IF(EXACT(H1909,INDEX(Guide!$A$7:$A$9,MATCH(SUBSTITUTE(SUBSTITUTE(SUBSTITUTE(H1909,"~","~~"),"*","~*"),"?","~?"),Guide!$A$7:$A$9,0))),INDEX(Guide!$B$7:$B$9,MATCH(SUBSTITUTE(SUBSTITUTE(SUBSTITUTE(H1909,"~","~~"),"*","~*"),"?","~?"),Guide!$A$7:$A$9,0)),""),"")</f>
        <v>Accessories</v>
      </c>
      <c r="J1909" s="1" t="str">
        <f>IF(TRIM(Raw!E1909)="",I1909,IF(UPPER(TRIM(Raw!E1909))=UPPER(I1909),I1909,""))</f>
        <v>Accessories</v>
      </c>
      <c r="K1909" s="1" t="str">
        <f>IF(Raw!F1909="","",Raw!F1909)</f>
        <v>sale</v>
      </c>
      <c r="L1909" s="1" t="str">
        <f>IF(LEFT(TRIM(Raw!G1909),2)="-$","-"&amp;MID(TRIM(Raw!G1909),3,99),IF(LEFT(TRIM(Raw!G1909),1)="$",MID(TRIM(Raw!G1909),2,99),TRIM(Raw!G1909)))</f>
        <v>543.65</v>
      </c>
      <c r="M1909" s="1">
        <f t="shared" si="235"/>
        <v>543.65</v>
      </c>
      <c r="N1909" s="10">
        <f t="shared" si="236"/>
        <v>54365</v>
      </c>
      <c r="O1909" s="1" t="b">
        <f>IFERROR(IF(ISNUMBER(Raw!G1909),TRUE,OR(EXACT(L1909,TEXT(M1909,"0.00")),EXACT(L1909,TEXT(M1909,"#,##0.00")))),FALSE)</f>
        <v>1</v>
      </c>
      <c r="P1909" s="1" t="str">
        <f>LEN(IF(Raw!A1909="","",Raw!A1909))&amp;":"&amp;IF(Raw!A1909="","",Raw!A1909)&amp;"|"&amp;LEN(IF(Raw!B1909="","",Raw!B1909))&amp;":"&amp;IF(Raw!B1909="","",Raw!B1909)&amp;"|"&amp;LEN(IF(Raw!C1909="","",Raw!C1909))&amp;":"&amp;IF(Raw!C1909="","",Raw!C1909)&amp;"|"&amp;LEN(IF(Raw!D1909="","",Raw!D1909))&amp;":"&amp;IF(Raw!D1909="","",Raw!D1909)&amp;"|"&amp;LEN(IF(Raw!E1909="","",Raw!E1909))&amp;":"&amp;IF(Raw!E1909="","",Raw!E1909)&amp;"|"&amp;LEN(IF(Raw!F1909="","",Raw!F1909))&amp;":"&amp;IF(Raw!F1909="","",Raw!F1909)&amp;"|"&amp;LEN(IF(Raw!G1909="","",Raw!G1909))&amp;":"&amp;IF(Raw!G1909="","",Raw!G1909)</f>
        <v>6:L01903|6:T00952|10:2026-03-29|3:P-A|11:Accessories|4:sale|6:543.65</v>
      </c>
      <c r="Q1909" s="1">
        <f>1</f>
        <v>1</v>
      </c>
      <c r="R1909" s="1" t="b">
        <f>FALSE</f>
        <v>0</v>
      </c>
      <c r="S1909" s="1">
        <f>1</f>
        <v>1</v>
      </c>
      <c r="T1909" s="1" t="str">
        <f>IF(AND(Raw!A1909="",Raw!B1909="",Raw!C1909="",Raw!D1909="",Raw!E1909="",Raw!F1909="",Raw!G1909=""),"UNUSED",IF(A1909="","missing line ID",IF(B1909="","missing transaction ID",IF(G1909="",IF(C1909="","missing date","invalid date"),IF(I1909="","unknown product",IF(J1909="","conflicting category",IF(NOT(OR(EXACT(K1909,"sale"),EXACT(K1909,"refund"))),"unknown event",IF(OR(N1909="",NOT(O1909)),"invalid amount",IF(OR(AND(K1909="sale",N1909&lt;=0),AND(K1909="refund",N1909&gt;=0)),"invalid sign","")))))))))</f>
        <v/>
      </c>
      <c r="U1909" s="1" t="str">
        <f t="shared" si="237"/>
        <v>INCLUDED</v>
      </c>
      <c r="V1909" s="1" t="str">
        <f t="shared" si="238"/>
        <v>2026-03</v>
      </c>
      <c r="W1909" s="1">
        <f>IF(AND(U1909="INCLUDED",X1909&gt;0,EXACT(A1909,'AI output'!A1909)),1,0)</f>
        <v>1</v>
      </c>
      <c r="X1909" s="1">
        <f>1909</f>
        <v>1909</v>
      </c>
      <c r="Y1909" s="1">
        <f>IF(AND(U1909="INCLUDED",W1909=1),--(NOT(EXACT(A1909,'AI output'!A1909)))+--(NOT(EXACT(B1909,'AI output'!B1909)))+--(NOT(EXACT(TEXT(G1909,"yyyy-mm-dd"),'AI output'!C1909)))+--(NOT(EXACT(H1909,'AI output'!D1909)))+--(NOT(EXACT(J1909,'AI output'!E1909)))+--(NOT(EXACT(K1909,'AI output'!F1909)))+--(N1909&lt;&gt;'AI output'!L1909)+--(NOT('AI output'!M1909)),0)</f>
        <v>0</v>
      </c>
      <c r="Z1909" s="1">
        <f t="shared" si="239"/>
        <v>0</v>
      </c>
      <c r="AA1909" s="1">
        <f>--EXACT(A1909,"L01903")</f>
        <v>1</v>
      </c>
    </row>
    <row r="1910" spans="1:27" ht="18.95" customHeight="1">
      <c r="A1910" s="1" t="str">
        <f>IF(Raw!A1910="","",Raw!A1910)</f>
        <v>L01904</v>
      </c>
      <c r="B1910" s="1" t="str">
        <f>IF(Raw!B1910="","",Raw!B1910)</f>
        <v>T00952</v>
      </c>
      <c r="C1910" s="1" t="str">
        <f>IF(Raw!C1910="","",Raw!C1910)</f>
        <v>2026-03-29</v>
      </c>
      <c r="D1910" s="1">
        <f t="shared" si="232"/>
        <v>2026</v>
      </c>
      <c r="E1910" s="1">
        <f>IFERROR(IF(AND(LEN(C1910)=10,MID(C1910,5,1)="-",MID(C1910,8,1)="-"),VALUE(MID(C1910,6,2)),IF(AND(LEN(C1910)=11,MID(C1910,3,1)="-",MID(C1910,7,1)="-"),MATCH(UPPER(MID(C1910,4,3)),Guide!$D$7:$D$18,0),0)),0)</f>
        <v>3</v>
      </c>
      <c r="F1910" s="1">
        <f t="shared" si="233"/>
        <v>29</v>
      </c>
      <c r="G1910" s="9">
        <f t="shared" si="234"/>
        <v>46110</v>
      </c>
      <c r="H1910" s="1" t="str">
        <f>IF(Raw!D1910="","",Raw!D1910)</f>
        <v>P-H</v>
      </c>
      <c r="I1910" s="1" t="str">
        <f>IFERROR(IF(EXACT(H1910,INDEX(Guide!$A$7:$A$9,MATCH(SUBSTITUTE(SUBSTITUTE(SUBSTITUTE(H1910,"~","~~"),"*","~*"),"?","~?"),Guide!$A$7:$A$9,0))),INDEX(Guide!$B$7:$B$9,MATCH(SUBSTITUTE(SUBSTITUTE(SUBSTITUTE(H1910,"~","~~"),"*","~*"),"?","~?"),Guide!$A$7:$A$9,0)),""),"")</f>
        <v>Home</v>
      </c>
      <c r="J1910" s="1" t="str">
        <f>IF(TRIM(Raw!E1910)="",I1910,IF(UPPER(TRIM(Raw!E1910))=UPPER(I1910),I1910,""))</f>
        <v>Home</v>
      </c>
      <c r="K1910" s="1" t="str">
        <f>IF(Raw!F1910="","",Raw!F1910)</f>
        <v>sale</v>
      </c>
      <c r="L1910" s="1" t="str">
        <f>IF(LEFT(TRIM(Raw!G1910),2)="-$","-"&amp;MID(TRIM(Raw!G1910),3,99),IF(LEFT(TRIM(Raw!G1910),1)="$",MID(TRIM(Raw!G1910),2,99),TRIM(Raw!G1910)))</f>
        <v>218.20</v>
      </c>
      <c r="M1910" s="1">
        <f t="shared" si="235"/>
        <v>218.2</v>
      </c>
      <c r="N1910" s="10">
        <f t="shared" si="236"/>
        <v>21820</v>
      </c>
      <c r="O1910" s="1" t="b">
        <f>IFERROR(IF(ISNUMBER(Raw!G1910),TRUE,OR(EXACT(L1910,TEXT(M1910,"0.00")),EXACT(L1910,TEXT(M1910,"#,##0.00")))),FALSE)</f>
        <v>1</v>
      </c>
      <c r="P1910" s="1" t="str">
        <f>LEN(IF(Raw!A1910="","",Raw!A1910))&amp;":"&amp;IF(Raw!A1910="","",Raw!A1910)&amp;"|"&amp;LEN(IF(Raw!B1910="","",Raw!B1910))&amp;":"&amp;IF(Raw!B1910="","",Raw!B1910)&amp;"|"&amp;LEN(IF(Raw!C1910="","",Raw!C1910))&amp;":"&amp;IF(Raw!C1910="","",Raw!C1910)&amp;"|"&amp;LEN(IF(Raw!D1910="","",Raw!D1910))&amp;":"&amp;IF(Raw!D1910="","",Raw!D1910)&amp;"|"&amp;LEN(IF(Raw!E1910="","",Raw!E1910))&amp;":"&amp;IF(Raw!E1910="","",Raw!E1910)&amp;"|"&amp;LEN(IF(Raw!F1910="","",Raw!F1910))&amp;":"&amp;IF(Raw!F1910="","",Raw!F1910)&amp;"|"&amp;LEN(IF(Raw!G1910="","",Raw!G1910))&amp;":"&amp;IF(Raw!G1910="","",Raw!G1910)</f>
        <v>6:L01904|6:T00952|10:2026-03-29|3:P-H|4:Home|4:sale|6:218.20</v>
      </c>
      <c r="Q1910" s="1">
        <f>1</f>
        <v>1</v>
      </c>
      <c r="R1910" s="1" t="b">
        <f>FALSE</f>
        <v>0</v>
      </c>
      <c r="S1910" s="1">
        <f>1</f>
        <v>1</v>
      </c>
      <c r="T1910" s="1" t="str">
        <f>IF(AND(Raw!A1910="",Raw!B1910="",Raw!C1910="",Raw!D1910="",Raw!E1910="",Raw!F1910="",Raw!G1910=""),"UNUSED",IF(A1910="","missing line ID",IF(B1910="","missing transaction ID",IF(G1910="",IF(C1910="","missing date","invalid date"),IF(I1910="","unknown product",IF(J1910="","conflicting category",IF(NOT(OR(EXACT(K1910,"sale"),EXACT(K1910,"refund"))),"unknown event",IF(OR(N1910="",NOT(O1910)),"invalid amount",IF(OR(AND(K1910="sale",N1910&lt;=0),AND(K1910="refund",N1910&gt;=0)),"invalid sign","")))))))))</f>
        <v/>
      </c>
      <c r="U1910" s="1" t="str">
        <f t="shared" si="237"/>
        <v>INCLUDED</v>
      </c>
      <c r="V1910" s="1" t="str">
        <f t="shared" si="238"/>
        <v>2026-03</v>
      </c>
      <c r="W1910" s="1">
        <f>IF(AND(U1910="INCLUDED",X1910&gt;0,EXACT(A1910,'AI output'!A1910)),1,0)</f>
        <v>1</v>
      </c>
      <c r="X1910" s="1">
        <f>1910</f>
        <v>1910</v>
      </c>
      <c r="Y1910" s="1">
        <f>IF(AND(U1910="INCLUDED",W1910=1),--(NOT(EXACT(A1910,'AI output'!A1910)))+--(NOT(EXACT(B1910,'AI output'!B1910)))+--(NOT(EXACT(TEXT(G1910,"yyyy-mm-dd"),'AI output'!C1910)))+--(NOT(EXACT(H1910,'AI output'!D1910)))+--(NOT(EXACT(J1910,'AI output'!E1910)))+--(NOT(EXACT(K1910,'AI output'!F1910)))+--(N1910&lt;&gt;'AI output'!L1910)+--(NOT('AI output'!M1910)),0)</f>
        <v>0</v>
      </c>
      <c r="Z1910" s="1">
        <f t="shared" si="239"/>
        <v>0</v>
      </c>
      <c r="AA1910" s="1">
        <f>--EXACT(A1910,"L01904")</f>
        <v>1</v>
      </c>
    </row>
    <row r="1911" spans="1:27" ht="18.95" customHeight="1">
      <c r="A1911" s="1" t="str">
        <f>IF(Raw!A1911="","",Raw!A1911)</f>
        <v>L01905</v>
      </c>
      <c r="B1911" s="1" t="str">
        <f>IF(Raw!B1911="","",Raw!B1911)</f>
        <v>T00953</v>
      </c>
      <c r="C1911" s="1" t="str">
        <f>IF(Raw!C1911="","",Raw!C1911)</f>
        <v>2026-01-05</v>
      </c>
      <c r="D1911" s="1">
        <f t="shared" si="232"/>
        <v>2026</v>
      </c>
      <c r="E1911" s="1">
        <f>IFERROR(IF(AND(LEN(C1911)=10,MID(C1911,5,1)="-",MID(C1911,8,1)="-"),VALUE(MID(C1911,6,2)),IF(AND(LEN(C1911)=11,MID(C1911,3,1)="-",MID(C1911,7,1)="-"),MATCH(UPPER(MID(C1911,4,3)),Guide!$D$7:$D$18,0),0)),0)</f>
        <v>1</v>
      </c>
      <c r="F1911" s="1">
        <f t="shared" si="233"/>
        <v>5</v>
      </c>
      <c r="G1911" s="9">
        <f t="shared" si="234"/>
        <v>46027</v>
      </c>
      <c r="H1911" s="1" t="str">
        <f>IF(Raw!D1911="","",Raw!D1911)</f>
        <v>P-O</v>
      </c>
      <c r="I1911" s="1" t="str">
        <f>IFERROR(IF(EXACT(H1911,INDEX(Guide!$A$7:$A$9,MATCH(SUBSTITUTE(SUBSTITUTE(SUBSTITUTE(H1911,"~","~~"),"*","~*"),"?","~?"),Guide!$A$7:$A$9,0))),INDEX(Guide!$B$7:$B$9,MATCH(SUBSTITUTE(SUBSTITUTE(SUBSTITUTE(H1911,"~","~~"),"*","~*"),"?","~?"),Guide!$A$7:$A$9,0)),""),"")</f>
        <v>Office</v>
      </c>
      <c r="J1911" s="1" t="str">
        <f>IF(TRIM(Raw!E1911)="",I1911,IF(UPPER(TRIM(Raw!E1911))=UPPER(I1911),I1911,""))</f>
        <v>Office</v>
      </c>
      <c r="K1911" s="1" t="str">
        <f>IF(Raw!F1911="","",Raw!F1911)</f>
        <v>sale</v>
      </c>
      <c r="L1911" s="1" t="str">
        <f>IF(LEFT(TRIM(Raw!G1911),2)="-$","-"&amp;MID(TRIM(Raw!G1911),3,99),IF(LEFT(TRIM(Raw!G1911),1)="$",MID(TRIM(Raw!G1911),2,99),TRIM(Raw!G1911)))</f>
        <v>437.88</v>
      </c>
      <c r="M1911" s="1">
        <f t="shared" si="235"/>
        <v>437.88</v>
      </c>
      <c r="N1911" s="10">
        <f t="shared" si="236"/>
        <v>43788</v>
      </c>
      <c r="O1911" s="1" t="b">
        <f>IFERROR(IF(ISNUMBER(Raw!G1911),TRUE,OR(EXACT(L1911,TEXT(M1911,"0.00")),EXACT(L1911,TEXT(M1911,"#,##0.00")))),FALSE)</f>
        <v>1</v>
      </c>
      <c r="P1911" s="1" t="str">
        <f>LEN(IF(Raw!A1911="","",Raw!A1911))&amp;":"&amp;IF(Raw!A1911="","",Raw!A1911)&amp;"|"&amp;LEN(IF(Raw!B1911="","",Raw!B1911))&amp;":"&amp;IF(Raw!B1911="","",Raw!B1911)&amp;"|"&amp;LEN(IF(Raw!C1911="","",Raw!C1911))&amp;":"&amp;IF(Raw!C1911="","",Raw!C1911)&amp;"|"&amp;LEN(IF(Raw!D1911="","",Raw!D1911))&amp;":"&amp;IF(Raw!D1911="","",Raw!D1911)&amp;"|"&amp;LEN(IF(Raw!E1911="","",Raw!E1911))&amp;":"&amp;IF(Raw!E1911="","",Raw!E1911)&amp;"|"&amp;LEN(IF(Raw!F1911="","",Raw!F1911))&amp;":"&amp;IF(Raw!F1911="","",Raw!F1911)&amp;"|"&amp;LEN(IF(Raw!G1911="","",Raw!G1911))&amp;":"&amp;IF(Raw!G1911="","",Raw!G1911)</f>
        <v>6:L01905|6:T00953|10:2026-01-05|3:P-O|6:Office|4:sale|6:437.88</v>
      </c>
      <c r="Q1911" s="1">
        <f>1</f>
        <v>1</v>
      </c>
      <c r="R1911" s="1" t="b">
        <f>FALSE</f>
        <v>0</v>
      </c>
      <c r="S1911" s="1">
        <f>1</f>
        <v>1</v>
      </c>
      <c r="T1911" s="1" t="str">
        <f>IF(AND(Raw!A1911="",Raw!B1911="",Raw!C1911="",Raw!D1911="",Raw!E1911="",Raw!F1911="",Raw!G1911=""),"UNUSED",IF(A1911="","missing line ID",IF(B1911="","missing transaction ID",IF(G1911="",IF(C1911="","missing date","invalid date"),IF(I1911="","unknown product",IF(J1911="","conflicting category",IF(NOT(OR(EXACT(K1911,"sale"),EXACT(K1911,"refund"))),"unknown event",IF(OR(N1911="",NOT(O1911)),"invalid amount",IF(OR(AND(K1911="sale",N1911&lt;=0),AND(K1911="refund",N1911&gt;=0)),"invalid sign","")))))))))</f>
        <v/>
      </c>
      <c r="U1911" s="1" t="str">
        <f t="shared" si="237"/>
        <v>INCLUDED</v>
      </c>
      <c r="V1911" s="1" t="str">
        <f t="shared" si="238"/>
        <v>2026-01</v>
      </c>
      <c r="W1911" s="1">
        <f>IF(AND(U1911="INCLUDED",X1911&gt;0,EXACT(A1911,'AI output'!A1911)),1,0)</f>
        <v>1</v>
      </c>
      <c r="X1911" s="1">
        <f>1911</f>
        <v>1911</v>
      </c>
      <c r="Y1911" s="1">
        <f>IF(AND(U1911="INCLUDED",W1911=1),--(NOT(EXACT(A1911,'AI output'!A1911)))+--(NOT(EXACT(B1911,'AI output'!B1911)))+--(NOT(EXACT(TEXT(G1911,"yyyy-mm-dd"),'AI output'!C1911)))+--(NOT(EXACT(H1911,'AI output'!D1911)))+--(NOT(EXACT(J1911,'AI output'!E1911)))+--(NOT(EXACT(K1911,'AI output'!F1911)))+--(N1911&lt;&gt;'AI output'!L1911)+--(NOT('AI output'!M1911)),0)</f>
        <v>0</v>
      </c>
      <c r="Z1911" s="1">
        <f t="shared" si="239"/>
        <v>0</v>
      </c>
      <c r="AA1911" s="1">
        <f>--EXACT(A1911,"L01905")</f>
        <v>1</v>
      </c>
    </row>
    <row r="1912" spans="1:27" ht="18.95" customHeight="1">
      <c r="A1912" s="1" t="str">
        <f>IF(Raw!A1912="","",Raw!A1912)</f>
        <v>L01906</v>
      </c>
      <c r="B1912" s="1" t="str">
        <f>IF(Raw!B1912="","",Raw!B1912)</f>
        <v>T00953</v>
      </c>
      <c r="C1912" s="1" t="str">
        <f>IF(Raw!C1912="","",Raw!C1912)</f>
        <v>2026-01-05</v>
      </c>
      <c r="D1912" s="1">
        <f t="shared" si="232"/>
        <v>2026</v>
      </c>
      <c r="E1912" s="1">
        <f>IFERROR(IF(AND(LEN(C1912)=10,MID(C1912,5,1)="-",MID(C1912,8,1)="-"),VALUE(MID(C1912,6,2)),IF(AND(LEN(C1912)=11,MID(C1912,3,1)="-",MID(C1912,7,1)="-"),MATCH(UPPER(MID(C1912,4,3)),Guide!$D$7:$D$18,0),0)),0)</f>
        <v>1</v>
      </c>
      <c r="F1912" s="1">
        <f t="shared" si="233"/>
        <v>5</v>
      </c>
      <c r="G1912" s="9">
        <f t="shared" si="234"/>
        <v>46027</v>
      </c>
      <c r="H1912" s="1" t="str">
        <f>IF(Raw!D1912="","",Raw!D1912)</f>
        <v>P-A</v>
      </c>
      <c r="I1912" s="1" t="str">
        <f>IFERROR(IF(EXACT(H1912,INDEX(Guide!$A$7:$A$9,MATCH(SUBSTITUTE(SUBSTITUTE(SUBSTITUTE(H1912,"~","~~"),"*","~*"),"?","~?"),Guide!$A$7:$A$9,0))),INDEX(Guide!$B$7:$B$9,MATCH(SUBSTITUTE(SUBSTITUTE(SUBSTITUTE(H1912,"~","~~"),"*","~*"),"?","~?"),Guide!$A$7:$A$9,0)),""),"")</f>
        <v>Accessories</v>
      </c>
      <c r="J1912" s="1" t="str">
        <f>IF(TRIM(Raw!E1912)="",I1912,IF(UPPER(TRIM(Raw!E1912))=UPPER(I1912),I1912,""))</f>
        <v>Accessories</v>
      </c>
      <c r="K1912" s="1" t="str">
        <f>IF(Raw!F1912="","",Raw!F1912)</f>
        <v>sale</v>
      </c>
      <c r="L1912" s="1" t="str">
        <f>IF(LEFT(TRIM(Raw!G1912),2)="-$","-"&amp;MID(TRIM(Raw!G1912),3,99),IF(LEFT(TRIM(Raw!G1912),1)="$",MID(TRIM(Raw!G1912),2,99),TRIM(Raw!G1912)))</f>
        <v>109.84</v>
      </c>
      <c r="M1912" s="1">
        <f t="shared" si="235"/>
        <v>109.84</v>
      </c>
      <c r="N1912" s="10">
        <f t="shared" si="236"/>
        <v>10984</v>
      </c>
      <c r="O1912" s="1" t="b">
        <f>IFERROR(IF(ISNUMBER(Raw!G1912),TRUE,OR(EXACT(L1912,TEXT(M1912,"0.00")),EXACT(L1912,TEXT(M1912,"#,##0.00")))),FALSE)</f>
        <v>1</v>
      </c>
      <c r="P1912" s="1" t="str">
        <f>LEN(IF(Raw!A1912="","",Raw!A1912))&amp;":"&amp;IF(Raw!A1912="","",Raw!A1912)&amp;"|"&amp;LEN(IF(Raw!B1912="","",Raw!B1912))&amp;":"&amp;IF(Raw!B1912="","",Raw!B1912)&amp;"|"&amp;LEN(IF(Raw!C1912="","",Raw!C1912))&amp;":"&amp;IF(Raw!C1912="","",Raw!C1912)&amp;"|"&amp;LEN(IF(Raw!D1912="","",Raw!D1912))&amp;":"&amp;IF(Raw!D1912="","",Raw!D1912)&amp;"|"&amp;LEN(IF(Raw!E1912="","",Raw!E1912))&amp;":"&amp;IF(Raw!E1912="","",Raw!E1912)&amp;"|"&amp;LEN(IF(Raw!F1912="","",Raw!F1912))&amp;":"&amp;IF(Raw!F1912="","",Raw!F1912)&amp;"|"&amp;LEN(IF(Raw!G1912="","",Raw!G1912))&amp;":"&amp;IF(Raw!G1912="","",Raw!G1912)</f>
        <v>6:L01906|6:T00953|10:2026-01-05|3:P-A|11:Accessories|4:sale|6:109.84</v>
      </c>
      <c r="Q1912" s="1">
        <f>1</f>
        <v>1</v>
      </c>
      <c r="R1912" s="1" t="b">
        <f>FALSE</f>
        <v>0</v>
      </c>
      <c r="S1912" s="1">
        <f>1</f>
        <v>1</v>
      </c>
      <c r="T1912" s="1" t="str">
        <f>IF(AND(Raw!A1912="",Raw!B1912="",Raw!C1912="",Raw!D1912="",Raw!E1912="",Raw!F1912="",Raw!G1912=""),"UNUSED",IF(A1912="","missing line ID",IF(B1912="","missing transaction ID",IF(G1912="",IF(C1912="","missing date","invalid date"),IF(I1912="","unknown product",IF(J1912="","conflicting category",IF(NOT(OR(EXACT(K1912,"sale"),EXACT(K1912,"refund"))),"unknown event",IF(OR(N1912="",NOT(O1912)),"invalid amount",IF(OR(AND(K1912="sale",N1912&lt;=0),AND(K1912="refund",N1912&gt;=0)),"invalid sign","")))))))))</f>
        <v/>
      </c>
      <c r="U1912" s="1" t="str">
        <f t="shared" si="237"/>
        <v>INCLUDED</v>
      </c>
      <c r="V1912" s="1" t="str">
        <f t="shared" si="238"/>
        <v>2026-01</v>
      </c>
      <c r="W1912" s="1">
        <f>IF(AND(U1912="INCLUDED",X1912&gt;0,EXACT(A1912,'AI output'!A1912)),1,0)</f>
        <v>1</v>
      </c>
      <c r="X1912" s="1">
        <f>1912</f>
        <v>1912</v>
      </c>
      <c r="Y1912" s="1">
        <f>IF(AND(U1912="INCLUDED",W1912=1),--(NOT(EXACT(A1912,'AI output'!A1912)))+--(NOT(EXACT(B1912,'AI output'!B1912)))+--(NOT(EXACT(TEXT(G1912,"yyyy-mm-dd"),'AI output'!C1912)))+--(NOT(EXACT(H1912,'AI output'!D1912)))+--(NOT(EXACT(J1912,'AI output'!E1912)))+--(NOT(EXACT(K1912,'AI output'!F1912)))+--(N1912&lt;&gt;'AI output'!L1912)+--(NOT('AI output'!M1912)),0)</f>
        <v>0</v>
      </c>
      <c r="Z1912" s="1">
        <f t="shared" si="239"/>
        <v>0</v>
      </c>
      <c r="AA1912" s="1">
        <f>--EXACT(A1912,"L01906")</f>
        <v>1</v>
      </c>
    </row>
    <row r="1913" spans="1:27" ht="18.95" customHeight="1">
      <c r="A1913" s="1" t="str">
        <f>IF(Raw!A1913="","",Raw!A1913)</f>
        <v>L01907</v>
      </c>
      <c r="B1913" s="1" t="str">
        <f>IF(Raw!B1913="","",Raw!B1913)</f>
        <v>T00954</v>
      </c>
      <c r="C1913" s="1" t="str">
        <f>IF(Raw!C1913="","",Raw!C1913)</f>
        <v>2026-01-12</v>
      </c>
      <c r="D1913" s="1">
        <f t="shared" si="232"/>
        <v>2026</v>
      </c>
      <c r="E1913" s="1">
        <f>IFERROR(IF(AND(LEN(C1913)=10,MID(C1913,5,1)="-",MID(C1913,8,1)="-"),VALUE(MID(C1913,6,2)),IF(AND(LEN(C1913)=11,MID(C1913,3,1)="-",MID(C1913,7,1)="-"),MATCH(UPPER(MID(C1913,4,3)),Guide!$D$7:$D$18,0),0)),0)</f>
        <v>1</v>
      </c>
      <c r="F1913" s="1">
        <f t="shared" si="233"/>
        <v>12</v>
      </c>
      <c r="G1913" s="9">
        <f t="shared" si="234"/>
        <v>46034</v>
      </c>
      <c r="H1913" s="1" t="str">
        <f>IF(Raw!D1913="","",Raw!D1913)</f>
        <v>P-H</v>
      </c>
      <c r="I1913" s="1" t="str">
        <f>IFERROR(IF(EXACT(H1913,INDEX(Guide!$A$7:$A$9,MATCH(SUBSTITUTE(SUBSTITUTE(SUBSTITUTE(H1913,"~","~~"),"*","~*"),"?","~?"),Guide!$A$7:$A$9,0))),INDEX(Guide!$B$7:$B$9,MATCH(SUBSTITUTE(SUBSTITUTE(SUBSTITUTE(H1913,"~","~~"),"*","~*"),"?","~?"),Guide!$A$7:$A$9,0)),""),"")</f>
        <v>Home</v>
      </c>
      <c r="J1913" s="1" t="str">
        <f>IF(TRIM(Raw!E1913)="",I1913,IF(UPPER(TRIM(Raw!E1913))=UPPER(I1913),I1913,""))</f>
        <v>Home</v>
      </c>
      <c r="K1913" s="1" t="str">
        <f>IF(Raw!F1913="","",Raw!F1913)</f>
        <v>sale</v>
      </c>
      <c r="L1913" s="1" t="str">
        <f>IF(LEFT(TRIM(Raw!G1913),2)="-$","-"&amp;MID(TRIM(Raw!G1913),3,99),IF(LEFT(TRIM(Raw!G1913),1)="$",MID(TRIM(Raw!G1913),2,99),TRIM(Raw!G1913)))</f>
        <v>330.63</v>
      </c>
      <c r="M1913" s="1">
        <f t="shared" si="235"/>
        <v>330.63</v>
      </c>
      <c r="N1913" s="10">
        <f t="shared" si="236"/>
        <v>33063</v>
      </c>
      <c r="O1913" s="1" t="b">
        <f>IFERROR(IF(ISNUMBER(Raw!G1913),TRUE,OR(EXACT(L1913,TEXT(M1913,"0.00")),EXACT(L1913,TEXT(M1913,"#,##0.00")))),FALSE)</f>
        <v>1</v>
      </c>
      <c r="P1913" s="1" t="str">
        <f>LEN(IF(Raw!A1913="","",Raw!A1913))&amp;":"&amp;IF(Raw!A1913="","",Raw!A1913)&amp;"|"&amp;LEN(IF(Raw!B1913="","",Raw!B1913))&amp;":"&amp;IF(Raw!B1913="","",Raw!B1913)&amp;"|"&amp;LEN(IF(Raw!C1913="","",Raw!C1913))&amp;":"&amp;IF(Raw!C1913="","",Raw!C1913)&amp;"|"&amp;LEN(IF(Raw!D1913="","",Raw!D1913))&amp;":"&amp;IF(Raw!D1913="","",Raw!D1913)&amp;"|"&amp;LEN(IF(Raw!E1913="","",Raw!E1913))&amp;":"&amp;IF(Raw!E1913="","",Raw!E1913)&amp;"|"&amp;LEN(IF(Raw!F1913="","",Raw!F1913))&amp;":"&amp;IF(Raw!F1913="","",Raw!F1913)&amp;"|"&amp;LEN(IF(Raw!G1913="","",Raw!G1913))&amp;":"&amp;IF(Raw!G1913="","",Raw!G1913)</f>
        <v>6:L01907|6:T00954|10:2026-01-12|3:P-H|4:Home|4:sale|6:330.63</v>
      </c>
      <c r="Q1913" s="1">
        <f>1</f>
        <v>1</v>
      </c>
      <c r="R1913" s="1" t="b">
        <f>FALSE</f>
        <v>0</v>
      </c>
      <c r="S1913" s="1">
        <f>1</f>
        <v>1</v>
      </c>
      <c r="T1913" s="1" t="str">
        <f>IF(AND(Raw!A1913="",Raw!B1913="",Raw!C1913="",Raw!D1913="",Raw!E1913="",Raw!F1913="",Raw!G1913=""),"UNUSED",IF(A1913="","missing line ID",IF(B1913="","missing transaction ID",IF(G1913="",IF(C1913="","missing date","invalid date"),IF(I1913="","unknown product",IF(J1913="","conflicting category",IF(NOT(OR(EXACT(K1913,"sale"),EXACT(K1913,"refund"))),"unknown event",IF(OR(N1913="",NOT(O1913)),"invalid amount",IF(OR(AND(K1913="sale",N1913&lt;=0),AND(K1913="refund",N1913&gt;=0)),"invalid sign","")))))))))</f>
        <v/>
      </c>
      <c r="U1913" s="1" t="str">
        <f t="shared" si="237"/>
        <v>INCLUDED</v>
      </c>
      <c r="V1913" s="1" t="str">
        <f t="shared" si="238"/>
        <v>2026-01</v>
      </c>
      <c r="W1913" s="1">
        <f>IF(AND(U1913="INCLUDED",X1913&gt;0,EXACT(A1913,'AI output'!A1913)),1,0)</f>
        <v>1</v>
      </c>
      <c r="X1913" s="1">
        <f>1913</f>
        <v>1913</v>
      </c>
      <c r="Y1913" s="1">
        <f>IF(AND(U1913="INCLUDED",W1913=1),--(NOT(EXACT(A1913,'AI output'!A1913)))+--(NOT(EXACT(B1913,'AI output'!B1913)))+--(NOT(EXACT(TEXT(G1913,"yyyy-mm-dd"),'AI output'!C1913)))+--(NOT(EXACT(H1913,'AI output'!D1913)))+--(NOT(EXACT(J1913,'AI output'!E1913)))+--(NOT(EXACT(K1913,'AI output'!F1913)))+--(N1913&lt;&gt;'AI output'!L1913)+--(NOT('AI output'!M1913)),0)</f>
        <v>0</v>
      </c>
      <c r="Z1913" s="1">
        <f t="shared" si="239"/>
        <v>0</v>
      </c>
      <c r="AA1913" s="1">
        <f>--EXACT(A1913,"L01907")</f>
        <v>1</v>
      </c>
    </row>
    <row r="1914" spans="1:27" ht="18.95" customHeight="1">
      <c r="A1914" s="1" t="str">
        <f>IF(Raw!A1914="","",Raw!A1914)</f>
        <v>L01908</v>
      </c>
      <c r="B1914" s="1" t="str">
        <f>IF(Raw!B1914="","",Raw!B1914)</f>
        <v>T00954</v>
      </c>
      <c r="C1914" s="1" t="str">
        <f>IF(Raw!C1914="","",Raw!C1914)</f>
        <v>2026-01-12</v>
      </c>
      <c r="D1914" s="1">
        <f t="shared" si="232"/>
        <v>2026</v>
      </c>
      <c r="E1914" s="1">
        <f>IFERROR(IF(AND(LEN(C1914)=10,MID(C1914,5,1)="-",MID(C1914,8,1)="-"),VALUE(MID(C1914,6,2)),IF(AND(LEN(C1914)=11,MID(C1914,3,1)="-",MID(C1914,7,1)="-"),MATCH(UPPER(MID(C1914,4,3)),Guide!$D$7:$D$18,0),0)),0)</f>
        <v>1</v>
      </c>
      <c r="F1914" s="1">
        <f t="shared" si="233"/>
        <v>12</v>
      </c>
      <c r="G1914" s="9">
        <f t="shared" si="234"/>
        <v>46034</v>
      </c>
      <c r="H1914" s="1" t="str">
        <f>IF(Raw!D1914="","",Raw!D1914)</f>
        <v>P-O</v>
      </c>
      <c r="I1914" s="1" t="str">
        <f>IFERROR(IF(EXACT(H1914,INDEX(Guide!$A$7:$A$9,MATCH(SUBSTITUTE(SUBSTITUTE(SUBSTITUTE(H1914,"~","~~"),"*","~*"),"?","~?"),Guide!$A$7:$A$9,0))),INDEX(Guide!$B$7:$B$9,MATCH(SUBSTITUTE(SUBSTITUTE(SUBSTITUTE(H1914,"~","~~"),"*","~*"),"?","~?"),Guide!$A$7:$A$9,0)),""),"")</f>
        <v>Office</v>
      </c>
      <c r="J1914" s="1" t="str">
        <f>IF(TRIM(Raw!E1914)="",I1914,IF(UPPER(TRIM(Raw!E1914))=UPPER(I1914),I1914,""))</f>
        <v>Office</v>
      </c>
      <c r="K1914" s="1" t="str">
        <f>IF(Raw!F1914="","",Raw!F1914)</f>
        <v>sale</v>
      </c>
      <c r="L1914" s="1" t="str">
        <f>IF(LEFT(TRIM(Raw!G1914),2)="-$","-"&amp;MID(TRIM(Raw!G1914),3,99),IF(LEFT(TRIM(Raw!G1914),1)="$",MID(TRIM(Raw!G1914),2,99),TRIM(Raw!G1914)))</f>
        <v>552.90</v>
      </c>
      <c r="M1914" s="1">
        <f t="shared" si="235"/>
        <v>552.9</v>
      </c>
      <c r="N1914" s="10">
        <f t="shared" si="236"/>
        <v>55290</v>
      </c>
      <c r="O1914" s="1" t="b">
        <f>IFERROR(IF(ISNUMBER(Raw!G1914),TRUE,OR(EXACT(L1914,TEXT(M1914,"0.00")),EXACT(L1914,TEXT(M1914,"#,##0.00")))),FALSE)</f>
        <v>1</v>
      </c>
      <c r="P1914" s="1" t="str">
        <f>LEN(IF(Raw!A1914="","",Raw!A1914))&amp;":"&amp;IF(Raw!A1914="","",Raw!A1914)&amp;"|"&amp;LEN(IF(Raw!B1914="","",Raw!B1914))&amp;":"&amp;IF(Raw!B1914="","",Raw!B1914)&amp;"|"&amp;LEN(IF(Raw!C1914="","",Raw!C1914))&amp;":"&amp;IF(Raw!C1914="","",Raw!C1914)&amp;"|"&amp;LEN(IF(Raw!D1914="","",Raw!D1914))&amp;":"&amp;IF(Raw!D1914="","",Raw!D1914)&amp;"|"&amp;LEN(IF(Raw!E1914="","",Raw!E1914))&amp;":"&amp;IF(Raw!E1914="","",Raw!E1914)&amp;"|"&amp;LEN(IF(Raw!F1914="","",Raw!F1914))&amp;":"&amp;IF(Raw!F1914="","",Raw!F1914)&amp;"|"&amp;LEN(IF(Raw!G1914="","",Raw!G1914))&amp;":"&amp;IF(Raw!G1914="","",Raw!G1914)</f>
        <v>6:L01908|6:T00954|10:2026-01-12|3:P-O|6:Office|4:sale|6:552.90</v>
      </c>
      <c r="Q1914" s="1">
        <f>1</f>
        <v>1</v>
      </c>
      <c r="R1914" s="1" t="b">
        <f>FALSE</f>
        <v>0</v>
      </c>
      <c r="S1914" s="1">
        <f>1</f>
        <v>1</v>
      </c>
      <c r="T1914" s="1" t="str">
        <f>IF(AND(Raw!A1914="",Raw!B1914="",Raw!C1914="",Raw!D1914="",Raw!E1914="",Raw!F1914="",Raw!G1914=""),"UNUSED",IF(A1914="","missing line ID",IF(B1914="","missing transaction ID",IF(G1914="",IF(C1914="","missing date","invalid date"),IF(I1914="","unknown product",IF(J1914="","conflicting category",IF(NOT(OR(EXACT(K1914,"sale"),EXACT(K1914,"refund"))),"unknown event",IF(OR(N1914="",NOT(O1914)),"invalid amount",IF(OR(AND(K1914="sale",N1914&lt;=0),AND(K1914="refund",N1914&gt;=0)),"invalid sign","")))))))))</f>
        <v/>
      </c>
      <c r="U1914" s="1" t="str">
        <f t="shared" si="237"/>
        <v>INCLUDED</v>
      </c>
      <c r="V1914" s="1" t="str">
        <f t="shared" si="238"/>
        <v>2026-01</v>
      </c>
      <c r="W1914" s="1">
        <f>IF(AND(U1914="INCLUDED",X1914&gt;0,EXACT(A1914,'AI output'!A1914)),1,0)</f>
        <v>1</v>
      </c>
      <c r="X1914" s="1">
        <f>1914</f>
        <v>1914</v>
      </c>
      <c r="Y1914" s="1">
        <f>IF(AND(U1914="INCLUDED",W1914=1),--(NOT(EXACT(A1914,'AI output'!A1914)))+--(NOT(EXACT(B1914,'AI output'!B1914)))+--(NOT(EXACT(TEXT(G1914,"yyyy-mm-dd"),'AI output'!C1914)))+--(NOT(EXACT(H1914,'AI output'!D1914)))+--(NOT(EXACT(J1914,'AI output'!E1914)))+--(NOT(EXACT(K1914,'AI output'!F1914)))+--(N1914&lt;&gt;'AI output'!L1914)+--(NOT('AI output'!M1914)),0)</f>
        <v>0</v>
      </c>
      <c r="Z1914" s="1">
        <f t="shared" si="239"/>
        <v>0</v>
      </c>
      <c r="AA1914" s="1">
        <f>--EXACT(A1914,"L01908")</f>
        <v>1</v>
      </c>
    </row>
    <row r="1915" spans="1:27" ht="18.95" customHeight="1">
      <c r="A1915" s="1" t="str">
        <f>IF(Raw!A1915="","",Raw!A1915)</f>
        <v>L01909</v>
      </c>
      <c r="B1915" s="1" t="str">
        <f>IF(Raw!B1915="","",Raw!B1915)</f>
        <v>T00955</v>
      </c>
      <c r="C1915" s="1" t="str">
        <f>IF(Raw!C1915="","",Raw!C1915)</f>
        <v>2026-01-19</v>
      </c>
      <c r="D1915" s="1">
        <f t="shared" si="232"/>
        <v>2026</v>
      </c>
      <c r="E1915" s="1">
        <f>IFERROR(IF(AND(LEN(C1915)=10,MID(C1915,5,1)="-",MID(C1915,8,1)="-"),VALUE(MID(C1915,6,2)),IF(AND(LEN(C1915)=11,MID(C1915,3,1)="-",MID(C1915,7,1)="-"),MATCH(UPPER(MID(C1915,4,3)),Guide!$D$7:$D$18,0),0)),0)</f>
        <v>1</v>
      </c>
      <c r="F1915" s="1">
        <f t="shared" si="233"/>
        <v>19</v>
      </c>
      <c r="G1915" s="9">
        <f t="shared" si="234"/>
        <v>46041</v>
      </c>
      <c r="H1915" s="1" t="str">
        <f>IF(Raw!D1915="","",Raw!D1915)</f>
        <v>P-A</v>
      </c>
      <c r="I1915" s="1" t="str">
        <f>IFERROR(IF(EXACT(H1915,INDEX(Guide!$A$7:$A$9,MATCH(SUBSTITUTE(SUBSTITUTE(SUBSTITUTE(H1915,"~","~~"),"*","~*"),"?","~?"),Guide!$A$7:$A$9,0))),INDEX(Guide!$B$7:$B$9,MATCH(SUBSTITUTE(SUBSTITUTE(SUBSTITUTE(H1915,"~","~~"),"*","~*"),"?","~?"),Guide!$A$7:$A$9,0)),""),"")</f>
        <v>Accessories</v>
      </c>
      <c r="J1915" s="1" t="str">
        <f>IF(TRIM(Raw!E1915)="",I1915,IF(UPPER(TRIM(Raw!E1915))=UPPER(I1915),I1915,""))</f>
        <v>Accessories</v>
      </c>
      <c r="K1915" s="1" t="str">
        <f>IF(Raw!F1915="","",Raw!F1915)</f>
        <v>sale</v>
      </c>
      <c r="L1915" s="1" t="str">
        <f>IF(LEFT(TRIM(Raw!G1915),2)="-$","-"&amp;MID(TRIM(Raw!G1915),3,99),IF(LEFT(TRIM(Raw!G1915),1)="$",MID(TRIM(Raw!G1915),2,99),TRIM(Raw!G1915)))</f>
        <v>221.90</v>
      </c>
      <c r="M1915" s="1">
        <f t="shared" si="235"/>
        <v>221.9</v>
      </c>
      <c r="N1915" s="10">
        <f t="shared" si="236"/>
        <v>22190</v>
      </c>
      <c r="O1915" s="1" t="b">
        <f>IFERROR(IF(ISNUMBER(Raw!G1915),TRUE,OR(EXACT(L1915,TEXT(M1915,"0.00")),EXACT(L1915,TEXT(M1915,"#,##0.00")))),FALSE)</f>
        <v>1</v>
      </c>
      <c r="P1915" s="1" t="str">
        <f>LEN(IF(Raw!A1915="","",Raw!A1915))&amp;":"&amp;IF(Raw!A1915="","",Raw!A1915)&amp;"|"&amp;LEN(IF(Raw!B1915="","",Raw!B1915))&amp;":"&amp;IF(Raw!B1915="","",Raw!B1915)&amp;"|"&amp;LEN(IF(Raw!C1915="","",Raw!C1915))&amp;":"&amp;IF(Raw!C1915="","",Raw!C1915)&amp;"|"&amp;LEN(IF(Raw!D1915="","",Raw!D1915))&amp;":"&amp;IF(Raw!D1915="","",Raw!D1915)&amp;"|"&amp;LEN(IF(Raw!E1915="","",Raw!E1915))&amp;":"&amp;IF(Raw!E1915="","",Raw!E1915)&amp;"|"&amp;LEN(IF(Raw!F1915="","",Raw!F1915))&amp;":"&amp;IF(Raw!F1915="","",Raw!F1915)&amp;"|"&amp;LEN(IF(Raw!G1915="","",Raw!G1915))&amp;":"&amp;IF(Raw!G1915="","",Raw!G1915)</f>
        <v>6:L01909|6:T00955|10:2026-01-19|3:P-A|11:Accessories|4:sale|6:221.90</v>
      </c>
      <c r="Q1915" s="1">
        <f>1</f>
        <v>1</v>
      </c>
      <c r="R1915" s="1" t="b">
        <f>FALSE</f>
        <v>0</v>
      </c>
      <c r="S1915" s="1">
        <f>1</f>
        <v>1</v>
      </c>
      <c r="T1915" s="1" t="str">
        <f>IF(AND(Raw!A1915="",Raw!B1915="",Raw!C1915="",Raw!D1915="",Raw!E1915="",Raw!F1915="",Raw!G1915=""),"UNUSED",IF(A1915="","missing line ID",IF(B1915="","missing transaction ID",IF(G1915="",IF(C1915="","missing date","invalid date"),IF(I1915="","unknown product",IF(J1915="","conflicting category",IF(NOT(OR(EXACT(K1915,"sale"),EXACT(K1915,"refund"))),"unknown event",IF(OR(N1915="",NOT(O1915)),"invalid amount",IF(OR(AND(K1915="sale",N1915&lt;=0),AND(K1915="refund",N1915&gt;=0)),"invalid sign","")))))))))</f>
        <v/>
      </c>
      <c r="U1915" s="1" t="str">
        <f t="shared" si="237"/>
        <v>INCLUDED</v>
      </c>
      <c r="V1915" s="1" t="str">
        <f t="shared" si="238"/>
        <v>2026-01</v>
      </c>
      <c r="W1915" s="1">
        <f>IF(AND(U1915="INCLUDED",X1915&gt;0,EXACT(A1915,'AI output'!A1915)),1,0)</f>
        <v>1</v>
      </c>
      <c r="X1915" s="1">
        <f>1915</f>
        <v>1915</v>
      </c>
      <c r="Y1915" s="1">
        <f>IF(AND(U1915="INCLUDED",W1915=1),--(NOT(EXACT(A1915,'AI output'!A1915)))+--(NOT(EXACT(B1915,'AI output'!B1915)))+--(NOT(EXACT(TEXT(G1915,"yyyy-mm-dd"),'AI output'!C1915)))+--(NOT(EXACT(H1915,'AI output'!D1915)))+--(NOT(EXACT(J1915,'AI output'!E1915)))+--(NOT(EXACT(K1915,'AI output'!F1915)))+--(N1915&lt;&gt;'AI output'!L1915)+--(NOT('AI output'!M1915)),0)</f>
        <v>0</v>
      </c>
      <c r="Z1915" s="1">
        <f t="shared" si="239"/>
        <v>0</v>
      </c>
      <c r="AA1915" s="1">
        <f>--EXACT(A1915,"L01909")</f>
        <v>1</v>
      </c>
    </row>
    <row r="1916" spans="1:27" ht="18.95" customHeight="1">
      <c r="A1916" s="1" t="str">
        <f>IF(Raw!A1916="","",Raw!A1916)</f>
        <v>L01910</v>
      </c>
      <c r="B1916" s="1" t="str">
        <f>IF(Raw!B1916="","",Raw!B1916)</f>
        <v>T00955</v>
      </c>
      <c r="C1916" s="1" t="str">
        <f>IF(Raw!C1916="","",Raw!C1916)</f>
        <v>2026-01-19</v>
      </c>
      <c r="D1916" s="1">
        <f t="shared" si="232"/>
        <v>2026</v>
      </c>
      <c r="E1916" s="1">
        <f>IFERROR(IF(AND(LEN(C1916)=10,MID(C1916,5,1)="-",MID(C1916,8,1)="-"),VALUE(MID(C1916,6,2)),IF(AND(LEN(C1916)=11,MID(C1916,3,1)="-",MID(C1916,7,1)="-"),MATCH(UPPER(MID(C1916,4,3)),Guide!$D$7:$D$18,0),0)),0)</f>
        <v>1</v>
      </c>
      <c r="F1916" s="1">
        <f t="shared" si="233"/>
        <v>19</v>
      </c>
      <c r="G1916" s="9">
        <f t="shared" si="234"/>
        <v>46041</v>
      </c>
      <c r="H1916" s="1" t="str">
        <f>IF(Raw!D1916="","",Raw!D1916)</f>
        <v>P-H</v>
      </c>
      <c r="I1916" s="1" t="str">
        <f>IFERROR(IF(EXACT(H1916,INDEX(Guide!$A$7:$A$9,MATCH(SUBSTITUTE(SUBSTITUTE(SUBSTITUTE(H1916,"~","~~"),"*","~*"),"?","~?"),Guide!$A$7:$A$9,0))),INDEX(Guide!$B$7:$B$9,MATCH(SUBSTITUTE(SUBSTITUTE(SUBSTITUTE(H1916,"~","~~"),"*","~*"),"?","~?"),Guide!$A$7:$A$9,0)),""),"")</f>
        <v>Home</v>
      </c>
      <c r="J1916" s="1" t="str">
        <f>IF(TRIM(Raw!E1916)="",I1916,IF(UPPER(TRIM(Raw!E1916))=UPPER(I1916),I1916,""))</f>
        <v>Home</v>
      </c>
      <c r="K1916" s="1" t="str">
        <f>IF(Raw!F1916="","",Raw!F1916)</f>
        <v>refund</v>
      </c>
      <c r="L1916" s="1" t="str">
        <f>IF(LEFT(TRIM(Raw!G1916),2)="-$","-"&amp;MID(TRIM(Raw!G1916),3,99),IF(LEFT(TRIM(Raw!G1916),1)="$",MID(TRIM(Raw!G1916),2,99),TRIM(Raw!G1916)))</f>
        <v>-445.28</v>
      </c>
      <c r="M1916" s="1">
        <f t="shared" si="235"/>
        <v>-445.28</v>
      </c>
      <c r="N1916" s="10">
        <f t="shared" si="236"/>
        <v>-44528</v>
      </c>
      <c r="O1916" s="1" t="b">
        <f>IFERROR(IF(ISNUMBER(Raw!G1916),TRUE,OR(EXACT(L1916,TEXT(M1916,"0.00")),EXACT(L1916,TEXT(M1916,"#,##0.00")))),FALSE)</f>
        <v>1</v>
      </c>
      <c r="P1916" s="1" t="str">
        <f>LEN(IF(Raw!A1916="","",Raw!A1916))&amp;":"&amp;IF(Raw!A1916="","",Raw!A1916)&amp;"|"&amp;LEN(IF(Raw!B1916="","",Raw!B1916))&amp;":"&amp;IF(Raw!B1916="","",Raw!B1916)&amp;"|"&amp;LEN(IF(Raw!C1916="","",Raw!C1916))&amp;":"&amp;IF(Raw!C1916="","",Raw!C1916)&amp;"|"&amp;LEN(IF(Raw!D1916="","",Raw!D1916))&amp;":"&amp;IF(Raw!D1916="","",Raw!D1916)&amp;"|"&amp;LEN(IF(Raw!E1916="","",Raw!E1916))&amp;":"&amp;IF(Raw!E1916="","",Raw!E1916)&amp;"|"&amp;LEN(IF(Raw!F1916="","",Raw!F1916))&amp;":"&amp;IF(Raw!F1916="","",Raw!F1916)&amp;"|"&amp;LEN(IF(Raw!G1916="","",Raw!G1916))&amp;":"&amp;IF(Raw!G1916="","",Raw!G1916)</f>
        <v>6:L01910|6:T00955|10:2026-01-19|3:P-H|4:Home|6:refund|7:-445.28</v>
      </c>
      <c r="Q1916" s="1">
        <f>1</f>
        <v>1</v>
      </c>
      <c r="R1916" s="1" t="b">
        <f>FALSE</f>
        <v>0</v>
      </c>
      <c r="S1916" s="1">
        <f>1</f>
        <v>1</v>
      </c>
      <c r="T1916" s="1" t="str">
        <f>IF(AND(Raw!A1916="",Raw!B1916="",Raw!C1916="",Raw!D1916="",Raw!E1916="",Raw!F1916="",Raw!G1916=""),"UNUSED",IF(A1916="","missing line ID",IF(B1916="","missing transaction ID",IF(G1916="",IF(C1916="","missing date","invalid date"),IF(I1916="","unknown product",IF(J1916="","conflicting category",IF(NOT(OR(EXACT(K1916,"sale"),EXACT(K1916,"refund"))),"unknown event",IF(OR(N1916="",NOT(O1916)),"invalid amount",IF(OR(AND(K1916="sale",N1916&lt;=0),AND(K1916="refund",N1916&gt;=0)),"invalid sign","")))))))))</f>
        <v/>
      </c>
      <c r="U1916" s="1" t="str">
        <f t="shared" si="237"/>
        <v>INCLUDED</v>
      </c>
      <c r="V1916" s="1" t="str">
        <f t="shared" si="238"/>
        <v>2026-01</v>
      </c>
      <c r="W1916" s="1">
        <f>IF(AND(U1916="INCLUDED",X1916&gt;0,EXACT(A1916,'AI output'!A1916)),1,0)</f>
        <v>1</v>
      </c>
      <c r="X1916" s="1">
        <f>1916</f>
        <v>1916</v>
      </c>
      <c r="Y1916" s="1">
        <f>IF(AND(U1916="INCLUDED",W1916=1),--(NOT(EXACT(A1916,'AI output'!A1916)))+--(NOT(EXACT(B1916,'AI output'!B1916)))+--(NOT(EXACT(TEXT(G1916,"yyyy-mm-dd"),'AI output'!C1916)))+--(NOT(EXACT(H1916,'AI output'!D1916)))+--(NOT(EXACT(J1916,'AI output'!E1916)))+--(NOT(EXACT(K1916,'AI output'!F1916)))+--(N1916&lt;&gt;'AI output'!L1916)+--(NOT('AI output'!M1916)),0)</f>
        <v>0</v>
      </c>
      <c r="Z1916" s="1">
        <f t="shared" si="239"/>
        <v>0</v>
      </c>
      <c r="AA1916" s="1">
        <f>--EXACT(A1916,"L01910")</f>
        <v>1</v>
      </c>
    </row>
    <row r="1917" spans="1:27" ht="18.95" customHeight="1">
      <c r="A1917" s="1" t="str">
        <f>IF(Raw!A1917="","",Raw!A1917)</f>
        <v>L01911</v>
      </c>
      <c r="B1917" s="1" t="str">
        <f>IF(Raw!B1917="","",Raw!B1917)</f>
        <v>T00956</v>
      </c>
      <c r="C1917" s="1" t="str">
        <f>IF(Raw!C1917="","",Raw!C1917)</f>
        <v>2026-01-26</v>
      </c>
      <c r="D1917" s="1">
        <f t="shared" si="232"/>
        <v>2026</v>
      </c>
      <c r="E1917" s="1">
        <f>IFERROR(IF(AND(LEN(C1917)=10,MID(C1917,5,1)="-",MID(C1917,8,1)="-"),VALUE(MID(C1917,6,2)),IF(AND(LEN(C1917)=11,MID(C1917,3,1)="-",MID(C1917,7,1)="-"),MATCH(UPPER(MID(C1917,4,3)),Guide!$D$7:$D$18,0),0)),0)</f>
        <v>1</v>
      </c>
      <c r="F1917" s="1">
        <f t="shared" si="233"/>
        <v>26</v>
      </c>
      <c r="G1917" s="9">
        <f t="shared" si="234"/>
        <v>46048</v>
      </c>
      <c r="H1917" s="1" t="str">
        <f>IF(Raw!D1917="","",Raw!D1917)</f>
        <v>P-O</v>
      </c>
      <c r="I1917" s="1" t="str">
        <f>IFERROR(IF(EXACT(H1917,INDEX(Guide!$A$7:$A$9,MATCH(SUBSTITUTE(SUBSTITUTE(SUBSTITUTE(H1917,"~","~~"),"*","~*"),"?","~?"),Guide!$A$7:$A$9,0))),INDEX(Guide!$B$7:$B$9,MATCH(SUBSTITUTE(SUBSTITUTE(SUBSTITUTE(H1917,"~","~~"),"*","~*"),"?","~?"),Guide!$A$7:$A$9,0)),""),"")</f>
        <v>Office</v>
      </c>
      <c r="J1917" s="1" t="str">
        <f>IF(TRIM(Raw!E1917)="",I1917,IF(UPPER(TRIM(Raw!E1917))=UPPER(I1917),I1917,""))</f>
        <v>Office</v>
      </c>
      <c r="K1917" s="1" t="str">
        <f>IF(Raw!F1917="","",Raw!F1917)</f>
        <v>sale</v>
      </c>
      <c r="L1917" s="1" t="str">
        <f>IF(LEFT(TRIM(Raw!G1917),2)="-$","-"&amp;MID(TRIM(Raw!G1917),3,99),IF(LEFT(TRIM(Raw!G1917),1)="$",MID(TRIM(Raw!G1917),2,99),TRIM(Raw!G1917)))</f>
        <v>111.69</v>
      </c>
      <c r="M1917" s="1">
        <f t="shared" si="235"/>
        <v>111.69</v>
      </c>
      <c r="N1917" s="10">
        <f t="shared" si="236"/>
        <v>11169</v>
      </c>
      <c r="O1917" s="1" t="b">
        <f>IFERROR(IF(ISNUMBER(Raw!G1917),TRUE,OR(EXACT(L1917,TEXT(M1917,"0.00")),EXACT(L1917,TEXT(M1917,"#,##0.00")))),FALSE)</f>
        <v>1</v>
      </c>
      <c r="P1917" s="1" t="str">
        <f>LEN(IF(Raw!A1917="","",Raw!A1917))&amp;":"&amp;IF(Raw!A1917="","",Raw!A1917)&amp;"|"&amp;LEN(IF(Raw!B1917="","",Raw!B1917))&amp;":"&amp;IF(Raw!B1917="","",Raw!B1917)&amp;"|"&amp;LEN(IF(Raw!C1917="","",Raw!C1917))&amp;":"&amp;IF(Raw!C1917="","",Raw!C1917)&amp;"|"&amp;LEN(IF(Raw!D1917="","",Raw!D1917))&amp;":"&amp;IF(Raw!D1917="","",Raw!D1917)&amp;"|"&amp;LEN(IF(Raw!E1917="","",Raw!E1917))&amp;":"&amp;IF(Raw!E1917="","",Raw!E1917)&amp;"|"&amp;LEN(IF(Raw!F1917="","",Raw!F1917))&amp;":"&amp;IF(Raw!F1917="","",Raw!F1917)&amp;"|"&amp;LEN(IF(Raw!G1917="","",Raw!G1917))&amp;":"&amp;IF(Raw!G1917="","",Raw!G1917)</f>
        <v>6:L01911|6:T00956|10:2026-01-26|3:P-O|6:Office|4:sale|6:111.69</v>
      </c>
      <c r="Q1917" s="1">
        <f>1</f>
        <v>1</v>
      </c>
      <c r="R1917" s="1" t="b">
        <f>FALSE</f>
        <v>0</v>
      </c>
      <c r="S1917" s="1">
        <f>1</f>
        <v>1</v>
      </c>
      <c r="T1917" s="1" t="str">
        <f>IF(AND(Raw!A1917="",Raw!B1917="",Raw!C1917="",Raw!D1917="",Raw!E1917="",Raw!F1917="",Raw!G1917=""),"UNUSED",IF(A1917="","missing line ID",IF(B1917="","missing transaction ID",IF(G1917="",IF(C1917="","missing date","invalid date"),IF(I1917="","unknown product",IF(J1917="","conflicting category",IF(NOT(OR(EXACT(K1917,"sale"),EXACT(K1917,"refund"))),"unknown event",IF(OR(N1917="",NOT(O1917)),"invalid amount",IF(OR(AND(K1917="sale",N1917&lt;=0),AND(K1917="refund",N1917&gt;=0)),"invalid sign","")))))))))</f>
        <v/>
      </c>
      <c r="U1917" s="1" t="str">
        <f t="shared" si="237"/>
        <v>INCLUDED</v>
      </c>
      <c r="V1917" s="1" t="str">
        <f t="shared" si="238"/>
        <v>2026-01</v>
      </c>
      <c r="W1917" s="1">
        <f>IF(AND(U1917="INCLUDED",X1917&gt;0,EXACT(A1917,'AI output'!A1917)),1,0)</f>
        <v>1</v>
      </c>
      <c r="X1917" s="1">
        <f>1917</f>
        <v>1917</v>
      </c>
      <c r="Y1917" s="1">
        <f>IF(AND(U1917="INCLUDED",W1917=1),--(NOT(EXACT(A1917,'AI output'!A1917)))+--(NOT(EXACT(B1917,'AI output'!B1917)))+--(NOT(EXACT(TEXT(G1917,"yyyy-mm-dd"),'AI output'!C1917)))+--(NOT(EXACT(H1917,'AI output'!D1917)))+--(NOT(EXACT(J1917,'AI output'!E1917)))+--(NOT(EXACT(K1917,'AI output'!F1917)))+--(N1917&lt;&gt;'AI output'!L1917)+--(NOT('AI output'!M1917)),0)</f>
        <v>0</v>
      </c>
      <c r="Z1917" s="1">
        <f t="shared" si="239"/>
        <v>0</v>
      </c>
      <c r="AA1917" s="1">
        <f>--EXACT(A1917,"L01911")</f>
        <v>1</v>
      </c>
    </row>
    <row r="1918" spans="1:27" ht="18.95" customHeight="1">
      <c r="A1918" s="1" t="str">
        <f>IF(Raw!A1918="","",Raw!A1918)</f>
        <v>L01912</v>
      </c>
      <c r="B1918" s="1" t="str">
        <f>IF(Raw!B1918="","",Raw!B1918)</f>
        <v>T00956</v>
      </c>
      <c r="C1918" s="1" t="str">
        <f>IF(Raw!C1918="","",Raw!C1918)</f>
        <v>2026-01-26</v>
      </c>
      <c r="D1918" s="1">
        <f t="shared" si="232"/>
        <v>2026</v>
      </c>
      <c r="E1918" s="1">
        <f>IFERROR(IF(AND(LEN(C1918)=10,MID(C1918,5,1)="-",MID(C1918,8,1)="-"),VALUE(MID(C1918,6,2)),IF(AND(LEN(C1918)=11,MID(C1918,3,1)="-",MID(C1918,7,1)="-"),MATCH(UPPER(MID(C1918,4,3)),Guide!$D$7:$D$18,0),0)),0)</f>
        <v>1</v>
      </c>
      <c r="F1918" s="1">
        <f t="shared" si="233"/>
        <v>26</v>
      </c>
      <c r="G1918" s="9">
        <f t="shared" si="234"/>
        <v>46048</v>
      </c>
      <c r="H1918" s="1" t="str">
        <f>IF(Raw!D1918="","",Raw!D1918)</f>
        <v>P-A</v>
      </c>
      <c r="I1918" s="1" t="str">
        <f>IFERROR(IF(EXACT(H1918,INDEX(Guide!$A$7:$A$9,MATCH(SUBSTITUTE(SUBSTITUTE(SUBSTITUTE(H1918,"~","~~"),"*","~*"),"?","~?"),Guide!$A$7:$A$9,0))),INDEX(Guide!$B$7:$B$9,MATCH(SUBSTITUTE(SUBSTITUTE(SUBSTITUTE(H1918,"~","~~"),"*","~*"),"?","~?"),Guide!$A$7:$A$9,0)),""),"")</f>
        <v>Accessories</v>
      </c>
      <c r="J1918" s="1" t="str">
        <f>IF(TRIM(Raw!E1918)="",I1918,IF(UPPER(TRIM(Raw!E1918))=UPPER(I1918),I1918,""))</f>
        <v>Accessories</v>
      </c>
      <c r="K1918" s="1" t="str">
        <f>IF(Raw!F1918="","",Raw!F1918)</f>
        <v>sale</v>
      </c>
      <c r="L1918" s="1" t="str">
        <f>IF(LEFT(TRIM(Raw!G1918),2)="-$","-"&amp;MID(TRIM(Raw!G1918),3,99),IF(LEFT(TRIM(Raw!G1918),1)="$",MID(TRIM(Raw!G1918),2,99),TRIM(Raw!G1918)))</f>
        <v>336.18</v>
      </c>
      <c r="M1918" s="1">
        <f t="shared" si="235"/>
        <v>336.18</v>
      </c>
      <c r="N1918" s="10">
        <f t="shared" si="236"/>
        <v>33618</v>
      </c>
      <c r="O1918" s="1" t="b">
        <f>IFERROR(IF(ISNUMBER(Raw!G1918),TRUE,OR(EXACT(L1918,TEXT(M1918,"0.00")),EXACT(L1918,TEXT(M1918,"#,##0.00")))),FALSE)</f>
        <v>1</v>
      </c>
      <c r="P1918" s="1" t="str">
        <f>LEN(IF(Raw!A1918="","",Raw!A1918))&amp;":"&amp;IF(Raw!A1918="","",Raw!A1918)&amp;"|"&amp;LEN(IF(Raw!B1918="","",Raw!B1918))&amp;":"&amp;IF(Raw!B1918="","",Raw!B1918)&amp;"|"&amp;LEN(IF(Raw!C1918="","",Raw!C1918))&amp;":"&amp;IF(Raw!C1918="","",Raw!C1918)&amp;"|"&amp;LEN(IF(Raw!D1918="","",Raw!D1918))&amp;":"&amp;IF(Raw!D1918="","",Raw!D1918)&amp;"|"&amp;LEN(IF(Raw!E1918="","",Raw!E1918))&amp;":"&amp;IF(Raw!E1918="","",Raw!E1918)&amp;"|"&amp;LEN(IF(Raw!F1918="","",Raw!F1918))&amp;":"&amp;IF(Raw!F1918="","",Raw!F1918)&amp;"|"&amp;LEN(IF(Raw!G1918="","",Raw!G1918))&amp;":"&amp;IF(Raw!G1918="","",Raw!G1918)</f>
        <v>6:L01912|6:T00956|10:2026-01-26|3:P-A|11:Accessories|4:sale|6:336.18</v>
      </c>
      <c r="Q1918" s="1">
        <f>1</f>
        <v>1</v>
      </c>
      <c r="R1918" s="1" t="b">
        <f>FALSE</f>
        <v>0</v>
      </c>
      <c r="S1918" s="1">
        <f>1</f>
        <v>1</v>
      </c>
      <c r="T1918" s="1" t="str">
        <f>IF(AND(Raw!A1918="",Raw!B1918="",Raw!C1918="",Raw!D1918="",Raw!E1918="",Raw!F1918="",Raw!G1918=""),"UNUSED",IF(A1918="","missing line ID",IF(B1918="","missing transaction ID",IF(G1918="",IF(C1918="","missing date","invalid date"),IF(I1918="","unknown product",IF(J1918="","conflicting category",IF(NOT(OR(EXACT(K1918,"sale"),EXACT(K1918,"refund"))),"unknown event",IF(OR(N1918="",NOT(O1918)),"invalid amount",IF(OR(AND(K1918="sale",N1918&lt;=0),AND(K1918="refund",N1918&gt;=0)),"invalid sign","")))))))))</f>
        <v/>
      </c>
      <c r="U1918" s="1" t="str">
        <f t="shared" si="237"/>
        <v>INCLUDED</v>
      </c>
      <c r="V1918" s="1" t="str">
        <f t="shared" si="238"/>
        <v>2026-01</v>
      </c>
      <c r="W1918" s="1">
        <f>IF(AND(U1918="INCLUDED",X1918&gt;0,EXACT(A1918,'AI output'!A1918)),1,0)</f>
        <v>1</v>
      </c>
      <c r="X1918" s="1">
        <f>1918</f>
        <v>1918</v>
      </c>
      <c r="Y1918" s="1">
        <f>IF(AND(U1918="INCLUDED",W1918=1),--(NOT(EXACT(A1918,'AI output'!A1918)))+--(NOT(EXACT(B1918,'AI output'!B1918)))+--(NOT(EXACT(TEXT(G1918,"yyyy-mm-dd"),'AI output'!C1918)))+--(NOT(EXACT(H1918,'AI output'!D1918)))+--(NOT(EXACT(J1918,'AI output'!E1918)))+--(NOT(EXACT(K1918,'AI output'!F1918)))+--(N1918&lt;&gt;'AI output'!L1918)+--(NOT('AI output'!M1918)),0)</f>
        <v>0</v>
      </c>
      <c r="Z1918" s="1">
        <f t="shared" si="239"/>
        <v>0</v>
      </c>
      <c r="AA1918" s="1">
        <f>--EXACT(A1918,"L01912")</f>
        <v>1</v>
      </c>
    </row>
    <row r="1919" spans="1:27" ht="18.95" customHeight="1">
      <c r="A1919" s="1" t="str">
        <f>IF(Raw!A1919="","",Raw!A1919)</f>
        <v>L01913</v>
      </c>
      <c r="B1919" s="1" t="str">
        <f>IF(Raw!B1919="","",Raw!B1919)</f>
        <v>T00957</v>
      </c>
      <c r="C1919" s="1" t="str">
        <f>IF(Raw!C1919="","",Raw!C1919)</f>
        <v>2026-02-02</v>
      </c>
      <c r="D1919" s="1">
        <f t="shared" si="232"/>
        <v>2026</v>
      </c>
      <c r="E1919" s="1">
        <f>IFERROR(IF(AND(LEN(C1919)=10,MID(C1919,5,1)="-",MID(C1919,8,1)="-"),VALUE(MID(C1919,6,2)),IF(AND(LEN(C1919)=11,MID(C1919,3,1)="-",MID(C1919,7,1)="-"),MATCH(UPPER(MID(C1919,4,3)),Guide!$D$7:$D$18,0),0)),0)</f>
        <v>2</v>
      </c>
      <c r="F1919" s="1">
        <f t="shared" si="233"/>
        <v>2</v>
      </c>
      <c r="G1919" s="9">
        <f t="shared" si="234"/>
        <v>46055</v>
      </c>
      <c r="H1919" s="1" t="str">
        <f>IF(Raw!D1919="","",Raw!D1919)</f>
        <v>P-H</v>
      </c>
      <c r="I1919" s="1" t="str">
        <f>IFERROR(IF(EXACT(H1919,INDEX(Guide!$A$7:$A$9,MATCH(SUBSTITUTE(SUBSTITUTE(SUBSTITUTE(H1919,"~","~~"),"*","~*"),"?","~?"),Guide!$A$7:$A$9,0))),INDEX(Guide!$B$7:$B$9,MATCH(SUBSTITUTE(SUBSTITUTE(SUBSTITUTE(H1919,"~","~~"),"*","~*"),"?","~?"),Guide!$A$7:$A$9,0)),""),"")</f>
        <v>Home</v>
      </c>
      <c r="J1919" s="1" t="str">
        <f>IF(TRIM(Raw!E1919)="",I1919,IF(UPPER(TRIM(Raw!E1919))=UPPER(I1919),I1919,""))</f>
        <v>Home</v>
      </c>
      <c r="K1919" s="1" t="str">
        <f>IF(Raw!F1919="","",Raw!F1919)</f>
        <v>sale</v>
      </c>
      <c r="L1919" s="1" t="str">
        <f>IF(LEFT(TRIM(Raw!G1919),2)="-$","-"&amp;MID(TRIM(Raw!G1919),3,99),IF(LEFT(TRIM(Raw!G1919),1)="$",MID(TRIM(Raw!G1919),2,99),TRIM(Raw!G1919)))</f>
        <v>562.15</v>
      </c>
      <c r="M1919" s="1">
        <f t="shared" si="235"/>
        <v>562.15</v>
      </c>
      <c r="N1919" s="10">
        <f t="shared" si="236"/>
        <v>56215</v>
      </c>
      <c r="O1919" s="1" t="b">
        <f>IFERROR(IF(ISNUMBER(Raw!G1919),TRUE,OR(EXACT(L1919,TEXT(M1919,"0.00")),EXACT(L1919,TEXT(M1919,"#,##0.00")))),FALSE)</f>
        <v>1</v>
      </c>
      <c r="P1919" s="1" t="str">
        <f>LEN(IF(Raw!A1919="","",Raw!A1919))&amp;":"&amp;IF(Raw!A1919="","",Raw!A1919)&amp;"|"&amp;LEN(IF(Raw!B1919="","",Raw!B1919))&amp;":"&amp;IF(Raw!B1919="","",Raw!B1919)&amp;"|"&amp;LEN(IF(Raw!C1919="","",Raw!C1919))&amp;":"&amp;IF(Raw!C1919="","",Raw!C1919)&amp;"|"&amp;LEN(IF(Raw!D1919="","",Raw!D1919))&amp;":"&amp;IF(Raw!D1919="","",Raw!D1919)&amp;"|"&amp;LEN(IF(Raw!E1919="","",Raw!E1919))&amp;":"&amp;IF(Raw!E1919="","",Raw!E1919)&amp;"|"&amp;LEN(IF(Raw!F1919="","",Raw!F1919))&amp;":"&amp;IF(Raw!F1919="","",Raw!F1919)&amp;"|"&amp;LEN(IF(Raw!G1919="","",Raw!G1919))&amp;":"&amp;IF(Raw!G1919="","",Raw!G1919)</f>
        <v>6:L01913|6:T00957|10:2026-02-02|3:P-H|4:Home|4:sale|6:562.15</v>
      </c>
      <c r="Q1919" s="1">
        <f>1</f>
        <v>1</v>
      </c>
      <c r="R1919" s="1" t="b">
        <f>FALSE</f>
        <v>0</v>
      </c>
      <c r="S1919" s="1">
        <f>1</f>
        <v>1</v>
      </c>
      <c r="T1919" s="1" t="str">
        <f>IF(AND(Raw!A1919="",Raw!B1919="",Raw!C1919="",Raw!D1919="",Raw!E1919="",Raw!F1919="",Raw!G1919=""),"UNUSED",IF(A1919="","missing line ID",IF(B1919="","missing transaction ID",IF(G1919="",IF(C1919="","missing date","invalid date"),IF(I1919="","unknown product",IF(J1919="","conflicting category",IF(NOT(OR(EXACT(K1919,"sale"),EXACT(K1919,"refund"))),"unknown event",IF(OR(N1919="",NOT(O1919)),"invalid amount",IF(OR(AND(K1919="sale",N1919&lt;=0),AND(K1919="refund",N1919&gt;=0)),"invalid sign","")))))))))</f>
        <v/>
      </c>
      <c r="U1919" s="1" t="str">
        <f t="shared" si="237"/>
        <v>INCLUDED</v>
      </c>
      <c r="V1919" s="1" t="str">
        <f t="shared" si="238"/>
        <v>2026-02</v>
      </c>
      <c r="W1919" s="1">
        <f>IF(AND(U1919="INCLUDED",X1919&gt;0,EXACT(A1919,'AI output'!A1919)),1,0)</f>
        <v>1</v>
      </c>
      <c r="X1919" s="1">
        <f>1919</f>
        <v>1919</v>
      </c>
      <c r="Y1919" s="1">
        <f>IF(AND(U1919="INCLUDED",W1919=1),--(NOT(EXACT(A1919,'AI output'!A1919)))+--(NOT(EXACT(B1919,'AI output'!B1919)))+--(NOT(EXACT(TEXT(G1919,"yyyy-mm-dd"),'AI output'!C1919)))+--(NOT(EXACT(H1919,'AI output'!D1919)))+--(NOT(EXACT(J1919,'AI output'!E1919)))+--(NOT(EXACT(K1919,'AI output'!F1919)))+--(N1919&lt;&gt;'AI output'!L1919)+--(NOT('AI output'!M1919)),0)</f>
        <v>0</v>
      </c>
      <c r="Z1919" s="1">
        <f t="shared" si="239"/>
        <v>0</v>
      </c>
      <c r="AA1919" s="1">
        <f>--EXACT(A1919,"L01913")</f>
        <v>1</v>
      </c>
    </row>
    <row r="1920" spans="1:27" ht="18.95" customHeight="1">
      <c r="A1920" s="1" t="str">
        <f>IF(Raw!A1920="","",Raw!A1920)</f>
        <v>L01914</v>
      </c>
      <c r="B1920" s="1" t="str">
        <f>IF(Raw!B1920="","",Raw!B1920)</f>
        <v>T00957</v>
      </c>
      <c r="C1920" s="1" t="str">
        <f>IF(Raw!C1920="","",Raw!C1920)</f>
        <v>2026-02-02</v>
      </c>
      <c r="D1920" s="1">
        <f t="shared" si="232"/>
        <v>2026</v>
      </c>
      <c r="E1920" s="1">
        <f>IFERROR(IF(AND(LEN(C1920)=10,MID(C1920,5,1)="-",MID(C1920,8,1)="-"),VALUE(MID(C1920,6,2)),IF(AND(LEN(C1920)=11,MID(C1920,3,1)="-",MID(C1920,7,1)="-"),MATCH(UPPER(MID(C1920,4,3)),Guide!$D$7:$D$18,0),0)),0)</f>
        <v>2</v>
      </c>
      <c r="F1920" s="1">
        <f t="shared" si="233"/>
        <v>2</v>
      </c>
      <c r="G1920" s="9">
        <f t="shared" si="234"/>
        <v>46055</v>
      </c>
      <c r="H1920" s="1" t="str">
        <f>IF(Raw!D1920="","",Raw!D1920)</f>
        <v>P-O</v>
      </c>
      <c r="I1920" s="1" t="str">
        <f>IFERROR(IF(EXACT(H1920,INDEX(Guide!$A$7:$A$9,MATCH(SUBSTITUTE(SUBSTITUTE(SUBSTITUTE(H1920,"~","~~"),"*","~*"),"?","~?"),Guide!$A$7:$A$9,0))),INDEX(Guide!$B$7:$B$9,MATCH(SUBSTITUTE(SUBSTITUTE(SUBSTITUTE(H1920,"~","~~"),"*","~*"),"?","~?"),Guide!$A$7:$A$9,0)),""),"")</f>
        <v>Office</v>
      </c>
      <c r="J1920" s="1" t="str">
        <f>IF(TRIM(Raw!E1920)="",I1920,IF(UPPER(TRIM(Raw!E1920))=UPPER(I1920),I1920,""))</f>
        <v>Office</v>
      </c>
      <c r="K1920" s="1" t="str">
        <f>IF(Raw!F1920="","",Raw!F1920)</f>
        <v>sale</v>
      </c>
      <c r="L1920" s="1" t="str">
        <f>IF(LEFT(TRIM(Raw!G1920),2)="-$","-"&amp;MID(TRIM(Raw!G1920),3,99),IF(LEFT(TRIM(Raw!G1920),1)="$",MID(TRIM(Raw!G1920),2,99),TRIM(Raw!G1920)))</f>
        <v>225.60</v>
      </c>
      <c r="M1920" s="1">
        <f t="shared" si="235"/>
        <v>225.6</v>
      </c>
      <c r="N1920" s="10">
        <f t="shared" si="236"/>
        <v>22560</v>
      </c>
      <c r="O1920" s="1" t="b">
        <f>IFERROR(IF(ISNUMBER(Raw!G1920),TRUE,OR(EXACT(L1920,TEXT(M1920,"0.00")),EXACT(L1920,TEXT(M1920,"#,##0.00")))),FALSE)</f>
        <v>1</v>
      </c>
      <c r="P1920" s="1" t="str">
        <f>LEN(IF(Raw!A1920="","",Raw!A1920))&amp;":"&amp;IF(Raw!A1920="","",Raw!A1920)&amp;"|"&amp;LEN(IF(Raw!B1920="","",Raw!B1920))&amp;":"&amp;IF(Raw!B1920="","",Raw!B1920)&amp;"|"&amp;LEN(IF(Raw!C1920="","",Raw!C1920))&amp;":"&amp;IF(Raw!C1920="","",Raw!C1920)&amp;"|"&amp;LEN(IF(Raw!D1920="","",Raw!D1920))&amp;":"&amp;IF(Raw!D1920="","",Raw!D1920)&amp;"|"&amp;LEN(IF(Raw!E1920="","",Raw!E1920))&amp;":"&amp;IF(Raw!E1920="","",Raw!E1920)&amp;"|"&amp;LEN(IF(Raw!F1920="","",Raw!F1920))&amp;":"&amp;IF(Raw!F1920="","",Raw!F1920)&amp;"|"&amp;LEN(IF(Raw!G1920="","",Raw!G1920))&amp;":"&amp;IF(Raw!G1920="","",Raw!G1920)</f>
        <v>6:L01914|6:T00957|10:2026-02-02|3:P-O|6:Office|4:sale|6:225.60</v>
      </c>
      <c r="Q1920" s="1">
        <f>1</f>
        <v>1</v>
      </c>
      <c r="R1920" s="1" t="b">
        <f>FALSE</f>
        <v>0</v>
      </c>
      <c r="S1920" s="1">
        <f>1</f>
        <v>1</v>
      </c>
      <c r="T1920" s="1" t="str">
        <f>IF(AND(Raw!A1920="",Raw!B1920="",Raw!C1920="",Raw!D1920="",Raw!E1920="",Raw!F1920="",Raw!G1920=""),"UNUSED",IF(A1920="","missing line ID",IF(B1920="","missing transaction ID",IF(G1920="",IF(C1920="","missing date","invalid date"),IF(I1920="","unknown product",IF(J1920="","conflicting category",IF(NOT(OR(EXACT(K1920,"sale"),EXACT(K1920,"refund"))),"unknown event",IF(OR(N1920="",NOT(O1920)),"invalid amount",IF(OR(AND(K1920="sale",N1920&lt;=0),AND(K1920="refund",N1920&gt;=0)),"invalid sign","")))))))))</f>
        <v/>
      </c>
      <c r="U1920" s="1" t="str">
        <f t="shared" si="237"/>
        <v>INCLUDED</v>
      </c>
      <c r="V1920" s="1" t="str">
        <f t="shared" si="238"/>
        <v>2026-02</v>
      </c>
      <c r="W1920" s="1">
        <f>IF(AND(U1920="INCLUDED",X1920&gt;0,EXACT(A1920,'AI output'!A1920)),1,0)</f>
        <v>1</v>
      </c>
      <c r="X1920" s="1">
        <f>1920</f>
        <v>1920</v>
      </c>
      <c r="Y1920" s="1">
        <f>IF(AND(U1920="INCLUDED",W1920=1),--(NOT(EXACT(A1920,'AI output'!A1920)))+--(NOT(EXACT(B1920,'AI output'!B1920)))+--(NOT(EXACT(TEXT(G1920,"yyyy-mm-dd"),'AI output'!C1920)))+--(NOT(EXACT(H1920,'AI output'!D1920)))+--(NOT(EXACT(J1920,'AI output'!E1920)))+--(NOT(EXACT(K1920,'AI output'!F1920)))+--(N1920&lt;&gt;'AI output'!L1920)+--(NOT('AI output'!M1920)),0)</f>
        <v>0</v>
      </c>
      <c r="Z1920" s="1">
        <f t="shared" si="239"/>
        <v>0</v>
      </c>
      <c r="AA1920" s="1">
        <f>--EXACT(A1920,"L01914")</f>
        <v>1</v>
      </c>
    </row>
    <row r="1921" spans="1:27" ht="18.95" customHeight="1">
      <c r="A1921" s="1" t="str">
        <f>IF(Raw!A1921="","",Raw!A1921)</f>
        <v>L01915</v>
      </c>
      <c r="B1921" s="1" t="str">
        <f>IF(Raw!B1921="","",Raw!B1921)</f>
        <v>T00958</v>
      </c>
      <c r="C1921" s="1" t="str">
        <f>IF(Raw!C1921="","",Raw!C1921)</f>
        <v>2026-02-09</v>
      </c>
      <c r="D1921" s="1">
        <f t="shared" si="232"/>
        <v>2026</v>
      </c>
      <c r="E1921" s="1">
        <f>IFERROR(IF(AND(LEN(C1921)=10,MID(C1921,5,1)="-",MID(C1921,8,1)="-"),VALUE(MID(C1921,6,2)),IF(AND(LEN(C1921)=11,MID(C1921,3,1)="-",MID(C1921,7,1)="-"),MATCH(UPPER(MID(C1921,4,3)),Guide!$D$7:$D$18,0),0)),0)</f>
        <v>2</v>
      </c>
      <c r="F1921" s="1">
        <f t="shared" si="233"/>
        <v>9</v>
      </c>
      <c r="G1921" s="9">
        <f t="shared" si="234"/>
        <v>46062</v>
      </c>
      <c r="H1921" s="1" t="str">
        <f>IF(Raw!D1921="","",Raw!D1921)</f>
        <v>P-A</v>
      </c>
      <c r="I1921" s="1" t="str">
        <f>IFERROR(IF(EXACT(H1921,INDEX(Guide!$A$7:$A$9,MATCH(SUBSTITUTE(SUBSTITUTE(SUBSTITUTE(H1921,"~","~~"),"*","~*"),"?","~?"),Guide!$A$7:$A$9,0))),INDEX(Guide!$B$7:$B$9,MATCH(SUBSTITUTE(SUBSTITUTE(SUBSTITUTE(H1921,"~","~~"),"*","~*"),"?","~?"),Guide!$A$7:$A$9,0)),""),"")</f>
        <v>Accessories</v>
      </c>
      <c r="J1921" s="1" t="str">
        <f>IF(TRIM(Raw!E1921)="",I1921,IF(UPPER(TRIM(Raw!E1921))=UPPER(I1921),I1921,""))</f>
        <v>Accessories</v>
      </c>
      <c r="K1921" s="1" t="str">
        <f>IF(Raw!F1921="","",Raw!F1921)</f>
        <v>sale</v>
      </c>
      <c r="L1921" s="1" t="str">
        <f>IF(LEFT(TRIM(Raw!G1921),2)="-$","-"&amp;MID(TRIM(Raw!G1921),3,99),IF(LEFT(TRIM(Raw!G1921),1)="$",MID(TRIM(Raw!G1921),2,99),TRIM(Raw!G1921)))</f>
        <v>452.68</v>
      </c>
      <c r="M1921" s="1">
        <f t="shared" si="235"/>
        <v>452.68</v>
      </c>
      <c r="N1921" s="10">
        <f t="shared" si="236"/>
        <v>45268</v>
      </c>
      <c r="O1921" s="1" t="b">
        <f>IFERROR(IF(ISNUMBER(Raw!G1921),TRUE,OR(EXACT(L1921,TEXT(M1921,"0.00")),EXACT(L1921,TEXT(M1921,"#,##0.00")))),FALSE)</f>
        <v>1</v>
      </c>
      <c r="P1921" s="1" t="str">
        <f>LEN(IF(Raw!A1921="","",Raw!A1921))&amp;":"&amp;IF(Raw!A1921="","",Raw!A1921)&amp;"|"&amp;LEN(IF(Raw!B1921="","",Raw!B1921))&amp;":"&amp;IF(Raw!B1921="","",Raw!B1921)&amp;"|"&amp;LEN(IF(Raw!C1921="","",Raw!C1921))&amp;":"&amp;IF(Raw!C1921="","",Raw!C1921)&amp;"|"&amp;LEN(IF(Raw!D1921="","",Raw!D1921))&amp;":"&amp;IF(Raw!D1921="","",Raw!D1921)&amp;"|"&amp;LEN(IF(Raw!E1921="","",Raw!E1921))&amp;":"&amp;IF(Raw!E1921="","",Raw!E1921)&amp;"|"&amp;LEN(IF(Raw!F1921="","",Raw!F1921))&amp;":"&amp;IF(Raw!F1921="","",Raw!F1921)&amp;"|"&amp;LEN(IF(Raw!G1921="","",Raw!G1921))&amp;":"&amp;IF(Raw!G1921="","",Raw!G1921)</f>
        <v>6:L01915|6:T00958|10:2026-02-09|3:P-A|11:Accessories|4:sale|6:452.68</v>
      </c>
      <c r="Q1921" s="1">
        <f>1</f>
        <v>1</v>
      </c>
      <c r="R1921" s="1" t="b">
        <f>FALSE</f>
        <v>0</v>
      </c>
      <c r="S1921" s="1">
        <f>1</f>
        <v>1</v>
      </c>
      <c r="T1921" s="1" t="str">
        <f>IF(AND(Raw!A1921="",Raw!B1921="",Raw!C1921="",Raw!D1921="",Raw!E1921="",Raw!F1921="",Raw!G1921=""),"UNUSED",IF(A1921="","missing line ID",IF(B1921="","missing transaction ID",IF(G1921="",IF(C1921="","missing date","invalid date"),IF(I1921="","unknown product",IF(J1921="","conflicting category",IF(NOT(OR(EXACT(K1921,"sale"),EXACT(K1921,"refund"))),"unknown event",IF(OR(N1921="",NOT(O1921)),"invalid amount",IF(OR(AND(K1921="sale",N1921&lt;=0),AND(K1921="refund",N1921&gt;=0)),"invalid sign","")))))))))</f>
        <v/>
      </c>
      <c r="U1921" s="1" t="str">
        <f t="shared" si="237"/>
        <v>INCLUDED</v>
      </c>
      <c r="V1921" s="1" t="str">
        <f t="shared" si="238"/>
        <v>2026-02</v>
      </c>
      <c r="W1921" s="1">
        <f>IF(AND(U1921="INCLUDED",X1921&gt;0,EXACT(A1921,'AI output'!A1921)),1,0)</f>
        <v>1</v>
      </c>
      <c r="X1921" s="1">
        <f>1921</f>
        <v>1921</v>
      </c>
      <c r="Y1921" s="1">
        <f>IF(AND(U1921="INCLUDED",W1921=1),--(NOT(EXACT(A1921,'AI output'!A1921)))+--(NOT(EXACT(B1921,'AI output'!B1921)))+--(NOT(EXACT(TEXT(G1921,"yyyy-mm-dd"),'AI output'!C1921)))+--(NOT(EXACT(H1921,'AI output'!D1921)))+--(NOT(EXACT(J1921,'AI output'!E1921)))+--(NOT(EXACT(K1921,'AI output'!F1921)))+--(N1921&lt;&gt;'AI output'!L1921)+--(NOT('AI output'!M1921)),0)</f>
        <v>0</v>
      </c>
      <c r="Z1921" s="1">
        <f t="shared" si="239"/>
        <v>0</v>
      </c>
      <c r="AA1921" s="1">
        <f>--EXACT(A1921,"L01915")</f>
        <v>1</v>
      </c>
    </row>
    <row r="1922" spans="1:27" ht="18.95" customHeight="1">
      <c r="A1922" s="1" t="str">
        <f>IF(Raw!A1922="","",Raw!A1922)</f>
        <v>L01916</v>
      </c>
      <c r="B1922" s="1" t="str">
        <f>IF(Raw!B1922="","",Raw!B1922)</f>
        <v>T00958</v>
      </c>
      <c r="C1922" s="1" t="str">
        <f>IF(Raw!C1922="","",Raw!C1922)</f>
        <v>2026-02-09</v>
      </c>
      <c r="D1922" s="1">
        <f t="shared" si="232"/>
        <v>2026</v>
      </c>
      <c r="E1922" s="1">
        <f>IFERROR(IF(AND(LEN(C1922)=10,MID(C1922,5,1)="-",MID(C1922,8,1)="-"),VALUE(MID(C1922,6,2)),IF(AND(LEN(C1922)=11,MID(C1922,3,1)="-",MID(C1922,7,1)="-"),MATCH(UPPER(MID(C1922,4,3)),Guide!$D$7:$D$18,0),0)),0)</f>
        <v>2</v>
      </c>
      <c r="F1922" s="1">
        <f t="shared" si="233"/>
        <v>9</v>
      </c>
      <c r="G1922" s="9">
        <f t="shared" si="234"/>
        <v>46062</v>
      </c>
      <c r="H1922" s="1" t="str">
        <f>IF(Raw!D1922="","",Raw!D1922)</f>
        <v>P-H</v>
      </c>
      <c r="I1922" s="1" t="str">
        <f>IFERROR(IF(EXACT(H1922,INDEX(Guide!$A$7:$A$9,MATCH(SUBSTITUTE(SUBSTITUTE(SUBSTITUTE(H1922,"~","~~"),"*","~*"),"?","~?"),Guide!$A$7:$A$9,0))),INDEX(Guide!$B$7:$B$9,MATCH(SUBSTITUTE(SUBSTITUTE(SUBSTITUTE(H1922,"~","~~"),"*","~*"),"?","~?"),Guide!$A$7:$A$9,0)),""),"")</f>
        <v>Home</v>
      </c>
      <c r="J1922" s="1" t="str">
        <f>IF(TRIM(Raw!E1922)="",I1922,IF(UPPER(TRIM(Raw!E1922))=UPPER(I1922),I1922,""))</f>
        <v>Home</v>
      </c>
      <c r="K1922" s="1" t="str">
        <f>IF(Raw!F1922="","",Raw!F1922)</f>
        <v>sale</v>
      </c>
      <c r="L1922" s="1" t="str">
        <f>IF(LEFT(TRIM(Raw!G1922),2)="-$","-"&amp;MID(TRIM(Raw!G1922),3,99),IF(LEFT(TRIM(Raw!G1922),1)="$",MID(TRIM(Raw!G1922),2,99),TRIM(Raw!G1922)))</f>
        <v>113.54</v>
      </c>
      <c r="M1922" s="1">
        <f t="shared" si="235"/>
        <v>113.54</v>
      </c>
      <c r="N1922" s="10">
        <f t="shared" si="236"/>
        <v>11354</v>
      </c>
      <c r="O1922" s="1" t="b">
        <f>IFERROR(IF(ISNUMBER(Raw!G1922),TRUE,OR(EXACT(L1922,TEXT(M1922,"0.00")),EXACT(L1922,TEXT(M1922,"#,##0.00")))),FALSE)</f>
        <v>1</v>
      </c>
      <c r="P1922" s="1" t="str">
        <f>LEN(IF(Raw!A1922="","",Raw!A1922))&amp;":"&amp;IF(Raw!A1922="","",Raw!A1922)&amp;"|"&amp;LEN(IF(Raw!B1922="","",Raw!B1922))&amp;":"&amp;IF(Raw!B1922="","",Raw!B1922)&amp;"|"&amp;LEN(IF(Raw!C1922="","",Raw!C1922))&amp;":"&amp;IF(Raw!C1922="","",Raw!C1922)&amp;"|"&amp;LEN(IF(Raw!D1922="","",Raw!D1922))&amp;":"&amp;IF(Raw!D1922="","",Raw!D1922)&amp;"|"&amp;LEN(IF(Raw!E1922="","",Raw!E1922))&amp;":"&amp;IF(Raw!E1922="","",Raw!E1922)&amp;"|"&amp;LEN(IF(Raw!F1922="","",Raw!F1922))&amp;":"&amp;IF(Raw!F1922="","",Raw!F1922)&amp;"|"&amp;LEN(IF(Raw!G1922="","",Raw!G1922))&amp;":"&amp;IF(Raw!G1922="","",Raw!G1922)</f>
        <v>6:L01916|6:T00958|10:2026-02-09|3:P-H|4:Home|4:sale|6:113.54</v>
      </c>
      <c r="Q1922" s="1">
        <f>1</f>
        <v>1</v>
      </c>
      <c r="R1922" s="1" t="b">
        <f>FALSE</f>
        <v>0</v>
      </c>
      <c r="S1922" s="1">
        <f>1</f>
        <v>1</v>
      </c>
      <c r="T1922" s="1" t="str">
        <f>IF(AND(Raw!A1922="",Raw!B1922="",Raw!C1922="",Raw!D1922="",Raw!E1922="",Raw!F1922="",Raw!G1922=""),"UNUSED",IF(A1922="","missing line ID",IF(B1922="","missing transaction ID",IF(G1922="",IF(C1922="","missing date","invalid date"),IF(I1922="","unknown product",IF(J1922="","conflicting category",IF(NOT(OR(EXACT(K1922,"sale"),EXACT(K1922,"refund"))),"unknown event",IF(OR(N1922="",NOT(O1922)),"invalid amount",IF(OR(AND(K1922="sale",N1922&lt;=0),AND(K1922="refund",N1922&gt;=0)),"invalid sign","")))))))))</f>
        <v/>
      </c>
      <c r="U1922" s="1" t="str">
        <f t="shared" si="237"/>
        <v>INCLUDED</v>
      </c>
      <c r="V1922" s="1" t="str">
        <f t="shared" si="238"/>
        <v>2026-02</v>
      </c>
      <c r="W1922" s="1">
        <f>IF(AND(U1922="INCLUDED",X1922&gt;0,EXACT(A1922,'AI output'!A1922)),1,0)</f>
        <v>1</v>
      </c>
      <c r="X1922" s="1">
        <f>1922</f>
        <v>1922</v>
      </c>
      <c r="Y1922" s="1">
        <f>IF(AND(U1922="INCLUDED",W1922=1),--(NOT(EXACT(A1922,'AI output'!A1922)))+--(NOT(EXACT(B1922,'AI output'!B1922)))+--(NOT(EXACT(TEXT(G1922,"yyyy-mm-dd"),'AI output'!C1922)))+--(NOT(EXACT(H1922,'AI output'!D1922)))+--(NOT(EXACT(J1922,'AI output'!E1922)))+--(NOT(EXACT(K1922,'AI output'!F1922)))+--(N1922&lt;&gt;'AI output'!L1922)+--(NOT('AI output'!M1922)),0)</f>
        <v>0</v>
      </c>
      <c r="Z1922" s="1">
        <f t="shared" si="239"/>
        <v>0</v>
      </c>
      <c r="AA1922" s="1">
        <f>--EXACT(A1922,"L01916")</f>
        <v>1</v>
      </c>
    </row>
    <row r="1923" spans="1:27" ht="18.95" customHeight="1">
      <c r="A1923" s="1" t="str">
        <f>IF(Raw!A1923="","",Raw!A1923)</f>
        <v>L01917</v>
      </c>
      <c r="B1923" s="1" t="str">
        <f>IF(Raw!B1923="","",Raw!B1923)</f>
        <v>T00959</v>
      </c>
      <c r="C1923" s="1" t="str">
        <f>IF(Raw!C1923="","",Raw!C1923)</f>
        <v>2026-02-16</v>
      </c>
      <c r="D1923" s="1">
        <f t="shared" si="232"/>
        <v>2026</v>
      </c>
      <c r="E1923" s="1">
        <f>IFERROR(IF(AND(LEN(C1923)=10,MID(C1923,5,1)="-",MID(C1923,8,1)="-"),VALUE(MID(C1923,6,2)),IF(AND(LEN(C1923)=11,MID(C1923,3,1)="-",MID(C1923,7,1)="-"),MATCH(UPPER(MID(C1923,4,3)),Guide!$D$7:$D$18,0),0)),0)</f>
        <v>2</v>
      </c>
      <c r="F1923" s="1">
        <f t="shared" si="233"/>
        <v>16</v>
      </c>
      <c r="G1923" s="9">
        <f t="shared" si="234"/>
        <v>46069</v>
      </c>
      <c r="H1923" s="1" t="str">
        <f>IF(Raw!D1923="","",Raw!D1923)</f>
        <v>P-O</v>
      </c>
      <c r="I1923" s="1" t="str">
        <f>IFERROR(IF(EXACT(H1923,INDEX(Guide!$A$7:$A$9,MATCH(SUBSTITUTE(SUBSTITUTE(SUBSTITUTE(H1923,"~","~~"),"*","~*"),"?","~?"),Guide!$A$7:$A$9,0))),INDEX(Guide!$B$7:$B$9,MATCH(SUBSTITUTE(SUBSTITUTE(SUBSTITUTE(H1923,"~","~~"),"*","~*"),"?","~?"),Guide!$A$7:$A$9,0)),""),"")</f>
        <v>Office</v>
      </c>
      <c r="J1923" s="1" t="str">
        <f>IF(TRIM(Raw!E1923)="",I1923,IF(UPPER(TRIM(Raw!E1923))=UPPER(I1923),I1923,""))</f>
        <v>Office</v>
      </c>
      <c r="K1923" s="1" t="str">
        <f>IF(Raw!F1923="","",Raw!F1923)</f>
        <v>sale</v>
      </c>
      <c r="L1923" s="1" t="str">
        <f>IF(LEFT(TRIM(Raw!G1923),2)="-$","-"&amp;MID(TRIM(Raw!G1923),3,99),IF(LEFT(TRIM(Raw!G1923),1)="$",MID(TRIM(Raw!G1923),2,99),TRIM(Raw!G1923)))</f>
        <v>341.73</v>
      </c>
      <c r="M1923" s="1">
        <f t="shared" si="235"/>
        <v>341.73</v>
      </c>
      <c r="N1923" s="10">
        <f t="shared" si="236"/>
        <v>34173</v>
      </c>
      <c r="O1923" s="1" t="b">
        <f>IFERROR(IF(ISNUMBER(Raw!G1923),TRUE,OR(EXACT(L1923,TEXT(M1923,"0.00")),EXACT(L1923,TEXT(M1923,"#,##0.00")))),FALSE)</f>
        <v>1</v>
      </c>
      <c r="P1923" s="1" t="str">
        <f>LEN(IF(Raw!A1923="","",Raw!A1923))&amp;":"&amp;IF(Raw!A1923="","",Raw!A1923)&amp;"|"&amp;LEN(IF(Raw!B1923="","",Raw!B1923))&amp;":"&amp;IF(Raw!B1923="","",Raw!B1923)&amp;"|"&amp;LEN(IF(Raw!C1923="","",Raw!C1923))&amp;":"&amp;IF(Raw!C1923="","",Raw!C1923)&amp;"|"&amp;LEN(IF(Raw!D1923="","",Raw!D1923))&amp;":"&amp;IF(Raw!D1923="","",Raw!D1923)&amp;"|"&amp;LEN(IF(Raw!E1923="","",Raw!E1923))&amp;":"&amp;IF(Raw!E1923="","",Raw!E1923)&amp;"|"&amp;LEN(IF(Raw!F1923="","",Raw!F1923))&amp;":"&amp;IF(Raw!F1923="","",Raw!F1923)&amp;"|"&amp;LEN(IF(Raw!G1923="","",Raw!G1923))&amp;":"&amp;IF(Raw!G1923="","",Raw!G1923)</f>
        <v>6:L01917|6:T00959|10:2026-02-16|3:P-O|6:Office|4:sale|6:341.73</v>
      </c>
      <c r="Q1923" s="1">
        <f>1</f>
        <v>1</v>
      </c>
      <c r="R1923" s="1" t="b">
        <f>FALSE</f>
        <v>0</v>
      </c>
      <c r="S1923" s="1">
        <f>1</f>
        <v>1</v>
      </c>
      <c r="T1923" s="1" t="str">
        <f>IF(AND(Raw!A1923="",Raw!B1923="",Raw!C1923="",Raw!D1923="",Raw!E1923="",Raw!F1923="",Raw!G1923=""),"UNUSED",IF(A1923="","missing line ID",IF(B1923="","missing transaction ID",IF(G1923="",IF(C1923="","missing date","invalid date"),IF(I1923="","unknown product",IF(J1923="","conflicting category",IF(NOT(OR(EXACT(K1923,"sale"),EXACT(K1923,"refund"))),"unknown event",IF(OR(N1923="",NOT(O1923)),"invalid amount",IF(OR(AND(K1923="sale",N1923&lt;=0),AND(K1923="refund",N1923&gt;=0)),"invalid sign","")))))))))</f>
        <v/>
      </c>
      <c r="U1923" s="1" t="str">
        <f t="shared" si="237"/>
        <v>INCLUDED</v>
      </c>
      <c r="V1923" s="1" t="str">
        <f t="shared" si="238"/>
        <v>2026-02</v>
      </c>
      <c r="W1923" s="1">
        <f>IF(AND(U1923="INCLUDED",X1923&gt;0,EXACT(A1923,'AI output'!A1923)),1,0)</f>
        <v>1</v>
      </c>
      <c r="X1923" s="1">
        <f>1923</f>
        <v>1923</v>
      </c>
      <c r="Y1923" s="1">
        <f>IF(AND(U1923="INCLUDED",W1923=1),--(NOT(EXACT(A1923,'AI output'!A1923)))+--(NOT(EXACT(B1923,'AI output'!B1923)))+--(NOT(EXACT(TEXT(G1923,"yyyy-mm-dd"),'AI output'!C1923)))+--(NOT(EXACT(H1923,'AI output'!D1923)))+--(NOT(EXACT(J1923,'AI output'!E1923)))+--(NOT(EXACT(K1923,'AI output'!F1923)))+--(N1923&lt;&gt;'AI output'!L1923)+--(NOT('AI output'!M1923)),0)</f>
        <v>0</v>
      </c>
      <c r="Z1923" s="1">
        <f t="shared" si="239"/>
        <v>0</v>
      </c>
      <c r="AA1923" s="1">
        <f>--EXACT(A1923,"L01917")</f>
        <v>1</v>
      </c>
    </row>
    <row r="1924" spans="1:27" ht="18.95" customHeight="1">
      <c r="A1924" s="1" t="str">
        <f>IF(Raw!A1924="","",Raw!A1924)</f>
        <v>L01918</v>
      </c>
      <c r="B1924" s="1" t="str">
        <f>IF(Raw!B1924="","",Raw!B1924)</f>
        <v>T00959</v>
      </c>
      <c r="C1924" s="1" t="str">
        <f>IF(Raw!C1924="","",Raw!C1924)</f>
        <v>2026-02-16</v>
      </c>
      <c r="D1924" s="1">
        <f t="shared" si="232"/>
        <v>2026</v>
      </c>
      <c r="E1924" s="1">
        <f>IFERROR(IF(AND(LEN(C1924)=10,MID(C1924,5,1)="-",MID(C1924,8,1)="-"),VALUE(MID(C1924,6,2)),IF(AND(LEN(C1924)=11,MID(C1924,3,1)="-",MID(C1924,7,1)="-"),MATCH(UPPER(MID(C1924,4,3)),Guide!$D$7:$D$18,0),0)),0)</f>
        <v>2</v>
      </c>
      <c r="F1924" s="1">
        <f t="shared" si="233"/>
        <v>16</v>
      </c>
      <c r="G1924" s="9">
        <f t="shared" si="234"/>
        <v>46069</v>
      </c>
      <c r="H1924" s="1" t="str">
        <f>IF(Raw!D1924="","",Raw!D1924)</f>
        <v>P-A</v>
      </c>
      <c r="I1924" s="1" t="str">
        <f>IFERROR(IF(EXACT(H1924,INDEX(Guide!$A$7:$A$9,MATCH(SUBSTITUTE(SUBSTITUTE(SUBSTITUTE(H1924,"~","~~"),"*","~*"),"?","~?"),Guide!$A$7:$A$9,0))),INDEX(Guide!$B$7:$B$9,MATCH(SUBSTITUTE(SUBSTITUTE(SUBSTITUTE(H1924,"~","~~"),"*","~*"),"?","~?"),Guide!$A$7:$A$9,0)),""),"")</f>
        <v>Accessories</v>
      </c>
      <c r="J1924" s="1" t="str">
        <f>IF(TRIM(Raw!E1924)="",I1924,IF(UPPER(TRIM(Raw!E1924))=UPPER(I1924),I1924,""))</f>
        <v>Accessories</v>
      </c>
      <c r="K1924" s="1" t="str">
        <f>IF(Raw!F1924="","",Raw!F1924)</f>
        <v>sale</v>
      </c>
      <c r="L1924" s="1" t="str">
        <f>IF(LEFT(TRIM(Raw!G1924),2)="-$","-"&amp;MID(TRIM(Raw!G1924),3,99),IF(LEFT(TRIM(Raw!G1924),1)="$",MID(TRIM(Raw!G1924),2,99),TRIM(Raw!G1924)))</f>
        <v>571.40</v>
      </c>
      <c r="M1924" s="1">
        <f t="shared" si="235"/>
        <v>571.4</v>
      </c>
      <c r="N1924" s="10">
        <f t="shared" si="236"/>
        <v>57140</v>
      </c>
      <c r="O1924" s="1" t="b">
        <f>IFERROR(IF(ISNUMBER(Raw!G1924),TRUE,OR(EXACT(L1924,TEXT(M1924,"0.00")),EXACT(L1924,TEXT(M1924,"#,##0.00")))),FALSE)</f>
        <v>1</v>
      </c>
      <c r="P1924" s="1" t="str">
        <f>LEN(IF(Raw!A1924="","",Raw!A1924))&amp;":"&amp;IF(Raw!A1924="","",Raw!A1924)&amp;"|"&amp;LEN(IF(Raw!B1924="","",Raw!B1924))&amp;":"&amp;IF(Raw!B1924="","",Raw!B1924)&amp;"|"&amp;LEN(IF(Raw!C1924="","",Raw!C1924))&amp;":"&amp;IF(Raw!C1924="","",Raw!C1924)&amp;"|"&amp;LEN(IF(Raw!D1924="","",Raw!D1924))&amp;":"&amp;IF(Raw!D1924="","",Raw!D1924)&amp;"|"&amp;LEN(IF(Raw!E1924="","",Raw!E1924))&amp;":"&amp;IF(Raw!E1924="","",Raw!E1924)&amp;"|"&amp;LEN(IF(Raw!F1924="","",Raw!F1924))&amp;":"&amp;IF(Raw!F1924="","",Raw!F1924)&amp;"|"&amp;LEN(IF(Raw!G1924="","",Raw!G1924))&amp;":"&amp;IF(Raw!G1924="","",Raw!G1924)</f>
        <v>6:L01918|6:T00959|10:2026-02-16|3:P-A|11:Accessories|4:sale|6:571.40</v>
      </c>
      <c r="Q1924" s="1">
        <f>1</f>
        <v>1</v>
      </c>
      <c r="R1924" s="1" t="b">
        <f>FALSE</f>
        <v>0</v>
      </c>
      <c r="S1924" s="1">
        <f>1</f>
        <v>1</v>
      </c>
      <c r="T1924" s="1" t="str">
        <f>IF(AND(Raw!A1924="",Raw!B1924="",Raw!C1924="",Raw!D1924="",Raw!E1924="",Raw!F1924="",Raw!G1924=""),"UNUSED",IF(A1924="","missing line ID",IF(B1924="","missing transaction ID",IF(G1924="",IF(C1924="","missing date","invalid date"),IF(I1924="","unknown product",IF(J1924="","conflicting category",IF(NOT(OR(EXACT(K1924,"sale"),EXACT(K1924,"refund"))),"unknown event",IF(OR(N1924="",NOT(O1924)),"invalid amount",IF(OR(AND(K1924="sale",N1924&lt;=0),AND(K1924="refund",N1924&gt;=0)),"invalid sign","")))))))))</f>
        <v/>
      </c>
      <c r="U1924" s="1" t="str">
        <f t="shared" si="237"/>
        <v>INCLUDED</v>
      </c>
      <c r="V1924" s="1" t="str">
        <f t="shared" si="238"/>
        <v>2026-02</v>
      </c>
      <c r="W1924" s="1">
        <f>IF(AND(U1924="INCLUDED",X1924&gt;0,EXACT(A1924,'AI output'!A1924)),1,0)</f>
        <v>1</v>
      </c>
      <c r="X1924" s="1">
        <f>1924</f>
        <v>1924</v>
      </c>
      <c r="Y1924" s="1">
        <f>IF(AND(U1924="INCLUDED",W1924=1),--(NOT(EXACT(A1924,'AI output'!A1924)))+--(NOT(EXACT(B1924,'AI output'!B1924)))+--(NOT(EXACT(TEXT(G1924,"yyyy-mm-dd"),'AI output'!C1924)))+--(NOT(EXACT(H1924,'AI output'!D1924)))+--(NOT(EXACT(J1924,'AI output'!E1924)))+--(NOT(EXACT(K1924,'AI output'!F1924)))+--(N1924&lt;&gt;'AI output'!L1924)+--(NOT('AI output'!M1924)),0)</f>
        <v>0</v>
      </c>
      <c r="Z1924" s="1">
        <f t="shared" si="239"/>
        <v>0</v>
      </c>
      <c r="AA1924" s="1">
        <f>--EXACT(A1924,"L01918")</f>
        <v>1</v>
      </c>
    </row>
    <row r="1925" spans="1:27" ht="18.95" customHeight="1">
      <c r="A1925" s="1" t="str">
        <f>IF(Raw!A1925="","",Raw!A1925)</f>
        <v>L01919</v>
      </c>
      <c r="B1925" s="1" t="str">
        <f>IF(Raw!B1925="","",Raw!B1925)</f>
        <v>T00960</v>
      </c>
      <c r="C1925" s="1" t="str">
        <f>IF(Raw!C1925="","",Raw!C1925)</f>
        <v>2026-02-23</v>
      </c>
      <c r="D1925" s="1">
        <f t="shared" si="232"/>
        <v>2026</v>
      </c>
      <c r="E1925" s="1">
        <f>IFERROR(IF(AND(LEN(C1925)=10,MID(C1925,5,1)="-",MID(C1925,8,1)="-"),VALUE(MID(C1925,6,2)),IF(AND(LEN(C1925)=11,MID(C1925,3,1)="-",MID(C1925,7,1)="-"),MATCH(UPPER(MID(C1925,4,3)),Guide!$D$7:$D$18,0),0)),0)</f>
        <v>2</v>
      </c>
      <c r="F1925" s="1">
        <f t="shared" si="233"/>
        <v>23</v>
      </c>
      <c r="G1925" s="9">
        <f t="shared" si="234"/>
        <v>46076</v>
      </c>
      <c r="H1925" s="1" t="str">
        <f>IF(Raw!D1925="","",Raw!D1925)</f>
        <v>P-H</v>
      </c>
      <c r="I1925" s="1" t="str">
        <f>IFERROR(IF(EXACT(H1925,INDEX(Guide!$A$7:$A$9,MATCH(SUBSTITUTE(SUBSTITUTE(SUBSTITUTE(H1925,"~","~~"),"*","~*"),"?","~?"),Guide!$A$7:$A$9,0))),INDEX(Guide!$B$7:$B$9,MATCH(SUBSTITUTE(SUBSTITUTE(SUBSTITUTE(H1925,"~","~~"),"*","~*"),"?","~?"),Guide!$A$7:$A$9,0)),""),"")</f>
        <v>Home</v>
      </c>
      <c r="J1925" s="1" t="str">
        <f>IF(TRIM(Raw!E1925)="",I1925,IF(UPPER(TRIM(Raw!E1925))=UPPER(I1925),I1925,""))</f>
        <v>Home</v>
      </c>
      <c r="K1925" s="1" t="str">
        <f>IF(Raw!F1925="","",Raw!F1925)</f>
        <v>sale</v>
      </c>
      <c r="L1925" s="1" t="str">
        <f>IF(LEFT(TRIM(Raw!G1925),2)="-$","-"&amp;MID(TRIM(Raw!G1925),3,99),IF(LEFT(TRIM(Raw!G1925),1)="$",MID(TRIM(Raw!G1925),2,99),TRIM(Raw!G1925)))</f>
        <v>229.30</v>
      </c>
      <c r="M1925" s="1">
        <f t="shared" si="235"/>
        <v>229.3</v>
      </c>
      <c r="N1925" s="10">
        <f t="shared" si="236"/>
        <v>22930</v>
      </c>
      <c r="O1925" s="1" t="b">
        <f>IFERROR(IF(ISNUMBER(Raw!G1925),TRUE,OR(EXACT(L1925,TEXT(M1925,"0.00")),EXACT(L1925,TEXT(M1925,"#,##0.00")))),FALSE)</f>
        <v>1</v>
      </c>
      <c r="P1925" s="1" t="str">
        <f>LEN(IF(Raw!A1925="","",Raw!A1925))&amp;":"&amp;IF(Raw!A1925="","",Raw!A1925)&amp;"|"&amp;LEN(IF(Raw!B1925="","",Raw!B1925))&amp;":"&amp;IF(Raw!B1925="","",Raw!B1925)&amp;"|"&amp;LEN(IF(Raw!C1925="","",Raw!C1925))&amp;":"&amp;IF(Raw!C1925="","",Raw!C1925)&amp;"|"&amp;LEN(IF(Raw!D1925="","",Raw!D1925))&amp;":"&amp;IF(Raw!D1925="","",Raw!D1925)&amp;"|"&amp;LEN(IF(Raw!E1925="","",Raw!E1925))&amp;":"&amp;IF(Raw!E1925="","",Raw!E1925)&amp;"|"&amp;LEN(IF(Raw!F1925="","",Raw!F1925))&amp;":"&amp;IF(Raw!F1925="","",Raw!F1925)&amp;"|"&amp;LEN(IF(Raw!G1925="","",Raw!G1925))&amp;":"&amp;IF(Raw!G1925="","",Raw!G1925)</f>
        <v>6:L01919|6:T00960|10:2026-02-23|3:P-H|4:Home|4:sale|6:229.30</v>
      </c>
      <c r="Q1925" s="1">
        <f>1</f>
        <v>1</v>
      </c>
      <c r="R1925" s="1" t="b">
        <f>FALSE</f>
        <v>0</v>
      </c>
      <c r="S1925" s="1">
        <f>1</f>
        <v>1</v>
      </c>
      <c r="T1925" s="1" t="str">
        <f>IF(AND(Raw!A1925="",Raw!B1925="",Raw!C1925="",Raw!D1925="",Raw!E1925="",Raw!F1925="",Raw!G1925=""),"UNUSED",IF(A1925="","missing line ID",IF(B1925="","missing transaction ID",IF(G1925="",IF(C1925="","missing date","invalid date"),IF(I1925="","unknown product",IF(J1925="","conflicting category",IF(NOT(OR(EXACT(K1925,"sale"),EXACT(K1925,"refund"))),"unknown event",IF(OR(N1925="",NOT(O1925)),"invalid amount",IF(OR(AND(K1925="sale",N1925&lt;=0),AND(K1925="refund",N1925&gt;=0)),"invalid sign","")))))))))</f>
        <v/>
      </c>
      <c r="U1925" s="1" t="str">
        <f t="shared" si="237"/>
        <v>INCLUDED</v>
      </c>
      <c r="V1925" s="1" t="str">
        <f t="shared" si="238"/>
        <v>2026-02</v>
      </c>
      <c r="W1925" s="1">
        <f>IF(AND(U1925="INCLUDED",X1925&gt;0,EXACT(A1925,'AI output'!A1925)),1,0)</f>
        <v>1</v>
      </c>
      <c r="X1925" s="1">
        <f>1925</f>
        <v>1925</v>
      </c>
      <c r="Y1925" s="1">
        <f>IF(AND(U1925="INCLUDED",W1925=1),--(NOT(EXACT(A1925,'AI output'!A1925)))+--(NOT(EXACT(B1925,'AI output'!B1925)))+--(NOT(EXACT(TEXT(G1925,"yyyy-mm-dd"),'AI output'!C1925)))+--(NOT(EXACT(H1925,'AI output'!D1925)))+--(NOT(EXACT(J1925,'AI output'!E1925)))+--(NOT(EXACT(K1925,'AI output'!F1925)))+--(N1925&lt;&gt;'AI output'!L1925)+--(NOT('AI output'!M1925)),0)</f>
        <v>0</v>
      </c>
      <c r="Z1925" s="1">
        <f t="shared" si="239"/>
        <v>0</v>
      </c>
      <c r="AA1925" s="1">
        <f>--EXACT(A1925,"L01919")</f>
        <v>1</v>
      </c>
    </row>
    <row r="1926" spans="1:27" ht="18.95" customHeight="1">
      <c r="A1926" s="1" t="str">
        <f>IF(Raw!A1926="","",Raw!A1926)</f>
        <v>L01920</v>
      </c>
      <c r="B1926" s="1" t="str">
        <f>IF(Raw!B1926="","",Raw!B1926)</f>
        <v>T00960</v>
      </c>
      <c r="C1926" s="1" t="str">
        <f>IF(Raw!C1926="","",Raw!C1926)</f>
        <v>2026-02-23</v>
      </c>
      <c r="D1926" s="1">
        <f t="shared" si="232"/>
        <v>2026</v>
      </c>
      <c r="E1926" s="1">
        <f>IFERROR(IF(AND(LEN(C1926)=10,MID(C1926,5,1)="-",MID(C1926,8,1)="-"),VALUE(MID(C1926,6,2)),IF(AND(LEN(C1926)=11,MID(C1926,3,1)="-",MID(C1926,7,1)="-"),MATCH(UPPER(MID(C1926,4,3)),Guide!$D$7:$D$18,0),0)),0)</f>
        <v>2</v>
      </c>
      <c r="F1926" s="1">
        <f t="shared" si="233"/>
        <v>23</v>
      </c>
      <c r="G1926" s="9">
        <f t="shared" si="234"/>
        <v>46076</v>
      </c>
      <c r="H1926" s="1" t="str">
        <f>IF(Raw!D1926="","",Raw!D1926)</f>
        <v>P-O</v>
      </c>
      <c r="I1926" s="1" t="str">
        <f>IFERROR(IF(EXACT(H1926,INDEX(Guide!$A$7:$A$9,MATCH(SUBSTITUTE(SUBSTITUTE(SUBSTITUTE(H1926,"~","~~"),"*","~*"),"?","~?"),Guide!$A$7:$A$9,0))),INDEX(Guide!$B$7:$B$9,MATCH(SUBSTITUTE(SUBSTITUTE(SUBSTITUTE(H1926,"~","~~"),"*","~*"),"?","~?"),Guide!$A$7:$A$9,0)),""),"")</f>
        <v>Office</v>
      </c>
      <c r="J1926" s="1" t="str">
        <f>IF(TRIM(Raw!E1926)="",I1926,IF(UPPER(TRIM(Raw!E1926))=UPPER(I1926),I1926,""))</f>
        <v>Office</v>
      </c>
      <c r="K1926" s="1" t="str">
        <f>IF(Raw!F1926="","",Raw!F1926)</f>
        <v>sale</v>
      </c>
      <c r="L1926" s="1" t="str">
        <f>IF(LEFT(TRIM(Raw!G1926),2)="-$","-"&amp;MID(TRIM(Raw!G1926),3,99),IF(LEFT(TRIM(Raw!G1926),1)="$",MID(TRIM(Raw!G1926),2,99),TRIM(Raw!G1926)))</f>
        <v>460.08</v>
      </c>
      <c r="M1926" s="1">
        <f t="shared" si="235"/>
        <v>460.08</v>
      </c>
      <c r="N1926" s="10">
        <f t="shared" si="236"/>
        <v>46008</v>
      </c>
      <c r="O1926" s="1" t="b">
        <f>IFERROR(IF(ISNUMBER(Raw!G1926),TRUE,OR(EXACT(L1926,TEXT(M1926,"0.00")),EXACT(L1926,TEXT(M1926,"#,##0.00")))),FALSE)</f>
        <v>1</v>
      </c>
      <c r="P1926" s="1" t="str">
        <f>LEN(IF(Raw!A1926="","",Raw!A1926))&amp;":"&amp;IF(Raw!A1926="","",Raw!A1926)&amp;"|"&amp;LEN(IF(Raw!B1926="","",Raw!B1926))&amp;":"&amp;IF(Raw!B1926="","",Raw!B1926)&amp;"|"&amp;LEN(IF(Raw!C1926="","",Raw!C1926))&amp;":"&amp;IF(Raw!C1926="","",Raw!C1926)&amp;"|"&amp;LEN(IF(Raw!D1926="","",Raw!D1926))&amp;":"&amp;IF(Raw!D1926="","",Raw!D1926)&amp;"|"&amp;LEN(IF(Raw!E1926="","",Raw!E1926))&amp;":"&amp;IF(Raw!E1926="","",Raw!E1926)&amp;"|"&amp;LEN(IF(Raw!F1926="","",Raw!F1926))&amp;":"&amp;IF(Raw!F1926="","",Raw!F1926)&amp;"|"&amp;LEN(IF(Raw!G1926="","",Raw!G1926))&amp;":"&amp;IF(Raw!G1926="","",Raw!G1926)</f>
        <v>6:L01920|6:T00960|10:2026-02-23|3:P-O|6:Office|4:sale|6:460.08</v>
      </c>
      <c r="Q1926" s="1">
        <f>1</f>
        <v>1</v>
      </c>
      <c r="R1926" s="1" t="b">
        <f>FALSE</f>
        <v>0</v>
      </c>
      <c r="S1926" s="1">
        <f>1</f>
        <v>1</v>
      </c>
      <c r="T1926" s="1" t="str">
        <f>IF(AND(Raw!A1926="",Raw!B1926="",Raw!C1926="",Raw!D1926="",Raw!E1926="",Raw!F1926="",Raw!G1926=""),"UNUSED",IF(A1926="","missing line ID",IF(B1926="","missing transaction ID",IF(G1926="",IF(C1926="","missing date","invalid date"),IF(I1926="","unknown product",IF(J1926="","conflicting category",IF(NOT(OR(EXACT(K1926,"sale"),EXACT(K1926,"refund"))),"unknown event",IF(OR(N1926="",NOT(O1926)),"invalid amount",IF(OR(AND(K1926="sale",N1926&lt;=0),AND(K1926="refund",N1926&gt;=0)),"invalid sign","")))))))))</f>
        <v/>
      </c>
      <c r="U1926" s="1" t="str">
        <f t="shared" si="237"/>
        <v>INCLUDED</v>
      </c>
      <c r="V1926" s="1" t="str">
        <f t="shared" si="238"/>
        <v>2026-02</v>
      </c>
      <c r="W1926" s="1">
        <f>IF(AND(U1926="INCLUDED",X1926&gt;0,EXACT(A1926,'AI output'!A1926)),1,0)</f>
        <v>1</v>
      </c>
      <c r="X1926" s="1">
        <f>1926</f>
        <v>1926</v>
      </c>
      <c r="Y1926" s="1">
        <f>IF(AND(U1926="INCLUDED",W1926=1),--(NOT(EXACT(A1926,'AI output'!A1926)))+--(NOT(EXACT(B1926,'AI output'!B1926)))+--(NOT(EXACT(TEXT(G1926,"yyyy-mm-dd"),'AI output'!C1926)))+--(NOT(EXACT(H1926,'AI output'!D1926)))+--(NOT(EXACT(J1926,'AI output'!E1926)))+--(NOT(EXACT(K1926,'AI output'!F1926)))+--(N1926&lt;&gt;'AI output'!L1926)+--(NOT('AI output'!M1926)),0)</f>
        <v>0</v>
      </c>
      <c r="Z1926" s="1">
        <f t="shared" si="239"/>
        <v>0</v>
      </c>
      <c r="AA1926" s="1">
        <f>--EXACT(A1926,"L01920")</f>
        <v>1</v>
      </c>
    </row>
    <row r="1927" spans="1:27" ht="18.95" customHeight="1">
      <c r="A1927" s="1" t="str">
        <f>IF(Raw!A1927="","",Raw!A1927)</f>
        <v>L01921</v>
      </c>
      <c r="B1927" s="1" t="str">
        <f>IF(Raw!B1927="","",Raw!B1927)</f>
        <v>T00961</v>
      </c>
      <c r="C1927" s="1" t="str">
        <f>IF(Raw!C1927="","",Raw!C1927)</f>
        <v>2026-03-02</v>
      </c>
      <c r="D1927" s="1">
        <f t="shared" ref="D1927:D1990" si="240">IFERROR(IF(AND(LEN(C1927)=10,MID(C1927,5,1)="-",MID(C1927,8,1)="-"),VALUE(LEFT(C1927,4)),IF(AND(LEN(C1927)=11,MID(C1927,3,1)="-",MID(C1927,7,1)="-"),VALUE(RIGHT(C1927,4)),0)),0)</f>
        <v>2026</v>
      </c>
      <c r="E1927" s="1">
        <f>IFERROR(IF(AND(LEN(C1927)=10,MID(C1927,5,1)="-",MID(C1927,8,1)="-"),VALUE(MID(C1927,6,2)),IF(AND(LEN(C1927)=11,MID(C1927,3,1)="-",MID(C1927,7,1)="-"),MATCH(UPPER(MID(C1927,4,3)),Guide!$D$7:$D$18,0),0)),0)</f>
        <v>3</v>
      </c>
      <c r="F1927" s="1">
        <f t="shared" ref="F1927:F1990" si="241">IFERROR(IF(AND(LEN(C1927)=10,MID(C1927,5,1)="-",MID(C1927,8,1)="-"),VALUE(RIGHT(C1927,2)),IF(AND(LEN(C1927)=11,MID(C1927,3,1)="-",MID(C1927,7,1)="-"),VALUE(LEFT(C1927,2)),0)),0)</f>
        <v>2</v>
      </c>
      <c r="G1927" s="9">
        <f t="shared" ref="G1927:G1990" si="242">IFERROR(IF(AND(D1927&gt;=1900,D1927&lt;=9999,YEAR(DATE(D1927,E1927,F1927))=D1927,MONTH(DATE(D1927,E1927,F1927))=E1927,DAY(DATE(D1927,E1927,F1927))=F1927),DATE(D1927,E1927,F1927),""),"")</f>
        <v>46083</v>
      </c>
      <c r="H1927" s="1" t="str">
        <f>IF(Raw!D1927="","",Raw!D1927)</f>
        <v>P-A</v>
      </c>
      <c r="I1927" s="1" t="str">
        <f>IFERROR(IF(EXACT(H1927,INDEX(Guide!$A$7:$A$9,MATCH(SUBSTITUTE(SUBSTITUTE(SUBSTITUTE(H1927,"~","~~"),"*","~*"),"?","~?"),Guide!$A$7:$A$9,0))),INDEX(Guide!$B$7:$B$9,MATCH(SUBSTITUTE(SUBSTITUTE(SUBSTITUTE(H1927,"~","~~"),"*","~*"),"?","~?"),Guide!$A$7:$A$9,0)),""),"")</f>
        <v>Accessories</v>
      </c>
      <c r="J1927" s="1" t="str">
        <f>IF(TRIM(Raw!E1927)="",I1927,IF(UPPER(TRIM(Raw!E1927))=UPPER(I1927),I1927,""))</f>
        <v>Accessories</v>
      </c>
      <c r="K1927" s="1" t="str">
        <f>IF(Raw!F1927="","",Raw!F1927)</f>
        <v>sale</v>
      </c>
      <c r="L1927" s="1" t="str">
        <f>IF(LEFT(TRIM(Raw!G1927),2)="-$","-"&amp;MID(TRIM(Raw!G1927),3,99),IF(LEFT(TRIM(Raw!G1927),1)="$",MID(TRIM(Raw!G1927),2,99),TRIM(Raw!G1927)))</f>
        <v>115.39</v>
      </c>
      <c r="M1927" s="1">
        <f t="shared" ref="M1927:M1990" si="243">IFERROR(VALUE(L1927),"")</f>
        <v>115.39</v>
      </c>
      <c r="N1927" s="10">
        <f t="shared" ref="N1927:N1990" si="244">IF(AND(ISNUMBER(M1927),ABS(M1927*100-ROUND(M1927*100,0))&lt;0.0000001),ROUND(M1927*100,0),"")</f>
        <v>11539</v>
      </c>
      <c r="O1927" s="1" t="b">
        <f>IFERROR(IF(ISNUMBER(Raw!G1927),TRUE,OR(EXACT(L1927,TEXT(M1927,"0.00")),EXACT(L1927,TEXT(M1927,"#,##0.00")))),FALSE)</f>
        <v>1</v>
      </c>
      <c r="P1927" s="1" t="str">
        <f>LEN(IF(Raw!A1927="","",Raw!A1927))&amp;":"&amp;IF(Raw!A1927="","",Raw!A1927)&amp;"|"&amp;LEN(IF(Raw!B1927="","",Raw!B1927))&amp;":"&amp;IF(Raw!B1927="","",Raw!B1927)&amp;"|"&amp;LEN(IF(Raw!C1927="","",Raw!C1927))&amp;":"&amp;IF(Raw!C1927="","",Raw!C1927)&amp;"|"&amp;LEN(IF(Raw!D1927="","",Raw!D1927))&amp;":"&amp;IF(Raw!D1927="","",Raw!D1927)&amp;"|"&amp;LEN(IF(Raw!E1927="","",Raw!E1927))&amp;":"&amp;IF(Raw!E1927="","",Raw!E1927)&amp;"|"&amp;LEN(IF(Raw!F1927="","",Raw!F1927))&amp;":"&amp;IF(Raw!F1927="","",Raw!F1927)&amp;"|"&amp;LEN(IF(Raw!G1927="","",Raw!G1927))&amp;":"&amp;IF(Raw!G1927="","",Raw!G1927)</f>
        <v>6:L01921|6:T00961|10:2026-03-02|3:P-A|11:Accessories|4:sale|6:115.39</v>
      </c>
      <c r="Q1927" s="1">
        <f>1</f>
        <v>1</v>
      </c>
      <c r="R1927" s="1" t="b">
        <f>FALSE</f>
        <v>0</v>
      </c>
      <c r="S1927" s="1">
        <f>1</f>
        <v>1</v>
      </c>
      <c r="T1927" s="1" t="str">
        <f>IF(AND(Raw!A1927="",Raw!B1927="",Raw!C1927="",Raw!D1927="",Raw!E1927="",Raw!F1927="",Raw!G1927=""),"UNUSED",IF(A1927="","missing line ID",IF(B1927="","missing transaction ID",IF(G1927="",IF(C1927="","missing date","invalid date"),IF(I1927="","unknown product",IF(J1927="","conflicting category",IF(NOT(OR(EXACT(K1927,"sale"),EXACT(K1927,"refund"))),"unknown event",IF(OR(N1927="",NOT(O1927)),"invalid amount",IF(OR(AND(K1927="sale",N1927&lt;=0),AND(K1927="refund",N1927&gt;=0)),"invalid sign","")))))))))</f>
        <v/>
      </c>
      <c r="U1927" s="1" t="str">
        <f t="shared" ref="U1927:U1990" si="245">IF(T1927="UNUSED","UNUSED",IF(R1927,"QUARANTINE",IF(S1927&gt;1,"DUPLICATE",IF(T1927&lt;&gt;"","QUARANTINE","INCLUDED"))))</f>
        <v>INCLUDED</v>
      </c>
      <c r="V1927" s="1" t="str">
        <f t="shared" ref="V1927:V1990" si="246">IF(G1927="","",TEXT(G1927,"yyyy-mm"))</f>
        <v>2026-03</v>
      </c>
      <c r="W1927" s="1">
        <f>IF(AND(U1927="INCLUDED",X1927&gt;0,EXACT(A1927,'AI output'!A1927)),1,0)</f>
        <v>1</v>
      </c>
      <c r="X1927" s="1">
        <f>1927</f>
        <v>1927</v>
      </c>
      <c r="Y1927" s="1">
        <f>IF(AND(U1927="INCLUDED",W1927=1),--(NOT(EXACT(A1927,'AI output'!A1927)))+--(NOT(EXACT(B1927,'AI output'!B1927)))+--(NOT(EXACT(TEXT(G1927,"yyyy-mm-dd"),'AI output'!C1927)))+--(NOT(EXACT(H1927,'AI output'!D1927)))+--(NOT(EXACT(J1927,'AI output'!E1927)))+--(NOT(EXACT(K1927,'AI output'!F1927)))+--(N1927&lt;&gt;'AI output'!L1927)+--(NOT('AI output'!M1927)),0)</f>
        <v>0</v>
      </c>
      <c r="Z1927" s="1">
        <f t="shared" ref="Z1927:Z1990" si="247">IF(U1927="INCLUDED",IF(OR(W1927&lt;&gt;1,Y1927&lt;&gt;0),1,0),0)</f>
        <v>0</v>
      </c>
      <c r="AA1927" s="1">
        <f>--EXACT(A1927,"L01921")</f>
        <v>1</v>
      </c>
    </row>
    <row r="1928" spans="1:27" ht="18.95" customHeight="1">
      <c r="A1928" s="1" t="str">
        <f>IF(Raw!A1928="","",Raw!A1928)</f>
        <v>L01922</v>
      </c>
      <c r="B1928" s="1" t="str">
        <f>IF(Raw!B1928="","",Raw!B1928)</f>
        <v>T00961</v>
      </c>
      <c r="C1928" s="1" t="str">
        <f>IF(Raw!C1928="","",Raw!C1928)</f>
        <v>2026-03-02</v>
      </c>
      <c r="D1928" s="1">
        <f t="shared" si="240"/>
        <v>2026</v>
      </c>
      <c r="E1928" s="1">
        <f>IFERROR(IF(AND(LEN(C1928)=10,MID(C1928,5,1)="-",MID(C1928,8,1)="-"),VALUE(MID(C1928,6,2)),IF(AND(LEN(C1928)=11,MID(C1928,3,1)="-",MID(C1928,7,1)="-"),MATCH(UPPER(MID(C1928,4,3)),Guide!$D$7:$D$18,0),0)),0)</f>
        <v>3</v>
      </c>
      <c r="F1928" s="1">
        <f t="shared" si="241"/>
        <v>2</v>
      </c>
      <c r="G1928" s="9">
        <f t="shared" si="242"/>
        <v>46083</v>
      </c>
      <c r="H1928" s="1" t="str">
        <f>IF(Raw!D1928="","",Raw!D1928)</f>
        <v>P-H</v>
      </c>
      <c r="I1928" s="1" t="str">
        <f>IFERROR(IF(EXACT(H1928,INDEX(Guide!$A$7:$A$9,MATCH(SUBSTITUTE(SUBSTITUTE(SUBSTITUTE(H1928,"~","~~"),"*","~*"),"?","~?"),Guide!$A$7:$A$9,0))),INDEX(Guide!$B$7:$B$9,MATCH(SUBSTITUTE(SUBSTITUTE(SUBSTITUTE(H1928,"~","~~"),"*","~*"),"?","~?"),Guide!$A$7:$A$9,0)),""),"")</f>
        <v>Home</v>
      </c>
      <c r="J1928" s="1" t="str">
        <f>IF(TRIM(Raw!E1928)="",I1928,IF(UPPER(TRIM(Raw!E1928))=UPPER(I1928),I1928,""))</f>
        <v>Home</v>
      </c>
      <c r="K1928" s="1" t="str">
        <f>IF(Raw!F1928="","",Raw!F1928)</f>
        <v>sale</v>
      </c>
      <c r="L1928" s="1" t="str">
        <f>IF(LEFT(TRIM(Raw!G1928),2)="-$","-"&amp;MID(TRIM(Raw!G1928),3,99),IF(LEFT(TRIM(Raw!G1928),1)="$",MID(TRIM(Raw!G1928),2,99),TRIM(Raw!G1928)))</f>
        <v>347.28</v>
      </c>
      <c r="M1928" s="1">
        <f t="shared" si="243"/>
        <v>347.28</v>
      </c>
      <c r="N1928" s="10">
        <f t="shared" si="244"/>
        <v>34728</v>
      </c>
      <c r="O1928" s="1" t="b">
        <f>IFERROR(IF(ISNUMBER(Raw!G1928),TRUE,OR(EXACT(L1928,TEXT(M1928,"0.00")),EXACT(L1928,TEXT(M1928,"#,##0.00")))),FALSE)</f>
        <v>1</v>
      </c>
      <c r="P1928" s="1" t="str">
        <f>LEN(IF(Raw!A1928="","",Raw!A1928))&amp;":"&amp;IF(Raw!A1928="","",Raw!A1928)&amp;"|"&amp;LEN(IF(Raw!B1928="","",Raw!B1928))&amp;":"&amp;IF(Raw!B1928="","",Raw!B1928)&amp;"|"&amp;LEN(IF(Raw!C1928="","",Raw!C1928))&amp;":"&amp;IF(Raw!C1928="","",Raw!C1928)&amp;"|"&amp;LEN(IF(Raw!D1928="","",Raw!D1928))&amp;":"&amp;IF(Raw!D1928="","",Raw!D1928)&amp;"|"&amp;LEN(IF(Raw!E1928="","",Raw!E1928))&amp;":"&amp;IF(Raw!E1928="","",Raw!E1928)&amp;"|"&amp;LEN(IF(Raw!F1928="","",Raw!F1928))&amp;":"&amp;IF(Raw!F1928="","",Raw!F1928)&amp;"|"&amp;LEN(IF(Raw!G1928="","",Raw!G1928))&amp;":"&amp;IF(Raw!G1928="","",Raw!G1928)</f>
        <v>6:L01922|6:T00961|10:2026-03-02|3:P-H|4:Home|4:sale|6:347.28</v>
      </c>
      <c r="Q1928" s="1">
        <f>1</f>
        <v>1</v>
      </c>
      <c r="R1928" s="1" t="b">
        <f>FALSE</f>
        <v>0</v>
      </c>
      <c r="S1928" s="1">
        <f>1</f>
        <v>1</v>
      </c>
      <c r="T1928" s="1" t="str">
        <f>IF(AND(Raw!A1928="",Raw!B1928="",Raw!C1928="",Raw!D1928="",Raw!E1928="",Raw!F1928="",Raw!G1928=""),"UNUSED",IF(A1928="","missing line ID",IF(B1928="","missing transaction ID",IF(G1928="",IF(C1928="","missing date","invalid date"),IF(I1928="","unknown product",IF(J1928="","conflicting category",IF(NOT(OR(EXACT(K1928,"sale"),EXACT(K1928,"refund"))),"unknown event",IF(OR(N1928="",NOT(O1928)),"invalid amount",IF(OR(AND(K1928="sale",N1928&lt;=0),AND(K1928="refund",N1928&gt;=0)),"invalid sign","")))))))))</f>
        <v/>
      </c>
      <c r="U1928" s="1" t="str">
        <f t="shared" si="245"/>
        <v>INCLUDED</v>
      </c>
      <c r="V1928" s="1" t="str">
        <f t="shared" si="246"/>
        <v>2026-03</v>
      </c>
      <c r="W1928" s="1">
        <f>IF(AND(U1928="INCLUDED",X1928&gt;0,EXACT(A1928,'AI output'!A1928)),1,0)</f>
        <v>1</v>
      </c>
      <c r="X1928" s="1">
        <f>1928</f>
        <v>1928</v>
      </c>
      <c r="Y1928" s="1">
        <f>IF(AND(U1928="INCLUDED",W1928=1),--(NOT(EXACT(A1928,'AI output'!A1928)))+--(NOT(EXACT(B1928,'AI output'!B1928)))+--(NOT(EXACT(TEXT(G1928,"yyyy-mm-dd"),'AI output'!C1928)))+--(NOT(EXACT(H1928,'AI output'!D1928)))+--(NOT(EXACT(J1928,'AI output'!E1928)))+--(NOT(EXACT(K1928,'AI output'!F1928)))+--(N1928&lt;&gt;'AI output'!L1928)+--(NOT('AI output'!M1928)),0)</f>
        <v>0</v>
      </c>
      <c r="Z1928" s="1">
        <f t="shared" si="247"/>
        <v>0</v>
      </c>
      <c r="AA1928" s="1">
        <f>--EXACT(A1928,"L01922")</f>
        <v>1</v>
      </c>
    </row>
    <row r="1929" spans="1:27" ht="18.95" customHeight="1">
      <c r="A1929" s="1" t="str">
        <f>IF(Raw!A1929="","",Raw!A1929)</f>
        <v>L01923</v>
      </c>
      <c r="B1929" s="1" t="str">
        <f>IF(Raw!B1929="","",Raw!B1929)</f>
        <v>T00962</v>
      </c>
      <c r="C1929" s="1" t="str">
        <f>IF(Raw!C1929="","",Raw!C1929)</f>
        <v>2026-03-09</v>
      </c>
      <c r="D1929" s="1">
        <f t="shared" si="240"/>
        <v>2026</v>
      </c>
      <c r="E1929" s="1">
        <f>IFERROR(IF(AND(LEN(C1929)=10,MID(C1929,5,1)="-",MID(C1929,8,1)="-"),VALUE(MID(C1929,6,2)),IF(AND(LEN(C1929)=11,MID(C1929,3,1)="-",MID(C1929,7,1)="-"),MATCH(UPPER(MID(C1929,4,3)),Guide!$D$7:$D$18,0),0)),0)</f>
        <v>3</v>
      </c>
      <c r="F1929" s="1">
        <f t="shared" si="241"/>
        <v>9</v>
      </c>
      <c r="G1929" s="9">
        <f t="shared" si="242"/>
        <v>46090</v>
      </c>
      <c r="H1929" s="1" t="str">
        <f>IF(Raw!D1929="","",Raw!D1929)</f>
        <v>P-O</v>
      </c>
      <c r="I1929" s="1" t="str">
        <f>IFERROR(IF(EXACT(H1929,INDEX(Guide!$A$7:$A$9,MATCH(SUBSTITUTE(SUBSTITUTE(SUBSTITUTE(H1929,"~","~~"),"*","~*"),"?","~?"),Guide!$A$7:$A$9,0))),INDEX(Guide!$B$7:$B$9,MATCH(SUBSTITUTE(SUBSTITUTE(SUBSTITUTE(H1929,"~","~~"),"*","~*"),"?","~?"),Guide!$A$7:$A$9,0)),""),"")</f>
        <v>Office</v>
      </c>
      <c r="J1929" s="1" t="str">
        <f>IF(TRIM(Raw!E1929)="",I1929,IF(UPPER(TRIM(Raw!E1929))=UPPER(I1929),I1929,""))</f>
        <v>Office</v>
      </c>
      <c r="K1929" s="1" t="str">
        <f>IF(Raw!F1929="","",Raw!F1929)</f>
        <v>sale</v>
      </c>
      <c r="L1929" s="1" t="str">
        <f>IF(LEFT(TRIM(Raw!G1929),2)="-$","-"&amp;MID(TRIM(Raw!G1929),3,99),IF(LEFT(TRIM(Raw!G1929),1)="$",MID(TRIM(Raw!G1929),2,99),TRIM(Raw!G1929)))</f>
        <v>580.65</v>
      </c>
      <c r="M1929" s="1">
        <f t="shared" si="243"/>
        <v>580.65</v>
      </c>
      <c r="N1929" s="10">
        <f t="shared" si="244"/>
        <v>58065</v>
      </c>
      <c r="O1929" s="1" t="b">
        <f>IFERROR(IF(ISNUMBER(Raw!G1929),TRUE,OR(EXACT(L1929,TEXT(M1929,"0.00")),EXACT(L1929,TEXT(M1929,"#,##0.00")))),FALSE)</f>
        <v>1</v>
      </c>
      <c r="P1929" s="1" t="str">
        <f>LEN(IF(Raw!A1929="","",Raw!A1929))&amp;":"&amp;IF(Raw!A1929="","",Raw!A1929)&amp;"|"&amp;LEN(IF(Raw!B1929="","",Raw!B1929))&amp;":"&amp;IF(Raw!B1929="","",Raw!B1929)&amp;"|"&amp;LEN(IF(Raw!C1929="","",Raw!C1929))&amp;":"&amp;IF(Raw!C1929="","",Raw!C1929)&amp;"|"&amp;LEN(IF(Raw!D1929="","",Raw!D1929))&amp;":"&amp;IF(Raw!D1929="","",Raw!D1929)&amp;"|"&amp;LEN(IF(Raw!E1929="","",Raw!E1929))&amp;":"&amp;IF(Raw!E1929="","",Raw!E1929)&amp;"|"&amp;LEN(IF(Raw!F1929="","",Raw!F1929))&amp;":"&amp;IF(Raw!F1929="","",Raw!F1929)&amp;"|"&amp;LEN(IF(Raw!G1929="","",Raw!G1929))&amp;":"&amp;IF(Raw!G1929="","",Raw!G1929)</f>
        <v>6:L01923|6:T00962|10:2026-03-09|3:P-O|6:Office|4:sale|6:580.65</v>
      </c>
      <c r="Q1929" s="1">
        <f>1</f>
        <v>1</v>
      </c>
      <c r="R1929" s="1" t="b">
        <f>FALSE</f>
        <v>0</v>
      </c>
      <c r="S1929" s="1">
        <f>1</f>
        <v>1</v>
      </c>
      <c r="T1929" s="1" t="str">
        <f>IF(AND(Raw!A1929="",Raw!B1929="",Raw!C1929="",Raw!D1929="",Raw!E1929="",Raw!F1929="",Raw!G1929=""),"UNUSED",IF(A1929="","missing line ID",IF(B1929="","missing transaction ID",IF(G1929="",IF(C1929="","missing date","invalid date"),IF(I1929="","unknown product",IF(J1929="","conflicting category",IF(NOT(OR(EXACT(K1929,"sale"),EXACT(K1929,"refund"))),"unknown event",IF(OR(N1929="",NOT(O1929)),"invalid amount",IF(OR(AND(K1929="sale",N1929&lt;=0),AND(K1929="refund",N1929&gt;=0)),"invalid sign","")))))))))</f>
        <v/>
      </c>
      <c r="U1929" s="1" t="str">
        <f t="shared" si="245"/>
        <v>INCLUDED</v>
      </c>
      <c r="V1929" s="1" t="str">
        <f t="shared" si="246"/>
        <v>2026-03</v>
      </c>
      <c r="W1929" s="1">
        <f>IF(AND(U1929="INCLUDED",X1929&gt;0,EXACT(A1929,'AI output'!A1929)),1,0)</f>
        <v>1</v>
      </c>
      <c r="X1929" s="1">
        <f>1929</f>
        <v>1929</v>
      </c>
      <c r="Y1929" s="1">
        <f>IF(AND(U1929="INCLUDED",W1929=1),--(NOT(EXACT(A1929,'AI output'!A1929)))+--(NOT(EXACT(B1929,'AI output'!B1929)))+--(NOT(EXACT(TEXT(G1929,"yyyy-mm-dd"),'AI output'!C1929)))+--(NOT(EXACT(H1929,'AI output'!D1929)))+--(NOT(EXACT(J1929,'AI output'!E1929)))+--(NOT(EXACT(K1929,'AI output'!F1929)))+--(N1929&lt;&gt;'AI output'!L1929)+--(NOT('AI output'!M1929)),0)</f>
        <v>0</v>
      </c>
      <c r="Z1929" s="1">
        <f t="shared" si="247"/>
        <v>0</v>
      </c>
      <c r="AA1929" s="1">
        <f>--EXACT(A1929,"L01923")</f>
        <v>1</v>
      </c>
    </row>
    <row r="1930" spans="1:27" ht="18.95" customHeight="1">
      <c r="A1930" s="1" t="str">
        <f>IF(Raw!A1930="","",Raw!A1930)</f>
        <v>L01924</v>
      </c>
      <c r="B1930" s="1" t="str">
        <f>IF(Raw!B1930="","",Raw!B1930)</f>
        <v>T00962</v>
      </c>
      <c r="C1930" s="1" t="str">
        <f>IF(Raw!C1930="","",Raw!C1930)</f>
        <v>2026-03-09</v>
      </c>
      <c r="D1930" s="1">
        <f t="shared" si="240"/>
        <v>2026</v>
      </c>
      <c r="E1930" s="1">
        <f>IFERROR(IF(AND(LEN(C1930)=10,MID(C1930,5,1)="-",MID(C1930,8,1)="-"),VALUE(MID(C1930,6,2)),IF(AND(LEN(C1930)=11,MID(C1930,3,1)="-",MID(C1930,7,1)="-"),MATCH(UPPER(MID(C1930,4,3)),Guide!$D$7:$D$18,0),0)),0)</f>
        <v>3</v>
      </c>
      <c r="F1930" s="1">
        <f t="shared" si="241"/>
        <v>9</v>
      </c>
      <c r="G1930" s="9">
        <f t="shared" si="242"/>
        <v>46090</v>
      </c>
      <c r="H1930" s="1" t="str">
        <f>IF(Raw!D1930="","",Raw!D1930)</f>
        <v>P-A</v>
      </c>
      <c r="I1930" s="1" t="str">
        <f>IFERROR(IF(EXACT(H1930,INDEX(Guide!$A$7:$A$9,MATCH(SUBSTITUTE(SUBSTITUTE(SUBSTITUTE(H1930,"~","~~"),"*","~*"),"?","~?"),Guide!$A$7:$A$9,0))),INDEX(Guide!$B$7:$B$9,MATCH(SUBSTITUTE(SUBSTITUTE(SUBSTITUTE(H1930,"~","~~"),"*","~*"),"?","~?"),Guide!$A$7:$A$9,0)),""),"")</f>
        <v>Accessories</v>
      </c>
      <c r="J1930" s="1" t="str">
        <f>IF(TRIM(Raw!E1930)="",I1930,IF(UPPER(TRIM(Raw!E1930))=UPPER(I1930),I1930,""))</f>
        <v>Accessories</v>
      </c>
      <c r="K1930" s="1" t="str">
        <f>IF(Raw!F1930="","",Raw!F1930)</f>
        <v>sale</v>
      </c>
      <c r="L1930" s="1" t="str">
        <f>IF(LEFT(TRIM(Raw!G1930),2)="-$","-"&amp;MID(TRIM(Raw!G1930),3,99),IF(LEFT(TRIM(Raw!G1930),1)="$",MID(TRIM(Raw!G1930),2,99),TRIM(Raw!G1930)))</f>
        <v>233.00</v>
      </c>
      <c r="M1930" s="1">
        <f t="shared" si="243"/>
        <v>233</v>
      </c>
      <c r="N1930" s="10">
        <f t="shared" si="244"/>
        <v>23300</v>
      </c>
      <c r="O1930" s="1" t="b">
        <f>IFERROR(IF(ISNUMBER(Raw!G1930),TRUE,OR(EXACT(L1930,TEXT(M1930,"0.00")),EXACT(L1930,TEXT(M1930,"#,##0.00")))),FALSE)</f>
        <v>1</v>
      </c>
      <c r="P1930" s="1" t="str">
        <f>LEN(IF(Raw!A1930="","",Raw!A1930))&amp;":"&amp;IF(Raw!A1930="","",Raw!A1930)&amp;"|"&amp;LEN(IF(Raw!B1930="","",Raw!B1930))&amp;":"&amp;IF(Raw!B1930="","",Raw!B1930)&amp;"|"&amp;LEN(IF(Raw!C1930="","",Raw!C1930))&amp;":"&amp;IF(Raw!C1930="","",Raw!C1930)&amp;"|"&amp;LEN(IF(Raw!D1930="","",Raw!D1930))&amp;":"&amp;IF(Raw!D1930="","",Raw!D1930)&amp;"|"&amp;LEN(IF(Raw!E1930="","",Raw!E1930))&amp;":"&amp;IF(Raw!E1930="","",Raw!E1930)&amp;"|"&amp;LEN(IF(Raw!F1930="","",Raw!F1930))&amp;":"&amp;IF(Raw!F1930="","",Raw!F1930)&amp;"|"&amp;LEN(IF(Raw!G1930="","",Raw!G1930))&amp;":"&amp;IF(Raw!G1930="","",Raw!G1930)</f>
        <v>6:L01924|6:T00962|10:2026-03-09|3:P-A|11:Accessories|4:sale|6:233.00</v>
      </c>
      <c r="Q1930" s="1">
        <f>1</f>
        <v>1</v>
      </c>
      <c r="R1930" s="1" t="b">
        <f>FALSE</f>
        <v>0</v>
      </c>
      <c r="S1930" s="1">
        <f>1</f>
        <v>1</v>
      </c>
      <c r="T1930" s="1" t="str">
        <f>IF(AND(Raw!A1930="",Raw!B1930="",Raw!C1930="",Raw!D1930="",Raw!E1930="",Raw!F1930="",Raw!G1930=""),"UNUSED",IF(A1930="","missing line ID",IF(B1930="","missing transaction ID",IF(G1930="",IF(C1930="","missing date","invalid date"),IF(I1930="","unknown product",IF(J1930="","conflicting category",IF(NOT(OR(EXACT(K1930,"sale"),EXACT(K1930,"refund"))),"unknown event",IF(OR(N1930="",NOT(O1930)),"invalid amount",IF(OR(AND(K1930="sale",N1930&lt;=0),AND(K1930="refund",N1930&gt;=0)),"invalid sign","")))))))))</f>
        <v/>
      </c>
      <c r="U1930" s="1" t="str">
        <f t="shared" si="245"/>
        <v>INCLUDED</v>
      </c>
      <c r="V1930" s="1" t="str">
        <f t="shared" si="246"/>
        <v>2026-03</v>
      </c>
      <c r="W1930" s="1">
        <f>IF(AND(U1930="INCLUDED",X1930&gt;0,EXACT(A1930,'AI output'!A1930)),1,0)</f>
        <v>1</v>
      </c>
      <c r="X1930" s="1">
        <f>1930</f>
        <v>1930</v>
      </c>
      <c r="Y1930" s="1">
        <f>IF(AND(U1930="INCLUDED",W1930=1),--(NOT(EXACT(A1930,'AI output'!A1930)))+--(NOT(EXACT(B1930,'AI output'!B1930)))+--(NOT(EXACT(TEXT(G1930,"yyyy-mm-dd"),'AI output'!C1930)))+--(NOT(EXACT(H1930,'AI output'!D1930)))+--(NOT(EXACT(J1930,'AI output'!E1930)))+--(NOT(EXACT(K1930,'AI output'!F1930)))+--(N1930&lt;&gt;'AI output'!L1930)+--(NOT('AI output'!M1930)),0)</f>
        <v>0</v>
      </c>
      <c r="Z1930" s="1">
        <f t="shared" si="247"/>
        <v>0</v>
      </c>
      <c r="AA1930" s="1">
        <f>--EXACT(A1930,"L01924")</f>
        <v>1</v>
      </c>
    </row>
    <row r="1931" spans="1:27" ht="18.95" customHeight="1">
      <c r="A1931" s="1" t="str">
        <f>IF(Raw!A1931="","",Raw!A1931)</f>
        <v>L01925</v>
      </c>
      <c r="B1931" s="1" t="str">
        <f>IF(Raw!B1931="","",Raw!B1931)</f>
        <v>T00963</v>
      </c>
      <c r="C1931" s="1" t="str">
        <f>IF(Raw!C1931="","",Raw!C1931)</f>
        <v>2026-03-16</v>
      </c>
      <c r="D1931" s="1">
        <f t="shared" si="240"/>
        <v>2026</v>
      </c>
      <c r="E1931" s="1">
        <f>IFERROR(IF(AND(LEN(C1931)=10,MID(C1931,5,1)="-",MID(C1931,8,1)="-"),VALUE(MID(C1931,6,2)),IF(AND(LEN(C1931)=11,MID(C1931,3,1)="-",MID(C1931,7,1)="-"),MATCH(UPPER(MID(C1931,4,3)),Guide!$D$7:$D$18,0),0)),0)</f>
        <v>3</v>
      </c>
      <c r="F1931" s="1">
        <f t="shared" si="241"/>
        <v>16</v>
      </c>
      <c r="G1931" s="9">
        <f t="shared" si="242"/>
        <v>46097</v>
      </c>
      <c r="H1931" s="1" t="str">
        <f>IF(Raw!D1931="","",Raw!D1931)</f>
        <v>P-H</v>
      </c>
      <c r="I1931" s="1" t="str">
        <f>IFERROR(IF(EXACT(H1931,INDEX(Guide!$A$7:$A$9,MATCH(SUBSTITUTE(SUBSTITUTE(SUBSTITUTE(H1931,"~","~~"),"*","~*"),"?","~?"),Guide!$A$7:$A$9,0))),INDEX(Guide!$B$7:$B$9,MATCH(SUBSTITUTE(SUBSTITUTE(SUBSTITUTE(H1931,"~","~~"),"*","~*"),"?","~?"),Guide!$A$7:$A$9,0)),""),"")</f>
        <v>Home</v>
      </c>
      <c r="J1931" s="1" t="str">
        <f>IF(TRIM(Raw!E1931)="",I1931,IF(UPPER(TRIM(Raw!E1931))=UPPER(I1931),I1931,""))</f>
        <v>Home</v>
      </c>
      <c r="K1931" s="1" t="str">
        <f>IF(Raw!F1931="","",Raw!F1931)</f>
        <v>sale</v>
      </c>
      <c r="L1931" s="1" t="str">
        <f>IF(LEFT(TRIM(Raw!G1931),2)="-$","-"&amp;MID(TRIM(Raw!G1931),3,99),IF(LEFT(TRIM(Raw!G1931),1)="$",MID(TRIM(Raw!G1931),2,99),TRIM(Raw!G1931)))</f>
        <v>467.48</v>
      </c>
      <c r="M1931" s="1">
        <f t="shared" si="243"/>
        <v>467.48</v>
      </c>
      <c r="N1931" s="10">
        <f t="shared" si="244"/>
        <v>46748</v>
      </c>
      <c r="O1931" s="1" t="b">
        <f>IFERROR(IF(ISNUMBER(Raw!G1931),TRUE,OR(EXACT(L1931,TEXT(M1931,"0.00")),EXACT(L1931,TEXT(M1931,"#,##0.00")))),FALSE)</f>
        <v>1</v>
      </c>
      <c r="P1931" s="1" t="str">
        <f>LEN(IF(Raw!A1931="","",Raw!A1931))&amp;":"&amp;IF(Raw!A1931="","",Raw!A1931)&amp;"|"&amp;LEN(IF(Raw!B1931="","",Raw!B1931))&amp;":"&amp;IF(Raw!B1931="","",Raw!B1931)&amp;"|"&amp;LEN(IF(Raw!C1931="","",Raw!C1931))&amp;":"&amp;IF(Raw!C1931="","",Raw!C1931)&amp;"|"&amp;LEN(IF(Raw!D1931="","",Raw!D1931))&amp;":"&amp;IF(Raw!D1931="","",Raw!D1931)&amp;"|"&amp;LEN(IF(Raw!E1931="","",Raw!E1931))&amp;":"&amp;IF(Raw!E1931="","",Raw!E1931)&amp;"|"&amp;LEN(IF(Raw!F1931="","",Raw!F1931))&amp;":"&amp;IF(Raw!F1931="","",Raw!F1931)&amp;"|"&amp;LEN(IF(Raw!G1931="","",Raw!G1931))&amp;":"&amp;IF(Raw!G1931="","",Raw!G1931)</f>
        <v>6:L01925|6:T00963|10:2026-03-16|3:P-H|4:Home|4:sale|6:467.48</v>
      </c>
      <c r="Q1931" s="1">
        <f>1</f>
        <v>1</v>
      </c>
      <c r="R1931" s="1" t="b">
        <f>FALSE</f>
        <v>0</v>
      </c>
      <c r="S1931" s="1">
        <f>1</f>
        <v>1</v>
      </c>
      <c r="T1931" s="1" t="str">
        <f>IF(AND(Raw!A1931="",Raw!B1931="",Raw!C1931="",Raw!D1931="",Raw!E1931="",Raw!F1931="",Raw!G1931=""),"UNUSED",IF(A1931="","missing line ID",IF(B1931="","missing transaction ID",IF(G1931="",IF(C1931="","missing date","invalid date"),IF(I1931="","unknown product",IF(J1931="","conflicting category",IF(NOT(OR(EXACT(K1931,"sale"),EXACT(K1931,"refund"))),"unknown event",IF(OR(N1931="",NOT(O1931)),"invalid amount",IF(OR(AND(K1931="sale",N1931&lt;=0),AND(K1931="refund",N1931&gt;=0)),"invalid sign","")))))))))</f>
        <v/>
      </c>
      <c r="U1931" s="1" t="str">
        <f t="shared" si="245"/>
        <v>INCLUDED</v>
      </c>
      <c r="V1931" s="1" t="str">
        <f t="shared" si="246"/>
        <v>2026-03</v>
      </c>
      <c r="W1931" s="1">
        <f>IF(AND(U1931="INCLUDED",X1931&gt;0,EXACT(A1931,'AI output'!A1931)),1,0)</f>
        <v>1</v>
      </c>
      <c r="X1931" s="1">
        <f>1931</f>
        <v>1931</v>
      </c>
      <c r="Y1931" s="1">
        <f>IF(AND(U1931="INCLUDED",W1931=1),--(NOT(EXACT(A1931,'AI output'!A1931)))+--(NOT(EXACT(B1931,'AI output'!B1931)))+--(NOT(EXACT(TEXT(G1931,"yyyy-mm-dd"),'AI output'!C1931)))+--(NOT(EXACT(H1931,'AI output'!D1931)))+--(NOT(EXACT(J1931,'AI output'!E1931)))+--(NOT(EXACT(K1931,'AI output'!F1931)))+--(N1931&lt;&gt;'AI output'!L1931)+--(NOT('AI output'!M1931)),0)</f>
        <v>0</v>
      </c>
      <c r="Z1931" s="1">
        <f t="shared" si="247"/>
        <v>0</v>
      </c>
      <c r="AA1931" s="1">
        <f>--EXACT(A1931,"L01925")</f>
        <v>1</v>
      </c>
    </row>
    <row r="1932" spans="1:27" ht="18.95" customHeight="1">
      <c r="A1932" s="1" t="str">
        <f>IF(Raw!A1932="","",Raw!A1932)</f>
        <v>L01926</v>
      </c>
      <c r="B1932" s="1" t="str">
        <f>IF(Raw!B1932="","",Raw!B1932)</f>
        <v>T00963</v>
      </c>
      <c r="C1932" s="1" t="str">
        <f>IF(Raw!C1932="","",Raw!C1932)</f>
        <v>2026-03-16</v>
      </c>
      <c r="D1932" s="1">
        <f t="shared" si="240"/>
        <v>2026</v>
      </c>
      <c r="E1932" s="1">
        <f>IFERROR(IF(AND(LEN(C1932)=10,MID(C1932,5,1)="-",MID(C1932,8,1)="-"),VALUE(MID(C1932,6,2)),IF(AND(LEN(C1932)=11,MID(C1932,3,1)="-",MID(C1932,7,1)="-"),MATCH(UPPER(MID(C1932,4,3)),Guide!$D$7:$D$18,0),0)),0)</f>
        <v>3</v>
      </c>
      <c r="F1932" s="1">
        <f t="shared" si="241"/>
        <v>16</v>
      </c>
      <c r="G1932" s="9">
        <f t="shared" si="242"/>
        <v>46097</v>
      </c>
      <c r="H1932" s="1" t="str">
        <f>IF(Raw!D1932="","",Raw!D1932)</f>
        <v>P-O</v>
      </c>
      <c r="I1932" s="1" t="str">
        <f>IFERROR(IF(EXACT(H1932,INDEX(Guide!$A$7:$A$9,MATCH(SUBSTITUTE(SUBSTITUTE(SUBSTITUTE(H1932,"~","~~"),"*","~*"),"?","~?"),Guide!$A$7:$A$9,0))),INDEX(Guide!$B$7:$B$9,MATCH(SUBSTITUTE(SUBSTITUTE(SUBSTITUTE(H1932,"~","~~"),"*","~*"),"?","~?"),Guide!$A$7:$A$9,0)),""),"")</f>
        <v>Office</v>
      </c>
      <c r="J1932" s="1" t="str">
        <f>IF(TRIM(Raw!E1932)="",I1932,IF(UPPER(TRIM(Raw!E1932))=UPPER(I1932),I1932,""))</f>
        <v>Office</v>
      </c>
      <c r="K1932" s="1" t="str">
        <f>IF(Raw!F1932="","",Raw!F1932)</f>
        <v>sale</v>
      </c>
      <c r="L1932" s="1" t="str">
        <f>IF(LEFT(TRIM(Raw!G1932),2)="-$","-"&amp;MID(TRIM(Raw!G1932),3,99),IF(LEFT(TRIM(Raw!G1932),1)="$",MID(TRIM(Raw!G1932),2,99),TRIM(Raw!G1932)))</f>
        <v>117.24</v>
      </c>
      <c r="M1932" s="1">
        <f t="shared" si="243"/>
        <v>117.24</v>
      </c>
      <c r="N1932" s="10">
        <f t="shared" si="244"/>
        <v>11724</v>
      </c>
      <c r="O1932" s="1" t="b">
        <f>IFERROR(IF(ISNUMBER(Raw!G1932),TRUE,OR(EXACT(L1932,TEXT(M1932,"0.00")),EXACT(L1932,TEXT(M1932,"#,##0.00")))),FALSE)</f>
        <v>1</v>
      </c>
      <c r="P1932" s="1" t="str">
        <f>LEN(IF(Raw!A1932="","",Raw!A1932))&amp;":"&amp;IF(Raw!A1932="","",Raw!A1932)&amp;"|"&amp;LEN(IF(Raw!B1932="","",Raw!B1932))&amp;":"&amp;IF(Raw!B1932="","",Raw!B1932)&amp;"|"&amp;LEN(IF(Raw!C1932="","",Raw!C1932))&amp;":"&amp;IF(Raw!C1932="","",Raw!C1932)&amp;"|"&amp;LEN(IF(Raw!D1932="","",Raw!D1932))&amp;":"&amp;IF(Raw!D1932="","",Raw!D1932)&amp;"|"&amp;LEN(IF(Raw!E1932="","",Raw!E1932))&amp;":"&amp;IF(Raw!E1932="","",Raw!E1932)&amp;"|"&amp;LEN(IF(Raw!F1932="","",Raw!F1932))&amp;":"&amp;IF(Raw!F1932="","",Raw!F1932)&amp;"|"&amp;LEN(IF(Raw!G1932="","",Raw!G1932))&amp;":"&amp;IF(Raw!G1932="","",Raw!G1932)</f>
        <v>6:L01926|6:T00963|10:2026-03-16|3:P-O|6:Office|4:sale|6:117.24</v>
      </c>
      <c r="Q1932" s="1">
        <f>1</f>
        <v>1</v>
      </c>
      <c r="R1932" s="1" t="b">
        <f>FALSE</f>
        <v>0</v>
      </c>
      <c r="S1932" s="1">
        <f>1</f>
        <v>1</v>
      </c>
      <c r="T1932" s="1" t="str">
        <f>IF(AND(Raw!A1932="",Raw!B1932="",Raw!C1932="",Raw!D1932="",Raw!E1932="",Raw!F1932="",Raw!G1932=""),"UNUSED",IF(A1932="","missing line ID",IF(B1932="","missing transaction ID",IF(G1932="",IF(C1932="","missing date","invalid date"),IF(I1932="","unknown product",IF(J1932="","conflicting category",IF(NOT(OR(EXACT(K1932,"sale"),EXACT(K1932,"refund"))),"unknown event",IF(OR(N1932="",NOT(O1932)),"invalid amount",IF(OR(AND(K1932="sale",N1932&lt;=0),AND(K1932="refund",N1932&gt;=0)),"invalid sign","")))))))))</f>
        <v/>
      </c>
      <c r="U1932" s="1" t="str">
        <f t="shared" si="245"/>
        <v>INCLUDED</v>
      </c>
      <c r="V1932" s="1" t="str">
        <f t="shared" si="246"/>
        <v>2026-03</v>
      </c>
      <c r="W1932" s="1">
        <f>IF(AND(U1932="INCLUDED",X1932&gt;0,EXACT(A1932,'AI output'!A1932)),1,0)</f>
        <v>1</v>
      </c>
      <c r="X1932" s="1">
        <f>1932</f>
        <v>1932</v>
      </c>
      <c r="Y1932" s="1">
        <f>IF(AND(U1932="INCLUDED",W1932=1),--(NOT(EXACT(A1932,'AI output'!A1932)))+--(NOT(EXACT(B1932,'AI output'!B1932)))+--(NOT(EXACT(TEXT(G1932,"yyyy-mm-dd"),'AI output'!C1932)))+--(NOT(EXACT(H1932,'AI output'!D1932)))+--(NOT(EXACT(J1932,'AI output'!E1932)))+--(NOT(EXACT(K1932,'AI output'!F1932)))+--(N1932&lt;&gt;'AI output'!L1932)+--(NOT('AI output'!M1932)),0)</f>
        <v>0</v>
      </c>
      <c r="Z1932" s="1">
        <f t="shared" si="247"/>
        <v>0</v>
      </c>
      <c r="AA1932" s="1">
        <f>--EXACT(A1932,"L01926")</f>
        <v>1</v>
      </c>
    </row>
    <row r="1933" spans="1:27" ht="18.95" customHeight="1">
      <c r="A1933" s="1" t="str">
        <f>IF(Raw!A1933="","",Raw!A1933)</f>
        <v>L01927</v>
      </c>
      <c r="B1933" s="1" t="str">
        <f>IF(Raw!B1933="","",Raw!B1933)</f>
        <v>T00964</v>
      </c>
      <c r="C1933" s="1" t="str">
        <f>IF(Raw!C1933="","",Raw!C1933)</f>
        <v>2026-03-23</v>
      </c>
      <c r="D1933" s="1">
        <f t="shared" si="240"/>
        <v>2026</v>
      </c>
      <c r="E1933" s="1">
        <f>IFERROR(IF(AND(LEN(C1933)=10,MID(C1933,5,1)="-",MID(C1933,8,1)="-"),VALUE(MID(C1933,6,2)),IF(AND(LEN(C1933)=11,MID(C1933,3,1)="-",MID(C1933,7,1)="-"),MATCH(UPPER(MID(C1933,4,3)),Guide!$D$7:$D$18,0),0)),0)</f>
        <v>3</v>
      </c>
      <c r="F1933" s="1">
        <f t="shared" si="241"/>
        <v>23</v>
      </c>
      <c r="G1933" s="9">
        <f t="shared" si="242"/>
        <v>46104</v>
      </c>
      <c r="H1933" s="1" t="str">
        <f>IF(Raw!D1933="","",Raw!D1933)</f>
        <v>P-A</v>
      </c>
      <c r="I1933" s="1" t="str">
        <f>IFERROR(IF(EXACT(H1933,INDEX(Guide!$A$7:$A$9,MATCH(SUBSTITUTE(SUBSTITUTE(SUBSTITUTE(H1933,"~","~~"),"*","~*"),"?","~?"),Guide!$A$7:$A$9,0))),INDEX(Guide!$B$7:$B$9,MATCH(SUBSTITUTE(SUBSTITUTE(SUBSTITUTE(H1933,"~","~~"),"*","~*"),"?","~?"),Guide!$A$7:$A$9,0)),""),"")</f>
        <v>Accessories</v>
      </c>
      <c r="J1933" s="1" t="str">
        <f>IF(TRIM(Raw!E1933)="",I1933,IF(UPPER(TRIM(Raw!E1933))=UPPER(I1933),I1933,""))</f>
        <v>Accessories</v>
      </c>
      <c r="K1933" s="1" t="str">
        <f>IF(Raw!F1933="","",Raw!F1933)</f>
        <v>sale</v>
      </c>
      <c r="L1933" s="1" t="str">
        <f>IF(LEFT(TRIM(Raw!G1933),2)="-$","-"&amp;MID(TRIM(Raw!G1933),3,99),IF(LEFT(TRIM(Raw!G1933),1)="$",MID(TRIM(Raw!G1933),2,99),TRIM(Raw!G1933)))</f>
        <v>352.83</v>
      </c>
      <c r="M1933" s="1">
        <f t="shared" si="243"/>
        <v>352.83</v>
      </c>
      <c r="N1933" s="10">
        <f t="shared" si="244"/>
        <v>35283</v>
      </c>
      <c r="O1933" s="1" t="b">
        <f>IFERROR(IF(ISNUMBER(Raw!G1933),TRUE,OR(EXACT(L1933,TEXT(M1933,"0.00")),EXACT(L1933,TEXT(M1933,"#,##0.00")))),FALSE)</f>
        <v>1</v>
      </c>
      <c r="P1933" s="1" t="str">
        <f>LEN(IF(Raw!A1933="","",Raw!A1933))&amp;":"&amp;IF(Raw!A1933="","",Raw!A1933)&amp;"|"&amp;LEN(IF(Raw!B1933="","",Raw!B1933))&amp;":"&amp;IF(Raw!B1933="","",Raw!B1933)&amp;"|"&amp;LEN(IF(Raw!C1933="","",Raw!C1933))&amp;":"&amp;IF(Raw!C1933="","",Raw!C1933)&amp;"|"&amp;LEN(IF(Raw!D1933="","",Raw!D1933))&amp;":"&amp;IF(Raw!D1933="","",Raw!D1933)&amp;"|"&amp;LEN(IF(Raw!E1933="","",Raw!E1933))&amp;":"&amp;IF(Raw!E1933="","",Raw!E1933)&amp;"|"&amp;LEN(IF(Raw!F1933="","",Raw!F1933))&amp;":"&amp;IF(Raw!F1933="","",Raw!F1933)&amp;"|"&amp;LEN(IF(Raw!G1933="","",Raw!G1933))&amp;":"&amp;IF(Raw!G1933="","",Raw!G1933)</f>
        <v>6:L01927|6:T00964|10:2026-03-23|3:P-A|11:Accessories|4:sale|6:352.83</v>
      </c>
      <c r="Q1933" s="1">
        <f>1</f>
        <v>1</v>
      </c>
      <c r="R1933" s="1" t="b">
        <f>FALSE</f>
        <v>0</v>
      </c>
      <c r="S1933" s="1">
        <f>1</f>
        <v>1</v>
      </c>
      <c r="T1933" s="1" t="str">
        <f>IF(AND(Raw!A1933="",Raw!B1933="",Raw!C1933="",Raw!D1933="",Raw!E1933="",Raw!F1933="",Raw!G1933=""),"UNUSED",IF(A1933="","missing line ID",IF(B1933="","missing transaction ID",IF(G1933="",IF(C1933="","missing date","invalid date"),IF(I1933="","unknown product",IF(J1933="","conflicting category",IF(NOT(OR(EXACT(K1933,"sale"),EXACT(K1933,"refund"))),"unknown event",IF(OR(N1933="",NOT(O1933)),"invalid amount",IF(OR(AND(K1933="sale",N1933&lt;=0),AND(K1933="refund",N1933&gt;=0)),"invalid sign","")))))))))</f>
        <v/>
      </c>
      <c r="U1933" s="1" t="str">
        <f t="shared" si="245"/>
        <v>INCLUDED</v>
      </c>
      <c r="V1933" s="1" t="str">
        <f t="shared" si="246"/>
        <v>2026-03</v>
      </c>
      <c r="W1933" s="1">
        <f>IF(AND(U1933="INCLUDED",X1933&gt;0,EXACT(A1933,'AI output'!A1933)),1,0)</f>
        <v>1</v>
      </c>
      <c r="X1933" s="1">
        <f>1933</f>
        <v>1933</v>
      </c>
      <c r="Y1933" s="1">
        <f>IF(AND(U1933="INCLUDED",W1933=1),--(NOT(EXACT(A1933,'AI output'!A1933)))+--(NOT(EXACT(B1933,'AI output'!B1933)))+--(NOT(EXACT(TEXT(G1933,"yyyy-mm-dd"),'AI output'!C1933)))+--(NOT(EXACT(H1933,'AI output'!D1933)))+--(NOT(EXACT(J1933,'AI output'!E1933)))+--(NOT(EXACT(K1933,'AI output'!F1933)))+--(N1933&lt;&gt;'AI output'!L1933)+--(NOT('AI output'!M1933)),0)</f>
        <v>0</v>
      </c>
      <c r="Z1933" s="1">
        <f t="shared" si="247"/>
        <v>0</v>
      </c>
      <c r="AA1933" s="1">
        <f>--EXACT(A1933,"L01927")</f>
        <v>1</v>
      </c>
    </row>
    <row r="1934" spans="1:27" ht="18.95" customHeight="1">
      <c r="A1934" s="1" t="str">
        <f>IF(Raw!A1934="","",Raw!A1934)</f>
        <v>L01928</v>
      </c>
      <c r="B1934" s="1" t="str">
        <f>IF(Raw!B1934="","",Raw!B1934)</f>
        <v>T00964</v>
      </c>
      <c r="C1934" s="1" t="str">
        <f>IF(Raw!C1934="","",Raw!C1934)</f>
        <v>2026-03-23</v>
      </c>
      <c r="D1934" s="1">
        <f t="shared" si="240"/>
        <v>2026</v>
      </c>
      <c r="E1934" s="1">
        <f>IFERROR(IF(AND(LEN(C1934)=10,MID(C1934,5,1)="-",MID(C1934,8,1)="-"),VALUE(MID(C1934,6,2)),IF(AND(LEN(C1934)=11,MID(C1934,3,1)="-",MID(C1934,7,1)="-"),MATCH(UPPER(MID(C1934,4,3)),Guide!$D$7:$D$18,0),0)),0)</f>
        <v>3</v>
      </c>
      <c r="F1934" s="1">
        <f t="shared" si="241"/>
        <v>23</v>
      </c>
      <c r="G1934" s="9">
        <f t="shared" si="242"/>
        <v>46104</v>
      </c>
      <c r="H1934" s="1" t="str">
        <f>IF(Raw!D1934="","",Raw!D1934)</f>
        <v>P-H</v>
      </c>
      <c r="I1934" s="1" t="str">
        <f>IFERROR(IF(EXACT(H1934,INDEX(Guide!$A$7:$A$9,MATCH(SUBSTITUTE(SUBSTITUTE(SUBSTITUTE(H1934,"~","~~"),"*","~*"),"?","~?"),Guide!$A$7:$A$9,0))),INDEX(Guide!$B$7:$B$9,MATCH(SUBSTITUTE(SUBSTITUTE(SUBSTITUTE(H1934,"~","~~"),"*","~*"),"?","~?"),Guide!$A$7:$A$9,0)),""),"")</f>
        <v>Home</v>
      </c>
      <c r="J1934" s="1" t="str">
        <f>IF(TRIM(Raw!E1934)="",I1934,IF(UPPER(TRIM(Raw!E1934))=UPPER(I1934),I1934,""))</f>
        <v>Home</v>
      </c>
      <c r="K1934" s="1" t="str">
        <f>IF(Raw!F1934="","",Raw!F1934)</f>
        <v>sale</v>
      </c>
      <c r="L1934" s="1" t="str">
        <f>IF(LEFT(TRIM(Raw!G1934),2)="-$","-"&amp;MID(TRIM(Raw!G1934),3,99),IF(LEFT(TRIM(Raw!G1934),1)="$",MID(TRIM(Raw!G1934),2,99),TRIM(Raw!G1934)))</f>
        <v>589.90</v>
      </c>
      <c r="M1934" s="1">
        <f t="shared" si="243"/>
        <v>589.9</v>
      </c>
      <c r="N1934" s="10">
        <f t="shared" si="244"/>
        <v>58990</v>
      </c>
      <c r="O1934" s="1" t="b">
        <f>IFERROR(IF(ISNUMBER(Raw!G1934),TRUE,OR(EXACT(L1934,TEXT(M1934,"0.00")),EXACT(L1934,TEXT(M1934,"#,##0.00")))),FALSE)</f>
        <v>1</v>
      </c>
      <c r="P1934" s="1" t="str">
        <f>LEN(IF(Raw!A1934="","",Raw!A1934))&amp;":"&amp;IF(Raw!A1934="","",Raw!A1934)&amp;"|"&amp;LEN(IF(Raw!B1934="","",Raw!B1934))&amp;":"&amp;IF(Raw!B1934="","",Raw!B1934)&amp;"|"&amp;LEN(IF(Raw!C1934="","",Raw!C1934))&amp;":"&amp;IF(Raw!C1934="","",Raw!C1934)&amp;"|"&amp;LEN(IF(Raw!D1934="","",Raw!D1934))&amp;":"&amp;IF(Raw!D1934="","",Raw!D1934)&amp;"|"&amp;LEN(IF(Raw!E1934="","",Raw!E1934))&amp;":"&amp;IF(Raw!E1934="","",Raw!E1934)&amp;"|"&amp;LEN(IF(Raw!F1934="","",Raw!F1934))&amp;":"&amp;IF(Raw!F1934="","",Raw!F1934)&amp;"|"&amp;LEN(IF(Raw!G1934="","",Raw!G1934))&amp;":"&amp;IF(Raw!G1934="","",Raw!G1934)</f>
        <v>6:L01928|6:T00964|10:2026-03-23|3:P-H|4:Home|4:sale|6:589.90</v>
      </c>
      <c r="Q1934" s="1">
        <f>1</f>
        <v>1</v>
      </c>
      <c r="R1934" s="1" t="b">
        <f>FALSE</f>
        <v>0</v>
      </c>
      <c r="S1934" s="1">
        <f>1</f>
        <v>1</v>
      </c>
      <c r="T1934" s="1" t="str">
        <f>IF(AND(Raw!A1934="",Raw!B1934="",Raw!C1934="",Raw!D1934="",Raw!E1934="",Raw!F1934="",Raw!G1934=""),"UNUSED",IF(A1934="","missing line ID",IF(B1934="","missing transaction ID",IF(G1934="",IF(C1934="","missing date","invalid date"),IF(I1934="","unknown product",IF(J1934="","conflicting category",IF(NOT(OR(EXACT(K1934,"sale"),EXACT(K1934,"refund"))),"unknown event",IF(OR(N1934="",NOT(O1934)),"invalid amount",IF(OR(AND(K1934="sale",N1934&lt;=0),AND(K1934="refund",N1934&gt;=0)),"invalid sign","")))))))))</f>
        <v/>
      </c>
      <c r="U1934" s="1" t="str">
        <f t="shared" si="245"/>
        <v>INCLUDED</v>
      </c>
      <c r="V1934" s="1" t="str">
        <f t="shared" si="246"/>
        <v>2026-03</v>
      </c>
      <c r="W1934" s="1">
        <f>IF(AND(U1934="INCLUDED",X1934&gt;0,EXACT(A1934,'AI output'!A1934)),1,0)</f>
        <v>1</v>
      </c>
      <c r="X1934" s="1">
        <f>1934</f>
        <v>1934</v>
      </c>
      <c r="Y1934" s="1">
        <f>IF(AND(U1934="INCLUDED",W1934=1),--(NOT(EXACT(A1934,'AI output'!A1934)))+--(NOT(EXACT(B1934,'AI output'!B1934)))+--(NOT(EXACT(TEXT(G1934,"yyyy-mm-dd"),'AI output'!C1934)))+--(NOT(EXACT(H1934,'AI output'!D1934)))+--(NOT(EXACT(J1934,'AI output'!E1934)))+--(NOT(EXACT(K1934,'AI output'!F1934)))+--(N1934&lt;&gt;'AI output'!L1934)+--(NOT('AI output'!M1934)),0)</f>
        <v>0</v>
      </c>
      <c r="Z1934" s="1">
        <f t="shared" si="247"/>
        <v>0</v>
      </c>
      <c r="AA1934" s="1">
        <f>--EXACT(A1934,"L01928")</f>
        <v>1</v>
      </c>
    </row>
    <row r="1935" spans="1:27" ht="18.95" customHeight="1">
      <c r="A1935" s="1" t="str">
        <f>IF(Raw!A1935="","",Raw!A1935)</f>
        <v>L01929</v>
      </c>
      <c r="B1935" s="1" t="str">
        <f>IF(Raw!B1935="","",Raw!B1935)</f>
        <v>T00965</v>
      </c>
      <c r="C1935" s="1" t="str">
        <f>IF(Raw!C1935="","",Raw!C1935)</f>
        <v>2026-03-30</v>
      </c>
      <c r="D1935" s="1">
        <f t="shared" si="240"/>
        <v>2026</v>
      </c>
      <c r="E1935" s="1">
        <f>IFERROR(IF(AND(LEN(C1935)=10,MID(C1935,5,1)="-",MID(C1935,8,1)="-"),VALUE(MID(C1935,6,2)),IF(AND(LEN(C1935)=11,MID(C1935,3,1)="-",MID(C1935,7,1)="-"),MATCH(UPPER(MID(C1935,4,3)),Guide!$D$7:$D$18,0),0)),0)</f>
        <v>3</v>
      </c>
      <c r="F1935" s="1">
        <f t="shared" si="241"/>
        <v>30</v>
      </c>
      <c r="G1935" s="9">
        <f t="shared" si="242"/>
        <v>46111</v>
      </c>
      <c r="H1935" s="1" t="str">
        <f>IF(Raw!D1935="","",Raw!D1935)</f>
        <v>P-O</v>
      </c>
      <c r="I1935" s="1" t="str">
        <f>IFERROR(IF(EXACT(H1935,INDEX(Guide!$A$7:$A$9,MATCH(SUBSTITUTE(SUBSTITUTE(SUBSTITUTE(H1935,"~","~~"),"*","~*"),"?","~?"),Guide!$A$7:$A$9,0))),INDEX(Guide!$B$7:$B$9,MATCH(SUBSTITUTE(SUBSTITUTE(SUBSTITUTE(H1935,"~","~~"),"*","~*"),"?","~?"),Guide!$A$7:$A$9,0)),""),"")</f>
        <v>Office</v>
      </c>
      <c r="J1935" s="1" t="str">
        <f>IF(TRIM(Raw!E1935)="",I1935,IF(UPPER(TRIM(Raw!E1935))=UPPER(I1935),I1935,""))</f>
        <v>Office</v>
      </c>
      <c r="K1935" s="1" t="str">
        <f>IF(Raw!F1935="","",Raw!F1935)</f>
        <v>sale</v>
      </c>
      <c r="L1935" s="1" t="str">
        <f>IF(LEFT(TRIM(Raw!G1935),2)="-$","-"&amp;MID(TRIM(Raw!G1935),3,99),IF(LEFT(TRIM(Raw!G1935),1)="$",MID(TRIM(Raw!G1935),2,99),TRIM(Raw!G1935)))</f>
        <v>236.70</v>
      </c>
      <c r="M1935" s="1">
        <f t="shared" si="243"/>
        <v>236.7</v>
      </c>
      <c r="N1935" s="10">
        <f t="shared" si="244"/>
        <v>23670</v>
      </c>
      <c r="O1935" s="1" t="b">
        <f>IFERROR(IF(ISNUMBER(Raw!G1935),TRUE,OR(EXACT(L1935,TEXT(M1935,"0.00")),EXACT(L1935,TEXT(M1935,"#,##0.00")))),FALSE)</f>
        <v>1</v>
      </c>
      <c r="P1935" s="1" t="str">
        <f>LEN(IF(Raw!A1935="","",Raw!A1935))&amp;":"&amp;IF(Raw!A1935="","",Raw!A1935)&amp;"|"&amp;LEN(IF(Raw!B1935="","",Raw!B1935))&amp;":"&amp;IF(Raw!B1935="","",Raw!B1935)&amp;"|"&amp;LEN(IF(Raw!C1935="","",Raw!C1935))&amp;":"&amp;IF(Raw!C1935="","",Raw!C1935)&amp;"|"&amp;LEN(IF(Raw!D1935="","",Raw!D1935))&amp;":"&amp;IF(Raw!D1935="","",Raw!D1935)&amp;"|"&amp;LEN(IF(Raw!E1935="","",Raw!E1935))&amp;":"&amp;IF(Raw!E1935="","",Raw!E1935)&amp;"|"&amp;LEN(IF(Raw!F1935="","",Raw!F1935))&amp;":"&amp;IF(Raw!F1935="","",Raw!F1935)&amp;"|"&amp;LEN(IF(Raw!G1935="","",Raw!G1935))&amp;":"&amp;IF(Raw!G1935="","",Raw!G1935)</f>
        <v>6:L01929|6:T00965|10:2026-03-30|3:P-O|6:Office|4:sale|6:236.70</v>
      </c>
      <c r="Q1935" s="1">
        <f>1</f>
        <v>1</v>
      </c>
      <c r="R1935" s="1" t="b">
        <f>FALSE</f>
        <v>0</v>
      </c>
      <c r="S1935" s="1">
        <f>1</f>
        <v>1</v>
      </c>
      <c r="T1935" s="1" t="str">
        <f>IF(AND(Raw!A1935="",Raw!B1935="",Raw!C1935="",Raw!D1935="",Raw!E1935="",Raw!F1935="",Raw!G1935=""),"UNUSED",IF(A1935="","missing line ID",IF(B1935="","missing transaction ID",IF(G1935="",IF(C1935="","missing date","invalid date"),IF(I1935="","unknown product",IF(J1935="","conflicting category",IF(NOT(OR(EXACT(K1935,"sale"),EXACT(K1935,"refund"))),"unknown event",IF(OR(N1935="",NOT(O1935)),"invalid amount",IF(OR(AND(K1935="sale",N1935&lt;=0),AND(K1935="refund",N1935&gt;=0)),"invalid sign","")))))))))</f>
        <v/>
      </c>
      <c r="U1935" s="1" t="str">
        <f t="shared" si="245"/>
        <v>INCLUDED</v>
      </c>
      <c r="V1935" s="1" t="str">
        <f t="shared" si="246"/>
        <v>2026-03</v>
      </c>
      <c r="W1935" s="1">
        <f>IF(AND(U1935="INCLUDED",X1935&gt;0,EXACT(A1935,'AI output'!A1935)),1,0)</f>
        <v>1</v>
      </c>
      <c r="X1935" s="1">
        <f>1935</f>
        <v>1935</v>
      </c>
      <c r="Y1935" s="1">
        <f>IF(AND(U1935="INCLUDED",W1935=1),--(NOT(EXACT(A1935,'AI output'!A1935)))+--(NOT(EXACT(B1935,'AI output'!B1935)))+--(NOT(EXACT(TEXT(G1935,"yyyy-mm-dd"),'AI output'!C1935)))+--(NOT(EXACT(H1935,'AI output'!D1935)))+--(NOT(EXACT(J1935,'AI output'!E1935)))+--(NOT(EXACT(K1935,'AI output'!F1935)))+--(N1935&lt;&gt;'AI output'!L1935)+--(NOT('AI output'!M1935)),0)</f>
        <v>0</v>
      </c>
      <c r="Z1935" s="1">
        <f t="shared" si="247"/>
        <v>0</v>
      </c>
      <c r="AA1935" s="1">
        <f>--EXACT(A1935,"L01929")</f>
        <v>1</v>
      </c>
    </row>
    <row r="1936" spans="1:27" ht="18.95" customHeight="1">
      <c r="A1936" s="1" t="str">
        <f>IF(Raw!A1936="","",Raw!A1936)</f>
        <v>L01930</v>
      </c>
      <c r="B1936" s="1" t="str">
        <f>IF(Raw!B1936="","",Raw!B1936)</f>
        <v>T00965</v>
      </c>
      <c r="C1936" s="1" t="str">
        <f>IF(Raw!C1936="","",Raw!C1936)</f>
        <v>2026-03-30</v>
      </c>
      <c r="D1936" s="1">
        <f t="shared" si="240"/>
        <v>2026</v>
      </c>
      <c r="E1936" s="1">
        <f>IFERROR(IF(AND(LEN(C1936)=10,MID(C1936,5,1)="-",MID(C1936,8,1)="-"),VALUE(MID(C1936,6,2)),IF(AND(LEN(C1936)=11,MID(C1936,3,1)="-",MID(C1936,7,1)="-"),MATCH(UPPER(MID(C1936,4,3)),Guide!$D$7:$D$18,0),0)),0)</f>
        <v>3</v>
      </c>
      <c r="F1936" s="1">
        <f t="shared" si="241"/>
        <v>30</v>
      </c>
      <c r="G1936" s="9">
        <f t="shared" si="242"/>
        <v>46111</v>
      </c>
      <c r="H1936" s="1" t="str">
        <f>IF(Raw!D1936="","",Raw!D1936)</f>
        <v>P-A</v>
      </c>
      <c r="I1936" s="1" t="str">
        <f>IFERROR(IF(EXACT(H1936,INDEX(Guide!$A$7:$A$9,MATCH(SUBSTITUTE(SUBSTITUTE(SUBSTITUTE(H1936,"~","~~"),"*","~*"),"?","~?"),Guide!$A$7:$A$9,0))),INDEX(Guide!$B$7:$B$9,MATCH(SUBSTITUTE(SUBSTITUTE(SUBSTITUTE(H1936,"~","~~"),"*","~*"),"?","~?"),Guide!$A$7:$A$9,0)),""),"")</f>
        <v>Accessories</v>
      </c>
      <c r="J1936" s="1" t="str">
        <f>IF(TRIM(Raw!E1936)="",I1936,IF(UPPER(TRIM(Raw!E1936))=UPPER(I1936),I1936,""))</f>
        <v>Accessories</v>
      </c>
      <c r="K1936" s="1" t="str">
        <f>IF(Raw!F1936="","",Raw!F1936)</f>
        <v>sale</v>
      </c>
      <c r="L1936" s="1" t="str">
        <f>IF(LEFT(TRIM(Raw!G1936),2)="-$","-"&amp;MID(TRIM(Raw!G1936),3,99),IF(LEFT(TRIM(Raw!G1936),1)="$",MID(TRIM(Raw!G1936),2,99),TRIM(Raw!G1936)))</f>
        <v>474.88</v>
      </c>
      <c r="M1936" s="1">
        <f t="shared" si="243"/>
        <v>474.88</v>
      </c>
      <c r="N1936" s="10">
        <f t="shared" si="244"/>
        <v>47488</v>
      </c>
      <c r="O1936" s="1" t="b">
        <f>IFERROR(IF(ISNUMBER(Raw!G1936),TRUE,OR(EXACT(L1936,TEXT(M1936,"0.00")),EXACT(L1936,TEXT(M1936,"#,##0.00")))),FALSE)</f>
        <v>1</v>
      </c>
      <c r="P1936" s="1" t="str">
        <f>LEN(IF(Raw!A1936="","",Raw!A1936))&amp;":"&amp;IF(Raw!A1936="","",Raw!A1936)&amp;"|"&amp;LEN(IF(Raw!B1936="","",Raw!B1936))&amp;":"&amp;IF(Raw!B1936="","",Raw!B1936)&amp;"|"&amp;LEN(IF(Raw!C1936="","",Raw!C1936))&amp;":"&amp;IF(Raw!C1936="","",Raw!C1936)&amp;"|"&amp;LEN(IF(Raw!D1936="","",Raw!D1936))&amp;":"&amp;IF(Raw!D1936="","",Raw!D1936)&amp;"|"&amp;LEN(IF(Raw!E1936="","",Raw!E1936))&amp;":"&amp;IF(Raw!E1936="","",Raw!E1936)&amp;"|"&amp;LEN(IF(Raw!F1936="","",Raw!F1936))&amp;":"&amp;IF(Raw!F1936="","",Raw!F1936)&amp;"|"&amp;LEN(IF(Raw!G1936="","",Raw!G1936))&amp;":"&amp;IF(Raw!G1936="","",Raw!G1936)</f>
        <v>6:L01930|6:T00965|10:2026-03-30|3:P-A|11:Accessories|4:sale|6:474.88</v>
      </c>
      <c r="Q1936" s="1">
        <f>1</f>
        <v>1</v>
      </c>
      <c r="R1936" s="1" t="b">
        <f>FALSE</f>
        <v>0</v>
      </c>
      <c r="S1936" s="1">
        <f>1</f>
        <v>1</v>
      </c>
      <c r="T1936" s="1" t="str">
        <f>IF(AND(Raw!A1936="",Raw!B1936="",Raw!C1936="",Raw!D1936="",Raw!E1936="",Raw!F1936="",Raw!G1936=""),"UNUSED",IF(A1936="","missing line ID",IF(B1936="","missing transaction ID",IF(G1936="",IF(C1936="","missing date","invalid date"),IF(I1936="","unknown product",IF(J1936="","conflicting category",IF(NOT(OR(EXACT(K1936,"sale"),EXACT(K1936,"refund"))),"unknown event",IF(OR(N1936="",NOT(O1936)),"invalid amount",IF(OR(AND(K1936="sale",N1936&lt;=0),AND(K1936="refund",N1936&gt;=0)),"invalid sign","")))))))))</f>
        <v/>
      </c>
      <c r="U1936" s="1" t="str">
        <f t="shared" si="245"/>
        <v>INCLUDED</v>
      </c>
      <c r="V1936" s="1" t="str">
        <f t="shared" si="246"/>
        <v>2026-03</v>
      </c>
      <c r="W1936" s="1">
        <f>IF(AND(U1936="INCLUDED",X1936&gt;0,EXACT(A1936,'AI output'!A1936)),1,0)</f>
        <v>1</v>
      </c>
      <c r="X1936" s="1">
        <f>1936</f>
        <v>1936</v>
      </c>
      <c r="Y1936" s="1">
        <f>IF(AND(U1936="INCLUDED",W1936=1),--(NOT(EXACT(A1936,'AI output'!A1936)))+--(NOT(EXACT(B1936,'AI output'!B1936)))+--(NOT(EXACT(TEXT(G1936,"yyyy-mm-dd"),'AI output'!C1936)))+--(NOT(EXACT(H1936,'AI output'!D1936)))+--(NOT(EXACT(J1936,'AI output'!E1936)))+--(NOT(EXACT(K1936,'AI output'!F1936)))+--(N1936&lt;&gt;'AI output'!L1936)+--(NOT('AI output'!M1936)),0)</f>
        <v>0</v>
      </c>
      <c r="Z1936" s="1">
        <f t="shared" si="247"/>
        <v>0</v>
      </c>
      <c r="AA1936" s="1">
        <f>--EXACT(A1936,"L01930")</f>
        <v>1</v>
      </c>
    </row>
    <row r="1937" spans="1:27" ht="18.95" customHeight="1">
      <c r="A1937" s="1" t="str">
        <f>IF(Raw!A1937="","",Raw!A1937)</f>
        <v>L01931</v>
      </c>
      <c r="B1937" s="1" t="str">
        <f>IF(Raw!B1937="","",Raw!B1937)</f>
        <v>T00966</v>
      </c>
      <c r="C1937" s="1" t="str">
        <f>IF(Raw!C1937="","",Raw!C1937)</f>
        <v>2026-01-06</v>
      </c>
      <c r="D1937" s="1">
        <f t="shared" si="240"/>
        <v>2026</v>
      </c>
      <c r="E1937" s="1">
        <f>IFERROR(IF(AND(LEN(C1937)=10,MID(C1937,5,1)="-",MID(C1937,8,1)="-"),VALUE(MID(C1937,6,2)),IF(AND(LEN(C1937)=11,MID(C1937,3,1)="-",MID(C1937,7,1)="-"),MATCH(UPPER(MID(C1937,4,3)),Guide!$D$7:$D$18,0),0)),0)</f>
        <v>1</v>
      </c>
      <c r="F1937" s="1">
        <f t="shared" si="241"/>
        <v>6</v>
      </c>
      <c r="G1937" s="9">
        <f t="shared" si="242"/>
        <v>46028</v>
      </c>
      <c r="H1937" s="1" t="str">
        <f>IF(Raw!D1937="","",Raw!D1937)</f>
        <v>P-H</v>
      </c>
      <c r="I1937" s="1" t="str">
        <f>IFERROR(IF(EXACT(H1937,INDEX(Guide!$A$7:$A$9,MATCH(SUBSTITUTE(SUBSTITUTE(SUBSTITUTE(H1937,"~","~~"),"*","~*"),"?","~?"),Guide!$A$7:$A$9,0))),INDEX(Guide!$B$7:$B$9,MATCH(SUBSTITUTE(SUBSTITUTE(SUBSTITUTE(H1937,"~","~~"),"*","~*"),"?","~?"),Guide!$A$7:$A$9,0)),""),"")</f>
        <v>Home</v>
      </c>
      <c r="J1937" s="1" t="str">
        <f>IF(TRIM(Raw!E1937)="",I1937,IF(UPPER(TRIM(Raw!E1937))=UPPER(I1937),I1937,""))</f>
        <v>Home</v>
      </c>
      <c r="K1937" s="1" t="str">
        <f>IF(Raw!F1937="","",Raw!F1937)</f>
        <v>sale</v>
      </c>
      <c r="L1937" s="1" t="str">
        <f>IF(LEFT(TRIM(Raw!G1937),2)="-$","-"&amp;MID(TRIM(Raw!G1937),3,99),IF(LEFT(TRIM(Raw!G1937),1)="$",MID(TRIM(Raw!G1937),2,99),TRIM(Raw!G1937)))</f>
        <v>119.09</v>
      </c>
      <c r="M1937" s="1">
        <f t="shared" si="243"/>
        <v>119.09</v>
      </c>
      <c r="N1937" s="10">
        <f t="shared" si="244"/>
        <v>11909</v>
      </c>
      <c r="O1937" s="1" t="b">
        <f>IFERROR(IF(ISNUMBER(Raw!G1937),TRUE,OR(EXACT(L1937,TEXT(M1937,"0.00")),EXACT(L1937,TEXT(M1937,"#,##0.00")))),FALSE)</f>
        <v>1</v>
      </c>
      <c r="P1937" s="1" t="str">
        <f>LEN(IF(Raw!A1937="","",Raw!A1937))&amp;":"&amp;IF(Raw!A1937="","",Raw!A1937)&amp;"|"&amp;LEN(IF(Raw!B1937="","",Raw!B1937))&amp;":"&amp;IF(Raw!B1937="","",Raw!B1937)&amp;"|"&amp;LEN(IF(Raw!C1937="","",Raw!C1937))&amp;":"&amp;IF(Raw!C1937="","",Raw!C1937)&amp;"|"&amp;LEN(IF(Raw!D1937="","",Raw!D1937))&amp;":"&amp;IF(Raw!D1937="","",Raw!D1937)&amp;"|"&amp;LEN(IF(Raw!E1937="","",Raw!E1937))&amp;":"&amp;IF(Raw!E1937="","",Raw!E1937)&amp;"|"&amp;LEN(IF(Raw!F1937="","",Raw!F1937))&amp;":"&amp;IF(Raw!F1937="","",Raw!F1937)&amp;"|"&amp;LEN(IF(Raw!G1937="","",Raw!G1937))&amp;":"&amp;IF(Raw!G1937="","",Raw!G1937)</f>
        <v>6:L01931|6:T00966|10:2026-01-06|3:P-H|4:Home|4:sale|6:119.09</v>
      </c>
      <c r="Q1937" s="1">
        <f>1</f>
        <v>1</v>
      </c>
      <c r="R1937" s="1" t="b">
        <f>FALSE</f>
        <v>0</v>
      </c>
      <c r="S1937" s="1">
        <f>1</f>
        <v>1</v>
      </c>
      <c r="T1937" s="1" t="str">
        <f>IF(AND(Raw!A1937="",Raw!B1937="",Raw!C1937="",Raw!D1937="",Raw!E1937="",Raw!F1937="",Raw!G1937=""),"UNUSED",IF(A1937="","missing line ID",IF(B1937="","missing transaction ID",IF(G1937="",IF(C1937="","missing date","invalid date"),IF(I1937="","unknown product",IF(J1937="","conflicting category",IF(NOT(OR(EXACT(K1937,"sale"),EXACT(K1937,"refund"))),"unknown event",IF(OR(N1937="",NOT(O1937)),"invalid amount",IF(OR(AND(K1937="sale",N1937&lt;=0),AND(K1937="refund",N1937&gt;=0)),"invalid sign","")))))))))</f>
        <v/>
      </c>
      <c r="U1937" s="1" t="str">
        <f t="shared" si="245"/>
        <v>INCLUDED</v>
      </c>
      <c r="V1937" s="1" t="str">
        <f t="shared" si="246"/>
        <v>2026-01</v>
      </c>
      <c r="W1937" s="1">
        <f>IF(AND(U1937="INCLUDED",X1937&gt;0,EXACT(A1937,'AI output'!A1937)),1,0)</f>
        <v>1</v>
      </c>
      <c r="X1937" s="1">
        <f>1937</f>
        <v>1937</v>
      </c>
      <c r="Y1937" s="1">
        <f>IF(AND(U1937="INCLUDED",W1937=1),--(NOT(EXACT(A1937,'AI output'!A1937)))+--(NOT(EXACT(B1937,'AI output'!B1937)))+--(NOT(EXACT(TEXT(G1937,"yyyy-mm-dd"),'AI output'!C1937)))+--(NOT(EXACT(H1937,'AI output'!D1937)))+--(NOT(EXACT(J1937,'AI output'!E1937)))+--(NOT(EXACT(K1937,'AI output'!F1937)))+--(N1937&lt;&gt;'AI output'!L1937)+--(NOT('AI output'!M1937)),0)</f>
        <v>0</v>
      </c>
      <c r="Z1937" s="1">
        <f t="shared" si="247"/>
        <v>0</v>
      </c>
      <c r="AA1937" s="1">
        <f>--EXACT(A1937,"L01931")</f>
        <v>1</v>
      </c>
    </row>
    <row r="1938" spans="1:27" ht="18.95" customHeight="1">
      <c r="A1938" s="1" t="str">
        <f>IF(Raw!A1938="","",Raw!A1938)</f>
        <v>L01932</v>
      </c>
      <c r="B1938" s="1" t="str">
        <f>IF(Raw!B1938="","",Raw!B1938)</f>
        <v>T00966</v>
      </c>
      <c r="C1938" s="1" t="str">
        <f>IF(Raw!C1938="","",Raw!C1938)</f>
        <v>2026-01-06</v>
      </c>
      <c r="D1938" s="1">
        <f t="shared" si="240"/>
        <v>2026</v>
      </c>
      <c r="E1938" s="1">
        <f>IFERROR(IF(AND(LEN(C1938)=10,MID(C1938,5,1)="-",MID(C1938,8,1)="-"),VALUE(MID(C1938,6,2)),IF(AND(LEN(C1938)=11,MID(C1938,3,1)="-",MID(C1938,7,1)="-"),MATCH(UPPER(MID(C1938,4,3)),Guide!$D$7:$D$18,0),0)),0)</f>
        <v>1</v>
      </c>
      <c r="F1938" s="1">
        <f t="shared" si="241"/>
        <v>6</v>
      </c>
      <c r="G1938" s="9">
        <f t="shared" si="242"/>
        <v>46028</v>
      </c>
      <c r="H1938" s="1" t="str">
        <f>IF(Raw!D1938="","",Raw!D1938)</f>
        <v>P-O</v>
      </c>
      <c r="I1938" s="1" t="str">
        <f>IFERROR(IF(EXACT(H1938,INDEX(Guide!$A$7:$A$9,MATCH(SUBSTITUTE(SUBSTITUTE(SUBSTITUTE(H1938,"~","~~"),"*","~*"),"?","~?"),Guide!$A$7:$A$9,0))),INDEX(Guide!$B$7:$B$9,MATCH(SUBSTITUTE(SUBSTITUTE(SUBSTITUTE(H1938,"~","~~"),"*","~*"),"?","~?"),Guide!$A$7:$A$9,0)),""),"")</f>
        <v>Office</v>
      </c>
      <c r="J1938" s="1" t="str">
        <f>IF(TRIM(Raw!E1938)="",I1938,IF(UPPER(TRIM(Raw!E1938))=UPPER(I1938),I1938,""))</f>
        <v>Office</v>
      </c>
      <c r="K1938" s="1" t="str">
        <f>IF(Raw!F1938="","",Raw!F1938)</f>
        <v>sale</v>
      </c>
      <c r="L1938" s="1" t="str">
        <f>IF(LEFT(TRIM(Raw!G1938),2)="-$","-"&amp;MID(TRIM(Raw!G1938),3,99),IF(LEFT(TRIM(Raw!G1938),1)="$",MID(TRIM(Raw!G1938),2,99),TRIM(Raw!G1938)))</f>
        <v>358.38</v>
      </c>
      <c r="M1938" s="1">
        <f t="shared" si="243"/>
        <v>358.38</v>
      </c>
      <c r="N1938" s="10">
        <f t="shared" si="244"/>
        <v>35838</v>
      </c>
      <c r="O1938" s="1" t="b">
        <f>IFERROR(IF(ISNUMBER(Raw!G1938),TRUE,OR(EXACT(L1938,TEXT(M1938,"0.00")),EXACT(L1938,TEXT(M1938,"#,##0.00")))),FALSE)</f>
        <v>1</v>
      </c>
      <c r="P1938" s="1" t="str">
        <f>LEN(IF(Raw!A1938="","",Raw!A1938))&amp;":"&amp;IF(Raw!A1938="","",Raw!A1938)&amp;"|"&amp;LEN(IF(Raw!B1938="","",Raw!B1938))&amp;":"&amp;IF(Raw!B1938="","",Raw!B1938)&amp;"|"&amp;LEN(IF(Raw!C1938="","",Raw!C1938))&amp;":"&amp;IF(Raw!C1938="","",Raw!C1938)&amp;"|"&amp;LEN(IF(Raw!D1938="","",Raw!D1938))&amp;":"&amp;IF(Raw!D1938="","",Raw!D1938)&amp;"|"&amp;LEN(IF(Raw!E1938="","",Raw!E1938))&amp;":"&amp;IF(Raw!E1938="","",Raw!E1938)&amp;"|"&amp;LEN(IF(Raw!F1938="","",Raw!F1938))&amp;":"&amp;IF(Raw!F1938="","",Raw!F1938)&amp;"|"&amp;LEN(IF(Raw!G1938="","",Raw!G1938))&amp;":"&amp;IF(Raw!G1938="","",Raw!G1938)</f>
        <v>6:L01932|6:T00966|10:2026-01-06|3:P-O|6:Office|4:sale|6:358.38</v>
      </c>
      <c r="Q1938" s="1">
        <f>1</f>
        <v>1</v>
      </c>
      <c r="R1938" s="1" t="b">
        <f>FALSE</f>
        <v>0</v>
      </c>
      <c r="S1938" s="1">
        <f>1</f>
        <v>1</v>
      </c>
      <c r="T1938" s="1" t="str">
        <f>IF(AND(Raw!A1938="",Raw!B1938="",Raw!C1938="",Raw!D1938="",Raw!E1938="",Raw!F1938="",Raw!G1938=""),"UNUSED",IF(A1938="","missing line ID",IF(B1938="","missing transaction ID",IF(G1938="",IF(C1938="","missing date","invalid date"),IF(I1938="","unknown product",IF(J1938="","conflicting category",IF(NOT(OR(EXACT(K1938,"sale"),EXACT(K1938,"refund"))),"unknown event",IF(OR(N1938="",NOT(O1938)),"invalid amount",IF(OR(AND(K1938="sale",N1938&lt;=0),AND(K1938="refund",N1938&gt;=0)),"invalid sign","")))))))))</f>
        <v/>
      </c>
      <c r="U1938" s="1" t="str">
        <f t="shared" si="245"/>
        <v>INCLUDED</v>
      </c>
      <c r="V1938" s="1" t="str">
        <f t="shared" si="246"/>
        <v>2026-01</v>
      </c>
      <c r="W1938" s="1">
        <f>IF(AND(U1938="INCLUDED",X1938&gt;0,EXACT(A1938,'AI output'!A1938)),1,0)</f>
        <v>1</v>
      </c>
      <c r="X1938" s="1">
        <f>1938</f>
        <v>1938</v>
      </c>
      <c r="Y1938" s="1">
        <f>IF(AND(U1938="INCLUDED",W1938=1),--(NOT(EXACT(A1938,'AI output'!A1938)))+--(NOT(EXACT(B1938,'AI output'!B1938)))+--(NOT(EXACT(TEXT(G1938,"yyyy-mm-dd"),'AI output'!C1938)))+--(NOT(EXACT(H1938,'AI output'!D1938)))+--(NOT(EXACT(J1938,'AI output'!E1938)))+--(NOT(EXACT(K1938,'AI output'!F1938)))+--(N1938&lt;&gt;'AI output'!L1938)+--(NOT('AI output'!M1938)),0)</f>
        <v>0</v>
      </c>
      <c r="Z1938" s="1">
        <f t="shared" si="247"/>
        <v>0</v>
      </c>
      <c r="AA1938" s="1">
        <f>--EXACT(A1938,"L01932")</f>
        <v>1</v>
      </c>
    </row>
    <row r="1939" spans="1:27" ht="18.95" customHeight="1">
      <c r="A1939" s="1" t="str">
        <f>IF(Raw!A1939="","",Raw!A1939)</f>
        <v>L01933</v>
      </c>
      <c r="B1939" s="1" t="str">
        <f>IF(Raw!B1939="","",Raw!B1939)</f>
        <v>T00967</v>
      </c>
      <c r="C1939" s="1" t="str">
        <f>IF(Raw!C1939="","",Raw!C1939)</f>
        <v>2026-01-13</v>
      </c>
      <c r="D1939" s="1">
        <f t="shared" si="240"/>
        <v>2026</v>
      </c>
      <c r="E1939" s="1">
        <f>IFERROR(IF(AND(LEN(C1939)=10,MID(C1939,5,1)="-",MID(C1939,8,1)="-"),VALUE(MID(C1939,6,2)),IF(AND(LEN(C1939)=11,MID(C1939,3,1)="-",MID(C1939,7,1)="-"),MATCH(UPPER(MID(C1939,4,3)),Guide!$D$7:$D$18,0),0)),0)</f>
        <v>1</v>
      </c>
      <c r="F1939" s="1">
        <f t="shared" si="241"/>
        <v>13</v>
      </c>
      <c r="G1939" s="9">
        <f t="shared" si="242"/>
        <v>46035</v>
      </c>
      <c r="H1939" s="1" t="str">
        <f>IF(Raw!D1939="","",Raw!D1939)</f>
        <v>P-A</v>
      </c>
      <c r="I1939" s="1" t="str">
        <f>IFERROR(IF(EXACT(H1939,INDEX(Guide!$A$7:$A$9,MATCH(SUBSTITUTE(SUBSTITUTE(SUBSTITUTE(H1939,"~","~~"),"*","~*"),"?","~?"),Guide!$A$7:$A$9,0))),INDEX(Guide!$B$7:$B$9,MATCH(SUBSTITUTE(SUBSTITUTE(SUBSTITUTE(H1939,"~","~~"),"*","~*"),"?","~?"),Guide!$A$7:$A$9,0)),""),"")</f>
        <v>Accessories</v>
      </c>
      <c r="J1939" s="1" t="str">
        <f>IF(TRIM(Raw!E1939)="",I1939,IF(UPPER(TRIM(Raw!E1939))=UPPER(I1939),I1939,""))</f>
        <v>Accessories</v>
      </c>
      <c r="K1939" s="1" t="str">
        <f>IF(Raw!F1939="","",Raw!F1939)</f>
        <v>refund</v>
      </c>
      <c r="L1939" s="1" t="str">
        <f>IF(LEFT(TRIM(Raw!G1939),2)="-$","-"&amp;MID(TRIM(Raw!G1939),3,99),IF(LEFT(TRIM(Raw!G1939),1)="$",MID(TRIM(Raw!G1939),2,99),TRIM(Raw!G1939)))</f>
        <v>-599.15</v>
      </c>
      <c r="M1939" s="1">
        <f t="shared" si="243"/>
        <v>-599.15</v>
      </c>
      <c r="N1939" s="10">
        <f t="shared" si="244"/>
        <v>-59915</v>
      </c>
      <c r="O1939" s="1" t="b">
        <f>IFERROR(IF(ISNUMBER(Raw!G1939),TRUE,OR(EXACT(L1939,TEXT(M1939,"0.00")),EXACT(L1939,TEXT(M1939,"#,##0.00")))),FALSE)</f>
        <v>1</v>
      </c>
      <c r="P1939" s="1" t="str">
        <f>LEN(IF(Raw!A1939="","",Raw!A1939))&amp;":"&amp;IF(Raw!A1939="","",Raw!A1939)&amp;"|"&amp;LEN(IF(Raw!B1939="","",Raw!B1939))&amp;":"&amp;IF(Raw!B1939="","",Raw!B1939)&amp;"|"&amp;LEN(IF(Raw!C1939="","",Raw!C1939))&amp;":"&amp;IF(Raw!C1939="","",Raw!C1939)&amp;"|"&amp;LEN(IF(Raw!D1939="","",Raw!D1939))&amp;":"&amp;IF(Raw!D1939="","",Raw!D1939)&amp;"|"&amp;LEN(IF(Raw!E1939="","",Raw!E1939))&amp;":"&amp;IF(Raw!E1939="","",Raw!E1939)&amp;"|"&amp;LEN(IF(Raw!F1939="","",Raw!F1939))&amp;":"&amp;IF(Raw!F1939="","",Raw!F1939)&amp;"|"&amp;LEN(IF(Raw!G1939="","",Raw!G1939))&amp;":"&amp;IF(Raw!G1939="","",Raw!G1939)</f>
        <v>6:L01933|6:T00967|10:2026-01-13|3:P-A|11:Accessories|6:refund|7:-599.15</v>
      </c>
      <c r="Q1939" s="1">
        <f>1</f>
        <v>1</v>
      </c>
      <c r="R1939" s="1" t="b">
        <f>FALSE</f>
        <v>0</v>
      </c>
      <c r="S1939" s="1">
        <f>1</f>
        <v>1</v>
      </c>
      <c r="T1939" s="1" t="str">
        <f>IF(AND(Raw!A1939="",Raw!B1939="",Raw!C1939="",Raw!D1939="",Raw!E1939="",Raw!F1939="",Raw!G1939=""),"UNUSED",IF(A1939="","missing line ID",IF(B1939="","missing transaction ID",IF(G1939="",IF(C1939="","missing date","invalid date"),IF(I1939="","unknown product",IF(J1939="","conflicting category",IF(NOT(OR(EXACT(K1939,"sale"),EXACT(K1939,"refund"))),"unknown event",IF(OR(N1939="",NOT(O1939)),"invalid amount",IF(OR(AND(K1939="sale",N1939&lt;=0),AND(K1939="refund",N1939&gt;=0)),"invalid sign","")))))))))</f>
        <v/>
      </c>
      <c r="U1939" s="1" t="str">
        <f t="shared" si="245"/>
        <v>INCLUDED</v>
      </c>
      <c r="V1939" s="1" t="str">
        <f t="shared" si="246"/>
        <v>2026-01</v>
      </c>
      <c r="W1939" s="1">
        <f>IF(AND(U1939="INCLUDED",X1939&gt;0,EXACT(A1939,'AI output'!A1939)),1,0)</f>
        <v>1</v>
      </c>
      <c r="X1939" s="1">
        <f>1939</f>
        <v>1939</v>
      </c>
      <c r="Y1939" s="1">
        <f>IF(AND(U1939="INCLUDED",W1939=1),--(NOT(EXACT(A1939,'AI output'!A1939)))+--(NOT(EXACT(B1939,'AI output'!B1939)))+--(NOT(EXACT(TEXT(G1939,"yyyy-mm-dd"),'AI output'!C1939)))+--(NOT(EXACT(H1939,'AI output'!D1939)))+--(NOT(EXACT(J1939,'AI output'!E1939)))+--(NOT(EXACT(K1939,'AI output'!F1939)))+--(N1939&lt;&gt;'AI output'!L1939)+--(NOT('AI output'!M1939)),0)</f>
        <v>0</v>
      </c>
      <c r="Z1939" s="1">
        <f t="shared" si="247"/>
        <v>0</v>
      </c>
      <c r="AA1939" s="1">
        <f>--EXACT(A1939,"L01933")</f>
        <v>1</v>
      </c>
    </row>
    <row r="1940" spans="1:27" ht="18.95" customHeight="1">
      <c r="A1940" s="1" t="str">
        <f>IF(Raw!A1940="","",Raw!A1940)</f>
        <v>L01934</v>
      </c>
      <c r="B1940" s="1" t="str">
        <f>IF(Raw!B1940="","",Raw!B1940)</f>
        <v>T00967</v>
      </c>
      <c r="C1940" s="1" t="str">
        <f>IF(Raw!C1940="","",Raw!C1940)</f>
        <v>2026-01-13</v>
      </c>
      <c r="D1940" s="1">
        <f t="shared" si="240"/>
        <v>2026</v>
      </c>
      <c r="E1940" s="1">
        <f>IFERROR(IF(AND(LEN(C1940)=10,MID(C1940,5,1)="-",MID(C1940,8,1)="-"),VALUE(MID(C1940,6,2)),IF(AND(LEN(C1940)=11,MID(C1940,3,1)="-",MID(C1940,7,1)="-"),MATCH(UPPER(MID(C1940,4,3)),Guide!$D$7:$D$18,0),0)),0)</f>
        <v>1</v>
      </c>
      <c r="F1940" s="1">
        <f t="shared" si="241"/>
        <v>13</v>
      </c>
      <c r="G1940" s="9">
        <f t="shared" si="242"/>
        <v>46035</v>
      </c>
      <c r="H1940" s="1" t="str">
        <f>IF(Raw!D1940="","",Raw!D1940)</f>
        <v>P-H</v>
      </c>
      <c r="I1940" s="1" t="str">
        <f>IFERROR(IF(EXACT(H1940,INDEX(Guide!$A$7:$A$9,MATCH(SUBSTITUTE(SUBSTITUTE(SUBSTITUTE(H1940,"~","~~"),"*","~*"),"?","~?"),Guide!$A$7:$A$9,0))),INDEX(Guide!$B$7:$B$9,MATCH(SUBSTITUTE(SUBSTITUTE(SUBSTITUTE(H1940,"~","~~"),"*","~*"),"?","~?"),Guide!$A$7:$A$9,0)),""),"")</f>
        <v>Home</v>
      </c>
      <c r="J1940" s="1" t="str">
        <f>IF(TRIM(Raw!E1940)="",I1940,IF(UPPER(TRIM(Raw!E1940))=UPPER(I1940),I1940,""))</f>
        <v>Home</v>
      </c>
      <c r="K1940" s="1" t="str">
        <f>IF(Raw!F1940="","",Raw!F1940)</f>
        <v>sale</v>
      </c>
      <c r="L1940" s="1" t="str">
        <f>IF(LEFT(TRIM(Raw!G1940),2)="-$","-"&amp;MID(TRIM(Raw!G1940),3,99),IF(LEFT(TRIM(Raw!G1940),1)="$",MID(TRIM(Raw!G1940),2,99),TRIM(Raw!G1940)))</f>
        <v>240.40</v>
      </c>
      <c r="M1940" s="1">
        <f t="shared" si="243"/>
        <v>240.4</v>
      </c>
      <c r="N1940" s="10">
        <f t="shared" si="244"/>
        <v>24040</v>
      </c>
      <c r="O1940" s="1" t="b">
        <f>IFERROR(IF(ISNUMBER(Raw!G1940),TRUE,OR(EXACT(L1940,TEXT(M1940,"0.00")),EXACT(L1940,TEXT(M1940,"#,##0.00")))),FALSE)</f>
        <v>1</v>
      </c>
      <c r="P1940" s="1" t="str">
        <f>LEN(IF(Raw!A1940="","",Raw!A1940))&amp;":"&amp;IF(Raw!A1940="","",Raw!A1940)&amp;"|"&amp;LEN(IF(Raw!B1940="","",Raw!B1940))&amp;":"&amp;IF(Raw!B1940="","",Raw!B1940)&amp;"|"&amp;LEN(IF(Raw!C1940="","",Raw!C1940))&amp;":"&amp;IF(Raw!C1940="","",Raw!C1940)&amp;"|"&amp;LEN(IF(Raw!D1940="","",Raw!D1940))&amp;":"&amp;IF(Raw!D1940="","",Raw!D1940)&amp;"|"&amp;LEN(IF(Raw!E1940="","",Raw!E1940))&amp;":"&amp;IF(Raw!E1940="","",Raw!E1940)&amp;"|"&amp;LEN(IF(Raw!F1940="","",Raw!F1940))&amp;":"&amp;IF(Raw!F1940="","",Raw!F1940)&amp;"|"&amp;LEN(IF(Raw!G1940="","",Raw!G1940))&amp;":"&amp;IF(Raw!G1940="","",Raw!G1940)</f>
        <v>6:L01934|6:T00967|10:2026-01-13|3:P-H|4:Home|4:sale|6:240.40</v>
      </c>
      <c r="Q1940" s="1">
        <f>1</f>
        <v>1</v>
      </c>
      <c r="R1940" s="1" t="b">
        <f>FALSE</f>
        <v>0</v>
      </c>
      <c r="S1940" s="1">
        <f>1</f>
        <v>1</v>
      </c>
      <c r="T1940" s="1" t="str">
        <f>IF(AND(Raw!A1940="",Raw!B1940="",Raw!C1940="",Raw!D1940="",Raw!E1940="",Raw!F1940="",Raw!G1940=""),"UNUSED",IF(A1940="","missing line ID",IF(B1940="","missing transaction ID",IF(G1940="",IF(C1940="","missing date","invalid date"),IF(I1940="","unknown product",IF(J1940="","conflicting category",IF(NOT(OR(EXACT(K1940,"sale"),EXACT(K1940,"refund"))),"unknown event",IF(OR(N1940="",NOT(O1940)),"invalid amount",IF(OR(AND(K1940="sale",N1940&lt;=0),AND(K1940="refund",N1940&gt;=0)),"invalid sign","")))))))))</f>
        <v/>
      </c>
      <c r="U1940" s="1" t="str">
        <f t="shared" si="245"/>
        <v>INCLUDED</v>
      </c>
      <c r="V1940" s="1" t="str">
        <f t="shared" si="246"/>
        <v>2026-01</v>
      </c>
      <c r="W1940" s="1">
        <f>IF(AND(U1940="INCLUDED",X1940&gt;0,EXACT(A1940,'AI output'!A1940)),1,0)</f>
        <v>1</v>
      </c>
      <c r="X1940" s="1">
        <f>1940</f>
        <v>1940</v>
      </c>
      <c r="Y1940" s="1">
        <f>IF(AND(U1940="INCLUDED",W1940=1),--(NOT(EXACT(A1940,'AI output'!A1940)))+--(NOT(EXACT(B1940,'AI output'!B1940)))+--(NOT(EXACT(TEXT(G1940,"yyyy-mm-dd"),'AI output'!C1940)))+--(NOT(EXACT(H1940,'AI output'!D1940)))+--(NOT(EXACT(J1940,'AI output'!E1940)))+--(NOT(EXACT(K1940,'AI output'!F1940)))+--(N1940&lt;&gt;'AI output'!L1940)+--(NOT('AI output'!M1940)),0)</f>
        <v>0</v>
      </c>
      <c r="Z1940" s="1">
        <f t="shared" si="247"/>
        <v>0</v>
      </c>
      <c r="AA1940" s="1">
        <f>--EXACT(A1940,"L01934")</f>
        <v>1</v>
      </c>
    </row>
    <row r="1941" spans="1:27" ht="18.95" customHeight="1">
      <c r="A1941" s="1" t="str">
        <f>IF(Raw!A1941="","",Raw!A1941)</f>
        <v>L01935</v>
      </c>
      <c r="B1941" s="1" t="str">
        <f>IF(Raw!B1941="","",Raw!B1941)</f>
        <v>T00968</v>
      </c>
      <c r="C1941" s="1" t="str">
        <f>IF(Raw!C1941="","",Raw!C1941)</f>
        <v>2026-01-20</v>
      </c>
      <c r="D1941" s="1">
        <f t="shared" si="240"/>
        <v>2026</v>
      </c>
      <c r="E1941" s="1">
        <f>IFERROR(IF(AND(LEN(C1941)=10,MID(C1941,5,1)="-",MID(C1941,8,1)="-"),VALUE(MID(C1941,6,2)),IF(AND(LEN(C1941)=11,MID(C1941,3,1)="-",MID(C1941,7,1)="-"),MATCH(UPPER(MID(C1941,4,3)),Guide!$D$7:$D$18,0),0)),0)</f>
        <v>1</v>
      </c>
      <c r="F1941" s="1">
        <f t="shared" si="241"/>
        <v>20</v>
      </c>
      <c r="G1941" s="9">
        <f t="shared" si="242"/>
        <v>46042</v>
      </c>
      <c r="H1941" s="1" t="str">
        <f>IF(Raw!D1941="","",Raw!D1941)</f>
        <v>P-O</v>
      </c>
      <c r="I1941" s="1" t="str">
        <f>IFERROR(IF(EXACT(H1941,INDEX(Guide!$A$7:$A$9,MATCH(SUBSTITUTE(SUBSTITUTE(SUBSTITUTE(H1941,"~","~~"),"*","~*"),"?","~?"),Guide!$A$7:$A$9,0))),INDEX(Guide!$B$7:$B$9,MATCH(SUBSTITUTE(SUBSTITUTE(SUBSTITUTE(H1941,"~","~~"),"*","~*"),"?","~?"),Guide!$A$7:$A$9,0)),""),"")</f>
        <v>Office</v>
      </c>
      <c r="J1941" s="1" t="str">
        <f>IF(TRIM(Raw!E1941)="",I1941,IF(UPPER(TRIM(Raw!E1941))=UPPER(I1941),I1941,""))</f>
        <v>Office</v>
      </c>
      <c r="K1941" s="1" t="str">
        <f>IF(Raw!F1941="","",Raw!F1941)</f>
        <v>sale</v>
      </c>
      <c r="L1941" s="1" t="str">
        <f>IF(LEFT(TRIM(Raw!G1941),2)="-$","-"&amp;MID(TRIM(Raw!G1941),3,99),IF(LEFT(TRIM(Raw!G1941),1)="$",MID(TRIM(Raw!G1941),2,99),TRIM(Raw!G1941)))</f>
        <v>482.28</v>
      </c>
      <c r="M1941" s="1">
        <f t="shared" si="243"/>
        <v>482.28</v>
      </c>
      <c r="N1941" s="10">
        <f t="shared" si="244"/>
        <v>48228</v>
      </c>
      <c r="O1941" s="1" t="b">
        <f>IFERROR(IF(ISNUMBER(Raw!G1941),TRUE,OR(EXACT(L1941,TEXT(M1941,"0.00")),EXACT(L1941,TEXT(M1941,"#,##0.00")))),FALSE)</f>
        <v>1</v>
      </c>
      <c r="P1941" s="1" t="str">
        <f>LEN(IF(Raw!A1941="","",Raw!A1941))&amp;":"&amp;IF(Raw!A1941="","",Raw!A1941)&amp;"|"&amp;LEN(IF(Raw!B1941="","",Raw!B1941))&amp;":"&amp;IF(Raw!B1941="","",Raw!B1941)&amp;"|"&amp;LEN(IF(Raw!C1941="","",Raw!C1941))&amp;":"&amp;IF(Raw!C1941="","",Raw!C1941)&amp;"|"&amp;LEN(IF(Raw!D1941="","",Raw!D1941))&amp;":"&amp;IF(Raw!D1941="","",Raw!D1941)&amp;"|"&amp;LEN(IF(Raw!E1941="","",Raw!E1941))&amp;":"&amp;IF(Raw!E1941="","",Raw!E1941)&amp;"|"&amp;LEN(IF(Raw!F1941="","",Raw!F1941))&amp;":"&amp;IF(Raw!F1941="","",Raw!F1941)&amp;"|"&amp;LEN(IF(Raw!G1941="","",Raw!G1941))&amp;":"&amp;IF(Raw!G1941="","",Raw!G1941)</f>
        <v>6:L01935|6:T00968|10:2026-01-20|3:P-O|6:Office|4:sale|6:482.28</v>
      </c>
      <c r="Q1941" s="1">
        <f>1</f>
        <v>1</v>
      </c>
      <c r="R1941" s="1" t="b">
        <f>FALSE</f>
        <v>0</v>
      </c>
      <c r="S1941" s="1">
        <f>1</f>
        <v>1</v>
      </c>
      <c r="T1941" s="1" t="str">
        <f>IF(AND(Raw!A1941="",Raw!B1941="",Raw!C1941="",Raw!D1941="",Raw!E1941="",Raw!F1941="",Raw!G1941=""),"UNUSED",IF(A1941="","missing line ID",IF(B1941="","missing transaction ID",IF(G1941="",IF(C1941="","missing date","invalid date"),IF(I1941="","unknown product",IF(J1941="","conflicting category",IF(NOT(OR(EXACT(K1941,"sale"),EXACT(K1941,"refund"))),"unknown event",IF(OR(N1941="",NOT(O1941)),"invalid amount",IF(OR(AND(K1941="sale",N1941&lt;=0),AND(K1941="refund",N1941&gt;=0)),"invalid sign","")))))))))</f>
        <v/>
      </c>
      <c r="U1941" s="1" t="str">
        <f t="shared" si="245"/>
        <v>INCLUDED</v>
      </c>
      <c r="V1941" s="1" t="str">
        <f t="shared" si="246"/>
        <v>2026-01</v>
      </c>
      <c r="W1941" s="1">
        <f>IF(AND(U1941="INCLUDED",X1941&gt;0,EXACT(A1941,'AI output'!A1941)),1,0)</f>
        <v>1</v>
      </c>
      <c r="X1941" s="1">
        <f>1941</f>
        <v>1941</v>
      </c>
      <c r="Y1941" s="1">
        <f>IF(AND(U1941="INCLUDED",W1941=1),--(NOT(EXACT(A1941,'AI output'!A1941)))+--(NOT(EXACT(B1941,'AI output'!B1941)))+--(NOT(EXACT(TEXT(G1941,"yyyy-mm-dd"),'AI output'!C1941)))+--(NOT(EXACT(H1941,'AI output'!D1941)))+--(NOT(EXACT(J1941,'AI output'!E1941)))+--(NOT(EXACT(K1941,'AI output'!F1941)))+--(N1941&lt;&gt;'AI output'!L1941)+--(NOT('AI output'!M1941)),0)</f>
        <v>0</v>
      </c>
      <c r="Z1941" s="1">
        <f t="shared" si="247"/>
        <v>0</v>
      </c>
      <c r="AA1941" s="1">
        <f>--EXACT(A1941,"L01935")</f>
        <v>1</v>
      </c>
    </row>
    <row r="1942" spans="1:27" ht="18.95" customHeight="1">
      <c r="A1942" s="1" t="str">
        <f>IF(Raw!A1942="","",Raw!A1942)</f>
        <v>L01936</v>
      </c>
      <c r="B1942" s="1" t="str">
        <f>IF(Raw!B1942="","",Raw!B1942)</f>
        <v>T00968</v>
      </c>
      <c r="C1942" s="1" t="str">
        <f>IF(Raw!C1942="","",Raw!C1942)</f>
        <v>2026-01-20</v>
      </c>
      <c r="D1942" s="1">
        <f t="shared" si="240"/>
        <v>2026</v>
      </c>
      <c r="E1942" s="1">
        <f>IFERROR(IF(AND(LEN(C1942)=10,MID(C1942,5,1)="-",MID(C1942,8,1)="-"),VALUE(MID(C1942,6,2)),IF(AND(LEN(C1942)=11,MID(C1942,3,1)="-",MID(C1942,7,1)="-"),MATCH(UPPER(MID(C1942,4,3)),Guide!$D$7:$D$18,0),0)),0)</f>
        <v>1</v>
      </c>
      <c r="F1942" s="1">
        <f t="shared" si="241"/>
        <v>20</v>
      </c>
      <c r="G1942" s="9">
        <f t="shared" si="242"/>
        <v>46042</v>
      </c>
      <c r="H1942" s="1" t="str">
        <f>IF(Raw!D1942="","",Raw!D1942)</f>
        <v>P-A</v>
      </c>
      <c r="I1942" s="1" t="str">
        <f>IFERROR(IF(EXACT(H1942,INDEX(Guide!$A$7:$A$9,MATCH(SUBSTITUTE(SUBSTITUTE(SUBSTITUTE(H1942,"~","~~"),"*","~*"),"?","~?"),Guide!$A$7:$A$9,0))),INDEX(Guide!$B$7:$B$9,MATCH(SUBSTITUTE(SUBSTITUTE(SUBSTITUTE(H1942,"~","~~"),"*","~*"),"?","~?"),Guide!$A$7:$A$9,0)),""),"")</f>
        <v>Accessories</v>
      </c>
      <c r="J1942" s="1" t="str">
        <f>IF(TRIM(Raw!E1942)="",I1942,IF(UPPER(TRIM(Raw!E1942))=UPPER(I1942),I1942,""))</f>
        <v>Accessories</v>
      </c>
      <c r="K1942" s="1" t="str">
        <f>IF(Raw!F1942="","",Raw!F1942)</f>
        <v>sale</v>
      </c>
      <c r="L1942" s="1" t="str">
        <f>IF(LEFT(TRIM(Raw!G1942),2)="-$","-"&amp;MID(TRIM(Raw!G1942),3,99),IF(LEFT(TRIM(Raw!G1942),1)="$",MID(TRIM(Raw!G1942),2,99),TRIM(Raw!G1942)))</f>
        <v>120.94</v>
      </c>
      <c r="M1942" s="1">
        <f t="shared" si="243"/>
        <v>120.94</v>
      </c>
      <c r="N1942" s="10">
        <f t="shared" si="244"/>
        <v>12094</v>
      </c>
      <c r="O1942" s="1" t="b">
        <f>IFERROR(IF(ISNUMBER(Raw!G1942),TRUE,OR(EXACT(L1942,TEXT(M1942,"0.00")),EXACT(L1942,TEXT(M1942,"#,##0.00")))),FALSE)</f>
        <v>1</v>
      </c>
      <c r="P1942" s="1" t="str">
        <f>LEN(IF(Raw!A1942="","",Raw!A1942))&amp;":"&amp;IF(Raw!A1942="","",Raw!A1942)&amp;"|"&amp;LEN(IF(Raw!B1942="","",Raw!B1942))&amp;":"&amp;IF(Raw!B1942="","",Raw!B1942)&amp;"|"&amp;LEN(IF(Raw!C1942="","",Raw!C1942))&amp;":"&amp;IF(Raw!C1942="","",Raw!C1942)&amp;"|"&amp;LEN(IF(Raw!D1942="","",Raw!D1942))&amp;":"&amp;IF(Raw!D1942="","",Raw!D1942)&amp;"|"&amp;LEN(IF(Raw!E1942="","",Raw!E1942))&amp;":"&amp;IF(Raw!E1942="","",Raw!E1942)&amp;"|"&amp;LEN(IF(Raw!F1942="","",Raw!F1942))&amp;":"&amp;IF(Raw!F1942="","",Raw!F1942)&amp;"|"&amp;LEN(IF(Raw!G1942="","",Raw!G1942))&amp;":"&amp;IF(Raw!G1942="","",Raw!G1942)</f>
        <v>6:L01936|6:T00968|10:2026-01-20|3:P-A|11:Accessories|4:sale|6:120.94</v>
      </c>
      <c r="Q1942" s="1">
        <f>1</f>
        <v>1</v>
      </c>
      <c r="R1942" s="1" t="b">
        <f>FALSE</f>
        <v>0</v>
      </c>
      <c r="S1942" s="1">
        <f>1</f>
        <v>1</v>
      </c>
      <c r="T1942" s="1" t="str">
        <f>IF(AND(Raw!A1942="",Raw!B1942="",Raw!C1942="",Raw!D1942="",Raw!E1942="",Raw!F1942="",Raw!G1942=""),"UNUSED",IF(A1942="","missing line ID",IF(B1942="","missing transaction ID",IF(G1942="",IF(C1942="","missing date","invalid date"),IF(I1942="","unknown product",IF(J1942="","conflicting category",IF(NOT(OR(EXACT(K1942,"sale"),EXACT(K1942,"refund"))),"unknown event",IF(OR(N1942="",NOT(O1942)),"invalid amount",IF(OR(AND(K1942="sale",N1942&lt;=0),AND(K1942="refund",N1942&gt;=0)),"invalid sign","")))))))))</f>
        <v/>
      </c>
      <c r="U1942" s="1" t="str">
        <f t="shared" si="245"/>
        <v>INCLUDED</v>
      </c>
      <c r="V1942" s="1" t="str">
        <f t="shared" si="246"/>
        <v>2026-01</v>
      </c>
      <c r="W1942" s="1">
        <f>IF(AND(U1942="INCLUDED",X1942&gt;0,EXACT(A1942,'AI output'!A1942)),1,0)</f>
        <v>1</v>
      </c>
      <c r="X1942" s="1">
        <f>1942</f>
        <v>1942</v>
      </c>
      <c r="Y1942" s="1">
        <f>IF(AND(U1942="INCLUDED",W1942=1),--(NOT(EXACT(A1942,'AI output'!A1942)))+--(NOT(EXACT(B1942,'AI output'!B1942)))+--(NOT(EXACT(TEXT(G1942,"yyyy-mm-dd"),'AI output'!C1942)))+--(NOT(EXACT(H1942,'AI output'!D1942)))+--(NOT(EXACT(J1942,'AI output'!E1942)))+--(NOT(EXACT(K1942,'AI output'!F1942)))+--(N1942&lt;&gt;'AI output'!L1942)+--(NOT('AI output'!M1942)),0)</f>
        <v>0</v>
      </c>
      <c r="Z1942" s="1">
        <f t="shared" si="247"/>
        <v>0</v>
      </c>
      <c r="AA1942" s="1">
        <f>--EXACT(A1942,"L01936")</f>
        <v>1</v>
      </c>
    </row>
    <row r="1943" spans="1:27" ht="18.95" customHeight="1">
      <c r="A1943" s="1" t="str">
        <f>IF(Raw!A1943="","",Raw!A1943)</f>
        <v>L01937</v>
      </c>
      <c r="B1943" s="1" t="str">
        <f>IF(Raw!B1943="","",Raw!B1943)</f>
        <v>T00969</v>
      </c>
      <c r="C1943" s="1" t="str">
        <f>IF(Raw!C1943="","",Raw!C1943)</f>
        <v>2026-01-27</v>
      </c>
      <c r="D1943" s="1">
        <f t="shared" si="240"/>
        <v>2026</v>
      </c>
      <c r="E1943" s="1">
        <f>IFERROR(IF(AND(LEN(C1943)=10,MID(C1943,5,1)="-",MID(C1943,8,1)="-"),VALUE(MID(C1943,6,2)),IF(AND(LEN(C1943)=11,MID(C1943,3,1)="-",MID(C1943,7,1)="-"),MATCH(UPPER(MID(C1943,4,3)),Guide!$D$7:$D$18,0),0)),0)</f>
        <v>1</v>
      </c>
      <c r="F1943" s="1">
        <f t="shared" si="241"/>
        <v>27</v>
      </c>
      <c r="G1943" s="9">
        <f t="shared" si="242"/>
        <v>46049</v>
      </c>
      <c r="H1943" s="1" t="str">
        <f>IF(Raw!D1943="","",Raw!D1943)</f>
        <v>P-H</v>
      </c>
      <c r="I1943" s="1" t="str">
        <f>IFERROR(IF(EXACT(H1943,INDEX(Guide!$A$7:$A$9,MATCH(SUBSTITUTE(SUBSTITUTE(SUBSTITUTE(H1943,"~","~~"),"*","~*"),"?","~?"),Guide!$A$7:$A$9,0))),INDEX(Guide!$B$7:$B$9,MATCH(SUBSTITUTE(SUBSTITUTE(SUBSTITUTE(H1943,"~","~~"),"*","~*"),"?","~?"),Guide!$A$7:$A$9,0)),""),"")</f>
        <v>Home</v>
      </c>
      <c r="J1943" s="1" t="str">
        <f>IF(TRIM(Raw!E1943)="",I1943,IF(UPPER(TRIM(Raw!E1943))=UPPER(I1943),I1943,""))</f>
        <v>Home</v>
      </c>
      <c r="K1943" s="1" t="str">
        <f>IF(Raw!F1943="","",Raw!F1943)</f>
        <v>sale</v>
      </c>
      <c r="L1943" s="1" t="str">
        <f>IF(LEFT(TRIM(Raw!G1943),2)="-$","-"&amp;MID(TRIM(Raw!G1943),3,99),IF(LEFT(TRIM(Raw!G1943),1)="$",MID(TRIM(Raw!G1943),2,99),TRIM(Raw!G1943)))</f>
        <v>363.93</v>
      </c>
      <c r="M1943" s="1">
        <f t="shared" si="243"/>
        <v>363.93</v>
      </c>
      <c r="N1943" s="10">
        <f t="shared" si="244"/>
        <v>36393</v>
      </c>
      <c r="O1943" s="1" t="b">
        <f>IFERROR(IF(ISNUMBER(Raw!G1943),TRUE,OR(EXACT(L1943,TEXT(M1943,"0.00")),EXACT(L1943,TEXT(M1943,"#,##0.00")))),FALSE)</f>
        <v>1</v>
      </c>
      <c r="P1943" s="1" t="str">
        <f>LEN(IF(Raw!A1943="","",Raw!A1943))&amp;":"&amp;IF(Raw!A1943="","",Raw!A1943)&amp;"|"&amp;LEN(IF(Raw!B1943="","",Raw!B1943))&amp;":"&amp;IF(Raw!B1943="","",Raw!B1943)&amp;"|"&amp;LEN(IF(Raw!C1943="","",Raw!C1943))&amp;":"&amp;IF(Raw!C1943="","",Raw!C1943)&amp;"|"&amp;LEN(IF(Raw!D1943="","",Raw!D1943))&amp;":"&amp;IF(Raw!D1943="","",Raw!D1943)&amp;"|"&amp;LEN(IF(Raw!E1943="","",Raw!E1943))&amp;":"&amp;IF(Raw!E1943="","",Raw!E1943)&amp;"|"&amp;LEN(IF(Raw!F1943="","",Raw!F1943))&amp;":"&amp;IF(Raw!F1943="","",Raw!F1943)&amp;"|"&amp;LEN(IF(Raw!G1943="","",Raw!G1943))&amp;":"&amp;IF(Raw!G1943="","",Raw!G1943)</f>
        <v>6:L01937|6:T00969|10:2026-01-27|3:P-H|4:Home|4:sale|6:363.93</v>
      </c>
      <c r="Q1943" s="1">
        <f>1</f>
        <v>1</v>
      </c>
      <c r="R1943" s="1" t="b">
        <f>FALSE</f>
        <v>0</v>
      </c>
      <c r="S1943" s="1">
        <f>1</f>
        <v>1</v>
      </c>
      <c r="T1943" s="1" t="str">
        <f>IF(AND(Raw!A1943="",Raw!B1943="",Raw!C1943="",Raw!D1943="",Raw!E1943="",Raw!F1943="",Raw!G1943=""),"UNUSED",IF(A1943="","missing line ID",IF(B1943="","missing transaction ID",IF(G1943="",IF(C1943="","missing date","invalid date"),IF(I1943="","unknown product",IF(J1943="","conflicting category",IF(NOT(OR(EXACT(K1943,"sale"),EXACT(K1943,"refund"))),"unknown event",IF(OR(N1943="",NOT(O1943)),"invalid amount",IF(OR(AND(K1943="sale",N1943&lt;=0),AND(K1943="refund",N1943&gt;=0)),"invalid sign","")))))))))</f>
        <v/>
      </c>
      <c r="U1943" s="1" t="str">
        <f t="shared" si="245"/>
        <v>INCLUDED</v>
      </c>
      <c r="V1943" s="1" t="str">
        <f t="shared" si="246"/>
        <v>2026-01</v>
      </c>
      <c r="W1943" s="1">
        <f>IF(AND(U1943="INCLUDED",X1943&gt;0,EXACT(A1943,'AI output'!A1943)),1,0)</f>
        <v>1</v>
      </c>
      <c r="X1943" s="1">
        <f>1943</f>
        <v>1943</v>
      </c>
      <c r="Y1943" s="1">
        <f>IF(AND(U1943="INCLUDED",W1943=1),--(NOT(EXACT(A1943,'AI output'!A1943)))+--(NOT(EXACT(B1943,'AI output'!B1943)))+--(NOT(EXACT(TEXT(G1943,"yyyy-mm-dd"),'AI output'!C1943)))+--(NOT(EXACT(H1943,'AI output'!D1943)))+--(NOT(EXACT(J1943,'AI output'!E1943)))+--(NOT(EXACT(K1943,'AI output'!F1943)))+--(N1943&lt;&gt;'AI output'!L1943)+--(NOT('AI output'!M1943)),0)</f>
        <v>0</v>
      </c>
      <c r="Z1943" s="1">
        <f t="shared" si="247"/>
        <v>0</v>
      </c>
      <c r="AA1943" s="1">
        <f>--EXACT(A1943,"L01937")</f>
        <v>1</v>
      </c>
    </row>
    <row r="1944" spans="1:27" ht="18.95" customHeight="1">
      <c r="A1944" s="1" t="str">
        <f>IF(Raw!A1944="","",Raw!A1944)</f>
        <v>L01938</v>
      </c>
      <c r="B1944" s="1" t="str">
        <f>IF(Raw!B1944="","",Raw!B1944)</f>
        <v>T00969</v>
      </c>
      <c r="C1944" s="1" t="str">
        <f>IF(Raw!C1944="","",Raw!C1944)</f>
        <v>2026-01-27</v>
      </c>
      <c r="D1944" s="1">
        <f t="shared" si="240"/>
        <v>2026</v>
      </c>
      <c r="E1944" s="1">
        <f>IFERROR(IF(AND(LEN(C1944)=10,MID(C1944,5,1)="-",MID(C1944,8,1)="-"),VALUE(MID(C1944,6,2)),IF(AND(LEN(C1944)=11,MID(C1944,3,1)="-",MID(C1944,7,1)="-"),MATCH(UPPER(MID(C1944,4,3)),Guide!$D$7:$D$18,0),0)),0)</f>
        <v>1</v>
      </c>
      <c r="F1944" s="1">
        <f t="shared" si="241"/>
        <v>27</v>
      </c>
      <c r="G1944" s="9">
        <f t="shared" si="242"/>
        <v>46049</v>
      </c>
      <c r="H1944" s="1" t="str">
        <f>IF(Raw!D1944="","",Raw!D1944)</f>
        <v>P-O</v>
      </c>
      <c r="I1944" s="1" t="str">
        <f>IFERROR(IF(EXACT(H1944,INDEX(Guide!$A$7:$A$9,MATCH(SUBSTITUTE(SUBSTITUTE(SUBSTITUTE(H1944,"~","~~"),"*","~*"),"?","~?"),Guide!$A$7:$A$9,0))),INDEX(Guide!$B$7:$B$9,MATCH(SUBSTITUTE(SUBSTITUTE(SUBSTITUTE(H1944,"~","~~"),"*","~*"),"?","~?"),Guide!$A$7:$A$9,0)),""),"")</f>
        <v>Office</v>
      </c>
      <c r="J1944" s="1" t="str">
        <f>IF(TRIM(Raw!E1944)="",I1944,IF(UPPER(TRIM(Raw!E1944))=UPPER(I1944),I1944,""))</f>
        <v>Office</v>
      </c>
      <c r="K1944" s="1" t="str">
        <f>IF(Raw!F1944="","",Raw!F1944)</f>
        <v>sale</v>
      </c>
      <c r="L1944" s="1" t="str">
        <f>IF(LEFT(TRIM(Raw!G1944),2)="-$","-"&amp;MID(TRIM(Raw!G1944),3,99),IF(LEFT(TRIM(Raw!G1944),1)="$",MID(TRIM(Raw!G1944),2,99),TRIM(Raw!G1944)))</f>
        <v>608.40</v>
      </c>
      <c r="M1944" s="1">
        <f t="shared" si="243"/>
        <v>608.4</v>
      </c>
      <c r="N1944" s="10">
        <f t="shared" si="244"/>
        <v>60840</v>
      </c>
      <c r="O1944" s="1" t="b">
        <f>IFERROR(IF(ISNUMBER(Raw!G1944),TRUE,OR(EXACT(L1944,TEXT(M1944,"0.00")),EXACT(L1944,TEXT(M1944,"#,##0.00")))),FALSE)</f>
        <v>1</v>
      </c>
      <c r="P1944" s="1" t="str">
        <f>LEN(IF(Raw!A1944="","",Raw!A1944))&amp;":"&amp;IF(Raw!A1944="","",Raw!A1944)&amp;"|"&amp;LEN(IF(Raw!B1944="","",Raw!B1944))&amp;":"&amp;IF(Raw!B1944="","",Raw!B1944)&amp;"|"&amp;LEN(IF(Raw!C1944="","",Raw!C1944))&amp;":"&amp;IF(Raw!C1944="","",Raw!C1944)&amp;"|"&amp;LEN(IF(Raw!D1944="","",Raw!D1944))&amp;":"&amp;IF(Raw!D1944="","",Raw!D1944)&amp;"|"&amp;LEN(IF(Raw!E1944="","",Raw!E1944))&amp;":"&amp;IF(Raw!E1944="","",Raw!E1944)&amp;"|"&amp;LEN(IF(Raw!F1944="","",Raw!F1944))&amp;":"&amp;IF(Raw!F1944="","",Raw!F1944)&amp;"|"&amp;LEN(IF(Raw!G1944="","",Raw!G1944))&amp;":"&amp;IF(Raw!G1944="","",Raw!G1944)</f>
        <v>6:L01938|6:T00969|10:2026-01-27|3:P-O|6:Office|4:sale|6:608.40</v>
      </c>
      <c r="Q1944" s="1">
        <f>1</f>
        <v>1</v>
      </c>
      <c r="R1944" s="1" t="b">
        <f>FALSE</f>
        <v>0</v>
      </c>
      <c r="S1944" s="1">
        <f>1</f>
        <v>1</v>
      </c>
      <c r="T1944" s="1" t="str">
        <f>IF(AND(Raw!A1944="",Raw!B1944="",Raw!C1944="",Raw!D1944="",Raw!E1944="",Raw!F1944="",Raw!G1944=""),"UNUSED",IF(A1944="","missing line ID",IF(B1944="","missing transaction ID",IF(G1944="",IF(C1944="","missing date","invalid date"),IF(I1944="","unknown product",IF(J1944="","conflicting category",IF(NOT(OR(EXACT(K1944,"sale"),EXACT(K1944,"refund"))),"unknown event",IF(OR(N1944="",NOT(O1944)),"invalid amount",IF(OR(AND(K1944="sale",N1944&lt;=0),AND(K1944="refund",N1944&gt;=0)),"invalid sign","")))))))))</f>
        <v/>
      </c>
      <c r="U1944" s="1" t="str">
        <f t="shared" si="245"/>
        <v>INCLUDED</v>
      </c>
      <c r="V1944" s="1" t="str">
        <f t="shared" si="246"/>
        <v>2026-01</v>
      </c>
      <c r="W1944" s="1">
        <f>IF(AND(U1944="INCLUDED",X1944&gt;0,EXACT(A1944,'AI output'!A1944)),1,0)</f>
        <v>1</v>
      </c>
      <c r="X1944" s="1">
        <f>1944</f>
        <v>1944</v>
      </c>
      <c r="Y1944" s="1">
        <f>IF(AND(U1944="INCLUDED",W1944=1),--(NOT(EXACT(A1944,'AI output'!A1944)))+--(NOT(EXACT(B1944,'AI output'!B1944)))+--(NOT(EXACT(TEXT(G1944,"yyyy-mm-dd"),'AI output'!C1944)))+--(NOT(EXACT(H1944,'AI output'!D1944)))+--(NOT(EXACT(J1944,'AI output'!E1944)))+--(NOT(EXACT(K1944,'AI output'!F1944)))+--(N1944&lt;&gt;'AI output'!L1944)+--(NOT('AI output'!M1944)),0)</f>
        <v>0</v>
      </c>
      <c r="Z1944" s="1">
        <f t="shared" si="247"/>
        <v>0</v>
      </c>
      <c r="AA1944" s="1">
        <f>--EXACT(A1944,"L01938")</f>
        <v>1</v>
      </c>
    </row>
    <row r="1945" spans="1:27" ht="18.95" customHeight="1">
      <c r="A1945" s="1" t="str">
        <f>IF(Raw!A1945="","",Raw!A1945)</f>
        <v>L01939</v>
      </c>
      <c r="B1945" s="1" t="str">
        <f>IF(Raw!B1945="","",Raw!B1945)</f>
        <v>T00970</v>
      </c>
      <c r="C1945" s="1" t="str">
        <f>IF(Raw!C1945="","",Raw!C1945)</f>
        <v>2026-02-03</v>
      </c>
      <c r="D1945" s="1">
        <f t="shared" si="240"/>
        <v>2026</v>
      </c>
      <c r="E1945" s="1">
        <f>IFERROR(IF(AND(LEN(C1945)=10,MID(C1945,5,1)="-",MID(C1945,8,1)="-"),VALUE(MID(C1945,6,2)),IF(AND(LEN(C1945)=11,MID(C1945,3,1)="-",MID(C1945,7,1)="-"),MATCH(UPPER(MID(C1945,4,3)),Guide!$D$7:$D$18,0),0)),0)</f>
        <v>2</v>
      </c>
      <c r="F1945" s="1">
        <f t="shared" si="241"/>
        <v>3</v>
      </c>
      <c r="G1945" s="9">
        <f t="shared" si="242"/>
        <v>46056</v>
      </c>
      <c r="H1945" s="1" t="str">
        <f>IF(Raw!D1945="","",Raw!D1945)</f>
        <v>P-A</v>
      </c>
      <c r="I1945" s="1" t="str">
        <f>IFERROR(IF(EXACT(H1945,INDEX(Guide!$A$7:$A$9,MATCH(SUBSTITUTE(SUBSTITUTE(SUBSTITUTE(H1945,"~","~~"),"*","~*"),"?","~?"),Guide!$A$7:$A$9,0))),INDEX(Guide!$B$7:$B$9,MATCH(SUBSTITUTE(SUBSTITUTE(SUBSTITUTE(H1945,"~","~~"),"*","~*"),"?","~?"),Guide!$A$7:$A$9,0)),""),"")</f>
        <v>Accessories</v>
      </c>
      <c r="J1945" s="1" t="str">
        <f>IF(TRIM(Raw!E1945)="",I1945,IF(UPPER(TRIM(Raw!E1945))=UPPER(I1945),I1945,""))</f>
        <v>Accessories</v>
      </c>
      <c r="K1945" s="1" t="str">
        <f>IF(Raw!F1945="","",Raw!F1945)</f>
        <v>sale</v>
      </c>
      <c r="L1945" s="1" t="str">
        <f>IF(LEFT(TRIM(Raw!G1945),2)="-$","-"&amp;MID(TRIM(Raw!G1945),3,99),IF(LEFT(TRIM(Raw!G1945),1)="$",MID(TRIM(Raw!G1945),2,99),TRIM(Raw!G1945)))</f>
        <v>244.10</v>
      </c>
      <c r="M1945" s="1">
        <f t="shared" si="243"/>
        <v>244.1</v>
      </c>
      <c r="N1945" s="10">
        <f t="shared" si="244"/>
        <v>24410</v>
      </c>
      <c r="O1945" s="1" t="b">
        <f>IFERROR(IF(ISNUMBER(Raw!G1945),TRUE,OR(EXACT(L1945,TEXT(M1945,"0.00")),EXACT(L1945,TEXT(M1945,"#,##0.00")))),FALSE)</f>
        <v>1</v>
      </c>
      <c r="P1945" s="1" t="str">
        <f>LEN(IF(Raw!A1945="","",Raw!A1945))&amp;":"&amp;IF(Raw!A1945="","",Raw!A1945)&amp;"|"&amp;LEN(IF(Raw!B1945="","",Raw!B1945))&amp;":"&amp;IF(Raw!B1945="","",Raw!B1945)&amp;"|"&amp;LEN(IF(Raw!C1945="","",Raw!C1945))&amp;":"&amp;IF(Raw!C1945="","",Raw!C1945)&amp;"|"&amp;LEN(IF(Raw!D1945="","",Raw!D1945))&amp;":"&amp;IF(Raw!D1945="","",Raw!D1945)&amp;"|"&amp;LEN(IF(Raw!E1945="","",Raw!E1945))&amp;":"&amp;IF(Raw!E1945="","",Raw!E1945)&amp;"|"&amp;LEN(IF(Raw!F1945="","",Raw!F1945))&amp;":"&amp;IF(Raw!F1945="","",Raw!F1945)&amp;"|"&amp;LEN(IF(Raw!G1945="","",Raw!G1945))&amp;":"&amp;IF(Raw!G1945="","",Raw!G1945)</f>
        <v>6:L01939|6:T00970|10:2026-02-03|3:P-A|11:Accessories|4:sale|6:244.10</v>
      </c>
      <c r="Q1945" s="1">
        <f>1</f>
        <v>1</v>
      </c>
      <c r="R1945" s="1" t="b">
        <f>FALSE</f>
        <v>0</v>
      </c>
      <c r="S1945" s="1">
        <f>1</f>
        <v>1</v>
      </c>
      <c r="T1945" s="1" t="str">
        <f>IF(AND(Raw!A1945="",Raw!B1945="",Raw!C1945="",Raw!D1945="",Raw!E1945="",Raw!F1945="",Raw!G1945=""),"UNUSED",IF(A1945="","missing line ID",IF(B1945="","missing transaction ID",IF(G1945="",IF(C1945="","missing date","invalid date"),IF(I1945="","unknown product",IF(J1945="","conflicting category",IF(NOT(OR(EXACT(K1945,"sale"),EXACT(K1945,"refund"))),"unknown event",IF(OR(N1945="",NOT(O1945)),"invalid amount",IF(OR(AND(K1945="sale",N1945&lt;=0),AND(K1945="refund",N1945&gt;=0)),"invalid sign","")))))))))</f>
        <v/>
      </c>
      <c r="U1945" s="1" t="str">
        <f t="shared" si="245"/>
        <v>INCLUDED</v>
      </c>
      <c r="V1945" s="1" t="str">
        <f t="shared" si="246"/>
        <v>2026-02</v>
      </c>
      <c r="W1945" s="1">
        <f>IF(AND(U1945="INCLUDED",X1945&gt;0,EXACT(A1945,'AI output'!A1945)),1,0)</f>
        <v>1</v>
      </c>
      <c r="X1945" s="1">
        <f>1945</f>
        <v>1945</v>
      </c>
      <c r="Y1945" s="1">
        <f>IF(AND(U1945="INCLUDED",W1945=1),--(NOT(EXACT(A1945,'AI output'!A1945)))+--(NOT(EXACT(B1945,'AI output'!B1945)))+--(NOT(EXACT(TEXT(G1945,"yyyy-mm-dd"),'AI output'!C1945)))+--(NOT(EXACT(H1945,'AI output'!D1945)))+--(NOT(EXACT(J1945,'AI output'!E1945)))+--(NOT(EXACT(K1945,'AI output'!F1945)))+--(N1945&lt;&gt;'AI output'!L1945)+--(NOT('AI output'!M1945)),0)</f>
        <v>0</v>
      </c>
      <c r="Z1945" s="1">
        <f t="shared" si="247"/>
        <v>0</v>
      </c>
      <c r="AA1945" s="1">
        <f>--EXACT(A1945,"L01939")</f>
        <v>1</v>
      </c>
    </row>
    <row r="1946" spans="1:27" ht="18.95" customHeight="1">
      <c r="A1946" s="1" t="str">
        <f>IF(Raw!A1946="","",Raw!A1946)</f>
        <v>L01940</v>
      </c>
      <c r="B1946" s="1" t="str">
        <f>IF(Raw!B1946="","",Raw!B1946)</f>
        <v>T00970</v>
      </c>
      <c r="C1946" s="1" t="str">
        <f>IF(Raw!C1946="","",Raw!C1946)</f>
        <v>2026-02-03</v>
      </c>
      <c r="D1946" s="1">
        <f t="shared" si="240"/>
        <v>2026</v>
      </c>
      <c r="E1946" s="1">
        <f>IFERROR(IF(AND(LEN(C1946)=10,MID(C1946,5,1)="-",MID(C1946,8,1)="-"),VALUE(MID(C1946,6,2)),IF(AND(LEN(C1946)=11,MID(C1946,3,1)="-",MID(C1946,7,1)="-"),MATCH(UPPER(MID(C1946,4,3)),Guide!$D$7:$D$18,0),0)),0)</f>
        <v>2</v>
      </c>
      <c r="F1946" s="1">
        <f t="shared" si="241"/>
        <v>3</v>
      </c>
      <c r="G1946" s="9">
        <f t="shared" si="242"/>
        <v>46056</v>
      </c>
      <c r="H1946" s="1" t="str">
        <f>IF(Raw!D1946="","",Raw!D1946)</f>
        <v>P-H</v>
      </c>
      <c r="I1946" s="1" t="str">
        <f>IFERROR(IF(EXACT(H1946,INDEX(Guide!$A$7:$A$9,MATCH(SUBSTITUTE(SUBSTITUTE(SUBSTITUTE(H1946,"~","~~"),"*","~*"),"?","~?"),Guide!$A$7:$A$9,0))),INDEX(Guide!$B$7:$B$9,MATCH(SUBSTITUTE(SUBSTITUTE(SUBSTITUTE(H1946,"~","~~"),"*","~*"),"?","~?"),Guide!$A$7:$A$9,0)),""),"")</f>
        <v>Home</v>
      </c>
      <c r="J1946" s="1" t="str">
        <f>IF(TRIM(Raw!E1946)="",I1946,IF(UPPER(TRIM(Raw!E1946))=UPPER(I1946),I1946,""))</f>
        <v>Home</v>
      </c>
      <c r="K1946" s="1" t="str">
        <f>IF(Raw!F1946="","",Raw!F1946)</f>
        <v>sale</v>
      </c>
      <c r="L1946" s="1" t="str">
        <f>IF(LEFT(TRIM(Raw!G1946),2)="-$","-"&amp;MID(TRIM(Raw!G1946),3,99),IF(LEFT(TRIM(Raw!G1946),1)="$",MID(TRIM(Raw!G1946),2,99),TRIM(Raw!G1946)))</f>
        <v>489.68</v>
      </c>
      <c r="M1946" s="1">
        <f t="shared" si="243"/>
        <v>489.68</v>
      </c>
      <c r="N1946" s="10">
        <f t="shared" si="244"/>
        <v>48968</v>
      </c>
      <c r="O1946" s="1" t="b">
        <f>IFERROR(IF(ISNUMBER(Raw!G1946),TRUE,OR(EXACT(L1946,TEXT(M1946,"0.00")),EXACT(L1946,TEXT(M1946,"#,##0.00")))),FALSE)</f>
        <v>1</v>
      </c>
      <c r="P1946" s="1" t="str">
        <f>LEN(IF(Raw!A1946="","",Raw!A1946))&amp;":"&amp;IF(Raw!A1946="","",Raw!A1946)&amp;"|"&amp;LEN(IF(Raw!B1946="","",Raw!B1946))&amp;":"&amp;IF(Raw!B1946="","",Raw!B1946)&amp;"|"&amp;LEN(IF(Raw!C1946="","",Raw!C1946))&amp;":"&amp;IF(Raw!C1946="","",Raw!C1946)&amp;"|"&amp;LEN(IF(Raw!D1946="","",Raw!D1946))&amp;":"&amp;IF(Raw!D1946="","",Raw!D1946)&amp;"|"&amp;LEN(IF(Raw!E1946="","",Raw!E1946))&amp;":"&amp;IF(Raw!E1946="","",Raw!E1946)&amp;"|"&amp;LEN(IF(Raw!F1946="","",Raw!F1946))&amp;":"&amp;IF(Raw!F1946="","",Raw!F1946)&amp;"|"&amp;LEN(IF(Raw!G1946="","",Raw!G1946))&amp;":"&amp;IF(Raw!G1946="","",Raw!G1946)</f>
        <v>6:L01940|6:T00970|10:2026-02-03|3:P-H|4:Home|4:sale|6:489.68</v>
      </c>
      <c r="Q1946" s="1">
        <f>1</f>
        <v>1</v>
      </c>
      <c r="R1946" s="1" t="b">
        <f>FALSE</f>
        <v>0</v>
      </c>
      <c r="S1946" s="1">
        <f>1</f>
        <v>1</v>
      </c>
      <c r="T1946" s="1" t="str">
        <f>IF(AND(Raw!A1946="",Raw!B1946="",Raw!C1946="",Raw!D1946="",Raw!E1946="",Raw!F1946="",Raw!G1946=""),"UNUSED",IF(A1946="","missing line ID",IF(B1946="","missing transaction ID",IF(G1946="",IF(C1946="","missing date","invalid date"),IF(I1946="","unknown product",IF(J1946="","conflicting category",IF(NOT(OR(EXACT(K1946,"sale"),EXACT(K1946,"refund"))),"unknown event",IF(OR(N1946="",NOT(O1946)),"invalid amount",IF(OR(AND(K1946="sale",N1946&lt;=0),AND(K1946="refund",N1946&gt;=0)),"invalid sign","")))))))))</f>
        <v/>
      </c>
      <c r="U1946" s="1" t="str">
        <f t="shared" si="245"/>
        <v>INCLUDED</v>
      </c>
      <c r="V1946" s="1" t="str">
        <f t="shared" si="246"/>
        <v>2026-02</v>
      </c>
      <c r="W1946" s="1">
        <f>IF(AND(U1946="INCLUDED",X1946&gt;0,EXACT(A1946,'AI output'!A1946)),1,0)</f>
        <v>1</v>
      </c>
      <c r="X1946" s="1">
        <f>1946</f>
        <v>1946</v>
      </c>
      <c r="Y1946" s="1">
        <f>IF(AND(U1946="INCLUDED",W1946=1),--(NOT(EXACT(A1946,'AI output'!A1946)))+--(NOT(EXACT(B1946,'AI output'!B1946)))+--(NOT(EXACT(TEXT(G1946,"yyyy-mm-dd"),'AI output'!C1946)))+--(NOT(EXACT(H1946,'AI output'!D1946)))+--(NOT(EXACT(J1946,'AI output'!E1946)))+--(NOT(EXACT(K1946,'AI output'!F1946)))+--(N1946&lt;&gt;'AI output'!L1946)+--(NOT('AI output'!M1946)),0)</f>
        <v>0</v>
      </c>
      <c r="Z1946" s="1">
        <f t="shared" si="247"/>
        <v>0</v>
      </c>
      <c r="AA1946" s="1">
        <f>--EXACT(A1946,"L01940")</f>
        <v>1</v>
      </c>
    </row>
    <row r="1947" spans="1:27" ht="18.95" customHeight="1">
      <c r="A1947" s="1" t="str">
        <f>IF(Raw!A1947="","",Raw!A1947)</f>
        <v>L01941</v>
      </c>
      <c r="B1947" s="1" t="str">
        <f>IF(Raw!B1947="","",Raw!B1947)</f>
        <v>T00971</v>
      </c>
      <c r="C1947" s="1" t="str">
        <f>IF(Raw!C1947="","",Raw!C1947)</f>
        <v>2026-02-10</v>
      </c>
      <c r="D1947" s="1">
        <f t="shared" si="240"/>
        <v>2026</v>
      </c>
      <c r="E1947" s="1">
        <f>IFERROR(IF(AND(LEN(C1947)=10,MID(C1947,5,1)="-",MID(C1947,8,1)="-"),VALUE(MID(C1947,6,2)),IF(AND(LEN(C1947)=11,MID(C1947,3,1)="-",MID(C1947,7,1)="-"),MATCH(UPPER(MID(C1947,4,3)),Guide!$D$7:$D$18,0),0)),0)</f>
        <v>2</v>
      </c>
      <c r="F1947" s="1">
        <f t="shared" si="241"/>
        <v>10</v>
      </c>
      <c r="G1947" s="9">
        <f t="shared" si="242"/>
        <v>46063</v>
      </c>
      <c r="H1947" s="1" t="str">
        <f>IF(Raw!D1947="","",Raw!D1947)</f>
        <v>P-O</v>
      </c>
      <c r="I1947" s="1" t="str">
        <f>IFERROR(IF(EXACT(H1947,INDEX(Guide!$A$7:$A$9,MATCH(SUBSTITUTE(SUBSTITUTE(SUBSTITUTE(H1947,"~","~~"),"*","~*"),"?","~?"),Guide!$A$7:$A$9,0))),INDEX(Guide!$B$7:$B$9,MATCH(SUBSTITUTE(SUBSTITUTE(SUBSTITUTE(H1947,"~","~~"),"*","~*"),"?","~?"),Guide!$A$7:$A$9,0)),""),"")</f>
        <v>Office</v>
      </c>
      <c r="J1947" s="1" t="str">
        <f>IF(TRIM(Raw!E1947)="",I1947,IF(UPPER(TRIM(Raw!E1947))=UPPER(I1947),I1947,""))</f>
        <v>Office</v>
      </c>
      <c r="K1947" s="1" t="str">
        <f>IF(Raw!F1947="","",Raw!F1947)</f>
        <v>sale</v>
      </c>
      <c r="L1947" s="1" t="str">
        <f>IF(LEFT(TRIM(Raw!G1947),2)="-$","-"&amp;MID(TRIM(Raw!G1947),3,99),IF(LEFT(TRIM(Raw!G1947),1)="$",MID(TRIM(Raw!G1947),2,99),TRIM(Raw!G1947)))</f>
        <v>122.79</v>
      </c>
      <c r="M1947" s="1">
        <f t="shared" si="243"/>
        <v>122.79</v>
      </c>
      <c r="N1947" s="10">
        <f t="shared" si="244"/>
        <v>12279</v>
      </c>
      <c r="O1947" s="1" t="b">
        <f>IFERROR(IF(ISNUMBER(Raw!G1947),TRUE,OR(EXACT(L1947,TEXT(M1947,"0.00")),EXACT(L1947,TEXT(M1947,"#,##0.00")))),FALSE)</f>
        <v>1</v>
      </c>
      <c r="P1947" s="1" t="str">
        <f>LEN(IF(Raw!A1947="","",Raw!A1947))&amp;":"&amp;IF(Raw!A1947="","",Raw!A1947)&amp;"|"&amp;LEN(IF(Raw!B1947="","",Raw!B1947))&amp;":"&amp;IF(Raw!B1947="","",Raw!B1947)&amp;"|"&amp;LEN(IF(Raw!C1947="","",Raw!C1947))&amp;":"&amp;IF(Raw!C1947="","",Raw!C1947)&amp;"|"&amp;LEN(IF(Raw!D1947="","",Raw!D1947))&amp;":"&amp;IF(Raw!D1947="","",Raw!D1947)&amp;"|"&amp;LEN(IF(Raw!E1947="","",Raw!E1947))&amp;":"&amp;IF(Raw!E1947="","",Raw!E1947)&amp;"|"&amp;LEN(IF(Raw!F1947="","",Raw!F1947))&amp;":"&amp;IF(Raw!F1947="","",Raw!F1947)&amp;"|"&amp;LEN(IF(Raw!G1947="","",Raw!G1947))&amp;":"&amp;IF(Raw!G1947="","",Raw!G1947)</f>
        <v>6:L01941|6:T00971|10:2026-02-10|3:P-O|6:Office|4:sale|6:122.79</v>
      </c>
      <c r="Q1947" s="1">
        <f>1</f>
        <v>1</v>
      </c>
      <c r="R1947" s="1" t="b">
        <f>FALSE</f>
        <v>0</v>
      </c>
      <c r="S1947" s="1">
        <f>1</f>
        <v>1</v>
      </c>
      <c r="T1947" s="1" t="str">
        <f>IF(AND(Raw!A1947="",Raw!B1947="",Raw!C1947="",Raw!D1947="",Raw!E1947="",Raw!F1947="",Raw!G1947=""),"UNUSED",IF(A1947="","missing line ID",IF(B1947="","missing transaction ID",IF(G1947="",IF(C1947="","missing date","invalid date"),IF(I1947="","unknown product",IF(J1947="","conflicting category",IF(NOT(OR(EXACT(K1947,"sale"),EXACT(K1947,"refund"))),"unknown event",IF(OR(N1947="",NOT(O1947)),"invalid amount",IF(OR(AND(K1947="sale",N1947&lt;=0),AND(K1947="refund",N1947&gt;=0)),"invalid sign","")))))))))</f>
        <v/>
      </c>
      <c r="U1947" s="1" t="str">
        <f t="shared" si="245"/>
        <v>INCLUDED</v>
      </c>
      <c r="V1947" s="1" t="str">
        <f t="shared" si="246"/>
        <v>2026-02</v>
      </c>
      <c r="W1947" s="1">
        <f>IF(AND(U1947="INCLUDED",X1947&gt;0,EXACT(A1947,'AI output'!A1947)),1,0)</f>
        <v>1</v>
      </c>
      <c r="X1947" s="1">
        <f>1947</f>
        <v>1947</v>
      </c>
      <c r="Y1947" s="1">
        <f>IF(AND(U1947="INCLUDED",W1947=1),--(NOT(EXACT(A1947,'AI output'!A1947)))+--(NOT(EXACT(B1947,'AI output'!B1947)))+--(NOT(EXACT(TEXT(G1947,"yyyy-mm-dd"),'AI output'!C1947)))+--(NOT(EXACT(H1947,'AI output'!D1947)))+--(NOT(EXACT(J1947,'AI output'!E1947)))+--(NOT(EXACT(K1947,'AI output'!F1947)))+--(N1947&lt;&gt;'AI output'!L1947)+--(NOT('AI output'!M1947)),0)</f>
        <v>0</v>
      </c>
      <c r="Z1947" s="1">
        <f t="shared" si="247"/>
        <v>0</v>
      </c>
      <c r="AA1947" s="1">
        <f>--EXACT(A1947,"L01941")</f>
        <v>1</v>
      </c>
    </row>
    <row r="1948" spans="1:27" ht="18.95" customHeight="1">
      <c r="A1948" s="1" t="str">
        <f>IF(Raw!A1948="","",Raw!A1948)</f>
        <v>L01942</v>
      </c>
      <c r="B1948" s="1" t="str">
        <f>IF(Raw!B1948="","",Raw!B1948)</f>
        <v>T00971</v>
      </c>
      <c r="C1948" s="1" t="str">
        <f>IF(Raw!C1948="","",Raw!C1948)</f>
        <v>2026-02-10</v>
      </c>
      <c r="D1948" s="1">
        <f t="shared" si="240"/>
        <v>2026</v>
      </c>
      <c r="E1948" s="1">
        <f>IFERROR(IF(AND(LEN(C1948)=10,MID(C1948,5,1)="-",MID(C1948,8,1)="-"),VALUE(MID(C1948,6,2)),IF(AND(LEN(C1948)=11,MID(C1948,3,1)="-",MID(C1948,7,1)="-"),MATCH(UPPER(MID(C1948,4,3)),Guide!$D$7:$D$18,0),0)),0)</f>
        <v>2</v>
      </c>
      <c r="F1948" s="1">
        <f t="shared" si="241"/>
        <v>10</v>
      </c>
      <c r="G1948" s="9">
        <f t="shared" si="242"/>
        <v>46063</v>
      </c>
      <c r="H1948" s="1" t="str">
        <f>IF(Raw!D1948="","",Raw!D1948)</f>
        <v>P-A</v>
      </c>
      <c r="I1948" s="1" t="str">
        <f>IFERROR(IF(EXACT(H1948,INDEX(Guide!$A$7:$A$9,MATCH(SUBSTITUTE(SUBSTITUTE(SUBSTITUTE(H1948,"~","~~"),"*","~*"),"?","~?"),Guide!$A$7:$A$9,0))),INDEX(Guide!$B$7:$B$9,MATCH(SUBSTITUTE(SUBSTITUTE(SUBSTITUTE(H1948,"~","~~"),"*","~*"),"?","~?"),Guide!$A$7:$A$9,0)),""),"")</f>
        <v>Accessories</v>
      </c>
      <c r="J1948" s="1" t="str">
        <f>IF(TRIM(Raw!E1948)="",I1948,IF(UPPER(TRIM(Raw!E1948))=UPPER(I1948),I1948,""))</f>
        <v>Accessories</v>
      </c>
      <c r="K1948" s="1" t="str">
        <f>IF(Raw!F1948="","",Raw!F1948)</f>
        <v>sale</v>
      </c>
      <c r="L1948" s="1" t="str">
        <f>IF(LEFT(TRIM(Raw!G1948),2)="-$","-"&amp;MID(TRIM(Raw!G1948),3,99),IF(LEFT(TRIM(Raw!G1948),1)="$",MID(TRIM(Raw!G1948),2,99),TRIM(Raw!G1948)))</f>
        <v>369.48</v>
      </c>
      <c r="M1948" s="1">
        <f t="shared" si="243"/>
        <v>369.48</v>
      </c>
      <c r="N1948" s="10">
        <f t="shared" si="244"/>
        <v>36948</v>
      </c>
      <c r="O1948" s="1" t="b">
        <f>IFERROR(IF(ISNUMBER(Raw!G1948),TRUE,OR(EXACT(L1948,TEXT(M1948,"0.00")),EXACT(L1948,TEXT(M1948,"#,##0.00")))),FALSE)</f>
        <v>1</v>
      </c>
      <c r="P1948" s="1" t="str">
        <f>LEN(IF(Raw!A1948="","",Raw!A1948))&amp;":"&amp;IF(Raw!A1948="","",Raw!A1948)&amp;"|"&amp;LEN(IF(Raw!B1948="","",Raw!B1948))&amp;":"&amp;IF(Raw!B1948="","",Raw!B1948)&amp;"|"&amp;LEN(IF(Raw!C1948="","",Raw!C1948))&amp;":"&amp;IF(Raw!C1948="","",Raw!C1948)&amp;"|"&amp;LEN(IF(Raw!D1948="","",Raw!D1948))&amp;":"&amp;IF(Raw!D1948="","",Raw!D1948)&amp;"|"&amp;LEN(IF(Raw!E1948="","",Raw!E1948))&amp;":"&amp;IF(Raw!E1948="","",Raw!E1948)&amp;"|"&amp;LEN(IF(Raw!F1948="","",Raw!F1948))&amp;":"&amp;IF(Raw!F1948="","",Raw!F1948)&amp;"|"&amp;LEN(IF(Raw!G1948="","",Raw!G1948))&amp;":"&amp;IF(Raw!G1948="","",Raw!G1948)</f>
        <v>6:L01942|6:T00971|10:2026-02-10|3:P-A|11:Accessories|4:sale|6:369.48</v>
      </c>
      <c r="Q1948" s="1">
        <f>1</f>
        <v>1</v>
      </c>
      <c r="R1948" s="1" t="b">
        <f>FALSE</f>
        <v>0</v>
      </c>
      <c r="S1948" s="1">
        <f>1</f>
        <v>1</v>
      </c>
      <c r="T1948" s="1" t="str">
        <f>IF(AND(Raw!A1948="",Raw!B1948="",Raw!C1948="",Raw!D1948="",Raw!E1948="",Raw!F1948="",Raw!G1948=""),"UNUSED",IF(A1948="","missing line ID",IF(B1948="","missing transaction ID",IF(G1948="",IF(C1948="","missing date","invalid date"),IF(I1948="","unknown product",IF(J1948="","conflicting category",IF(NOT(OR(EXACT(K1948,"sale"),EXACT(K1948,"refund"))),"unknown event",IF(OR(N1948="",NOT(O1948)),"invalid amount",IF(OR(AND(K1948="sale",N1948&lt;=0),AND(K1948="refund",N1948&gt;=0)),"invalid sign","")))))))))</f>
        <v/>
      </c>
      <c r="U1948" s="1" t="str">
        <f t="shared" si="245"/>
        <v>INCLUDED</v>
      </c>
      <c r="V1948" s="1" t="str">
        <f t="shared" si="246"/>
        <v>2026-02</v>
      </c>
      <c r="W1948" s="1">
        <f>IF(AND(U1948="INCLUDED",X1948&gt;0,EXACT(A1948,'AI output'!A1948)),1,0)</f>
        <v>1</v>
      </c>
      <c r="X1948" s="1">
        <f>1948</f>
        <v>1948</v>
      </c>
      <c r="Y1948" s="1">
        <f>IF(AND(U1948="INCLUDED",W1948=1),--(NOT(EXACT(A1948,'AI output'!A1948)))+--(NOT(EXACT(B1948,'AI output'!B1948)))+--(NOT(EXACT(TEXT(G1948,"yyyy-mm-dd"),'AI output'!C1948)))+--(NOT(EXACT(H1948,'AI output'!D1948)))+--(NOT(EXACT(J1948,'AI output'!E1948)))+--(NOT(EXACT(K1948,'AI output'!F1948)))+--(N1948&lt;&gt;'AI output'!L1948)+--(NOT('AI output'!M1948)),0)</f>
        <v>0</v>
      </c>
      <c r="Z1948" s="1">
        <f t="shared" si="247"/>
        <v>0</v>
      </c>
      <c r="AA1948" s="1">
        <f>--EXACT(A1948,"L01942")</f>
        <v>1</v>
      </c>
    </row>
    <row r="1949" spans="1:27" ht="18.95" customHeight="1">
      <c r="A1949" s="1" t="str">
        <f>IF(Raw!A1949="","",Raw!A1949)</f>
        <v>L01943</v>
      </c>
      <c r="B1949" s="1" t="str">
        <f>IF(Raw!B1949="","",Raw!B1949)</f>
        <v>T00972</v>
      </c>
      <c r="C1949" s="1" t="str">
        <f>IF(Raw!C1949="","",Raw!C1949)</f>
        <v>2026-02-17</v>
      </c>
      <c r="D1949" s="1">
        <f t="shared" si="240"/>
        <v>2026</v>
      </c>
      <c r="E1949" s="1">
        <f>IFERROR(IF(AND(LEN(C1949)=10,MID(C1949,5,1)="-",MID(C1949,8,1)="-"),VALUE(MID(C1949,6,2)),IF(AND(LEN(C1949)=11,MID(C1949,3,1)="-",MID(C1949,7,1)="-"),MATCH(UPPER(MID(C1949,4,3)),Guide!$D$7:$D$18,0),0)),0)</f>
        <v>2</v>
      </c>
      <c r="F1949" s="1">
        <f t="shared" si="241"/>
        <v>17</v>
      </c>
      <c r="G1949" s="9">
        <f t="shared" si="242"/>
        <v>46070</v>
      </c>
      <c r="H1949" s="1" t="str">
        <f>IF(Raw!D1949="","",Raw!D1949)</f>
        <v>P-H</v>
      </c>
      <c r="I1949" s="1" t="str">
        <f>IFERROR(IF(EXACT(H1949,INDEX(Guide!$A$7:$A$9,MATCH(SUBSTITUTE(SUBSTITUTE(SUBSTITUTE(H1949,"~","~~"),"*","~*"),"?","~?"),Guide!$A$7:$A$9,0))),INDEX(Guide!$B$7:$B$9,MATCH(SUBSTITUTE(SUBSTITUTE(SUBSTITUTE(H1949,"~","~~"),"*","~*"),"?","~?"),Guide!$A$7:$A$9,0)),""),"")</f>
        <v>Home</v>
      </c>
      <c r="J1949" s="1" t="str">
        <f>IF(TRIM(Raw!E1949)="",I1949,IF(UPPER(TRIM(Raw!E1949))=UPPER(I1949),I1949,""))</f>
        <v>Home</v>
      </c>
      <c r="K1949" s="1" t="str">
        <f>IF(Raw!F1949="","",Raw!F1949)</f>
        <v>sale</v>
      </c>
      <c r="L1949" s="1" t="str">
        <f>IF(LEFT(TRIM(Raw!G1949),2)="-$","-"&amp;MID(TRIM(Raw!G1949),3,99),IF(LEFT(TRIM(Raw!G1949),1)="$",MID(TRIM(Raw!G1949),2,99),TRIM(Raw!G1949)))</f>
        <v>617.65</v>
      </c>
      <c r="M1949" s="1">
        <f t="shared" si="243"/>
        <v>617.65</v>
      </c>
      <c r="N1949" s="10">
        <f t="shared" si="244"/>
        <v>61765</v>
      </c>
      <c r="O1949" s="1" t="b">
        <f>IFERROR(IF(ISNUMBER(Raw!G1949),TRUE,OR(EXACT(L1949,TEXT(M1949,"0.00")),EXACT(L1949,TEXT(M1949,"#,##0.00")))),FALSE)</f>
        <v>1</v>
      </c>
      <c r="P1949" s="1" t="str">
        <f>LEN(IF(Raw!A1949="","",Raw!A1949))&amp;":"&amp;IF(Raw!A1949="","",Raw!A1949)&amp;"|"&amp;LEN(IF(Raw!B1949="","",Raw!B1949))&amp;":"&amp;IF(Raw!B1949="","",Raw!B1949)&amp;"|"&amp;LEN(IF(Raw!C1949="","",Raw!C1949))&amp;":"&amp;IF(Raw!C1949="","",Raw!C1949)&amp;"|"&amp;LEN(IF(Raw!D1949="","",Raw!D1949))&amp;":"&amp;IF(Raw!D1949="","",Raw!D1949)&amp;"|"&amp;LEN(IF(Raw!E1949="","",Raw!E1949))&amp;":"&amp;IF(Raw!E1949="","",Raw!E1949)&amp;"|"&amp;LEN(IF(Raw!F1949="","",Raw!F1949))&amp;":"&amp;IF(Raw!F1949="","",Raw!F1949)&amp;"|"&amp;LEN(IF(Raw!G1949="","",Raw!G1949))&amp;":"&amp;IF(Raw!G1949="","",Raw!G1949)</f>
        <v>6:L01943|6:T00972|10:2026-02-17|3:P-H|4:Home|4:sale|6:617.65</v>
      </c>
      <c r="Q1949" s="1">
        <f>1</f>
        <v>1</v>
      </c>
      <c r="R1949" s="1" t="b">
        <f>FALSE</f>
        <v>0</v>
      </c>
      <c r="S1949" s="1">
        <f>1</f>
        <v>1</v>
      </c>
      <c r="T1949" s="1" t="str">
        <f>IF(AND(Raw!A1949="",Raw!B1949="",Raw!C1949="",Raw!D1949="",Raw!E1949="",Raw!F1949="",Raw!G1949=""),"UNUSED",IF(A1949="","missing line ID",IF(B1949="","missing transaction ID",IF(G1949="",IF(C1949="","missing date","invalid date"),IF(I1949="","unknown product",IF(J1949="","conflicting category",IF(NOT(OR(EXACT(K1949,"sale"),EXACT(K1949,"refund"))),"unknown event",IF(OR(N1949="",NOT(O1949)),"invalid amount",IF(OR(AND(K1949="sale",N1949&lt;=0),AND(K1949="refund",N1949&gt;=0)),"invalid sign","")))))))))</f>
        <v/>
      </c>
      <c r="U1949" s="1" t="str">
        <f t="shared" si="245"/>
        <v>INCLUDED</v>
      </c>
      <c r="V1949" s="1" t="str">
        <f t="shared" si="246"/>
        <v>2026-02</v>
      </c>
      <c r="W1949" s="1">
        <f>IF(AND(U1949="INCLUDED",X1949&gt;0,EXACT(A1949,'AI output'!A1949)),1,0)</f>
        <v>1</v>
      </c>
      <c r="X1949" s="1">
        <f>1949</f>
        <v>1949</v>
      </c>
      <c r="Y1949" s="1">
        <f>IF(AND(U1949="INCLUDED",W1949=1),--(NOT(EXACT(A1949,'AI output'!A1949)))+--(NOT(EXACT(B1949,'AI output'!B1949)))+--(NOT(EXACT(TEXT(G1949,"yyyy-mm-dd"),'AI output'!C1949)))+--(NOT(EXACT(H1949,'AI output'!D1949)))+--(NOT(EXACT(J1949,'AI output'!E1949)))+--(NOT(EXACT(K1949,'AI output'!F1949)))+--(N1949&lt;&gt;'AI output'!L1949)+--(NOT('AI output'!M1949)),0)</f>
        <v>0</v>
      </c>
      <c r="Z1949" s="1">
        <f t="shared" si="247"/>
        <v>0</v>
      </c>
      <c r="AA1949" s="1">
        <f>--EXACT(A1949,"L01943")</f>
        <v>1</v>
      </c>
    </row>
    <row r="1950" spans="1:27" ht="18.95" customHeight="1">
      <c r="A1950" s="1" t="str">
        <f>IF(Raw!A1950="","",Raw!A1950)</f>
        <v>L01944</v>
      </c>
      <c r="B1950" s="1" t="str">
        <f>IF(Raw!B1950="","",Raw!B1950)</f>
        <v>T00972</v>
      </c>
      <c r="C1950" s="1" t="str">
        <f>IF(Raw!C1950="","",Raw!C1950)</f>
        <v>2026-02-17</v>
      </c>
      <c r="D1950" s="1">
        <f t="shared" si="240"/>
        <v>2026</v>
      </c>
      <c r="E1950" s="1">
        <f>IFERROR(IF(AND(LEN(C1950)=10,MID(C1950,5,1)="-",MID(C1950,8,1)="-"),VALUE(MID(C1950,6,2)),IF(AND(LEN(C1950)=11,MID(C1950,3,1)="-",MID(C1950,7,1)="-"),MATCH(UPPER(MID(C1950,4,3)),Guide!$D$7:$D$18,0),0)),0)</f>
        <v>2</v>
      </c>
      <c r="F1950" s="1">
        <f t="shared" si="241"/>
        <v>17</v>
      </c>
      <c r="G1950" s="9">
        <f t="shared" si="242"/>
        <v>46070</v>
      </c>
      <c r="H1950" s="1" t="str">
        <f>IF(Raw!D1950="","",Raw!D1950)</f>
        <v>P-O</v>
      </c>
      <c r="I1950" s="1" t="str">
        <f>IFERROR(IF(EXACT(H1950,INDEX(Guide!$A$7:$A$9,MATCH(SUBSTITUTE(SUBSTITUTE(SUBSTITUTE(H1950,"~","~~"),"*","~*"),"?","~?"),Guide!$A$7:$A$9,0))),INDEX(Guide!$B$7:$B$9,MATCH(SUBSTITUTE(SUBSTITUTE(SUBSTITUTE(H1950,"~","~~"),"*","~*"),"?","~?"),Guide!$A$7:$A$9,0)),""),"")</f>
        <v>Office</v>
      </c>
      <c r="J1950" s="1" t="str">
        <f>IF(TRIM(Raw!E1950)="",I1950,IF(UPPER(TRIM(Raw!E1950))=UPPER(I1950),I1950,""))</f>
        <v>Office</v>
      </c>
      <c r="K1950" s="1" t="str">
        <f>IF(Raw!F1950="","",Raw!F1950)</f>
        <v>sale</v>
      </c>
      <c r="L1950" s="1" t="str">
        <f>IF(LEFT(TRIM(Raw!G1950),2)="-$","-"&amp;MID(TRIM(Raw!G1950),3,99),IF(LEFT(TRIM(Raw!G1950),1)="$",MID(TRIM(Raw!G1950),2,99),TRIM(Raw!G1950)))</f>
        <v>247.80</v>
      </c>
      <c r="M1950" s="1">
        <f t="shared" si="243"/>
        <v>247.8</v>
      </c>
      <c r="N1950" s="10">
        <f t="shared" si="244"/>
        <v>24780</v>
      </c>
      <c r="O1950" s="1" t="b">
        <f>IFERROR(IF(ISNUMBER(Raw!G1950),TRUE,OR(EXACT(L1950,TEXT(M1950,"0.00")),EXACT(L1950,TEXT(M1950,"#,##0.00")))),FALSE)</f>
        <v>1</v>
      </c>
      <c r="P1950" s="1" t="str">
        <f>LEN(IF(Raw!A1950="","",Raw!A1950))&amp;":"&amp;IF(Raw!A1950="","",Raw!A1950)&amp;"|"&amp;LEN(IF(Raw!B1950="","",Raw!B1950))&amp;":"&amp;IF(Raw!B1950="","",Raw!B1950)&amp;"|"&amp;LEN(IF(Raw!C1950="","",Raw!C1950))&amp;":"&amp;IF(Raw!C1950="","",Raw!C1950)&amp;"|"&amp;LEN(IF(Raw!D1950="","",Raw!D1950))&amp;":"&amp;IF(Raw!D1950="","",Raw!D1950)&amp;"|"&amp;LEN(IF(Raw!E1950="","",Raw!E1950))&amp;":"&amp;IF(Raw!E1950="","",Raw!E1950)&amp;"|"&amp;LEN(IF(Raw!F1950="","",Raw!F1950))&amp;":"&amp;IF(Raw!F1950="","",Raw!F1950)&amp;"|"&amp;LEN(IF(Raw!G1950="","",Raw!G1950))&amp;":"&amp;IF(Raw!G1950="","",Raw!G1950)</f>
        <v>6:L01944|6:T00972|10:2026-02-17|3:P-O|6:Office|4:sale|6:247.80</v>
      </c>
      <c r="Q1950" s="1">
        <f>1</f>
        <v>1</v>
      </c>
      <c r="R1950" s="1" t="b">
        <f>FALSE</f>
        <v>0</v>
      </c>
      <c r="S1950" s="1">
        <f>1</f>
        <v>1</v>
      </c>
      <c r="T1950" s="1" t="str">
        <f>IF(AND(Raw!A1950="",Raw!B1950="",Raw!C1950="",Raw!D1950="",Raw!E1950="",Raw!F1950="",Raw!G1950=""),"UNUSED",IF(A1950="","missing line ID",IF(B1950="","missing transaction ID",IF(G1950="",IF(C1950="","missing date","invalid date"),IF(I1950="","unknown product",IF(J1950="","conflicting category",IF(NOT(OR(EXACT(K1950,"sale"),EXACT(K1950,"refund"))),"unknown event",IF(OR(N1950="",NOT(O1950)),"invalid amount",IF(OR(AND(K1950="sale",N1950&lt;=0),AND(K1950="refund",N1950&gt;=0)),"invalid sign","")))))))))</f>
        <v/>
      </c>
      <c r="U1950" s="1" t="str">
        <f t="shared" si="245"/>
        <v>INCLUDED</v>
      </c>
      <c r="V1950" s="1" t="str">
        <f t="shared" si="246"/>
        <v>2026-02</v>
      </c>
      <c r="W1950" s="1">
        <f>IF(AND(U1950="INCLUDED",X1950&gt;0,EXACT(A1950,'AI output'!A1950)),1,0)</f>
        <v>1</v>
      </c>
      <c r="X1950" s="1">
        <f>1950</f>
        <v>1950</v>
      </c>
      <c r="Y1950" s="1">
        <f>IF(AND(U1950="INCLUDED",W1950=1),--(NOT(EXACT(A1950,'AI output'!A1950)))+--(NOT(EXACT(B1950,'AI output'!B1950)))+--(NOT(EXACT(TEXT(G1950,"yyyy-mm-dd"),'AI output'!C1950)))+--(NOT(EXACT(H1950,'AI output'!D1950)))+--(NOT(EXACT(J1950,'AI output'!E1950)))+--(NOT(EXACT(K1950,'AI output'!F1950)))+--(N1950&lt;&gt;'AI output'!L1950)+--(NOT('AI output'!M1950)),0)</f>
        <v>0</v>
      </c>
      <c r="Z1950" s="1">
        <f t="shared" si="247"/>
        <v>0</v>
      </c>
      <c r="AA1950" s="1">
        <f>--EXACT(A1950,"L01944")</f>
        <v>1</v>
      </c>
    </row>
    <row r="1951" spans="1:27" ht="18.95" customHeight="1">
      <c r="A1951" s="1" t="str">
        <f>IF(Raw!A1951="","",Raw!A1951)</f>
        <v>L01945</v>
      </c>
      <c r="B1951" s="1" t="str">
        <f>IF(Raw!B1951="","",Raw!B1951)</f>
        <v>T00973</v>
      </c>
      <c r="C1951" s="1" t="str">
        <f>IF(Raw!C1951="","",Raw!C1951)</f>
        <v>2026-02-24</v>
      </c>
      <c r="D1951" s="1">
        <f t="shared" si="240"/>
        <v>2026</v>
      </c>
      <c r="E1951" s="1">
        <f>IFERROR(IF(AND(LEN(C1951)=10,MID(C1951,5,1)="-",MID(C1951,8,1)="-"),VALUE(MID(C1951,6,2)),IF(AND(LEN(C1951)=11,MID(C1951,3,1)="-",MID(C1951,7,1)="-"),MATCH(UPPER(MID(C1951,4,3)),Guide!$D$7:$D$18,0),0)),0)</f>
        <v>2</v>
      </c>
      <c r="F1951" s="1">
        <f t="shared" si="241"/>
        <v>24</v>
      </c>
      <c r="G1951" s="9">
        <f t="shared" si="242"/>
        <v>46077</v>
      </c>
      <c r="H1951" s="1" t="str">
        <f>IF(Raw!D1951="","",Raw!D1951)</f>
        <v>P-A</v>
      </c>
      <c r="I1951" s="1" t="str">
        <f>IFERROR(IF(EXACT(H1951,INDEX(Guide!$A$7:$A$9,MATCH(SUBSTITUTE(SUBSTITUTE(SUBSTITUTE(H1951,"~","~~"),"*","~*"),"?","~?"),Guide!$A$7:$A$9,0))),INDEX(Guide!$B$7:$B$9,MATCH(SUBSTITUTE(SUBSTITUTE(SUBSTITUTE(H1951,"~","~~"),"*","~*"),"?","~?"),Guide!$A$7:$A$9,0)),""),"")</f>
        <v>Accessories</v>
      </c>
      <c r="J1951" s="1" t="str">
        <f>IF(TRIM(Raw!E1951)="",I1951,IF(UPPER(TRIM(Raw!E1951))=UPPER(I1951),I1951,""))</f>
        <v>Accessories</v>
      </c>
      <c r="K1951" s="1" t="str">
        <f>IF(Raw!F1951="","",Raw!F1951)</f>
        <v>sale</v>
      </c>
      <c r="L1951" s="1" t="str">
        <f>IF(LEFT(TRIM(Raw!G1951),2)="-$","-"&amp;MID(TRIM(Raw!G1951),3,99),IF(LEFT(TRIM(Raw!G1951),1)="$",MID(TRIM(Raw!G1951),2,99),TRIM(Raw!G1951)))</f>
        <v>497.08</v>
      </c>
      <c r="M1951" s="1">
        <f t="shared" si="243"/>
        <v>497.08</v>
      </c>
      <c r="N1951" s="10">
        <f t="shared" si="244"/>
        <v>49708</v>
      </c>
      <c r="O1951" s="1" t="b">
        <f>IFERROR(IF(ISNUMBER(Raw!G1951),TRUE,OR(EXACT(L1951,TEXT(M1951,"0.00")),EXACT(L1951,TEXT(M1951,"#,##0.00")))),FALSE)</f>
        <v>1</v>
      </c>
      <c r="P1951" s="1" t="str">
        <f>LEN(IF(Raw!A1951="","",Raw!A1951))&amp;":"&amp;IF(Raw!A1951="","",Raw!A1951)&amp;"|"&amp;LEN(IF(Raw!B1951="","",Raw!B1951))&amp;":"&amp;IF(Raw!B1951="","",Raw!B1951)&amp;"|"&amp;LEN(IF(Raw!C1951="","",Raw!C1951))&amp;":"&amp;IF(Raw!C1951="","",Raw!C1951)&amp;"|"&amp;LEN(IF(Raw!D1951="","",Raw!D1951))&amp;":"&amp;IF(Raw!D1951="","",Raw!D1951)&amp;"|"&amp;LEN(IF(Raw!E1951="","",Raw!E1951))&amp;":"&amp;IF(Raw!E1951="","",Raw!E1951)&amp;"|"&amp;LEN(IF(Raw!F1951="","",Raw!F1951))&amp;":"&amp;IF(Raw!F1951="","",Raw!F1951)&amp;"|"&amp;LEN(IF(Raw!G1951="","",Raw!G1951))&amp;":"&amp;IF(Raw!G1951="","",Raw!G1951)</f>
        <v>6:L01945|6:T00973|10:2026-02-24|3:P-A|11:Accessories|4:sale|6:497.08</v>
      </c>
      <c r="Q1951" s="1">
        <f>1</f>
        <v>1</v>
      </c>
      <c r="R1951" s="1" t="b">
        <f>FALSE</f>
        <v>0</v>
      </c>
      <c r="S1951" s="1">
        <f>1</f>
        <v>1</v>
      </c>
      <c r="T1951" s="1" t="str">
        <f>IF(AND(Raw!A1951="",Raw!B1951="",Raw!C1951="",Raw!D1951="",Raw!E1951="",Raw!F1951="",Raw!G1951=""),"UNUSED",IF(A1951="","missing line ID",IF(B1951="","missing transaction ID",IF(G1951="",IF(C1951="","missing date","invalid date"),IF(I1951="","unknown product",IF(J1951="","conflicting category",IF(NOT(OR(EXACT(K1951,"sale"),EXACT(K1951,"refund"))),"unknown event",IF(OR(N1951="",NOT(O1951)),"invalid amount",IF(OR(AND(K1951="sale",N1951&lt;=0),AND(K1951="refund",N1951&gt;=0)),"invalid sign","")))))))))</f>
        <v/>
      </c>
      <c r="U1951" s="1" t="str">
        <f t="shared" si="245"/>
        <v>INCLUDED</v>
      </c>
      <c r="V1951" s="1" t="str">
        <f t="shared" si="246"/>
        <v>2026-02</v>
      </c>
      <c r="W1951" s="1">
        <f>IF(AND(U1951="INCLUDED",X1951&gt;0,EXACT(A1951,'AI output'!A1951)),1,0)</f>
        <v>1</v>
      </c>
      <c r="X1951" s="1">
        <f>1951</f>
        <v>1951</v>
      </c>
      <c r="Y1951" s="1">
        <f>IF(AND(U1951="INCLUDED",W1951=1),--(NOT(EXACT(A1951,'AI output'!A1951)))+--(NOT(EXACT(B1951,'AI output'!B1951)))+--(NOT(EXACT(TEXT(G1951,"yyyy-mm-dd"),'AI output'!C1951)))+--(NOT(EXACT(H1951,'AI output'!D1951)))+--(NOT(EXACT(J1951,'AI output'!E1951)))+--(NOT(EXACT(K1951,'AI output'!F1951)))+--(N1951&lt;&gt;'AI output'!L1951)+--(NOT('AI output'!M1951)),0)</f>
        <v>0</v>
      </c>
      <c r="Z1951" s="1">
        <f t="shared" si="247"/>
        <v>0</v>
      </c>
      <c r="AA1951" s="1">
        <f>--EXACT(A1951,"L01945")</f>
        <v>1</v>
      </c>
    </row>
    <row r="1952" spans="1:27" ht="18.95" customHeight="1">
      <c r="A1952" s="1" t="str">
        <f>IF(Raw!A1952="","",Raw!A1952)</f>
        <v>L01946</v>
      </c>
      <c r="B1952" s="1" t="str">
        <f>IF(Raw!B1952="","",Raw!B1952)</f>
        <v>T00973</v>
      </c>
      <c r="C1952" s="1" t="str">
        <f>IF(Raw!C1952="","",Raw!C1952)</f>
        <v>2026-02-24</v>
      </c>
      <c r="D1952" s="1">
        <f t="shared" si="240"/>
        <v>2026</v>
      </c>
      <c r="E1952" s="1">
        <f>IFERROR(IF(AND(LEN(C1952)=10,MID(C1952,5,1)="-",MID(C1952,8,1)="-"),VALUE(MID(C1952,6,2)),IF(AND(LEN(C1952)=11,MID(C1952,3,1)="-",MID(C1952,7,1)="-"),MATCH(UPPER(MID(C1952,4,3)),Guide!$D$7:$D$18,0),0)),0)</f>
        <v>2</v>
      </c>
      <c r="F1952" s="1">
        <f t="shared" si="241"/>
        <v>24</v>
      </c>
      <c r="G1952" s="9">
        <f t="shared" si="242"/>
        <v>46077</v>
      </c>
      <c r="H1952" s="1" t="str">
        <f>IF(Raw!D1952="","",Raw!D1952)</f>
        <v>P-H</v>
      </c>
      <c r="I1952" s="1" t="str">
        <f>IFERROR(IF(EXACT(H1952,INDEX(Guide!$A$7:$A$9,MATCH(SUBSTITUTE(SUBSTITUTE(SUBSTITUTE(H1952,"~","~~"),"*","~*"),"?","~?"),Guide!$A$7:$A$9,0))),INDEX(Guide!$B$7:$B$9,MATCH(SUBSTITUTE(SUBSTITUTE(SUBSTITUTE(H1952,"~","~~"),"*","~*"),"?","~?"),Guide!$A$7:$A$9,0)),""),"")</f>
        <v>Home</v>
      </c>
      <c r="J1952" s="1" t="str">
        <f>IF(TRIM(Raw!E1952)="",I1952,IF(UPPER(TRIM(Raw!E1952))=UPPER(I1952),I1952,""))</f>
        <v>Home</v>
      </c>
      <c r="K1952" s="1" t="str">
        <f>IF(Raw!F1952="","",Raw!F1952)</f>
        <v>sale</v>
      </c>
      <c r="L1952" s="1" t="str">
        <f>IF(LEFT(TRIM(Raw!G1952),2)="-$","-"&amp;MID(TRIM(Raw!G1952),3,99),IF(LEFT(TRIM(Raw!G1952),1)="$",MID(TRIM(Raw!G1952),2,99),TRIM(Raw!G1952)))</f>
        <v>124.64</v>
      </c>
      <c r="M1952" s="1">
        <f t="shared" si="243"/>
        <v>124.64</v>
      </c>
      <c r="N1952" s="10">
        <f t="shared" si="244"/>
        <v>12464</v>
      </c>
      <c r="O1952" s="1" t="b">
        <f>IFERROR(IF(ISNUMBER(Raw!G1952),TRUE,OR(EXACT(L1952,TEXT(M1952,"0.00")),EXACT(L1952,TEXT(M1952,"#,##0.00")))),FALSE)</f>
        <v>1</v>
      </c>
      <c r="P1952" s="1" t="str">
        <f>LEN(IF(Raw!A1952="","",Raw!A1952))&amp;":"&amp;IF(Raw!A1952="","",Raw!A1952)&amp;"|"&amp;LEN(IF(Raw!B1952="","",Raw!B1952))&amp;":"&amp;IF(Raw!B1952="","",Raw!B1952)&amp;"|"&amp;LEN(IF(Raw!C1952="","",Raw!C1952))&amp;":"&amp;IF(Raw!C1952="","",Raw!C1952)&amp;"|"&amp;LEN(IF(Raw!D1952="","",Raw!D1952))&amp;":"&amp;IF(Raw!D1952="","",Raw!D1952)&amp;"|"&amp;LEN(IF(Raw!E1952="","",Raw!E1952))&amp;":"&amp;IF(Raw!E1952="","",Raw!E1952)&amp;"|"&amp;LEN(IF(Raw!F1952="","",Raw!F1952))&amp;":"&amp;IF(Raw!F1952="","",Raw!F1952)&amp;"|"&amp;LEN(IF(Raw!G1952="","",Raw!G1952))&amp;":"&amp;IF(Raw!G1952="","",Raw!G1952)</f>
        <v>6:L01946|6:T00973|10:2026-02-24|3:P-H|4:Home|4:sale|6:124.64</v>
      </c>
      <c r="Q1952" s="1">
        <f>1</f>
        <v>1</v>
      </c>
      <c r="R1952" s="1" t="b">
        <f>FALSE</f>
        <v>0</v>
      </c>
      <c r="S1952" s="1">
        <f>1</f>
        <v>1</v>
      </c>
      <c r="T1952" s="1" t="str">
        <f>IF(AND(Raw!A1952="",Raw!B1952="",Raw!C1952="",Raw!D1952="",Raw!E1952="",Raw!F1952="",Raw!G1952=""),"UNUSED",IF(A1952="","missing line ID",IF(B1952="","missing transaction ID",IF(G1952="",IF(C1952="","missing date","invalid date"),IF(I1952="","unknown product",IF(J1952="","conflicting category",IF(NOT(OR(EXACT(K1952,"sale"),EXACT(K1952,"refund"))),"unknown event",IF(OR(N1952="",NOT(O1952)),"invalid amount",IF(OR(AND(K1952="sale",N1952&lt;=0),AND(K1952="refund",N1952&gt;=0)),"invalid sign","")))))))))</f>
        <v/>
      </c>
      <c r="U1952" s="1" t="str">
        <f t="shared" si="245"/>
        <v>INCLUDED</v>
      </c>
      <c r="V1952" s="1" t="str">
        <f t="shared" si="246"/>
        <v>2026-02</v>
      </c>
      <c r="W1952" s="1">
        <f>IF(AND(U1952="INCLUDED",X1952&gt;0,EXACT(A1952,'AI output'!A1952)),1,0)</f>
        <v>1</v>
      </c>
      <c r="X1952" s="1">
        <f>1952</f>
        <v>1952</v>
      </c>
      <c r="Y1952" s="1">
        <f>IF(AND(U1952="INCLUDED",W1952=1),--(NOT(EXACT(A1952,'AI output'!A1952)))+--(NOT(EXACT(B1952,'AI output'!B1952)))+--(NOT(EXACT(TEXT(G1952,"yyyy-mm-dd"),'AI output'!C1952)))+--(NOT(EXACT(H1952,'AI output'!D1952)))+--(NOT(EXACT(J1952,'AI output'!E1952)))+--(NOT(EXACT(K1952,'AI output'!F1952)))+--(N1952&lt;&gt;'AI output'!L1952)+--(NOT('AI output'!M1952)),0)</f>
        <v>0</v>
      </c>
      <c r="Z1952" s="1">
        <f t="shared" si="247"/>
        <v>0</v>
      </c>
      <c r="AA1952" s="1">
        <f>--EXACT(A1952,"L01946")</f>
        <v>1</v>
      </c>
    </row>
    <row r="1953" spans="1:27" ht="18.95" customHeight="1">
      <c r="A1953" s="1" t="str">
        <f>IF(Raw!A1953="","",Raw!A1953)</f>
        <v>L01947</v>
      </c>
      <c r="B1953" s="1" t="str">
        <f>IF(Raw!B1953="","",Raw!B1953)</f>
        <v>T00974</v>
      </c>
      <c r="C1953" s="1" t="str">
        <f>IF(Raw!C1953="","",Raw!C1953)</f>
        <v>2026-03-03</v>
      </c>
      <c r="D1953" s="1">
        <f t="shared" si="240"/>
        <v>2026</v>
      </c>
      <c r="E1953" s="1">
        <f>IFERROR(IF(AND(LEN(C1953)=10,MID(C1953,5,1)="-",MID(C1953,8,1)="-"),VALUE(MID(C1953,6,2)),IF(AND(LEN(C1953)=11,MID(C1953,3,1)="-",MID(C1953,7,1)="-"),MATCH(UPPER(MID(C1953,4,3)),Guide!$D$7:$D$18,0),0)),0)</f>
        <v>3</v>
      </c>
      <c r="F1953" s="1">
        <f t="shared" si="241"/>
        <v>3</v>
      </c>
      <c r="G1953" s="9">
        <f t="shared" si="242"/>
        <v>46084</v>
      </c>
      <c r="H1953" s="1" t="str">
        <f>IF(Raw!D1953="","",Raw!D1953)</f>
        <v>P-O</v>
      </c>
      <c r="I1953" s="1" t="str">
        <f>IFERROR(IF(EXACT(H1953,INDEX(Guide!$A$7:$A$9,MATCH(SUBSTITUTE(SUBSTITUTE(SUBSTITUTE(H1953,"~","~~"),"*","~*"),"?","~?"),Guide!$A$7:$A$9,0))),INDEX(Guide!$B$7:$B$9,MATCH(SUBSTITUTE(SUBSTITUTE(SUBSTITUTE(H1953,"~","~~"),"*","~*"),"?","~?"),Guide!$A$7:$A$9,0)),""),"")</f>
        <v>Office</v>
      </c>
      <c r="J1953" s="1" t="str">
        <f>IF(TRIM(Raw!E1953)="",I1953,IF(UPPER(TRIM(Raw!E1953))=UPPER(I1953),I1953,""))</f>
        <v>Office</v>
      </c>
      <c r="K1953" s="1" t="str">
        <f>IF(Raw!F1953="","",Raw!F1953)</f>
        <v>sale</v>
      </c>
      <c r="L1953" s="1" t="str">
        <f>IF(LEFT(TRIM(Raw!G1953),2)="-$","-"&amp;MID(TRIM(Raw!G1953),3,99),IF(LEFT(TRIM(Raw!G1953),1)="$",MID(TRIM(Raw!G1953),2,99),TRIM(Raw!G1953)))</f>
        <v>15.03</v>
      </c>
      <c r="M1953" s="1">
        <f t="shared" si="243"/>
        <v>15.03</v>
      </c>
      <c r="N1953" s="10">
        <f t="shared" si="244"/>
        <v>1503</v>
      </c>
      <c r="O1953" s="1" t="b">
        <f>IFERROR(IF(ISNUMBER(Raw!G1953),TRUE,OR(EXACT(L1953,TEXT(M1953,"0.00")),EXACT(L1953,TEXT(M1953,"#,##0.00")))),FALSE)</f>
        <v>1</v>
      </c>
      <c r="P1953" s="1" t="str">
        <f>LEN(IF(Raw!A1953="","",Raw!A1953))&amp;":"&amp;IF(Raw!A1953="","",Raw!A1953)&amp;"|"&amp;LEN(IF(Raw!B1953="","",Raw!B1953))&amp;":"&amp;IF(Raw!B1953="","",Raw!B1953)&amp;"|"&amp;LEN(IF(Raw!C1953="","",Raw!C1953))&amp;":"&amp;IF(Raw!C1953="","",Raw!C1953)&amp;"|"&amp;LEN(IF(Raw!D1953="","",Raw!D1953))&amp;":"&amp;IF(Raw!D1953="","",Raw!D1953)&amp;"|"&amp;LEN(IF(Raw!E1953="","",Raw!E1953))&amp;":"&amp;IF(Raw!E1953="","",Raw!E1953)&amp;"|"&amp;LEN(IF(Raw!F1953="","",Raw!F1953))&amp;":"&amp;IF(Raw!F1953="","",Raw!F1953)&amp;"|"&amp;LEN(IF(Raw!G1953="","",Raw!G1953))&amp;":"&amp;IF(Raw!G1953="","",Raw!G1953)</f>
        <v>6:L01947|6:T00974|10:2026-03-03|3:P-O|6:Office|4:sale|5:15.03</v>
      </c>
      <c r="Q1953" s="1">
        <f>1</f>
        <v>1</v>
      </c>
      <c r="R1953" s="1" t="b">
        <f>FALSE</f>
        <v>0</v>
      </c>
      <c r="S1953" s="1">
        <f>1</f>
        <v>1</v>
      </c>
      <c r="T1953" s="1" t="str">
        <f>IF(AND(Raw!A1953="",Raw!B1953="",Raw!C1953="",Raw!D1953="",Raw!E1953="",Raw!F1953="",Raw!G1953=""),"UNUSED",IF(A1953="","missing line ID",IF(B1953="","missing transaction ID",IF(G1953="",IF(C1953="","missing date","invalid date"),IF(I1953="","unknown product",IF(J1953="","conflicting category",IF(NOT(OR(EXACT(K1953,"sale"),EXACT(K1953,"refund"))),"unknown event",IF(OR(N1953="",NOT(O1953)),"invalid amount",IF(OR(AND(K1953="sale",N1953&lt;=0),AND(K1953="refund",N1953&gt;=0)),"invalid sign","")))))))))</f>
        <v/>
      </c>
      <c r="U1953" s="1" t="str">
        <f t="shared" si="245"/>
        <v>INCLUDED</v>
      </c>
      <c r="V1953" s="1" t="str">
        <f t="shared" si="246"/>
        <v>2026-03</v>
      </c>
      <c r="W1953" s="1">
        <f>IF(AND(U1953="INCLUDED",X1953&gt;0,EXACT(A1953,'AI output'!A1953)),1,0)</f>
        <v>1</v>
      </c>
      <c r="X1953" s="1">
        <f>1953</f>
        <v>1953</v>
      </c>
      <c r="Y1953" s="1">
        <f>IF(AND(U1953="INCLUDED",W1953=1),--(NOT(EXACT(A1953,'AI output'!A1953)))+--(NOT(EXACT(B1953,'AI output'!B1953)))+--(NOT(EXACT(TEXT(G1953,"yyyy-mm-dd"),'AI output'!C1953)))+--(NOT(EXACT(H1953,'AI output'!D1953)))+--(NOT(EXACT(J1953,'AI output'!E1953)))+--(NOT(EXACT(K1953,'AI output'!F1953)))+--(N1953&lt;&gt;'AI output'!L1953)+--(NOT('AI output'!M1953)),0)</f>
        <v>0</v>
      </c>
      <c r="Z1953" s="1">
        <f t="shared" si="247"/>
        <v>0</v>
      </c>
      <c r="AA1953" s="1">
        <f>--EXACT(A1953,"L01947")</f>
        <v>1</v>
      </c>
    </row>
    <row r="1954" spans="1:27" ht="18.95" customHeight="1">
      <c r="A1954" s="1" t="str">
        <f>IF(Raw!A1954="","",Raw!A1954)</f>
        <v>L01948</v>
      </c>
      <c r="B1954" s="1" t="str">
        <f>IF(Raw!B1954="","",Raw!B1954)</f>
        <v>T00974</v>
      </c>
      <c r="C1954" s="1" t="str">
        <f>IF(Raw!C1954="","",Raw!C1954)</f>
        <v>2026-03-03</v>
      </c>
      <c r="D1954" s="1">
        <f t="shared" si="240"/>
        <v>2026</v>
      </c>
      <c r="E1954" s="1">
        <f>IFERROR(IF(AND(LEN(C1954)=10,MID(C1954,5,1)="-",MID(C1954,8,1)="-"),VALUE(MID(C1954,6,2)),IF(AND(LEN(C1954)=11,MID(C1954,3,1)="-",MID(C1954,7,1)="-"),MATCH(UPPER(MID(C1954,4,3)),Guide!$D$7:$D$18,0),0)),0)</f>
        <v>3</v>
      </c>
      <c r="F1954" s="1">
        <f t="shared" si="241"/>
        <v>3</v>
      </c>
      <c r="G1954" s="9">
        <f t="shared" si="242"/>
        <v>46084</v>
      </c>
      <c r="H1954" s="1" t="str">
        <f>IF(Raw!D1954="","",Raw!D1954)</f>
        <v>P-A</v>
      </c>
      <c r="I1954" s="1" t="str">
        <f>IFERROR(IF(EXACT(H1954,INDEX(Guide!$A$7:$A$9,MATCH(SUBSTITUTE(SUBSTITUTE(SUBSTITUTE(H1954,"~","~~"),"*","~*"),"?","~?"),Guide!$A$7:$A$9,0))),INDEX(Guide!$B$7:$B$9,MATCH(SUBSTITUTE(SUBSTITUTE(SUBSTITUTE(H1954,"~","~~"),"*","~*"),"?","~?"),Guide!$A$7:$A$9,0)),""),"")</f>
        <v>Accessories</v>
      </c>
      <c r="J1954" s="1" t="str">
        <f>IF(TRIM(Raw!E1954)="",I1954,IF(UPPER(TRIM(Raw!E1954))=UPPER(I1954),I1954,""))</f>
        <v>Accessories</v>
      </c>
      <c r="K1954" s="1" t="str">
        <f>IF(Raw!F1954="","",Raw!F1954)</f>
        <v>sale</v>
      </c>
      <c r="L1954" s="1" t="str">
        <f>IF(LEFT(TRIM(Raw!G1954),2)="-$","-"&amp;MID(TRIM(Raw!G1954),3,99),IF(LEFT(TRIM(Raw!G1954),1)="$",MID(TRIM(Raw!G1954),2,99),TRIM(Raw!G1954)))</f>
        <v>26.90</v>
      </c>
      <c r="M1954" s="1">
        <f t="shared" si="243"/>
        <v>26.9</v>
      </c>
      <c r="N1954" s="10">
        <f t="shared" si="244"/>
        <v>2690</v>
      </c>
      <c r="O1954" s="1" t="b">
        <f>IFERROR(IF(ISNUMBER(Raw!G1954),TRUE,OR(EXACT(L1954,TEXT(M1954,"0.00")),EXACT(L1954,TEXT(M1954,"#,##0.00")))),FALSE)</f>
        <v>1</v>
      </c>
      <c r="P1954" s="1" t="str">
        <f>LEN(IF(Raw!A1954="","",Raw!A1954))&amp;":"&amp;IF(Raw!A1954="","",Raw!A1954)&amp;"|"&amp;LEN(IF(Raw!B1954="","",Raw!B1954))&amp;":"&amp;IF(Raw!B1954="","",Raw!B1954)&amp;"|"&amp;LEN(IF(Raw!C1954="","",Raw!C1954))&amp;":"&amp;IF(Raw!C1954="","",Raw!C1954)&amp;"|"&amp;LEN(IF(Raw!D1954="","",Raw!D1954))&amp;":"&amp;IF(Raw!D1954="","",Raw!D1954)&amp;"|"&amp;LEN(IF(Raw!E1954="","",Raw!E1954))&amp;":"&amp;IF(Raw!E1954="","",Raw!E1954)&amp;"|"&amp;LEN(IF(Raw!F1954="","",Raw!F1954))&amp;":"&amp;IF(Raw!F1954="","",Raw!F1954)&amp;"|"&amp;LEN(IF(Raw!G1954="","",Raw!G1954))&amp;":"&amp;IF(Raw!G1954="","",Raw!G1954)</f>
        <v>6:L01948|6:T00974|10:2026-03-03|3:P-A|11:Accessories|4:sale|5:26.90</v>
      </c>
      <c r="Q1954" s="1">
        <f>1</f>
        <v>1</v>
      </c>
      <c r="R1954" s="1" t="b">
        <f>FALSE</f>
        <v>0</v>
      </c>
      <c r="S1954" s="1">
        <f>1</f>
        <v>1</v>
      </c>
      <c r="T1954" s="1" t="str">
        <f>IF(AND(Raw!A1954="",Raw!B1954="",Raw!C1954="",Raw!D1954="",Raw!E1954="",Raw!F1954="",Raw!G1954=""),"UNUSED",IF(A1954="","missing line ID",IF(B1954="","missing transaction ID",IF(G1954="",IF(C1954="","missing date","invalid date"),IF(I1954="","unknown product",IF(J1954="","conflicting category",IF(NOT(OR(EXACT(K1954,"sale"),EXACT(K1954,"refund"))),"unknown event",IF(OR(N1954="",NOT(O1954)),"invalid amount",IF(OR(AND(K1954="sale",N1954&lt;=0),AND(K1954="refund",N1954&gt;=0)),"invalid sign","")))))))))</f>
        <v/>
      </c>
      <c r="U1954" s="1" t="str">
        <f t="shared" si="245"/>
        <v>INCLUDED</v>
      </c>
      <c r="V1954" s="1" t="str">
        <f t="shared" si="246"/>
        <v>2026-03</v>
      </c>
      <c r="W1954" s="1">
        <f>IF(AND(U1954="INCLUDED",X1954&gt;0,EXACT(A1954,'AI output'!A1954)),1,0)</f>
        <v>1</v>
      </c>
      <c r="X1954" s="1">
        <f>1954</f>
        <v>1954</v>
      </c>
      <c r="Y1954" s="1">
        <f>IF(AND(U1954="INCLUDED",W1954=1),--(NOT(EXACT(A1954,'AI output'!A1954)))+--(NOT(EXACT(B1954,'AI output'!B1954)))+--(NOT(EXACT(TEXT(G1954,"yyyy-mm-dd"),'AI output'!C1954)))+--(NOT(EXACT(H1954,'AI output'!D1954)))+--(NOT(EXACT(J1954,'AI output'!E1954)))+--(NOT(EXACT(K1954,'AI output'!F1954)))+--(N1954&lt;&gt;'AI output'!L1954)+--(NOT('AI output'!M1954)),0)</f>
        <v>0</v>
      </c>
      <c r="Z1954" s="1">
        <f t="shared" si="247"/>
        <v>0</v>
      </c>
      <c r="AA1954" s="1">
        <f>--EXACT(A1954,"L01948")</f>
        <v>1</v>
      </c>
    </row>
    <row r="1955" spans="1:27" ht="18.95" customHeight="1">
      <c r="A1955" s="1" t="str">
        <f>IF(Raw!A1955="","",Raw!A1955)</f>
        <v>L01949</v>
      </c>
      <c r="B1955" s="1" t="str">
        <f>IF(Raw!B1955="","",Raw!B1955)</f>
        <v>T00975</v>
      </c>
      <c r="C1955" s="1" t="str">
        <f>IF(Raw!C1955="","",Raw!C1955)</f>
        <v>2026-03-10</v>
      </c>
      <c r="D1955" s="1">
        <f t="shared" si="240"/>
        <v>2026</v>
      </c>
      <c r="E1955" s="1">
        <f>IFERROR(IF(AND(LEN(C1955)=10,MID(C1955,5,1)="-",MID(C1955,8,1)="-"),VALUE(MID(C1955,6,2)),IF(AND(LEN(C1955)=11,MID(C1955,3,1)="-",MID(C1955,7,1)="-"),MATCH(UPPER(MID(C1955,4,3)),Guide!$D$7:$D$18,0),0)),0)</f>
        <v>3</v>
      </c>
      <c r="F1955" s="1">
        <f t="shared" si="241"/>
        <v>10</v>
      </c>
      <c r="G1955" s="9">
        <f t="shared" si="242"/>
        <v>46091</v>
      </c>
      <c r="H1955" s="1" t="str">
        <f>IF(Raw!D1955="","",Raw!D1955)</f>
        <v>P-H</v>
      </c>
      <c r="I1955" s="1" t="str">
        <f>IFERROR(IF(EXACT(H1955,INDEX(Guide!$A$7:$A$9,MATCH(SUBSTITUTE(SUBSTITUTE(SUBSTITUTE(H1955,"~","~~"),"*","~*"),"?","~?"),Guide!$A$7:$A$9,0))),INDEX(Guide!$B$7:$B$9,MATCH(SUBSTITUTE(SUBSTITUTE(SUBSTITUTE(H1955,"~","~~"),"*","~*"),"?","~?"),Guide!$A$7:$A$9,0)),""),"")</f>
        <v>Home</v>
      </c>
      <c r="J1955" s="1" t="str">
        <f>IF(TRIM(Raw!E1955)="",I1955,IF(UPPER(TRIM(Raw!E1955))=UPPER(I1955),I1955,""))</f>
        <v>Home</v>
      </c>
      <c r="K1955" s="1" t="str">
        <f>IF(Raw!F1955="","",Raw!F1955)</f>
        <v>sale</v>
      </c>
      <c r="L1955" s="1" t="str">
        <f>IF(LEFT(TRIM(Raw!G1955),2)="-$","-"&amp;MID(TRIM(Raw!G1955),3,99),IF(LEFT(TRIM(Raw!G1955),1)="$",MID(TRIM(Raw!G1955),2,99),TRIM(Raw!G1955)))</f>
        <v>11.50</v>
      </c>
      <c r="M1955" s="1">
        <f t="shared" si="243"/>
        <v>11.5</v>
      </c>
      <c r="N1955" s="10">
        <f t="shared" si="244"/>
        <v>1150</v>
      </c>
      <c r="O1955" s="1" t="b">
        <f>IFERROR(IF(ISNUMBER(Raw!G1955),TRUE,OR(EXACT(L1955,TEXT(M1955,"0.00")),EXACT(L1955,TEXT(M1955,"#,##0.00")))),FALSE)</f>
        <v>1</v>
      </c>
      <c r="P1955" s="1" t="str">
        <f>LEN(IF(Raw!A1955="","",Raw!A1955))&amp;":"&amp;IF(Raw!A1955="","",Raw!A1955)&amp;"|"&amp;LEN(IF(Raw!B1955="","",Raw!B1955))&amp;":"&amp;IF(Raw!B1955="","",Raw!B1955)&amp;"|"&amp;LEN(IF(Raw!C1955="","",Raw!C1955))&amp;":"&amp;IF(Raw!C1955="","",Raw!C1955)&amp;"|"&amp;LEN(IF(Raw!D1955="","",Raw!D1955))&amp;":"&amp;IF(Raw!D1955="","",Raw!D1955)&amp;"|"&amp;LEN(IF(Raw!E1955="","",Raw!E1955))&amp;":"&amp;IF(Raw!E1955="","",Raw!E1955)&amp;"|"&amp;LEN(IF(Raw!F1955="","",Raw!F1955))&amp;":"&amp;IF(Raw!F1955="","",Raw!F1955)&amp;"|"&amp;LEN(IF(Raw!G1955="","",Raw!G1955))&amp;":"&amp;IF(Raw!G1955="","",Raw!G1955)</f>
        <v>6:L01949|6:T00975|10:2026-03-10|3:P-H|4:Home|4:sale|5:11.50</v>
      </c>
      <c r="Q1955" s="1">
        <f>1</f>
        <v>1</v>
      </c>
      <c r="R1955" s="1" t="b">
        <f>FALSE</f>
        <v>0</v>
      </c>
      <c r="S1955" s="1">
        <f>1</f>
        <v>1</v>
      </c>
      <c r="T1955" s="1" t="str">
        <f>IF(AND(Raw!A1955="",Raw!B1955="",Raw!C1955="",Raw!D1955="",Raw!E1955="",Raw!F1955="",Raw!G1955=""),"UNUSED",IF(A1955="","missing line ID",IF(B1955="","missing transaction ID",IF(G1955="",IF(C1955="","missing date","invalid date"),IF(I1955="","unknown product",IF(J1955="","conflicting category",IF(NOT(OR(EXACT(K1955,"sale"),EXACT(K1955,"refund"))),"unknown event",IF(OR(N1955="",NOT(O1955)),"invalid amount",IF(OR(AND(K1955="sale",N1955&lt;=0),AND(K1955="refund",N1955&gt;=0)),"invalid sign","")))))))))</f>
        <v/>
      </c>
      <c r="U1955" s="1" t="str">
        <f t="shared" si="245"/>
        <v>INCLUDED</v>
      </c>
      <c r="V1955" s="1" t="str">
        <f t="shared" si="246"/>
        <v>2026-03</v>
      </c>
      <c r="W1955" s="1">
        <f>IF(AND(U1955="INCLUDED",X1955&gt;0,EXACT(A1955,'AI output'!A1955)),1,0)</f>
        <v>1</v>
      </c>
      <c r="X1955" s="1">
        <f>1955</f>
        <v>1955</v>
      </c>
      <c r="Y1955" s="1">
        <f>IF(AND(U1955="INCLUDED",W1955=1),--(NOT(EXACT(A1955,'AI output'!A1955)))+--(NOT(EXACT(B1955,'AI output'!B1955)))+--(NOT(EXACT(TEXT(G1955,"yyyy-mm-dd"),'AI output'!C1955)))+--(NOT(EXACT(H1955,'AI output'!D1955)))+--(NOT(EXACT(J1955,'AI output'!E1955)))+--(NOT(EXACT(K1955,'AI output'!F1955)))+--(N1955&lt;&gt;'AI output'!L1955)+--(NOT('AI output'!M1955)),0)</f>
        <v>0</v>
      </c>
      <c r="Z1955" s="1">
        <f t="shared" si="247"/>
        <v>0</v>
      </c>
      <c r="AA1955" s="1">
        <f>--EXACT(A1955,"L01949")</f>
        <v>1</v>
      </c>
    </row>
    <row r="1956" spans="1:27" ht="18.95" customHeight="1">
      <c r="A1956" s="1" t="str">
        <f>IF(Raw!A1956="","",Raw!A1956)</f>
        <v>L01950</v>
      </c>
      <c r="B1956" s="1" t="str">
        <f>IF(Raw!B1956="","",Raw!B1956)</f>
        <v>T00975</v>
      </c>
      <c r="C1956" s="1" t="str">
        <f>IF(Raw!C1956="","",Raw!C1956)</f>
        <v>2026-03-10</v>
      </c>
      <c r="D1956" s="1">
        <f t="shared" si="240"/>
        <v>2026</v>
      </c>
      <c r="E1956" s="1">
        <f>IFERROR(IF(AND(LEN(C1956)=10,MID(C1956,5,1)="-",MID(C1956,8,1)="-"),VALUE(MID(C1956,6,2)),IF(AND(LEN(C1956)=11,MID(C1956,3,1)="-",MID(C1956,7,1)="-"),MATCH(UPPER(MID(C1956,4,3)),Guide!$D$7:$D$18,0),0)),0)</f>
        <v>3</v>
      </c>
      <c r="F1956" s="1">
        <f t="shared" si="241"/>
        <v>10</v>
      </c>
      <c r="G1956" s="9">
        <f t="shared" si="242"/>
        <v>46091</v>
      </c>
      <c r="H1956" s="1" t="str">
        <f>IF(Raw!D1956="","",Raw!D1956)</f>
        <v>P-O</v>
      </c>
      <c r="I1956" s="1" t="str">
        <f>IFERROR(IF(EXACT(H1956,INDEX(Guide!$A$7:$A$9,MATCH(SUBSTITUTE(SUBSTITUTE(SUBSTITUTE(H1956,"~","~~"),"*","~*"),"?","~?"),Guide!$A$7:$A$9,0))),INDEX(Guide!$B$7:$B$9,MATCH(SUBSTITUTE(SUBSTITUTE(SUBSTITUTE(H1956,"~","~~"),"*","~*"),"?","~?"),Guide!$A$7:$A$9,0)),""),"")</f>
        <v>Office</v>
      </c>
      <c r="J1956" s="1" t="str">
        <f>IF(TRIM(Raw!E1956)="",I1956,IF(UPPER(TRIM(Raw!E1956))=UPPER(I1956),I1956,""))</f>
        <v>Office</v>
      </c>
      <c r="K1956" s="1" t="str">
        <f>IF(Raw!F1956="","",Raw!F1956)</f>
        <v>sale</v>
      </c>
      <c r="L1956" s="1" t="str">
        <f>IF(LEFT(TRIM(Raw!G1956),2)="-$","-"&amp;MID(TRIM(Raw!G1956),3,99),IF(LEFT(TRIM(Raw!G1956),1)="$",MID(TRIM(Raw!G1956),2,99),TRIM(Raw!G1956)))</f>
        <v>24.48</v>
      </c>
      <c r="M1956" s="1">
        <f t="shared" si="243"/>
        <v>24.48</v>
      </c>
      <c r="N1956" s="10">
        <f t="shared" si="244"/>
        <v>2448</v>
      </c>
      <c r="O1956" s="1" t="b">
        <f>IFERROR(IF(ISNUMBER(Raw!G1956),TRUE,OR(EXACT(L1956,TEXT(M1956,"0.00")),EXACT(L1956,TEXT(M1956,"#,##0.00")))),FALSE)</f>
        <v>1</v>
      </c>
      <c r="P1956" s="1" t="str">
        <f>LEN(IF(Raw!A1956="","",Raw!A1956))&amp;":"&amp;IF(Raw!A1956="","",Raw!A1956)&amp;"|"&amp;LEN(IF(Raw!B1956="","",Raw!B1956))&amp;":"&amp;IF(Raw!B1956="","",Raw!B1956)&amp;"|"&amp;LEN(IF(Raw!C1956="","",Raw!C1956))&amp;":"&amp;IF(Raw!C1956="","",Raw!C1956)&amp;"|"&amp;LEN(IF(Raw!D1956="","",Raw!D1956))&amp;":"&amp;IF(Raw!D1956="","",Raw!D1956)&amp;"|"&amp;LEN(IF(Raw!E1956="","",Raw!E1956))&amp;":"&amp;IF(Raw!E1956="","",Raw!E1956)&amp;"|"&amp;LEN(IF(Raw!F1956="","",Raw!F1956))&amp;":"&amp;IF(Raw!F1956="","",Raw!F1956)&amp;"|"&amp;LEN(IF(Raw!G1956="","",Raw!G1956))&amp;":"&amp;IF(Raw!G1956="","",Raw!G1956)</f>
        <v>6:L01950|6:T00975|10:2026-03-10|3:P-O|6:Office|4:sale|5:24.48</v>
      </c>
      <c r="Q1956" s="1">
        <f>1</f>
        <v>1</v>
      </c>
      <c r="R1956" s="1" t="b">
        <f>FALSE</f>
        <v>0</v>
      </c>
      <c r="S1956" s="1">
        <f>1</f>
        <v>1</v>
      </c>
      <c r="T1956" s="1" t="str">
        <f>IF(AND(Raw!A1956="",Raw!B1956="",Raw!C1956="",Raw!D1956="",Raw!E1956="",Raw!F1956="",Raw!G1956=""),"UNUSED",IF(A1956="","missing line ID",IF(B1956="","missing transaction ID",IF(G1956="",IF(C1956="","missing date","invalid date"),IF(I1956="","unknown product",IF(J1956="","conflicting category",IF(NOT(OR(EXACT(K1956,"sale"),EXACT(K1956,"refund"))),"unknown event",IF(OR(N1956="",NOT(O1956)),"invalid amount",IF(OR(AND(K1956="sale",N1956&lt;=0),AND(K1956="refund",N1956&gt;=0)),"invalid sign","")))))))))</f>
        <v/>
      </c>
      <c r="U1956" s="1" t="str">
        <f t="shared" si="245"/>
        <v>INCLUDED</v>
      </c>
      <c r="V1956" s="1" t="str">
        <f t="shared" si="246"/>
        <v>2026-03</v>
      </c>
      <c r="W1956" s="1">
        <f>IF(AND(U1956="INCLUDED",X1956&gt;0,EXACT(A1956,'AI output'!A1956)),1,0)</f>
        <v>1</v>
      </c>
      <c r="X1956" s="1">
        <f>1956</f>
        <v>1956</v>
      </c>
      <c r="Y1956" s="1">
        <f>IF(AND(U1956="INCLUDED",W1956=1),--(NOT(EXACT(A1956,'AI output'!A1956)))+--(NOT(EXACT(B1956,'AI output'!B1956)))+--(NOT(EXACT(TEXT(G1956,"yyyy-mm-dd"),'AI output'!C1956)))+--(NOT(EXACT(H1956,'AI output'!D1956)))+--(NOT(EXACT(J1956,'AI output'!E1956)))+--(NOT(EXACT(K1956,'AI output'!F1956)))+--(N1956&lt;&gt;'AI output'!L1956)+--(NOT('AI output'!M1956)),0)</f>
        <v>0</v>
      </c>
      <c r="Z1956" s="1">
        <f t="shared" si="247"/>
        <v>0</v>
      </c>
      <c r="AA1956" s="1">
        <f>--EXACT(A1956,"L01950")</f>
        <v>1</v>
      </c>
    </row>
    <row r="1957" spans="1:27" ht="18.95" customHeight="1">
      <c r="A1957" s="1" t="str">
        <f>IF(Raw!A1957="","",Raw!A1957)</f>
        <v>L01951</v>
      </c>
      <c r="B1957" s="1" t="str">
        <f>IF(Raw!B1957="","",Raw!B1957)</f>
        <v>T00976</v>
      </c>
      <c r="C1957" s="1" t="str">
        <f>IF(Raw!C1957="","",Raw!C1957)</f>
        <v>2026-03-17</v>
      </c>
      <c r="D1957" s="1">
        <f t="shared" si="240"/>
        <v>2026</v>
      </c>
      <c r="E1957" s="1">
        <f>IFERROR(IF(AND(LEN(C1957)=10,MID(C1957,5,1)="-",MID(C1957,8,1)="-"),VALUE(MID(C1957,6,2)),IF(AND(LEN(C1957)=11,MID(C1957,3,1)="-",MID(C1957,7,1)="-"),MATCH(UPPER(MID(C1957,4,3)),Guide!$D$7:$D$18,0),0)),0)</f>
        <v>3</v>
      </c>
      <c r="F1957" s="1">
        <f t="shared" si="241"/>
        <v>17</v>
      </c>
      <c r="G1957" s="9">
        <f t="shared" si="242"/>
        <v>46098</v>
      </c>
      <c r="H1957" s="1" t="str">
        <f>IF(Raw!D1957="","",Raw!D1957)</f>
        <v>P-A</v>
      </c>
      <c r="I1957" s="1" t="str">
        <f>IFERROR(IF(EXACT(H1957,INDEX(Guide!$A$7:$A$9,MATCH(SUBSTITUTE(SUBSTITUTE(SUBSTITUTE(H1957,"~","~~"),"*","~*"),"?","~?"),Guide!$A$7:$A$9,0))),INDEX(Guide!$B$7:$B$9,MATCH(SUBSTITUTE(SUBSTITUTE(SUBSTITUTE(H1957,"~","~~"),"*","~*"),"?","~?"),Guide!$A$7:$A$9,0)),""),"")</f>
        <v>Accessories</v>
      </c>
      <c r="J1957" s="1" t="str">
        <f>IF(TRIM(Raw!E1957)="",I1957,IF(UPPER(TRIM(Raw!E1957))=UPPER(I1957),I1957,""))</f>
        <v>Accessories</v>
      </c>
      <c r="K1957" s="1" t="str">
        <f>IF(Raw!F1957="","",Raw!F1957)</f>
        <v>sale</v>
      </c>
      <c r="L1957" s="1" t="str">
        <f>IF(LEFT(TRIM(Raw!G1957),2)="-$","-"&amp;MID(TRIM(Raw!G1957),3,99),IF(LEFT(TRIM(Raw!G1957),1)="$",MID(TRIM(Raw!G1957),2,99),TRIM(Raw!G1957)))</f>
        <v>6.49</v>
      </c>
      <c r="M1957" s="1">
        <f t="shared" si="243"/>
        <v>6.49</v>
      </c>
      <c r="N1957" s="10">
        <f t="shared" si="244"/>
        <v>649</v>
      </c>
      <c r="O1957" s="1" t="b">
        <f>IFERROR(IF(ISNUMBER(Raw!G1957),TRUE,OR(EXACT(L1957,TEXT(M1957,"0.00")),EXACT(L1957,TEXT(M1957,"#,##0.00")))),FALSE)</f>
        <v>1</v>
      </c>
      <c r="P1957" s="1" t="str">
        <f>LEN(IF(Raw!A1957="","",Raw!A1957))&amp;":"&amp;IF(Raw!A1957="","",Raw!A1957)&amp;"|"&amp;LEN(IF(Raw!B1957="","",Raw!B1957))&amp;":"&amp;IF(Raw!B1957="","",Raw!B1957)&amp;"|"&amp;LEN(IF(Raw!C1957="","",Raw!C1957))&amp;":"&amp;IF(Raw!C1957="","",Raw!C1957)&amp;"|"&amp;LEN(IF(Raw!D1957="","",Raw!D1957))&amp;":"&amp;IF(Raw!D1957="","",Raw!D1957)&amp;"|"&amp;LEN(IF(Raw!E1957="","",Raw!E1957))&amp;":"&amp;IF(Raw!E1957="","",Raw!E1957)&amp;"|"&amp;LEN(IF(Raw!F1957="","",Raw!F1957))&amp;":"&amp;IF(Raw!F1957="","",Raw!F1957)&amp;"|"&amp;LEN(IF(Raw!G1957="","",Raw!G1957))&amp;":"&amp;IF(Raw!G1957="","",Raw!G1957)</f>
        <v>6:L01951|6:T00976|10:2026-03-17|3:P-A|11:Accessories|4:sale|4:6.49</v>
      </c>
      <c r="Q1957" s="1">
        <f>1</f>
        <v>1</v>
      </c>
      <c r="R1957" s="1" t="b">
        <f>FALSE</f>
        <v>0</v>
      </c>
      <c r="S1957" s="1">
        <f>1</f>
        <v>1</v>
      </c>
      <c r="T1957" s="1" t="str">
        <f>IF(AND(Raw!A1957="",Raw!B1957="",Raw!C1957="",Raw!D1957="",Raw!E1957="",Raw!F1957="",Raw!G1957=""),"UNUSED",IF(A1957="","missing line ID",IF(B1957="","missing transaction ID",IF(G1957="",IF(C1957="","missing date","invalid date"),IF(I1957="","unknown product",IF(J1957="","conflicting category",IF(NOT(OR(EXACT(K1957,"sale"),EXACT(K1957,"refund"))),"unknown event",IF(OR(N1957="",NOT(O1957)),"invalid amount",IF(OR(AND(K1957="sale",N1957&lt;=0),AND(K1957="refund",N1957&gt;=0)),"invalid sign","")))))))))</f>
        <v/>
      </c>
      <c r="U1957" s="1" t="str">
        <f t="shared" si="245"/>
        <v>INCLUDED</v>
      </c>
      <c r="V1957" s="1" t="str">
        <f t="shared" si="246"/>
        <v>2026-03</v>
      </c>
      <c r="W1957" s="1">
        <f>IF(AND(U1957="INCLUDED",X1957&gt;0,EXACT(A1957,'AI output'!A1957)),1,0)</f>
        <v>1</v>
      </c>
      <c r="X1957" s="1">
        <f>1957</f>
        <v>1957</v>
      </c>
      <c r="Y1957" s="1">
        <f>IF(AND(U1957="INCLUDED",W1957=1),--(NOT(EXACT(A1957,'AI output'!A1957)))+--(NOT(EXACT(B1957,'AI output'!B1957)))+--(NOT(EXACT(TEXT(G1957,"yyyy-mm-dd"),'AI output'!C1957)))+--(NOT(EXACT(H1957,'AI output'!D1957)))+--(NOT(EXACT(J1957,'AI output'!E1957)))+--(NOT(EXACT(K1957,'AI output'!F1957)))+--(N1957&lt;&gt;'AI output'!L1957)+--(NOT('AI output'!M1957)),0)</f>
        <v>0</v>
      </c>
      <c r="Z1957" s="1">
        <f t="shared" si="247"/>
        <v>0</v>
      </c>
      <c r="AA1957" s="1">
        <f>--EXACT(A1957,"L01951")</f>
        <v>1</v>
      </c>
    </row>
    <row r="1958" spans="1:27" ht="18.95" customHeight="1">
      <c r="A1958" s="1" t="str">
        <f>IF(Raw!A1958="","",Raw!A1958)</f>
        <v>L01952</v>
      </c>
      <c r="B1958" s="1" t="str">
        <f>IF(Raw!B1958="","",Raw!B1958)</f>
        <v>T00976</v>
      </c>
      <c r="C1958" s="1" t="str">
        <f>IF(Raw!C1958="","",Raw!C1958)</f>
        <v>2026-03-17</v>
      </c>
      <c r="D1958" s="1">
        <f t="shared" si="240"/>
        <v>2026</v>
      </c>
      <c r="E1958" s="1">
        <f>IFERROR(IF(AND(LEN(C1958)=10,MID(C1958,5,1)="-",MID(C1958,8,1)="-"),VALUE(MID(C1958,6,2)),IF(AND(LEN(C1958)=11,MID(C1958,3,1)="-",MID(C1958,7,1)="-"),MATCH(UPPER(MID(C1958,4,3)),Guide!$D$7:$D$18,0),0)),0)</f>
        <v>3</v>
      </c>
      <c r="F1958" s="1">
        <f t="shared" si="241"/>
        <v>17</v>
      </c>
      <c r="G1958" s="9">
        <f t="shared" si="242"/>
        <v>46098</v>
      </c>
      <c r="H1958" s="1" t="str">
        <f>IF(Raw!D1958="","",Raw!D1958)</f>
        <v>P-H</v>
      </c>
      <c r="I1958" s="1" t="str">
        <f>IFERROR(IF(EXACT(H1958,INDEX(Guide!$A$7:$A$9,MATCH(SUBSTITUTE(SUBSTITUTE(SUBSTITUTE(H1958,"~","~~"),"*","~*"),"?","~?"),Guide!$A$7:$A$9,0))),INDEX(Guide!$B$7:$B$9,MATCH(SUBSTITUTE(SUBSTITUTE(SUBSTITUTE(H1958,"~","~~"),"*","~*"),"?","~?"),Guide!$A$7:$A$9,0)),""),"")</f>
        <v>Home</v>
      </c>
      <c r="J1958" s="1" t="str">
        <f>IF(TRIM(Raw!E1958)="",I1958,IF(UPPER(TRIM(Raw!E1958))=UPPER(I1958),I1958,""))</f>
        <v>Home</v>
      </c>
      <c r="K1958" s="1" t="str">
        <f>IF(Raw!F1958="","",Raw!F1958)</f>
        <v>sale</v>
      </c>
      <c r="L1958" s="1" t="str">
        <f>IF(LEFT(TRIM(Raw!G1958),2)="-$","-"&amp;MID(TRIM(Raw!G1958),3,99),IF(LEFT(TRIM(Raw!G1958),1)="$",MID(TRIM(Raw!G1958),2,99),TRIM(Raw!G1958)))</f>
        <v>20.58</v>
      </c>
      <c r="M1958" s="1">
        <f t="shared" si="243"/>
        <v>20.58</v>
      </c>
      <c r="N1958" s="10">
        <f t="shared" si="244"/>
        <v>2058</v>
      </c>
      <c r="O1958" s="1" t="b">
        <f>IFERROR(IF(ISNUMBER(Raw!G1958),TRUE,OR(EXACT(L1958,TEXT(M1958,"0.00")),EXACT(L1958,TEXT(M1958,"#,##0.00")))),FALSE)</f>
        <v>1</v>
      </c>
      <c r="P1958" s="1" t="str">
        <f>LEN(IF(Raw!A1958="","",Raw!A1958))&amp;":"&amp;IF(Raw!A1958="","",Raw!A1958)&amp;"|"&amp;LEN(IF(Raw!B1958="","",Raw!B1958))&amp;":"&amp;IF(Raw!B1958="","",Raw!B1958)&amp;"|"&amp;LEN(IF(Raw!C1958="","",Raw!C1958))&amp;":"&amp;IF(Raw!C1958="","",Raw!C1958)&amp;"|"&amp;LEN(IF(Raw!D1958="","",Raw!D1958))&amp;":"&amp;IF(Raw!D1958="","",Raw!D1958)&amp;"|"&amp;LEN(IF(Raw!E1958="","",Raw!E1958))&amp;":"&amp;IF(Raw!E1958="","",Raw!E1958)&amp;"|"&amp;LEN(IF(Raw!F1958="","",Raw!F1958))&amp;":"&amp;IF(Raw!F1958="","",Raw!F1958)&amp;"|"&amp;LEN(IF(Raw!G1958="","",Raw!G1958))&amp;":"&amp;IF(Raw!G1958="","",Raw!G1958)</f>
        <v>6:L01952|6:T00976|10:2026-03-17|3:P-H|4:Home|4:sale|5:20.58</v>
      </c>
      <c r="Q1958" s="1">
        <f>1</f>
        <v>1</v>
      </c>
      <c r="R1958" s="1" t="b">
        <f>FALSE</f>
        <v>0</v>
      </c>
      <c r="S1958" s="1">
        <f>1</f>
        <v>1</v>
      </c>
      <c r="T1958" s="1" t="str">
        <f>IF(AND(Raw!A1958="",Raw!B1958="",Raw!C1958="",Raw!D1958="",Raw!E1958="",Raw!F1958="",Raw!G1958=""),"UNUSED",IF(A1958="","missing line ID",IF(B1958="","missing transaction ID",IF(G1958="",IF(C1958="","missing date","invalid date"),IF(I1958="","unknown product",IF(J1958="","conflicting category",IF(NOT(OR(EXACT(K1958,"sale"),EXACT(K1958,"refund"))),"unknown event",IF(OR(N1958="",NOT(O1958)),"invalid amount",IF(OR(AND(K1958="sale",N1958&lt;=0),AND(K1958="refund",N1958&gt;=0)),"invalid sign","")))))))))</f>
        <v/>
      </c>
      <c r="U1958" s="1" t="str">
        <f t="shared" si="245"/>
        <v>INCLUDED</v>
      </c>
      <c r="V1958" s="1" t="str">
        <f t="shared" si="246"/>
        <v>2026-03</v>
      </c>
      <c r="W1958" s="1">
        <f>IF(AND(U1958="INCLUDED",X1958&gt;0,EXACT(A1958,'AI output'!A1958)),1,0)</f>
        <v>1</v>
      </c>
      <c r="X1958" s="1">
        <f>1958</f>
        <v>1958</v>
      </c>
      <c r="Y1958" s="1">
        <f>IF(AND(U1958="INCLUDED",W1958=1),--(NOT(EXACT(A1958,'AI output'!A1958)))+--(NOT(EXACT(B1958,'AI output'!B1958)))+--(NOT(EXACT(TEXT(G1958,"yyyy-mm-dd"),'AI output'!C1958)))+--(NOT(EXACT(H1958,'AI output'!D1958)))+--(NOT(EXACT(J1958,'AI output'!E1958)))+--(NOT(EXACT(K1958,'AI output'!F1958)))+--(N1958&lt;&gt;'AI output'!L1958)+--(NOT('AI output'!M1958)),0)</f>
        <v>0</v>
      </c>
      <c r="Z1958" s="1">
        <f t="shared" si="247"/>
        <v>0</v>
      </c>
      <c r="AA1958" s="1">
        <f>--EXACT(A1958,"L01952")</f>
        <v>1</v>
      </c>
    </row>
    <row r="1959" spans="1:27" ht="18.95" customHeight="1">
      <c r="A1959" s="1" t="str">
        <f>IF(Raw!A1959="","",Raw!A1959)</f>
        <v>L01953</v>
      </c>
      <c r="B1959" s="1" t="str">
        <f>IF(Raw!B1959="","",Raw!B1959)</f>
        <v>T00977</v>
      </c>
      <c r="C1959" s="1" t="str">
        <f>IF(Raw!C1959="","",Raw!C1959)</f>
        <v>2026-03-24</v>
      </c>
      <c r="D1959" s="1">
        <f t="shared" si="240"/>
        <v>2026</v>
      </c>
      <c r="E1959" s="1">
        <f>IFERROR(IF(AND(LEN(C1959)=10,MID(C1959,5,1)="-",MID(C1959,8,1)="-"),VALUE(MID(C1959,6,2)),IF(AND(LEN(C1959)=11,MID(C1959,3,1)="-",MID(C1959,7,1)="-"),MATCH(UPPER(MID(C1959,4,3)),Guide!$D$7:$D$18,0),0)),0)</f>
        <v>3</v>
      </c>
      <c r="F1959" s="1">
        <f t="shared" si="241"/>
        <v>24</v>
      </c>
      <c r="G1959" s="9">
        <f t="shared" si="242"/>
        <v>46105</v>
      </c>
      <c r="H1959" s="1" t="str">
        <f>IF(Raw!D1959="","",Raw!D1959)</f>
        <v>P-O</v>
      </c>
      <c r="I1959" s="1" t="str">
        <f>IFERROR(IF(EXACT(H1959,INDEX(Guide!$A$7:$A$9,MATCH(SUBSTITUTE(SUBSTITUTE(SUBSTITUTE(H1959,"~","~~"),"*","~*"),"?","~?"),Guide!$A$7:$A$9,0))),INDEX(Guide!$B$7:$B$9,MATCH(SUBSTITUTE(SUBSTITUTE(SUBSTITUTE(H1959,"~","~~"),"*","~*"),"?","~?"),Guide!$A$7:$A$9,0)),""),"")</f>
        <v>Office</v>
      </c>
      <c r="J1959" s="1" t="str">
        <f>IF(TRIM(Raw!E1959)="",I1959,IF(UPPER(TRIM(Raw!E1959))=UPPER(I1959),I1959,""))</f>
        <v>Office</v>
      </c>
      <c r="K1959" s="1" t="str">
        <f>IF(Raw!F1959="","",Raw!F1959)</f>
        <v>sale</v>
      </c>
      <c r="L1959" s="1" t="str">
        <f>IF(LEFT(TRIM(Raw!G1959),2)="-$","-"&amp;MID(TRIM(Raw!G1959),3,99),IF(LEFT(TRIM(Raw!G1959),1)="$",MID(TRIM(Raw!G1959),2,99),TRIM(Raw!G1959)))</f>
        <v>36.15</v>
      </c>
      <c r="M1959" s="1">
        <f t="shared" si="243"/>
        <v>36.15</v>
      </c>
      <c r="N1959" s="10">
        <f t="shared" si="244"/>
        <v>3615</v>
      </c>
      <c r="O1959" s="1" t="b">
        <f>IFERROR(IF(ISNUMBER(Raw!G1959),TRUE,OR(EXACT(L1959,TEXT(M1959,"0.00")),EXACT(L1959,TEXT(M1959,"#,##0.00")))),FALSE)</f>
        <v>1</v>
      </c>
      <c r="P1959" s="1" t="str">
        <f>LEN(IF(Raw!A1959="","",Raw!A1959))&amp;":"&amp;IF(Raw!A1959="","",Raw!A1959)&amp;"|"&amp;LEN(IF(Raw!B1959="","",Raw!B1959))&amp;":"&amp;IF(Raw!B1959="","",Raw!B1959)&amp;"|"&amp;LEN(IF(Raw!C1959="","",Raw!C1959))&amp;":"&amp;IF(Raw!C1959="","",Raw!C1959)&amp;"|"&amp;LEN(IF(Raw!D1959="","",Raw!D1959))&amp;":"&amp;IF(Raw!D1959="","",Raw!D1959)&amp;"|"&amp;LEN(IF(Raw!E1959="","",Raw!E1959))&amp;":"&amp;IF(Raw!E1959="","",Raw!E1959)&amp;"|"&amp;LEN(IF(Raw!F1959="","",Raw!F1959))&amp;":"&amp;IF(Raw!F1959="","",Raw!F1959)&amp;"|"&amp;LEN(IF(Raw!G1959="","",Raw!G1959))&amp;":"&amp;IF(Raw!G1959="","",Raw!G1959)</f>
        <v>6:L01953|6:T00977|10:2026-03-24|3:P-O|6:Office|4:sale|5:36.15</v>
      </c>
      <c r="Q1959" s="1">
        <f>1</f>
        <v>1</v>
      </c>
      <c r="R1959" s="1" t="b">
        <f>FALSE</f>
        <v>0</v>
      </c>
      <c r="S1959" s="1">
        <f>1</f>
        <v>1</v>
      </c>
      <c r="T1959" s="1" t="str">
        <f>IF(AND(Raw!A1959="",Raw!B1959="",Raw!C1959="",Raw!D1959="",Raw!E1959="",Raw!F1959="",Raw!G1959=""),"UNUSED",IF(A1959="","missing line ID",IF(B1959="","missing transaction ID",IF(G1959="",IF(C1959="","missing date","invalid date"),IF(I1959="","unknown product",IF(J1959="","conflicting category",IF(NOT(OR(EXACT(K1959,"sale"),EXACT(K1959,"refund"))),"unknown event",IF(OR(N1959="",NOT(O1959)),"invalid amount",IF(OR(AND(K1959="sale",N1959&lt;=0),AND(K1959="refund",N1959&gt;=0)),"invalid sign","")))))))))</f>
        <v/>
      </c>
      <c r="U1959" s="1" t="str">
        <f t="shared" si="245"/>
        <v>INCLUDED</v>
      </c>
      <c r="V1959" s="1" t="str">
        <f t="shared" si="246"/>
        <v>2026-03</v>
      </c>
      <c r="W1959" s="1">
        <f>IF(AND(U1959="INCLUDED",X1959&gt;0,EXACT(A1959,'AI output'!A1959)),1,0)</f>
        <v>1</v>
      </c>
      <c r="X1959" s="1">
        <f>1959</f>
        <v>1959</v>
      </c>
      <c r="Y1959" s="1">
        <f>IF(AND(U1959="INCLUDED",W1959=1),--(NOT(EXACT(A1959,'AI output'!A1959)))+--(NOT(EXACT(B1959,'AI output'!B1959)))+--(NOT(EXACT(TEXT(G1959,"yyyy-mm-dd"),'AI output'!C1959)))+--(NOT(EXACT(H1959,'AI output'!D1959)))+--(NOT(EXACT(J1959,'AI output'!E1959)))+--(NOT(EXACT(K1959,'AI output'!F1959)))+--(N1959&lt;&gt;'AI output'!L1959)+--(NOT('AI output'!M1959)),0)</f>
        <v>0</v>
      </c>
      <c r="Z1959" s="1">
        <f t="shared" si="247"/>
        <v>0</v>
      </c>
      <c r="AA1959" s="1">
        <f>--EXACT(A1959,"L01953")</f>
        <v>1</v>
      </c>
    </row>
    <row r="1960" spans="1:27" ht="18.95" customHeight="1">
      <c r="A1960" s="1" t="str">
        <f>IF(Raw!A1960="","",Raw!A1960)</f>
        <v>L01954</v>
      </c>
      <c r="B1960" s="1" t="str">
        <f>IF(Raw!B1960="","",Raw!B1960)</f>
        <v>T00977</v>
      </c>
      <c r="C1960" s="1" t="str">
        <f>IF(Raw!C1960="","",Raw!C1960)</f>
        <v>2026-03-24</v>
      </c>
      <c r="D1960" s="1">
        <f t="shared" si="240"/>
        <v>2026</v>
      </c>
      <c r="E1960" s="1">
        <f>IFERROR(IF(AND(LEN(C1960)=10,MID(C1960,5,1)="-",MID(C1960,8,1)="-"),VALUE(MID(C1960,6,2)),IF(AND(LEN(C1960)=11,MID(C1960,3,1)="-",MID(C1960,7,1)="-"),MATCH(UPPER(MID(C1960,4,3)),Guide!$D$7:$D$18,0),0)),0)</f>
        <v>3</v>
      </c>
      <c r="F1960" s="1">
        <f t="shared" si="241"/>
        <v>24</v>
      </c>
      <c r="G1960" s="9">
        <f t="shared" si="242"/>
        <v>46105</v>
      </c>
      <c r="H1960" s="1" t="str">
        <f>IF(Raw!D1960="","",Raw!D1960)</f>
        <v>P-A</v>
      </c>
      <c r="I1960" s="1" t="str">
        <f>IFERROR(IF(EXACT(H1960,INDEX(Guide!$A$7:$A$9,MATCH(SUBSTITUTE(SUBSTITUTE(SUBSTITUTE(H1960,"~","~~"),"*","~*"),"?","~?"),Guide!$A$7:$A$9,0))),INDEX(Guide!$B$7:$B$9,MATCH(SUBSTITUTE(SUBSTITUTE(SUBSTITUTE(H1960,"~","~~"),"*","~*"),"?","~?"),Guide!$A$7:$A$9,0)),""),"")</f>
        <v>Accessories</v>
      </c>
      <c r="J1960" s="1" t="str">
        <f>IF(TRIM(Raw!E1960)="",I1960,IF(UPPER(TRIM(Raw!E1960))=UPPER(I1960),I1960,""))</f>
        <v>Accessories</v>
      </c>
      <c r="K1960" s="1" t="str">
        <f>IF(Raw!F1960="","",Raw!F1960)</f>
        <v>sale</v>
      </c>
      <c r="L1960" s="1" t="str">
        <f>IF(LEFT(TRIM(Raw!G1960),2)="-$","-"&amp;MID(TRIM(Raw!G1960),3,99),IF(LEFT(TRIM(Raw!G1960),1)="$",MID(TRIM(Raw!G1960),2,99),TRIM(Raw!G1960)))</f>
        <v>15.20</v>
      </c>
      <c r="M1960" s="1">
        <f t="shared" si="243"/>
        <v>15.2</v>
      </c>
      <c r="N1960" s="10">
        <f t="shared" si="244"/>
        <v>1520</v>
      </c>
      <c r="O1960" s="1" t="b">
        <f>IFERROR(IF(ISNUMBER(Raw!G1960),TRUE,OR(EXACT(L1960,TEXT(M1960,"0.00")),EXACT(L1960,TEXT(M1960,"#,##0.00")))),FALSE)</f>
        <v>1</v>
      </c>
      <c r="P1960" s="1" t="str">
        <f>LEN(IF(Raw!A1960="","",Raw!A1960))&amp;":"&amp;IF(Raw!A1960="","",Raw!A1960)&amp;"|"&amp;LEN(IF(Raw!B1960="","",Raw!B1960))&amp;":"&amp;IF(Raw!B1960="","",Raw!B1960)&amp;"|"&amp;LEN(IF(Raw!C1960="","",Raw!C1960))&amp;":"&amp;IF(Raw!C1960="","",Raw!C1960)&amp;"|"&amp;LEN(IF(Raw!D1960="","",Raw!D1960))&amp;":"&amp;IF(Raw!D1960="","",Raw!D1960)&amp;"|"&amp;LEN(IF(Raw!E1960="","",Raw!E1960))&amp;":"&amp;IF(Raw!E1960="","",Raw!E1960)&amp;"|"&amp;LEN(IF(Raw!F1960="","",Raw!F1960))&amp;":"&amp;IF(Raw!F1960="","",Raw!F1960)&amp;"|"&amp;LEN(IF(Raw!G1960="","",Raw!G1960))&amp;":"&amp;IF(Raw!G1960="","",Raw!G1960)</f>
        <v>6:L01954|6:T00977|10:2026-03-24|3:P-A|11:Accessories|4:sale|5:15.20</v>
      </c>
      <c r="Q1960" s="1">
        <f>1</f>
        <v>1</v>
      </c>
      <c r="R1960" s="1" t="b">
        <f>FALSE</f>
        <v>0</v>
      </c>
      <c r="S1960" s="1">
        <f>1</f>
        <v>1</v>
      </c>
      <c r="T1960" s="1" t="str">
        <f>IF(AND(Raw!A1960="",Raw!B1960="",Raw!C1960="",Raw!D1960="",Raw!E1960="",Raw!F1960="",Raw!G1960=""),"UNUSED",IF(A1960="","missing line ID",IF(B1960="","missing transaction ID",IF(G1960="",IF(C1960="","missing date","invalid date"),IF(I1960="","unknown product",IF(J1960="","conflicting category",IF(NOT(OR(EXACT(K1960,"sale"),EXACT(K1960,"refund"))),"unknown event",IF(OR(N1960="",NOT(O1960)),"invalid amount",IF(OR(AND(K1960="sale",N1960&lt;=0),AND(K1960="refund",N1960&gt;=0)),"invalid sign","")))))))))</f>
        <v/>
      </c>
      <c r="U1960" s="1" t="str">
        <f t="shared" si="245"/>
        <v>INCLUDED</v>
      </c>
      <c r="V1960" s="1" t="str">
        <f t="shared" si="246"/>
        <v>2026-03</v>
      </c>
      <c r="W1960" s="1">
        <f>IF(AND(U1960="INCLUDED",X1960&gt;0,EXACT(A1960,'AI output'!A1960)),1,0)</f>
        <v>1</v>
      </c>
      <c r="X1960" s="1">
        <f>1960</f>
        <v>1960</v>
      </c>
      <c r="Y1960" s="1">
        <f>IF(AND(U1960="INCLUDED",W1960=1),--(NOT(EXACT(A1960,'AI output'!A1960)))+--(NOT(EXACT(B1960,'AI output'!B1960)))+--(NOT(EXACT(TEXT(G1960,"yyyy-mm-dd"),'AI output'!C1960)))+--(NOT(EXACT(H1960,'AI output'!D1960)))+--(NOT(EXACT(J1960,'AI output'!E1960)))+--(NOT(EXACT(K1960,'AI output'!F1960)))+--(N1960&lt;&gt;'AI output'!L1960)+--(NOT('AI output'!M1960)),0)</f>
        <v>0</v>
      </c>
      <c r="Z1960" s="1">
        <f t="shared" si="247"/>
        <v>0</v>
      </c>
      <c r="AA1960" s="1">
        <f>--EXACT(A1960,"L01954")</f>
        <v>1</v>
      </c>
    </row>
    <row r="1961" spans="1:27" ht="18.95" customHeight="1">
      <c r="A1961" s="1" t="str">
        <f>IF(Raw!A1961="","",Raw!A1961)</f>
        <v>L01955</v>
      </c>
      <c r="B1961" s="1" t="str">
        <f>IF(Raw!B1961="","",Raw!B1961)</f>
        <v>T00978</v>
      </c>
      <c r="C1961" s="1" t="str">
        <f>IF(Raw!C1961="","",Raw!C1961)</f>
        <v>2026-03-31</v>
      </c>
      <c r="D1961" s="1">
        <f t="shared" si="240"/>
        <v>2026</v>
      </c>
      <c r="E1961" s="1">
        <f>IFERROR(IF(AND(LEN(C1961)=10,MID(C1961,5,1)="-",MID(C1961,8,1)="-"),VALUE(MID(C1961,6,2)),IF(AND(LEN(C1961)=11,MID(C1961,3,1)="-",MID(C1961,7,1)="-"),MATCH(UPPER(MID(C1961,4,3)),Guide!$D$7:$D$18,0),0)),0)</f>
        <v>3</v>
      </c>
      <c r="F1961" s="1">
        <f t="shared" si="241"/>
        <v>31</v>
      </c>
      <c r="G1961" s="9">
        <f t="shared" si="242"/>
        <v>46112</v>
      </c>
      <c r="H1961" s="1" t="str">
        <f>IF(Raw!D1961="","",Raw!D1961)</f>
        <v>P-H</v>
      </c>
      <c r="I1961" s="1" t="str">
        <f>IFERROR(IF(EXACT(H1961,INDEX(Guide!$A$7:$A$9,MATCH(SUBSTITUTE(SUBSTITUTE(SUBSTITUTE(H1961,"~","~~"),"*","~*"),"?","~?"),Guide!$A$7:$A$9,0))),INDEX(Guide!$B$7:$B$9,MATCH(SUBSTITUTE(SUBSTITUTE(SUBSTITUTE(H1961,"~","~~"),"*","~*"),"?","~?"),Guide!$A$7:$A$9,0)),""),"")</f>
        <v>Home</v>
      </c>
      <c r="J1961" s="1" t="str">
        <f>IF(TRIM(Raw!E1961)="",I1961,IF(UPPER(TRIM(Raw!E1961))=UPPER(I1961),I1961,""))</f>
        <v>Home</v>
      </c>
      <c r="K1961" s="1" t="str">
        <f>IF(Raw!F1961="","",Raw!F1961)</f>
        <v>sale</v>
      </c>
      <c r="L1961" s="1" t="str">
        <f>IF(LEFT(TRIM(Raw!G1961),2)="-$","-"&amp;MID(TRIM(Raw!G1961),3,99),IF(LEFT(TRIM(Raw!G1961),1)="$",MID(TRIM(Raw!G1961),2,99),TRIM(Raw!G1961)))</f>
        <v>31.88</v>
      </c>
      <c r="M1961" s="1">
        <f t="shared" si="243"/>
        <v>31.88</v>
      </c>
      <c r="N1961" s="10">
        <f t="shared" si="244"/>
        <v>3188</v>
      </c>
      <c r="O1961" s="1" t="b">
        <f>IFERROR(IF(ISNUMBER(Raw!G1961),TRUE,OR(EXACT(L1961,TEXT(M1961,"0.00")),EXACT(L1961,TEXT(M1961,"#,##0.00")))),FALSE)</f>
        <v>1</v>
      </c>
      <c r="P1961" s="1" t="str">
        <f>LEN(IF(Raw!A1961="","",Raw!A1961))&amp;":"&amp;IF(Raw!A1961="","",Raw!A1961)&amp;"|"&amp;LEN(IF(Raw!B1961="","",Raw!B1961))&amp;":"&amp;IF(Raw!B1961="","",Raw!B1961)&amp;"|"&amp;LEN(IF(Raw!C1961="","",Raw!C1961))&amp;":"&amp;IF(Raw!C1961="","",Raw!C1961)&amp;"|"&amp;LEN(IF(Raw!D1961="","",Raw!D1961))&amp;":"&amp;IF(Raw!D1961="","",Raw!D1961)&amp;"|"&amp;LEN(IF(Raw!E1961="","",Raw!E1961))&amp;":"&amp;IF(Raw!E1961="","",Raw!E1961)&amp;"|"&amp;LEN(IF(Raw!F1961="","",Raw!F1961))&amp;":"&amp;IF(Raw!F1961="","",Raw!F1961)&amp;"|"&amp;LEN(IF(Raw!G1961="","",Raw!G1961))&amp;":"&amp;IF(Raw!G1961="","",Raw!G1961)</f>
        <v>6:L01955|6:T00978|10:2026-03-31|3:P-H|4:Home|4:sale|5:31.88</v>
      </c>
      <c r="Q1961" s="1">
        <f>1</f>
        <v>1</v>
      </c>
      <c r="R1961" s="1" t="b">
        <f>FALSE</f>
        <v>0</v>
      </c>
      <c r="S1961" s="1">
        <f>1</f>
        <v>1</v>
      </c>
      <c r="T1961" s="1" t="str">
        <f>IF(AND(Raw!A1961="",Raw!B1961="",Raw!C1961="",Raw!D1961="",Raw!E1961="",Raw!F1961="",Raw!G1961=""),"UNUSED",IF(A1961="","missing line ID",IF(B1961="","missing transaction ID",IF(G1961="",IF(C1961="","missing date","invalid date"),IF(I1961="","unknown product",IF(J1961="","conflicting category",IF(NOT(OR(EXACT(K1961,"sale"),EXACT(K1961,"refund"))),"unknown event",IF(OR(N1961="",NOT(O1961)),"invalid amount",IF(OR(AND(K1961="sale",N1961&lt;=0),AND(K1961="refund",N1961&gt;=0)),"invalid sign","")))))))))</f>
        <v/>
      </c>
      <c r="U1961" s="1" t="str">
        <f t="shared" si="245"/>
        <v>INCLUDED</v>
      </c>
      <c r="V1961" s="1" t="str">
        <f t="shared" si="246"/>
        <v>2026-03</v>
      </c>
      <c r="W1961" s="1">
        <f>IF(AND(U1961="INCLUDED",X1961&gt;0,EXACT(A1961,'AI output'!A1961)),1,0)</f>
        <v>1</v>
      </c>
      <c r="X1961" s="1">
        <f>1961</f>
        <v>1961</v>
      </c>
      <c r="Y1961" s="1">
        <f>IF(AND(U1961="INCLUDED",W1961=1),--(NOT(EXACT(A1961,'AI output'!A1961)))+--(NOT(EXACT(B1961,'AI output'!B1961)))+--(NOT(EXACT(TEXT(G1961,"yyyy-mm-dd"),'AI output'!C1961)))+--(NOT(EXACT(H1961,'AI output'!D1961)))+--(NOT(EXACT(J1961,'AI output'!E1961)))+--(NOT(EXACT(K1961,'AI output'!F1961)))+--(N1961&lt;&gt;'AI output'!L1961)+--(NOT('AI output'!M1961)),0)</f>
        <v>0</v>
      </c>
      <c r="Z1961" s="1">
        <f t="shared" si="247"/>
        <v>0</v>
      </c>
      <c r="AA1961" s="1">
        <f>--EXACT(A1961,"L01955")</f>
        <v>1</v>
      </c>
    </row>
    <row r="1962" spans="1:27" ht="18.95" customHeight="1">
      <c r="A1962" s="1" t="str">
        <f>IF(Raw!A1962="","",Raw!A1962)</f>
        <v>L01956</v>
      </c>
      <c r="B1962" s="1" t="str">
        <f>IF(Raw!B1962="","",Raw!B1962)</f>
        <v>T00978</v>
      </c>
      <c r="C1962" s="1" t="str">
        <f>IF(Raw!C1962="","",Raw!C1962)</f>
        <v>2026-03-31</v>
      </c>
      <c r="D1962" s="1">
        <f t="shared" si="240"/>
        <v>2026</v>
      </c>
      <c r="E1962" s="1">
        <f>IFERROR(IF(AND(LEN(C1962)=10,MID(C1962,5,1)="-",MID(C1962,8,1)="-"),VALUE(MID(C1962,6,2)),IF(AND(LEN(C1962)=11,MID(C1962,3,1)="-",MID(C1962,7,1)="-"),MATCH(UPPER(MID(C1962,4,3)),Guide!$D$7:$D$18,0),0)),0)</f>
        <v>3</v>
      </c>
      <c r="F1962" s="1">
        <f t="shared" si="241"/>
        <v>31</v>
      </c>
      <c r="G1962" s="9">
        <f t="shared" si="242"/>
        <v>46112</v>
      </c>
      <c r="H1962" s="1" t="str">
        <f>IF(Raw!D1962="","",Raw!D1962)</f>
        <v>P-O</v>
      </c>
      <c r="I1962" s="1" t="str">
        <f>IFERROR(IF(EXACT(H1962,INDEX(Guide!$A$7:$A$9,MATCH(SUBSTITUTE(SUBSTITUTE(SUBSTITUTE(H1962,"~","~~"),"*","~*"),"?","~?"),Guide!$A$7:$A$9,0))),INDEX(Guide!$B$7:$B$9,MATCH(SUBSTITUTE(SUBSTITUTE(SUBSTITUTE(H1962,"~","~~"),"*","~*"),"?","~?"),Guide!$A$7:$A$9,0)),""),"")</f>
        <v>Office</v>
      </c>
      <c r="J1962" s="1" t="str">
        <f>IF(TRIM(Raw!E1962)="",I1962,IF(UPPER(TRIM(Raw!E1962))=UPPER(I1962),I1962,""))</f>
        <v>Office</v>
      </c>
      <c r="K1962" s="1" t="str">
        <f>IF(Raw!F1962="","",Raw!F1962)</f>
        <v>refund</v>
      </c>
      <c r="L1962" s="1" t="str">
        <f>IF(LEFT(TRIM(Raw!G1962),2)="-$","-"&amp;MID(TRIM(Raw!G1962),3,99),IF(LEFT(TRIM(Raw!G1962),1)="$",MID(TRIM(Raw!G1962),2,99),TRIM(Raw!G1962)))</f>
        <v>-8.34</v>
      </c>
      <c r="M1962" s="1">
        <f t="shared" si="243"/>
        <v>-8.34</v>
      </c>
      <c r="N1962" s="10">
        <f t="shared" si="244"/>
        <v>-834</v>
      </c>
      <c r="O1962" s="1" t="b">
        <f>IFERROR(IF(ISNUMBER(Raw!G1962),TRUE,OR(EXACT(L1962,TEXT(M1962,"0.00")),EXACT(L1962,TEXT(M1962,"#,##0.00")))),FALSE)</f>
        <v>1</v>
      </c>
      <c r="P1962" s="1" t="str">
        <f>LEN(IF(Raw!A1962="","",Raw!A1962))&amp;":"&amp;IF(Raw!A1962="","",Raw!A1962)&amp;"|"&amp;LEN(IF(Raw!B1962="","",Raw!B1962))&amp;":"&amp;IF(Raw!B1962="","",Raw!B1962)&amp;"|"&amp;LEN(IF(Raw!C1962="","",Raw!C1962))&amp;":"&amp;IF(Raw!C1962="","",Raw!C1962)&amp;"|"&amp;LEN(IF(Raw!D1962="","",Raw!D1962))&amp;":"&amp;IF(Raw!D1962="","",Raw!D1962)&amp;"|"&amp;LEN(IF(Raw!E1962="","",Raw!E1962))&amp;":"&amp;IF(Raw!E1962="","",Raw!E1962)&amp;"|"&amp;LEN(IF(Raw!F1962="","",Raw!F1962))&amp;":"&amp;IF(Raw!F1962="","",Raw!F1962)&amp;"|"&amp;LEN(IF(Raw!G1962="","",Raw!G1962))&amp;":"&amp;IF(Raw!G1962="","",Raw!G1962)</f>
        <v>6:L01956|6:T00978|10:2026-03-31|3:P-O|6:Office|6:refund|5:-8.34</v>
      </c>
      <c r="Q1962" s="1">
        <f>1</f>
        <v>1</v>
      </c>
      <c r="R1962" s="1" t="b">
        <f>FALSE</f>
        <v>0</v>
      </c>
      <c r="S1962" s="1">
        <f>1</f>
        <v>1</v>
      </c>
      <c r="T1962" s="1" t="str">
        <f>IF(AND(Raw!A1962="",Raw!B1962="",Raw!C1962="",Raw!D1962="",Raw!E1962="",Raw!F1962="",Raw!G1962=""),"UNUSED",IF(A1962="","missing line ID",IF(B1962="","missing transaction ID",IF(G1962="",IF(C1962="","missing date","invalid date"),IF(I1962="","unknown product",IF(J1962="","conflicting category",IF(NOT(OR(EXACT(K1962,"sale"),EXACT(K1962,"refund"))),"unknown event",IF(OR(N1962="",NOT(O1962)),"invalid amount",IF(OR(AND(K1962="sale",N1962&lt;=0),AND(K1962="refund",N1962&gt;=0)),"invalid sign","")))))))))</f>
        <v/>
      </c>
      <c r="U1962" s="1" t="str">
        <f t="shared" si="245"/>
        <v>INCLUDED</v>
      </c>
      <c r="V1962" s="1" t="str">
        <f t="shared" si="246"/>
        <v>2026-03</v>
      </c>
      <c r="W1962" s="1">
        <f>IF(AND(U1962="INCLUDED",X1962&gt;0,EXACT(A1962,'AI output'!A1962)),1,0)</f>
        <v>1</v>
      </c>
      <c r="X1962" s="1">
        <f>1962</f>
        <v>1962</v>
      </c>
      <c r="Y1962" s="1">
        <f>IF(AND(U1962="INCLUDED",W1962=1),--(NOT(EXACT(A1962,'AI output'!A1962)))+--(NOT(EXACT(B1962,'AI output'!B1962)))+--(NOT(EXACT(TEXT(G1962,"yyyy-mm-dd"),'AI output'!C1962)))+--(NOT(EXACT(H1962,'AI output'!D1962)))+--(NOT(EXACT(J1962,'AI output'!E1962)))+--(NOT(EXACT(K1962,'AI output'!F1962)))+--(N1962&lt;&gt;'AI output'!L1962)+--(NOT('AI output'!M1962)),0)</f>
        <v>0</v>
      </c>
      <c r="Z1962" s="1">
        <f t="shared" si="247"/>
        <v>0</v>
      </c>
      <c r="AA1962" s="1">
        <f>--EXACT(A1962,"L01956")</f>
        <v>1</v>
      </c>
    </row>
    <row r="1963" spans="1:27" ht="18.95" customHeight="1">
      <c r="A1963" s="1" t="str">
        <f>IF(Raw!A1963="","",Raw!A1963)</f>
        <v>L01957</v>
      </c>
      <c r="B1963" s="1" t="str">
        <f>IF(Raw!B1963="","",Raw!B1963)</f>
        <v>T00979</v>
      </c>
      <c r="C1963" s="1" t="str">
        <f>IF(Raw!C1963="","",Raw!C1963)</f>
        <v>2026-01-07</v>
      </c>
      <c r="D1963" s="1">
        <f t="shared" si="240"/>
        <v>2026</v>
      </c>
      <c r="E1963" s="1">
        <f>IFERROR(IF(AND(LEN(C1963)=10,MID(C1963,5,1)="-",MID(C1963,8,1)="-"),VALUE(MID(C1963,6,2)),IF(AND(LEN(C1963)=11,MID(C1963,3,1)="-",MID(C1963,7,1)="-"),MATCH(UPPER(MID(C1963,4,3)),Guide!$D$7:$D$18,0),0)),0)</f>
        <v>1</v>
      </c>
      <c r="F1963" s="1">
        <f t="shared" si="241"/>
        <v>7</v>
      </c>
      <c r="G1963" s="9">
        <f t="shared" si="242"/>
        <v>46029</v>
      </c>
      <c r="H1963" s="1" t="str">
        <f>IF(Raw!D1963="","",Raw!D1963)</f>
        <v>P-A</v>
      </c>
      <c r="I1963" s="1" t="str">
        <f>IFERROR(IF(EXACT(H1963,INDEX(Guide!$A$7:$A$9,MATCH(SUBSTITUTE(SUBSTITUTE(SUBSTITUTE(H1963,"~","~~"),"*","~*"),"?","~?"),Guide!$A$7:$A$9,0))),INDEX(Guide!$B$7:$B$9,MATCH(SUBSTITUTE(SUBSTITUTE(SUBSTITUTE(H1963,"~","~~"),"*","~*"),"?","~?"),Guide!$A$7:$A$9,0)),""),"")</f>
        <v>Accessories</v>
      </c>
      <c r="J1963" s="1" t="str">
        <f>IF(TRIM(Raw!E1963)="",I1963,IF(UPPER(TRIM(Raw!E1963))=UPPER(I1963),I1963,""))</f>
        <v>Accessories</v>
      </c>
      <c r="K1963" s="1" t="str">
        <f>IF(Raw!F1963="","",Raw!F1963)</f>
        <v>sale</v>
      </c>
      <c r="L1963" s="1" t="str">
        <f>IF(LEFT(TRIM(Raw!G1963),2)="-$","-"&amp;MID(TRIM(Raw!G1963),3,99),IF(LEFT(TRIM(Raw!G1963),1)="$",MID(TRIM(Raw!G1963),2,99),TRIM(Raw!G1963)))</f>
        <v>26.13</v>
      </c>
      <c r="M1963" s="1">
        <f t="shared" si="243"/>
        <v>26.13</v>
      </c>
      <c r="N1963" s="10">
        <f t="shared" si="244"/>
        <v>2613</v>
      </c>
      <c r="O1963" s="1" t="b">
        <f>IFERROR(IF(ISNUMBER(Raw!G1963),TRUE,OR(EXACT(L1963,TEXT(M1963,"0.00")),EXACT(L1963,TEXT(M1963,"#,##0.00")))),FALSE)</f>
        <v>1</v>
      </c>
      <c r="P1963" s="1" t="str">
        <f>LEN(IF(Raw!A1963="","",Raw!A1963))&amp;":"&amp;IF(Raw!A1963="","",Raw!A1963)&amp;"|"&amp;LEN(IF(Raw!B1963="","",Raw!B1963))&amp;":"&amp;IF(Raw!B1963="","",Raw!B1963)&amp;"|"&amp;LEN(IF(Raw!C1963="","",Raw!C1963))&amp;":"&amp;IF(Raw!C1963="","",Raw!C1963)&amp;"|"&amp;LEN(IF(Raw!D1963="","",Raw!D1963))&amp;":"&amp;IF(Raw!D1963="","",Raw!D1963)&amp;"|"&amp;LEN(IF(Raw!E1963="","",Raw!E1963))&amp;":"&amp;IF(Raw!E1963="","",Raw!E1963)&amp;"|"&amp;LEN(IF(Raw!F1963="","",Raw!F1963))&amp;":"&amp;IF(Raw!F1963="","",Raw!F1963)&amp;"|"&amp;LEN(IF(Raw!G1963="","",Raw!G1963))&amp;":"&amp;IF(Raw!G1963="","",Raw!G1963)</f>
        <v>6:L01957|6:T00979|10:2026-01-07|3:P-A|11:Accessories|4:sale|5:26.13</v>
      </c>
      <c r="Q1963" s="1">
        <f>1</f>
        <v>1</v>
      </c>
      <c r="R1963" s="1" t="b">
        <f>FALSE</f>
        <v>0</v>
      </c>
      <c r="S1963" s="1">
        <f>1</f>
        <v>1</v>
      </c>
      <c r="T1963" s="1" t="str">
        <f>IF(AND(Raw!A1963="",Raw!B1963="",Raw!C1963="",Raw!D1963="",Raw!E1963="",Raw!F1963="",Raw!G1963=""),"UNUSED",IF(A1963="","missing line ID",IF(B1963="","missing transaction ID",IF(G1963="",IF(C1963="","missing date","invalid date"),IF(I1963="","unknown product",IF(J1963="","conflicting category",IF(NOT(OR(EXACT(K1963,"sale"),EXACT(K1963,"refund"))),"unknown event",IF(OR(N1963="",NOT(O1963)),"invalid amount",IF(OR(AND(K1963="sale",N1963&lt;=0),AND(K1963="refund",N1963&gt;=0)),"invalid sign","")))))))))</f>
        <v/>
      </c>
      <c r="U1963" s="1" t="str">
        <f t="shared" si="245"/>
        <v>INCLUDED</v>
      </c>
      <c r="V1963" s="1" t="str">
        <f t="shared" si="246"/>
        <v>2026-01</v>
      </c>
      <c r="W1963" s="1">
        <f>IF(AND(U1963="INCLUDED",X1963&gt;0,EXACT(A1963,'AI output'!A1963)),1,0)</f>
        <v>1</v>
      </c>
      <c r="X1963" s="1">
        <f>1963</f>
        <v>1963</v>
      </c>
      <c r="Y1963" s="1">
        <f>IF(AND(U1963="INCLUDED",W1963=1),--(NOT(EXACT(A1963,'AI output'!A1963)))+--(NOT(EXACT(B1963,'AI output'!B1963)))+--(NOT(EXACT(TEXT(G1963,"yyyy-mm-dd"),'AI output'!C1963)))+--(NOT(EXACT(H1963,'AI output'!D1963)))+--(NOT(EXACT(J1963,'AI output'!E1963)))+--(NOT(EXACT(K1963,'AI output'!F1963)))+--(N1963&lt;&gt;'AI output'!L1963)+--(NOT('AI output'!M1963)),0)</f>
        <v>0</v>
      </c>
      <c r="Z1963" s="1">
        <f t="shared" si="247"/>
        <v>0</v>
      </c>
      <c r="AA1963" s="1">
        <f>--EXACT(A1963,"L01957")</f>
        <v>1</v>
      </c>
    </row>
    <row r="1964" spans="1:27" ht="18.95" customHeight="1">
      <c r="A1964" s="1" t="str">
        <f>IF(Raw!A1964="","",Raw!A1964)</f>
        <v>L01958</v>
      </c>
      <c r="B1964" s="1" t="str">
        <f>IF(Raw!B1964="","",Raw!B1964)</f>
        <v>T00979</v>
      </c>
      <c r="C1964" s="1" t="str">
        <f>IF(Raw!C1964="","",Raw!C1964)</f>
        <v>2026-01-07</v>
      </c>
      <c r="D1964" s="1">
        <f t="shared" si="240"/>
        <v>2026</v>
      </c>
      <c r="E1964" s="1">
        <f>IFERROR(IF(AND(LEN(C1964)=10,MID(C1964,5,1)="-",MID(C1964,8,1)="-"),VALUE(MID(C1964,6,2)),IF(AND(LEN(C1964)=11,MID(C1964,3,1)="-",MID(C1964,7,1)="-"),MATCH(UPPER(MID(C1964,4,3)),Guide!$D$7:$D$18,0),0)),0)</f>
        <v>1</v>
      </c>
      <c r="F1964" s="1">
        <f t="shared" si="241"/>
        <v>7</v>
      </c>
      <c r="G1964" s="9">
        <f t="shared" si="242"/>
        <v>46029</v>
      </c>
      <c r="H1964" s="1" t="str">
        <f>IF(Raw!D1964="","",Raw!D1964)</f>
        <v>P-H</v>
      </c>
      <c r="I1964" s="1" t="str">
        <f>IFERROR(IF(EXACT(H1964,INDEX(Guide!$A$7:$A$9,MATCH(SUBSTITUTE(SUBSTITUTE(SUBSTITUTE(H1964,"~","~~"),"*","~*"),"?","~?"),Guide!$A$7:$A$9,0))),INDEX(Guide!$B$7:$B$9,MATCH(SUBSTITUTE(SUBSTITUTE(SUBSTITUTE(H1964,"~","~~"),"*","~*"),"?","~?"),Guide!$A$7:$A$9,0)),""),"")</f>
        <v>Home</v>
      </c>
      <c r="J1964" s="1" t="str">
        <f>IF(TRIM(Raw!E1964)="",I1964,IF(UPPER(TRIM(Raw!E1964))=UPPER(I1964),I1964,""))</f>
        <v>Home</v>
      </c>
      <c r="K1964" s="1" t="str">
        <f>IF(Raw!F1964="","",Raw!F1964)</f>
        <v>sale</v>
      </c>
      <c r="L1964" s="1" t="str">
        <f>IF(LEFT(TRIM(Raw!G1964),2)="-$","-"&amp;MID(TRIM(Raw!G1964),3,99),IF(LEFT(TRIM(Raw!G1964),1)="$",MID(TRIM(Raw!G1964),2,99),TRIM(Raw!G1964)))</f>
        <v>45.40</v>
      </c>
      <c r="M1964" s="1">
        <f t="shared" si="243"/>
        <v>45.4</v>
      </c>
      <c r="N1964" s="10">
        <f t="shared" si="244"/>
        <v>4540</v>
      </c>
      <c r="O1964" s="1" t="b">
        <f>IFERROR(IF(ISNUMBER(Raw!G1964),TRUE,OR(EXACT(L1964,TEXT(M1964,"0.00")),EXACT(L1964,TEXT(M1964,"#,##0.00")))),FALSE)</f>
        <v>1</v>
      </c>
      <c r="P1964" s="1" t="str">
        <f>LEN(IF(Raw!A1964="","",Raw!A1964))&amp;":"&amp;IF(Raw!A1964="","",Raw!A1964)&amp;"|"&amp;LEN(IF(Raw!B1964="","",Raw!B1964))&amp;":"&amp;IF(Raw!B1964="","",Raw!B1964)&amp;"|"&amp;LEN(IF(Raw!C1964="","",Raw!C1964))&amp;":"&amp;IF(Raw!C1964="","",Raw!C1964)&amp;"|"&amp;LEN(IF(Raw!D1964="","",Raw!D1964))&amp;":"&amp;IF(Raw!D1964="","",Raw!D1964)&amp;"|"&amp;LEN(IF(Raw!E1964="","",Raw!E1964))&amp;":"&amp;IF(Raw!E1964="","",Raw!E1964)&amp;"|"&amp;LEN(IF(Raw!F1964="","",Raw!F1964))&amp;":"&amp;IF(Raw!F1964="","",Raw!F1964)&amp;"|"&amp;LEN(IF(Raw!G1964="","",Raw!G1964))&amp;":"&amp;IF(Raw!G1964="","",Raw!G1964)</f>
        <v>6:L01958|6:T00979|10:2026-01-07|3:P-H|4:Home|4:sale|5:45.40</v>
      </c>
      <c r="Q1964" s="1">
        <f>1</f>
        <v>1</v>
      </c>
      <c r="R1964" s="1" t="b">
        <f>FALSE</f>
        <v>0</v>
      </c>
      <c r="S1964" s="1">
        <f>1</f>
        <v>1</v>
      </c>
      <c r="T1964" s="1" t="str">
        <f>IF(AND(Raw!A1964="",Raw!B1964="",Raw!C1964="",Raw!D1964="",Raw!E1964="",Raw!F1964="",Raw!G1964=""),"UNUSED",IF(A1964="","missing line ID",IF(B1964="","missing transaction ID",IF(G1964="",IF(C1964="","missing date","invalid date"),IF(I1964="","unknown product",IF(J1964="","conflicting category",IF(NOT(OR(EXACT(K1964,"sale"),EXACT(K1964,"refund"))),"unknown event",IF(OR(N1964="",NOT(O1964)),"invalid amount",IF(OR(AND(K1964="sale",N1964&lt;=0),AND(K1964="refund",N1964&gt;=0)),"invalid sign","")))))))))</f>
        <v/>
      </c>
      <c r="U1964" s="1" t="str">
        <f t="shared" si="245"/>
        <v>INCLUDED</v>
      </c>
      <c r="V1964" s="1" t="str">
        <f t="shared" si="246"/>
        <v>2026-01</v>
      </c>
      <c r="W1964" s="1">
        <f>IF(AND(U1964="INCLUDED",X1964&gt;0,EXACT(A1964,'AI output'!A1964)),1,0)</f>
        <v>1</v>
      </c>
      <c r="X1964" s="1">
        <f>1964</f>
        <v>1964</v>
      </c>
      <c r="Y1964" s="1">
        <f>IF(AND(U1964="INCLUDED",W1964=1),--(NOT(EXACT(A1964,'AI output'!A1964)))+--(NOT(EXACT(B1964,'AI output'!B1964)))+--(NOT(EXACT(TEXT(G1964,"yyyy-mm-dd"),'AI output'!C1964)))+--(NOT(EXACT(H1964,'AI output'!D1964)))+--(NOT(EXACT(J1964,'AI output'!E1964)))+--(NOT(EXACT(K1964,'AI output'!F1964)))+--(N1964&lt;&gt;'AI output'!L1964)+--(NOT('AI output'!M1964)),0)</f>
        <v>0</v>
      </c>
      <c r="Z1964" s="1">
        <f t="shared" si="247"/>
        <v>0</v>
      </c>
      <c r="AA1964" s="1">
        <f>--EXACT(A1964,"L01958")</f>
        <v>1</v>
      </c>
    </row>
    <row r="1965" spans="1:27" ht="18.95" customHeight="1">
      <c r="A1965" s="1" t="str">
        <f>IF(Raw!A1965="","",Raw!A1965)</f>
        <v>L01959</v>
      </c>
      <c r="B1965" s="1" t="str">
        <f>IF(Raw!B1965="","",Raw!B1965)</f>
        <v>T00980</v>
      </c>
      <c r="C1965" s="1" t="str">
        <f>IF(Raw!C1965="","",Raw!C1965)</f>
        <v>2026-01-14</v>
      </c>
      <c r="D1965" s="1">
        <f t="shared" si="240"/>
        <v>2026</v>
      </c>
      <c r="E1965" s="1">
        <f>IFERROR(IF(AND(LEN(C1965)=10,MID(C1965,5,1)="-",MID(C1965,8,1)="-"),VALUE(MID(C1965,6,2)),IF(AND(LEN(C1965)=11,MID(C1965,3,1)="-",MID(C1965,7,1)="-"),MATCH(UPPER(MID(C1965,4,3)),Guide!$D$7:$D$18,0),0)),0)</f>
        <v>1</v>
      </c>
      <c r="F1965" s="1">
        <f t="shared" si="241"/>
        <v>14</v>
      </c>
      <c r="G1965" s="9">
        <f t="shared" si="242"/>
        <v>46036</v>
      </c>
      <c r="H1965" s="1" t="str">
        <f>IF(Raw!D1965="","",Raw!D1965)</f>
        <v>P-O</v>
      </c>
      <c r="I1965" s="1" t="str">
        <f>IFERROR(IF(EXACT(H1965,INDEX(Guide!$A$7:$A$9,MATCH(SUBSTITUTE(SUBSTITUTE(SUBSTITUTE(H1965,"~","~~"),"*","~*"),"?","~?"),Guide!$A$7:$A$9,0))),INDEX(Guide!$B$7:$B$9,MATCH(SUBSTITUTE(SUBSTITUTE(SUBSTITUTE(H1965,"~","~~"),"*","~*"),"?","~?"),Guide!$A$7:$A$9,0)),""),"")</f>
        <v>Office</v>
      </c>
      <c r="J1965" s="1" t="str">
        <f>IF(TRIM(Raw!E1965)="",I1965,IF(UPPER(TRIM(Raw!E1965))=UPPER(I1965),I1965,""))</f>
        <v>Office</v>
      </c>
      <c r="K1965" s="1" t="str">
        <f>IF(Raw!F1965="","",Raw!F1965)</f>
        <v>sale</v>
      </c>
      <c r="L1965" s="1" t="str">
        <f>IF(LEFT(TRIM(Raw!G1965),2)="-$","-"&amp;MID(TRIM(Raw!G1965),3,99),IF(LEFT(TRIM(Raw!G1965),1)="$",MID(TRIM(Raw!G1965),2,99),TRIM(Raw!G1965)))</f>
        <v>18.90</v>
      </c>
      <c r="M1965" s="1">
        <f t="shared" si="243"/>
        <v>18.899999999999999</v>
      </c>
      <c r="N1965" s="10">
        <f t="shared" si="244"/>
        <v>1890</v>
      </c>
      <c r="O1965" s="1" t="b">
        <f>IFERROR(IF(ISNUMBER(Raw!G1965),TRUE,OR(EXACT(L1965,TEXT(M1965,"0.00")),EXACT(L1965,TEXT(M1965,"#,##0.00")))),FALSE)</f>
        <v>1</v>
      </c>
      <c r="P1965" s="1" t="str">
        <f>LEN(IF(Raw!A1965="","",Raw!A1965))&amp;":"&amp;IF(Raw!A1965="","",Raw!A1965)&amp;"|"&amp;LEN(IF(Raw!B1965="","",Raw!B1965))&amp;":"&amp;IF(Raw!B1965="","",Raw!B1965)&amp;"|"&amp;LEN(IF(Raw!C1965="","",Raw!C1965))&amp;":"&amp;IF(Raw!C1965="","",Raw!C1965)&amp;"|"&amp;LEN(IF(Raw!D1965="","",Raw!D1965))&amp;":"&amp;IF(Raw!D1965="","",Raw!D1965)&amp;"|"&amp;LEN(IF(Raw!E1965="","",Raw!E1965))&amp;":"&amp;IF(Raw!E1965="","",Raw!E1965)&amp;"|"&amp;LEN(IF(Raw!F1965="","",Raw!F1965))&amp;":"&amp;IF(Raw!F1965="","",Raw!F1965)&amp;"|"&amp;LEN(IF(Raw!G1965="","",Raw!G1965))&amp;":"&amp;IF(Raw!G1965="","",Raw!G1965)</f>
        <v>6:L01959|6:T00980|10:2026-01-14|3:P-O|6:Office|4:sale|5:18.90</v>
      </c>
      <c r="Q1965" s="1">
        <f>1</f>
        <v>1</v>
      </c>
      <c r="R1965" s="1" t="b">
        <f>FALSE</f>
        <v>0</v>
      </c>
      <c r="S1965" s="1">
        <f>1</f>
        <v>1</v>
      </c>
      <c r="T1965" s="1" t="str">
        <f>IF(AND(Raw!A1965="",Raw!B1965="",Raw!C1965="",Raw!D1965="",Raw!E1965="",Raw!F1965="",Raw!G1965=""),"UNUSED",IF(A1965="","missing line ID",IF(B1965="","missing transaction ID",IF(G1965="",IF(C1965="","missing date","invalid date"),IF(I1965="","unknown product",IF(J1965="","conflicting category",IF(NOT(OR(EXACT(K1965,"sale"),EXACT(K1965,"refund"))),"unknown event",IF(OR(N1965="",NOT(O1965)),"invalid amount",IF(OR(AND(K1965="sale",N1965&lt;=0),AND(K1965="refund",N1965&gt;=0)),"invalid sign","")))))))))</f>
        <v/>
      </c>
      <c r="U1965" s="1" t="str">
        <f t="shared" si="245"/>
        <v>INCLUDED</v>
      </c>
      <c r="V1965" s="1" t="str">
        <f t="shared" si="246"/>
        <v>2026-01</v>
      </c>
      <c r="W1965" s="1">
        <f>IF(AND(U1965="INCLUDED",X1965&gt;0,EXACT(A1965,'AI output'!A1965)),1,0)</f>
        <v>1</v>
      </c>
      <c r="X1965" s="1">
        <f>1965</f>
        <v>1965</v>
      </c>
      <c r="Y1965" s="1">
        <f>IF(AND(U1965="INCLUDED",W1965=1),--(NOT(EXACT(A1965,'AI output'!A1965)))+--(NOT(EXACT(B1965,'AI output'!B1965)))+--(NOT(EXACT(TEXT(G1965,"yyyy-mm-dd"),'AI output'!C1965)))+--(NOT(EXACT(H1965,'AI output'!D1965)))+--(NOT(EXACT(J1965,'AI output'!E1965)))+--(NOT(EXACT(K1965,'AI output'!F1965)))+--(N1965&lt;&gt;'AI output'!L1965)+--(NOT('AI output'!M1965)),0)</f>
        <v>0</v>
      </c>
      <c r="Z1965" s="1">
        <f t="shared" si="247"/>
        <v>0</v>
      </c>
      <c r="AA1965" s="1">
        <f>--EXACT(A1965,"L01959")</f>
        <v>1</v>
      </c>
    </row>
    <row r="1966" spans="1:27" ht="18.95" customHeight="1">
      <c r="A1966" s="1" t="str">
        <f>IF(Raw!A1966="","",Raw!A1966)</f>
        <v>L01960</v>
      </c>
      <c r="B1966" s="1" t="str">
        <f>IF(Raw!B1966="","",Raw!B1966)</f>
        <v>T00980</v>
      </c>
      <c r="C1966" s="1" t="str">
        <f>IF(Raw!C1966="","",Raw!C1966)</f>
        <v>2026-01-14</v>
      </c>
      <c r="D1966" s="1">
        <f t="shared" si="240"/>
        <v>2026</v>
      </c>
      <c r="E1966" s="1">
        <f>IFERROR(IF(AND(LEN(C1966)=10,MID(C1966,5,1)="-",MID(C1966,8,1)="-"),VALUE(MID(C1966,6,2)),IF(AND(LEN(C1966)=11,MID(C1966,3,1)="-",MID(C1966,7,1)="-"),MATCH(UPPER(MID(C1966,4,3)),Guide!$D$7:$D$18,0),0)),0)</f>
        <v>1</v>
      </c>
      <c r="F1966" s="1">
        <f t="shared" si="241"/>
        <v>14</v>
      </c>
      <c r="G1966" s="9">
        <f t="shared" si="242"/>
        <v>46036</v>
      </c>
      <c r="H1966" s="1" t="str">
        <f>IF(Raw!D1966="","",Raw!D1966)</f>
        <v>P-A</v>
      </c>
      <c r="I1966" s="1" t="str">
        <f>IFERROR(IF(EXACT(H1966,INDEX(Guide!$A$7:$A$9,MATCH(SUBSTITUTE(SUBSTITUTE(SUBSTITUTE(H1966,"~","~~"),"*","~*"),"?","~?"),Guide!$A$7:$A$9,0))),INDEX(Guide!$B$7:$B$9,MATCH(SUBSTITUTE(SUBSTITUTE(SUBSTITUTE(H1966,"~","~~"),"*","~*"),"?","~?"),Guide!$A$7:$A$9,0)),""),"")</f>
        <v>Accessories</v>
      </c>
      <c r="J1966" s="1" t="str">
        <f>IF(TRIM(Raw!E1966)="",I1966,IF(UPPER(TRIM(Raw!E1966))=UPPER(I1966),I1966,""))</f>
        <v>Accessories</v>
      </c>
      <c r="K1966" s="1" t="str">
        <f>IF(Raw!F1966="","",Raw!F1966)</f>
        <v>sale</v>
      </c>
      <c r="L1966" s="1" t="str">
        <f>IF(LEFT(TRIM(Raw!G1966),2)="-$","-"&amp;MID(TRIM(Raw!G1966),3,99),IF(LEFT(TRIM(Raw!G1966),1)="$",MID(TRIM(Raw!G1966),2,99),TRIM(Raw!G1966)))</f>
        <v>39.28</v>
      </c>
      <c r="M1966" s="1">
        <f t="shared" si="243"/>
        <v>39.28</v>
      </c>
      <c r="N1966" s="10">
        <f t="shared" si="244"/>
        <v>3928</v>
      </c>
      <c r="O1966" s="1" t="b">
        <f>IFERROR(IF(ISNUMBER(Raw!G1966),TRUE,OR(EXACT(L1966,TEXT(M1966,"0.00")),EXACT(L1966,TEXT(M1966,"#,##0.00")))),FALSE)</f>
        <v>1</v>
      </c>
      <c r="P1966" s="1" t="str">
        <f>LEN(IF(Raw!A1966="","",Raw!A1966))&amp;":"&amp;IF(Raw!A1966="","",Raw!A1966)&amp;"|"&amp;LEN(IF(Raw!B1966="","",Raw!B1966))&amp;":"&amp;IF(Raw!B1966="","",Raw!B1966)&amp;"|"&amp;LEN(IF(Raw!C1966="","",Raw!C1966))&amp;":"&amp;IF(Raw!C1966="","",Raw!C1966)&amp;"|"&amp;LEN(IF(Raw!D1966="","",Raw!D1966))&amp;":"&amp;IF(Raw!D1966="","",Raw!D1966)&amp;"|"&amp;LEN(IF(Raw!E1966="","",Raw!E1966))&amp;":"&amp;IF(Raw!E1966="","",Raw!E1966)&amp;"|"&amp;LEN(IF(Raw!F1966="","",Raw!F1966))&amp;":"&amp;IF(Raw!F1966="","",Raw!F1966)&amp;"|"&amp;LEN(IF(Raw!G1966="","",Raw!G1966))&amp;":"&amp;IF(Raw!G1966="","",Raw!G1966)</f>
        <v>6:L01960|6:T00980|10:2026-01-14|3:P-A|11:Accessories|4:sale|5:39.28</v>
      </c>
      <c r="Q1966" s="1">
        <f>1</f>
        <v>1</v>
      </c>
      <c r="R1966" s="1" t="b">
        <f>FALSE</f>
        <v>0</v>
      </c>
      <c r="S1966" s="1">
        <f>1</f>
        <v>1</v>
      </c>
      <c r="T1966" s="1" t="str">
        <f>IF(AND(Raw!A1966="",Raw!B1966="",Raw!C1966="",Raw!D1966="",Raw!E1966="",Raw!F1966="",Raw!G1966=""),"UNUSED",IF(A1966="","missing line ID",IF(B1966="","missing transaction ID",IF(G1966="",IF(C1966="","missing date","invalid date"),IF(I1966="","unknown product",IF(J1966="","conflicting category",IF(NOT(OR(EXACT(K1966,"sale"),EXACT(K1966,"refund"))),"unknown event",IF(OR(N1966="",NOT(O1966)),"invalid amount",IF(OR(AND(K1966="sale",N1966&lt;=0),AND(K1966="refund",N1966&gt;=0)),"invalid sign","")))))))))</f>
        <v/>
      </c>
      <c r="U1966" s="1" t="str">
        <f t="shared" si="245"/>
        <v>INCLUDED</v>
      </c>
      <c r="V1966" s="1" t="str">
        <f t="shared" si="246"/>
        <v>2026-01</v>
      </c>
      <c r="W1966" s="1">
        <f>IF(AND(U1966="INCLUDED",X1966&gt;0,EXACT(A1966,'AI output'!A1966)),1,0)</f>
        <v>1</v>
      </c>
      <c r="X1966" s="1">
        <f>1966</f>
        <v>1966</v>
      </c>
      <c r="Y1966" s="1">
        <f>IF(AND(U1966="INCLUDED",W1966=1),--(NOT(EXACT(A1966,'AI output'!A1966)))+--(NOT(EXACT(B1966,'AI output'!B1966)))+--(NOT(EXACT(TEXT(G1966,"yyyy-mm-dd"),'AI output'!C1966)))+--(NOT(EXACT(H1966,'AI output'!D1966)))+--(NOT(EXACT(J1966,'AI output'!E1966)))+--(NOT(EXACT(K1966,'AI output'!F1966)))+--(N1966&lt;&gt;'AI output'!L1966)+--(NOT('AI output'!M1966)),0)</f>
        <v>0</v>
      </c>
      <c r="Z1966" s="1">
        <f t="shared" si="247"/>
        <v>0</v>
      </c>
      <c r="AA1966" s="1">
        <f>--EXACT(A1966,"L01960")</f>
        <v>1</v>
      </c>
    </row>
    <row r="1967" spans="1:27" ht="18.95" customHeight="1">
      <c r="A1967" s="1" t="str">
        <f>IF(Raw!A1967="","",Raw!A1967)</f>
        <v>L01961</v>
      </c>
      <c r="B1967" s="1" t="str">
        <f>IF(Raw!B1967="","",Raw!B1967)</f>
        <v>T00981</v>
      </c>
      <c r="C1967" s="1" t="str">
        <f>IF(Raw!C1967="","",Raw!C1967)</f>
        <v>2026-01-21</v>
      </c>
      <c r="D1967" s="1">
        <f t="shared" si="240"/>
        <v>2026</v>
      </c>
      <c r="E1967" s="1">
        <f>IFERROR(IF(AND(LEN(C1967)=10,MID(C1967,5,1)="-",MID(C1967,8,1)="-"),VALUE(MID(C1967,6,2)),IF(AND(LEN(C1967)=11,MID(C1967,3,1)="-",MID(C1967,7,1)="-"),MATCH(UPPER(MID(C1967,4,3)),Guide!$D$7:$D$18,0),0)),0)</f>
        <v>1</v>
      </c>
      <c r="F1967" s="1">
        <f t="shared" si="241"/>
        <v>21</v>
      </c>
      <c r="G1967" s="9">
        <f t="shared" si="242"/>
        <v>46043</v>
      </c>
      <c r="H1967" s="1" t="str">
        <f>IF(Raw!D1967="","",Raw!D1967)</f>
        <v>P-H</v>
      </c>
      <c r="I1967" s="1" t="str">
        <f>IFERROR(IF(EXACT(H1967,INDEX(Guide!$A$7:$A$9,MATCH(SUBSTITUTE(SUBSTITUTE(SUBSTITUTE(H1967,"~","~~"),"*","~*"),"?","~?"),Guide!$A$7:$A$9,0))),INDEX(Guide!$B$7:$B$9,MATCH(SUBSTITUTE(SUBSTITUTE(SUBSTITUTE(H1967,"~","~~"),"*","~*"),"?","~?"),Guide!$A$7:$A$9,0)),""),"")</f>
        <v>Home</v>
      </c>
      <c r="J1967" s="1" t="str">
        <f>IF(TRIM(Raw!E1967)="",I1967,IF(UPPER(TRIM(Raw!E1967))=UPPER(I1967),I1967,""))</f>
        <v>Home</v>
      </c>
      <c r="K1967" s="1" t="str">
        <f>IF(Raw!F1967="","",Raw!F1967)</f>
        <v>sale</v>
      </c>
      <c r="L1967" s="1" t="str">
        <f>IF(LEFT(TRIM(Raw!G1967),2)="-$","-"&amp;MID(TRIM(Raw!G1967),3,99),IF(LEFT(TRIM(Raw!G1967),1)="$",MID(TRIM(Raw!G1967),2,99),TRIM(Raw!G1967)))</f>
        <v>10.19</v>
      </c>
      <c r="M1967" s="1">
        <f t="shared" si="243"/>
        <v>10.19</v>
      </c>
      <c r="N1967" s="10">
        <f t="shared" si="244"/>
        <v>1019</v>
      </c>
      <c r="O1967" s="1" t="b">
        <f>IFERROR(IF(ISNUMBER(Raw!G1967),TRUE,OR(EXACT(L1967,TEXT(M1967,"0.00")),EXACT(L1967,TEXT(M1967,"#,##0.00")))),FALSE)</f>
        <v>1</v>
      </c>
      <c r="P1967" s="1" t="str">
        <f>LEN(IF(Raw!A1967="","",Raw!A1967))&amp;":"&amp;IF(Raw!A1967="","",Raw!A1967)&amp;"|"&amp;LEN(IF(Raw!B1967="","",Raw!B1967))&amp;":"&amp;IF(Raw!B1967="","",Raw!B1967)&amp;"|"&amp;LEN(IF(Raw!C1967="","",Raw!C1967))&amp;":"&amp;IF(Raw!C1967="","",Raw!C1967)&amp;"|"&amp;LEN(IF(Raw!D1967="","",Raw!D1967))&amp;":"&amp;IF(Raw!D1967="","",Raw!D1967)&amp;"|"&amp;LEN(IF(Raw!E1967="","",Raw!E1967))&amp;":"&amp;IF(Raw!E1967="","",Raw!E1967)&amp;"|"&amp;LEN(IF(Raw!F1967="","",Raw!F1967))&amp;":"&amp;IF(Raw!F1967="","",Raw!F1967)&amp;"|"&amp;LEN(IF(Raw!G1967="","",Raw!G1967))&amp;":"&amp;IF(Raw!G1967="","",Raw!G1967)</f>
        <v>6:L01961|6:T00981|10:2026-01-21|3:P-H|4:Home|4:sale|5:10.19</v>
      </c>
      <c r="Q1967" s="1">
        <f>1</f>
        <v>1</v>
      </c>
      <c r="R1967" s="1" t="b">
        <f>FALSE</f>
        <v>0</v>
      </c>
      <c r="S1967" s="1">
        <f>1</f>
        <v>1</v>
      </c>
      <c r="T1967" s="1" t="str">
        <f>IF(AND(Raw!A1967="",Raw!B1967="",Raw!C1967="",Raw!D1967="",Raw!E1967="",Raw!F1967="",Raw!G1967=""),"UNUSED",IF(A1967="","missing line ID",IF(B1967="","missing transaction ID",IF(G1967="",IF(C1967="","missing date","invalid date"),IF(I1967="","unknown product",IF(J1967="","conflicting category",IF(NOT(OR(EXACT(K1967,"sale"),EXACT(K1967,"refund"))),"unknown event",IF(OR(N1967="",NOT(O1967)),"invalid amount",IF(OR(AND(K1967="sale",N1967&lt;=0),AND(K1967="refund",N1967&gt;=0)),"invalid sign","")))))))))</f>
        <v/>
      </c>
      <c r="U1967" s="1" t="str">
        <f t="shared" si="245"/>
        <v>INCLUDED</v>
      </c>
      <c r="V1967" s="1" t="str">
        <f t="shared" si="246"/>
        <v>2026-01</v>
      </c>
      <c r="W1967" s="1">
        <f>IF(AND(U1967="INCLUDED",X1967&gt;0,EXACT(A1967,'AI output'!A1967)),1,0)</f>
        <v>1</v>
      </c>
      <c r="X1967" s="1">
        <f>1967</f>
        <v>1967</v>
      </c>
      <c r="Y1967" s="1">
        <f>IF(AND(U1967="INCLUDED",W1967=1),--(NOT(EXACT(A1967,'AI output'!A1967)))+--(NOT(EXACT(B1967,'AI output'!B1967)))+--(NOT(EXACT(TEXT(G1967,"yyyy-mm-dd"),'AI output'!C1967)))+--(NOT(EXACT(H1967,'AI output'!D1967)))+--(NOT(EXACT(J1967,'AI output'!E1967)))+--(NOT(EXACT(K1967,'AI output'!F1967)))+--(N1967&lt;&gt;'AI output'!L1967)+--(NOT('AI output'!M1967)),0)</f>
        <v>0</v>
      </c>
      <c r="Z1967" s="1">
        <f t="shared" si="247"/>
        <v>0</v>
      </c>
      <c r="AA1967" s="1">
        <f>--EXACT(A1967,"L01961")</f>
        <v>1</v>
      </c>
    </row>
    <row r="1968" spans="1:27" ht="18.95" customHeight="1">
      <c r="A1968" s="1" t="str">
        <f>IF(Raw!A1968="","",Raw!A1968)</f>
        <v>L01962</v>
      </c>
      <c r="B1968" s="1" t="str">
        <f>IF(Raw!B1968="","",Raw!B1968)</f>
        <v>T00981</v>
      </c>
      <c r="C1968" s="1" t="str">
        <f>IF(Raw!C1968="","",Raw!C1968)</f>
        <v>2026-01-21</v>
      </c>
      <c r="D1968" s="1">
        <f t="shared" si="240"/>
        <v>2026</v>
      </c>
      <c r="E1968" s="1">
        <f>IFERROR(IF(AND(LEN(C1968)=10,MID(C1968,5,1)="-",MID(C1968,8,1)="-"),VALUE(MID(C1968,6,2)),IF(AND(LEN(C1968)=11,MID(C1968,3,1)="-",MID(C1968,7,1)="-"),MATCH(UPPER(MID(C1968,4,3)),Guide!$D$7:$D$18,0),0)),0)</f>
        <v>1</v>
      </c>
      <c r="F1968" s="1">
        <f t="shared" si="241"/>
        <v>21</v>
      </c>
      <c r="G1968" s="9">
        <f t="shared" si="242"/>
        <v>46043</v>
      </c>
      <c r="H1968" s="1" t="str">
        <f>IF(Raw!D1968="","",Raw!D1968)</f>
        <v>P-O</v>
      </c>
      <c r="I1968" s="1" t="str">
        <f>IFERROR(IF(EXACT(H1968,INDEX(Guide!$A$7:$A$9,MATCH(SUBSTITUTE(SUBSTITUTE(SUBSTITUTE(H1968,"~","~~"),"*","~*"),"?","~?"),Guide!$A$7:$A$9,0))),INDEX(Guide!$B$7:$B$9,MATCH(SUBSTITUTE(SUBSTITUTE(SUBSTITUTE(H1968,"~","~~"),"*","~*"),"?","~?"),Guide!$A$7:$A$9,0)),""),"")</f>
        <v>Office</v>
      </c>
      <c r="J1968" s="1" t="str">
        <f>IF(TRIM(Raw!E1968)="",I1968,IF(UPPER(TRIM(Raw!E1968))=UPPER(I1968),I1968,""))</f>
        <v>Office</v>
      </c>
      <c r="K1968" s="1" t="str">
        <f>IF(Raw!F1968="","",Raw!F1968)</f>
        <v>sale</v>
      </c>
      <c r="L1968" s="1" t="str">
        <f>IF(LEFT(TRIM(Raw!G1968),2)="-$","-"&amp;MID(TRIM(Raw!G1968),3,99),IF(LEFT(TRIM(Raw!G1968),1)="$",MID(TRIM(Raw!G1968),2,99),TRIM(Raw!G1968)))</f>
        <v>31.68</v>
      </c>
      <c r="M1968" s="1">
        <f t="shared" si="243"/>
        <v>31.68</v>
      </c>
      <c r="N1968" s="10">
        <f t="shared" si="244"/>
        <v>3168</v>
      </c>
      <c r="O1968" s="1" t="b">
        <f>IFERROR(IF(ISNUMBER(Raw!G1968),TRUE,OR(EXACT(L1968,TEXT(M1968,"0.00")),EXACT(L1968,TEXT(M1968,"#,##0.00")))),FALSE)</f>
        <v>1</v>
      </c>
      <c r="P1968" s="1" t="str">
        <f>LEN(IF(Raw!A1968="","",Raw!A1968))&amp;":"&amp;IF(Raw!A1968="","",Raw!A1968)&amp;"|"&amp;LEN(IF(Raw!B1968="","",Raw!B1968))&amp;":"&amp;IF(Raw!B1968="","",Raw!B1968)&amp;"|"&amp;LEN(IF(Raw!C1968="","",Raw!C1968))&amp;":"&amp;IF(Raw!C1968="","",Raw!C1968)&amp;"|"&amp;LEN(IF(Raw!D1968="","",Raw!D1968))&amp;":"&amp;IF(Raw!D1968="","",Raw!D1968)&amp;"|"&amp;LEN(IF(Raw!E1968="","",Raw!E1968))&amp;":"&amp;IF(Raw!E1968="","",Raw!E1968)&amp;"|"&amp;LEN(IF(Raw!F1968="","",Raw!F1968))&amp;":"&amp;IF(Raw!F1968="","",Raw!F1968)&amp;"|"&amp;LEN(IF(Raw!G1968="","",Raw!G1968))&amp;":"&amp;IF(Raw!G1968="","",Raw!G1968)</f>
        <v>6:L01962|6:T00981|10:2026-01-21|3:P-O|6:Office|4:sale|5:31.68</v>
      </c>
      <c r="Q1968" s="1">
        <f>1</f>
        <v>1</v>
      </c>
      <c r="R1968" s="1" t="b">
        <f>FALSE</f>
        <v>0</v>
      </c>
      <c r="S1968" s="1">
        <f>1</f>
        <v>1</v>
      </c>
      <c r="T1968" s="1" t="str">
        <f>IF(AND(Raw!A1968="",Raw!B1968="",Raw!C1968="",Raw!D1968="",Raw!E1968="",Raw!F1968="",Raw!G1968=""),"UNUSED",IF(A1968="","missing line ID",IF(B1968="","missing transaction ID",IF(G1968="",IF(C1968="","missing date","invalid date"),IF(I1968="","unknown product",IF(J1968="","conflicting category",IF(NOT(OR(EXACT(K1968,"sale"),EXACT(K1968,"refund"))),"unknown event",IF(OR(N1968="",NOT(O1968)),"invalid amount",IF(OR(AND(K1968="sale",N1968&lt;=0),AND(K1968="refund",N1968&gt;=0)),"invalid sign","")))))))))</f>
        <v/>
      </c>
      <c r="U1968" s="1" t="str">
        <f t="shared" si="245"/>
        <v>INCLUDED</v>
      </c>
      <c r="V1968" s="1" t="str">
        <f t="shared" si="246"/>
        <v>2026-01</v>
      </c>
      <c r="W1968" s="1">
        <f>IF(AND(U1968="INCLUDED",X1968&gt;0,EXACT(A1968,'AI output'!A1968)),1,0)</f>
        <v>1</v>
      </c>
      <c r="X1968" s="1">
        <f>1968</f>
        <v>1968</v>
      </c>
      <c r="Y1968" s="1">
        <f>IF(AND(U1968="INCLUDED",W1968=1),--(NOT(EXACT(A1968,'AI output'!A1968)))+--(NOT(EXACT(B1968,'AI output'!B1968)))+--(NOT(EXACT(TEXT(G1968,"yyyy-mm-dd"),'AI output'!C1968)))+--(NOT(EXACT(H1968,'AI output'!D1968)))+--(NOT(EXACT(J1968,'AI output'!E1968)))+--(NOT(EXACT(K1968,'AI output'!F1968)))+--(N1968&lt;&gt;'AI output'!L1968)+--(NOT('AI output'!M1968)),0)</f>
        <v>0</v>
      </c>
      <c r="Z1968" s="1">
        <f t="shared" si="247"/>
        <v>0</v>
      </c>
      <c r="AA1968" s="1">
        <f>--EXACT(A1968,"L01962")</f>
        <v>1</v>
      </c>
    </row>
    <row r="1969" spans="1:27" ht="18.95" customHeight="1">
      <c r="A1969" s="1" t="str">
        <f>IF(Raw!A1969="","",Raw!A1969)</f>
        <v>L01963</v>
      </c>
      <c r="B1969" s="1" t="str">
        <f>IF(Raw!B1969="","",Raw!B1969)</f>
        <v>T00982</v>
      </c>
      <c r="C1969" s="1" t="str">
        <f>IF(Raw!C1969="","",Raw!C1969)</f>
        <v>2026-01-28</v>
      </c>
      <c r="D1969" s="1">
        <f t="shared" si="240"/>
        <v>2026</v>
      </c>
      <c r="E1969" s="1">
        <f>IFERROR(IF(AND(LEN(C1969)=10,MID(C1969,5,1)="-",MID(C1969,8,1)="-"),VALUE(MID(C1969,6,2)),IF(AND(LEN(C1969)=11,MID(C1969,3,1)="-",MID(C1969,7,1)="-"),MATCH(UPPER(MID(C1969,4,3)),Guide!$D$7:$D$18,0),0)),0)</f>
        <v>1</v>
      </c>
      <c r="F1969" s="1">
        <f t="shared" si="241"/>
        <v>28</v>
      </c>
      <c r="G1969" s="9">
        <f t="shared" si="242"/>
        <v>46050</v>
      </c>
      <c r="H1969" s="1" t="str">
        <f>IF(Raw!D1969="","",Raw!D1969)</f>
        <v>P-A</v>
      </c>
      <c r="I1969" s="1" t="str">
        <f>IFERROR(IF(EXACT(H1969,INDEX(Guide!$A$7:$A$9,MATCH(SUBSTITUTE(SUBSTITUTE(SUBSTITUTE(H1969,"~","~~"),"*","~*"),"?","~?"),Guide!$A$7:$A$9,0))),INDEX(Guide!$B$7:$B$9,MATCH(SUBSTITUTE(SUBSTITUTE(SUBSTITUTE(H1969,"~","~~"),"*","~*"),"?","~?"),Guide!$A$7:$A$9,0)),""),"")</f>
        <v>Accessories</v>
      </c>
      <c r="J1969" s="1" t="str">
        <f>IF(TRIM(Raw!E1969)="",I1969,IF(UPPER(TRIM(Raw!E1969))=UPPER(I1969),I1969,""))</f>
        <v>Accessories</v>
      </c>
      <c r="K1969" s="1" t="str">
        <f>IF(Raw!F1969="","",Raw!F1969)</f>
        <v>sale</v>
      </c>
      <c r="L1969" s="1" t="str">
        <f>IF(LEFT(TRIM(Raw!G1969),2)="-$","-"&amp;MID(TRIM(Raw!G1969),3,99),IF(LEFT(TRIM(Raw!G1969),1)="$",MID(TRIM(Raw!G1969),2,99),TRIM(Raw!G1969)))</f>
        <v>54.65</v>
      </c>
      <c r="M1969" s="1">
        <f t="shared" si="243"/>
        <v>54.65</v>
      </c>
      <c r="N1969" s="10">
        <f t="shared" si="244"/>
        <v>5465</v>
      </c>
      <c r="O1969" s="1" t="b">
        <f>IFERROR(IF(ISNUMBER(Raw!G1969),TRUE,OR(EXACT(L1969,TEXT(M1969,"0.00")),EXACT(L1969,TEXT(M1969,"#,##0.00")))),FALSE)</f>
        <v>1</v>
      </c>
      <c r="P1969" s="1" t="str">
        <f>LEN(IF(Raw!A1969="","",Raw!A1969))&amp;":"&amp;IF(Raw!A1969="","",Raw!A1969)&amp;"|"&amp;LEN(IF(Raw!B1969="","",Raw!B1969))&amp;":"&amp;IF(Raw!B1969="","",Raw!B1969)&amp;"|"&amp;LEN(IF(Raw!C1969="","",Raw!C1969))&amp;":"&amp;IF(Raw!C1969="","",Raw!C1969)&amp;"|"&amp;LEN(IF(Raw!D1969="","",Raw!D1969))&amp;":"&amp;IF(Raw!D1969="","",Raw!D1969)&amp;"|"&amp;LEN(IF(Raw!E1969="","",Raw!E1969))&amp;":"&amp;IF(Raw!E1969="","",Raw!E1969)&amp;"|"&amp;LEN(IF(Raw!F1969="","",Raw!F1969))&amp;":"&amp;IF(Raw!F1969="","",Raw!F1969)&amp;"|"&amp;LEN(IF(Raw!G1969="","",Raw!G1969))&amp;":"&amp;IF(Raw!G1969="","",Raw!G1969)</f>
        <v>6:L01963|6:T00982|10:2026-01-28|3:P-A|11:Accessories|4:sale|5:54.65</v>
      </c>
      <c r="Q1969" s="1">
        <f>1</f>
        <v>1</v>
      </c>
      <c r="R1969" s="1" t="b">
        <f>FALSE</f>
        <v>0</v>
      </c>
      <c r="S1969" s="1">
        <f>1</f>
        <v>1</v>
      </c>
      <c r="T1969" s="1" t="str">
        <f>IF(AND(Raw!A1969="",Raw!B1969="",Raw!C1969="",Raw!D1969="",Raw!E1969="",Raw!F1969="",Raw!G1969=""),"UNUSED",IF(A1969="","missing line ID",IF(B1969="","missing transaction ID",IF(G1969="",IF(C1969="","missing date","invalid date"),IF(I1969="","unknown product",IF(J1969="","conflicting category",IF(NOT(OR(EXACT(K1969,"sale"),EXACT(K1969,"refund"))),"unknown event",IF(OR(N1969="",NOT(O1969)),"invalid amount",IF(OR(AND(K1969="sale",N1969&lt;=0),AND(K1969="refund",N1969&gt;=0)),"invalid sign","")))))))))</f>
        <v/>
      </c>
      <c r="U1969" s="1" t="str">
        <f t="shared" si="245"/>
        <v>INCLUDED</v>
      </c>
      <c r="V1969" s="1" t="str">
        <f t="shared" si="246"/>
        <v>2026-01</v>
      </c>
      <c r="W1969" s="1">
        <f>IF(AND(U1969="INCLUDED",X1969&gt;0,EXACT(A1969,'AI output'!A1969)),1,0)</f>
        <v>1</v>
      </c>
      <c r="X1969" s="1">
        <f>1969</f>
        <v>1969</v>
      </c>
      <c r="Y1969" s="1">
        <f>IF(AND(U1969="INCLUDED",W1969=1),--(NOT(EXACT(A1969,'AI output'!A1969)))+--(NOT(EXACT(B1969,'AI output'!B1969)))+--(NOT(EXACT(TEXT(G1969,"yyyy-mm-dd"),'AI output'!C1969)))+--(NOT(EXACT(H1969,'AI output'!D1969)))+--(NOT(EXACT(J1969,'AI output'!E1969)))+--(NOT(EXACT(K1969,'AI output'!F1969)))+--(N1969&lt;&gt;'AI output'!L1969)+--(NOT('AI output'!M1969)),0)</f>
        <v>0</v>
      </c>
      <c r="Z1969" s="1">
        <f t="shared" si="247"/>
        <v>0</v>
      </c>
      <c r="AA1969" s="1">
        <f>--EXACT(A1969,"L01963")</f>
        <v>1</v>
      </c>
    </row>
    <row r="1970" spans="1:27" ht="18.95" customHeight="1">
      <c r="A1970" s="1" t="str">
        <f>IF(Raw!A1970="","",Raw!A1970)</f>
        <v>L01964</v>
      </c>
      <c r="B1970" s="1" t="str">
        <f>IF(Raw!B1970="","",Raw!B1970)</f>
        <v>T00982</v>
      </c>
      <c r="C1970" s="1" t="str">
        <f>IF(Raw!C1970="","",Raw!C1970)</f>
        <v>2026-01-28</v>
      </c>
      <c r="D1970" s="1">
        <f t="shared" si="240"/>
        <v>2026</v>
      </c>
      <c r="E1970" s="1">
        <f>IFERROR(IF(AND(LEN(C1970)=10,MID(C1970,5,1)="-",MID(C1970,8,1)="-"),VALUE(MID(C1970,6,2)),IF(AND(LEN(C1970)=11,MID(C1970,3,1)="-",MID(C1970,7,1)="-"),MATCH(UPPER(MID(C1970,4,3)),Guide!$D$7:$D$18,0),0)),0)</f>
        <v>1</v>
      </c>
      <c r="F1970" s="1">
        <f t="shared" si="241"/>
        <v>28</v>
      </c>
      <c r="G1970" s="9">
        <f t="shared" si="242"/>
        <v>46050</v>
      </c>
      <c r="H1970" s="1" t="str">
        <f>IF(Raw!D1970="","",Raw!D1970)</f>
        <v>P-H</v>
      </c>
      <c r="I1970" s="1" t="str">
        <f>IFERROR(IF(EXACT(H1970,INDEX(Guide!$A$7:$A$9,MATCH(SUBSTITUTE(SUBSTITUTE(SUBSTITUTE(H1970,"~","~~"),"*","~*"),"?","~?"),Guide!$A$7:$A$9,0))),INDEX(Guide!$B$7:$B$9,MATCH(SUBSTITUTE(SUBSTITUTE(SUBSTITUTE(H1970,"~","~~"),"*","~*"),"?","~?"),Guide!$A$7:$A$9,0)),""),"")</f>
        <v>Home</v>
      </c>
      <c r="J1970" s="1" t="str">
        <f>IF(TRIM(Raw!E1970)="",I1970,IF(UPPER(TRIM(Raw!E1970))=UPPER(I1970),I1970,""))</f>
        <v>Home</v>
      </c>
      <c r="K1970" s="1" t="str">
        <f>IF(Raw!F1970="","",Raw!F1970)</f>
        <v>sale</v>
      </c>
      <c r="L1970" s="1" t="str">
        <f>IF(LEFT(TRIM(Raw!G1970),2)="-$","-"&amp;MID(TRIM(Raw!G1970),3,99),IF(LEFT(TRIM(Raw!G1970),1)="$",MID(TRIM(Raw!G1970),2,99),TRIM(Raw!G1970)))</f>
        <v>22.60</v>
      </c>
      <c r="M1970" s="1">
        <f t="shared" si="243"/>
        <v>22.6</v>
      </c>
      <c r="N1970" s="10">
        <f t="shared" si="244"/>
        <v>2260</v>
      </c>
      <c r="O1970" s="1" t="b">
        <f>IFERROR(IF(ISNUMBER(Raw!G1970),TRUE,OR(EXACT(L1970,TEXT(M1970,"0.00")),EXACT(L1970,TEXT(M1970,"#,##0.00")))),FALSE)</f>
        <v>1</v>
      </c>
      <c r="P1970" s="1" t="str">
        <f>LEN(IF(Raw!A1970="","",Raw!A1970))&amp;":"&amp;IF(Raw!A1970="","",Raw!A1970)&amp;"|"&amp;LEN(IF(Raw!B1970="","",Raw!B1970))&amp;":"&amp;IF(Raw!B1970="","",Raw!B1970)&amp;"|"&amp;LEN(IF(Raw!C1970="","",Raw!C1970))&amp;":"&amp;IF(Raw!C1970="","",Raw!C1970)&amp;"|"&amp;LEN(IF(Raw!D1970="","",Raw!D1970))&amp;":"&amp;IF(Raw!D1970="","",Raw!D1970)&amp;"|"&amp;LEN(IF(Raw!E1970="","",Raw!E1970))&amp;":"&amp;IF(Raw!E1970="","",Raw!E1970)&amp;"|"&amp;LEN(IF(Raw!F1970="","",Raw!F1970))&amp;":"&amp;IF(Raw!F1970="","",Raw!F1970)&amp;"|"&amp;LEN(IF(Raw!G1970="","",Raw!G1970))&amp;":"&amp;IF(Raw!G1970="","",Raw!G1970)</f>
        <v>6:L01964|6:T00982|10:2026-01-28|3:P-H|4:Home|4:sale|5:22.60</v>
      </c>
      <c r="Q1970" s="1">
        <f>1</f>
        <v>1</v>
      </c>
      <c r="R1970" s="1" t="b">
        <f>FALSE</f>
        <v>0</v>
      </c>
      <c r="S1970" s="1">
        <f>1</f>
        <v>1</v>
      </c>
      <c r="T1970" s="1" t="str">
        <f>IF(AND(Raw!A1970="",Raw!B1970="",Raw!C1970="",Raw!D1970="",Raw!E1970="",Raw!F1970="",Raw!G1970=""),"UNUSED",IF(A1970="","missing line ID",IF(B1970="","missing transaction ID",IF(G1970="",IF(C1970="","missing date","invalid date"),IF(I1970="","unknown product",IF(J1970="","conflicting category",IF(NOT(OR(EXACT(K1970,"sale"),EXACT(K1970,"refund"))),"unknown event",IF(OR(N1970="",NOT(O1970)),"invalid amount",IF(OR(AND(K1970="sale",N1970&lt;=0),AND(K1970="refund",N1970&gt;=0)),"invalid sign","")))))))))</f>
        <v/>
      </c>
      <c r="U1970" s="1" t="str">
        <f t="shared" si="245"/>
        <v>INCLUDED</v>
      </c>
      <c r="V1970" s="1" t="str">
        <f t="shared" si="246"/>
        <v>2026-01</v>
      </c>
      <c r="W1970" s="1">
        <f>IF(AND(U1970="INCLUDED",X1970&gt;0,EXACT(A1970,'AI output'!A1970)),1,0)</f>
        <v>1</v>
      </c>
      <c r="X1970" s="1">
        <f>1970</f>
        <v>1970</v>
      </c>
      <c r="Y1970" s="1">
        <f>IF(AND(U1970="INCLUDED",W1970=1),--(NOT(EXACT(A1970,'AI output'!A1970)))+--(NOT(EXACT(B1970,'AI output'!B1970)))+--(NOT(EXACT(TEXT(G1970,"yyyy-mm-dd"),'AI output'!C1970)))+--(NOT(EXACT(H1970,'AI output'!D1970)))+--(NOT(EXACT(J1970,'AI output'!E1970)))+--(NOT(EXACT(K1970,'AI output'!F1970)))+--(N1970&lt;&gt;'AI output'!L1970)+--(NOT('AI output'!M1970)),0)</f>
        <v>0</v>
      </c>
      <c r="Z1970" s="1">
        <f t="shared" si="247"/>
        <v>0</v>
      </c>
      <c r="AA1970" s="1">
        <f>--EXACT(A1970,"L01964")</f>
        <v>1</v>
      </c>
    </row>
    <row r="1971" spans="1:27" ht="18.95" customHeight="1">
      <c r="A1971" s="1" t="str">
        <f>IF(Raw!A1971="","",Raw!A1971)</f>
        <v>L01965</v>
      </c>
      <c r="B1971" s="1" t="str">
        <f>IF(Raw!B1971="","",Raw!B1971)</f>
        <v>T00983</v>
      </c>
      <c r="C1971" s="1" t="str">
        <f>IF(Raw!C1971="","",Raw!C1971)</f>
        <v>2026-02-04</v>
      </c>
      <c r="D1971" s="1">
        <f t="shared" si="240"/>
        <v>2026</v>
      </c>
      <c r="E1971" s="1">
        <f>IFERROR(IF(AND(LEN(C1971)=10,MID(C1971,5,1)="-",MID(C1971,8,1)="-"),VALUE(MID(C1971,6,2)),IF(AND(LEN(C1971)=11,MID(C1971,3,1)="-",MID(C1971,7,1)="-"),MATCH(UPPER(MID(C1971,4,3)),Guide!$D$7:$D$18,0),0)),0)</f>
        <v>2</v>
      </c>
      <c r="F1971" s="1">
        <f t="shared" si="241"/>
        <v>4</v>
      </c>
      <c r="G1971" s="9">
        <f t="shared" si="242"/>
        <v>46057</v>
      </c>
      <c r="H1971" s="1" t="str">
        <f>IF(Raw!D1971="","",Raw!D1971)</f>
        <v>P-O</v>
      </c>
      <c r="I1971" s="1" t="str">
        <f>IFERROR(IF(EXACT(H1971,INDEX(Guide!$A$7:$A$9,MATCH(SUBSTITUTE(SUBSTITUTE(SUBSTITUTE(H1971,"~","~~"),"*","~*"),"?","~?"),Guide!$A$7:$A$9,0))),INDEX(Guide!$B$7:$B$9,MATCH(SUBSTITUTE(SUBSTITUTE(SUBSTITUTE(H1971,"~","~~"),"*","~*"),"?","~?"),Guide!$A$7:$A$9,0)),""),"")</f>
        <v>Office</v>
      </c>
      <c r="J1971" s="1" t="str">
        <f>IF(TRIM(Raw!E1971)="",I1971,IF(UPPER(TRIM(Raw!E1971))=UPPER(I1971),I1971,""))</f>
        <v>Office</v>
      </c>
      <c r="K1971" s="1" t="str">
        <f>IF(Raw!F1971="","",Raw!F1971)</f>
        <v>sale</v>
      </c>
      <c r="L1971" s="1" t="str">
        <f>IF(LEFT(TRIM(Raw!G1971),2)="-$","-"&amp;MID(TRIM(Raw!G1971),3,99),IF(LEFT(TRIM(Raw!G1971),1)="$",MID(TRIM(Raw!G1971),2,99),TRIM(Raw!G1971)))</f>
        <v>46.68</v>
      </c>
      <c r="M1971" s="1">
        <f t="shared" si="243"/>
        <v>46.68</v>
      </c>
      <c r="N1971" s="10">
        <f t="shared" si="244"/>
        <v>4668</v>
      </c>
      <c r="O1971" s="1" t="b">
        <f>IFERROR(IF(ISNUMBER(Raw!G1971),TRUE,OR(EXACT(L1971,TEXT(M1971,"0.00")),EXACT(L1971,TEXT(M1971,"#,##0.00")))),FALSE)</f>
        <v>1</v>
      </c>
      <c r="P1971" s="1" t="str">
        <f>LEN(IF(Raw!A1971="","",Raw!A1971))&amp;":"&amp;IF(Raw!A1971="","",Raw!A1971)&amp;"|"&amp;LEN(IF(Raw!B1971="","",Raw!B1971))&amp;":"&amp;IF(Raw!B1971="","",Raw!B1971)&amp;"|"&amp;LEN(IF(Raw!C1971="","",Raw!C1971))&amp;":"&amp;IF(Raw!C1971="","",Raw!C1971)&amp;"|"&amp;LEN(IF(Raw!D1971="","",Raw!D1971))&amp;":"&amp;IF(Raw!D1971="","",Raw!D1971)&amp;"|"&amp;LEN(IF(Raw!E1971="","",Raw!E1971))&amp;":"&amp;IF(Raw!E1971="","",Raw!E1971)&amp;"|"&amp;LEN(IF(Raw!F1971="","",Raw!F1971))&amp;":"&amp;IF(Raw!F1971="","",Raw!F1971)&amp;"|"&amp;LEN(IF(Raw!G1971="","",Raw!G1971))&amp;":"&amp;IF(Raw!G1971="","",Raw!G1971)</f>
        <v>6:L01965|6:T00983|10:2026-02-04|3:P-O|6:Office|4:sale|5:46.68</v>
      </c>
      <c r="Q1971" s="1">
        <f>1</f>
        <v>1</v>
      </c>
      <c r="R1971" s="1" t="b">
        <f>FALSE</f>
        <v>0</v>
      </c>
      <c r="S1971" s="1">
        <f>1</f>
        <v>1</v>
      </c>
      <c r="T1971" s="1" t="str">
        <f>IF(AND(Raw!A1971="",Raw!B1971="",Raw!C1971="",Raw!D1971="",Raw!E1971="",Raw!F1971="",Raw!G1971=""),"UNUSED",IF(A1971="","missing line ID",IF(B1971="","missing transaction ID",IF(G1971="",IF(C1971="","missing date","invalid date"),IF(I1971="","unknown product",IF(J1971="","conflicting category",IF(NOT(OR(EXACT(K1971,"sale"),EXACT(K1971,"refund"))),"unknown event",IF(OR(N1971="",NOT(O1971)),"invalid amount",IF(OR(AND(K1971="sale",N1971&lt;=0),AND(K1971="refund",N1971&gt;=0)),"invalid sign","")))))))))</f>
        <v/>
      </c>
      <c r="U1971" s="1" t="str">
        <f t="shared" si="245"/>
        <v>INCLUDED</v>
      </c>
      <c r="V1971" s="1" t="str">
        <f t="shared" si="246"/>
        <v>2026-02</v>
      </c>
      <c r="W1971" s="1">
        <f>IF(AND(U1971="INCLUDED",X1971&gt;0,EXACT(A1971,'AI output'!A1971)),1,0)</f>
        <v>1</v>
      </c>
      <c r="X1971" s="1">
        <f>1971</f>
        <v>1971</v>
      </c>
      <c r="Y1971" s="1">
        <f>IF(AND(U1971="INCLUDED",W1971=1),--(NOT(EXACT(A1971,'AI output'!A1971)))+--(NOT(EXACT(B1971,'AI output'!B1971)))+--(NOT(EXACT(TEXT(G1971,"yyyy-mm-dd"),'AI output'!C1971)))+--(NOT(EXACT(H1971,'AI output'!D1971)))+--(NOT(EXACT(J1971,'AI output'!E1971)))+--(NOT(EXACT(K1971,'AI output'!F1971)))+--(N1971&lt;&gt;'AI output'!L1971)+--(NOT('AI output'!M1971)),0)</f>
        <v>0</v>
      </c>
      <c r="Z1971" s="1">
        <f t="shared" si="247"/>
        <v>0</v>
      </c>
      <c r="AA1971" s="1">
        <f>--EXACT(A1971,"L01965")</f>
        <v>1</v>
      </c>
    </row>
    <row r="1972" spans="1:27" ht="18.95" customHeight="1">
      <c r="A1972" s="1" t="str">
        <f>IF(Raw!A1972="","",Raw!A1972)</f>
        <v>L01966</v>
      </c>
      <c r="B1972" s="1" t="str">
        <f>IF(Raw!B1972="","",Raw!B1972)</f>
        <v>T00983</v>
      </c>
      <c r="C1972" s="1" t="str">
        <f>IF(Raw!C1972="","",Raw!C1972)</f>
        <v>2026-02-04</v>
      </c>
      <c r="D1972" s="1">
        <f t="shared" si="240"/>
        <v>2026</v>
      </c>
      <c r="E1972" s="1">
        <f>IFERROR(IF(AND(LEN(C1972)=10,MID(C1972,5,1)="-",MID(C1972,8,1)="-"),VALUE(MID(C1972,6,2)),IF(AND(LEN(C1972)=11,MID(C1972,3,1)="-",MID(C1972,7,1)="-"),MATCH(UPPER(MID(C1972,4,3)),Guide!$D$7:$D$18,0),0)),0)</f>
        <v>2</v>
      </c>
      <c r="F1972" s="1">
        <f t="shared" si="241"/>
        <v>4</v>
      </c>
      <c r="G1972" s="9">
        <f t="shared" si="242"/>
        <v>46057</v>
      </c>
      <c r="H1972" s="1" t="str">
        <f>IF(Raw!D1972="","",Raw!D1972)</f>
        <v>P-A</v>
      </c>
      <c r="I1972" s="1" t="str">
        <f>IFERROR(IF(EXACT(H1972,INDEX(Guide!$A$7:$A$9,MATCH(SUBSTITUTE(SUBSTITUTE(SUBSTITUTE(H1972,"~","~~"),"*","~*"),"?","~?"),Guide!$A$7:$A$9,0))),INDEX(Guide!$B$7:$B$9,MATCH(SUBSTITUTE(SUBSTITUTE(SUBSTITUTE(H1972,"~","~~"),"*","~*"),"?","~?"),Guide!$A$7:$A$9,0)),""),"")</f>
        <v>Accessories</v>
      </c>
      <c r="J1972" s="1" t="str">
        <f>IF(TRIM(Raw!E1972)="",I1972,IF(UPPER(TRIM(Raw!E1972))=UPPER(I1972),I1972,""))</f>
        <v>Accessories</v>
      </c>
      <c r="K1972" s="1" t="str">
        <f>IF(Raw!F1972="","",Raw!F1972)</f>
        <v>sale</v>
      </c>
      <c r="L1972" s="1" t="str">
        <f>IF(LEFT(TRIM(Raw!G1972),2)="-$","-"&amp;MID(TRIM(Raw!G1972),3,99),IF(LEFT(TRIM(Raw!G1972),1)="$",MID(TRIM(Raw!G1972),2,99),TRIM(Raw!G1972)))</f>
        <v>12.04</v>
      </c>
      <c r="M1972" s="1">
        <f t="shared" si="243"/>
        <v>12.04</v>
      </c>
      <c r="N1972" s="10">
        <f t="shared" si="244"/>
        <v>1204</v>
      </c>
      <c r="O1972" s="1" t="b">
        <f>IFERROR(IF(ISNUMBER(Raw!G1972),TRUE,OR(EXACT(L1972,TEXT(M1972,"0.00")),EXACT(L1972,TEXT(M1972,"#,##0.00")))),FALSE)</f>
        <v>1</v>
      </c>
      <c r="P1972" s="1" t="str">
        <f>LEN(IF(Raw!A1972="","",Raw!A1972))&amp;":"&amp;IF(Raw!A1972="","",Raw!A1972)&amp;"|"&amp;LEN(IF(Raw!B1972="","",Raw!B1972))&amp;":"&amp;IF(Raw!B1972="","",Raw!B1972)&amp;"|"&amp;LEN(IF(Raw!C1972="","",Raw!C1972))&amp;":"&amp;IF(Raw!C1972="","",Raw!C1972)&amp;"|"&amp;LEN(IF(Raw!D1972="","",Raw!D1972))&amp;":"&amp;IF(Raw!D1972="","",Raw!D1972)&amp;"|"&amp;LEN(IF(Raw!E1972="","",Raw!E1972))&amp;":"&amp;IF(Raw!E1972="","",Raw!E1972)&amp;"|"&amp;LEN(IF(Raw!F1972="","",Raw!F1972))&amp;":"&amp;IF(Raw!F1972="","",Raw!F1972)&amp;"|"&amp;LEN(IF(Raw!G1972="","",Raw!G1972))&amp;":"&amp;IF(Raw!G1972="","",Raw!G1972)</f>
        <v>6:L01966|6:T00983|10:2026-02-04|3:P-A|11:Accessories|4:sale|5:12.04</v>
      </c>
      <c r="Q1972" s="1">
        <f>1</f>
        <v>1</v>
      </c>
      <c r="R1972" s="1" t="b">
        <f>FALSE</f>
        <v>0</v>
      </c>
      <c r="S1972" s="1">
        <f>1</f>
        <v>1</v>
      </c>
      <c r="T1972" s="1" t="str">
        <f>IF(AND(Raw!A1972="",Raw!B1972="",Raw!C1972="",Raw!D1972="",Raw!E1972="",Raw!F1972="",Raw!G1972=""),"UNUSED",IF(A1972="","missing line ID",IF(B1972="","missing transaction ID",IF(G1972="",IF(C1972="","missing date","invalid date"),IF(I1972="","unknown product",IF(J1972="","conflicting category",IF(NOT(OR(EXACT(K1972,"sale"),EXACT(K1972,"refund"))),"unknown event",IF(OR(N1972="",NOT(O1972)),"invalid amount",IF(OR(AND(K1972="sale",N1972&lt;=0),AND(K1972="refund",N1972&gt;=0)),"invalid sign","")))))))))</f>
        <v/>
      </c>
      <c r="U1972" s="1" t="str">
        <f t="shared" si="245"/>
        <v>INCLUDED</v>
      </c>
      <c r="V1972" s="1" t="str">
        <f t="shared" si="246"/>
        <v>2026-02</v>
      </c>
      <c r="W1972" s="1">
        <f>IF(AND(U1972="INCLUDED",X1972&gt;0,EXACT(A1972,'AI output'!A1972)),1,0)</f>
        <v>1</v>
      </c>
      <c r="X1972" s="1">
        <f>1972</f>
        <v>1972</v>
      </c>
      <c r="Y1972" s="1">
        <f>IF(AND(U1972="INCLUDED",W1972=1),--(NOT(EXACT(A1972,'AI output'!A1972)))+--(NOT(EXACT(B1972,'AI output'!B1972)))+--(NOT(EXACT(TEXT(G1972,"yyyy-mm-dd"),'AI output'!C1972)))+--(NOT(EXACT(H1972,'AI output'!D1972)))+--(NOT(EXACT(J1972,'AI output'!E1972)))+--(NOT(EXACT(K1972,'AI output'!F1972)))+--(N1972&lt;&gt;'AI output'!L1972)+--(NOT('AI output'!M1972)),0)</f>
        <v>0</v>
      </c>
      <c r="Z1972" s="1">
        <f t="shared" si="247"/>
        <v>0</v>
      </c>
      <c r="AA1972" s="1">
        <f>--EXACT(A1972,"L01966")</f>
        <v>1</v>
      </c>
    </row>
    <row r="1973" spans="1:27" ht="18.95" customHeight="1">
      <c r="A1973" s="1" t="str">
        <f>IF(Raw!A1973="","",Raw!A1973)</f>
        <v>L01967</v>
      </c>
      <c r="B1973" s="1" t="str">
        <f>IF(Raw!B1973="","",Raw!B1973)</f>
        <v>T00984</v>
      </c>
      <c r="C1973" s="1" t="str">
        <f>IF(Raw!C1973="","",Raw!C1973)</f>
        <v>2026-02-11</v>
      </c>
      <c r="D1973" s="1">
        <f t="shared" si="240"/>
        <v>2026</v>
      </c>
      <c r="E1973" s="1">
        <f>IFERROR(IF(AND(LEN(C1973)=10,MID(C1973,5,1)="-",MID(C1973,8,1)="-"),VALUE(MID(C1973,6,2)),IF(AND(LEN(C1973)=11,MID(C1973,3,1)="-",MID(C1973,7,1)="-"),MATCH(UPPER(MID(C1973,4,3)),Guide!$D$7:$D$18,0),0)),0)</f>
        <v>2</v>
      </c>
      <c r="F1973" s="1">
        <f t="shared" si="241"/>
        <v>11</v>
      </c>
      <c r="G1973" s="9">
        <f t="shared" si="242"/>
        <v>46064</v>
      </c>
      <c r="H1973" s="1" t="str">
        <f>IF(Raw!D1973="","",Raw!D1973)</f>
        <v>P-H</v>
      </c>
      <c r="I1973" s="1" t="str">
        <f>IFERROR(IF(EXACT(H1973,INDEX(Guide!$A$7:$A$9,MATCH(SUBSTITUTE(SUBSTITUTE(SUBSTITUTE(H1973,"~","~~"),"*","~*"),"?","~?"),Guide!$A$7:$A$9,0))),INDEX(Guide!$B$7:$B$9,MATCH(SUBSTITUTE(SUBSTITUTE(SUBSTITUTE(H1973,"~","~~"),"*","~*"),"?","~?"),Guide!$A$7:$A$9,0)),""),"")</f>
        <v>Home</v>
      </c>
      <c r="J1973" s="1" t="str">
        <f>IF(TRIM(Raw!E1973)="",I1973,IF(UPPER(TRIM(Raw!E1973))=UPPER(I1973),I1973,""))</f>
        <v>Home</v>
      </c>
      <c r="K1973" s="1" t="str">
        <f>IF(Raw!F1973="","",Raw!F1973)</f>
        <v>sale</v>
      </c>
      <c r="L1973" s="1" t="str">
        <f>IF(LEFT(TRIM(Raw!G1973),2)="-$","-"&amp;MID(TRIM(Raw!G1973),3,99),IF(LEFT(TRIM(Raw!G1973),1)="$",MID(TRIM(Raw!G1973),2,99),TRIM(Raw!G1973)))</f>
        <v>37.23</v>
      </c>
      <c r="M1973" s="1">
        <f t="shared" si="243"/>
        <v>37.229999999999997</v>
      </c>
      <c r="N1973" s="10">
        <f t="shared" si="244"/>
        <v>3723</v>
      </c>
      <c r="O1973" s="1" t="b">
        <f>IFERROR(IF(ISNUMBER(Raw!G1973),TRUE,OR(EXACT(L1973,TEXT(M1973,"0.00")),EXACT(L1973,TEXT(M1973,"#,##0.00")))),FALSE)</f>
        <v>1</v>
      </c>
      <c r="P1973" s="1" t="str">
        <f>LEN(IF(Raw!A1973="","",Raw!A1973))&amp;":"&amp;IF(Raw!A1973="","",Raw!A1973)&amp;"|"&amp;LEN(IF(Raw!B1973="","",Raw!B1973))&amp;":"&amp;IF(Raw!B1973="","",Raw!B1973)&amp;"|"&amp;LEN(IF(Raw!C1973="","",Raw!C1973))&amp;":"&amp;IF(Raw!C1973="","",Raw!C1973)&amp;"|"&amp;LEN(IF(Raw!D1973="","",Raw!D1973))&amp;":"&amp;IF(Raw!D1973="","",Raw!D1973)&amp;"|"&amp;LEN(IF(Raw!E1973="","",Raw!E1973))&amp;":"&amp;IF(Raw!E1973="","",Raw!E1973)&amp;"|"&amp;LEN(IF(Raw!F1973="","",Raw!F1973))&amp;":"&amp;IF(Raw!F1973="","",Raw!F1973)&amp;"|"&amp;LEN(IF(Raw!G1973="","",Raw!G1973))&amp;":"&amp;IF(Raw!G1973="","",Raw!G1973)</f>
        <v>6:L01967|6:T00984|10:2026-02-11|3:P-H|4:Home|4:sale|5:37.23</v>
      </c>
      <c r="Q1973" s="1">
        <f>1</f>
        <v>1</v>
      </c>
      <c r="R1973" s="1" t="b">
        <f>FALSE</f>
        <v>0</v>
      </c>
      <c r="S1973" s="1">
        <f>1</f>
        <v>1</v>
      </c>
      <c r="T1973" s="1" t="str">
        <f>IF(AND(Raw!A1973="",Raw!B1973="",Raw!C1973="",Raw!D1973="",Raw!E1973="",Raw!F1973="",Raw!G1973=""),"UNUSED",IF(A1973="","missing line ID",IF(B1973="","missing transaction ID",IF(G1973="",IF(C1973="","missing date","invalid date"),IF(I1973="","unknown product",IF(J1973="","conflicting category",IF(NOT(OR(EXACT(K1973,"sale"),EXACT(K1973,"refund"))),"unknown event",IF(OR(N1973="",NOT(O1973)),"invalid amount",IF(OR(AND(K1973="sale",N1973&lt;=0),AND(K1973="refund",N1973&gt;=0)),"invalid sign","")))))))))</f>
        <v/>
      </c>
      <c r="U1973" s="1" t="str">
        <f t="shared" si="245"/>
        <v>INCLUDED</v>
      </c>
      <c r="V1973" s="1" t="str">
        <f t="shared" si="246"/>
        <v>2026-02</v>
      </c>
      <c r="W1973" s="1">
        <f>IF(AND(U1973="INCLUDED",X1973&gt;0,EXACT(A1973,'AI output'!A1973)),1,0)</f>
        <v>1</v>
      </c>
      <c r="X1973" s="1">
        <f>1973</f>
        <v>1973</v>
      </c>
      <c r="Y1973" s="1">
        <f>IF(AND(U1973="INCLUDED",W1973=1),--(NOT(EXACT(A1973,'AI output'!A1973)))+--(NOT(EXACT(B1973,'AI output'!B1973)))+--(NOT(EXACT(TEXT(G1973,"yyyy-mm-dd"),'AI output'!C1973)))+--(NOT(EXACT(H1973,'AI output'!D1973)))+--(NOT(EXACT(J1973,'AI output'!E1973)))+--(NOT(EXACT(K1973,'AI output'!F1973)))+--(N1973&lt;&gt;'AI output'!L1973)+--(NOT('AI output'!M1973)),0)</f>
        <v>0</v>
      </c>
      <c r="Z1973" s="1">
        <f t="shared" si="247"/>
        <v>0</v>
      </c>
      <c r="AA1973" s="1">
        <f>--EXACT(A1973,"L01967")</f>
        <v>1</v>
      </c>
    </row>
    <row r="1974" spans="1:27" ht="18.95" customHeight="1">
      <c r="A1974" s="1" t="str">
        <f>IF(Raw!A1974="","",Raw!A1974)</f>
        <v>L01968</v>
      </c>
      <c r="B1974" s="1" t="str">
        <f>IF(Raw!B1974="","",Raw!B1974)</f>
        <v>T00984</v>
      </c>
      <c r="C1974" s="1" t="str">
        <f>IF(Raw!C1974="","",Raw!C1974)</f>
        <v>2026-02-11</v>
      </c>
      <c r="D1974" s="1">
        <f t="shared" si="240"/>
        <v>2026</v>
      </c>
      <c r="E1974" s="1">
        <f>IFERROR(IF(AND(LEN(C1974)=10,MID(C1974,5,1)="-",MID(C1974,8,1)="-"),VALUE(MID(C1974,6,2)),IF(AND(LEN(C1974)=11,MID(C1974,3,1)="-",MID(C1974,7,1)="-"),MATCH(UPPER(MID(C1974,4,3)),Guide!$D$7:$D$18,0),0)),0)</f>
        <v>2</v>
      </c>
      <c r="F1974" s="1">
        <f t="shared" si="241"/>
        <v>11</v>
      </c>
      <c r="G1974" s="9">
        <f t="shared" si="242"/>
        <v>46064</v>
      </c>
      <c r="H1974" s="1" t="str">
        <f>IF(Raw!D1974="","",Raw!D1974)</f>
        <v>P-O</v>
      </c>
      <c r="I1974" s="1" t="str">
        <f>IFERROR(IF(EXACT(H1974,INDEX(Guide!$A$7:$A$9,MATCH(SUBSTITUTE(SUBSTITUTE(SUBSTITUTE(H1974,"~","~~"),"*","~*"),"?","~?"),Guide!$A$7:$A$9,0))),INDEX(Guide!$B$7:$B$9,MATCH(SUBSTITUTE(SUBSTITUTE(SUBSTITUTE(H1974,"~","~~"),"*","~*"),"?","~?"),Guide!$A$7:$A$9,0)),""),"")</f>
        <v>Office</v>
      </c>
      <c r="J1974" s="1" t="str">
        <f>IF(TRIM(Raw!E1974)="",I1974,IF(UPPER(TRIM(Raw!E1974))=UPPER(I1974),I1974,""))</f>
        <v>Office</v>
      </c>
      <c r="K1974" s="1" t="str">
        <f>IF(Raw!F1974="","",Raw!F1974)</f>
        <v>sale</v>
      </c>
      <c r="L1974" s="1" t="str">
        <f>IF(LEFT(TRIM(Raw!G1974),2)="-$","-"&amp;MID(TRIM(Raw!G1974),3,99),IF(LEFT(TRIM(Raw!G1974),1)="$",MID(TRIM(Raw!G1974),2,99),TRIM(Raw!G1974)))</f>
        <v>63.90</v>
      </c>
      <c r="M1974" s="1">
        <f t="shared" si="243"/>
        <v>63.9</v>
      </c>
      <c r="N1974" s="10">
        <f t="shared" si="244"/>
        <v>6390</v>
      </c>
      <c r="O1974" s="1" t="b">
        <f>IFERROR(IF(ISNUMBER(Raw!G1974),TRUE,OR(EXACT(L1974,TEXT(M1974,"0.00")),EXACT(L1974,TEXT(M1974,"#,##0.00")))),FALSE)</f>
        <v>1</v>
      </c>
      <c r="P1974" s="1" t="str">
        <f>LEN(IF(Raw!A1974="","",Raw!A1974))&amp;":"&amp;IF(Raw!A1974="","",Raw!A1974)&amp;"|"&amp;LEN(IF(Raw!B1974="","",Raw!B1974))&amp;":"&amp;IF(Raw!B1974="","",Raw!B1974)&amp;"|"&amp;LEN(IF(Raw!C1974="","",Raw!C1974))&amp;":"&amp;IF(Raw!C1974="","",Raw!C1974)&amp;"|"&amp;LEN(IF(Raw!D1974="","",Raw!D1974))&amp;":"&amp;IF(Raw!D1974="","",Raw!D1974)&amp;"|"&amp;LEN(IF(Raw!E1974="","",Raw!E1974))&amp;":"&amp;IF(Raw!E1974="","",Raw!E1974)&amp;"|"&amp;LEN(IF(Raw!F1974="","",Raw!F1974))&amp;":"&amp;IF(Raw!F1974="","",Raw!F1974)&amp;"|"&amp;LEN(IF(Raw!G1974="","",Raw!G1974))&amp;":"&amp;IF(Raw!G1974="","",Raw!G1974)</f>
        <v>6:L01968|6:T00984|10:2026-02-11|3:P-O|6:Office|4:sale|5:63.90</v>
      </c>
      <c r="Q1974" s="1">
        <f>1</f>
        <v>1</v>
      </c>
      <c r="R1974" s="1" t="b">
        <f>FALSE</f>
        <v>0</v>
      </c>
      <c r="S1974" s="1">
        <f>1</f>
        <v>1</v>
      </c>
      <c r="T1974" s="1" t="str">
        <f>IF(AND(Raw!A1974="",Raw!B1974="",Raw!C1974="",Raw!D1974="",Raw!E1974="",Raw!F1974="",Raw!G1974=""),"UNUSED",IF(A1974="","missing line ID",IF(B1974="","missing transaction ID",IF(G1974="",IF(C1974="","missing date","invalid date"),IF(I1974="","unknown product",IF(J1974="","conflicting category",IF(NOT(OR(EXACT(K1974,"sale"),EXACT(K1974,"refund"))),"unknown event",IF(OR(N1974="",NOT(O1974)),"invalid amount",IF(OR(AND(K1974="sale",N1974&lt;=0),AND(K1974="refund",N1974&gt;=0)),"invalid sign","")))))))))</f>
        <v/>
      </c>
      <c r="U1974" s="1" t="str">
        <f t="shared" si="245"/>
        <v>INCLUDED</v>
      </c>
      <c r="V1974" s="1" t="str">
        <f t="shared" si="246"/>
        <v>2026-02</v>
      </c>
      <c r="W1974" s="1">
        <f>IF(AND(U1974="INCLUDED",X1974&gt;0,EXACT(A1974,'AI output'!A1974)),1,0)</f>
        <v>1</v>
      </c>
      <c r="X1974" s="1">
        <f>1974</f>
        <v>1974</v>
      </c>
      <c r="Y1974" s="1">
        <f>IF(AND(U1974="INCLUDED",W1974=1),--(NOT(EXACT(A1974,'AI output'!A1974)))+--(NOT(EXACT(B1974,'AI output'!B1974)))+--(NOT(EXACT(TEXT(G1974,"yyyy-mm-dd"),'AI output'!C1974)))+--(NOT(EXACT(H1974,'AI output'!D1974)))+--(NOT(EXACT(J1974,'AI output'!E1974)))+--(NOT(EXACT(K1974,'AI output'!F1974)))+--(N1974&lt;&gt;'AI output'!L1974)+--(NOT('AI output'!M1974)),0)</f>
        <v>0</v>
      </c>
      <c r="Z1974" s="1">
        <f t="shared" si="247"/>
        <v>0</v>
      </c>
      <c r="AA1974" s="1">
        <f>--EXACT(A1974,"L01968")</f>
        <v>1</v>
      </c>
    </row>
    <row r="1975" spans="1:27" ht="18.95" customHeight="1">
      <c r="A1975" s="1" t="str">
        <f>IF(Raw!A1975="","",Raw!A1975)</f>
        <v>L01969</v>
      </c>
      <c r="B1975" s="1" t="str">
        <f>IF(Raw!B1975="","",Raw!B1975)</f>
        <v>T00985</v>
      </c>
      <c r="C1975" s="1" t="str">
        <f>IF(Raw!C1975="","",Raw!C1975)</f>
        <v>2026-02-18</v>
      </c>
      <c r="D1975" s="1">
        <f t="shared" si="240"/>
        <v>2026</v>
      </c>
      <c r="E1975" s="1">
        <f>IFERROR(IF(AND(LEN(C1975)=10,MID(C1975,5,1)="-",MID(C1975,8,1)="-"),VALUE(MID(C1975,6,2)),IF(AND(LEN(C1975)=11,MID(C1975,3,1)="-",MID(C1975,7,1)="-"),MATCH(UPPER(MID(C1975,4,3)),Guide!$D$7:$D$18,0),0)),0)</f>
        <v>2</v>
      </c>
      <c r="F1975" s="1">
        <f t="shared" si="241"/>
        <v>18</v>
      </c>
      <c r="G1975" s="9">
        <f t="shared" si="242"/>
        <v>46071</v>
      </c>
      <c r="H1975" s="1" t="str">
        <f>IF(Raw!D1975="","",Raw!D1975)</f>
        <v>P-A</v>
      </c>
      <c r="I1975" s="1" t="str">
        <f>IFERROR(IF(EXACT(H1975,INDEX(Guide!$A$7:$A$9,MATCH(SUBSTITUTE(SUBSTITUTE(SUBSTITUTE(H1975,"~","~~"),"*","~*"),"?","~?"),Guide!$A$7:$A$9,0))),INDEX(Guide!$B$7:$B$9,MATCH(SUBSTITUTE(SUBSTITUTE(SUBSTITUTE(H1975,"~","~~"),"*","~*"),"?","~?"),Guide!$A$7:$A$9,0)),""),"")</f>
        <v>Accessories</v>
      </c>
      <c r="J1975" s="1" t="str">
        <f>IF(TRIM(Raw!E1975)="",I1975,IF(UPPER(TRIM(Raw!E1975))=UPPER(I1975),I1975,""))</f>
        <v>Accessories</v>
      </c>
      <c r="K1975" s="1" t="str">
        <f>IF(Raw!F1975="","",Raw!F1975)</f>
        <v>sale</v>
      </c>
      <c r="L1975" s="1" t="str">
        <f>IF(LEFT(TRIM(Raw!G1975),2)="-$","-"&amp;MID(TRIM(Raw!G1975),3,99),IF(LEFT(TRIM(Raw!G1975),1)="$",MID(TRIM(Raw!G1975),2,99),TRIM(Raw!G1975)))</f>
        <v>26.30</v>
      </c>
      <c r="M1975" s="1">
        <f t="shared" si="243"/>
        <v>26.3</v>
      </c>
      <c r="N1975" s="10">
        <f t="shared" si="244"/>
        <v>2630</v>
      </c>
      <c r="O1975" s="1" t="b">
        <f>IFERROR(IF(ISNUMBER(Raw!G1975),TRUE,OR(EXACT(L1975,TEXT(M1975,"0.00")),EXACT(L1975,TEXT(M1975,"#,##0.00")))),FALSE)</f>
        <v>1</v>
      </c>
      <c r="P1975" s="1" t="str">
        <f>LEN(IF(Raw!A1975="","",Raw!A1975))&amp;":"&amp;IF(Raw!A1975="","",Raw!A1975)&amp;"|"&amp;LEN(IF(Raw!B1975="","",Raw!B1975))&amp;":"&amp;IF(Raw!B1975="","",Raw!B1975)&amp;"|"&amp;LEN(IF(Raw!C1975="","",Raw!C1975))&amp;":"&amp;IF(Raw!C1975="","",Raw!C1975)&amp;"|"&amp;LEN(IF(Raw!D1975="","",Raw!D1975))&amp;":"&amp;IF(Raw!D1975="","",Raw!D1975)&amp;"|"&amp;LEN(IF(Raw!E1975="","",Raw!E1975))&amp;":"&amp;IF(Raw!E1975="","",Raw!E1975)&amp;"|"&amp;LEN(IF(Raw!F1975="","",Raw!F1975))&amp;":"&amp;IF(Raw!F1975="","",Raw!F1975)&amp;"|"&amp;LEN(IF(Raw!G1975="","",Raw!G1975))&amp;":"&amp;IF(Raw!G1975="","",Raw!G1975)</f>
        <v>6:L01969|6:T00985|10:2026-02-18|3:P-A|11:Accessories|4:sale|5:26.30</v>
      </c>
      <c r="Q1975" s="1">
        <f>1</f>
        <v>1</v>
      </c>
      <c r="R1975" s="1" t="b">
        <f>FALSE</f>
        <v>0</v>
      </c>
      <c r="S1975" s="1">
        <f>1</f>
        <v>1</v>
      </c>
      <c r="T1975" s="1" t="str">
        <f>IF(AND(Raw!A1975="",Raw!B1975="",Raw!C1975="",Raw!D1975="",Raw!E1975="",Raw!F1975="",Raw!G1975=""),"UNUSED",IF(A1975="","missing line ID",IF(B1975="","missing transaction ID",IF(G1975="",IF(C1975="","missing date","invalid date"),IF(I1975="","unknown product",IF(J1975="","conflicting category",IF(NOT(OR(EXACT(K1975,"sale"),EXACT(K1975,"refund"))),"unknown event",IF(OR(N1975="",NOT(O1975)),"invalid amount",IF(OR(AND(K1975="sale",N1975&lt;=0),AND(K1975="refund",N1975&gt;=0)),"invalid sign","")))))))))</f>
        <v/>
      </c>
      <c r="U1975" s="1" t="str">
        <f t="shared" si="245"/>
        <v>INCLUDED</v>
      </c>
      <c r="V1975" s="1" t="str">
        <f t="shared" si="246"/>
        <v>2026-02</v>
      </c>
      <c r="W1975" s="1">
        <f>IF(AND(U1975="INCLUDED",X1975&gt;0,EXACT(A1975,'AI output'!A1975)),1,0)</f>
        <v>1</v>
      </c>
      <c r="X1975" s="1">
        <f>1975</f>
        <v>1975</v>
      </c>
      <c r="Y1975" s="1">
        <f>IF(AND(U1975="INCLUDED",W1975=1),--(NOT(EXACT(A1975,'AI output'!A1975)))+--(NOT(EXACT(B1975,'AI output'!B1975)))+--(NOT(EXACT(TEXT(G1975,"yyyy-mm-dd"),'AI output'!C1975)))+--(NOT(EXACT(H1975,'AI output'!D1975)))+--(NOT(EXACT(J1975,'AI output'!E1975)))+--(NOT(EXACT(K1975,'AI output'!F1975)))+--(N1975&lt;&gt;'AI output'!L1975)+--(NOT('AI output'!M1975)),0)</f>
        <v>0</v>
      </c>
      <c r="Z1975" s="1">
        <f t="shared" si="247"/>
        <v>0</v>
      </c>
      <c r="AA1975" s="1">
        <f>--EXACT(A1975,"L01969")</f>
        <v>1</v>
      </c>
    </row>
    <row r="1976" spans="1:27" ht="18.95" customHeight="1">
      <c r="A1976" s="1" t="str">
        <f>IF(Raw!A1976="","",Raw!A1976)</f>
        <v>L01970</v>
      </c>
      <c r="B1976" s="1" t="str">
        <f>IF(Raw!B1976="","",Raw!B1976)</f>
        <v>T00985</v>
      </c>
      <c r="C1976" s="1" t="str">
        <f>IF(Raw!C1976="","",Raw!C1976)</f>
        <v>2026-02-18</v>
      </c>
      <c r="D1976" s="1">
        <f t="shared" si="240"/>
        <v>2026</v>
      </c>
      <c r="E1976" s="1">
        <f>IFERROR(IF(AND(LEN(C1976)=10,MID(C1976,5,1)="-",MID(C1976,8,1)="-"),VALUE(MID(C1976,6,2)),IF(AND(LEN(C1976)=11,MID(C1976,3,1)="-",MID(C1976,7,1)="-"),MATCH(UPPER(MID(C1976,4,3)),Guide!$D$7:$D$18,0),0)),0)</f>
        <v>2</v>
      </c>
      <c r="F1976" s="1">
        <f t="shared" si="241"/>
        <v>18</v>
      </c>
      <c r="G1976" s="9">
        <f t="shared" si="242"/>
        <v>46071</v>
      </c>
      <c r="H1976" s="1" t="str">
        <f>IF(Raw!D1976="","",Raw!D1976)</f>
        <v>P-H</v>
      </c>
      <c r="I1976" s="1" t="str">
        <f>IFERROR(IF(EXACT(H1976,INDEX(Guide!$A$7:$A$9,MATCH(SUBSTITUTE(SUBSTITUTE(SUBSTITUTE(H1976,"~","~~"),"*","~*"),"?","~?"),Guide!$A$7:$A$9,0))),INDEX(Guide!$B$7:$B$9,MATCH(SUBSTITUTE(SUBSTITUTE(SUBSTITUTE(H1976,"~","~~"),"*","~*"),"?","~?"),Guide!$A$7:$A$9,0)),""),"")</f>
        <v>Home</v>
      </c>
      <c r="J1976" s="1" t="str">
        <f>IF(TRIM(Raw!E1976)="",I1976,IF(UPPER(TRIM(Raw!E1976))=UPPER(I1976),I1976,""))</f>
        <v>Home</v>
      </c>
      <c r="K1976" s="1" t="str">
        <f>IF(Raw!F1976="","",Raw!F1976)</f>
        <v>sale</v>
      </c>
      <c r="L1976" s="1" t="str">
        <f>IF(LEFT(TRIM(Raw!G1976),2)="-$","-"&amp;MID(TRIM(Raw!G1976),3,99),IF(LEFT(TRIM(Raw!G1976),1)="$",MID(TRIM(Raw!G1976),2,99),TRIM(Raw!G1976)))</f>
        <v>54.08</v>
      </c>
      <c r="M1976" s="1">
        <f t="shared" si="243"/>
        <v>54.08</v>
      </c>
      <c r="N1976" s="10">
        <f t="shared" si="244"/>
        <v>5408</v>
      </c>
      <c r="O1976" s="1" t="b">
        <f>IFERROR(IF(ISNUMBER(Raw!G1976),TRUE,OR(EXACT(L1976,TEXT(M1976,"0.00")),EXACT(L1976,TEXT(M1976,"#,##0.00")))),FALSE)</f>
        <v>1</v>
      </c>
      <c r="P1976" s="1" t="str">
        <f>LEN(IF(Raw!A1976="","",Raw!A1976))&amp;":"&amp;IF(Raw!A1976="","",Raw!A1976)&amp;"|"&amp;LEN(IF(Raw!B1976="","",Raw!B1976))&amp;":"&amp;IF(Raw!B1976="","",Raw!B1976)&amp;"|"&amp;LEN(IF(Raw!C1976="","",Raw!C1976))&amp;":"&amp;IF(Raw!C1976="","",Raw!C1976)&amp;"|"&amp;LEN(IF(Raw!D1976="","",Raw!D1976))&amp;":"&amp;IF(Raw!D1976="","",Raw!D1976)&amp;"|"&amp;LEN(IF(Raw!E1976="","",Raw!E1976))&amp;":"&amp;IF(Raw!E1976="","",Raw!E1976)&amp;"|"&amp;LEN(IF(Raw!F1976="","",Raw!F1976))&amp;":"&amp;IF(Raw!F1976="","",Raw!F1976)&amp;"|"&amp;LEN(IF(Raw!G1976="","",Raw!G1976))&amp;":"&amp;IF(Raw!G1976="","",Raw!G1976)</f>
        <v>6:L01970|6:T00985|10:2026-02-18|3:P-H|4:Home|4:sale|5:54.08</v>
      </c>
      <c r="Q1976" s="1">
        <f>1</f>
        <v>1</v>
      </c>
      <c r="R1976" s="1" t="b">
        <f>FALSE</f>
        <v>0</v>
      </c>
      <c r="S1976" s="1">
        <f>1</f>
        <v>1</v>
      </c>
      <c r="T1976" s="1" t="str">
        <f>IF(AND(Raw!A1976="",Raw!B1976="",Raw!C1976="",Raw!D1976="",Raw!E1976="",Raw!F1976="",Raw!G1976=""),"UNUSED",IF(A1976="","missing line ID",IF(B1976="","missing transaction ID",IF(G1976="",IF(C1976="","missing date","invalid date"),IF(I1976="","unknown product",IF(J1976="","conflicting category",IF(NOT(OR(EXACT(K1976,"sale"),EXACT(K1976,"refund"))),"unknown event",IF(OR(N1976="",NOT(O1976)),"invalid amount",IF(OR(AND(K1976="sale",N1976&lt;=0),AND(K1976="refund",N1976&gt;=0)),"invalid sign","")))))))))</f>
        <v/>
      </c>
      <c r="U1976" s="1" t="str">
        <f t="shared" si="245"/>
        <v>INCLUDED</v>
      </c>
      <c r="V1976" s="1" t="str">
        <f t="shared" si="246"/>
        <v>2026-02</v>
      </c>
      <c r="W1976" s="1">
        <f>IF(AND(U1976="INCLUDED",X1976&gt;0,EXACT(A1976,'AI output'!A1976)),1,0)</f>
        <v>1</v>
      </c>
      <c r="X1976" s="1">
        <f>1976</f>
        <v>1976</v>
      </c>
      <c r="Y1976" s="1">
        <f>IF(AND(U1976="INCLUDED",W1976=1),--(NOT(EXACT(A1976,'AI output'!A1976)))+--(NOT(EXACT(B1976,'AI output'!B1976)))+--(NOT(EXACT(TEXT(G1976,"yyyy-mm-dd"),'AI output'!C1976)))+--(NOT(EXACT(H1976,'AI output'!D1976)))+--(NOT(EXACT(J1976,'AI output'!E1976)))+--(NOT(EXACT(K1976,'AI output'!F1976)))+--(N1976&lt;&gt;'AI output'!L1976)+--(NOT('AI output'!M1976)),0)</f>
        <v>0</v>
      </c>
      <c r="Z1976" s="1">
        <f t="shared" si="247"/>
        <v>0</v>
      </c>
      <c r="AA1976" s="1">
        <f>--EXACT(A1976,"L01970")</f>
        <v>1</v>
      </c>
    </row>
    <row r="1977" spans="1:27" ht="18.95" customHeight="1">
      <c r="A1977" s="1" t="str">
        <f>IF(Raw!A1977="","",Raw!A1977)</f>
        <v>L01971</v>
      </c>
      <c r="B1977" s="1" t="str">
        <f>IF(Raw!B1977="","",Raw!B1977)</f>
        <v>T00986</v>
      </c>
      <c r="C1977" s="1" t="str">
        <f>IF(Raw!C1977="","",Raw!C1977)</f>
        <v>2026-02-25</v>
      </c>
      <c r="D1977" s="1">
        <f t="shared" si="240"/>
        <v>2026</v>
      </c>
      <c r="E1977" s="1">
        <f>IFERROR(IF(AND(LEN(C1977)=10,MID(C1977,5,1)="-",MID(C1977,8,1)="-"),VALUE(MID(C1977,6,2)),IF(AND(LEN(C1977)=11,MID(C1977,3,1)="-",MID(C1977,7,1)="-"),MATCH(UPPER(MID(C1977,4,3)),Guide!$D$7:$D$18,0),0)),0)</f>
        <v>2</v>
      </c>
      <c r="F1977" s="1">
        <f t="shared" si="241"/>
        <v>25</v>
      </c>
      <c r="G1977" s="9">
        <f t="shared" si="242"/>
        <v>46078</v>
      </c>
      <c r="H1977" s="1" t="str">
        <f>IF(Raw!D1977="","",Raw!D1977)</f>
        <v>P-O</v>
      </c>
      <c r="I1977" s="1" t="str">
        <f>IFERROR(IF(EXACT(H1977,INDEX(Guide!$A$7:$A$9,MATCH(SUBSTITUTE(SUBSTITUTE(SUBSTITUTE(H1977,"~","~~"),"*","~*"),"?","~?"),Guide!$A$7:$A$9,0))),INDEX(Guide!$B$7:$B$9,MATCH(SUBSTITUTE(SUBSTITUTE(SUBSTITUTE(H1977,"~","~~"),"*","~*"),"?","~?"),Guide!$A$7:$A$9,0)),""),"")</f>
        <v>Office</v>
      </c>
      <c r="J1977" s="1" t="str">
        <f>IF(TRIM(Raw!E1977)="",I1977,IF(UPPER(TRIM(Raw!E1977))=UPPER(I1977),I1977,""))</f>
        <v>Office</v>
      </c>
      <c r="K1977" s="1" t="str">
        <f>IF(Raw!F1977="","",Raw!F1977)</f>
        <v>sale</v>
      </c>
      <c r="L1977" s="1" t="str">
        <f>IF(LEFT(TRIM(Raw!G1977),2)="-$","-"&amp;MID(TRIM(Raw!G1977),3,99),IF(LEFT(TRIM(Raw!G1977),1)="$",MID(TRIM(Raw!G1977),2,99),TRIM(Raw!G1977)))</f>
        <v>13.89</v>
      </c>
      <c r="M1977" s="1">
        <f t="shared" si="243"/>
        <v>13.89</v>
      </c>
      <c r="N1977" s="10">
        <f t="shared" si="244"/>
        <v>1389</v>
      </c>
      <c r="O1977" s="1" t="b">
        <f>IFERROR(IF(ISNUMBER(Raw!G1977),TRUE,OR(EXACT(L1977,TEXT(M1977,"0.00")),EXACT(L1977,TEXT(M1977,"#,##0.00")))),FALSE)</f>
        <v>1</v>
      </c>
      <c r="P1977" s="1" t="str">
        <f>LEN(IF(Raw!A1977="","",Raw!A1977))&amp;":"&amp;IF(Raw!A1977="","",Raw!A1977)&amp;"|"&amp;LEN(IF(Raw!B1977="","",Raw!B1977))&amp;":"&amp;IF(Raw!B1977="","",Raw!B1977)&amp;"|"&amp;LEN(IF(Raw!C1977="","",Raw!C1977))&amp;":"&amp;IF(Raw!C1977="","",Raw!C1977)&amp;"|"&amp;LEN(IF(Raw!D1977="","",Raw!D1977))&amp;":"&amp;IF(Raw!D1977="","",Raw!D1977)&amp;"|"&amp;LEN(IF(Raw!E1977="","",Raw!E1977))&amp;":"&amp;IF(Raw!E1977="","",Raw!E1977)&amp;"|"&amp;LEN(IF(Raw!F1977="","",Raw!F1977))&amp;":"&amp;IF(Raw!F1977="","",Raw!F1977)&amp;"|"&amp;LEN(IF(Raw!G1977="","",Raw!G1977))&amp;":"&amp;IF(Raw!G1977="","",Raw!G1977)</f>
        <v>6:L01971|6:T00986|10:2026-02-25|3:P-O|6:Office|4:sale|5:13.89</v>
      </c>
      <c r="Q1977" s="1">
        <f>1</f>
        <v>1</v>
      </c>
      <c r="R1977" s="1" t="b">
        <f>FALSE</f>
        <v>0</v>
      </c>
      <c r="S1977" s="1">
        <f>1</f>
        <v>1</v>
      </c>
      <c r="T1977" s="1" t="str">
        <f>IF(AND(Raw!A1977="",Raw!B1977="",Raw!C1977="",Raw!D1977="",Raw!E1977="",Raw!F1977="",Raw!G1977=""),"UNUSED",IF(A1977="","missing line ID",IF(B1977="","missing transaction ID",IF(G1977="",IF(C1977="","missing date","invalid date"),IF(I1977="","unknown product",IF(J1977="","conflicting category",IF(NOT(OR(EXACT(K1977,"sale"),EXACT(K1977,"refund"))),"unknown event",IF(OR(N1977="",NOT(O1977)),"invalid amount",IF(OR(AND(K1977="sale",N1977&lt;=0),AND(K1977="refund",N1977&gt;=0)),"invalid sign","")))))))))</f>
        <v/>
      </c>
      <c r="U1977" s="1" t="str">
        <f t="shared" si="245"/>
        <v>INCLUDED</v>
      </c>
      <c r="V1977" s="1" t="str">
        <f t="shared" si="246"/>
        <v>2026-02</v>
      </c>
      <c r="W1977" s="1">
        <f>IF(AND(U1977="INCLUDED",X1977&gt;0,EXACT(A1977,'AI output'!A1977)),1,0)</f>
        <v>1</v>
      </c>
      <c r="X1977" s="1">
        <f>1977</f>
        <v>1977</v>
      </c>
      <c r="Y1977" s="1">
        <f>IF(AND(U1977="INCLUDED",W1977=1),--(NOT(EXACT(A1977,'AI output'!A1977)))+--(NOT(EXACT(B1977,'AI output'!B1977)))+--(NOT(EXACT(TEXT(G1977,"yyyy-mm-dd"),'AI output'!C1977)))+--(NOT(EXACT(H1977,'AI output'!D1977)))+--(NOT(EXACT(J1977,'AI output'!E1977)))+--(NOT(EXACT(K1977,'AI output'!F1977)))+--(N1977&lt;&gt;'AI output'!L1977)+--(NOT('AI output'!M1977)),0)</f>
        <v>0</v>
      </c>
      <c r="Z1977" s="1">
        <f t="shared" si="247"/>
        <v>0</v>
      </c>
      <c r="AA1977" s="1">
        <f>--EXACT(A1977,"L01971")</f>
        <v>1</v>
      </c>
    </row>
    <row r="1978" spans="1:27" ht="18.95" customHeight="1">
      <c r="A1978" s="1" t="str">
        <f>IF(Raw!A1978="","",Raw!A1978)</f>
        <v>L01972</v>
      </c>
      <c r="B1978" s="1" t="str">
        <f>IF(Raw!B1978="","",Raw!B1978)</f>
        <v>T00986</v>
      </c>
      <c r="C1978" s="1" t="str">
        <f>IF(Raw!C1978="","",Raw!C1978)</f>
        <v>2026-02-25</v>
      </c>
      <c r="D1978" s="1">
        <f t="shared" si="240"/>
        <v>2026</v>
      </c>
      <c r="E1978" s="1">
        <f>IFERROR(IF(AND(LEN(C1978)=10,MID(C1978,5,1)="-",MID(C1978,8,1)="-"),VALUE(MID(C1978,6,2)),IF(AND(LEN(C1978)=11,MID(C1978,3,1)="-",MID(C1978,7,1)="-"),MATCH(UPPER(MID(C1978,4,3)),Guide!$D$7:$D$18,0),0)),0)</f>
        <v>2</v>
      </c>
      <c r="F1978" s="1">
        <f t="shared" si="241"/>
        <v>25</v>
      </c>
      <c r="G1978" s="9">
        <f t="shared" si="242"/>
        <v>46078</v>
      </c>
      <c r="H1978" s="1" t="str">
        <f>IF(Raw!D1978="","",Raw!D1978)</f>
        <v>P-A</v>
      </c>
      <c r="I1978" s="1" t="str">
        <f>IFERROR(IF(EXACT(H1978,INDEX(Guide!$A$7:$A$9,MATCH(SUBSTITUTE(SUBSTITUTE(SUBSTITUTE(H1978,"~","~~"),"*","~*"),"?","~?"),Guide!$A$7:$A$9,0))),INDEX(Guide!$B$7:$B$9,MATCH(SUBSTITUTE(SUBSTITUTE(SUBSTITUTE(H1978,"~","~~"),"*","~*"),"?","~?"),Guide!$A$7:$A$9,0)),""),"")</f>
        <v>Accessories</v>
      </c>
      <c r="J1978" s="1" t="str">
        <f>IF(TRIM(Raw!E1978)="",I1978,IF(UPPER(TRIM(Raw!E1978))=UPPER(I1978),I1978,""))</f>
        <v>Accessories</v>
      </c>
      <c r="K1978" s="1" t="str">
        <f>IF(Raw!F1978="","",Raw!F1978)</f>
        <v>sale</v>
      </c>
      <c r="L1978" s="1" t="str">
        <f>IF(LEFT(TRIM(Raw!G1978),2)="-$","-"&amp;MID(TRIM(Raw!G1978),3,99),IF(LEFT(TRIM(Raw!G1978),1)="$",MID(TRIM(Raw!G1978),2,99),TRIM(Raw!G1978)))</f>
        <v>42.78</v>
      </c>
      <c r="M1978" s="1">
        <f t="shared" si="243"/>
        <v>42.78</v>
      </c>
      <c r="N1978" s="10">
        <f t="shared" si="244"/>
        <v>4278</v>
      </c>
      <c r="O1978" s="1" t="b">
        <f>IFERROR(IF(ISNUMBER(Raw!G1978),TRUE,OR(EXACT(L1978,TEXT(M1978,"0.00")),EXACT(L1978,TEXT(M1978,"#,##0.00")))),FALSE)</f>
        <v>1</v>
      </c>
      <c r="P1978" s="1" t="str">
        <f>LEN(IF(Raw!A1978="","",Raw!A1978))&amp;":"&amp;IF(Raw!A1978="","",Raw!A1978)&amp;"|"&amp;LEN(IF(Raw!B1978="","",Raw!B1978))&amp;":"&amp;IF(Raw!B1978="","",Raw!B1978)&amp;"|"&amp;LEN(IF(Raw!C1978="","",Raw!C1978))&amp;":"&amp;IF(Raw!C1978="","",Raw!C1978)&amp;"|"&amp;LEN(IF(Raw!D1978="","",Raw!D1978))&amp;":"&amp;IF(Raw!D1978="","",Raw!D1978)&amp;"|"&amp;LEN(IF(Raw!E1978="","",Raw!E1978))&amp;":"&amp;IF(Raw!E1978="","",Raw!E1978)&amp;"|"&amp;LEN(IF(Raw!F1978="","",Raw!F1978))&amp;":"&amp;IF(Raw!F1978="","",Raw!F1978)&amp;"|"&amp;LEN(IF(Raw!G1978="","",Raw!G1978))&amp;":"&amp;IF(Raw!G1978="","",Raw!G1978)</f>
        <v>6:L01972|6:T00986|10:2026-02-25|3:P-A|11:Accessories|4:sale|5:42.78</v>
      </c>
      <c r="Q1978" s="1">
        <f>1</f>
        <v>1</v>
      </c>
      <c r="R1978" s="1" t="b">
        <f>FALSE</f>
        <v>0</v>
      </c>
      <c r="S1978" s="1">
        <f>1</f>
        <v>1</v>
      </c>
      <c r="T1978" s="1" t="str">
        <f>IF(AND(Raw!A1978="",Raw!B1978="",Raw!C1978="",Raw!D1978="",Raw!E1978="",Raw!F1978="",Raw!G1978=""),"UNUSED",IF(A1978="","missing line ID",IF(B1978="","missing transaction ID",IF(G1978="",IF(C1978="","missing date","invalid date"),IF(I1978="","unknown product",IF(J1978="","conflicting category",IF(NOT(OR(EXACT(K1978,"sale"),EXACT(K1978,"refund"))),"unknown event",IF(OR(N1978="",NOT(O1978)),"invalid amount",IF(OR(AND(K1978="sale",N1978&lt;=0),AND(K1978="refund",N1978&gt;=0)),"invalid sign","")))))))))</f>
        <v/>
      </c>
      <c r="U1978" s="1" t="str">
        <f t="shared" si="245"/>
        <v>INCLUDED</v>
      </c>
      <c r="V1978" s="1" t="str">
        <f t="shared" si="246"/>
        <v>2026-02</v>
      </c>
      <c r="W1978" s="1">
        <f>IF(AND(U1978="INCLUDED",X1978&gt;0,EXACT(A1978,'AI output'!A1978)),1,0)</f>
        <v>1</v>
      </c>
      <c r="X1978" s="1">
        <f>1978</f>
        <v>1978</v>
      </c>
      <c r="Y1978" s="1">
        <f>IF(AND(U1978="INCLUDED",W1978=1),--(NOT(EXACT(A1978,'AI output'!A1978)))+--(NOT(EXACT(B1978,'AI output'!B1978)))+--(NOT(EXACT(TEXT(G1978,"yyyy-mm-dd"),'AI output'!C1978)))+--(NOT(EXACT(H1978,'AI output'!D1978)))+--(NOT(EXACT(J1978,'AI output'!E1978)))+--(NOT(EXACT(K1978,'AI output'!F1978)))+--(N1978&lt;&gt;'AI output'!L1978)+--(NOT('AI output'!M1978)),0)</f>
        <v>0</v>
      </c>
      <c r="Z1978" s="1">
        <f t="shared" si="247"/>
        <v>0</v>
      </c>
      <c r="AA1978" s="1">
        <f>--EXACT(A1978,"L01972")</f>
        <v>1</v>
      </c>
    </row>
    <row r="1979" spans="1:27" ht="18.95" customHeight="1">
      <c r="A1979" s="1" t="str">
        <f>IF(Raw!A1979="","",Raw!A1979)</f>
        <v>L01973</v>
      </c>
      <c r="B1979" s="1" t="str">
        <f>IF(Raw!B1979="","",Raw!B1979)</f>
        <v>T00987</v>
      </c>
      <c r="C1979" s="1" t="str">
        <f>IF(Raw!C1979="","",Raw!C1979)</f>
        <v>2026-03-04</v>
      </c>
      <c r="D1979" s="1">
        <f t="shared" si="240"/>
        <v>2026</v>
      </c>
      <c r="E1979" s="1">
        <f>IFERROR(IF(AND(LEN(C1979)=10,MID(C1979,5,1)="-",MID(C1979,8,1)="-"),VALUE(MID(C1979,6,2)),IF(AND(LEN(C1979)=11,MID(C1979,3,1)="-",MID(C1979,7,1)="-"),MATCH(UPPER(MID(C1979,4,3)),Guide!$D$7:$D$18,0),0)),0)</f>
        <v>3</v>
      </c>
      <c r="F1979" s="1">
        <f t="shared" si="241"/>
        <v>4</v>
      </c>
      <c r="G1979" s="9">
        <f t="shared" si="242"/>
        <v>46085</v>
      </c>
      <c r="H1979" s="1" t="str">
        <f>IF(Raw!D1979="","",Raw!D1979)</f>
        <v>P-H</v>
      </c>
      <c r="I1979" s="1" t="str">
        <f>IFERROR(IF(EXACT(H1979,INDEX(Guide!$A$7:$A$9,MATCH(SUBSTITUTE(SUBSTITUTE(SUBSTITUTE(H1979,"~","~~"),"*","~*"),"?","~?"),Guide!$A$7:$A$9,0))),INDEX(Guide!$B$7:$B$9,MATCH(SUBSTITUTE(SUBSTITUTE(SUBSTITUTE(H1979,"~","~~"),"*","~*"),"?","~?"),Guide!$A$7:$A$9,0)),""),"")</f>
        <v>Home</v>
      </c>
      <c r="J1979" s="1" t="str">
        <f>IF(TRIM(Raw!E1979)="",I1979,IF(UPPER(TRIM(Raw!E1979))=UPPER(I1979),I1979,""))</f>
        <v>Home</v>
      </c>
      <c r="K1979" s="1" t="str">
        <f>IF(Raw!F1979="","",Raw!F1979)</f>
        <v>sale</v>
      </c>
      <c r="L1979" s="1" t="str">
        <f>IF(LEFT(TRIM(Raw!G1979),2)="-$","-"&amp;MID(TRIM(Raw!G1979),3,99),IF(LEFT(TRIM(Raw!G1979),1)="$",MID(TRIM(Raw!G1979),2,99),TRIM(Raw!G1979)))</f>
        <v>73.15</v>
      </c>
      <c r="M1979" s="1">
        <f t="shared" si="243"/>
        <v>73.150000000000006</v>
      </c>
      <c r="N1979" s="10">
        <f t="shared" si="244"/>
        <v>7315</v>
      </c>
      <c r="O1979" s="1" t="b">
        <f>IFERROR(IF(ISNUMBER(Raw!G1979),TRUE,OR(EXACT(L1979,TEXT(M1979,"0.00")),EXACT(L1979,TEXT(M1979,"#,##0.00")))),FALSE)</f>
        <v>1</v>
      </c>
      <c r="P1979" s="1" t="str">
        <f>LEN(IF(Raw!A1979="","",Raw!A1979))&amp;":"&amp;IF(Raw!A1979="","",Raw!A1979)&amp;"|"&amp;LEN(IF(Raw!B1979="","",Raw!B1979))&amp;":"&amp;IF(Raw!B1979="","",Raw!B1979)&amp;"|"&amp;LEN(IF(Raw!C1979="","",Raw!C1979))&amp;":"&amp;IF(Raw!C1979="","",Raw!C1979)&amp;"|"&amp;LEN(IF(Raw!D1979="","",Raw!D1979))&amp;":"&amp;IF(Raw!D1979="","",Raw!D1979)&amp;"|"&amp;LEN(IF(Raw!E1979="","",Raw!E1979))&amp;":"&amp;IF(Raw!E1979="","",Raw!E1979)&amp;"|"&amp;LEN(IF(Raw!F1979="","",Raw!F1979))&amp;":"&amp;IF(Raw!F1979="","",Raw!F1979)&amp;"|"&amp;LEN(IF(Raw!G1979="","",Raw!G1979))&amp;":"&amp;IF(Raw!G1979="","",Raw!G1979)</f>
        <v>6:L01973|6:T00987|10:2026-03-04|3:P-H|4:Home|4:sale|5:73.15</v>
      </c>
      <c r="Q1979" s="1">
        <f>1</f>
        <v>1</v>
      </c>
      <c r="R1979" s="1" t="b">
        <f>FALSE</f>
        <v>0</v>
      </c>
      <c r="S1979" s="1">
        <f>1</f>
        <v>1</v>
      </c>
      <c r="T1979" s="1" t="str">
        <f>IF(AND(Raw!A1979="",Raw!B1979="",Raw!C1979="",Raw!D1979="",Raw!E1979="",Raw!F1979="",Raw!G1979=""),"UNUSED",IF(A1979="","missing line ID",IF(B1979="","missing transaction ID",IF(G1979="",IF(C1979="","missing date","invalid date"),IF(I1979="","unknown product",IF(J1979="","conflicting category",IF(NOT(OR(EXACT(K1979,"sale"),EXACT(K1979,"refund"))),"unknown event",IF(OR(N1979="",NOT(O1979)),"invalid amount",IF(OR(AND(K1979="sale",N1979&lt;=0),AND(K1979="refund",N1979&gt;=0)),"invalid sign","")))))))))</f>
        <v/>
      </c>
      <c r="U1979" s="1" t="str">
        <f t="shared" si="245"/>
        <v>INCLUDED</v>
      </c>
      <c r="V1979" s="1" t="str">
        <f t="shared" si="246"/>
        <v>2026-03</v>
      </c>
      <c r="W1979" s="1">
        <f>IF(AND(U1979="INCLUDED",X1979&gt;0,EXACT(A1979,'AI output'!A1979)),1,0)</f>
        <v>1</v>
      </c>
      <c r="X1979" s="1">
        <f>1979</f>
        <v>1979</v>
      </c>
      <c r="Y1979" s="1">
        <f>IF(AND(U1979="INCLUDED",W1979=1),--(NOT(EXACT(A1979,'AI output'!A1979)))+--(NOT(EXACT(B1979,'AI output'!B1979)))+--(NOT(EXACT(TEXT(G1979,"yyyy-mm-dd"),'AI output'!C1979)))+--(NOT(EXACT(H1979,'AI output'!D1979)))+--(NOT(EXACT(J1979,'AI output'!E1979)))+--(NOT(EXACT(K1979,'AI output'!F1979)))+--(N1979&lt;&gt;'AI output'!L1979)+--(NOT('AI output'!M1979)),0)</f>
        <v>0</v>
      </c>
      <c r="Z1979" s="1">
        <f t="shared" si="247"/>
        <v>0</v>
      </c>
      <c r="AA1979" s="1">
        <f>--EXACT(A1979,"L01973")</f>
        <v>1</v>
      </c>
    </row>
    <row r="1980" spans="1:27" ht="18.95" customHeight="1">
      <c r="A1980" s="1" t="str">
        <f>IF(Raw!A1980="","",Raw!A1980)</f>
        <v>L01974</v>
      </c>
      <c r="B1980" s="1" t="str">
        <f>IF(Raw!B1980="","",Raw!B1980)</f>
        <v>T00987</v>
      </c>
      <c r="C1980" s="1" t="str">
        <f>IF(Raw!C1980="","",Raw!C1980)</f>
        <v>2026-03-04</v>
      </c>
      <c r="D1980" s="1">
        <f t="shared" si="240"/>
        <v>2026</v>
      </c>
      <c r="E1980" s="1">
        <f>IFERROR(IF(AND(LEN(C1980)=10,MID(C1980,5,1)="-",MID(C1980,8,1)="-"),VALUE(MID(C1980,6,2)),IF(AND(LEN(C1980)=11,MID(C1980,3,1)="-",MID(C1980,7,1)="-"),MATCH(UPPER(MID(C1980,4,3)),Guide!$D$7:$D$18,0),0)),0)</f>
        <v>3</v>
      </c>
      <c r="F1980" s="1">
        <f t="shared" si="241"/>
        <v>4</v>
      </c>
      <c r="G1980" s="9">
        <f t="shared" si="242"/>
        <v>46085</v>
      </c>
      <c r="H1980" s="1" t="str">
        <f>IF(Raw!D1980="","",Raw!D1980)</f>
        <v>P-O</v>
      </c>
      <c r="I1980" s="1" t="str">
        <f>IFERROR(IF(EXACT(H1980,INDEX(Guide!$A$7:$A$9,MATCH(SUBSTITUTE(SUBSTITUTE(SUBSTITUTE(H1980,"~","~~"),"*","~*"),"?","~?"),Guide!$A$7:$A$9,0))),INDEX(Guide!$B$7:$B$9,MATCH(SUBSTITUTE(SUBSTITUTE(SUBSTITUTE(H1980,"~","~~"),"*","~*"),"?","~?"),Guide!$A$7:$A$9,0)),""),"")</f>
        <v>Office</v>
      </c>
      <c r="J1980" s="1" t="str">
        <f>IF(TRIM(Raw!E1980)="",I1980,IF(UPPER(TRIM(Raw!E1980))=UPPER(I1980),I1980,""))</f>
        <v>Office</v>
      </c>
      <c r="K1980" s="1" t="str">
        <f>IF(Raw!F1980="","",Raw!F1980)</f>
        <v>sale</v>
      </c>
      <c r="L1980" s="1" t="str">
        <f>IF(LEFT(TRIM(Raw!G1980),2)="-$","-"&amp;MID(TRIM(Raw!G1980),3,99),IF(LEFT(TRIM(Raw!G1980),1)="$",MID(TRIM(Raw!G1980),2,99),TRIM(Raw!G1980)))</f>
        <v>30.00</v>
      </c>
      <c r="M1980" s="1">
        <f t="shared" si="243"/>
        <v>30</v>
      </c>
      <c r="N1980" s="10">
        <f t="shared" si="244"/>
        <v>3000</v>
      </c>
      <c r="O1980" s="1" t="b">
        <f>IFERROR(IF(ISNUMBER(Raw!G1980),TRUE,OR(EXACT(L1980,TEXT(M1980,"0.00")),EXACT(L1980,TEXT(M1980,"#,##0.00")))),FALSE)</f>
        <v>1</v>
      </c>
      <c r="P1980" s="1" t="str">
        <f>LEN(IF(Raw!A1980="","",Raw!A1980))&amp;":"&amp;IF(Raw!A1980="","",Raw!A1980)&amp;"|"&amp;LEN(IF(Raw!B1980="","",Raw!B1980))&amp;":"&amp;IF(Raw!B1980="","",Raw!B1980)&amp;"|"&amp;LEN(IF(Raw!C1980="","",Raw!C1980))&amp;":"&amp;IF(Raw!C1980="","",Raw!C1980)&amp;"|"&amp;LEN(IF(Raw!D1980="","",Raw!D1980))&amp;":"&amp;IF(Raw!D1980="","",Raw!D1980)&amp;"|"&amp;LEN(IF(Raw!E1980="","",Raw!E1980))&amp;":"&amp;IF(Raw!E1980="","",Raw!E1980)&amp;"|"&amp;LEN(IF(Raw!F1980="","",Raw!F1980))&amp;":"&amp;IF(Raw!F1980="","",Raw!F1980)&amp;"|"&amp;LEN(IF(Raw!G1980="","",Raw!G1980))&amp;":"&amp;IF(Raw!G1980="","",Raw!G1980)</f>
        <v>6:L01974|6:T00987|10:2026-03-04|3:P-O|6:Office|4:sale|5:30.00</v>
      </c>
      <c r="Q1980" s="1">
        <f>1</f>
        <v>1</v>
      </c>
      <c r="R1980" s="1" t="b">
        <f>FALSE</f>
        <v>0</v>
      </c>
      <c r="S1980" s="1">
        <f>1</f>
        <v>1</v>
      </c>
      <c r="T1980" s="1" t="str">
        <f>IF(AND(Raw!A1980="",Raw!B1980="",Raw!C1980="",Raw!D1980="",Raw!E1980="",Raw!F1980="",Raw!G1980=""),"UNUSED",IF(A1980="","missing line ID",IF(B1980="","missing transaction ID",IF(G1980="",IF(C1980="","missing date","invalid date"),IF(I1980="","unknown product",IF(J1980="","conflicting category",IF(NOT(OR(EXACT(K1980,"sale"),EXACT(K1980,"refund"))),"unknown event",IF(OR(N1980="",NOT(O1980)),"invalid amount",IF(OR(AND(K1980="sale",N1980&lt;=0),AND(K1980="refund",N1980&gt;=0)),"invalid sign","")))))))))</f>
        <v/>
      </c>
      <c r="U1980" s="1" t="str">
        <f t="shared" si="245"/>
        <v>INCLUDED</v>
      </c>
      <c r="V1980" s="1" t="str">
        <f t="shared" si="246"/>
        <v>2026-03</v>
      </c>
      <c r="W1980" s="1">
        <f>IF(AND(U1980="INCLUDED",X1980&gt;0,EXACT(A1980,'AI output'!A1980)),1,0)</f>
        <v>1</v>
      </c>
      <c r="X1980" s="1">
        <f>1980</f>
        <v>1980</v>
      </c>
      <c r="Y1980" s="1">
        <f>IF(AND(U1980="INCLUDED",W1980=1),--(NOT(EXACT(A1980,'AI output'!A1980)))+--(NOT(EXACT(B1980,'AI output'!B1980)))+--(NOT(EXACT(TEXT(G1980,"yyyy-mm-dd"),'AI output'!C1980)))+--(NOT(EXACT(H1980,'AI output'!D1980)))+--(NOT(EXACT(J1980,'AI output'!E1980)))+--(NOT(EXACT(K1980,'AI output'!F1980)))+--(N1980&lt;&gt;'AI output'!L1980)+--(NOT('AI output'!M1980)),0)</f>
        <v>0</v>
      </c>
      <c r="Z1980" s="1">
        <f t="shared" si="247"/>
        <v>0</v>
      </c>
      <c r="AA1980" s="1">
        <f>--EXACT(A1980,"L01974")</f>
        <v>1</v>
      </c>
    </row>
    <row r="1981" spans="1:27" ht="18.95" customHeight="1">
      <c r="A1981" s="1" t="str">
        <f>IF(Raw!A1981="","",Raw!A1981)</f>
        <v>L01975</v>
      </c>
      <c r="B1981" s="1" t="str">
        <f>IF(Raw!B1981="","",Raw!B1981)</f>
        <v>T00988</v>
      </c>
      <c r="C1981" s="1" t="str">
        <f>IF(Raw!C1981="","",Raw!C1981)</f>
        <v>2026-03-11</v>
      </c>
      <c r="D1981" s="1">
        <f t="shared" si="240"/>
        <v>2026</v>
      </c>
      <c r="E1981" s="1">
        <f>IFERROR(IF(AND(LEN(C1981)=10,MID(C1981,5,1)="-",MID(C1981,8,1)="-"),VALUE(MID(C1981,6,2)),IF(AND(LEN(C1981)=11,MID(C1981,3,1)="-",MID(C1981,7,1)="-"),MATCH(UPPER(MID(C1981,4,3)),Guide!$D$7:$D$18,0),0)),0)</f>
        <v>3</v>
      </c>
      <c r="F1981" s="1">
        <f t="shared" si="241"/>
        <v>11</v>
      </c>
      <c r="G1981" s="9">
        <f t="shared" si="242"/>
        <v>46092</v>
      </c>
      <c r="H1981" s="1" t="str">
        <f>IF(Raw!D1981="","",Raw!D1981)</f>
        <v>P-A</v>
      </c>
      <c r="I1981" s="1" t="str">
        <f>IFERROR(IF(EXACT(H1981,INDEX(Guide!$A$7:$A$9,MATCH(SUBSTITUTE(SUBSTITUTE(SUBSTITUTE(H1981,"~","~~"),"*","~*"),"?","~?"),Guide!$A$7:$A$9,0))),INDEX(Guide!$B$7:$B$9,MATCH(SUBSTITUTE(SUBSTITUTE(SUBSTITUTE(H1981,"~","~~"),"*","~*"),"?","~?"),Guide!$A$7:$A$9,0)),""),"")</f>
        <v>Accessories</v>
      </c>
      <c r="J1981" s="1" t="str">
        <f>IF(TRIM(Raw!E1981)="",I1981,IF(UPPER(TRIM(Raw!E1981))=UPPER(I1981),I1981,""))</f>
        <v>Accessories</v>
      </c>
      <c r="K1981" s="1" t="str">
        <f>IF(Raw!F1981="","",Raw!F1981)</f>
        <v>sale</v>
      </c>
      <c r="L1981" s="1" t="str">
        <f>IF(LEFT(TRIM(Raw!G1981),2)="-$","-"&amp;MID(TRIM(Raw!G1981),3,99),IF(LEFT(TRIM(Raw!G1981),1)="$",MID(TRIM(Raw!G1981),2,99),TRIM(Raw!G1981)))</f>
        <v>61.48</v>
      </c>
      <c r="M1981" s="1">
        <f t="shared" si="243"/>
        <v>61.48</v>
      </c>
      <c r="N1981" s="10">
        <f t="shared" si="244"/>
        <v>6148</v>
      </c>
      <c r="O1981" s="1" t="b">
        <f>IFERROR(IF(ISNUMBER(Raw!G1981),TRUE,OR(EXACT(L1981,TEXT(M1981,"0.00")),EXACT(L1981,TEXT(M1981,"#,##0.00")))),FALSE)</f>
        <v>1</v>
      </c>
      <c r="P1981" s="1" t="str">
        <f>LEN(IF(Raw!A1981="","",Raw!A1981))&amp;":"&amp;IF(Raw!A1981="","",Raw!A1981)&amp;"|"&amp;LEN(IF(Raw!B1981="","",Raw!B1981))&amp;":"&amp;IF(Raw!B1981="","",Raw!B1981)&amp;"|"&amp;LEN(IF(Raw!C1981="","",Raw!C1981))&amp;":"&amp;IF(Raw!C1981="","",Raw!C1981)&amp;"|"&amp;LEN(IF(Raw!D1981="","",Raw!D1981))&amp;":"&amp;IF(Raw!D1981="","",Raw!D1981)&amp;"|"&amp;LEN(IF(Raw!E1981="","",Raw!E1981))&amp;":"&amp;IF(Raw!E1981="","",Raw!E1981)&amp;"|"&amp;LEN(IF(Raw!F1981="","",Raw!F1981))&amp;":"&amp;IF(Raw!F1981="","",Raw!F1981)&amp;"|"&amp;LEN(IF(Raw!G1981="","",Raw!G1981))&amp;":"&amp;IF(Raw!G1981="","",Raw!G1981)</f>
        <v>6:L01975|6:T00988|10:2026-03-11|3:P-A|11:Accessories|4:sale|5:61.48</v>
      </c>
      <c r="Q1981" s="1">
        <f>1</f>
        <v>1</v>
      </c>
      <c r="R1981" s="1" t="b">
        <f>FALSE</f>
        <v>0</v>
      </c>
      <c r="S1981" s="1">
        <f>1</f>
        <v>1</v>
      </c>
      <c r="T1981" s="1" t="str">
        <f>IF(AND(Raw!A1981="",Raw!B1981="",Raw!C1981="",Raw!D1981="",Raw!E1981="",Raw!F1981="",Raw!G1981=""),"UNUSED",IF(A1981="","missing line ID",IF(B1981="","missing transaction ID",IF(G1981="",IF(C1981="","missing date","invalid date"),IF(I1981="","unknown product",IF(J1981="","conflicting category",IF(NOT(OR(EXACT(K1981,"sale"),EXACT(K1981,"refund"))),"unknown event",IF(OR(N1981="",NOT(O1981)),"invalid amount",IF(OR(AND(K1981="sale",N1981&lt;=0),AND(K1981="refund",N1981&gt;=0)),"invalid sign","")))))))))</f>
        <v/>
      </c>
      <c r="U1981" s="1" t="str">
        <f t="shared" si="245"/>
        <v>INCLUDED</v>
      </c>
      <c r="V1981" s="1" t="str">
        <f t="shared" si="246"/>
        <v>2026-03</v>
      </c>
      <c r="W1981" s="1">
        <f>IF(AND(U1981="INCLUDED",X1981&gt;0,EXACT(A1981,'AI output'!A1981)),1,0)</f>
        <v>1</v>
      </c>
      <c r="X1981" s="1">
        <f>1981</f>
        <v>1981</v>
      </c>
      <c r="Y1981" s="1">
        <f>IF(AND(U1981="INCLUDED",W1981=1),--(NOT(EXACT(A1981,'AI output'!A1981)))+--(NOT(EXACT(B1981,'AI output'!B1981)))+--(NOT(EXACT(TEXT(G1981,"yyyy-mm-dd"),'AI output'!C1981)))+--(NOT(EXACT(H1981,'AI output'!D1981)))+--(NOT(EXACT(J1981,'AI output'!E1981)))+--(NOT(EXACT(K1981,'AI output'!F1981)))+--(N1981&lt;&gt;'AI output'!L1981)+--(NOT('AI output'!M1981)),0)</f>
        <v>0</v>
      </c>
      <c r="Z1981" s="1">
        <f t="shared" si="247"/>
        <v>0</v>
      </c>
      <c r="AA1981" s="1">
        <f>--EXACT(A1981,"L01975")</f>
        <v>1</v>
      </c>
    </row>
    <row r="1982" spans="1:27" ht="18.95" customHeight="1">
      <c r="A1982" s="1" t="str">
        <f>IF(Raw!A1982="","",Raw!A1982)</f>
        <v>L01976</v>
      </c>
      <c r="B1982" s="1" t="str">
        <f>IF(Raw!B1982="","",Raw!B1982)</f>
        <v>T00988</v>
      </c>
      <c r="C1982" s="1" t="str">
        <f>IF(Raw!C1982="","",Raw!C1982)</f>
        <v>2026-03-11</v>
      </c>
      <c r="D1982" s="1">
        <f t="shared" si="240"/>
        <v>2026</v>
      </c>
      <c r="E1982" s="1">
        <f>IFERROR(IF(AND(LEN(C1982)=10,MID(C1982,5,1)="-",MID(C1982,8,1)="-"),VALUE(MID(C1982,6,2)),IF(AND(LEN(C1982)=11,MID(C1982,3,1)="-",MID(C1982,7,1)="-"),MATCH(UPPER(MID(C1982,4,3)),Guide!$D$7:$D$18,0),0)),0)</f>
        <v>3</v>
      </c>
      <c r="F1982" s="1">
        <f t="shared" si="241"/>
        <v>11</v>
      </c>
      <c r="G1982" s="9">
        <f t="shared" si="242"/>
        <v>46092</v>
      </c>
      <c r="H1982" s="1" t="str">
        <f>IF(Raw!D1982="","",Raw!D1982)</f>
        <v>P-H</v>
      </c>
      <c r="I1982" s="1" t="str">
        <f>IFERROR(IF(EXACT(H1982,INDEX(Guide!$A$7:$A$9,MATCH(SUBSTITUTE(SUBSTITUTE(SUBSTITUTE(H1982,"~","~~"),"*","~*"),"?","~?"),Guide!$A$7:$A$9,0))),INDEX(Guide!$B$7:$B$9,MATCH(SUBSTITUTE(SUBSTITUTE(SUBSTITUTE(H1982,"~","~~"),"*","~*"),"?","~?"),Guide!$A$7:$A$9,0)),""),"")</f>
        <v>Home</v>
      </c>
      <c r="J1982" s="1" t="str">
        <f>IF(TRIM(Raw!E1982)="",I1982,IF(UPPER(TRIM(Raw!E1982))=UPPER(I1982),I1982,""))</f>
        <v>Home</v>
      </c>
      <c r="K1982" s="1" t="str">
        <f>IF(Raw!F1982="","",Raw!F1982)</f>
        <v>sale</v>
      </c>
      <c r="L1982" s="1" t="str">
        <f>IF(LEFT(TRIM(Raw!G1982),2)="-$","-"&amp;MID(TRIM(Raw!G1982),3,99),IF(LEFT(TRIM(Raw!G1982),1)="$",MID(TRIM(Raw!G1982),2,99),TRIM(Raw!G1982)))</f>
        <v>15.74</v>
      </c>
      <c r="M1982" s="1">
        <f t="shared" si="243"/>
        <v>15.74</v>
      </c>
      <c r="N1982" s="10">
        <f t="shared" si="244"/>
        <v>1574</v>
      </c>
      <c r="O1982" s="1" t="b">
        <f>IFERROR(IF(ISNUMBER(Raw!G1982),TRUE,OR(EXACT(L1982,TEXT(M1982,"0.00")),EXACT(L1982,TEXT(M1982,"#,##0.00")))),FALSE)</f>
        <v>1</v>
      </c>
      <c r="P1982" s="1" t="str">
        <f>LEN(IF(Raw!A1982="","",Raw!A1982))&amp;":"&amp;IF(Raw!A1982="","",Raw!A1982)&amp;"|"&amp;LEN(IF(Raw!B1982="","",Raw!B1982))&amp;":"&amp;IF(Raw!B1982="","",Raw!B1982)&amp;"|"&amp;LEN(IF(Raw!C1982="","",Raw!C1982))&amp;":"&amp;IF(Raw!C1982="","",Raw!C1982)&amp;"|"&amp;LEN(IF(Raw!D1982="","",Raw!D1982))&amp;":"&amp;IF(Raw!D1982="","",Raw!D1982)&amp;"|"&amp;LEN(IF(Raw!E1982="","",Raw!E1982))&amp;":"&amp;IF(Raw!E1982="","",Raw!E1982)&amp;"|"&amp;LEN(IF(Raw!F1982="","",Raw!F1982))&amp;":"&amp;IF(Raw!F1982="","",Raw!F1982)&amp;"|"&amp;LEN(IF(Raw!G1982="","",Raw!G1982))&amp;":"&amp;IF(Raw!G1982="","",Raw!G1982)</f>
        <v>6:L01976|6:T00988|10:2026-03-11|3:P-H|4:Home|4:sale|5:15.74</v>
      </c>
      <c r="Q1982" s="1">
        <f>1</f>
        <v>1</v>
      </c>
      <c r="R1982" s="1" t="b">
        <f>FALSE</f>
        <v>0</v>
      </c>
      <c r="S1982" s="1">
        <f>1</f>
        <v>1</v>
      </c>
      <c r="T1982" s="1" t="str">
        <f>IF(AND(Raw!A1982="",Raw!B1982="",Raw!C1982="",Raw!D1982="",Raw!E1982="",Raw!F1982="",Raw!G1982=""),"UNUSED",IF(A1982="","missing line ID",IF(B1982="","missing transaction ID",IF(G1982="",IF(C1982="","missing date","invalid date"),IF(I1982="","unknown product",IF(J1982="","conflicting category",IF(NOT(OR(EXACT(K1982,"sale"),EXACT(K1982,"refund"))),"unknown event",IF(OR(N1982="",NOT(O1982)),"invalid amount",IF(OR(AND(K1982="sale",N1982&lt;=0),AND(K1982="refund",N1982&gt;=0)),"invalid sign","")))))))))</f>
        <v/>
      </c>
      <c r="U1982" s="1" t="str">
        <f t="shared" si="245"/>
        <v>INCLUDED</v>
      </c>
      <c r="V1982" s="1" t="str">
        <f t="shared" si="246"/>
        <v>2026-03</v>
      </c>
      <c r="W1982" s="1">
        <f>IF(AND(U1982="INCLUDED",X1982&gt;0,EXACT(A1982,'AI output'!A1982)),1,0)</f>
        <v>1</v>
      </c>
      <c r="X1982" s="1">
        <f>1982</f>
        <v>1982</v>
      </c>
      <c r="Y1982" s="1">
        <f>IF(AND(U1982="INCLUDED",W1982=1),--(NOT(EXACT(A1982,'AI output'!A1982)))+--(NOT(EXACT(B1982,'AI output'!B1982)))+--(NOT(EXACT(TEXT(G1982,"yyyy-mm-dd"),'AI output'!C1982)))+--(NOT(EXACT(H1982,'AI output'!D1982)))+--(NOT(EXACT(J1982,'AI output'!E1982)))+--(NOT(EXACT(K1982,'AI output'!F1982)))+--(N1982&lt;&gt;'AI output'!L1982)+--(NOT('AI output'!M1982)),0)</f>
        <v>0</v>
      </c>
      <c r="Z1982" s="1">
        <f t="shared" si="247"/>
        <v>0</v>
      </c>
      <c r="AA1982" s="1">
        <f>--EXACT(A1982,"L01976")</f>
        <v>1</v>
      </c>
    </row>
    <row r="1983" spans="1:27" ht="18.95" customHeight="1">
      <c r="A1983" s="1" t="str">
        <f>IF(Raw!A1983="","",Raw!A1983)</f>
        <v>L01977</v>
      </c>
      <c r="B1983" s="1" t="str">
        <f>IF(Raw!B1983="","",Raw!B1983)</f>
        <v>T00989</v>
      </c>
      <c r="C1983" s="1" t="str">
        <f>IF(Raw!C1983="","",Raw!C1983)</f>
        <v>2026-03-18</v>
      </c>
      <c r="D1983" s="1">
        <f t="shared" si="240"/>
        <v>2026</v>
      </c>
      <c r="E1983" s="1">
        <f>IFERROR(IF(AND(LEN(C1983)=10,MID(C1983,5,1)="-",MID(C1983,8,1)="-"),VALUE(MID(C1983,6,2)),IF(AND(LEN(C1983)=11,MID(C1983,3,1)="-",MID(C1983,7,1)="-"),MATCH(UPPER(MID(C1983,4,3)),Guide!$D$7:$D$18,0),0)),0)</f>
        <v>3</v>
      </c>
      <c r="F1983" s="1">
        <f t="shared" si="241"/>
        <v>18</v>
      </c>
      <c r="G1983" s="9">
        <f t="shared" si="242"/>
        <v>46099</v>
      </c>
      <c r="H1983" s="1" t="str">
        <f>IF(Raw!D1983="","",Raw!D1983)</f>
        <v>P-O</v>
      </c>
      <c r="I1983" s="1" t="str">
        <f>IFERROR(IF(EXACT(H1983,INDEX(Guide!$A$7:$A$9,MATCH(SUBSTITUTE(SUBSTITUTE(SUBSTITUTE(H1983,"~","~~"),"*","~*"),"?","~?"),Guide!$A$7:$A$9,0))),INDEX(Guide!$B$7:$B$9,MATCH(SUBSTITUTE(SUBSTITUTE(SUBSTITUTE(H1983,"~","~~"),"*","~*"),"?","~?"),Guide!$A$7:$A$9,0)),""),"")</f>
        <v>Office</v>
      </c>
      <c r="J1983" s="1" t="str">
        <f>IF(TRIM(Raw!E1983)="",I1983,IF(UPPER(TRIM(Raw!E1983))=UPPER(I1983),I1983,""))</f>
        <v>Office</v>
      </c>
      <c r="K1983" s="1" t="str">
        <f>IF(Raw!F1983="","",Raw!F1983)</f>
        <v>sale</v>
      </c>
      <c r="L1983" s="1" t="str">
        <f>IF(LEFT(TRIM(Raw!G1983),2)="-$","-"&amp;MID(TRIM(Raw!G1983),3,99),IF(LEFT(TRIM(Raw!G1983),1)="$",MID(TRIM(Raw!G1983),2,99),TRIM(Raw!G1983)))</f>
        <v>48.33</v>
      </c>
      <c r="M1983" s="1">
        <f t="shared" si="243"/>
        <v>48.33</v>
      </c>
      <c r="N1983" s="10">
        <f t="shared" si="244"/>
        <v>4833</v>
      </c>
      <c r="O1983" s="1" t="b">
        <f>IFERROR(IF(ISNUMBER(Raw!G1983),TRUE,OR(EXACT(L1983,TEXT(M1983,"0.00")),EXACT(L1983,TEXT(M1983,"#,##0.00")))),FALSE)</f>
        <v>1</v>
      </c>
      <c r="P1983" s="1" t="str">
        <f>LEN(IF(Raw!A1983="","",Raw!A1983))&amp;":"&amp;IF(Raw!A1983="","",Raw!A1983)&amp;"|"&amp;LEN(IF(Raw!B1983="","",Raw!B1983))&amp;":"&amp;IF(Raw!B1983="","",Raw!B1983)&amp;"|"&amp;LEN(IF(Raw!C1983="","",Raw!C1983))&amp;":"&amp;IF(Raw!C1983="","",Raw!C1983)&amp;"|"&amp;LEN(IF(Raw!D1983="","",Raw!D1983))&amp;":"&amp;IF(Raw!D1983="","",Raw!D1983)&amp;"|"&amp;LEN(IF(Raw!E1983="","",Raw!E1983))&amp;":"&amp;IF(Raw!E1983="","",Raw!E1983)&amp;"|"&amp;LEN(IF(Raw!F1983="","",Raw!F1983))&amp;":"&amp;IF(Raw!F1983="","",Raw!F1983)&amp;"|"&amp;LEN(IF(Raw!G1983="","",Raw!G1983))&amp;":"&amp;IF(Raw!G1983="","",Raw!G1983)</f>
        <v>6:L01977|6:T00989|10:2026-03-18|3:P-O|6:Office|4:sale|5:48.33</v>
      </c>
      <c r="Q1983" s="1">
        <f>1</f>
        <v>1</v>
      </c>
      <c r="R1983" s="1" t="b">
        <f>FALSE</f>
        <v>0</v>
      </c>
      <c r="S1983" s="1">
        <f>1</f>
        <v>1</v>
      </c>
      <c r="T1983" s="1" t="str">
        <f>IF(AND(Raw!A1983="",Raw!B1983="",Raw!C1983="",Raw!D1983="",Raw!E1983="",Raw!F1983="",Raw!G1983=""),"UNUSED",IF(A1983="","missing line ID",IF(B1983="","missing transaction ID",IF(G1983="",IF(C1983="","missing date","invalid date"),IF(I1983="","unknown product",IF(J1983="","conflicting category",IF(NOT(OR(EXACT(K1983,"sale"),EXACT(K1983,"refund"))),"unknown event",IF(OR(N1983="",NOT(O1983)),"invalid amount",IF(OR(AND(K1983="sale",N1983&lt;=0),AND(K1983="refund",N1983&gt;=0)),"invalid sign","")))))))))</f>
        <v/>
      </c>
      <c r="U1983" s="1" t="str">
        <f t="shared" si="245"/>
        <v>INCLUDED</v>
      </c>
      <c r="V1983" s="1" t="str">
        <f t="shared" si="246"/>
        <v>2026-03</v>
      </c>
      <c r="W1983" s="1">
        <f>IF(AND(U1983="INCLUDED",X1983&gt;0,EXACT(A1983,'AI output'!A1983)),1,0)</f>
        <v>1</v>
      </c>
      <c r="X1983" s="1">
        <f>1983</f>
        <v>1983</v>
      </c>
      <c r="Y1983" s="1">
        <f>IF(AND(U1983="INCLUDED",W1983=1),--(NOT(EXACT(A1983,'AI output'!A1983)))+--(NOT(EXACT(B1983,'AI output'!B1983)))+--(NOT(EXACT(TEXT(G1983,"yyyy-mm-dd"),'AI output'!C1983)))+--(NOT(EXACT(H1983,'AI output'!D1983)))+--(NOT(EXACT(J1983,'AI output'!E1983)))+--(NOT(EXACT(K1983,'AI output'!F1983)))+--(N1983&lt;&gt;'AI output'!L1983)+--(NOT('AI output'!M1983)),0)</f>
        <v>0</v>
      </c>
      <c r="Z1983" s="1">
        <f t="shared" si="247"/>
        <v>0</v>
      </c>
      <c r="AA1983" s="1">
        <f>--EXACT(A1983,"L01977")</f>
        <v>1</v>
      </c>
    </row>
    <row r="1984" spans="1:27" ht="18.95" customHeight="1">
      <c r="A1984" s="1" t="str">
        <f>IF(Raw!A1984="","",Raw!A1984)</f>
        <v>L01978</v>
      </c>
      <c r="B1984" s="1" t="str">
        <f>IF(Raw!B1984="","",Raw!B1984)</f>
        <v>T00989</v>
      </c>
      <c r="C1984" s="1" t="str">
        <f>IF(Raw!C1984="","",Raw!C1984)</f>
        <v/>
      </c>
      <c r="D1984" s="1">
        <f t="shared" si="240"/>
        <v>0</v>
      </c>
      <c r="E1984" s="1">
        <f>IFERROR(IF(AND(LEN(C1984)=10,MID(C1984,5,1)="-",MID(C1984,8,1)="-"),VALUE(MID(C1984,6,2)),IF(AND(LEN(C1984)=11,MID(C1984,3,1)="-",MID(C1984,7,1)="-"),MATCH(UPPER(MID(C1984,4,3)),Guide!$D$7:$D$18,0),0)),0)</f>
        <v>0</v>
      </c>
      <c r="F1984" s="1">
        <f t="shared" si="241"/>
        <v>0</v>
      </c>
      <c r="G1984" s="9" t="str">
        <f t="shared" si="242"/>
        <v/>
      </c>
      <c r="H1984" s="1" t="str">
        <f>IF(Raw!D1984="","",Raw!D1984)</f>
        <v>P-A</v>
      </c>
      <c r="I1984" s="1" t="str">
        <f>IFERROR(IF(EXACT(H1984,INDEX(Guide!$A$7:$A$9,MATCH(SUBSTITUTE(SUBSTITUTE(SUBSTITUTE(H1984,"~","~~"),"*","~*"),"?","~?"),Guide!$A$7:$A$9,0))),INDEX(Guide!$B$7:$B$9,MATCH(SUBSTITUTE(SUBSTITUTE(SUBSTITUTE(H1984,"~","~~"),"*","~*"),"?","~?"),Guide!$A$7:$A$9,0)),""),"")</f>
        <v>Accessories</v>
      </c>
      <c r="J1984" s="1" t="str">
        <f>IF(TRIM(Raw!E1984)="",I1984,IF(UPPER(TRIM(Raw!E1984))=UPPER(I1984),I1984,""))</f>
        <v>Accessories</v>
      </c>
      <c r="K1984" s="1" t="str">
        <f>IF(Raw!F1984="","",Raw!F1984)</f>
        <v>sale</v>
      </c>
      <c r="L1984" s="1" t="str">
        <f>IF(LEFT(TRIM(Raw!G1984),2)="-$","-"&amp;MID(TRIM(Raw!G1984),3,99),IF(LEFT(TRIM(Raw!G1984),1)="$",MID(TRIM(Raw!G1984),2,99),TRIM(Raw!G1984)))</f>
        <v>82.40</v>
      </c>
      <c r="M1984" s="1">
        <f t="shared" si="243"/>
        <v>82.4</v>
      </c>
      <c r="N1984" s="10">
        <f t="shared" si="244"/>
        <v>8240</v>
      </c>
      <c r="O1984" s="1" t="b">
        <f>IFERROR(IF(ISNUMBER(Raw!G1984),TRUE,OR(EXACT(L1984,TEXT(M1984,"0.00")),EXACT(L1984,TEXT(M1984,"#,##0.00")))),FALSE)</f>
        <v>1</v>
      </c>
      <c r="P1984" s="1" t="str">
        <f>LEN(IF(Raw!A1984="","",Raw!A1984))&amp;":"&amp;IF(Raw!A1984="","",Raw!A1984)&amp;"|"&amp;LEN(IF(Raw!B1984="","",Raw!B1984))&amp;":"&amp;IF(Raw!B1984="","",Raw!B1984)&amp;"|"&amp;LEN(IF(Raw!C1984="","",Raw!C1984))&amp;":"&amp;IF(Raw!C1984="","",Raw!C1984)&amp;"|"&amp;LEN(IF(Raw!D1984="","",Raw!D1984))&amp;":"&amp;IF(Raw!D1984="","",Raw!D1984)&amp;"|"&amp;LEN(IF(Raw!E1984="","",Raw!E1984))&amp;":"&amp;IF(Raw!E1984="","",Raw!E1984)&amp;"|"&amp;LEN(IF(Raw!F1984="","",Raw!F1984))&amp;":"&amp;IF(Raw!F1984="","",Raw!F1984)&amp;"|"&amp;LEN(IF(Raw!G1984="","",Raw!G1984))&amp;":"&amp;IF(Raw!G1984="","",Raw!G1984)</f>
        <v>6:L01978|6:T00989|0:|3:P-A|11:Accessories|4:sale|5:82.40</v>
      </c>
      <c r="Q1984" s="1">
        <f>1</f>
        <v>1</v>
      </c>
      <c r="R1984" s="1" t="b">
        <f>FALSE</f>
        <v>0</v>
      </c>
      <c r="S1984" s="1">
        <f>1</f>
        <v>1</v>
      </c>
      <c r="T1984" s="1" t="str">
        <f>IF(AND(Raw!A1984="",Raw!B1984="",Raw!C1984="",Raw!D1984="",Raw!E1984="",Raw!F1984="",Raw!G1984=""),"UNUSED",IF(A1984="","missing line ID",IF(B1984="","missing transaction ID",IF(G1984="",IF(C1984="","missing date","invalid date"),IF(I1984="","unknown product",IF(J1984="","conflicting category",IF(NOT(OR(EXACT(K1984,"sale"),EXACT(K1984,"refund"))),"unknown event",IF(OR(N1984="",NOT(O1984)),"invalid amount",IF(OR(AND(K1984="sale",N1984&lt;=0),AND(K1984="refund",N1984&gt;=0)),"invalid sign","")))))))))</f>
        <v>missing date</v>
      </c>
      <c r="U1984" s="1" t="str">
        <f t="shared" si="245"/>
        <v>QUARANTINE</v>
      </c>
      <c r="V1984" s="1" t="str">
        <f t="shared" si="246"/>
        <v/>
      </c>
      <c r="W1984" s="1">
        <f>IF(AND(U1984="INCLUDED",X1984&gt;0,EXACT(A1984,"")),1,0)</f>
        <v>0</v>
      </c>
      <c r="X1984" s="1">
        <f>0</f>
        <v>0</v>
      </c>
      <c r="Y1984" s="1">
        <f>IF(AND(U1984="INCLUDED",W1984=1),--(NOT(EXACT(A1984,"")))+--(NOT(EXACT(B1984,"")))+--(NOT(EXACT(TEXT(G1984,"yyyy-mm-dd"),"")))+--(NOT(EXACT(H1984,"")))+--(NOT(EXACT(J1984,"")))+--(NOT(EXACT(K1984,"")))+--(N1984&lt;&gt;"")+--(NOT("")),0)</f>
        <v>0</v>
      </c>
      <c r="Z1984" s="1">
        <f t="shared" si="247"/>
        <v>0</v>
      </c>
      <c r="AA1984" s="1">
        <f>--EXACT(A1984,"L01978")</f>
        <v>1</v>
      </c>
    </row>
    <row r="1985" spans="1:27" ht="18.95" customHeight="1">
      <c r="A1985" s="1" t="str">
        <f>IF(Raw!A1985="","",Raw!A1985)</f>
        <v>L01979</v>
      </c>
      <c r="B1985" s="1" t="str">
        <f>IF(Raw!B1985="","",Raw!B1985)</f>
        <v>T00990</v>
      </c>
      <c r="C1985" s="1" t="str">
        <f>IF(Raw!C1985="","",Raw!C1985)</f>
        <v/>
      </c>
      <c r="D1985" s="1">
        <f t="shared" si="240"/>
        <v>0</v>
      </c>
      <c r="E1985" s="1">
        <f>IFERROR(IF(AND(LEN(C1985)=10,MID(C1985,5,1)="-",MID(C1985,8,1)="-"),VALUE(MID(C1985,6,2)),IF(AND(LEN(C1985)=11,MID(C1985,3,1)="-",MID(C1985,7,1)="-"),MATCH(UPPER(MID(C1985,4,3)),Guide!$D$7:$D$18,0),0)),0)</f>
        <v>0</v>
      </c>
      <c r="F1985" s="1">
        <f t="shared" si="241"/>
        <v>0</v>
      </c>
      <c r="G1985" s="9" t="str">
        <f t="shared" si="242"/>
        <v/>
      </c>
      <c r="H1985" s="1" t="str">
        <f>IF(Raw!D1985="","",Raw!D1985)</f>
        <v>P-H</v>
      </c>
      <c r="I1985" s="1" t="str">
        <f>IFERROR(IF(EXACT(H1985,INDEX(Guide!$A$7:$A$9,MATCH(SUBSTITUTE(SUBSTITUTE(SUBSTITUTE(H1985,"~","~~"),"*","~*"),"?","~?"),Guide!$A$7:$A$9,0))),INDEX(Guide!$B$7:$B$9,MATCH(SUBSTITUTE(SUBSTITUTE(SUBSTITUTE(H1985,"~","~~"),"*","~*"),"?","~?"),Guide!$A$7:$A$9,0)),""),"")</f>
        <v>Home</v>
      </c>
      <c r="J1985" s="1" t="str">
        <f>IF(TRIM(Raw!E1985)="",I1985,IF(UPPER(TRIM(Raw!E1985))=UPPER(I1985),I1985,""))</f>
        <v>Home</v>
      </c>
      <c r="K1985" s="1" t="str">
        <f>IF(Raw!F1985="","",Raw!F1985)</f>
        <v>refund</v>
      </c>
      <c r="L1985" s="1" t="str">
        <f>IF(LEFT(TRIM(Raw!G1985),2)="-$","-"&amp;MID(TRIM(Raw!G1985),3,99),IF(LEFT(TRIM(Raw!G1985),1)="$",MID(TRIM(Raw!G1985),2,99),TRIM(Raw!G1985)))</f>
        <v>-33.70</v>
      </c>
      <c r="M1985" s="1">
        <f t="shared" si="243"/>
        <v>-33.700000000000003</v>
      </c>
      <c r="N1985" s="10">
        <f t="shared" si="244"/>
        <v>-3370</v>
      </c>
      <c r="O1985" s="1" t="b">
        <f>IFERROR(IF(ISNUMBER(Raw!G1985),TRUE,OR(EXACT(L1985,TEXT(M1985,"0.00")),EXACT(L1985,TEXT(M1985,"#,##0.00")))),FALSE)</f>
        <v>1</v>
      </c>
      <c r="P1985" s="1" t="str">
        <f>LEN(IF(Raw!A1985="","",Raw!A1985))&amp;":"&amp;IF(Raw!A1985="","",Raw!A1985)&amp;"|"&amp;LEN(IF(Raw!B1985="","",Raw!B1985))&amp;":"&amp;IF(Raw!B1985="","",Raw!B1985)&amp;"|"&amp;LEN(IF(Raw!C1985="","",Raw!C1985))&amp;":"&amp;IF(Raw!C1985="","",Raw!C1985)&amp;"|"&amp;LEN(IF(Raw!D1985="","",Raw!D1985))&amp;":"&amp;IF(Raw!D1985="","",Raw!D1985)&amp;"|"&amp;LEN(IF(Raw!E1985="","",Raw!E1985))&amp;":"&amp;IF(Raw!E1985="","",Raw!E1985)&amp;"|"&amp;LEN(IF(Raw!F1985="","",Raw!F1985))&amp;":"&amp;IF(Raw!F1985="","",Raw!F1985)&amp;"|"&amp;LEN(IF(Raw!G1985="","",Raw!G1985))&amp;":"&amp;IF(Raw!G1985="","",Raw!G1985)</f>
        <v>6:L01979|6:T00990|0:|3:P-H|4:Home|6:refund|6:-33.70</v>
      </c>
      <c r="Q1985" s="1">
        <f>1</f>
        <v>1</v>
      </c>
      <c r="R1985" s="1" t="b">
        <f>FALSE</f>
        <v>0</v>
      </c>
      <c r="S1985" s="1">
        <f>1</f>
        <v>1</v>
      </c>
      <c r="T1985" s="1" t="str">
        <f>IF(AND(Raw!A1985="",Raw!B1985="",Raw!C1985="",Raw!D1985="",Raw!E1985="",Raw!F1985="",Raw!G1985=""),"UNUSED",IF(A1985="","missing line ID",IF(B1985="","missing transaction ID",IF(G1985="",IF(C1985="","missing date","invalid date"),IF(I1985="","unknown product",IF(J1985="","conflicting category",IF(NOT(OR(EXACT(K1985,"sale"),EXACT(K1985,"refund"))),"unknown event",IF(OR(N1985="",NOT(O1985)),"invalid amount",IF(OR(AND(K1985="sale",N1985&lt;=0),AND(K1985="refund",N1985&gt;=0)),"invalid sign","")))))))))</f>
        <v>missing date</v>
      </c>
      <c r="U1985" s="1" t="str">
        <f t="shared" si="245"/>
        <v>QUARANTINE</v>
      </c>
      <c r="V1985" s="1" t="str">
        <f t="shared" si="246"/>
        <v/>
      </c>
      <c r="W1985" s="1">
        <f>IF(AND(U1985="INCLUDED",X1985&gt;0,EXACT(A1985,"")),1,0)</f>
        <v>0</v>
      </c>
      <c r="X1985" s="1">
        <f>0</f>
        <v>0</v>
      </c>
      <c r="Y1985" s="1">
        <f>IF(AND(U1985="INCLUDED",W1985=1),--(NOT(EXACT(A1985,"")))+--(NOT(EXACT(B1985,"")))+--(NOT(EXACT(TEXT(G1985,"yyyy-mm-dd"),"")))+--(NOT(EXACT(H1985,"")))+--(NOT(EXACT(J1985,"")))+--(NOT(EXACT(K1985,"")))+--(N1985&lt;&gt;"")+--(NOT("")),0)</f>
        <v>0</v>
      </c>
      <c r="Z1985" s="1">
        <f t="shared" si="247"/>
        <v>0</v>
      </c>
      <c r="AA1985" s="1">
        <f>--EXACT(A1985,"L01979")</f>
        <v>1</v>
      </c>
    </row>
    <row r="1986" spans="1:27" ht="18.95" customHeight="1">
      <c r="A1986" s="1" t="str">
        <f>IF(Raw!A1986="","",Raw!A1986)</f>
        <v>L01980</v>
      </c>
      <c r="B1986" s="1" t="str">
        <f>IF(Raw!B1986="","",Raw!B1986)</f>
        <v>T00990</v>
      </c>
      <c r="C1986" s="1" t="str">
        <f>IF(Raw!C1986="","",Raw!C1986)</f>
        <v>2026-03-25</v>
      </c>
      <c r="D1986" s="1">
        <f t="shared" si="240"/>
        <v>2026</v>
      </c>
      <c r="E1986" s="1">
        <f>IFERROR(IF(AND(LEN(C1986)=10,MID(C1986,5,1)="-",MID(C1986,8,1)="-"),VALUE(MID(C1986,6,2)),IF(AND(LEN(C1986)=11,MID(C1986,3,1)="-",MID(C1986,7,1)="-"),MATCH(UPPER(MID(C1986,4,3)),Guide!$D$7:$D$18,0),0)),0)</f>
        <v>3</v>
      </c>
      <c r="F1986" s="1">
        <f t="shared" si="241"/>
        <v>25</v>
      </c>
      <c r="G1986" s="9">
        <f t="shared" si="242"/>
        <v>46106</v>
      </c>
      <c r="H1986" s="1" t="str">
        <f>IF(Raw!D1986="","",Raw!D1986)</f>
        <v>P-O</v>
      </c>
      <c r="I1986" s="1" t="str">
        <f>IFERROR(IF(EXACT(H1986,INDEX(Guide!$A$7:$A$9,MATCH(SUBSTITUTE(SUBSTITUTE(SUBSTITUTE(H1986,"~","~~"),"*","~*"),"?","~?"),Guide!$A$7:$A$9,0))),INDEX(Guide!$B$7:$B$9,MATCH(SUBSTITUTE(SUBSTITUTE(SUBSTITUTE(H1986,"~","~~"),"*","~*"),"?","~?"),Guide!$A$7:$A$9,0)),""),"")</f>
        <v>Office</v>
      </c>
      <c r="J1986" s="1" t="str">
        <f>IF(TRIM(Raw!E1986)="",I1986,IF(UPPER(TRIM(Raw!E1986))=UPPER(I1986),I1986,""))</f>
        <v>Office</v>
      </c>
      <c r="K1986" s="1" t="str">
        <f>IF(Raw!F1986="","",Raw!F1986)</f>
        <v>sale</v>
      </c>
      <c r="L1986" s="1" t="str">
        <f>IF(LEFT(TRIM(Raw!G1986),2)="-$","-"&amp;MID(TRIM(Raw!G1986),3,99),IF(LEFT(TRIM(Raw!G1986),1)="$",MID(TRIM(Raw!G1986),2,99),TRIM(Raw!G1986)))</f>
        <v>68.88</v>
      </c>
      <c r="M1986" s="1">
        <f t="shared" si="243"/>
        <v>68.88</v>
      </c>
      <c r="N1986" s="10">
        <f t="shared" si="244"/>
        <v>6888</v>
      </c>
      <c r="O1986" s="1" t="b">
        <f>IFERROR(IF(ISNUMBER(Raw!G1986),TRUE,OR(EXACT(L1986,TEXT(M1986,"0.00")),EXACT(L1986,TEXT(M1986,"#,##0.00")))),FALSE)</f>
        <v>1</v>
      </c>
      <c r="P1986" s="1" t="str">
        <f>LEN(IF(Raw!A1986="","",Raw!A1986))&amp;":"&amp;IF(Raw!A1986="","",Raw!A1986)&amp;"|"&amp;LEN(IF(Raw!B1986="","",Raw!B1986))&amp;":"&amp;IF(Raw!B1986="","",Raw!B1986)&amp;"|"&amp;LEN(IF(Raw!C1986="","",Raw!C1986))&amp;":"&amp;IF(Raw!C1986="","",Raw!C1986)&amp;"|"&amp;LEN(IF(Raw!D1986="","",Raw!D1986))&amp;":"&amp;IF(Raw!D1986="","",Raw!D1986)&amp;"|"&amp;LEN(IF(Raw!E1986="","",Raw!E1986))&amp;":"&amp;IF(Raw!E1986="","",Raw!E1986)&amp;"|"&amp;LEN(IF(Raw!F1986="","",Raw!F1986))&amp;":"&amp;IF(Raw!F1986="","",Raw!F1986)&amp;"|"&amp;LEN(IF(Raw!G1986="","",Raw!G1986))&amp;":"&amp;IF(Raw!G1986="","",Raw!G1986)</f>
        <v>6:L01980|6:T00990|10:2026-03-25|3:P-O|6:Office|4:sale|5:68.88</v>
      </c>
      <c r="Q1986" s="1">
        <f>1</f>
        <v>1</v>
      </c>
      <c r="R1986" s="1" t="b">
        <f>FALSE</f>
        <v>0</v>
      </c>
      <c r="S1986" s="1">
        <f>1</f>
        <v>1</v>
      </c>
      <c r="T1986" s="1" t="str">
        <f>IF(AND(Raw!A1986="",Raw!B1986="",Raw!C1986="",Raw!D1986="",Raw!E1986="",Raw!F1986="",Raw!G1986=""),"UNUSED",IF(A1986="","missing line ID",IF(B1986="","missing transaction ID",IF(G1986="",IF(C1986="","missing date","invalid date"),IF(I1986="","unknown product",IF(J1986="","conflicting category",IF(NOT(OR(EXACT(K1986,"sale"),EXACT(K1986,"refund"))),"unknown event",IF(OR(N1986="",NOT(O1986)),"invalid amount",IF(OR(AND(K1986="sale",N1986&lt;=0),AND(K1986="refund",N1986&gt;=0)),"invalid sign","")))))))))</f>
        <v/>
      </c>
      <c r="U1986" s="1" t="str">
        <f t="shared" si="245"/>
        <v>INCLUDED</v>
      </c>
      <c r="V1986" s="1" t="str">
        <f t="shared" si="246"/>
        <v>2026-03</v>
      </c>
      <c r="W1986" s="1">
        <f>IF(AND(U1986="INCLUDED",X1986&gt;0,EXACT(A1986,'AI output'!A1984)),1,0)</f>
        <v>1</v>
      </c>
      <c r="X1986" s="1">
        <f>1984</f>
        <v>1984</v>
      </c>
      <c r="Y1986" s="1">
        <f>IF(AND(U1986="INCLUDED",W1986=1),--(NOT(EXACT(A1986,'AI output'!A1984)))+--(NOT(EXACT(B1986,'AI output'!B1984)))+--(NOT(EXACT(TEXT(G1986,"yyyy-mm-dd"),'AI output'!C1984)))+--(NOT(EXACT(H1986,'AI output'!D1984)))+--(NOT(EXACT(J1986,'AI output'!E1984)))+--(NOT(EXACT(K1986,'AI output'!F1984)))+--(N1986&lt;&gt;'AI output'!L1984)+--(NOT('AI output'!M1984)),0)</f>
        <v>0</v>
      </c>
      <c r="Z1986" s="1">
        <f t="shared" si="247"/>
        <v>0</v>
      </c>
      <c r="AA1986" s="1">
        <f>--EXACT(A1986,"L01980")</f>
        <v>1</v>
      </c>
    </row>
    <row r="1987" spans="1:27" ht="18.95" customHeight="1">
      <c r="A1987" s="1" t="str">
        <f>IF(Raw!A1987="","",Raw!A1987)</f>
        <v>L00012</v>
      </c>
      <c r="B1987" s="1" t="str">
        <f>IF(Raw!B1987="","",Raw!B1987)</f>
        <v>T00006</v>
      </c>
      <c r="C1987" s="1" t="str">
        <f>IF(Raw!C1987="","",Raw!C1987)</f>
        <v>2026-02-05</v>
      </c>
      <c r="D1987" s="1">
        <f t="shared" si="240"/>
        <v>2026</v>
      </c>
      <c r="E1987" s="1">
        <f>IFERROR(IF(AND(LEN(C1987)=10,MID(C1987,5,1)="-",MID(C1987,8,1)="-"),VALUE(MID(C1987,6,2)),IF(AND(LEN(C1987)=11,MID(C1987,3,1)="-",MID(C1987,7,1)="-"),MATCH(UPPER(MID(C1987,4,3)),Guide!$D$7:$D$18,0),0)),0)</f>
        <v>2</v>
      </c>
      <c r="F1987" s="1">
        <f t="shared" si="241"/>
        <v>5</v>
      </c>
      <c r="G1987" s="9">
        <f t="shared" si="242"/>
        <v>46058</v>
      </c>
      <c r="H1987" s="1" t="str">
        <f>IF(Raw!D1987="","",Raw!D1987)</f>
        <v>P-O</v>
      </c>
      <c r="I1987" s="1" t="str">
        <f>IFERROR(IF(EXACT(H1987,INDEX(Guide!$A$7:$A$9,MATCH(SUBSTITUTE(SUBSTITUTE(SUBSTITUTE(H1987,"~","~~"),"*","~*"),"?","~?"),Guide!$A$7:$A$9,0))),INDEX(Guide!$B$7:$B$9,MATCH(SUBSTITUTE(SUBSTITUTE(SUBSTITUTE(H1987,"~","~~"),"*","~*"),"?","~?"),Guide!$A$7:$A$9,0)),""),"")</f>
        <v>Office</v>
      </c>
      <c r="J1987" s="1" t="str">
        <f>IF(TRIM(Raw!E1987)="",I1987,IF(UPPER(TRIM(Raw!E1987))=UPPER(I1987),I1987,""))</f>
        <v>Office</v>
      </c>
      <c r="K1987" s="1" t="str">
        <f>IF(Raw!F1987="","",Raw!F1987)</f>
        <v>sale</v>
      </c>
      <c r="L1987" s="1" t="str">
        <f>IF(LEFT(TRIM(Raw!G1987),2)="-$","-"&amp;MID(TRIM(Raw!G1987),3,99),IF(LEFT(TRIM(Raw!G1987),1)="$",MID(TRIM(Raw!G1987),2,99),TRIM(Raw!G1987)))</f>
        <v>27.18</v>
      </c>
      <c r="M1987" s="1">
        <f t="shared" si="243"/>
        <v>27.18</v>
      </c>
      <c r="N1987" s="10">
        <f t="shared" si="244"/>
        <v>2718</v>
      </c>
      <c r="O1987" s="1" t="b">
        <f>IFERROR(IF(ISNUMBER(Raw!G1987),TRUE,OR(EXACT(L1987,TEXT(M1987,"0.00")),EXACT(L1987,TEXT(M1987,"#,##0.00")))),FALSE)</f>
        <v>1</v>
      </c>
      <c r="P1987" s="1" t="str">
        <f>LEN(IF(Raw!A1987="","",Raw!A1987))&amp;":"&amp;IF(Raw!A1987="","",Raw!A1987)&amp;"|"&amp;LEN(IF(Raw!B1987="","",Raw!B1987))&amp;":"&amp;IF(Raw!B1987="","",Raw!B1987)&amp;"|"&amp;LEN(IF(Raw!C1987="","",Raw!C1987))&amp;":"&amp;IF(Raw!C1987="","",Raw!C1987)&amp;"|"&amp;LEN(IF(Raw!D1987="","",Raw!D1987))&amp;":"&amp;IF(Raw!D1987="","",Raw!D1987)&amp;"|"&amp;LEN(IF(Raw!E1987="","",Raw!E1987))&amp;":"&amp;IF(Raw!E1987="","",Raw!E1987)&amp;"|"&amp;LEN(IF(Raw!F1987="","",Raw!F1987))&amp;":"&amp;IF(Raw!F1987="","",Raw!F1987)&amp;"|"&amp;LEN(IF(Raw!G1987="","",Raw!G1987))&amp;":"&amp;IF(Raw!G1987="","",Raw!G1987)</f>
        <v>6:L00012|6:T00006|10:2026-02-05|3:P-O|6:Office|4:sale|5:27.18</v>
      </c>
      <c r="Q1987" s="1">
        <f>2</f>
        <v>2</v>
      </c>
      <c r="R1987" s="1" t="b">
        <f>OR(NOT(EXACT(P1987,P18)))</f>
        <v>0</v>
      </c>
      <c r="S1987" s="1">
        <f>2</f>
        <v>2</v>
      </c>
      <c r="T1987" s="1" t="str">
        <f>IF(AND(Raw!A1987="",Raw!B1987="",Raw!C1987="",Raw!D1987="",Raw!E1987="",Raw!F1987="",Raw!G1987=""),"UNUSED",IF(A1987="","missing line ID",IF(B1987="","missing transaction ID",IF(G1987="",IF(C1987="","missing date","invalid date"),IF(I1987="","unknown product",IF(J1987="","conflicting category",IF(NOT(OR(EXACT(K1987,"sale"),EXACT(K1987,"refund"))),"unknown event",IF(OR(N1987="",NOT(O1987)),"invalid amount",IF(OR(AND(K1987="sale",N1987&lt;=0),AND(K1987="refund",N1987&gt;=0)),"invalid sign","")))))))))</f>
        <v/>
      </c>
      <c r="U1987" s="1" t="str">
        <f t="shared" si="245"/>
        <v>DUPLICATE</v>
      </c>
      <c r="V1987" s="1" t="str">
        <f t="shared" si="246"/>
        <v>2026-02</v>
      </c>
      <c r="W1987" s="1">
        <f>IF(AND(U1987="INCLUDED",X1987&gt;0,EXACT(A1987,'AI output'!A18)),1,0)</f>
        <v>0</v>
      </c>
      <c r="X1987" s="1">
        <f>18</f>
        <v>18</v>
      </c>
      <c r="Y1987" s="1">
        <f>IF(AND(U1987="INCLUDED",W1987=1),--(NOT(EXACT(A1987,'AI output'!A18)))+--(NOT(EXACT(B1987,'AI output'!B18)))+--(NOT(EXACT(TEXT(G1987,"yyyy-mm-dd"),'AI output'!C18)))+--(NOT(EXACT(H1987,'AI output'!D18)))+--(NOT(EXACT(J1987,'AI output'!E18)))+--(NOT(EXACT(K1987,'AI output'!F18)))+--(N1987&lt;&gt;'AI output'!L18)+--(NOT('AI output'!M18)),0)</f>
        <v>0</v>
      </c>
      <c r="Z1987" s="1">
        <f t="shared" si="247"/>
        <v>0</v>
      </c>
      <c r="AA1987" s="1">
        <f>--EXACT(A1987,"L00012")</f>
        <v>1</v>
      </c>
    </row>
    <row r="1988" spans="1:27" ht="18.95" customHeight="1">
      <c r="A1988" s="1" t="str">
        <f>IF(Raw!A1988="","",Raw!A1988)</f>
        <v>L00099</v>
      </c>
      <c r="B1988" s="1" t="str">
        <f>IF(Raw!B1988="","",Raw!B1988)</f>
        <v>T00050</v>
      </c>
      <c r="C1988" s="1" t="str">
        <f>IF(Raw!C1988="","",Raw!C1988)</f>
        <v>2026-03-15</v>
      </c>
      <c r="D1988" s="1">
        <f t="shared" si="240"/>
        <v>2026</v>
      </c>
      <c r="E1988" s="1">
        <f>IFERROR(IF(AND(LEN(C1988)=10,MID(C1988,5,1)="-",MID(C1988,8,1)="-"),VALUE(MID(C1988,6,2)),IF(AND(LEN(C1988)=11,MID(C1988,3,1)="-",MID(C1988,7,1)="-"),MATCH(UPPER(MID(C1988,4,3)),Guide!$D$7:$D$18,0),0)),0)</f>
        <v>3</v>
      </c>
      <c r="F1988" s="1">
        <f t="shared" si="241"/>
        <v>15</v>
      </c>
      <c r="G1988" s="9">
        <f t="shared" si="242"/>
        <v>46096</v>
      </c>
      <c r="H1988" s="1" t="str">
        <f>IF(Raw!D1988="","",Raw!D1988)</f>
        <v>P-O</v>
      </c>
      <c r="I1988" s="1" t="str">
        <f>IFERROR(IF(EXACT(H1988,INDEX(Guide!$A$7:$A$9,MATCH(SUBSTITUTE(SUBSTITUTE(SUBSTITUTE(H1988,"~","~~"),"*","~*"),"?","~?"),Guide!$A$7:$A$9,0))),INDEX(Guide!$B$7:$B$9,MATCH(SUBSTITUTE(SUBSTITUTE(SUBSTITUTE(H1988,"~","~~"),"*","~*"),"?","~?"),Guide!$A$7:$A$9,0)),""),"")</f>
        <v>Office</v>
      </c>
      <c r="J1988" s="1" t="str">
        <f>IF(TRIM(Raw!E1988)="",I1988,IF(UPPER(TRIM(Raw!E1988))=UPPER(I1988),I1988,""))</f>
        <v>Office</v>
      </c>
      <c r="K1988" s="1" t="str">
        <f>IF(Raw!F1988="","",Raw!F1988)</f>
        <v>sale</v>
      </c>
      <c r="L1988" s="1" t="str">
        <f>IF(LEFT(TRIM(Raw!G1988),2)="-$","-"&amp;MID(TRIM(Raw!G1988),3,99),IF(LEFT(TRIM(Raw!G1988),1)="$",MID(TRIM(Raw!G1988),2,99),TRIM(Raw!G1988)))</f>
        <v>82.50</v>
      </c>
      <c r="M1988" s="1">
        <f t="shared" si="243"/>
        <v>82.5</v>
      </c>
      <c r="N1988" s="10">
        <f t="shared" si="244"/>
        <v>8250</v>
      </c>
      <c r="O1988" s="1" t="b">
        <f>IFERROR(IF(ISNUMBER(Raw!G1988),TRUE,OR(EXACT(L1988,TEXT(M1988,"0.00")),EXACT(L1988,TEXT(M1988,"#,##0.00")))),FALSE)</f>
        <v>1</v>
      </c>
      <c r="P1988" s="1" t="str">
        <f>LEN(IF(Raw!A1988="","",Raw!A1988))&amp;":"&amp;IF(Raw!A1988="","",Raw!A1988)&amp;"|"&amp;LEN(IF(Raw!B1988="","",Raw!B1988))&amp;":"&amp;IF(Raw!B1988="","",Raw!B1988)&amp;"|"&amp;LEN(IF(Raw!C1988="","",Raw!C1988))&amp;":"&amp;IF(Raw!C1988="","",Raw!C1988)&amp;"|"&amp;LEN(IF(Raw!D1988="","",Raw!D1988))&amp;":"&amp;IF(Raw!D1988="","",Raw!D1988)&amp;"|"&amp;LEN(IF(Raw!E1988="","",Raw!E1988))&amp;":"&amp;IF(Raw!E1988="","",Raw!E1988)&amp;"|"&amp;LEN(IF(Raw!F1988="","",Raw!F1988))&amp;":"&amp;IF(Raw!F1988="","",Raw!F1988)&amp;"|"&amp;LEN(IF(Raw!G1988="","",Raw!G1988))&amp;":"&amp;IF(Raw!G1988="","",Raw!G1988)</f>
        <v>6:L00099|6:T00050|10:2026-03-15|3:P-O|6:Office|4:sale|5:82.50</v>
      </c>
      <c r="Q1988" s="1">
        <f>2</f>
        <v>2</v>
      </c>
      <c r="R1988" s="1" t="b">
        <f>OR(NOT(EXACT(P1988,P105)))</f>
        <v>0</v>
      </c>
      <c r="S1988" s="1">
        <f>2</f>
        <v>2</v>
      </c>
      <c r="T1988" s="1" t="str">
        <f>IF(AND(Raw!A1988="",Raw!B1988="",Raw!C1988="",Raw!D1988="",Raw!E1988="",Raw!F1988="",Raw!G1988=""),"UNUSED",IF(A1988="","missing line ID",IF(B1988="","missing transaction ID",IF(G1988="",IF(C1988="","missing date","invalid date"),IF(I1988="","unknown product",IF(J1988="","conflicting category",IF(NOT(OR(EXACT(K1988,"sale"),EXACT(K1988,"refund"))),"unknown event",IF(OR(N1988="",NOT(O1988)),"invalid amount",IF(OR(AND(K1988="sale",N1988&lt;=0),AND(K1988="refund",N1988&gt;=0)),"invalid sign","")))))))))</f>
        <v/>
      </c>
      <c r="U1988" s="1" t="str">
        <f t="shared" si="245"/>
        <v>DUPLICATE</v>
      </c>
      <c r="V1988" s="1" t="str">
        <f t="shared" si="246"/>
        <v>2026-03</v>
      </c>
      <c r="W1988" s="1">
        <f>IF(AND(U1988="INCLUDED",X1988&gt;0,EXACT(A1988,'AI output'!A105)),1,0)</f>
        <v>0</v>
      </c>
      <c r="X1988" s="1">
        <f>105</f>
        <v>105</v>
      </c>
      <c r="Y1988" s="1">
        <f>IF(AND(U1988="INCLUDED",W1988=1),--(NOT(EXACT(A1988,'AI output'!A105)))+--(NOT(EXACT(B1988,'AI output'!B105)))+--(NOT(EXACT(TEXT(G1988,"yyyy-mm-dd"),'AI output'!C105)))+--(NOT(EXACT(H1988,'AI output'!D105)))+--(NOT(EXACT(J1988,'AI output'!E105)))+--(NOT(EXACT(K1988,'AI output'!F105)))+--(N1988&lt;&gt;'AI output'!L105)+--(NOT('AI output'!M105)),0)</f>
        <v>0</v>
      </c>
      <c r="Z1988" s="1">
        <f t="shared" si="247"/>
        <v>0</v>
      </c>
      <c r="AA1988" s="1">
        <f>--EXACT(A1988,"L00099")</f>
        <v>1</v>
      </c>
    </row>
    <row r="1989" spans="1:27" ht="18.95" customHeight="1">
      <c r="A1989" s="1" t="str">
        <f>IF(Raw!A1989="","",Raw!A1989)</f>
        <v>L00186</v>
      </c>
      <c r="B1989" s="1" t="str">
        <f>IF(Raw!B1989="","",Raw!B1989)</f>
        <v>T00093</v>
      </c>
      <c r="C1989" s="1" t="str">
        <f>IF(Raw!C1989="","",Raw!C1989)</f>
        <v>2026-01-15</v>
      </c>
      <c r="D1989" s="1">
        <f t="shared" si="240"/>
        <v>2026</v>
      </c>
      <c r="E1989" s="1">
        <f>IFERROR(IF(AND(LEN(C1989)=10,MID(C1989,5,1)="-",MID(C1989,8,1)="-"),VALUE(MID(C1989,6,2)),IF(AND(LEN(C1989)=11,MID(C1989,3,1)="-",MID(C1989,7,1)="-"),MATCH(UPPER(MID(C1989,4,3)),Guide!$D$7:$D$18,0),0)),0)</f>
        <v>1</v>
      </c>
      <c r="F1989" s="1">
        <f t="shared" si="241"/>
        <v>15</v>
      </c>
      <c r="G1989" s="9">
        <f t="shared" si="242"/>
        <v>46037</v>
      </c>
      <c r="H1989" s="1" t="str">
        <f>IF(Raw!D1989="","",Raw!D1989)</f>
        <v>P-O</v>
      </c>
      <c r="I1989" s="1" t="str">
        <f>IFERROR(IF(EXACT(H1989,INDEX(Guide!$A$7:$A$9,MATCH(SUBSTITUTE(SUBSTITUTE(SUBSTITUTE(H1989,"~","~~"),"*","~*"),"?","~?"),Guide!$A$7:$A$9,0))),INDEX(Guide!$B$7:$B$9,MATCH(SUBSTITUTE(SUBSTITUTE(SUBSTITUTE(H1989,"~","~~"),"*","~*"),"?","~?"),Guide!$A$7:$A$9,0)),""),"")</f>
        <v>Office</v>
      </c>
      <c r="J1989" s="1" t="str">
        <f>IF(TRIM(Raw!E1989)="",I1989,IF(UPPER(TRIM(Raw!E1989))=UPPER(I1989),I1989,""))</f>
        <v>Office</v>
      </c>
      <c r="K1989" s="1" t="str">
        <f>IF(Raw!F1989="","",Raw!F1989)</f>
        <v>sale</v>
      </c>
      <c r="L1989" s="1" t="str">
        <f>IF(LEFT(TRIM(Raw!G1989),2)="-$","-"&amp;MID(TRIM(Raw!G1989),3,99),IF(LEFT(TRIM(Raw!G1989),1)="$",MID(TRIM(Raw!G1989),2,99),TRIM(Raw!G1989)))</f>
        <v>73.44</v>
      </c>
      <c r="M1989" s="1">
        <f t="shared" si="243"/>
        <v>73.44</v>
      </c>
      <c r="N1989" s="10">
        <f t="shared" si="244"/>
        <v>7344</v>
      </c>
      <c r="O1989" s="1" t="b">
        <f>IFERROR(IF(ISNUMBER(Raw!G1989),TRUE,OR(EXACT(L1989,TEXT(M1989,"0.00")),EXACT(L1989,TEXT(M1989,"#,##0.00")))),FALSE)</f>
        <v>1</v>
      </c>
      <c r="P1989" s="1" t="str">
        <f>LEN(IF(Raw!A1989="","",Raw!A1989))&amp;":"&amp;IF(Raw!A1989="","",Raw!A1989)&amp;"|"&amp;LEN(IF(Raw!B1989="","",Raw!B1989))&amp;":"&amp;IF(Raw!B1989="","",Raw!B1989)&amp;"|"&amp;LEN(IF(Raw!C1989="","",Raw!C1989))&amp;":"&amp;IF(Raw!C1989="","",Raw!C1989)&amp;"|"&amp;LEN(IF(Raw!D1989="","",Raw!D1989))&amp;":"&amp;IF(Raw!D1989="","",Raw!D1989)&amp;"|"&amp;LEN(IF(Raw!E1989="","",Raw!E1989))&amp;":"&amp;IF(Raw!E1989="","",Raw!E1989)&amp;"|"&amp;LEN(IF(Raw!F1989="","",Raw!F1989))&amp;":"&amp;IF(Raw!F1989="","",Raw!F1989)&amp;"|"&amp;LEN(IF(Raw!G1989="","",Raw!G1989))&amp;":"&amp;IF(Raw!G1989="","",Raw!G1989)</f>
        <v>6:L00186|6:T00093|10:2026-01-15|3:P-O|6:Office|4:sale|5:73.44</v>
      </c>
      <c r="Q1989" s="1">
        <f>2</f>
        <v>2</v>
      </c>
      <c r="R1989" s="1" t="b">
        <f>OR(NOT(EXACT(P1989,P192)))</f>
        <v>0</v>
      </c>
      <c r="S1989" s="1">
        <f>2</f>
        <v>2</v>
      </c>
      <c r="T1989" s="1" t="str">
        <f>IF(AND(Raw!A1989="",Raw!B1989="",Raw!C1989="",Raw!D1989="",Raw!E1989="",Raw!F1989="",Raw!G1989=""),"UNUSED",IF(A1989="","missing line ID",IF(B1989="","missing transaction ID",IF(G1989="",IF(C1989="","missing date","invalid date"),IF(I1989="","unknown product",IF(J1989="","conflicting category",IF(NOT(OR(EXACT(K1989,"sale"),EXACT(K1989,"refund"))),"unknown event",IF(OR(N1989="",NOT(O1989)),"invalid amount",IF(OR(AND(K1989="sale",N1989&lt;=0),AND(K1989="refund",N1989&gt;=0)),"invalid sign","")))))))))</f>
        <v/>
      </c>
      <c r="U1989" s="1" t="str">
        <f t="shared" si="245"/>
        <v>DUPLICATE</v>
      </c>
      <c r="V1989" s="1" t="str">
        <f t="shared" si="246"/>
        <v>2026-01</v>
      </c>
      <c r="W1989" s="1">
        <f>IF(AND(U1989="INCLUDED",X1989&gt;0,EXACT(A1989,'AI output'!A192)),1,0)</f>
        <v>0</v>
      </c>
      <c r="X1989" s="1">
        <f>192</f>
        <v>192</v>
      </c>
      <c r="Y1989" s="1">
        <f>IF(AND(U1989="INCLUDED",W1989=1),--(NOT(EXACT(A1989,'AI output'!A192)))+--(NOT(EXACT(B1989,'AI output'!B192)))+--(NOT(EXACT(TEXT(G1989,"yyyy-mm-dd"),'AI output'!C192)))+--(NOT(EXACT(H1989,'AI output'!D192)))+--(NOT(EXACT(J1989,'AI output'!E192)))+--(NOT(EXACT(K1989,'AI output'!F192)))+--(N1989&lt;&gt;'AI output'!L192)+--(NOT('AI output'!M192)),0)</f>
        <v>0</v>
      </c>
      <c r="Z1989" s="1">
        <f t="shared" si="247"/>
        <v>0</v>
      </c>
      <c r="AA1989" s="1">
        <f>--EXACT(A1989,"L00186")</f>
        <v>1</v>
      </c>
    </row>
    <row r="1990" spans="1:27" ht="18.95" customHeight="1">
      <c r="A1990" s="1" t="str">
        <f>IF(Raw!A1990="","",Raw!A1990)</f>
        <v>L00273</v>
      </c>
      <c r="B1990" s="1" t="str">
        <f>IF(Raw!B1990="","",Raw!B1990)</f>
        <v>T00137</v>
      </c>
      <c r="C1990" s="1" t="str">
        <f>IF(Raw!C1990="","",Raw!C1990)</f>
        <v>2026-02-22</v>
      </c>
      <c r="D1990" s="1">
        <f t="shared" si="240"/>
        <v>2026</v>
      </c>
      <c r="E1990" s="1">
        <f>IFERROR(IF(AND(LEN(C1990)=10,MID(C1990,5,1)="-",MID(C1990,8,1)="-"),VALUE(MID(C1990,6,2)),IF(AND(LEN(C1990)=11,MID(C1990,3,1)="-",MID(C1990,7,1)="-"),MATCH(UPPER(MID(C1990,4,3)),Guide!$D$7:$D$18,0),0)),0)</f>
        <v>2</v>
      </c>
      <c r="F1990" s="1">
        <f t="shared" si="241"/>
        <v>22</v>
      </c>
      <c r="G1990" s="9">
        <f t="shared" si="242"/>
        <v>46075</v>
      </c>
      <c r="H1990" s="1" t="str">
        <f>IF(Raw!D1990="","",Raw!D1990)</f>
        <v>P-O</v>
      </c>
      <c r="I1990" s="1" t="str">
        <f>IFERROR(IF(EXACT(H1990,INDEX(Guide!$A$7:$A$9,MATCH(SUBSTITUTE(SUBSTITUTE(SUBSTITUTE(H1990,"~","~~"),"*","~*"),"?","~?"),Guide!$A$7:$A$9,0))),INDEX(Guide!$B$7:$B$9,MATCH(SUBSTITUTE(SUBSTITUTE(SUBSTITUTE(H1990,"~","~~"),"*","~*"),"?","~?"),Guide!$A$7:$A$9,0)),""),"")</f>
        <v>Office</v>
      </c>
      <c r="J1990" s="1" t="str">
        <f>IF(TRIM(Raw!E1990)="",I1990,IF(UPPER(TRIM(Raw!E1990))=UPPER(I1990),I1990,""))</f>
        <v>Office</v>
      </c>
      <c r="K1990" s="1" t="str">
        <f>IF(Raw!F1990="","",Raw!F1990)</f>
        <v>sale</v>
      </c>
      <c r="L1990" s="1" t="str">
        <f>IF(LEFT(TRIM(Raw!G1990),2)="-$","-"&amp;MID(TRIM(Raw!G1990),3,99),IF(LEFT(TRIM(Raw!G1990),1)="$",MID(TRIM(Raw!G1990),2,99),TRIM(Raw!G1990)))</f>
        <v>528.15</v>
      </c>
      <c r="M1990" s="1">
        <f t="shared" si="243"/>
        <v>528.15</v>
      </c>
      <c r="N1990" s="10">
        <f t="shared" si="244"/>
        <v>52815</v>
      </c>
      <c r="O1990" s="1" t="b">
        <f>IFERROR(IF(ISNUMBER(Raw!G1990),TRUE,OR(EXACT(L1990,TEXT(M1990,"0.00")),EXACT(L1990,TEXT(M1990,"#,##0.00")))),FALSE)</f>
        <v>1</v>
      </c>
      <c r="P1990" s="1" t="str">
        <f>LEN(IF(Raw!A1990="","",Raw!A1990))&amp;":"&amp;IF(Raw!A1990="","",Raw!A1990)&amp;"|"&amp;LEN(IF(Raw!B1990="","",Raw!B1990))&amp;":"&amp;IF(Raw!B1990="","",Raw!B1990)&amp;"|"&amp;LEN(IF(Raw!C1990="","",Raw!C1990))&amp;":"&amp;IF(Raw!C1990="","",Raw!C1990)&amp;"|"&amp;LEN(IF(Raw!D1990="","",Raw!D1990))&amp;":"&amp;IF(Raw!D1990="","",Raw!D1990)&amp;"|"&amp;LEN(IF(Raw!E1990="","",Raw!E1990))&amp;":"&amp;IF(Raw!E1990="","",Raw!E1990)&amp;"|"&amp;LEN(IF(Raw!F1990="","",Raw!F1990))&amp;":"&amp;IF(Raw!F1990="","",Raw!F1990)&amp;"|"&amp;LEN(IF(Raw!G1990="","",Raw!G1990))&amp;":"&amp;IF(Raw!G1990="","",Raw!G1990)</f>
        <v>6:L00273|6:T00137|10:2026-02-22|3:P-O|6:Office|4:sale|6:528.15</v>
      </c>
      <c r="Q1990" s="1">
        <f>2</f>
        <v>2</v>
      </c>
      <c r="R1990" s="1" t="b">
        <f>OR(NOT(EXACT(P1990,P279)))</f>
        <v>0</v>
      </c>
      <c r="S1990" s="1">
        <f>2</f>
        <v>2</v>
      </c>
      <c r="T1990" s="1" t="str">
        <f>IF(AND(Raw!A1990="",Raw!B1990="",Raw!C1990="",Raw!D1990="",Raw!E1990="",Raw!F1990="",Raw!G1990=""),"UNUSED",IF(A1990="","missing line ID",IF(B1990="","missing transaction ID",IF(G1990="",IF(C1990="","missing date","invalid date"),IF(I1990="","unknown product",IF(J1990="","conflicting category",IF(NOT(OR(EXACT(K1990,"sale"),EXACT(K1990,"refund"))),"unknown event",IF(OR(N1990="",NOT(O1990)),"invalid amount",IF(OR(AND(K1990="sale",N1990&lt;=0),AND(K1990="refund",N1990&gt;=0)),"invalid sign","")))))))))</f>
        <v/>
      </c>
      <c r="U1990" s="1" t="str">
        <f t="shared" si="245"/>
        <v>DUPLICATE</v>
      </c>
      <c r="V1990" s="1" t="str">
        <f t="shared" si="246"/>
        <v>2026-02</v>
      </c>
      <c r="W1990" s="1">
        <f>IF(AND(U1990="INCLUDED",X1990&gt;0,EXACT(A1990,'AI output'!A279)),1,0)</f>
        <v>0</v>
      </c>
      <c r="X1990" s="1">
        <f>279</f>
        <v>279</v>
      </c>
      <c r="Y1990" s="1">
        <f>IF(AND(U1990="INCLUDED",W1990=1),--(NOT(EXACT(A1990,'AI output'!A279)))+--(NOT(EXACT(B1990,'AI output'!B279)))+--(NOT(EXACT(TEXT(G1990,"yyyy-mm-dd"),'AI output'!C279)))+--(NOT(EXACT(H1990,'AI output'!D279)))+--(NOT(EXACT(J1990,'AI output'!E279)))+--(NOT(EXACT(K1990,'AI output'!F279)))+--(N1990&lt;&gt;'AI output'!L279)+--(NOT('AI output'!M279)),0)</f>
        <v>0</v>
      </c>
      <c r="Z1990" s="1">
        <f t="shared" si="247"/>
        <v>0</v>
      </c>
      <c r="AA1990" s="1">
        <f>--EXACT(A1990,"L00273")</f>
        <v>1</v>
      </c>
    </row>
    <row r="1991" spans="1:27" ht="18.95" customHeight="1">
      <c r="A1991" s="1" t="str">
        <f>IF(Raw!A1991="","",Raw!A1991)</f>
        <v>L00360</v>
      </c>
      <c r="B1991" s="1" t="str">
        <f>IF(Raw!B1991="","",Raw!B1991)</f>
        <v>T00180</v>
      </c>
      <c r="C1991" s="1" t="str">
        <f>IF(Raw!C1991="","",Raw!C1991)</f>
        <v>2026-03-25</v>
      </c>
      <c r="D1991" s="1">
        <f t="shared" ref="D1991:D2006" si="248">IFERROR(IF(AND(LEN(C1991)=10,MID(C1991,5,1)="-",MID(C1991,8,1)="-"),VALUE(LEFT(C1991,4)),IF(AND(LEN(C1991)=11,MID(C1991,3,1)="-",MID(C1991,7,1)="-"),VALUE(RIGHT(C1991,4)),0)),0)</f>
        <v>2026</v>
      </c>
      <c r="E1991" s="1">
        <f>IFERROR(IF(AND(LEN(C1991)=10,MID(C1991,5,1)="-",MID(C1991,8,1)="-"),VALUE(MID(C1991,6,2)),IF(AND(LEN(C1991)=11,MID(C1991,3,1)="-",MID(C1991,7,1)="-"),MATCH(UPPER(MID(C1991,4,3)),Guide!$D$7:$D$18,0),0)),0)</f>
        <v>3</v>
      </c>
      <c r="F1991" s="1">
        <f t="shared" ref="F1991:F2006" si="249">IFERROR(IF(AND(LEN(C1991)=10,MID(C1991,5,1)="-",MID(C1991,8,1)="-"),VALUE(RIGHT(C1991,2)),IF(AND(LEN(C1991)=11,MID(C1991,3,1)="-",MID(C1991,7,1)="-"),VALUE(LEFT(C1991,2)),0)),0)</f>
        <v>25</v>
      </c>
      <c r="G1991" s="9">
        <f t="shared" ref="G1991:G2006" si="250">IFERROR(IF(AND(D1991&gt;=1900,D1991&lt;=9999,YEAR(DATE(D1991,E1991,F1991))=D1991,MONTH(DATE(D1991,E1991,F1991))=E1991,DAY(DATE(D1991,E1991,F1991))=F1991),DATE(D1991,E1991,F1991),""),"")</f>
        <v>46106</v>
      </c>
      <c r="H1991" s="1" t="str">
        <f>IF(Raw!D1991="","",Raw!D1991)</f>
        <v>P-O</v>
      </c>
      <c r="I1991" s="1" t="str">
        <f>IFERROR(IF(EXACT(H1991,INDEX(Guide!$A$7:$A$9,MATCH(SUBSTITUTE(SUBSTITUTE(SUBSTITUTE(H1991,"~","~~"),"*","~*"),"?","~?"),Guide!$A$7:$A$9,0))),INDEX(Guide!$B$7:$B$9,MATCH(SUBSTITUTE(SUBSTITUTE(SUBSTITUTE(H1991,"~","~~"),"*","~*"),"?","~?"),Guide!$A$7:$A$9,0)),""),"")</f>
        <v>Office</v>
      </c>
      <c r="J1991" s="1" t="str">
        <f>IF(TRIM(Raw!E1991)="",I1991,IF(UPPER(TRIM(Raw!E1991))=UPPER(I1991),I1991,""))</f>
        <v>Office</v>
      </c>
      <c r="K1991" s="1" t="str">
        <f>IF(Raw!F1991="","",Raw!F1991)</f>
        <v>sale</v>
      </c>
      <c r="L1991" s="1" t="str">
        <f>IF(LEFT(TRIM(Raw!G1991),2)="-$","-"&amp;MID(TRIM(Raw!G1991),3,99),IF(LEFT(TRIM(Raw!G1991),1)="$",MID(TRIM(Raw!G1991),2,99),TRIM(Raw!G1991)))</f>
        <v>71.28</v>
      </c>
      <c r="M1991" s="1">
        <f t="shared" ref="M1991:M2006" si="251">IFERROR(VALUE(L1991),"")</f>
        <v>71.28</v>
      </c>
      <c r="N1991" s="10">
        <f t="shared" ref="N1991:N2006" si="252">IF(AND(ISNUMBER(M1991),ABS(M1991*100-ROUND(M1991*100,0))&lt;0.0000001),ROUND(M1991*100,0),"")</f>
        <v>7128</v>
      </c>
      <c r="O1991" s="1" t="b">
        <f>IFERROR(IF(ISNUMBER(Raw!G1991),TRUE,OR(EXACT(L1991,TEXT(M1991,"0.00")),EXACT(L1991,TEXT(M1991,"#,##0.00")))),FALSE)</f>
        <v>1</v>
      </c>
      <c r="P1991" s="1" t="str">
        <f>LEN(IF(Raw!A1991="","",Raw!A1991))&amp;":"&amp;IF(Raw!A1991="","",Raw!A1991)&amp;"|"&amp;LEN(IF(Raw!B1991="","",Raw!B1991))&amp;":"&amp;IF(Raw!B1991="","",Raw!B1991)&amp;"|"&amp;LEN(IF(Raw!C1991="","",Raw!C1991))&amp;":"&amp;IF(Raw!C1991="","",Raw!C1991)&amp;"|"&amp;LEN(IF(Raw!D1991="","",Raw!D1991))&amp;":"&amp;IF(Raw!D1991="","",Raw!D1991)&amp;"|"&amp;LEN(IF(Raw!E1991="","",Raw!E1991))&amp;":"&amp;IF(Raw!E1991="","",Raw!E1991)&amp;"|"&amp;LEN(IF(Raw!F1991="","",Raw!F1991))&amp;":"&amp;IF(Raw!F1991="","",Raw!F1991)&amp;"|"&amp;LEN(IF(Raw!G1991="","",Raw!G1991))&amp;":"&amp;IF(Raw!G1991="","",Raw!G1991)</f>
        <v>6:L00360|6:T00180|10:2026-03-25|3:P-O|10:  office  |4:sale|5:71.28</v>
      </c>
      <c r="Q1991" s="1">
        <f>2</f>
        <v>2</v>
      </c>
      <c r="R1991" s="1" t="b">
        <f>OR(NOT(EXACT(P1991,P366)))</f>
        <v>0</v>
      </c>
      <c r="S1991" s="1">
        <f>2</f>
        <v>2</v>
      </c>
      <c r="T1991" s="1" t="str">
        <f>IF(AND(Raw!A1991="",Raw!B1991="",Raw!C1991="",Raw!D1991="",Raw!E1991="",Raw!F1991="",Raw!G1991=""),"UNUSED",IF(A1991="","missing line ID",IF(B1991="","missing transaction ID",IF(G1991="",IF(C1991="","missing date","invalid date"),IF(I1991="","unknown product",IF(J1991="","conflicting category",IF(NOT(OR(EXACT(K1991,"sale"),EXACT(K1991,"refund"))),"unknown event",IF(OR(N1991="",NOT(O1991)),"invalid amount",IF(OR(AND(K1991="sale",N1991&lt;=0),AND(K1991="refund",N1991&gt;=0)),"invalid sign","")))))))))</f>
        <v/>
      </c>
      <c r="U1991" s="1" t="str">
        <f t="shared" ref="U1991:U2006" si="253">IF(T1991="UNUSED","UNUSED",IF(R1991,"QUARANTINE",IF(S1991&gt;1,"DUPLICATE",IF(T1991&lt;&gt;"","QUARANTINE","INCLUDED"))))</f>
        <v>DUPLICATE</v>
      </c>
      <c r="V1991" s="1" t="str">
        <f t="shared" ref="V1991:V2006" si="254">IF(G1991="","",TEXT(G1991,"yyyy-mm"))</f>
        <v>2026-03</v>
      </c>
      <c r="W1991" s="1">
        <f>IF(AND(U1991="INCLUDED",X1991&gt;0,EXACT(A1991,'AI output'!A366)),1,0)</f>
        <v>0</v>
      </c>
      <c r="X1991" s="1">
        <f>366</f>
        <v>366</v>
      </c>
      <c r="Y1991" s="1">
        <f>IF(AND(U1991="INCLUDED",W1991=1),--(NOT(EXACT(A1991,'AI output'!A366)))+--(NOT(EXACT(B1991,'AI output'!B366)))+--(NOT(EXACT(TEXT(G1991,"yyyy-mm-dd"),'AI output'!C366)))+--(NOT(EXACT(H1991,'AI output'!D366)))+--(NOT(EXACT(J1991,'AI output'!E366)))+--(NOT(EXACT(K1991,'AI output'!F366)))+--(N1991&lt;&gt;'AI output'!L366)+--(NOT('AI output'!M366)),0)</f>
        <v>0</v>
      </c>
      <c r="Z1991" s="1">
        <f t="shared" ref="Z1991:Z2006" si="255">IF(U1991="INCLUDED",IF(OR(W1991&lt;&gt;1,Y1991&lt;&gt;0),1,0),0)</f>
        <v>0</v>
      </c>
      <c r="AA1991" s="1">
        <f>--EXACT(A1991,"L00360")</f>
        <v>1</v>
      </c>
    </row>
    <row r="1992" spans="1:27" ht="18.95" customHeight="1">
      <c r="A1992" s="1" t="str">
        <f>IF(Raw!A1992="","",Raw!A1992)</f>
        <v>L00447</v>
      </c>
      <c r="B1992" s="1" t="str">
        <f>IF(Raw!B1992="","",Raw!B1992)</f>
        <v>T00224</v>
      </c>
      <c r="C1992" s="1" t="str">
        <f>IF(Raw!C1992="","",Raw!C1992)</f>
        <v>2026-02-01</v>
      </c>
      <c r="D1992" s="1">
        <f t="shared" si="248"/>
        <v>2026</v>
      </c>
      <c r="E1992" s="1">
        <f>IFERROR(IF(AND(LEN(C1992)=10,MID(C1992,5,1)="-",MID(C1992,8,1)="-"),VALUE(MID(C1992,6,2)),IF(AND(LEN(C1992)=11,MID(C1992,3,1)="-",MID(C1992,7,1)="-"),MATCH(UPPER(MID(C1992,4,3)),Guide!$D$7:$D$18,0),0)),0)</f>
        <v>2</v>
      </c>
      <c r="F1992" s="1">
        <f t="shared" si="249"/>
        <v>1</v>
      </c>
      <c r="G1992" s="9">
        <f t="shared" si="250"/>
        <v>46054</v>
      </c>
      <c r="H1992" s="1" t="str">
        <f>IF(Raw!D1992="","",Raw!D1992)</f>
        <v>P-O</v>
      </c>
      <c r="I1992" s="1" t="str">
        <f>IFERROR(IF(EXACT(H1992,INDEX(Guide!$A$7:$A$9,MATCH(SUBSTITUTE(SUBSTITUTE(SUBSTITUTE(H1992,"~","~~"),"*","~*"),"?","~?"),Guide!$A$7:$A$9,0))),INDEX(Guide!$B$7:$B$9,MATCH(SUBSTITUTE(SUBSTITUTE(SUBSTITUTE(H1992,"~","~~"),"*","~*"),"?","~?"),Guide!$A$7:$A$9,0)),""),"")</f>
        <v>Office</v>
      </c>
      <c r="J1992" s="1" t="str">
        <f>IF(TRIM(Raw!E1992)="",I1992,IF(UPPER(TRIM(Raw!E1992))=UPPER(I1992),I1992,""))</f>
        <v>Office</v>
      </c>
      <c r="K1992" s="1" t="str">
        <f>IF(Raw!F1992="","",Raw!F1992)</f>
        <v>sale</v>
      </c>
      <c r="L1992" s="1" t="str">
        <f>IF(LEFT(TRIM(Raw!G1992),2)="-$","-"&amp;MID(TRIM(Raw!G1992),3,99),IF(LEFT(TRIM(Raw!G1992),1)="$",MID(TRIM(Raw!G1992),2,99),TRIM(Raw!G1992)))</f>
        <v>150.03</v>
      </c>
      <c r="M1992" s="1">
        <f t="shared" si="251"/>
        <v>150.03</v>
      </c>
      <c r="N1992" s="10">
        <f t="shared" si="252"/>
        <v>15003</v>
      </c>
      <c r="O1992" s="1" t="b">
        <f>IFERROR(IF(ISNUMBER(Raw!G1992),TRUE,OR(EXACT(L1992,TEXT(M1992,"0.00")),EXACT(L1992,TEXT(M1992,"#,##0.00")))),FALSE)</f>
        <v>1</v>
      </c>
      <c r="P1992" s="1" t="str">
        <f>LEN(IF(Raw!A1992="","",Raw!A1992))&amp;":"&amp;IF(Raw!A1992="","",Raw!A1992)&amp;"|"&amp;LEN(IF(Raw!B1992="","",Raw!B1992))&amp;":"&amp;IF(Raw!B1992="","",Raw!B1992)&amp;"|"&amp;LEN(IF(Raw!C1992="","",Raw!C1992))&amp;":"&amp;IF(Raw!C1992="","",Raw!C1992)&amp;"|"&amp;LEN(IF(Raw!D1992="","",Raw!D1992))&amp;":"&amp;IF(Raw!D1992="","",Raw!D1992)&amp;"|"&amp;LEN(IF(Raw!E1992="","",Raw!E1992))&amp;":"&amp;IF(Raw!E1992="","",Raw!E1992)&amp;"|"&amp;LEN(IF(Raw!F1992="","",Raw!F1992))&amp;":"&amp;IF(Raw!F1992="","",Raw!F1992)&amp;"|"&amp;LEN(IF(Raw!G1992="","",Raw!G1992))&amp;":"&amp;IF(Raw!G1992="","",Raw!G1992)</f>
        <v>6:L00447|6:T00224|10:2026-02-01|3:P-O|6:Office|4:sale|6:150.03</v>
      </c>
      <c r="Q1992" s="1">
        <f>2</f>
        <v>2</v>
      </c>
      <c r="R1992" s="1" t="b">
        <f>OR(NOT(EXACT(P1992,P453)))</f>
        <v>0</v>
      </c>
      <c r="S1992" s="1">
        <f>2</f>
        <v>2</v>
      </c>
      <c r="T1992" s="1" t="str">
        <f>IF(AND(Raw!A1992="",Raw!B1992="",Raw!C1992="",Raw!D1992="",Raw!E1992="",Raw!F1992="",Raw!G1992=""),"UNUSED",IF(A1992="","missing line ID",IF(B1992="","missing transaction ID",IF(G1992="",IF(C1992="","missing date","invalid date"),IF(I1992="","unknown product",IF(J1992="","conflicting category",IF(NOT(OR(EXACT(K1992,"sale"),EXACT(K1992,"refund"))),"unknown event",IF(OR(N1992="",NOT(O1992)),"invalid amount",IF(OR(AND(K1992="sale",N1992&lt;=0),AND(K1992="refund",N1992&gt;=0)),"invalid sign","")))))))))</f>
        <v/>
      </c>
      <c r="U1992" s="1" t="str">
        <f t="shared" si="253"/>
        <v>DUPLICATE</v>
      </c>
      <c r="V1992" s="1" t="str">
        <f t="shared" si="254"/>
        <v>2026-02</v>
      </c>
      <c r="W1992" s="1">
        <f>IF(AND(U1992="INCLUDED",X1992&gt;0,EXACT(A1992,'AI output'!A453)),1,0)</f>
        <v>0</v>
      </c>
      <c r="X1992" s="1">
        <f>453</f>
        <v>453</v>
      </c>
      <c r="Y1992" s="1">
        <f>IF(AND(U1992="INCLUDED",W1992=1),--(NOT(EXACT(A1992,'AI output'!A453)))+--(NOT(EXACT(B1992,'AI output'!B453)))+--(NOT(EXACT(TEXT(G1992,"yyyy-mm-dd"),'AI output'!C453)))+--(NOT(EXACT(H1992,'AI output'!D453)))+--(NOT(EXACT(J1992,'AI output'!E453)))+--(NOT(EXACT(K1992,'AI output'!F453)))+--(N1992&lt;&gt;'AI output'!L453)+--(NOT('AI output'!M453)),0)</f>
        <v>0</v>
      </c>
      <c r="Z1992" s="1">
        <f t="shared" si="255"/>
        <v>0</v>
      </c>
      <c r="AA1992" s="1">
        <f>--EXACT(A1992,"L00447")</f>
        <v>1</v>
      </c>
    </row>
    <row r="1993" spans="1:27" ht="18.95" customHeight="1">
      <c r="A1993" s="1" t="str">
        <f>IF(Raw!A1993="","",Raw!A1993)</f>
        <v>L00534</v>
      </c>
      <c r="B1993" s="1" t="str">
        <f>IF(Raw!B1993="","",Raw!B1993)</f>
        <v>T00267</v>
      </c>
      <c r="C1993" s="1" t="str">
        <f>IF(Raw!C1993="","",Raw!C1993)</f>
        <v>2026-03-04</v>
      </c>
      <c r="D1993" s="1">
        <f t="shared" si="248"/>
        <v>2026</v>
      </c>
      <c r="E1993" s="1">
        <f>IFERROR(IF(AND(LEN(C1993)=10,MID(C1993,5,1)="-",MID(C1993,8,1)="-"),VALUE(MID(C1993,6,2)),IF(AND(LEN(C1993)=11,MID(C1993,3,1)="-",MID(C1993,7,1)="-"),MATCH(UPPER(MID(C1993,4,3)),Guide!$D$7:$D$18,0),0)),0)</f>
        <v>3</v>
      </c>
      <c r="F1993" s="1">
        <f t="shared" si="249"/>
        <v>4</v>
      </c>
      <c r="G1993" s="9">
        <f t="shared" si="250"/>
        <v>46085</v>
      </c>
      <c r="H1993" s="1" t="str">
        <f>IF(Raw!D1993="","",Raw!D1993)</f>
        <v>P-O</v>
      </c>
      <c r="I1993" s="1" t="str">
        <f>IFERROR(IF(EXACT(H1993,INDEX(Guide!$A$7:$A$9,MATCH(SUBSTITUTE(SUBSTITUTE(SUBSTITUTE(H1993,"~","~~"),"*","~*"),"?","~?"),Guide!$A$7:$A$9,0))),INDEX(Guide!$B$7:$B$9,MATCH(SUBSTITUTE(SUBSTITUTE(SUBSTITUTE(H1993,"~","~~"),"*","~*"),"?","~?"),Guide!$A$7:$A$9,0)),""),"")</f>
        <v>Office</v>
      </c>
      <c r="J1993" s="1" t="str">
        <f>IF(TRIM(Raw!E1993)="",I1993,IF(UPPER(TRIM(Raw!E1993))=UPPER(I1993),I1993,""))</f>
        <v>Office</v>
      </c>
      <c r="K1993" s="1" t="str">
        <f>IF(Raw!F1993="","",Raw!F1993)</f>
        <v>sale</v>
      </c>
      <c r="L1993" s="1" t="str">
        <f>IF(LEFT(TRIM(Raw!G1993),2)="-$","-"&amp;MID(TRIM(Raw!G1993),3,99),IF(LEFT(TRIM(Raw!G1993),1)="$",MID(TRIM(Raw!G1993),2,99),TRIM(Raw!G1993)))</f>
        <v>164.40</v>
      </c>
      <c r="M1993" s="1">
        <f t="shared" si="251"/>
        <v>164.4</v>
      </c>
      <c r="N1993" s="10">
        <f t="shared" si="252"/>
        <v>16440</v>
      </c>
      <c r="O1993" s="1" t="b">
        <f>IFERROR(IF(ISNUMBER(Raw!G1993),TRUE,OR(EXACT(L1993,TEXT(M1993,"0.00")),EXACT(L1993,TEXT(M1993,"#,##0.00")))),FALSE)</f>
        <v>1</v>
      </c>
      <c r="P1993" s="1" t="str">
        <f>LEN(IF(Raw!A1993="","",Raw!A1993))&amp;":"&amp;IF(Raw!A1993="","",Raw!A1993)&amp;"|"&amp;LEN(IF(Raw!B1993="","",Raw!B1993))&amp;":"&amp;IF(Raw!B1993="","",Raw!B1993)&amp;"|"&amp;LEN(IF(Raw!C1993="","",Raw!C1993))&amp;":"&amp;IF(Raw!C1993="","",Raw!C1993)&amp;"|"&amp;LEN(IF(Raw!D1993="","",Raw!D1993))&amp;":"&amp;IF(Raw!D1993="","",Raw!D1993)&amp;"|"&amp;LEN(IF(Raw!E1993="","",Raw!E1993))&amp;":"&amp;IF(Raw!E1993="","",Raw!E1993)&amp;"|"&amp;LEN(IF(Raw!F1993="","",Raw!F1993))&amp;":"&amp;IF(Raw!F1993="","",Raw!F1993)&amp;"|"&amp;LEN(IF(Raw!G1993="","",Raw!G1993))&amp;":"&amp;IF(Raw!G1993="","",Raw!G1993)</f>
        <v>6:L00534|6:T00267|10:2026-03-04|3:P-O|6:Office|4:sale|6:164.40</v>
      </c>
      <c r="Q1993" s="1">
        <f>2</f>
        <v>2</v>
      </c>
      <c r="R1993" s="1" t="b">
        <f>OR(NOT(EXACT(P1993,P540)))</f>
        <v>0</v>
      </c>
      <c r="S1993" s="1">
        <f>2</f>
        <v>2</v>
      </c>
      <c r="T1993" s="1" t="str">
        <f>IF(AND(Raw!A1993="",Raw!B1993="",Raw!C1993="",Raw!D1993="",Raw!E1993="",Raw!F1993="",Raw!G1993=""),"UNUSED",IF(A1993="","missing line ID",IF(B1993="","missing transaction ID",IF(G1993="",IF(C1993="","missing date","invalid date"),IF(I1993="","unknown product",IF(J1993="","conflicting category",IF(NOT(OR(EXACT(K1993,"sale"),EXACT(K1993,"refund"))),"unknown event",IF(OR(N1993="",NOT(O1993)),"invalid amount",IF(OR(AND(K1993="sale",N1993&lt;=0),AND(K1993="refund",N1993&gt;=0)),"invalid sign","")))))))))</f>
        <v/>
      </c>
      <c r="U1993" s="1" t="str">
        <f t="shared" si="253"/>
        <v>DUPLICATE</v>
      </c>
      <c r="V1993" s="1" t="str">
        <f t="shared" si="254"/>
        <v>2026-03</v>
      </c>
      <c r="W1993" s="1">
        <f>IF(AND(U1993="INCLUDED",X1993&gt;0,EXACT(A1993,'AI output'!A540)),1,0)</f>
        <v>0</v>
      </c>
      <c r="X1993" s="1">
        <f>540</f>
        <v>540</v>
      </c>
      <c r="Y1993" s="1">
        <f>IF(AND(U1993="INCLUDED",W1993=1),--(NOT(EXACT(A1993,'AI output'!A540)))+--(NOT(EXACT(B1993,'AI output'!B540)))+--(NOT(EXACT(TEXT(G1993,"yyyy-mm-dd"),'AI output'!C540)))+--(NOT(EXACT(H1993,'AI output'!D540)))+--(NOT(EXACT(J1993,'AI output'!E540)))+--(NOT(EXACT(K1993,'AI output'!F540)))+--(N1993&lt;&gt;'AI output'!L540)+--(NOT('AI output'!M540)),0)</f>
        <v>0</v>
      </c>
      <c r="Z1993" s="1">
        <f t="shared" si="255"/>
        <v>0</v>
      </c>
      <c r="AA1993" s="1">
        <f>--EXACT(A1993,"L00534")</f>
        <v>1</v>
      </c>
    </row>
    <row r="1994" spans="1:27" ht="18.95" customHeight="1">
      <c r="A1994" s="1" t="str">
        <f>IF(Raw!A1994="","",Raw!A1994)</f>
        <v>L00621</v>
      </c>
      <c r="B1994" s="1" t="str">
        <f>IF(Raw!B1994="","",Raw!B1994)</f>
        <v>T00311</v>
      </c>
      <c r="C1994" s="1" t="str">
        <f>IF(Raw!C1994="","",Raw!C1994)</f>
        <v>2026-01-11</v>
      </c>
      <c r="D1994" s="1">
        <f t="shared" si="248"/>
        <v>2026</v>
      </c>
      <c r="E1994" s="1">
        <f>IFERROR(IF(AND(LEN(C1994)=10,MID(C1994,5,1)="-",MID(C1994,8,1)="-"),VALUE(MID(C1994,6,2)),IF(AND(LEN(C1994)=11,MID(C1994,3,1)="-",MID(C1994,7,1)="-"),MATCH(UPPER(MID(C1994,4,3)),Guide!$D$7:$D$18,0),0)),0)</f>
        <v>1</v>
      </c>
      <c r="F1994" s="1">
        <f t="shared" si="249"/>
        <v>11</v>
      </c>
      <c r="G1994" s="9">
        <f t="shared" si="250"/>
        <v>46033</v>
      </c>
      <c r="H1994" s="1" t="str">
        <f>IF(Raw!D1994="","",Raw!D1994)</f>
        <v>P-O</v>
      </c>
      <c r="I1994" s="1" t="str">
        <f>IFERROR(IF(EXACT(H1994,INDEX(Guide!$A$7:$A$9,MATCH(SUBSTITUTE(SUBSTITUTE(SUBSTITUTE(H1994,"~","~~"),"*","~*"),"?","~?"),Guide!$A$7:$A$9,0))),INDEX(Guide!$B$7:$B$9,MATCH(SUBSTITUTE(SUBSTITUTE(SUBSTITUTE(H1994,"~","~~"),"*","~*"),"?","~?"),Guide!$A$7:$A$9,0)),""),"")</f>
        <v>Office</v>
      </c>
      <c r="J1994" s="1" t="str">
        <f>IF(TRIM(Raw!E1994)="",I1994,IF(UPPER(TRIM(Raw!E1994))=UPPER(I1994),I1994,""))</f>
        <v>Office</v>
      </c>
      <c r="K1994" s="1" t="str">
        <f>IF(Raw!F1994="","",Raw!F1994)</f>
        <v>sale</v>
      </c>
      <c r="L1994" s="1" t="str">
        <f>IF(LEFT(TRIM(Raw!G1994),2)="-$","-"&amp;MID(TRIM(Raw!G1994),3,99),IF(LEFT(TRIM(Raw!G1994),1)="$",MID(TRIM(Raw!G1994),2,99),TRIM(Raw!G1994)))</f>
        <v>114.39</v>
      </c>
      <c r="M1994" s="1">
        <f t="shared" si="251"/>
        <v>114.39</v>
      </c>
      <c r="N1994" s="10">
        <f t="shared" si="252"/>
        <v>11439</v>
      </c>
      <c r="O1994" s="1" t="b">
        <f>IFERROR(IF(ISNUMBER(Raw!G1994),TRUE,OR(EXACT(L1994,TEXT(M1994,"0.00")),EXACT(L1994,TEXT(M1994,"#,##0.00")))),FALSE)</f>
        <v>1</v>
      </c>
      <c r="P1994" s="1" t="str">
        <f>LEN(IF(Raw!A1994="","",Raw!A1994))&amp;":"&amp;IF(Raw!A1994="","",Raw!A1994)&amp;"|"&amp;LEN(IF(Raw!B1994="","",Raw!B1994))&amp;":"&amp;IF(Raw!B1994="","",Raw!B1994)&amp;"|"&amp;LEN(IF(Raw!C1994="","",Raw!C1994))&amp;":"&amp;IF(Raw!C1994="","",Raw!C1994)&amp;"|"&amp;LEN(IF(Raw!D1994="","",Raw!D1994))&amp;":"&amp;IF(Raw!D1994="","",Raw!D1994)&amp;"|"&amp;LEN(IF(Raw!E1994="","",Raw!E1994))&amp;":"&amp;IF(Raw!E1994="","",Raw!E1994)&amp;"|"&amp;LEN(IF(Raw!F1994="","",Raw!F1994))&amp;":"&amp;IF(Raw!F1994="","",Raw!F1994)&amp;"|"&amp;LEN(IF(Raw!G1994="","",Raw!G1994))&amp;":"&amp;IF(Raw!G1994="","",Raw!G1994)</f>
        <v>6:L00621|6:T00311|10:2026-01-11|3:P-O|6:Office|4:sale|6:114.39</v>
      </c>
      <c r="Q1994" s="1">
        <f>2</f>
        <v>2</v>
      </c>
      <c r="R1994" s="1" t="b">
        <f>OR(NOT(EXACT(P1994,P627)))</f>
        <v>0</v>
      </c>
      <c r="S1994" s="1">
        <f>2</f>
        <v>2</v>
      </c>
      <c r="T1994" s="1" t="str">
        <f>IF(AND(Raw!A1994="",Raw!B1994="",Raw!C1994="",Raw!D1994="",Raw!E1994="",Raw!F1994="",Raw!G1994=""),"UNUSED",IF(A1994="","missing line ID",IF(B1994="","missing transaction ID",IF(G1994="",IF(C1994="","missing date","invalid date"),IF(I1994="","unknown product",IF(J1994="","conflicting category",IF(NOT(OR(EXACT(K1994,"sale"),EXACT(K1994,"refund"))),"unknown event",IF(OR(N1994="",NOT(O1994)),"invalid amount",IF(OR(AND(K1994="sale",N1994&lt;=0),AND(K1994="refund",N1994&gt;=0)),"invalid sign","")))))))))</f>
        <v/>
      </c>
      <c r="U1994" s="1" t="str">
        <f t="shared" si="253"/>
        <v>DUPLICATE</v>
      </c>
      <c r="V1994" s="1" t="str">
        <f t="shared" si="254"/>
        <v>2026-01</v>
      </c>
      <c r="W1994" s="1">
        <f>IF(AND(U1994="INCLUDED",X1994&gt;0,EXACT(A1994,'AI output'!A627)),1,0)</f>
        <v>0</v>
      </c>
      <c r="X1994" s="1">
        <f>627</f>
        <v>627</v>
      </c>
      <c r="Y1994" s="1">
        <f>IF(AND(U1994="INCLUDED",W1994=1),--(NOT(EXACT(A1994,'AI output'!A627)))+--(NOT(EXACT(B1994,'AI output'!B627)))+--(NOT(EXACT(TEXT(G1994,"yyyy-mm-dd"),'AI output'!C627)))+--(NOT(EXACT(H1994,'AI output'!D627)))+--(NOT(EXACT(J1994,'AI output'!E627)))+--(NOT(EXACT(K1994,'AI output'!F627)))+--(N1994&lt;&gt;'AI output'!L627)+--(NOT('AI output'!M627)),0)</f>
        <v>0</v>
      </c>
      <c r="Z1994" s="1">
        <f t="shared" si="255"/>
        <v>0</v>
      </c>
      <c r="AA1994" s="1">
        <f>--EXACT(A1994,"L00621")</f>
        <v>1</v>
      </c>
    </row>
    <row r="1995" spans="1:27" ht="18.95" customHeight="1">
      <c r="A1995" s="1" t="str">
        <f>IF(Raw!A1995="","",Raw!A1995)</f>
        <v>L00708</v>
      </c>
      <c r="B1995" s="1" t="str">
        <f>IF(Raw!B1995="","",Raw!B1995)</f>
        <v>T00354</v>
      </c>
      <c r="C1995" s="1" t="str">
        <f>IF(Raw!C1995="","",Raw!C1995)</f>
        <v>2026-02-11</v>
      </c>
      <c r="D1995" s="1">
        <f t="shared" si="248"/>
        <v>2026</v>
      </c>
      <c r="E1995" s="1">
        <f>IFERROR(IF(AND(LEN(C1995)=10,MID(C1995,5,1)="-",MID(C1995,8,1)="-"),VALUE(MID(C1995,6,2)),IF(AND(LEN(C1995)=11,MID(C1995,3,1)="-",MID(C1995,7,1)="-"),MATCH(UPPER(MID(C1995,4,3)),Guide!$D$7:$D$18,0),0)),0)</f>
        <v>2</v>
      </c>
      <c r="F1995" s="1">
        <f t="shared" si="249"/>
        <v>11</v>
      </c>
      <c r="G1995" s="9">
        <f t="shared" si="250"/>
        <v>46064</v>
      </c>
      <c r="H1995" s="1" t="str">
        <f>IF(Raw!D1995="","",Raw!D1995)</f>
        <v>P-O</v>
      </c>
      <c r="I1995" s="1" t="str">
        <f>IFERROR(IF(EXACT(H1995,INDEX(Guide!$A$7:$A$9,MATCH(SUBSTITUTE(SUBSTITUTE(SUBSTITUTE(H1995,"~","~~"),"*","~*"),"?","~?"),Guide!$A$7:$A$9,0))),INDEX(Guide!$B$7:$B$9,MATCH(SUBSTITUTE(SUBSTITUTE(SUBSTITUTE(H1995,"~","~~"),"*","~*"),"?","~?"),Guide!$A$7:$A$9,0)),""),"")</f>
        <v>Office</v>
      </c>
      <c r="J1995" s="1" t="str">
        <f>IF(TRIM(Raw!E1995)="",I1995,IF(UPPER(TRIM(Raw!E1995))=UPPER(I1995),I1995,""))</f>
        <v>Office</v>
      </c>
      <c r="K1995" s="1" t="str">
        <f>IF(Raw!F1995="","",Raw!F1995)</f>
        <v>sale</v>
      </c>
      <c r="L1995" s="1" t="str">
        <f>IF(LEFT(TRIM(Raw!G1995),2)="-$","-"&amp;MID(TRIM(Raw!G1995),3,99),IF(LEFT(TRIM(Raw!G1995),1)="$",MID(TRIM(Raw!G1995),2,99),TRIM(Raw!G1995)))</f>
        <v>132.90</v>
      </c>
      <c r="M1995" s="1">
        <f t="shared" si="251"/>
        <v>132.9</v>
      </c>
      <c r="N1995" s="10">
        <f t="shared" si="252"/>
        <v>13290</v>
      </c>
      <c r="O1995" s="1" t="b">
        <f>IFERROR(IF(ISNUMBER(Raw!G1995),TRUE,OR(EXACT(L1995,TEXT(M1995,"0.00")),EXACT(L1995,TEXT(M1995,"#,##0.00")))),FALSE)</f>
        <v>1</v>
      </c>
      <c r="P1995" s="1" t="str">
        <f>LEN(IF(Raw!A1995="","",Raw!A1995))&amp;":"&amp;IF(Raw!A1995="","",Raw!A1995)&amp;"|"&amp;LEN(IF(Raw!B1995="","",Raw!B1995))&amp;":"&amp;IF(Raw!B1995="","",Raw!B1995)&amp;"|"&amp;LEN(IF(Raw!C1995="","",Raw!C1995))&amp;":"&amp;IF(Raw!C1995="","",Raw!C1995)&amp;"|"&amp;LEN(IF(Raw!D1995="","",Raw!D1995))&amp;":"&amp;IF(Raw!D1995="","",Raw!D1995)&amp;"|"&amp;LEN(IF(Raw!E1995="","",Raw!E1995))&amp;":"&amp;IF(Raw!E1995="","",Raw!E1995)&amp;"|"&amp;LEN(IF(Raw!F1995="","",Raw!F1995))&amp;":"&amp;IF(Raw!F1995="","",Raw!F1995)&amp;"|"&amp;LEN(IF(Raw!G1995="","",Raw!G1995))&amp;":"&amp;IF(Raw!G1995="","",Raw!G1995)</f>
        <v>6:L00708|6:T00354|10:2026-02-11|3:P-O|6:Office|4:sale|6:132.90</v>
      </c>
      <c r="Q1995" s="1">
        <f>2</f>
        <v>2</v>
      </c>
      <c r="R1995" s="1" t="b">
        <f>OR(NOT(EXACT(P1995,P714)))</f>
        <v>0</v>
      </c>
      <c r="S1995" s="1">
        <f>2</f>
        <v>2</v>
      </c>
      <c r="T1995" s="1" t="str">
        <f>IF(AND(Raw!A1995="",Raw!B1995="",Raw!C1995="",Raw!D1995="",Raw!E1995="",Raw!F1995="",Raw!G1995=""),"UNUSED",IF(A1995="","missing line ID",IF(B1995="","missing transaction ID",IF(G1995="",IF(C1995="","missing date","invalid date"),IF(I1995="","unknown product",IF(J1995="","conflicting category",IF(NOT(OR(EXACT(K1995,"sale"),EXACT(K1995,"refund"))),"unknown event",IF(OR(N1995="",NOT(O1995)),"invalid amount",IF(OR(AND(K1995="sale",N1995&lt;=0),AND(K1995="refund",N1995&gt;=0)),"invalid sign","")))))))))</f>
        <v/>
      </c>
      <c r="U1995" s="1" t="str">
        <f t="shared" si="253"/>
        <v>DUPLICATE</v>
      </c>
      <c r="V1995" s="1" t="str">
        <f t="shared" si="254"/>
        <v>2026-02</v>
      </c>
      <c r="W1995" s="1">
        <f>IF(AND(U1995="INCLUDED",X1995&gt;0,EXACT(A1995,'AI output'!A714)),1,0)</f>
        <v>0</v>
      </c>
      <c r="X1995" s="1">
        <f>714</f>
        <v>714</v>
      </c>
      <c r="Y1995" s="1">
        <f>IF(AND(U1995="INCLUDED",W1995=1),--(NOT(EXACT(A1995,'AI output'!A714)))+--(NOT(EXACT(B1995,'AI output'!B714)))+--(NOT(EXACT(TEXT(G1995,"yyyy-mm-dd"),'AI output'!C714)))+--(NOT(EXACT(H1995,'AI output'!D714)))+--(NOT(EXACT(J1995,'AI output'!E714)))+--(NOT(EXACT(K1995,'AI output'!F714)))+--(N1995&lt;&gt;'AI output'!L714)+--(NOT('AI output'!M714)),0)</f>
        <v>0</v>
      </c>
      <c r="Z1995" s="1">
        <f t="shared" si="255"/>
        <v>0</v>
      </c>
      <c r="AA1995" s="1">
        <f>--EXACT(A1995,"L00708")</f>
        <v>1</v>
      </c>
    </row>
    <row r="1996" spans="1:27" ht="18.95" customHeight="1">
      <c r="A1996" s="1" t="str">
        <f>IF(Raw!A1996="","",Raw!A1996)</f>
        <v>L00795</v>
      </c>
      <c r="B1996" s="1" t="str">
        <f>IF(Raw!B1996="","",Raw!B1996)</f>
        <v>T00398</v>
      </c>
      <c r="C1996" s="1" t="str">
        <f>IF(Raw!C1996="","",Raw!C1996)</f>
        <v>2026-03-21</v>
      </c>
      <c r="D1996" s="1">
        <f t="shared" si="248"/>
        <v>2026</v>
      </c>
      <c r="E1996" s="1">
        <f>IFERROR(IF(AND(LEN(C1996)=10,MID(C1996,5,1)="-",MID(C1996,8,1)="-"),VALUE(MID(C1996,6,2)),IF(AND(LEN(C1996)=11,MID(C1996,3,1)="-",MID(C1996,7,1)="-"),MATCH(UPPER(MID(C1996,4,3)),Guide!$D$7:$D$18,0),0)),0)</f>
        <v>3</v>
      </c>
      <c r="F1996" s="1">
        <f t="shared" si="249"/>
        <v>21</v>
      </c>
      <c r="G1996" s="9">
        <f t="shared" si="250"/>
        <v>46102</v>
      </c>
      <c r="H1996" s="1" t="str">
        <f>IF(Raw!D1996="","",Raw!D1996)</f>
        <v>P-O</v>
      </c>
      <c r="I1996" s="1" t="str">
        <f>IFERROR(IF(EXACT(H1996,INDEX(Guide!$A$7:$A$9,MATCH(SUBSTITUTE(SUBSTITUTE(SUBSTITUTE(H1996,"~","~~"),"*","~*"),"?","~?"),Guide!$A$7:$A$9,0))),INDEX(Guide!$B$7:$B$9,MATCH(SUBSTITUTE(SUBSTITUTE(SUBSTITUTE(H1996,"~","~~"),"*","~*"),"?","~?"),Guide!$A$7:$A$9,0)),""),"")</f>
        <v>Office</v>
      </c>
      <c r="J1996" s="1" t="str">
        <f>IF(TRIM(Raw!E1996)="",I1996,IF(UPPER(TRIM(Raw!E1996))=UPPER(I1996),I1996,""))</f>
        <v>Office</v>
      </c>
      <c r="K1996" s="1" t="str">
        <f>IF(Raw!F1996="","",Raw!F1996)</f>
        <v>sale</v>
      </c>
      <c r="L1996" s="1" t="str">
        <f>IF(LEFT(TRIM(Raw!G1996),2)="-$","-"&amp;MID(TRIM(Raw!G1996),3,99),IF(LEFT(TRIM(Raw!G1996),1)="$",MID(TRIM(Raw!G1996),2,99),TRIM(Raw!G1996)))</f>
        <v>235.08</v>
      </c>
      <c r="M1996" s="1">
        <f t="shared" si="251"/>
        <v>235.08</v>
      </c>
      <c r="N1996" s="10">
        <f t="shared" si="252"/>
        <v>23508</v>
      </c>
      <c r="O1996" s="1" t="b">
        <f>IFERROR(IF(ISNUMBER(Raw!G1996),TRUE,OR(EXACT(L1996,TEXT(M1996,"0.00")),EXACT(L1996,TEXT(M1996,"#,##0.00")))),FALSE)</f>
        <v>1</v>
      </c>
      <c r="P1996" s="1" t="str">
        <f>LEN(IF(Raw!A1996="","",Raw!A1996))&amp;":"&amp;IF(Raw!A1996="","",Raw!A1996)&amp;"|"&amp;LEN(IF(Raw!B1996="","",Raw!B1996))&amp;":"&amp;IF(Raw!B1996="","",Raw!B1996)&amp;"|"&amp;LEN(IF(Raw!C1996="","",Raw!C1996))&amp;":"&amp;IF(Raw!C1996="","",Raw!C1996)&amp;"|"&amp;LEN(IF(Raw!D1996="","",Raw!D1996))&amp;":"&amp;IF(Raw!D1996="","",Raw!D1996)&amp;"|"&amp;LEN(IF(Raw!E1996="","",Raw!E1996))&amp;":"&amp;IF(Raw!E1996="","",Raw!E1996)&amp;"|"&amp;LEN(IF(Raw!F1996="","",Raw!F1996))&amp;":"&amp;IF(Raw!F1996="","",Raw!F1996)&amp;"|"&amp;LEN(IF(Raw!G1996="","",Raw!G1996))&amp;":"&amp;IF(Raw!G1996="","",Raw!G1996)</f>
        <v>6:L00795|6:T00398|10:2026-03-21|3:P-O|6:Office|4:sale|6:235.08</v>
      </c>
      <c r="Q1996" s="1">
        <f>2</f>
        <v>2</v>
      </c>
      <c r="R1996" s="1" t="b">
        <f>OR(NOT(EXACT(P1996,P801)))</f>
        <v>0</v>
      </c>
      <c r="S1996" s="1">
        <f>2</f>
        <v>2</v>
      </c>
      <c r="T1996" s="1" t="str">
        <f>IF(AND(Raw!A1996="",Raw!B1996="",Raw!C1996="",Raw!D1996="",Raw!E1996="",Raw!F1996="",Raw!G1996=""),"UNUSED",IF(A1996="","missing line ID",IF(B1996="","missing transaction ID",IF(G1996="",IF(C1996="","missing date","invalid date"),IF(I1996="","unknown product",IF(J1996="","conflicting category",IF(NOT(OR(EXACT(K1996,"sale"),EXACT(K1996,"refund"))),"unknown event",IF(OR(N1996="",NOT(O1996)),"invalid amount",IF(OR(AND(K1996="sale",N1996&lt;=0),AND(K1996="refund",N1996&gt;=0)),"invalid sign","")))))))))</f>
        <v/>
      </c>
      <c r="U1996" s="1" t="str">
        <f t="shared" si="253"/>
        <v>DUPLICATE</v>
      </c>
      <c r="V1996" s="1" t="str">
        <f t="shared" si="254"/>
        <v>2026-03</v>
      </c>
      <c r="W1996" s="1">
        <f>IF(AND(U1996="INCLUDED",X1996&gt;0,EXACT(A1996,'AI output'!A801)),1,0)</f>
        <v>0</v>
      </c>
      <c r="X1996" s="1">
        <f>801</f>
        <v>801</v>
      </c>
      <c r="Y1996" s="1">
        <f>IF(AND(U1996="INCLUDED",W1996=1),--(NOT(EXACT(A1996,'AI output'!A801)))+--(NOT(EXACT(B1996,'AI output'!B801)))+--(NOT(EXACT(TEXT(G1996,"yyyy-mm-dd"),'AI output'!C801)))+--(NOT(EXACT(H1996,'AI output'!D801)))+--(NOT(EXACT(J1996,'AI output'!E801)))+--(NOT(EXACT(K1996,'AI output'!F801)))+--(N1996&lt;&gt;'AI output'!L801)+--(NOT('AI output'!M801)),0)</f>
        <v>0</v>
      </c>
      <c r="Z1996" s="1">
        <f t="shared" si="255"/>
        <v>0</v>
      </c>
      <c r="AA1996" s="1">
        <f>--EXACT(A1996,"L00795")</f>
        <v>1</v>
      </c>
    </row>
    <row r="1997" spans="1:27" ht="18.95" customHeight="1">
      <c r="A1997" s="1" t="str">
        <f>IF(Raw!A1997="","",Raw!A1997)</f>
        <v>L00882</v>
      </c>
      <c r="B1997" s="1" t="str">
        <f>IF(Raw!B1997="","",Raw!B1997)</f>
        <v>T00441</v>
      </c>
      <c r="C1997" s="1" t="str">
        <f>IF(Raw!C1997="","",Raw!C1997)</f>
        <v>2026-01-21</v>
      </c>
      <c r="D1997" s="1">
        <f t="shared" si="248"/>
        <v>2026</v>
      </c>
      <c r="E1997" s="1">
        <f>IFERROR(IF(AND(LEN(C1997)=10,MID(C1997,5,1)="-",MID(C1997,8,1)="-"),VALUE(MID(C1997,6,2)),IF(AND(LEN(C1997)=11,MID(C1997,3,1)="-",MID(C1997,7,1)="-"),MATCH(UPPER(MID(C1997,4,3)),Guide!$D$7:$D$18,0),0)),0)</f>
        <v>1</v>
      </c>
      <c r="F1997" s="1">
        <f t="shared" si="249"/>
        <v>21</v>
      </c>
      <c r="G1997" s="9">
        <f t="shared" si="250"/>
        <v>46043</v>
      </c>
      <c r="H1997" s="1" t="str">
        <f>IF(Raw!D1997="","",Raw!D1997)</f>
        <v>P-O</v>
      </c>
      <c r="I1997" s="1" t="str">
        <f>IFERROR(IF(EXACT(H1997,INDEX(Guide!$A$7:$A$9,MATCH(SUBSTITUTE(SUBSTITUTE(SUBSTITUTE(H1997,"~","~~"),"*","~*"),"?","~?"),Guide!$A$7:$A$9,0))),INDEX(Guide!$B$7:$B$9,MATCH(SUBSTITUTE(SUBSTITUTE(SUBSTITUTE(H1997,"~","~~"),"*","~*"),"?","~?"),Guide!$A$7:$A$9,0)),""),"")</f>
        <v>Office</v>
      </c>
      <c r="J1997" s="1" t="str">
        <f>IF(TRIM(Raw!E1997)="",I1997,IF(UPPER(TRIM(Raw!E1997))=UPPER(I1997),I1997,""))</f>
        <v>Office</v>
      </c>
      <c r="K1997" s="1" t="str">
        <f>IF(Raw!F1997="","",Raw!F1997)</f>
        <v>sale</v>
      </c>
      <c r="L1997" s="1" t="str">
        <f>IF(LEFT(TRIM(Raw!G1997),2)="-$","-"&amp;MID(TRIM(Raw!G1997),3,99),IF(LEFT(TRIM(Raw!G1997),1)="$",MID(TRIM(Raw!G1997),2,99),TRIM(Raw!G1997)))</f>
        <v>272.88</v>
      </c>
      <c r="M1997" s="1">
        <f t="shared" si="251"/>
        <v>272.88</v>
      </c>
      <c r="N1997" s="10">
        <f t="shared" si="252"/>
        <v>27288</v>
      </c>
      <c r="O1997" s="1" t="b">
        <f>IFERROR(IF(ISNUMBER(Raw!G1997),TRUE,OR(EXACT(L1997,TEXT(M1997,"0.00")),EXACT(L1997,TEXT(M1997,"#,##0.00")))),FALSE)</f>
        <v>1</v>
      </c>
      <c r="P1997" s="1" t="str">
        <f>LEN(IF(Raw!A1997="","",Raw!A1997))&amp;":"&amp;IF(Raw!A1997="","",Raw!A1997)&amp;"|"&amp;LEN(IF(Raw!B1997="","",Raw!B1997))&amp;":"&amp;IF(Raw!B1997="","",Raw!B1997)&amp;"|"&amp;LEN(IF(Raw!C1997="","",Raw!C1997))&amp;":"&amp;IF(Raw!C1997="","",Raw!C1997)&amp;"|"&amp;LEN(IF(Raw!D1997="","",Raw!D1997))&amp;":"&amp;IF(Raw!D1997="","",Raw!D1997)&amp;"|"&amp;LEN(IF(Raw!E1997="","",Raw!E1997))&amp;":"&amp;IF(Raw!E1997="","",Raw!E1997)&amp;"|"&amp;LEN(IF(Raw!F1997="","",Raw!F1997))&amp;":"&amp;IF(Raw!F1997="","",Raw!F1997)&amp;"|"&amp;LEN(IF(Raw!G1997="","",Raw!G1997))&amp;":"&amp;IF(Raw!G1997="","",Raw!G1997)</f>
        <v>6:L00882|6:T00441|10:2026-01-21|3:P-O|6:Office|4:sale|6:272.88</v>
      </c>
      <c r="Q1997" s="1">
        <f>2</f>
        <v>2</v>
      </c>
      <c r="R1997" s="1" t="b">
        <f>OR(NOT(EXACT(P1997,P888)))</f>
        <v>0</v>
      </c>
      <c r="S1997" s="1">
        <f>2</f>
        <v>2</v>
      </c>
      <c r="T1997" s="1" t="str">
        <f>IF(AND(Raw!A1997="",Raw!B1997="",Raw!C1997="",Raw!D1997="",Raw!E1997="",Raw!F1997="",Raw!G1997=""),"UNUSED",IF(A1997="","missing line ID",IF(B1997="","missing transaction ID",IF(G1997="",IF(C1997="","missing date","invalid date"),IF(I1997="","unknown product",IF(J1997="","conflicting category",IF(NOT(OR(EXACT(K1997,"sale"),EXACT(K1997,"refund"))),"unknown event",IF(OR(N1997="",NOT(O1997)),"invalid amount",IF(OR(AND(K1997="sale",N1997&lt;=0),AND(K1997="refund",N1997&gt;=0)),"invalid sign","")))))))))</f>
        <v/>
      </c>
      <c r="U1997" s="1" t="str">
        <f t="shared" si="253"/>
        <v>DUPLICATE</v>
      </c>
      <c r="V1997" s="1" t="str">
        <f t="shared" si="254"/>
        <v>2026-01</v>
      </c>
      <c r="W1997" s="1">
        <f>IF(AND(U1997="INCLUDED",X1997&gt;0,EXACT(A1997,'AI output'!A888)),1,0)</f>
        <v>0</v>
      </c>
      <c r="X1997" s="1">
        <f>888</f>
        <v>888</v>
      </c>
      <c r="Y1997" s="1">
        <f>IF(AND(U1997="INCLUDED",W1997=1),--(NOT(EXACT(A1997,'AI output'!A888)))+--(NOT(EXACT(B1997,'AI output'!B888)))+--(NOT(EXACT(TEXT(G1997,"yyyy-mm-dd"),'AI output'!C888)))+--(NOT(EXACT(H1997,'AI output'!D888)))+--(NOT(EXACT(J1997,'AI output'!E888)))+--(NOT(EXACT(K1997,'AI output'!F888)))+--(N1997&lt;&gt;'AI output'!L888)+--(NOT('AI output'!M888)),0)</f>
        <v>0</v>
      </c>
      <c r="Z1997" s="1">
        <f t="shared" si="255"/>
        <v>0</v>
      </c>
      <c r="AA1997" s="1">
        <f>--EXACT(A1997,"L00882")</f>
        <v>1</v>
      </c>
    </row>
    <row r="1998" spans="1:27" ht="18.95" customHeight="1">
      <c r="A1998" s="1" t="str">
        <f>IF(Raw!A1998="","",Raw!A1998)</f>
        <v>L00969</v>
      </c>
      <c r="B1998" s="1" t="str">
        <f>IF(Raw!B1998="","",Raw!B1998)</f>
        <v>T00485</v>
      </c>
      <c r="C1998" s="1" t="str">
        <f>IF(Raw!C1998="","",Raw!C1998)</f>
        <v>2026-02-28</v>
      </c>
      <c r="D1998" s="1">
        <f t="shared" si="248"/>
        <v>2026</v>
      </c>
      <c r="E1998" s="1">
        <f>IFERROR(IF(AND(LEN(C1998)=10,MID(C1998,5,1)="-",MID(C1998,8,1)="-"),VALUE(MID(C1998,6,2)),IF(AND(LEN(C1998)=11,MID(C1998,3,1)="-",MID(C1998,7,1)="-"),MATCH(UPPER(MID(C1998,4,3)),Guide!$D$7:$D$18,0),0)),0)</f>
        <v>2</v>
      </c>
      <c r="F1998" s="1">
        <f t="shared" si="249"/>
        <v>28</v>
      </c>
      <c r="G1998" s="9">
        <f t="shared" si="250"/>
        <v>46081</v>
      </c>
      <c r="H1998" s="1" t="str">
        <f>IF(Raw!D1998="","",Raw!D1998)</f>
        <v>P-O</v>
      </c>
      <c r="I1998" s="1" t="str">
        <f>IFERROR(IF(EXACT(H1998,INDEX(Guide!$A$7:$A$9,MATCH(SUBSTITUTE(SUBSTITUTE(SUBSTITUTE(H1998,"~","~~"),"*","~*"),"?","~?"),Guide!$A$7:$A$9,0))),INDEX(Guide!$B$7:$B$9,MATCH(SUBSTITUTE(SUBSTITUTE(SUBSTITUTE(H1998,"~","~~"),"*","~*"),"?","~?"),Guide!$A$7:$A$9,0)),""),"")</f>
        <v>Office</v>
      </c>
      <c r="J1998" s="1" t="str">
        <f>IF(TRIM(Raw!E1998)="",I1998,IF(UPPER(TRIM(Raw!E1998))=UPPER(I1998),I1998,""))</f>
        <v>Office</v>
      </c>
      <c r="K1998" s="1" t="str">
        <f>IF(Raw!F1998="","",Raw!F1998)</f>
        <v>sale</v>
      </c>
      <c r="L1998" s="1" t="str">
        <f>IF(LEFT(TRIM(Raw!G1998),2)="-$","-"&amp;MID(TRIM(Raw!G1998),3,99),IF(LEFT(TRIM(Raw!G1998),1)="$",MID(TRIM(Raw!G1998),2,99),TRIM(Raw!G1998)))</f>
        <v>246.30</v>
      </c>
      <c r="M1998" s="1">
        <f t="shared" si="251"/>
        <v>246.3</v>
      </c>
      <c r="N1998" s="10">
        <f t="shared" si="252"/>
        <v>24630</v>
      </c>
      <c r="O1998" s="1" t="b">
        <f>IFERROR(IF(ISNUMBER(Raw!G1998),TRUE,OR(EXACT(L1998,TEXT(M1998,"0.00")),EXACT(L1998,TEXT(M1998,"#,##0.00")))),FALSE)</f>
        <v>1</v>
      </c>
      <c r="P1998" s="1" t="str">
        <f>LEN(IF(Raw!A1998="","",Raw!A1998))&amp;":"&amp;IF(Raw!A1998="","",Raw!A1998)&amp;"|"&amp;LEN(IF(Raw!B1998="","",Raw!B1998))&amp;":"&amp;IF(Raw!B1998="","",Raw!B1998)&amp;"|"&amp;LEN(IF(Raw!C1998="","",Raw!C1998))&amp;":"&amp;IF(Raw!C1998="","",Raw!C1998)&amp;"|"&amp;LEN(IF(Raw!D1998="","",Raw!D1998))&amp;":"&amp;IF(Raw!D1998="","",Raw!D1998)&amp;"|"&amp;LEN(IF(Raw!E1998="","",Raw!E1998))&amp;":"&amp;IF(Raw!E1998="","",Raw!E1998)&amp;"|"&amp;LEN(IF(Raw!F1998="","",Raw!F1998))&amp;":"&amp;IF(Raw!F1998="","",Raw!F1998)&amp;"|"&amp;LEN(IF(Raw!G1998="","",Raw!G1998))&amp;":"&amp;IF(Raw!G1998="","",Raw!G1998)</f>
        <v>6:L00969|6:T00485|10:2026-02-28|3:P-O|6:Office|4:sale|6:246.30</v>
      </c>
      <c r="Q1998" s="1">
        <f>2</f>
        <v>2</v>
      </c>
      <c r="R1998" s="1" t="b">
        <f>OR(NOT(EXACT(P1998,P975)))</f>
        <v>0</v>
      </c>
      <c r="S1998" s="1">
        <f>2</f>
        <v>2</v>
      </c>
      <c r="T1998" s="1" t="str">
        <f>IF(AND(Raw!A1998="",Raw!B1998="",Raw!C1998="",Raw!D1998="",Raw!E1998="",Raw!F1998="",Raw!G1998=""),"UNUSED",IF(A1998="","missing line ID",IF(B1998="","missing transaction ID",IF(G1998="",IF(C1998="","missing date","invalid date"),IF(I1998="","unknown product",IF(J1998="","conflicting category",IF(NOT(OR(EXACT(K1998,"sale"),EXACT(K1998,"refund"))),"unknown event",IF(OR(N1998="",NOT(O1998)),"invalid amount",IF(OR(AND(K1998="sale",N1998&lt;=0),AND(K1998="refund",N1998&gt;=0)),"invalid sign","")))))))))</f>
        <v/>
      </c>
      <c r="U1998" s="1" t="str">
        <f t="shared" si="253"/>
        <v>DUPLICATE</v>
      </c>
      <c r="V1998" s="1" t="str">
        <f t="shared" si="254"/>
        <v>2026-02</v>
      </c>
      <c r="W1998" s="1">
        <f>IF(AND(U1998="INCLUDED",X1998&gt;0,EXACT(A1998,'AI output'!A975)),1,0)</f>
        <v>0</v>
      </c>
      <c r="X1998" s="1">
        <f>975</f>
        <v>975</v>
      </c>
      <c r="Y1998" s="1">
        <f>IF(AND(U1998="INCLUDED",W1998=1),--(NOT(EXACT(A1998,'AI output'!A975)))+--(NOT(EXACT(B1998,'AI output'!B975)))+--(NOT(EXACT(TEXT(G1998,"yyyy-mm-dd"),'AI output'!C975)))+--(NOT(EXACT(H1998,'AI output'!D975)))+--(NOT(EXACT(J1998,'AI output'!E975)))+--(NOT(EXACT(K1998,'AI output'!F975)))+--(N1998&lt;&gt;'AI output'!L975)+--(NOT('AI output'!M975)),0)</f>
        <v>0</v>
      </c>
      <c r="Z1998" s="1">
        <f t="shared" si="255"/>
        <v>0</v>
      </c>
      <c r="AA1998" s="1">
        <f>--EXACT(A1998,"L00969")</f>
        <v>1</v>
      </c>
    </row>
    <row r="1999" spans="1:27" ht="18.95" customHeight="1">
      <c r="A1999" s="1" t="str">
        <f>IF(Raw!A1999="","",Raw!A1999)</f>
        <v>L01056</v>
      </c>
      <c r="B1999" s="1" t="str">
        <f>IF(Raw!B1999="","",Raw!B1999)</f>
        <v>T00528</v>
      </c>
      <c r="C1999" s="1" t="str">
        <f>IF(Raw!C1999="","",Raw!C1999)</f>
        <v>2026-03-31</v>
      </c>
      <c r="D1999" s="1">
        <f t="shared" si="248"/>
        <v>2026</v>
      </c>
      <c r="E1999" s="1">
        <f>IFERROR(IF(AND(LEN(C1999)=10,MID(C1999,5,1)="-",MID(C1999,8,1)="-"),VALUE(MID(C1999,6,2)),IF(AND(LEN(C1999)=11,MID(C1999,3,1)="-",MID(C1999,7,1)="-"),MATCH(UPPER(MID(C1999,4,3)),Guide!$D$7:$D$18,0),0)),0)</f>
        <v>3</v>
      </c>
      <c r="F1999" s="1">
        <f t="shared" si="249"/>
        <v>31</v>
      </c>
      <c r="G1999" s="9">
        <f t="shared" si="250"/>
        <v>46112</v>
      </c>
      <c r="H1999" s="1" t="str">
        <f>IF(Raw!D1999="","",Raw!D1999)</f>
        <v>P-O</v>
      </c>
      <c r="I1999" s="1" t="str">
        <f>IFERROR(IF(EXACT(H1999,INDEX(Guide!$A$7:$A$9,MATCH(SUBSTITUTE(SUBSTITUTE(SUBSTITUTE(H1999,"~","~~"),"*","~*"),"?","~?"),Guide!$A$7:$A$9,0))),INDEX(Guide!$B$7:$B$9,MATCH(SUBSTITUTE(SUBSTITUTE(SUBSTITUTE(H1999,"~","~~"),"*","~*"),"?","~?"),Guide!$A$7:$A$9,0)),""),"")</f>
        <v>Office</v>
      </c>
      <c r="J1999" s="1" t="str">
        <f>IF(TRIM(Raw!E1999)="",I1999,IF(UPPER(TRIM(Raw!E1999))=UPPER(I1999),I1999,""))</f>
        <v>Office</v>
      </c>
      <c r="K1999" s="1" t="str">
        <f>IF(Raw!F1999="","",Raw!F1999)</f>
        <v>sale</v>
      </c>
      <c r="L1999" s="1" t="str">
        <f>IF(LEFT(TRIM(Raw!G1999),2)="-$","-"&amp;MID(TRIM(Raw!G1999),3,99),IF(LEFT(TRIM(Raw!G1999),1)="$",MID(TRIM(Raw!G1999),2,99),TRIM(Raw!G1999)))</f>
        <v>35.34</v>
      </c>
      <c r="M1999" s="1">
        <f t="shared" si="251"/>
        <v>35.340000000000003</v>
      </c>
      <c r="N1999" s="10">
        <f t="shared" si="252"/>
        <v>3534</v>
      </c>
      <c r="O1999" s="1" t="b">
        <f>IFERROR(IF(ISNUMBER(Raw!G1999),TRUE,OR(EXACT(L1999,TEXT(M1999,"0.00")),EXACT(L1999,TEXT(M1999,"#,##0.00")))),FALSE)</f>
        <v>1</v>
      </c>
      <c r="P1999" s="1" t="str">
        <f>LEN(IF(Raw!A1999="","",Raw!A1999))&amp;":"&amp;IF(Raw!A1999="","",Raw!A1999)&amp;"|"&amp;LEN(IF(Raw!B1999="","",Raw!B1999))&amp;":"&amp;IF(Raw!B1999="","",Raw!B1999)&amp;"|"&amp;LEN(IF(Raw!C1999="","",Raw!C1999))&amp;":"&amp;IF(Raw!C1999="","",Raw!C1999)&amp;"|"&amp;LEN(IF(Raw!D1999="","",Raw!D1999))&amp;":"&amp;IF(Raw!D1999="","",Raw!D1999)&amp;"|"&amp;LEN(IF(Raw!E1999="","",Raw!E1999))&amp;":"&amp;IF(Raw!E1999="","",Raw!E1999)&amp;"|"&amp;LEN(IF(Raw!F1999="","",Raw!F1999))&amp;":"&amp;IF(Raw!F1999="","",Raw!F1999)&amp;"|"&amp;LEN(IF(Raw!G1999="","",Raw!G1999))&amp;":"&amp;IF(Raw!G1999="","",Raw!G1999)</f>
        <v>6:L01056|6:T00528|10:2026-03-31|3:P-O|6:Office|4:sale|5:35.34</v>
      </c>
      <c r="Q1999" s="1">
        <f>2</f>
        <v>2</v>
      </c>
      <c r="R1999" s="1" t="b">
        <f>OR(NOT(EXACT(P1999,P1062)))</f>
        <v>0</v>
      </c>
      <c r="S1999" s="1">
        <f>2</f>
        <v>2</v>
      </c>
      <c r="T1999" s="1" t="str">
        <f>IF(AND(Raw!A1999="",Raw!B1999="",Raw!C1999="",Raw!D1999="",Raw!E1999="",Raw!F1999="",Raw!G1999=""),"UNUSED",IF(A1999="","missing line ID",IF(B1999="","missing transaction ID",IF(G1999="",IF(C1999="","missing date","invalid date"),IF(I1999="","unknown product",IF(J1999="","conflicting category",IF(NOT(OR(EXACT(K1999,"sale"),EXACT(K1999,"refund"))),"unknown event",IF(OR(N1999="",NOT(O1999)),"invalid amount",IF(OR(AND(K1999="sale",N1999&lt;=0),AND(K1999="refund",N1999&gt;=0)),"invalid sign","")))))))))</f>
        <v/>
      </c>
      <c r="U1999" s="1" t="str">
        <f t="shared" si="253"/>
        <v>DUPLICATE</v>
      </c>
      <c r="V1999" s="1" t="str">
        <f t="shared" si="254"/>
        <v>2026-03</v>
      </c>
      <c r="W1999" s="1">
        <f>IF(AND(U1999="INCLUDED",X1999&gt;0,EXACT(A1999,'AI output'!A1062)),1,0)</f>
        <v>0</v>
      </c>
      <c r="X1999" s="1">
        <f>1062</f>
        <v>1062</v>
      </c>
      <c r="Y1999" s="1">
        <f>IF(AND(U1999="INCLUDED",W1999=1),--(NOT(EXACT(A1999,'AI output'!A1062)))+--(NOT(EXACT(B1999,'AI output'!B1062)))+--(NOT(EXACT(TEXT(G1999,"yyyy-mm-dd"),'AI output'!C1062)))+--(NOT(EXACT(H1999,'AI output'!D1062)))+--(NOT(EXACT(J1999,'AI output'!E1062)))+--(NOT(EXACT(K1999,'AI output'!F1062)))+--(N1999&lt;&gt;'AI output'!L1062)+--(NOT('AI output'!M1062)),0)</f>
        <v>0</v>
      </c>
      <c r="Z1999" s="1">
        <f t="shared" si="255"/>
        <v>0</v>
      </c>
      <c r="AA1999" s="1">
        <f>--EXACT(A1999,"L01056")</f>
        <v>1</v>
      </c>
    </row>
    <row r="2000" spans="1:27" ht="18.95" customHeight="1">
      <c r="A2000" s="1" t="str">
        <f>IF(Raw!A2000="","",Raw!A2000)</f>
        <v>L01143</v>
      </c>
      <c r="B2000" s="1" t="str">
        <f>IF(Raw!B2000="","",Raw!B2000)</f>
        <v>T00572</v>
      </c>
      <c r="C2000" s="1" t="str">
        <f>IF(Raw!C2000="","",Raw!C2000)</f>
        <v>2026-02-07</v>
      </c>
      <c r="D2000" s="1">
        <f t="shared" si="248"/>
        <v>2026</v>
      </c>
      <c r="E2000" s="1">
        <f>IFERROR(IF(AND(LEN(C2000)=10,MID(C2000,5,1)="-",MID(C2000,8,1)="-"),VALUE(MID(C2000,6,2)),IF(AND(LEN(C2000)=11,MID(C2000,3,1)="-",MID(C2000,7,1)="-"),MATCH(UPPER(MID(C2000,4,3)),Guide!$D$7:$D$18,0),0)),0)</f>
        <v>2</v>
      </c>
      <c r="F2000" s="1">
        <f t="shared" si="249"/>
        <v>7</v>
      </c>
      <c r="G2000" s="9">
        <f t="shared" si="250"/>
        <v>46060</v>
      </c>
      <c r="H2000" s="1" t="str">
        <f>IF(Raw!D2000="","",Raw!D2000)</f>
        <v>P-O</v>
      </c>
      <c r="I2000" s="1" t="str">
        <f>IFERROR(IF(EXACT(H2000,INDEX(Guide!$A$7:$A$9,MATCH(SUBSTITUTE(SUBSTITUTE(SUBSTITUTE(H2000,"~","~~"),"*","~*"),"?","~?"),Guide!$A$7:$A$9,0))),INDEX(Guide!$B$7:$B$9,MATCH(SUBSTITUTE(SUBSTITUTE(SUBSTITUTE(H2000,"~","~~"),"*","~*"),"?","~?"),Guide!$A$7:$A$9,0)),""),"")</f>
        <v>Office</v>
      </c>
      <c r="J2000" s="1" t="str">
        <f>IF(TRIM(Raw!E2000)="",I2000,IF(UPPER(TRIM(Raw!E2000))=UPPER(I2000),I2000,""))</f>
        <v>Office</v>
      </c>
      <c r="K2000" s="1" t="str">
        <f>IF(Raw!F2000="","",Raw!F2000)</f>
        <v>sale</v>
      </c>
      <c r="L2000" s="1" t="str">
        <f>IF(LEFT(TRIM(Raw!G2000),2)="-$","-"&amp;MID(TRIM(Raw!G2000),3,99),IF(LEFT(TRIM(Raw!G2000),1)="$",MID(TRIM(Raw!G2000),2,99),TRIM(Raw!G2000)))</f>
        <v>337.65</v>
      </c>
      <c r="M2000" s="1">
        <f t="shared" si="251"/>
        <v>337.65</v>
      </c>
      <c r="N2000" s="10">
        <f t="shared" si="252"/>
        <v>33765</v>
      </c>
      <c r="O2000" s="1" t="b">
        <f>IFERROR(IF(ISNUMBER(Raw!G2000),TRUE,OR(EXACT(L2000,TEXT(M2000,"0.00")),EXACT(L2000,TEXT(M2000,"#,##0.00")))),FALSE)</f>
        <v>1</v>
      </c>
      <c r="P2000" s="1" t="str">
        <f>LEN(IF(Raw!A2000="","",Raw!A2000))&amp;":"&amp;IF(Raw!A2000="","",Raw!A2000)&amp;"|"&amp;LEN(IF(Raw!B2000="","",Raw!B2000))&amp;":"&amp;IF(Raw!B2000="","",Raw!B2000)&amp;"|"&amp;LEN(IF(Raw!C2000="","",Raw!C2000))&amp;":"&amp;IF(Raw!C2000="","",Raw!C2000)&amp;"|"&amp;LEN(IF(Raw!D2000="","",Raw!D2000))&amp;":"&amp;IF(Raw!D2000="","",Raw!D2000)&amp;"|"&amp;LEN(IF(Raw!E2000="","",Raw!E2000))&amp;":"&amp;IF(Raw!E2000="","",Raw!E2000)&amp;"|"&amp;LEN(IF(Raw!F2000="","",Raw!F2000))&amp;":"&amp;IF(Raw!F2000="","",Raw!F2000)&amp;"|"&amp;LEN(IF(Raw!G2000="","",Raw!G2000))&amp;":"&amp;IF(Raw!G2000="","",Raw!G2000)</f>
        <v>6:L01143|6:T00572|10:2026-02-07|3:P-O|6:Office|4:sale|6:337.65</v>
      </c>
      <c r="Q2000" s="1">
        <f>2</f>
        <v>2</v>
      </c>
      <c r="R2000" s="1" t="b">
        <f>OR(NOT(EXACT(P2000,P1149)))</f>
        <v>0</v>
      </c>
      <c r="S2000" s="1">
        <f>2</f>
        <v>2</v>
      </c>
      <c r="T2000" s="1" t="str">
        <f>IF(AND(Raw!A2000="",Raw!B2000="",Raw!C2000="",Raw!D2000="",Raw!E2000="",Raw!F2000="",Raw!G2000=""),"UNUSED",IF(A2000="","missing line ID",IF(B2000="","missing transaction ID",IF(G2000="",IF(C2000="","missing date","invalid date"),IF(I2000="","unknown product",IF(J2000="","conflicting category",IF(NOT(OR(EXACT(K2000,"sale"),EXACT(K2000,"refund"))),"unknown event",IF(OR(N2000="",NOT(O2000)),"invalid amount",IF(OR(AND(K2000="sale",N2000&lt;=0),AND(K2000="refund",N2000&gt;=0)),"invalid sign","")))))))))</f>
        <v/>
      </c>
      <c r="U2000" s="1" t="str">
        <f t="shared" si="253"/>
        <v>DUPLICATE</v>
      </c>
      <c r="V2000" s="1" t="str">
        <f t="shared" si="254"/>
        <v>2026-02</v>
      </c>
      <c r="W2000" s="1">
        <f>IF(AND(U2000="INCLUDED",X2000&gt;0,EXACT(A2000,'AI output'!A1149)),1,0)</f>
        <v>0</v>
      </c>
      <c r="X2000" s="1">
        <f>1149</f>
        <v>1149</v>
      </c>
      <c r="Y2000" s="1">
        <f>IF(AND(U2000="INCLUDED",W2000=1),--(NOT(EXACT(A2000,'AI output'!A1149)))+--(NOT(EXACT(B2000,'AI output'!B1149)))+--(NOT(EXACT(TEXT(G2000,"yyyy-mm-dd"),'AI output'!C1149)))+--(NOT(EXACT(H2000,'AI output'!D1149)))+--(NOT(EXACT(J2000,'AI output'!E1149)))+--(NOT(EXACT(K2000,'AI output'!F1149)))+--(N2000&lt;&gt;'AI output'!L1149)+--(NOT('AI output'!M1149)),0)</f>
        <v>0</v>
      </c>
      <c r="Z2000" s="1">
        <f t="shared" si="255"/>
        <v>0</v>
      </c>
      <c r="AA2000" s="1">
        <f>--EXACT(A2000,"L01143")</f>
        <v>1</v>
      </c>
    </row>
    <row r="2001" spans="1:27" ht="18.95" customHeight="1">
      <c r="A2001" s="1" t="str">
        <f>IF(Raw!A2001="","",Raw!A2001)</f>
        <v>L01230</v>
      </c>
      <c r="B2001" s="1" t="str">
        <f>IF(Raw!B2001="","",Raw!B2001)</f>
        <v>T00615</v>
      </c>
      <c r="C2001" s="1" t="str">
        <f>IF(Raw!C2001="","",Raw!C2001)</f>
        <v>2026-03-10</v>
      </c>
      <c r="D2001" s="1">
        <f t="shared" si="248"/>
        <v>2026</v>
      </c>
      <c r="E2001" s="1">
        <f>IFERROR(IF(AND(LEN(C2001)=10,MID(C2001,5,1)="-",MID(C2001,8,1)="-"),VALUE(MID(C2001,6,2)),IF(AND(LEN(C2001)=11,MID(C2001,3,1)="-",MID(C2001,7,1)="-"),MATCH(UPPER(MID(C2001,4,3)),Guide!$D$7:$D$18,0),0)),0)</f>
        <v>3</v>
      </c>
      <c r="F2001" s="1">
        <f t="shared" si="249"/>
        <v>10</v>
      </c>
      <c r="G2001" s="9">
        <f t="shared" si="250"/>
        <v>46091</v>
      </c>
      <c r="H2001" s="1" t="str">
        <f>IF(Raw!D2001="","",Raw!D2001)</f>
        <v>P-O</v>
      </c>
      <c r="I2001" s="1" t="str">
        <f>IFERROR(IF(EXACT(H2001,INDEX(Guide!$A$7:$A$9,MATCH(SUBSTITUTE(SUBSTITUTE(SUBSTITUTE(H2001,"~","~~"),"*","~*"),"?","~?"),Guide!$A$7:$A$9,0))),INDEX(Guide!$B$7:$B$9,MATCH(SUBSTITUTE(SUBSTITUTE(SUBSTITUTE(H2001,"~","~~"),"*","~*"),"?","~?"),Guide!$A$7:$A$9,0)),""),"")</f>
        <v>Office</v>
      </c>
      <c r="J2001" s="1" t="str">
        <f>IF(TRIM(Raw!E2001)="",I2001,IF(UPPER(TRIM(Raw!E2001))=UPPER(I2001),I2001,""))</f>
        <v>Office</v>
      </c>
      <c r="K2001" s="1" t="str">
        <f>IF(Raw!F2001="","",Raw!F2001)</f>
        <v>sale</v>
      </c>
      <c r="L2001" s="1" t="str">
        <f>IF(LEFT(TRIM(Raw!G2001),2)="-$","-"&amp;MID(TRIM(Raw!G2001),3,99),IF(LEFT(TRIM(Raw!G2001),1)="$",MID(TRIM(Raw!G2001),2,99),TRIM(Raw!G2001)))</f>
        <v>398.88</v>
      </c>
      <c r="M2001" s="1">
        <f t="shared" si="251"/>
        <v>398.88</v>
      </c>
      <c r="N2001" s="10">
        <f t="shared" si="252"/>
        <v>39888</v>
      </c>
      <c r="O2001" s="1" t="b">
        <f>IFERROR(IF(ISNUMBER(Raw!G2001),TRUE,OR(EXACT(L2001,TEXT(M2001,"0.00")),EXACT(L2001,TEXT(M2001,"#,##0.00")))),FALSE)</f>
        <v>1</v>
      </c>
      <c r="P2001" s="1" t="str">
        <f>LEN(IF(Raw!A2001="","",Raw!A2001))&amp;":"&amp;IF(Raw!A2001="","",Raw!A2001)&amp;"|"&amp;LEN(IF(Raw!B2001="","",Raw!B2001))&amp;":"&amp;IF(Raw!B2001="","",Raw!B2001)&amp;"|"&amp;LEN(IF(Raw!C2001="","",Raw!C2001))&amp;":"&amp;IF(Raw!C2001="","",Raw!C2001)&amp;"|"&amp;LEN(IF(Raw!D2001="","",Raw!D2001))&amp;":"&amp;IF(Raw!D2001="","",Raw!D2001)&amp;"|"&amp;LEN(IF(Raw!E2001="","",Raw!E2001))&amp;":"&amp;IF(Raw!E2001="","",Raw!E2001)&amp;"|"&amp;LEN(IF(Raw!F2001="","",Raw!F2001))&amp;":"&amp;IF(Raw!F2001="","",Raw!F2001)&amp;"|"&amp;LEN(IF(Raw!G2001="","",Raw!G2001))&amp;":"&amp;IF(Raw!G2001="","",Raw!G2001)</f>
        <v>6:L01230|6:T00615|10:2026-03-10|3:P-O|6:Office|4:sale|6:398.88</v>
      </c>
      <c r="Q2001" s="1">
        <f>2</f>
        <v>2</v>
      </c>
      <c r="R2001" s="1" t="b">
        <f>OR(NOT(EXACT(P2001,P1236)))</f>
        <v>0</v>
      </c>
      <c r="S2001" s="1">
        <f>2</f>
        <v>2</v>
      </c>
      <c r="T2001" s="1" t="str">
        <f>IF(AND(Raw!A2001="",Raw!B2001="",Raw!C2001="",Raw!D2001="",Raw!E2001="",Raw!F2001="",Raw!G2001=""),"UNUSED",IF(A2001="","missing line ID",IF(B2001="","missing transaction ID",IF(G2001="",IF(C2001="","missing date","invalid date"),IF(I2001="","unknown product",IF(J2001="","conflicting category",IF(NOT(OR(EXACT(K2001,"sale"),EXACT(K2001,"refund"))),"unknown event",IF(OR(N2001="",NOT(O2001)),"invalid amount",IF(OR(AND(K2001="sale",N2001&lt;=0),AND(K2001="refund",N2001&gt;=0)),"invalid sign","")))))))))</f>
        <v/>
      </c>
      <c r="U2001" s="1" t="str">
        <f t="shared" si="253"/>
        <v>DUPLICATE</v>
      </c>
      <c r="V2001" s="1" t="str">
        <f t="shared" si="254"/>
        <v>2026-03</v>
      </c>
      <c r="W2001" s="1">
        <f>IF(AND(U2001="INCLUDED",X2001&gt;0,EXACT(A2001,'AI output'!A1236)),1,0)</f>
        <v>0</v>
      </c>
      <c r="X2001" s="1">
        <f>1236</f>
        <v>1236</v>
      </c>
      <c r="Y2001" s="1">
        <f>IF(AND(U2001="INCLUDED",W2001=1),--(NOT(EXACT(A2001,'AI output'!A1236)))+--(NOT(EXACT(B2001,'AI output'!B1236)))+--(NOT(EXACT(TEXT(G2001,"yyyy-mm-dd"),'AI output'!C1236)))+--(NOT(EXACT(H2001,'AI output'!D1236)))+--(NOT(EXACT(J2001,'AI output'!E1236)))+--(NOT(EXACT(K2001,'AI output'!F1236)))+--(N2001&lt;&gt;'AI output'!L1236)+--(NOT('AI output'!M1236)),0)</f>
        <v>0</v>
      </c>
      <c r="Z2001" s="1">
        <f t="shared" si="255"/>
        <v>0</v>
      </c>
      <c r="AA2001" s="1">
        <f>--EXACT(A2001,"L01230")</f>
        <v>1</v>
      </c>
    </row>
    <row r="2002" spans="1:27" ht="18.95" customHeight="1">
      <c r="A2002" s="1" t="str">
        <f>IF(Raw!A2002="","",Raw!A2002)</f>
        <v>L01317</v>
      </c>
      <c r="B2002" s="1" t="str">
        <f>IF(Raw!B2002="","",Raw!B2002)</f>
        <v>T00659</v>
      </c>
      <c r="C2002" s="1" t="str">
        <f>IF(Raw!C2002="","",Raw!C2002)</f>
        <v>2026-01-17</v>
      </c>
      <c r="D2002" s="1">
        <f t="shared" si="248"/>
        <v>2026</v>
      </c>
      <c r="E2002" s="1">
        <f>IFERROR(IF(AND(LEN(C2002)=10,MID(C2002,5,1)="-",MID(C2002,8,1)="-"),VALUE(MID(C2002,6,2)),IF(AND(LEN(C2002)=11,MID(C2002,3,1)="-",MID(C2002,7,1)="-"),MATCH(UPPER(MID(C2002,4,3)),Guide!$D$7:$D$18,0),0)),0)</f>
        <v>1</v>
      </c>
      <c r="F2002" s="1">
        <f t="shared" si="249"/>
        <v>17</v>
      </c>
      <c r="G2002" s="9">
        <f t="shared" si="250"/>
        <v>46039</v>
      </c>
      <c r="H2002" s="1" t="str">
        <f>IF(Raw!D2002="","",Raw!D2002)</f>
        <v>P-O</v>
      </c>
      <c r="I2002" s="1" t="str">
        <f>IFERROR(IF(EXACT(H2002,INDEX(Guide!$A$7:$A$9,MATCH(SUBSTITUTE(SUBSTITUTE(SUBSTITUTE(H2002,"~","~~"),"*","~*"),"?","~?"),Guide!$A$7:$A$9,0))),INDEX(Guide!$B$7:$B$9,MATCH(SUBSTITUTE(SUBSTITUTE(SUBSTITUTE(H2002,"~","~~"),"*","~*"),"?","~?"),Guide!$A$7:$A$9,0)),""),"")</f>
        <v>Office</v>
      </c>
      <c r="J2002" s="1" t="str">
        <f>IF(TRIM(Raw!E2002)="",I2002,IF(UPPER(TRIM(Raw!E2002))=UPPER(I2002),I2002,""))</f>
        <v>Office</v>
      </c>
      <c r="K2002" s="1" t="str">
        <f>IF(Raw!F2002="","",Raw!F2002)</f>
        <v>sale</v>
      </c>
      <c r="L2002" s="1" t="str">
        <f>IF(LEFT(TRIM(Raw!G2002),2)="-$","-"&amp;MID(TRIM(Raw!G2002),3,99),IF(LEFT(TRIM(Raw!G2002),1)="$",MID(TRIM(Raw!G2002),2,99),TRIM(Raw!G2002)))</f>
        <v>35.73</v>
      </c>
      <c r="M2002" s="1">
        <f t="shared" si="251"/>
        <v>35.729999999999997</v>
      </c>
      <c r="N2002" s="10">
        <f t="shared" si="252"/>
        <v>3573</v>
      </c>
      <c r="O2002" s="1" t="b">
        <f>IFERROR(IF(ISNUMBER(Raw!G2002),TRUE,OR(EXACT(L2002,TEXT(M2002,"0.00")),EXACT(L2002,TEXT(M2002,"#,##0.00")))),FALSE)</f>
        <v>1</v>
      </c>
      <c r="P2002" s="1" t="str">
        <f>LEN(IF(Raw!A2002="","",Raw!A2002))&amp;":"&amp;IF(Raw!A2002="","",Raw!A2002)&amp;"|"&amp;LEN(IF(Raw!B2002="","",Raw!B2002))&amp;":"&amp;IF(Raw!B2002="","",Raw!B2002)&amp;"|"&amp;LEN(IF(Raw!C2002="","",Raw!C2002))&amp;":"&amp;IF(Raw!C2002="","",Raw!C2002)&amp;"|"&amp;LEN(IF(Raw!D2002="","",Raw!D2002))&amp;":"&amp;IF(Raw!D2002="","",Raw!D2002)&amp;"|"&amp;LEN(IF(Raw!E2002="","",Raw!E2002))&amp;":"&amp;IF(Raw!E2002="","",Raw!E2002)&amp;"|"&amp;LEN(IF(Raw!F2002="","",Raw!F2002))&amp;":"&amp;IF(Raw!F2002="","",Raw!F2002)&amp;"|"&amp;LEN(IF(Raw!G2002="","",Raw!G2002))&amp;":"&amp;IF(Raw!G2002="","",Raw!G2002)</f>
        <v>6:L01317|6:T00659|10:2026-01-17|3:P-O|6:Office|4:sale|5:35.73</v>
      </c>
      <c r="Q2002" s="1">
        <f>2</f>
        <v>2</v>
      </c>
      <c r="R2002" s="1" t="b">
        <f>OR(NOT(EXACT(P2002,P1323)))</f>
        <v>0</v>
      </c>
      <c r="S2002" s="1">
        <f>2</f>
        <v>2</v>
      </c>
      <c r="T2002" s="1" t="str">
        <f>IF(AND(Raw!A2002="",Raw!B2002="",Raw!C2002="",Raw!D2002="",Raw!E2002="",Raw!F2002="",Raw!G2002=""),"UNUSED",IF(A2002="","missing line ID",IF(B2002="","missing transaction ID",IF(G2002="",IF(C2002="","missing date","invalid date"),IF(I2002="","unknown product",IF(J2002="","conflicting category",IF(NOT(OR(EXACT(K2002,"sale"),EXACT(K2002,"refund"))),"unknown event",IF(OR(N2002="",NOT(O2002)),"invalid amount",IF(OR(AND(K2002="sale",N2002&lt;=0),AND(K2002="refund",N2002&gt;=0)),"invalid sign","")))))))))</f>
        <v/>
      </c>
      <c r="U2002" s="1" t="str">
        <f t="shared" si="253"/>
        <v>DUPLICATE</v>
      </c>
      <c r="V2002" s="1" t="str">
        <f t="shared" si="254"/>
        <v>2026-01</v>
      </c>
      <c r="W2002" s="1">
        <f>IF(AND(U2002="INCLUDED",X2002&gt;0,EXACT(A2002,'AI output'!A1323)),1,0)</f>
        <v>0</v>
      </c>
      <c r="X2002" s="1">
        <f>1323</f>
        <v>1323</v>
      </c>
      <c r="Y2002" s="1">
        <f>IF(AND(U2002="INCLUDED",W2002=1),--(NOT(EXACT(A2002,'AI output'!A1323)))+--(NOT(EXACT(B2002,'AI output'!B1323)))+--(NOT(EXACT(TEXT(G2002,"yyyy-mm-dd"),'AI output'!C1323)))+--(NOT(EXACT(H2002,'AI output'!D1323)))+--(NOT(EXACT(J2002,'AI output'!E1323)))+--(NOT(EXACT(K2002,'AI output'!F1323)))+--(N2002&lt;&gt;'AI output'!L1323)+--(NOT('AI output'!M1323)),0)</f>
        <v>0</v>
      </c>
      <c r="Z2002" s="1">
        <f t="shared" si="255"/>
        <v>0</v>
      </c>
      <c r="AA2002" s="1">
        <f>--EXACT(A2002,"L01317")</f>
        <v>1</v>
      </c>
    </row>
    <row r="2003" spans="1:27" ht="18.95" customHeight="1">
      <c r="A2003" s="1" t="str">
        <f>IF(Raw!A2003="","",Raw!A2003)</f>
        <v>L01404</v>
      </c>
      <c r="B2003" s="1" t="str">
        <f>IF(Raw!B2003="","",Raw!B2003)</f>
        <v>T00702</v>
      </c>
      <c r="C2003" s="1" t="str">
        <f>IF(Raw!C2003="","",Raw!C2003)</f>
        <v>17-Feb-2026</v>
      </c>
      <c r="D2003" s="1">
        <f t="shared" si="248"/>
        <v>2026</v>
      </c>
      <c r="E2003" s="1">
        <f>IFERROR(IF(AND(LEN(C2003)=10,MID(C2003,5,1)="-",MID(C2003,8,1)="-"),VALUE(MID(C2003,6,2)),IF(AND(LEN(C2003)=11,MID(C2003,3,1)="-",MID(C2003,7,1)="-"),MATCH(UPPER(MID(C2003,4,3)),Guide!$D$7:$D$18,0),0)),0)</f>
        <v>2</v>
      </c>
      <c r="F2003" s="1">
        <f t="shared" si="249"/>
        <v>17</v>
      </c>
      <c r="G2003" s="9">
        <f t="shared" si="250"/>
        <v>46070</v>
      </c>
      <c r="H2003" s="1" t="str">
        <f>IF(Raw!D2003="","",Raw!D2003)</f>
        <v>P-O</v>
      </c>
      <c r="I2003" s="1" t="str">
        <f>IFERROR(IF(EXACT(H2003,INDEX(Guide!$A$7:$A$9,MATCH(SUBSTITUTE(SUBSTITUTE(SUBSTITUTE(H2003,"~","~~"),"*","~*"),"?","~?"),Guide!$A$7:$A$9,0))),INDEX(Guide!$B$7:$B$9,MATCH(SUBSTITUTE(SUBSTITUTE(SUBSTITUTE(H2003,"~","~~"),"*","~*"),"?","~?"),Guide!$A$7:$A$9,0)),""),"")</f>
        <v>Office</v>
      </c>
      <c r="J2003" s="1" t="str">
        <f>IF(TRIM(Raw!E2003)="",I2003,IF(UPPER(TRIM(Raw!E2003))=UPPER(I2003),I2003,""))</f>
        <v>Office</v>
      </c>
      <c r="K2003" s="1" t="str">
        <f>IF(Raw!F2003="","",Raw!F2003)</f>
        <v>refund</v>
      </c>
      <c r="L2003" s="1" t="str">
        <f>IF(LEFT(TRIM(Raw!G2003),2)="-$","-"&amp;MID(TRIM(Raw!G2003),3,99),IF(LEFT(TRIM(Raw!G2003),1)="$",MID(TRIM(Raw!G2003),2,99),TRIM(Raw!G2003)))</f>
        <v>-88.20</v>
      </c>
      <c r="M2003" s="1">
        <f t="shared" si="251"/>
        <v>-88.2</v>
      </c>
      <c r="N2003" s="10">
        <f t="shared" si="252"/>
        <v>-8820</v>
      </c>
      <c r="O2003" s="1" t="b">
        <f>IFERROR(IF(ISNUMBER(Raw!G2003),TRUE,OR(EXACT(L2003,TEXT(M2003,"0.00")),EXACT(L2003,TEXT(M2003,"#,##0.00")))),FALSE)</f>
        <v>1</v>
      </c>
      <c r="P2003" s="1" t="str">
        <f>LEN(IF(Raw!A2003="","",Raw!A2003))&amp;":"&amp;IF(Raw!A2003="","",Raw!A2003)&amp;"|"&amp;LEN(IF(Raw!B2003="","",Raw!B2003))&amp;":"&amp;IF(Raw!B2003="","",Raw!B2003)&amp;"|"&amp;LEN(IF(Raw!C2003="","",Raw!C2003))&amp;":"&amp;IF(Raw!C2003="","",Raw!C2003)&amp;"|"&amp;LEN(IF(Raw!D2003="","",Raw!D2003))&amp;":"&amp;IF(Raw!D2003="","",Raw!D2003)&amp;"|"&amp;LEN(IF(Raw!E2003="","",Raw!E2003))&amp;":"&amp;IF(Raw!E2003="","",Raw!E2003)&amp;"|"&amp;LEN(IF(Raw!F2003="","",Raw!F2003))&amp;":"&amp;IF(Raw!F2003="","",Raw!F2003)&amp;"|"&amp;LEN(IF(Raw!G2003="","",Raw!G2003))&amp;":"&amp;IF(Raw!G2003="","",Raw!G2003)</f>
        <v>6:L01404|6:T00702|11:17-Feb-2026|3:P-O|6:Office|6:refund|6:-88.20</v>
      </c>
      <c r="Q2003" s="1">
        <f>2</f>
        <v>2</v>
      </c>
      <c r="R2003" s="1" t="b">
        <f>OR(NOT(EXACT(P2003,P1410)))</f>
        <v>0</v>
      </c>
      <c r="S2003" s="1">
        <f>2</f>
        <v>2</v>
      </c>
      <c r="T2003" s="1" t="str">
        <f>IF(AND(Raw!A2003="",Raw!B2003="",Raw!C2003="",Raw!D2003="",Raw!E2003="",Raw!F2003="",Raw!G2003=""),"UNUSED",IF(A2003="","missing line ID",IF(B2003="","missing transaction ID",IF(G2003="",IF(C2003="","missing date","invalid date"),IF(I2003="","unknown product",IF(J2003="","conflicting category",IF(NOT(OR(EXACT(K2003,"sale"),EXACT(K2003,"refund"))),"unknown event",IF(OR(N2003="",NOT(O2003)),"invalid amount",IF(OR(AND(K2003="sale",N2003&lt;=0),AND(K2003="refund",N2003&gt;=0)),"invalid sign","")))))))))</f>
        <v/>
      </c>
      <c r="U2003" s="1" t="str">
        <f t="shared" si="253"/>
        <v>DUPLICATE</v>
      </c>
      <c r="V2003" s="1" t="str">
        <f t="shared" si="254"/>
        <v>2026-02</v>
      </c>
      <c r="W2003" s="1">
        <f>IF(AND(U2003="INCLUDED",X2003&gt;0,EXACT(A2003,'AI output'!A1410)),1,0)</f>
        <v>0</v>
      </c>
      <c r="X2003" s="1">
        <f>1410</f>
        <v>1410</v>
      </c>
      <c r="Y2003" s="1">
        <f>IF(AND(U2003="INCLUDED",W2003=1),--(NOT(EXACT(A2003,'AI output'!A1410)))+--(NOT(EXACT(B2003,'AI output'!B1410)))+--(NOT(EXACT(TEXT(G2003,"yyyy-mm-dd"),'AI output'!C1410)))+--(NOT(EXACT(H2003,'AI output'!D1410)))+--(NOT(EXACT(J2003,'AI output'!E1410)))+--(NOT(EXACT(K2003,'AI output'!F1410)))+--(N2003&lt;&gt;'AI output'!L1410)+--(NOT('AI output'!M1410)),0)</f>
        <v>0</v>
      </c>
      <c r="Z2003" s="1">
        <f t="shared" si="255"/>
        <v>0</v>
      </c>
      <c r="AA2003" s="1">
        <f>--EXACT(A2003,"L01404")</f>
        <v>1</v>
      </c>
    </row>
    <row r="2004" spans="1:27" ht="18.95" customHeight="1">
      <c r="A2004" s="1" t="str">
        <f>IF(Raw!A2004="","",Raw!A2004)</f>
        <v>L01491</v>
      </c>
      <c r="B2004" s="1" t="str">
        <f>IF(Raw!B2004="","",Raw!B2004)</f>
        <v>T00746</v>
      </c>
      <c r="C2004" s="1" t="str">
        <f>IF(Raw!C2004="","",Raw!C2004)</f>
        <v>2026-03-27</v>
      </c>
      <c r="D2004" s="1">
        <f t="shared" si="248"/>
        <v>2026</v>
      </c>
      <c r="E2004" s="1">
        <f>IFERROR(IF(AND(LEN(C2004)=10,MID(C2004,5,1)="-",MID(C2004,8,1)="-"),VALUE(MID(C2004,6,2)),IF(AND(LEN(C2004)=11,MID(C2004,3,1)="-",MID(C2004,7,1)="-"),MATCH(UPPER(MID(C2004,4,3)),Guide!$D$7:$D$18,0),0)),0)</f>
        <v>3</v>
      </c>
      <c r="F2004" s="1">
        <f t="shared" si="249"/>
        <v>27</v>
      </c>
      <c r="G2004" s="9">
        <f t="shared" si="250"/>
        <v>46108</v>
      </c>
      <c r="H2004" s="1" t="str">
        <f>IF(Raw!D2004="","",Raw!D2004)</f>
        <v>P-O</v>
      </c>
      <c r="I2004" s="1" t="str">
        <f>IFERROR(IF(EXACT(H2004,INDEX(Guide!$A$7:$A$9,MATCH(SUBSTITUTE(SUBSTITUTE(SUBSTITUTE(H2004,"~","~~"),"*","~*"),"?","~?"),Guide!$A$7:$A$9,0))),INDEX(Guide!$B$7:$B$9,MATCH(SUBSTITUTE(SUBSTITUTE(SUBSTITUTE(H2004,"~","~~"),"*","~*"),"?","~?"),Guide!$A$7:$A$9,0)),""),"")</f>
        <v>Office</v>
      </c>
      <c r="J2004" s="1" t="str">
        <f>IF(TRIM(Raw!E2004)="",I2004,IF(UPPER(TRIM(Raw!E2004))=UPPER(I2004),I2004,""))</f>
        <v>Office</v>
      </c>
      <c r="K2004" s="1" t="str">
        <f>IF(Raw!F2004="","",Raw!F2004)</f>
        <v>sale</v>
      </c>
      <c r="L2004" s="1" t="str">
        <f>IF(LEFT(TRIM(Raw!G2004),2)="-$","-"&amp;MID(TRIM(Raw!G2004),3,99),IF(LEFT(TRIM(Raw!G2004),1)="$",MID(TRIM(Raw!G2004),2,99),TRIM(Raw!G2004)))</f>
        <v>76.29</v>
      </c>
      <c r="M2004" s="1">
        <f t="shared" si="251"/>
        <v>76.290000000000006</v>
      </c>
      <c r="N2004" s="10">
        <f t="shared" si="252"/>
        <v>7629</v>
      </c>
      <c r="O2004" s="1" t="b">
        <f>IFERROR(IF(ISNUMBER(Raw!G2004),TRUE,OR(EXACT(L2004,TEXT(M2004,"0.00")),EXACT(L2004,TEXT(M2004,"#,##0.00")))),FALSE)</f>
        <v>1</v>
      </c>
      <c r="P2004" s="1" t="str">
        <f>LEN(IF(Raw!A2004="","",Raw!A2004))&amp;":"&amp;IF(Raw!A2004="","",Raw!A2004)&amp;"|"&amp;LEN(IF(Raw!B2004="","",Raw!B2004))&amp;":"&amp;IF(Raw!B2004="","",Raw!B2004)&amp;"|"&amp;LEN(IF(Raw!C2004="","",Raw!C2004))&amp;":"&amp;IF(Raw!C2004="","",Raw!C2004)&amp;"|"&amp;LEN(IF(Raw!D2004="","",Raw!D2004))&amp;":"&amp;IF(Raw!D2004="","",Raw!D2004)&amp;"|"&amp;LEN(IF(Raw!E2004="","",Raw!E2004))&amp;":"&amp;IF(Raw!E2004="","",Raw!E2004)&amp;"|"&amp;LEN(IF(Raw!F2004="","",Raw!F2004))&amp;":"&amp;IF(Raw!F2004="","",Raw!F2004)&amp;"|"&amp;LEN(IF(Raw!G2004="","",Raw!G2004))&amp;":"&amp;IF(Raw!G2004="","",Raw!G2004)</f>
        <v>6:L01491|6:T00746|10:2026-03-27|3:P-O|6:Office|4:sale|5:76.29</v>
      </c>
      <c r="Q2004" s="1">
        <f>2</f>
        <v>2</v>
      </c>
      <c r="R2004" s="1" t="b">
        <f>OR(NOT(EXACT(P2004,P1497)))</f>
        <v>0</v>
      </c>
      <c r="S2004" s="1">
        <f>2</f>
        <v>2</v>
      </c>
      <c r="T2004" s="1" t="str">
        <f>IF(AND(Raw!A2004="",Raw!B2004="",Raw!C2004="",Raw!D2004="",Raw!E2004="",Raw!F2004="",Raw!G2004=""),"UNUSED",IF(A2004="","missing line ID",IF(B2004="","missing transaction ID",IF(G2004="",IF(C2004="","missing date","invalid date"),IF(I2004="","unknown product",IF(J2004="","conflicting category",IF(NOT(OR(EXACT(K2004,"sale"),EXACT(K2004,"refund"))),"unknown event",IF(OR(N2004="",NOT(O2004)),"invalid amount",IF(OR(AND(K2004="sale",N2004&lt;=0),AND(K2004="refund",N2004&gt;=0)),"invalid sign","")))))))))</f>
        <v/>
      </c>
      <c r="U2004" s="1" t="str">
        <f t="shared" si="253"/>
        <v>DUPLICATE</v>
      </c>
      <c r="V2004" s="1" t="str">
        <f t="shared" si="254"/>
        <v>2026-03</v>
      </c>
      <c r="W2004" s="1">
        <f>IF(AND(U2004="INCLUDED",X2004&gt;0,EXACT(A2004,'AI output'!A1497)),1,0)</f>
        <v>0</v>
      </c>
      <c r="X2004" s="1">
        <f>1497</f>
        <v>1497</v>
      </c>
      <c r="Y2004" s="1">
        <f>IF(AND(U2004="INCLUDED",W2004=1),--(NOT(EXACT(A2004,'AI output'!A1497)))+--(NOT(EXACT(B2004,'AI output'!B1497)))+--(NOT(EXACT(TEXT(G2004,"yyyy-mm-dd"),'AI output'!C1497)))+--(NOT(EXACT(H2004,'AI output'!D1497)))+--(NOT(EXACT(J2004,'AI output'!E1497)))+--(NOT(EXACT(K2004,'AI output'!F1497)))+--(N2004&lt;&gt;'AI output'!L1497)+--(NOT('AI output'!M1497)),0)</f>
        <v>0</v>
      </c>
      <c r="Z2004" s="1">
        <f t="shared" si="255"/>
        <v>0</v>
      </c>
      <c r="AA2004" s="1">
        <f>--EXACT(A2004,"L01491")</f>
        <v>1</v>
      </c>
    </row>
    <row r="2005" spans="1:27" ht="18.95" customHeight="1">
      <c r="A2005" s="1" t="str">
        <f>IF(Raw!A2005="","",Raw!A2005)</f>
        <v>L01578</v>
      </c>
      <c r="B2005" s="1" t="str">
        <f>IF(Raw!B2005="","",Raw!B2005)</f>
        <v>T00789</v>
      </c>
      <c r="C2005" s="1" t="str">
        <f>IF(Raw!C2005="","",Raw!C2005)</f>
        <v>2026-01-27</v>
      </c>
      <c r="D2005" s="1">
        <f t="shared" si="248"/>
        <v>2026</v>
      </c>
      <c r="E2005" s="1">
        <f>IFERROR(IF(AND(LEN(C2005)=10,MID(C2005,5,1)="-",MID(C2005,8,1)="-"),VALUE(MID(C2005,6,2)),IF(AND(LEN(C2005)=11,MID(C2005,3,1)="-",MID(C2005,7,1)="-"),MATCH(UPPER(MID(C2005,4,3)),Guide!$D$7:$D$18,0),0)),0)</f>
        <v>1</v>
      </c>
      <c r="F2005" s="1">
        <f t="shared" si="249"/>
        <v>27</v>
      </c>
      <c r="G2005" s="9">
        <f t="shared" si="250"/>
        <v>46049</v>
      </c>
      <c r="H2005" s="1" t="str">
        <f>IF(Raw!D2005="","",Raw!D2005)</f>
        <v>P-O</v>
      </c>
      <c r="I2005" s="1" t="str">
        <f>IFERROR(IF(EXACT(H2005,INDEX(Guide!$A$7:$A$9,MATCH(SUBSTITUTE(SUBSTITUTE(SUBSTITUTE(H2005,"~","~~"),"*","~*"),"?","~?"),Guide!$A$7:$A$9,0))),INDEX(Guide!$B$7:$B$9,MATCH(SUBSTITUTE(SUBSTITUTE(SUBSTITUTE(H2005,"~","~~"),"*","~*"),"?","~?"),Guide!$A$7:$A$9,0)),""),"")</f>
        <v>Office</v>
      </c>
      <c r="J2005" s="1" t="str">
        <f>IF(TRIM(Raw!E2005)="",I2005,IF(UPPER(TRIM(Raw!E2005))=UPPER(I2005),I2005,""))</f>
        <v>Office</v>
      </c>
      <c r="K2005" s="1" t="str">
        <f>IF(Raw!F2005="","",Raw!F2005)</f>
        <v>sale</v>
      </c>
      <c r="L2005" s="1" t="str">
        <f>IF(LEFT(TRIM(Raw!G2005),2)="-$","-"&amp;MID(TRIM(Raw!G2005),3,99),IF(LEFT(TRIM(Raw!G2005),1)="$",MID(TRIM(Raw!G2005),2,99),TRIM(Raw!G2005)))</f>
        <v>542.40</v>
      </c>
      <c r="M2005" s="1">
        <f t="shared" si="251"/>
        <v>542.4</v>
      </c>
      <c r="N2005" s="10">
        <f t="shared" si="252"/>
        <v>54240</v>
      </c>
      <c r="O2005" s="1" t="b">
        <f>IFERROR(IF(ISNUMBER(Raw!G2005),TRUE,OR(EXACT(L2005,TEXT(M2005,"0.00")),EXACT(L2005,TEXT(M2005,"#,##0.00")))),FALSE)</f>
        <v>1</v>
      </c>
      <c r="P2005" s="1" t="str">
        <f>LEN(IF(Raw!A2005="","",Raw!A2005))&amp;":"&amp;IF(Raw!A2005="","",Raw!A2005)&amp;"|"&amp;LEN(IF(Raw!B2005="","",Raw!B2005))&amp;":"&amp;IF(Raw!B2005="","",Raw!B2005)&amp;"|"&amp;LEN(IF(Raw!C2005="","",Raw!C2005))&amp;":"&amp;IF(Raw!C2005="","",Raw!C2005)&amp;"|"&amp;LEN(IF(Raw!D2005="","",Raw!D2005))&amp;":"&amp;IF(Raw!D2005="","",Raw!D2005)&amp;"|"&amp;LEN(IF(Raw!E2005="","",Raw!E2005))&amp;":"&amp;IF(Raw!E2005="","",Raw!E2005)&amp;"|"&amp;LEN(IF(Raw!F2005="","",Raw!F2005))&amp;":"&amp;IF(Raw!F2005="","",Raw!F2005)&amp;"|"&amp;LEN(IF(Raw!G2005="","",Raw!G2005))&amp;":"&amp;IF(Raw!G2005="","",Raw!G2005)</f>
        <v>6:L01578|6:T00789|10:2026-01-27|3:P-O|6:Office|4:sale|6:542.40</v>
      </c>
      <c r="Q2005" s="1">
        <f>2</f>
        <v>2</v>
      </c>
      <c r="R2005" s="1" t="b">
        <f>OR(NOT(EXACT(P2005,P1584)))</f>
        <v>0</v>
      </c>
      <c r="S2005" s="1">
        <f>2</f>
        <v>2</v>
      </c>
      <c r="T2005" s="1" t="str">
        <f>IF(AND(Raw!A2005="",Raw!B2005="",Raw!C2005="",Raw!D2005="",Raw!E2005="",Raw!F2005="",Raw!G2005=""),"UNUSED",IF(A2005="","missing line ID",IF(B2005="","missing transaction ID",IF(G2005="",IF(C2005="","missing date","invalid date"),IF(I2005="","unknown product",IF(J2005="","conflicting category",IF(NOT(OR(EXACT(K2005,"sale"),EXACT(K2005,"refund"))),"unknown event",IF(OR(N2005="",NOT(O2005)),"invalid amount",IF(OR(AND(K2005="sale",N2005&lt;=0),AND(K2005="refund",N2005&gt;=0)),"invalid sign","")))))))))</f>
        <v/>
      </c>
      <c r="U2005" s="1" t="str">
        <f t="shared" si="253"/>
        <v>DUPLICATE</v>
      </c>
      <c r="V2005" s="1" t="str">
        <f t="shared" si="254"/>
        <v>2026-01</v>
      </c>
      <c r="W2005" s="1">
        <f>IF(AND(U2005="INCLUDED",X2005&gt;0,EXACT(A2005,'AI output'!A1584)),1,0)</f>
        <v>0</v>
      </c>
      <c r="X2005" s="1">
        <f>1584</f>
        <v>1584</v>
      </c>
      <c r="Y2005" s="1">
        <f>IF(AND(U2005="INCLUDED",W2005=1),--(NOT(EXACT(A2005,'AI output'!A1584)))+--(NOT(EXACT(B2005,'AI output'!B1584)))+--(NOT(EXACT(TEXT(G2005,"yyyy-mm-dd"),'AI output'!C1584)))+--(NOT(EXACT(H2005,'AI output'!D1584)))+--(NOT(EXACT(J2005,'AI output'!E1584)))+--(NOT(EXACT(K2005,'AI output'!F1584)))+--(N2005&lt;&gt;'AI output'!L1584)+--(NOT('AI output'!M1584)),0)</f>
        <v>0</v>
      </c>
      <c r="Z2005" s="1">
        <f t="shared" si="255"/>
        <v>0</v>
      </c>
      <c r="AA2005" s="1">
        <f>--EXACT(A2005,"L01578")</f>
        <v>1</v>
      </c>
    </row>
    <row r="2006" spans="1:27" ht="18.95" customHeight="1">
      <c r="A2006" s="1" t="str">
        <f>IF(Raw!A2006="","",Raw!A2006)</f>
        <v>L01665</v>
      </c>
      <c r="B2006" s="1" t="str">
        <f>IF(Raw!B2006="","",Raw!B2006)</f>
        <v>T00833</v>
      </c>
      <c r="C2006" s="1" t="str">
        <f>IF(Raw!C2006="","",Raw!C2006)</f>
        <v>2026-03-06</v>
      </c>
      <c r="D2006" s="1">
        <f t="shared" si="248"/>
        <v>2026</v>
      </c>
      <c r="E2006" s="1">
        <f>IFERROR(IF(AND(LEN(C2006)=10,MID(C2006,5,1)="-",MID(C2006,8,1)="-"),VALUE(MID(C2006,6,2)),IF(AND(LEN(C2006)=11,MID(C2006,3,1)="-",MID(C2006,7,1)="-"),MATCH(UPPER(MID(C2006,4,3)),Guide!$D$7:$D$18,0),0)),0)</f>
        <v>3</v>
      </c>
      <c r="F2006" s="1">
        <f t="shared" si="249"/>
        <v>6</v>
      </c>
      <c r="G2006" s="9">
        <f t="shared" si="250"/>
        <v>46087</v>
      </c>
      <c r="H2006" s="1" t="str">
        <f>IF(Raw!D2006="","",Raw!D2006)</f>
        <v>P-O</v>
      </c>
      <c r="I2006" s="1" t="str">
        <f>IFERROR(IF(EXACT(H2006,INDEX(Guide!$A$7:$A$9,MATCH(SUBSTITUTE(SUBSTITUTE(SUBSTITUTE(H2006,"~","~~"),"*","~*"),"?","~?"),Guide!$A$7:$A$9,0))),INDEX(Guide!$B$7:$B$9,MATCH(SUBSTITUTE(SUBSTITUTE(SUBSTITUTE(H2006,"~","~~"),"*","~*"),"?","~?"),Guide!$A$7:$A$9,0)),""),"")</f>
        <v>Office</v>
      </c>
      <c r="J2006" s="1" t="str">
        <f>IF(TRIM(Raw!E2006)="",I2006,IF(UPPER(TRIM(Raw!E2006))=UPPER(I2006),I2006,""))</f>
        <v>Office</v>
      </c>
      <c r="K2006" s="1" t="str">
        <f>IF(Raw!F2006="","",Raw!F2006)</f>
        <v>sale</v>
      </c>
      <c r="L2006" s="1" t="str">
        <f>IF(LEFT(TRIM(Raw!G2006),2)="-$","-"&amp;MID(TRIM(Raw!G2006),3,99),IF(LEFT(TRIM(Raw!G2006),1)="$",MID(TRIM(Raw!G2006),2,99),TRIM(Raw!G2006)))</f>
        <v>82.68</v>
      </c>
      <c r="M2006" s="1">
        <f t="shared" si="251"/>
        <v>82.68</v>
      </c>
      <c r="N2006" s="10">
        <f t="shared" si="252"/>
        <v>8268</v>
      </c>
      <c r="O2006" s="1" t="b">
        <f>IFERROR(IF(ISNUMBER(Raw!G2006),TRUE,OR(EXACT(L2006,TEXT(M2006,"0.00")),EXACT(L2006,TEXT(M2006,"#,##0.00")))),FALSE)</f>
        <v>1</v>
      </c>
      <c r="P2006" s="1" t="str">
        <f>LEN(IF(Raw!A2006="","",Raw!A2006))&amp;":"&amp;IF(Raw!A2006="","",Raw!A2006)&amp;"|"&amp;LEN(IF(Raw!B2006="","",Raw!B2006))&amp;":"&amp;IF(Raw!B2006="","",Raw!B2006)&amp;"|"&amp;LEN(IF(Raw!C2006="","",Raw!C2006))&amp;":"&amp;IF(Raw!C2006="","",Raw!C2006)&amp;"|"&amp;LEN(IF(Raw!D2006="","",Raw!D2006))&amp;":"&amp;IF(Raw!D2006="","",Raw!D2006)&amp;"|"&amp;LEN(IF(Raw!E2006="","",Raw!E2006))&amp;":"&amp;IF(Raw!E2006="","",Raw!E2006)&amp;"|"&amp;LEN(IF(Raw!F2006="","",Raw!F2006))&amp;":"&amp;IF(Raw!F2006="","",Raw!F2006)&amp;"|"&amp;LEN(IF(Raw!G2006="","",Raw!G2006))&amp;":"&amp;IF(Raw!G2006="","",Raw!G2006)</f>
        <v>6:L01665|6:T00833|10:2026-03-06|3:P-O|6:Office|4:sale|5:82.68</v>
      </c>
      <c r="Q2006" s="1">
        <f>2</f>
        <v>2</v>
      </c>
      <c r="R2006" s="1" t="b">
        <f>OR(NOT(EXACT(P2006,P1671)))</f>
        <v>0</v>
      </c>
      <c r="S2006" s="1">
        <f>2</f>
        <v>2</v>
      </c>
      <c r="T2006" s="1" t="str">
        <f>IF(AND(Raw!A2006="",Raw!B2006="",Raw!C2006="",Raw!D2006="",Raw!E2006="",Raw!F2006="",Raw!G2006=""),"UNUSED",IF(A2006="","missing line ID",IF(B2006="","missing transaction ID",IF(G2006="",IF(C2006="","missing date","invalid date"),IF(I2006="","unknown product",IF(J2006="","conflicting category",IF(NOT(OR(EXACT(K2006,"sale"),EXACT(K2006,"refund"))),"unknown event",IF(OR(N2006="",NOT(O2006)),"invalid amount",IF(OR(AND(K2006="sale",N2006&lt;=0),AND(K2006="refund",N2006&gt;=0)),"invalid sign","")))))))))</f>
        <v/>
      </c>
      <c r="U2006" s="1" t="str">
        <f t="shared" si="253"/>
        <v>DUPLICATE</v>
      </c>
      <c r="V2006" s="1" t="str">
        <f t="shared" si="254"/>
        <v>2026-03</v>
      </c>
      <c r="W2006" s="1">
        <f>IF(AND(U2006="INCLUDED",X2006&gt;0,EXACT(A2006,'AI output'!A1671)),1,0)</f>
        <v>0</v>
      </c>
      <c r="X2006" s="1">
        <f>1671</f>
        <v>1671</v>
      </c>
      <c r="Y2006" s="1">
        <f>IF(AND(U2006="INCLUDED",W2006=1),--(NOT(EXACT(A2006,'AI output'!A1671)))+--(NOT(EXACT(B2006,'AI output'!B1671)))+--(NOT(EXACT(TEXT(G2006,"yyyy-mm-dd"),'AI output'!C1671)))+--(NOT(EXACT(H2006,'AI output'!D1671)))+--(NOT(EXACT(J2006,'AI output'!E1671)))+--(NOT(EXACT(K2006,'AI output'!F1671)))+--(N2006&lt;&gt;'AI output'!L1671)+--(NOT('AI output'!M1671)),0)</f>
        <v>0</v>
      </c>
      <c r="Z2006" s="1">
        <f t="shared" si="255"/>
        <v>0</v>
      </c>
      <c r="AA2006" s="1">
        <f>--EXACT(A2006,"L01665")</f>
        <v>1</v>
      </c>
    </row>
  </sheetData>
  <conditionalFormatting sqref="Y7:Z2006">
    <cfRule type="cellIs" dxfId="1" priority="1" operator="not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6"/>
  <sheetViews>
    <sheetView showGridLines="0" workbookViewId="0">
      <pane ySplit="6" topLeftCell="A7" activePane="bottomLeft" state="frozen"/>
      <selection pane="bottomLeft"/>
    </sheetView>
  </sheetViews>
  <sheetFormatPr defaultRowHeight="14.25"/>
  <cols>
    <col min="1" max="2" width="18" customWidth="1"/>
    <col min="3" max="3" width="19" customWidth="1"/>
    <col min="4" max="6" width="17" customWidth="1"/>
    <col min="7" max="7" width="19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3" t="s">
        <v>81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82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1" customHeight="1">
      <c r="A6" s="5" t="s">
        <v>83</v>
      </c>
      <c r="B6" s="5" t="s">
        <v>84</v>
      </c>
      <c r="C6" s="5" t="s">
        <v>85</v>
      </c>
      <c r="D6" s="5" t="s">
        <v>86</v>
      </c>
      <c r="E6" s="5" t="s">
        <v>87</v>
      </c>
      <c r="F6" s="5" t="s">
        <v>88</v>
      </c>
      <c r="G6" s="5" t="s">
        <v>89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95" customHeight="1">
      <c r="A7" s="6" t="s">
        <v>90</v>
      </c>
      <c r="B7" s="6" t="s">
        <v>91</v>
      </c>
      <c r="C7" s="6" t="s">
        <v>92</v>
      </c>
      <c r="D7" s="6" t="s">
        <v>93</v>
      </c>
      <c r="E7" s="6" t="s">
        <v>46</v>
      </c>
      <c r="F7" s="6" t="s">
        <v>94</v>
      </c>
      <c r="G7" s="6" t="s">
        <v>95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95" customHeight="1">
      <c r="A8" s="6" t="s">
        <v>96</v>
      </c>
      <c r="B8" s="6" t="s">
        <v>91</v>
      </c>
      <c r="C8" s="6" t="s">
        <v>92</v>
      </c>
      <c r="D8" s="6" t="s">
        <v>97</v>
      </c>
      <c r="E8" s="6" t="s">
        <v>47</v>
      </c>
      <c r="F8" s="6" t="s">
        <v>98</v>
      </c>
      <c r="G8" s="6" t="s">
        <v>99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95" customHeight="1">
      <c r="A9" s="6" t="s">
        <v>100</v>
      </c>
      <c r="B9" s="6" t="s">
        <v>101</v>
      </c>
      <c r="C9" s="6" t="s">
        <v>102</v>
      </c>
      <c r="D9" s="6" t="s">
        <v>103</v>
      </c>
      <c r="E9" s="6" t="s">
        <v>48</v>
      </c>
      <c r="F9" s="6" t="s">
        <v>98</v>
      </c>
      <c r="G9" s="6" t="s">
        <v>104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95" customHeight="1">
      <c r="A10" s="6" t="s">
        <v>105</v>
      </c>
      <c r="B10" s="6" t="s">
        <v>101</v>
      </c>
      <c r="C10" s="6" t="s">
        <v>102</v>
      </c>
      <c r="D10" s="6" t="s">
        <v>93</v>
      </c>
      <c r="E10" s="6" t="s">
        <v>46</v>
      </c>
      <c r="F10" s="6" t="s">
        <v>98</v>
      </c>
      <c r="G10" s="6" t="s">
        <v>106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95" customHeight="1">
      <c r="A11" s="6" t="s">
        <v>107</v>
      </c>
      <c r="B11" s="6" t="s">
        <v>108</v>
      </c>
      <c r="C11" s="6" t="s">
        <v>109</v>
      </c>
      <c r="D11" s="6" t="s">
        <v>97</v>
      </c>
      <c r="E11" s="6" t="s">
        <v>47</v>
      </c>
      <c r="F11" s="6" t="s">
        <v>98</v>
      </c>
      <c r="G11" s="6" t="s">
        <v>110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95" customHeight="1">
      <c r="A12" s="6" t="s">
        <v>111</v>
      </c>
      <c r="B12" s="6" t="s">
        <v>108</v>
      </c>
      <c r="C12" s="6" t="s">
        <v>109</v>
      </c>
      <c r="D12" s="6" t="s">
        <v>103</v>
      </c>
      <c r="E12" s="6" t="s">
        <v>48</v>
      </c>
      <c r="F12" s="6" t="s">
        <v>98</v>
      </c>
      <c r="G12" s="6" t="s">
        <v>112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95" customHeight="1">
      <c r="A13" s="6" t="s">
        <v>113</v>
      </c>
      <c r="B13" s="6" t="s">
        <v>114</v>
      </c>
      <c r="C13" s="6" t="s">
        <v>115</v>
      </c>
      <c r="D13" s="6" t="s">
        <v>93</v>
      </c>
      <c r="E13" s="6" t="s">
        <v>46</v>
      </c>
      <c r="F13" s="6" t="s">
        <v>98</v>
      </c>
      <c r="G13" s="6" t="s">
        <v>116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95" customHeight="1">
      <c r="A14" s="6" t="s">
        <v>117</v>
      </c>
      <c r="B14" s="6" t="s">
        <v>114</v>
      </c>
      <c r="C14" s="6" t="s">
        <v>115</v>
      </c>
      <c r="D14" s="6" t="s">
        <v>97</v>
      </c>
      <c r="E14" s="6" t="s">
        <v>47</v>
      </c>
      <c r="F14" s="6" t="s">
        <v>98</v>
      </c>
      <c r="G14" s="6" t="s">
        <v>118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95" customHeight="1">
      <c r="A15" s="6" t="s">
        <v>119</v>
      </c>
      <c r="B15" s="6" t="s">
        <v>120</v>
      </c>
      <c r="C15" s="6" t="s">
        <v>121</v>
      </c>
      <c r="D15" s="6" t="s">
        <v>103</v>
      </c>
      <c r="E15" s="6" t="s">
        <v>48</v>
      </c>
      <c r="F15" s="6" t="s">
        <v>98</v>
      </c>
      <c r="G15" s="6" t="s">
        <v>122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95" customHeight="1">
      <c r="A16" s="6" t="s">
        <v>123</v>
      </c>
      <c r="B16" s="6" t="s">
        <v>120</v>
      </c>
      <c r="C16" s="6" t="s">
        <v>121</v>
      </c>
      <c r="D16" s="6" t="s">
        <v>93</v>
      </c>
      <c r="E16" s="6" t="s">
        <v>46</v>
      </c>
      <c r="F16" s="6" t="s">
        <v>98</v>
      </c>
      <c r="G16" s="6" t="s">
        <v>124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95" customHeight="1">
      <c r="A17" s="6" t="s">
        <v>125</v>
      </c>
      <c r="B17" s="6" t="s">
        <v>126</v>
      </c>
      <c r="C17" s="6" t="s">
        <v>127</v>
      </c>
      <c r="D17" s="6" t="s">
        <v>97</v>
      </c>
      <c r="E17" s="6" t="s">
        <v>47</v>
      </c>
      <c r="F17" s="6" t="s">
        <v>98</v>
      </c>
      <c r="G17" s="6" t="s">
        <v>128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95" customHeight="1">
      <c r="A18" s="6" t="s">
        <v>129</v>
      </c>
      <c r="B18" s="6" t="s">
        <v>126</v>
      </c>
      <c r="C18" s="6" t="s">
        <v>127</v>
      </c>
      <c r="D18" s="6" t="s">
        <v>103</v>
      </c>
      <c r="E18" s="6" t="s">
        <v>48</v>
      </c>
      <c r="F18" s="6" t="s">
        <v>98</v>
      </c>
      <c r="G18" s="6" t="s">
        <v>130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95" customHeight="1">
      <c r="A19" s="6" t="s">
        <v>131</v>
      </c>
      <c r="B19" s="6" t="s">
        <v>132</v>
      </c>
      <c r="C19" s="6" t="s">
        <v>133</v>
      </c>
      <c r="D19" s="6" t="s">
        <v>93</v>
      </c>
      <c r="E19" s="6" t="s">
        <v>46</v>
      </c>
      <c r="F19" s="6" t="s">
        <v>98</v>
      </c>
      <c r="G19" s="6" t="s">
        <v>134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95" customHeight="1">
      <c r="A20" s="6" t="s">
        <v>135</v>
      </c>
      <c r="B20" s="6" t="s">
        <v>132</v>
      </c>
      <c r="C20" s="6" t="s">
        <v>133</v>
      </c>
      <c r="D20" s="6" t="s">
        <v>97</v>
      </c>
      <c r="E20" s="6" t="s">
        <v>47</v>
      </c>
      <c r="F20" s="6" t="s">
        <v>98</v>
      </c>
      <c r="G20" s="6" t="s">
        <v>136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95" customHeight="1">
      <c r="A21" s="6" t="s">
        <v>137</v>
      </c>
      <c r="B21" s="6" t="s">
        <v>138</v>
      </c>
      <c r="C21" s="6" t="s">
        <v>139</v>
      </c>
      <c r="D21" s="6" t="s">
        <v>103</v>
      </c>
      <c r="E21" s="6" t="s">
        <v>48</v>
      </c>
      <c r="F21" s="6" t="s">
        <v>98</v>
      </c>
      <c r="G21" s="6" t="s">
        <v>140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95" customHeight="1">
      <c r="A22" s="6" t="s">
        <v>141</v>
      </c>
      <c r="B22" s="6" t="s">
        <v>138</v>
      </c>
      <c r="C22" s="6" t="s">
        <v>139</v>
      </c>
      <c r="D22" s="6" t="s">
        <v>93</v>
      </c>
      <c r="E22" s="6" t="s">
        <v>46</v>
      </c>
      <c r="F22" s="6" t="s">
        <v>98</v>
      </c>
      <c r="G22" s="6" t="s">
        <v>142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95" customHeight="1">
      <c r="A23" s="6" t="s">
        <v>143</v>
      </c>
      <c r="B23" s="6" t="s">
        <v>144</v>
      </c>
      <c r="C23" s="6" t="s">
        <v>145</v>
      </c>
      <c r="D23" s="6" t="s">
        <v>97</v>
      </c>
      <c r="E23" s="6" t="s">
        <v>47</v>
      </c>
      <c r="F23" s="6" t="s">
        <v>98</v>
      </c>
      <c r="G23" s="6" t="s">
        <v>146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95" customHeight="1">
      <c r="A24" s="6" t="s">
        <v>147</v>
      </c>
      <c r="B24" s="6" t="s">
        <v>144</v>
      </c>
      <c r="C24" s="6" t="s">
        <v>145</v>
      </c>
      <c r="D24" s="6" t="s">
        <v>103</v>
      </c>
      <c r="E24" s="6" t="s">
        <v>48</v>
      </c>
      <c r="F24" s="6" t="s">
        <v>98</v>
      </c>
      <c r="G24" s="6" t="s">
        <v>148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95" customHeight="1">
      <c r="A25" s="6" t="s">
        <v>149</v>
      </c>
      <c r="B25" s="6" t="s">
        <v>150</v>
      </c>
      <c r="C25" s="6" t="s">
        <v>151</v>
      </c>
      <c r="D25" s="6" t="s">
        <v>93</v>
      </c>
      <c r="E25" s="6" t="s">
        <v>46</v>
      </c>
      <c r="F25" s="6" t="s">
        <v>98</v>
      </c>
      <c r="G25" s="6" t="s">
        <v>152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95" customHeight="1">
      <c r="A26" s="6" t="s">
        <v>153</v>
      </c>
      <c r="B26" s="6" t="s">
        <v>150</v>
      </c>
      <c r="C26" s="6" t="s">
        <v>151</v>
      </c>
      <c r="D26" s="6" t="s">
        <v>97</v>
      </c>
      <c r="E26" s="6" t="s">
        <v>47</v>
      </c>
      <c r="F26" s="6" t="s">
        <v>98</v>
      </c>
      <c r="G26" s="6" t="s">
        <v>154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95" customHeight="1">
      <c r="A27" s="6" t="s">
        <v>155</v>
      </c>
      <c r="B27" s="6" t="s">
        <v>156</v>
      </c>
      <c r="C27" s="6" t="s">
        <v>157</v>
      </c>
      <c r="D27" s="6" t="s">
        <v>103</v>
      </c>
      <c r="E27" s="6" t="s">
        <v>48</v>
      </c>
      <c r="F27" s="6" t="s">
        <v>98</v>
      </c>
      <c r="G27" s="6" t="s">
        <v>158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95" customHeight="1">
      <c r="A28" s="6" t="s">
        <v>159</v>
      </c>
      <c r="B28" s="6" t="s">
        <v>156</v>
      </c>
      <c r="C28" s="6" t="s">
        <v>157</v>
      </c>
      <c r="D28" s="6" t="s">
        <v>93</v>
      </c>
      <c r="E28" s="6" t="s">
        <v>46</v>
      </c>
      <c r="F28" s="6" t="s">
        <v>98</v>
      </c>
      <c r="G28" s="6" t="s">
        <v>160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95" customHeight="1">
      <c r="A29" s="6" t="s">
        <v>161</v>
      </c>
      <c r="B29" s="6" t="s">
        <v>162</v>
      </c>
      <c r="C29" s="6" t="s">
        <v>163</v>
      </c>
      <c r="D29" s="6" t="s">
        <v>97</v>
      </c>
      <c r="E29" s="6" t="s">
        <v>47</v>
      </c>
      <c r="F29" s="6" t="s">
        <v>98</v>
      </c>
      <c r="G29" s="6" t="s">
        <v>164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95" customHeight="1">
      <c r="A30" s="6" t="s">
        <v>165</v>
      </c>
      <c r="B30" s="6" t="s">
        <v>162</v>
      </c>
      <c r="C30" s="6" t="s">
        <v>163</v>
      </c>
      <c r="D30" s="6" t="s">
        <v>103</v>
      </c>
      <c r="E30" s="6" t="s">
        <v>48</v>
      </c>
      <c r="F30" s="6" t="s">
        <v>94</v>
      </c>
      <c r="G30" s="6" t="s">
        <v>166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95" customHeight="1">
      <c r="A31" s="6" t="s">
        <v>167</v>
      </c>
      <c r="B31" s="6" t="s">
        <v>168</v>
      </c>
      <c r="C31" s="6" t="s">
        <v>169</v>
      </c>
      <c r="D31" s="6" t="s">
        <v>93</v>
      </c>
      <c r="E31" s="6" t="s">
        <v>46</v>
      </c>
      <c r="F31" s="6" t="s">
        <v>98</v>
      </c>
      <c r="G31" s="6" t="s">
        <v>170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95" customHeight="1">
      <c r="A32" s="6" t="s">
        <v>171</v>
      </c>
      <c r="B32" s="6" t="s">
        <v>168</v>
      </c>
      <c r="C32" s="6" t="s">
        <v>169</v>
      </c>
      <c r="D32" s="6" t="s">
        <v>97</v>
      </c>
      <c r="E32" s="6" t="s">
        <v>47</v>
      </c>
      <c r="F32" s="6" t="s">
        <v>98</v>
      </c>
      <c r="G32" s="6" t="s">
        <v>172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95" customHeight="1">
      <c r="A33" s="6" t="s">
        <v>173</v>
      </c>
      <c r="B33" s="6" t="s">
        <v>174</v>
      </c>
      <c r="C33" s="6" t="s">
        <v>175</v>
      </c>
      <c r="D33" s="6" t="s">
        <v>103</v>
      </c>
      <c r="E33" s="6" t="s">
        <v>48</v>
      </c>
      <c r="F33" s="6" t="s">
        <v>98</v>
      </c>
      <c r="G33" s="6" t="s">
        <v>176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95" customHeight="1">
      <c r="A34" s="6" t="s">
        <v>177</v>
      </c>
      <c r="B34" s="6" t="s">
        <v>174</v>
      </c>
      <c r="C34" s="6" t="s">
        <v>175</v>
      </c>
      <c r="D34" s="6" t="s">
        <v>93</v>
      </c>
      <c r="E34" s="6" t="s">
        <v>46</v>
      </c>
      <c r="F34" s="6" t="s">
        <v>98</v>
      </c>
      <c r="G34" s="6" t="s">
        <v>178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95" customHeight="1">
      <c r="A35" s="6" t="s">
        <v>179</v>
      </c>
      <c r="B35" s="6" t="s">
        <v>180</v>
      </c>
      <c r="C35" s="6" t="s">
        <v>181</v>
      </c>
      <c r="D35" s="6" t="s">
        <v>97</v>
      </c>
      <c r="E35" s="6" t="s">
        <v>47</v>
      </c>
      <c r="F35" s="6" t="s">
        <v>98</v>
      </c>
      <c r="G35" s="6" t="s">
        <v>182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95" customHeight="1">
      <c r="A36" s="6" t="s">
        <v>183</v>
      </c>
      <c r="B36" s="6" t="s">
        <v>180</v>
      </c>
      <c r="C36" s="6" t="s">
        <v>181</v>
      </c>
      <c r="D36" s="6" t="s">
        <v>103</v>
      </c>
      <c r="E36" s="6" t="s">
        <v>48</v>
      </c>
      <c r="F36" s="6" t="s">
        <v>98</v>
      </c>
      <c r="G36" s="6" t="s">
        <v>184</v>
      </c>
    </row>
    <row r="37" spans="1:26" ht="18.95" customHeight="1">
      <c r="A37" s="6" t="s">
        <v>185</v>
      </c>
      <c r="B37" s="6" t="s">
        <v>186</v>
      </c>
      <c r="C37" s="6" t="s">
        <v>187</v>
      </c>
      <c r="D37" s="6" t="s">
        <v>93</v>
      </c>
      <c r="E37" s="6" t="s">
        <v>46</v>
      </c>
      <c r="F37" s="6" t="s">
        <v>98</v>
      </c>
      <c r="G37" s="6" t="s">
        <v>188</v>
      </c>
    </row>
    <row r="38" spans="1:26" ht="18.95" customHeight="1">
      <c r="A38" s="6" t="s">
        <v>189</v>
      </c>
      <c r="B38" s="6" t="s">
        <v>186</v>
      </c>
      <c r="C38" s="6" t="s">
        <v>187</v>
      </c>
      <c r="D38" s="6" t="s">
        <v>97</v>
      </c>
      <c r="E38" s="6" t="s">
        <v>47</v>
      </c>
      <c r="F38" s="6" t="s">
        <v>98</v>
      </c>
      <c r="G38" s="6" t="s">
        <v>190</v>
      </c>
    </row>
    <row r="39" spans="1:26" ht="18.95" customHeight="1">
      <c r="A39" s="6" t="s">
        <v>191</v>
      </c>
      <c r="B39" s="6" t="s">
        <v>192</v>
      </c>
      <c r="C39" s="6" t="s">
        <v>193</v>
      </c>
      <c r="D39" s="6" t="s">
        <v>103</v>
      </c>
      <c r="E39" s="6" t="s">
        <v>48</v>
      </c>
      <c r="F39" s="6" t="s">
        <v>98</v>
      </c>
      <c r="G39" s="6" t="s">
        <v>194</v>
      </c>
    </row>
    <row r="40" spans="1:26" ht="18.95" customHeight="1">
      <c r="A40" s="6" t="s">
        <v>195</v>
      </c>
      <c r="B40" s="6" t="s">
        <v>192</v>
      </c>
      <c r="C40" s="6" t="s">
        <v>196</v>
      </c>
      <c r="D40" s="6" t="s">
        <v>93</v>
      </c>
      <c r="E40" s="6" t="s">
        <v>46</v>
      </c>
      <c r="F40" s="6" t="s">
        <v>98</v>
      </c>
      <c r="G40" s="6" t="s">
        <v>197</v>
      </c>
    </row>
    <row r="41" spans="1:26" ht="18.95" customHeight="1">
      <c r="A41" s="6" t="s">
        <v>198</v>
      </c>
      <c r="B41" s="6" t="s">
        <v>199</v>
      </c>
      <c r="C41" s="6" t="s">
        <v>200</v>
      </c>
      <c r="D41" s="6" t="s">
        <v>97</v>
      </c>
      <c r="E41" s="6" t="s">
        <v>47</v>
      </c>
      <c r="F41" s="6" t="s">
        <v>98</v>
      </c>
      <c r="G41" s="6" t="s">
        <v>201</v>
      </c>
    </row>
    <row r="42" spans="1:26" ht="18.95" customHeight="1">
      <c r="A42" s="6" t="s">
        <v>202</v>
      </c>
      <c r="B42" s="6" t="s">
        <v>199</v>
      </c>
      <c r="C42" s="6" t="s">
        <v>200</v>
      </c>
      <c r="D42" s="6" t="s">
        <v>103</v>
      </c>
      <c r="E42" s="6" t="s">
        <v>48</v>
      </c>
      <c r="F42" s="6" t="s">
        <v>98</v>
      </c>
      <c r="G42" s="6" t="s">
        <v>203</v>
      </c>
    </row>
    <row r="43" spans="1:26" ht="18.95" customHeight="1">
      <c r="A43" s="6" t="s">
        <v>204</v>
      </c>
      <c r="B43" s="6" t="s">
        <v>205</v>
      </c>
      <c r="C43" s="6" t="s">
        <v>206</v>
      </c>
      <c r="D43" s="6" t="s">
        <v>93</v>
      </c>
      <c r="E43" s="6" t="s">
        <v>46</v>
      </c>
      <c r="F43" s="6" t="s">
        <v>98</v>
      </c>
      <c r="G43" s="6" t="s">
        <v>207</v>
      </c>
    </row>
    <row r="44" spans="1:26" ht="18.95" customHeight="1">
      <c r="A44" s="6" t="s">
        <v>208</v>
      </c>
      <c r="B44" s="6" t="s">
        <v>205</v>
      </c>
      <c r="C44" s="6" t="s">
        <v>206</v>
      </c>
      <c r="D44" s="6" t="s">
        <v>97</v>
      </c>
      <c r="E44" s="6" t="s">
        <v>47</v>
      </c>
      <c r="F44" s="6" t="s">
        <v>98</v>
      </c>
      <c r="G44" s="6" t="s">
        <v>209</v>
      </c>
    </row>
    <row r="45" spans="1:26" ht="18.95" customHeight="1">
      <c r="A45" s="6" t="s">
        <v>210</v>
      </c>
      <c r="B45" s="6" t="s">
        <v>211</v>
      </c>
      <c r="C45" s="6" t="s">
        <v>212</v>
      </c>
      <c r="D45" s="6" t="s">
        <v>103</v>
      </c>
      <c r="E45" s="6" t="s">
        <v>48</v>
      </c>
      <c r="F45" s="6" t="s">
        <v>98</v>
      </c>
      <c r="G45" s="6" t="s">
        <v>213</v>
      </c>
    </row>
    <row r="46" spans="1:26" ht="18.95" customHeight="1">
      <c r="A46" s="6" t="s">
        <v>214</v>
      </c>
      <c r="B46" s="6" t="s">
        <v>211</v>
      </c>
      <c r="C46" s="6" t="s">
        <v>212</v>
      </c>
      <c r="D46" s="6" t="s">
        <v>93</v>
      </c>
      <c r="E46" s="6" t="s">
        <v>46</v>
      </c>
      <c r="F46" s="6" t="s">
        <v>98</v>
      </c>
      <c r="G46" s="6" t="s">
        <v>215</v>
      </c>
    </row>
    <row r="47" spans="1:26" ht="18.95" customHeight="1">
      <c r="A47" s="6" t="s">
        <v>216</v>
      </c>
      <c r="B47" s="6" t="s">
        <v>217</v>
      </c>
      <c r="C47" s="6" t="s">
        <v>218</v>
      </c>
      <c r="D47" s="6" t="s">
        <v>97</v>
      </c>
      <c r="E47" s="6" t="s">
        <v>47</v>
      </c>
      <c r="F47" s="6" t="s">
        <v>98</v>
      </c>
      <c r="G47" s="6" t="s">
        <v>219</v>
      </c>
    </row>
    <row r="48" spans="1:26" ht="18.95" customHeight="1">
      <c r="A48" s="6" t="s">
        <v>220</v>
      </c>
      <c r="B48" s="6" t="s">
        <v>217</v>
      </c>
      <c r="C48" s="6" t="s">
        <v>218</v>
      </c>
      <c r="D48" s="6" t="s">
        <v>103</v>
      </c>
      <c r="E48" s="6" t="s">
        <v>48</v>
      </c>
      <c r="F48" s="6" t="s">
        <v>98</v>
      </c>
      <c r="G48" s="6" t="s">
        <v>221</v>
      </c>
    </row>
    <row r="49" spans="1:7" ht="18.95" customHeight="1">
      <c r="A49" s="6" t="s">
        <v>222</v>
      </c>
      <c r="B49" s="6" t="s">
        <v>223</v>
      </c>
      <c r="C49" s="6" t="s">
        <v>224</v>
      </c>
      <c r="D49" s="6" t="s">
        <v>93</v>
      </c>
      <c r="E49" s="6" t="s">
        <v>46</v>
      </c>
      <c r="F49" s="6" t="s">
        <v>98</v>
      </c>
      <c r="G49" s="6" t="s">
        <v>225</v>
      </c>
    </row>
    <row r="50" spans="1:7" ht="18.95" customHeight="1">
      <c r="A50" s="6" t="s">
        <v>226</v>
      </c>
      <c r="B50" s="6" t="s">
        <v>223</v>
      </c>
      <c r="C50" s="6" t="s">
        <v>224</v>
      </c>
      <c r="D50" s="6" t="s">
        <v>97</v>
      </c>
      <c r="E50" s="6" t="s">
        <v>47</v>
      </c>
      <c r="F50" s="6" t="s">
        <v>98</v>
      </c>
      <c r="G50" s="6" t="s">
        <v>227</v>
      </c>
    </row>
    <row r="51" spans="1:7" ht="18.95" customHeight="1">
      <c r="A51" s="6" t="s">
        <v>228</v>
      </c>
      <c r="B51" s="6" t="s">
        <v>229</v>
      </c>
      <c r="C51" s="6" t="s">
        <v>230</v>
      </c>
      <c r="D51" s="6" t="s">
        <v>103</v>
      </c>
      <c r="E51" s="6" t="s">
        <v>5191</v>
      </c>
      <c r="F51" s="6" t="s">
        <v>98</v>
      </c>
      <c r="G51" s="6" t="s">
        <v>231</v>
      </c>
    </row>
    <row r="52" spans="1:7" ht="18.95" customHeight="1">
      <c r="A52" s="6" t="s">
        <v>232</v>
      </c>
      <c r="B52" s="6" t="s">
        <v>229</v>
      </c>
      <c r="C52" s="6" t="s">
        <v>230</v>
      </c>
      <c r="D52" s="6" t="s">
        <v>93</v>
      </c>
      <c r="E52" s="6" t="s">
        <v>46</v>
      </c>
      <c r="F52" s="6" t="s">
        <v>98</v>
      </c>
      <c r="G52" s="6" t="s">
        <v>233</v>
      </c>
    </row>
    <row r="53" spans="1:7" ht="18.95" customHeight="1">
      <c r="A53" s="6" t="s">
        <v>234</v>
      </c>
      <c r="B53" s="6" t="s">
        <v>235</v>
      </c>
      <c r="C53" s="6" t="s">
        <v>236</v>
      </c>
      <c r="D53" s="6" t="s">
        <v>97</v>
      </c>
      <c r="E53" s="6" t="s">
        <v>47</v>
      </c>
      <c r="F53" s="6" t="s">
        <v>94</v>
      </c>
      <c r="G53" s="6" t="s">
        <v>237</v>
      </c>
    </row>
    <row r="54" spans="1:7" ht="18.95" customHeight="1">
      <c r="A54" s="6" t="s">
        <v>238</v>
      </c>
      <c r="B54" s="6" t="s">
        <v>235</v>
      </c>
      <c r="C54" s="6" t="s">
        <v>236</v>
      </c>
      <c r="D54" s="6" t="s">
        <v>103</v>
      </c>
      <c r="E54" s="6" t="s">
        <v>48</v>
      </c>
      <c r="F54" s="6" t="s">
        <v>98</v>
      </c>
      <c r="G54" s="6" t="s">
        <v>239</v>
      </c>
    </row>
    <row r="55" spans="1:7" ht="18.95" customHeight="1">
      <c r="A55" s="6" t="s">
        <v>240</v>
      </c>
      <c r="B55" s="6" t="s">
        <v>241</v>
      </c>
      <c r="C55" s="6" t="s">
        <v>242</v>
      </c>
      <c r="D55" s="6" t="s">
        <v>93</v>
      </c>
      <c r="E55" s="6" t="s">
        <v>46</v>
      </c>
      <c r="F55" s="6" t="s">
        <v>98</v>
      </c>
      <c r="G55" s="6" t="s">
        <v>243</v>
      </c>
    </row>
    <row r="56" spans="1:7" ht="18.95" customHeight="1">
      <c r="A56" s="6" t="s">
        <v>244</v>
      </c>
      <c r="B56" s="6" t="s">
        <v>241</v>
      </c>
      <c r="C56" s="6" t="s">
        <v>242</v>
      </c>
      <c r="D56" s="6" t="s">
        <v>97</v>
      </c>
      <c r="E56" s="6" t="s">
        <v>47</v>
      </c>
      <c r="F56" s="6" t="s">
        <v>98</v>
      </c>
      <c r="G56" s="6" t="s">
        <v>245</v>
      </c>
    </row>
    <row r="57" spans="1:7" ht="18.95" customHeight="1">
      <c r="A57" s="6" t="s">
        <v>246</v>
      </c>
      <c r="B57" s="6" t="s">
        <v>247</v>
      </c>
      <c r="C57" s="6" t="s">
        <v>248</v>
      </c>
      <c r="D57" s="6" t="s">
        <v>103</v>
      </c>
      <c r="E57" s="6" t="s">
        <v>48</v>
      </c>
      <c r="F57" s="6" t="s">
        <v>98</v>
      </c>
      <c r="G57" s="6" t="s">
        <v>249</v>
      </c>
    </row>
    <row r="58" spans="1:7" ht="18.95" customHeight="1">
      <c r="A58" s="6" t="s">
        <v>250</v>
      </c>
      <c r="B58" s="6" t="s">
        <v>247</v>
      </c>
      <c r="C58" s="6" t="s">
        <v>248</v>
      </c>
      <c r="D58" s="6" t="s">
        <v>93</v>
      </c>
      <c r="E58" s="6" t="s">
        <v>46</v>
      </c>
      <c r="F58" s="6" t="s">
        <v>98</v>
      </c>
      <c r="G58" s="6" t="s">
        <v>251</v>
      </c>
    </row>
    <row r="59" spans="1:7" ht="18.95" customHeight="1">
      <c r="A59" s="6" t="s">
        <v>252</v>
      </c>
      <c r="B59" s="6" t="s">
        <v>253</v>
      </c>
      <c r="C59" s="6" t="s">
        <v>254</v>
      </c>
      <c r="D59" s="6" t="s">
        <v>97</v>
      </c>
      <c r="E59" s="6" t="s">
        <v>47</v>
      </c>
      <c r="F59" s="6" t="s">
        <v>98</v>
      </c>
      <c r="G59" s="6" t="s">
        <v>255</v>
      </c>
    </row>
    <row r="60" spans="1:7" ht="18.95" customHeight="1">
      <c r="A60" s="6" t="s">
        <v>256</v>
      </c>
      <c r="B60" s="6" t="s">
        <v>253</v>
      </c>
      <c r="C60" s="6" t="s">
        <v>254</v>
      </c>
      <c r="D60" s="6" t="s">
        <v>103</v>
      </c>
      <c r="E60" s="6" t="s">
        <v>48</v>
      </c>
      <c r="F60" s="6" t="s">
        <v>98</v>
      </c>
      <c r="G60" s="6" t="s">
        <v>257</v>
      </c>
    </row>
    <row r="61" spans="1:7" ht="18.95" customHeight="1">
      <c r="A61" s="6" t="s">
        <v>258</v>
      </c>
      <c r="B61" s="6" t="s">
        <v>259</v>
      </c>
      <c r="C61" s="6" t="s">
        <v>260</v>
      </c>
      <c r="D61" s="6" t="s">
        <v>93</v>
      </c>
      <c r="E61" s="6" t="s">
        <v>46</v>
      </c>
      <c r="F61" s="6" t="s">
        <v>98</v>
      </c>
      <c r="G61" s="6" t="s">
        <v>261</v>
      </c>
    </row>
    <row r="62" spans="1:7" ht="18.95" customHeight="1">
      <c r="A62" s="6" t="s">
        <v>262</v>
      </c>
      <c r="B62" s="6" t="s">
        <v>259</v>
      </c>
      <c r="C62" s="6" t="s">
        <v>260</v>
      </c>
      <c r="D62" s="6" t="s">
        <v>97</v>
      </c>
      <c r="E62" s="6" t="s">
        <v>47</v>
      </c>
      <c r="F62" s="6" t="s">
        <v>98</v>
      </c>
      <c r="G62" s="6" t="s">
        <v>263</v>
      </c>
    </row>
    <row r="63" spans="1:7" ht="18.95" customHeight="1">
      <c r="A63" s="6" t="s">
        <v>264</v>
      </c>
      <c r="B63" s="6" t="s">
        <v>265</v>
      </c>
      <c r="C63" s="6" t="s">
        <v>266</v>
      </c>
      <c r="D63" s="6" t="s">
        <v>103</v>
      </c>
      <c r="E63" s="6" t="s">
        <v>48</v>
      </c>
      <c r="F63" s="6" t="s">
        <v>98</v>
      </c>
      <c r="G63" s="6" t="s">
        <v>267</v>
      </c>
    </row>
    <row r="64" spans="1:7" ht="18.95" customHeight="1">
      <c r="A64" s="6" t="s">
        <v>268</v>
      </c>
      <c r="B64" s="6" t="s">
        <v>265</v>
      </c>
      <c r="C64" s="6" t="s">
        <v>266</v>
      </c>
      <c r="D64" s="6" t="s">
        <v>93</v>
      </c>
      <c r="E64" s="6" t="s">
        <v>46</v>
      </c>
      <c r="F64" s="6" t="s">
        <v>98</v>
      </c>
      <c r="G64" s="6" t="s">
        <v>269</v>
      </c>
    </row>
    <row r="65" spans="1:7" ht="18.95" customHeight="1">
      <c r="A65" s="6" t="s">
        <v>270</v>
      </c>
      <c r="B65" s="6" t="s">
        <v>271</v>
      </c>
      <c r="C65" s="6" t="s">
        <v>272</v>
      </c>
      <c r="D65" s="6" t="s">
        <v>97</v>
      </c>
      <c r="E65" s="6" t="s">
        <v>47</v>
      </c>
      <c r="F65" s="6" t="s">
        <v>98</v>
      </c>
      <c r="G65" s="6" t="s">
        <v>273</v>
      </c>
    </row>
    <row r="66" spans="1:7" ht="18.95" customHeight="1">
      <c r="A66" s="6" t="s">
        <v>274</v>
      </c>
      <c r="B66" s="6" t="s">
        <v>271</v>
      </c>
      <c r="C66" s="6" t="s">
        <v>272</v>
      </c>
      <c r="D66" s="6" t="s">
        <v>103</v>
      </c>
      <c r="E66" s="6" t="s">
        <v>48</v>
      </c>
      <c r="F66" s="6" t="s">
        <v>98</v>
      </c>
      <c r="G66" s="6" t="s">
        <v>275</v>
      </c>
    </row>
    <row r="67" spans="1:7" ht="18.95" customHeight="1">
      <c r="A67" s="6" t="s">
        <v>276</v>
      </c>
      <c r="B67" s="6" t="s">
        <v>277</v>
      </c>
      <c r="C67" s="6" t="s">
        <v>278</v>
      </c>
      <c r="D67" s="6" t="s">
        <v>93</v>
      </c>
      <c r="E67" s="6" t="s">
        <v>46</v>
      </c>
      <c r="F67" s="6" t="s">
        <v>98</v>
      </c>
      <c r="G67" s="6" t="s">
        <v>279</v>
      </c>
    </row>
    <row r="68" spans="1:7" ht="18.95" customHeight="1">
      <c r="A68" s="6" t="s">
        <v>280</v>
      </c>
      <c r="B68" s="6" t="s">
        <v>277</v>
      </c>
      <c r="C68" s="6" t="s">
        <v>278</v>
      </c>
      <c r="D68" s="6" t="s">
        <v>97</v>
      </c>
      <c r="E68" s="6" t="s">
        <v>47</v>
      </c>
      <c r="F68" s="6" t="s">
        <v>98</v>
      </c>
      <c r="G68" s="6" t="s">
        <v>281</v>
      </c>
    </row>
    <row r="69" spans="1:7" ht="18.95" customHeight="1">
      <c r="A69" s="6" t="s">
        <v>282</v>
      </c>
      <c r="B69" s="6" t="s">
        <v>283</v>
      </c>
      <c r="C69" s="6" t="s">
        <v>284</v>
      </c>
      <c r="D69" s="6" t="s">
        <v>103</v>
      </c>
      <c r="E69" s="6" t="s">
        <v>48</v>
      </c>
      <c r="F69" s="6" t="s">
        <v>98</v>
      </c>
      <c r="G69" s="6" t="s">
        <v>285</v>
      </c>
    </row>
    <row r="70" spans="1:7" ht="18.95" customHeight="1">
      <c r="A70" s="6" t="s">
        <v>286</v>
      </c>
      <c r="B70" s="6" t="s">
        <v>283</v>
      </c>
      <c r="C70" s="6" t="s">
        <v>284</v>
      </c>
      <c r="D70" s="6" t="s">
        <v>93</v>
      </c>
      <c r="E70" s="6" t="s">
        <v>46</v>
      </c>
      <c r="F70" s="6" t="s">
        <v>98</v>
      </c>
      <c r="G70" s="6" t="s">
        <v>287</v>
      </c>
    </row>
    <row r="71" spans="1:7" ht="18.95" customHeight="1">
      <c r="A71" s="6" t="s">
        <v>288</v>
      </c>
      <c r="B71" s="6" t="s">
        <v>289</v>
      </c>
      <c r="C71" s="6" t="s">
        <v>290</v>
      </c>
      <c r="D71" s="6" t="s">
        <v>97</v>
      </c>
      <c r="E71" s="6" t="s">
        <v>47</v>
      </c>
      <c r="F71" s="6" t="s">
        <v>98</v>
      </c>
      <c r="G71" s="6" t="s">
        <v>291</v>
      </c>
    </row>
    <row r="72" spans="1:7" ht="18.95" customHeight="1">
      <c r="A72" s="6" t="s">
        <v>292</v>
      </c>
      <c r="B72" s="6" t="s">
        <v>289</v>
      </c>
      <c r="C72" s="6" t="s">
        <v>290</v>
      </c>
      <c r="D72" s="6" t="s">
        <v>103</v>
      </c>
      <c r="E72" s="6" t="s">
        <v>48</v>
      </c>
      <c r="F72" s="6" t="s">
        <v>98</v>
      </c>
      <c r="G72" s="6" t="s">
        <v>293</v>
      </c>
    </row>
    <row r="73" spans="1:7" ht="18.95" customHeight="1">
      <c r="A73" s="6" t="s">
        <v>294</v>
      </c>
      <c r="B73" s="6" t="s">
        <v>295</v>
      </c>
      <c r="C73" s="6" t="s">
        <v>296</v>
      </c>
      <c r="D73" s="6" t="s">
        <v>93</v>
      </c>
      <c r="E73" s="6" t="s">
        <v>46</v>
      </c>
      <c r="F73" s="6" t="s">
        <v>98</v>
      </c>
      <c r="G73" s="6" t="s">
        <v>297</v>
      </c>
    </row>
    <row r="74" spans="1:7" ht="18.95" customHeight="1">
      <c r="A74" s="6" t="s">
        <v>298</v>
      </c>
      <c r="B74" s="6" t="s">
        <v>295</v>
      </c>
      <c r="C74" s="6" t="s">
        <v>296</v>
      </c>
      <c r="D74" s="6" t="s">
        <v>97</v>
      </c>
      <c r="E74" s="6" t="s">
        <v>47</v>
      </c>
      <c r="F74" s="6" t="s">
        <v>98</v>
      </c>
      <c r="G74" s="6" t="s">
        <v>299</v>
      </c>
    </row>
    <row r="75" spans="1:7" ht="18.95" customHeight="1">
      <c r="A75" s="6" t="s">
        <v>300</v>
      </c>
      <c r="B75" s="6" t="s">
        <v>301</v>
      </c>
      <c r="C75" s="6" t="s">
        <v>302</v>
      </c>
      <c r="D75" s="6" t="s">
        <v>103</v>
      </c>
      <c r="E75" s="6" t="s">
        <v>48</v>
      </c>
      <c r="F75" s="6" t="s">
        <v>98</v>
      </c>
      <c r="G75" s="6" t="s">
        <v>303</v>
      </c>
    </row>
    <row r="76" spans="1:7" ht="18.95" customHeight="1">
      <c r="A76" s="6" t="s">
        <v>304</v>
      </c>
      <c r="B76" s="6" t="s">
        <v>301</v>
      </c>
      <c r="C76" s="6" t="s">
        <v>302</v>
      </c>
      <c r="D76" s="6" t="s">
        <v>93</v>
      </c>
      <c r="E76" s="6" t="s">
        <v>46</v>
      </c>
      <c r="F76" s="6" t="s">
        <v>94</v>
      </c>
      <c r="G76" s="6" t="s">
        <v>305</v>
      </c>
    </row>
    <row r="77" spans="1:7" ht="18.95" customHeight="1">
      <c r="A77" s="6" t="s">
        <v>306</v>
      </c>
      <c r="B77" s="6" t="s">
        <v>307</v>
      </c>
      <c r="C77" s="6" t="s">
        <v>308</v>
      </c>
      <c r="D77" s="6" t="s">
        <v>97</v>
      </c>
      <c r="E77" s="6" t="s">
        <v>47</v>
      </c>
      <c r="F77" s="6" t="s">
        <v>98</v>
      </c>
      <c r="G77" s="6" t="s">
        <v>309</v>
      </c>
    </row>
    <row r="78" spans="1:7" ht="18.95" customHeight="1">
      <c r="A78" s="6" t="s">
        <v>310</v>
      </c>
      <c r="B78" s="6" t="s">
        <v>307</v>
      </c>
      <c r="C78" s="6" t="s">
        <v>308</v>
      </c>
      <c r="D78" s="6" t="s">
        <v>103</v>
      </c>
      <c r="E78" s="6" t="s">
        <v>48</v>
      </c>
      <c r="F78" s="6" t="s">
        <v>98</v>
      </c>
      <c r="G78" s="6" t="s">
        <v>311</v>
      </c>
    </row>
    <row r="79" spans="1:7" ht="18.95" customHeight="1">
      <c r="A79" s="6" t="s">
        <v>312</v>
      </c>
      <c r="B79" s="6" t="s">
        <v>313</v>
      </c>
      <c r="C79" s="6" t="s">
        <v>314</v>
      </c>
      <c r="D79" s="6" t="s">
        <v>93</v>
      </c>
      <c r="E79" s="6" t="s">
        <v>46</v>
      </c>
      <c r="F79" s="6" t="s">
        <v>98</v>
      </c>
      <c r="G79" s="6" t="s">
        <v>315</v>
      </c>
    </row>
    <row r="80" spans="1:7" ht="18.95" customHeight="1">
      <c r="A80" s="6" t="s">
        <v>316</v>
      </c>
      <c r="B80" s="6" t="s">
        <v>313</v>
      </c>
      <c r="C80" s="6" t="s">
        <v>314</v>
      </c>
      <c r="D80" s="6" t="s">
        <v>97</v>
      </c>
      <c r="E80" s="6" t="s">
        <v>47</v>
      </c>
      <c r="F80" s="6" t="s">
        <v>98</v>
      </c>
      <c r="G80" s="6" t="s">
        <v>317</v>
      </c>
    </row>
    <row r="81" spans="1:7" ht="18.95" customHeight="1">
      <c r="A81" s="6" t="s">
        <v>318</v>
      </c>
      <c r="B81" s="6" t="s">
        <v>319</v>
      </c>
      <c r="C81" s="6" t="s">
        <v>320</v>
      </c>
      <c r="D81" s="6" t="s">
        <v>103</v>
      </c>
      <c r="E81" s="6" t="s">
        <v>48</v>
      </c>
      <c r="F81" s="6" t="s">
        <v>98</v>
      </c>
      <c r="G81" s="6" t="s">
        <v>321</v>
      </c>
    </row>
    <row r="82" spans="1:7" ht="18.95" customHeight="1">
      <c r="A82" s="6" t="s">
        <v>322</v>
      </c>
      <c r="B82" s="6" t="s">
        <v>319</v>
      </c>
      <c r="C82" s="6" t="s">
        <v>320</v>
      </c>
      <c r="D82" s="6" t="s">
        <v>93</v>
      </c>
      <c r="E82" s="6" t="s">
        <v>46</v>
      </c>
      <c r="F82" s="6" t="s">
        <v>98</v>
      </c>
      <c r="G82" s="6" t="s">
        <v>323</v>
      </c>
    </row>
    <row r="83" spans="1:7" ht="18.95" customHeight="1">
      <c r="A83" s="6" t="s">
        <v>324</v>
      </c>
      <c r="B83" s="6" t="s">
        <v>325</v>
      </c>
      <c r="C83" s="6" t="s">
        <v>326</v>
      </c>
      <c r="D83" s="6" t="s">
        <v>97</v>
      </c>
      <c r="E83" s="6" t="s">
        <v>47</v>
      </c>
      <c r="F83" s="6" t="s">
        <v>98</v>
      </c>
      <c r="G83" s="6" t="s">
        <v>327</v>
      </c>
    </row>
    <row r="84" spans="1:7" ht="18.95" customHeight="1">
      <c r="A84" s="6" t="s">
        <v>328</v>
      </c>
      <c r="B84" s="6" t="s">
        <v>325</v>
      </c>
      <c r="C84" s="6" t="s">
        <v>326</v>
      </c>
      <c r="D84" s="6" t="s">
        <v>103</v>
      </c>
      <c r="E84" s="6" t="s">
        <v>48</v>
      </c>
      <c r="F84" s="6" t="s">
        <v>98</v>
      </c>
      <c r="G84" s="6" t="s">
        <v>329</v>
      </c>
    </row>
    <row r="85" spans="1:7" ht="18.95" customHeight="1">
      <c r="A85" s="6" t="s">
        <v>330</v>
      </c>
      <c r="B85" s="6" t="s">
        <v>331</v>
      </c>
      <c r="C85" s="6" t="s">
        <v>332</v>
      </c>
      <c r="D85" s="6" t="s">
        <v>93</v>
      </c>
      <c r="E85" s="6" t="s">
        <v>46</v>
      </c>
      <c r="F85" s="6" t="s">
        <v>98</v>
      </c>
      <c r="G85" s="6" t="s">
        <v>333</v>
      </c>
    </row>
    <row r="86" spans="1:7" ht="18.95" customHeight="1">
      <c r="A86" s="6" t="s">
        <v>334</v>
      </c>
      <c r="B86" s="6" t="s">
        <v>331</v>
      </c>
      <c r="C86" s="6" t="s">
        <v>332</v>
      </c>
      <c r="D86" s="6" t="s">
        <v>97</v>
      </c>
      <c r="E86" s="6" t="s">
        <v>47</v>
      </c>
      <c r="F86" s="6" t="s">
        <v>98</v>
      </c>
      <c r="G86" s="6" t="s">
        <v>335</v>
      </c>
    </row>
    <row r="87" spans="1:7" ht="18.95" customHeight="1">
      <c r="A87" s="6" t="s">
        <v>336</v>
      </c>
      <c r="B87" s="6" t="s">
        <v>337</v>
      </c>
      <c r="C87" s="6" t="s">
        <v>338</v>
      </c>
      <c r="D87" s="6" t="s">
        <v>103</v>
      </c>
      <c r="E87" s="6" t="s">
        <v>48</v>
      </c>
      <c r="F87" s="6" t="s">
        <v>98</v>
      </c>
      <c r="G87" s="6" t="s">
        <v>339</v>
      </c>
    </row>
    <row r="88" spans="1:7" ht="18.95" customHeight="1">
      <c r="A88" s="6" t="s">
        <v>340</v>
      </c>
      <c r="B88" s="6" t="s">
        <v>337</v>
      </c>
      <c r="C88" s="6" t="s">
        <v>338</v>
      </c>
      <c r="D88" s="6" t="s">
        <v>93</v>
      </c>
      <c r="E88" s="6" t="s">
        <v>46</v>
      </c>
      <c r="F88" s="6" t="s">
        <v>98</v>
      </c>
      <c r="G88" s="6" t="s">
        <v>341</v>
      </c>
    </row>
    <row r="89" spans="1:7" ht="18.95" customHeight="1">
      <c r="A89" s="6" t="s">
        <v>342</v>
      </c>
      <c r="B89" s="6" t="s">
        <v>343</v>
      </c>
      <c r="C89" s="6" t="s">
        <v>344</v>
      </c>
      <c r="D89" s="6" t="s">
        <v>97</v>
      </c>
      <c r="E89" s="6" t="s">
        <v>47</v>
      </c>
      <c r="F89" s="6" t="s">
        <v>98</v>
      </c>
      <c r="G89" s="6" t="s">
        <v>345</v>
      </c>
    </row>
    <row r="90" spans="1:7" ht="18.95" customHeight="1">
      <c r="A90" s="6" t="s">
        <v>346</v>
      </c>
      <c r="B90" s="6" t="s">
        <v>343</v>
      </c>
      <c r="C90" s="6" t="s">
        <v>344</v>
      </c>
      <c r="D90" s="6" t="s">
        <v>103</v>
      </c>
      <c r="E90" s="6" t="s">
        <v>48</v>
      </c>
      <c r="F90" s="6" t="s">
        <v>98</v>
      </c>
      <c r="G90" s="6" t="s">
        <v>347</v>
      </c>
    </row>
    <row r="91" spans="1:7" ht="18.95" customHeight="1">
      <c r="A91" s="6" t="s">
        <v>348</v>
      </c>
      <c r="B91" s="6" t="s">
        <v>349</v>
      </c>
      <c r="C91" s="6" t="s">
        <v>350</v>
      </c>
      <c r="D91" s="6" t="s">
        <v>93</v>
      </c>
      <c r="E91" s="6" t="s">
        <v>46</v>
      </c>
      <c r="F91" s="6" t="s">
        <v>98</v>
      </c>
      <c r="G91" s="6" t="s">
        <v>351</v>
      </c>
    </row>
    <row r="92" spans="1:7" ht="18.95" customHeight="1">
      <c r="A92" s="6" t="s">
        <v>352</v>
      </c>
      <c r="B92" s="6" t="s">
        <v>349</v>
      </c>
      <c r="C92" s="6" t="s">
        <v>350</v>
      </c>
      <c r="D92" s="6" t="s">
        <v>97</v>
      </c>
      <c r="E92" s="6" t="s">
        <v>47</v>
      </c>
      <c r="F92" s="6" t="s">
        <v>98</v>
      </c>
      <c r="G92" s="6" t="s">
        <v>353</v>
      </c>
    </row>
    <row r="93" spans="1:7" ht="18.95" customHeight="1">
      <c r="A93" s="6" t="s">
        <v>354</v>
      </c>
      <c r="B93" s="6" t="s">
        <v>355</v>
      </c>
      <c r="C93" s="6" t="s">
        <v>356</v>
      </c>
      <c r="D93" s="6" t="s">
        <v>103</v>
      </c>
      <c r="E93" s="6" t="s">
        <v>48</v>
      </c>
      <c r="F93" s="6" t="s">
        <v>98</v>
      </c>
      <c r="G93" s="6" t="s">
        <v>357</v>
      </c>
    </row>
    <row r="94" spans="1:7" ht="18.95" customHeight="1">
      <c r="A94" s="6" t="s">
        <v>358</v>
      </c>
      <c r="B94" s="6" t="s">
        <v>355</v>
      </c>
      <c r="C94" s="6" t="s">
        <v>356</v>
      </c>
      <c r="D94" s="6" t="s">
        <v>93</v>
      </c>
      <c r="E94" s="6" t="s">
        <v>46</v>
      </c>
      <c r="F94" s="6" t="s">
        <v>98</v>
      </c>
      <c r="G94" s="6" t="s">
        <v>359</v>
      </c>
    </row>
    <row r="95" spans="1:7" ht="18.95" customHeight="1">
      <c r="A95" s="6" t="s">
        <v>360</v>
      </c>
      <c r="B95" s="6" t="s">
        <v>361</v>
      </c>
      <c r="C95" s="6" t="s">
        <v>362</v>
      </c>
      <c r="D95" s="6" t="s">
        <v>97</v>
      </c>
      <c r="E95" s="6" t="s">
        <v>47</v>
      </c>
      <c r="F95" s="6" t="s">
        <v>98</v>
      </c>
      <c r="G95" s="6" t="s">
        <v>363</v>
      </c>
    </row>
    <row r="96" spans="1:7" ht="18.95" customHeight="1">
      <c r="A96" s="6" t="s">
        <v>364</v>
      </c>
      <c r="B96" s="6" t="s">
        <v>361</v>
      </c>
      <c r="C96" s="6" t="s">
        <v>362</v>
      </c>
      <c r="D96" s="6" t="s">
        <v>103</v>
      </c>
      <c r="E96" s="6" t="s">
        <v>48</v>
      </c>
      <c r="F96" s="6" t="s">
        <v>98</v>
      </c>
      <c r="G96" s="6" t="s">
        <v>365</v>
      </c>
    </row>
    <row r="97" spans="1:7" ht="18.95" customHeight="1">
      <c r="A97" s="6" t="s">
        <v>366</v>
      </c>
      <c r="B97" s="6" t="s">
        <v>367</v>
      </c>
      <c r="C97" s="6" t="s">
        <v>368</v>
      </c>
      <c r="D97" s="6" t="s">
        <v>93</v>
      </c>
      <c r="E97" s="6" t="s">
        <v>46</v>
      </c>
      <c r="F97" s="6" t="s">
        <v>98</v>
      </c>
      <c r="G97" s="6" t="s">
        <v>369</v>
      </c>
    </row>
    <row r="98" spans="1:7" ht="18.95" customHeight="1">
      <c r="A98" s="6" t="s">
        <v>370</v>
      </c>
      <c r="B98" s="6" t="s">
        <v>367</v>
      </c>
      <c r="C98" s="6" t="s">
        <v>368</v>
      </c>
      <c r="D98" s="6" t="s">
        <v>97</v>
      </c>
      <c r="E98" s="6" t="s">
        <v>47</v>
      </c>
      <c r="F98" s="6" t="s">
        <v>98</v>
      </c>
      <c r="G98" s="6" t="s">
        <v>371</v>
      </c>
    </row>
    <row r="99" spans="1:7" ht="18.95" customHeight="1">
      <c r="A99" s="6" t="s">
        <v>372</v>
      </c>
      <c r="B99" s="6" t="s">
        <v>373</v>
      </c>
      <c r="C99" s="6" t="s">
        <v>374</v>
      </c>
      <c r="D99" s="6" t="s">
        <v>103</v>
      </c>
      <c r="E99" s="6" t="s">
        <v>48</v>
      </c>
      <c r="F99" s="6" t="s">
        <v>94</v>
      </c>
      <c r="G99" s="6" t="s">
        <v>375</v>
      </c>
    </row>
    <row r="100" spans="1:7" ht="18.95" customHeight="1">
      <c r="A100" s="6" t="s">
        <v>376</v>
      </c>
      <c r="B100" s="6" t="s">
        <v>373</v>
      </c>
      <c r="C100" s="6" t="s">
        <v>374</v>
      </c>
      <c r="D100" s="6" t="s">
        <v>93</v>
      </c>
      <c r="E100" s="6" t="s">
        <v>46</v>
      </c>
      <c r="F100" s="6" t="s">
        <v>98</v>
      </c>
      <c r="G100" s="6" t="s">
        <v>377</v>
      </c>
    </row>
    <row r="101" spans="1:7" ht="18.95" customHeight="1">
      <c r="A101" s="6" t="s">
        <v>378</v>
      </c>
      <c r="B101" s="6" t="s">
        <v>379</v>
      </c>
      <c r="C101" s="6" t="s">
        <v>380</v>
      </c>
      <c r="D101" s="6" t="s">
        <v>97</v>
      </c>
      <c r="E101" s="6" t="s">
        <v>47</v>
      </c>
      <c r="F101" s="6" t="s">
        <v>98</v>
      </c>
      <c r="G101" s="6" t="s">
        <v>381</v>
      </c>
    </row>
    <row r="102" spans="1:7" ht="18.95" customHeight="1">
      <c r="A102" s="6" t="s">
        <v>382</v>
      </c>
      <c r="B102" s="6" t="s">
        <v>379</v>
      </c>
      <c r="C102" s="6" t="s">
        <v>380</v>
      </c>
      <c r="D102" s="6" t="s">
        <v>103</v>
      </c>
      <c r="E102" s="6" t="s">
        <v>48</v>
      </c>
      <c r="F102" s="6" t="s">
        <v>98</v>
      </c>
      <c r="G102" s="6" t="s">
        <v>383</v>
      </c>
    </row>
    <row r="103" spans="1:7" ht="18.95" customHeight="1">
      <c r="A103" s="6" t="s">
        <v>384</v>
      </c>
      <c r="B103" s="6" t="s">
        <v>385</v>
      </c>
      <c r="C103" s="6" t="s">
        <v>386</v>
      </c>
      <c r="D103" s="6" t="s">
        <v>93</v>
      </c>
      <c r="E103" s="6" t="s">
        <v>46</v>
      </c>
      <c r="F103" s="6" t="s">
        <v>98</v>
      </c>
      <c r="G103" s="6" t="s">
        <v>387</v>
      </c>
    </row>
    <row r="104" spans="1:7" ht="18.95" customHeight="1">
      <c r="A104" s="6" t="s">
        <v>388</v>
      </c>
      <c r="B104" s="6" t="s">
        <v>385</v>
      </c>
      <c r="C104" s="6" t="s">
        <v>386</v>
      </c>
      <c r="D104" s="6" t="s">
        <v>97</v>
      </c>
      <c r="E104" s="6" t="s">
        <v>47</v>
      </c>
      <c r="F104" s="6" t="s">
        <v>98</v>
      </c>
      <c r="G104" s="6" t="s">
        <v>389</v>
      </c>
    </row>
    <row r="105" spans="1:7" ht="18.95" customHeight="1">
      <c r="A105" s="6" t="s">
        <v>390</v>
      </c>
      <c r="B105" s="6" t="s">
        <v>391</v>
      </c>
      <c r="C105" s="6" t="s">
        <v>392</v>
      </c>
      <c r="D105" s="6" t="s">
        <v>103</v>
      </c>
      <c r="E105" s="6" t="s">
        <v>48</v>
      </c>
      <c r="F105" s="6" t="s">
        <v>98</v>
      </c>
      <c r="G105" s="6" t="s">
        <v>393</v>
      </c>
    </row>
    <row r="106" spans="1:7" ht="18.95" customHeight="1">
      <c r="A106" s="6" t="s">
        <v>394</v>
      </c>
      <c r="B106" s="6" t="s">
        <v>391</v>
      </c>
      <c r="C106" s="6" t="s">
        <v>392</v>
      </c>
      <c r="D106" s="6" t="s">
        <v>93</v>
      </c>
      <c r="E106" s="6" t="s">
        <v>46</v>
      </c>
      <c r="F106" s="6" t="s">
        <v>98</v>
      </c>
      <c r="G106" s="6" t="s">
        <v>395</v>
      </c>
    </row>
    <row r="107" spans="1:7" ht="18.95" customHeight="1">
      <c r="A107" s="6" t="s">
        <v>396</v>
      </c>
      <c r="B107" s="6" t="s">
        <v>397</v>
      </c>
      <c r="C107" s="6" t="s">
        <v>398</v>
      </c>
      <c r="D107" s="6" t="s">
        <v>97</v>
      </c>
      <c r="E107" s="6"/>
      <c r="F107" s="6" t="s">
        <v>98</v>
      </c>
      <c r="G107" s="6" t="s">
        <v>399</v>
      </c>
    </row>
    <row r="108" spans="1:7" ht="18.95" customHeight="1">
      <c r="A108" s="6" t="s">
        <v>400</v>
      </c>
      <c r="B108" s="6" t="s">
        <v>397</v>
      </c>
      <c r="C108" s="6" t="s">
        <v>398</v>
      </c>
      <c r="D108" s="6" t="s">
        <v>103</v>
      </c>
      <c r="E108" s="6" t="s">
        <v>48</v>
      </c>
      <c r="F108" s="6" t="s">
        <v>98</v>
      </c>
      <c r="G108" s="6" t="s">
        <v>401</v>
      </c>
    </row>
    <row r="109" spans="1:7" ht="18.95" customHeight="1">
      <c r="A109" s="6" t="s">
        <v>402</v>
      </c>
      <c r="B109" s="6" t="s">
        <v>403</v>
      </c>
      <c r="C109" s="6" t="s">
        <v>404</v>
      </c>
      <c r="D109" s="6" t="s">
        <v>93</v>
      </c>
      <c r="E109" s="6" t="s">
        <v>46</v>
      </c>
      <c r="F109" s="6" t="s">
        <v>98</v>
      </c>
      <c r="G109" s="6" t="s">
        <v>405</v>
      </c>
    </row>
    <row r="110" spans="1:7" ht="18.95" customHeight="1">
      <c r="A110" s="6" t="s">
        <v>406</v>
      </c>
      <c r="B110" s="6" t="s">
        <v>403</v>
      </c>
      <c r="C110" s="6" t="s">
        <v>404</v>
      </c>
      <c r="D110" s="6" t="s">
        <v>97</v>
      </c>
      <c r="E110" s="6" t="s">
        <v>47</v>
      </c>
      <c r="F110" s="6" t="s">
        <v>98</v>
      </c>
      <c r="G110" s="6" t="s">
        <v>407</v>
      </c>
    </row>
    <row r="111" spans="1:7" ht="18.95" customHeight="1">
      <c r="A111" s="6" t="s">
        <v>408</v>
      </c>
      <c r="B111" s="6" t="s">
        <v>409</v>
      </c>
      <c r="C111" s="6" t="s">
        <v>410</v>
      </c>
      <c r="D111" s="6" t="s">
        <v>103</v>
      </c>
      <c r="E111" s="6" t="s">
        <v>48</v>
      </c>
      <c r="F111" s="6" t="s">
        <v>98</v>
      </c>
      <c r="G111" s="6" t="s">
        <v>411</v>
      </c>
    </row>
    <row r="112" spans="1:7" ht="18.95" customHeight="1">
      <c r="A112" s="6" t="s">
        <v>412</v>
      </c>
      <c r="B112" s="6" t="s">
        <v>409</v>
      </c>
      <c r="C112" s="6" t="s">
        <v>410</v>
      </c>
      <c r="D112" s="6" t="s">
        <v>93</v>
      </c>
      <c r="E112" s="6" t="s">
        <v>46</v>
      </c>
      <c r="F112" s="6" t="s">
        <v>98</v>
      </c>
      <c r="G112" s="6" t="s">
        <v>413</v>
      </c>
    </row>
    <row r="113" spans="1:7" ht="18.95" customHeight="1">
      <c r="A113" s="6" t="s">
        <v>414</v>
      </c>
      <c r="B113" s="6" t="s">
        <v>415</v>
      </c>
      <c r="C113" s="6" t="s">
        <v>416</v>
      </c>
      <c r="D113" s="6" t="s">
        <v>97</v>
      </c>
      <c r="E113" s="6" t="s">
        <v>47</v>
      </c>
      <c r="F113" s="6" t="s">
        <v>98</v>
      </c>
      <c r="G113" s="6" t="s">
        <v>417</v>
      </c>
    </row>
    <row r="114" spans="1:7" ht="18.95" customHeight="1">
      <c r="A114" s="6" t="s">
        <v>418</v>
      </c>
      <c r="B114" s="6" t="s">
        <v>415</v>
      </c>
      <c r="C114" s="6" t="s">
        <v>416</v>
      </c>
      <c r="D114" s="6" t="s">
        <v>103</v>
      </c>
      <c r="E114" s="6" t="s">
        <v>5191</v>
      </c>
      <c r="F114" s="6" t="s">
        <v>98</v>
      </c>
      <c r="G114" s="6" t="s">
        <v>419</v>
      </c>
    </row>
    <row r="115" spans="1:7" ht="18.95" customHeight="1">
      <c r="A115" s="6" t="s">
        <v>420</v>
      </c>
      <c r="B115" s="6" t="s">
        <v>421</v>
      </c>
      <c r="C115" s="6" t="s">
        <v>422</v>
      </c>
      <c r="D115" s="6" t="s">
        <v>93</v>
      </c>
      <c r="E115" s="6" t="s">
        <v>46</v>
      </c>
      <c r="F115" s="6" t="s">
        <v>98</v>
      </c>
      <c r="G115" s="6" t="s">
        <v>423</v>
      </c>
    </row>
    <row r="116" spans="1:7" ht="18.95" customHeight="1">
      <c r="A116" s="6" t="s">
        <v>424</v>
      </c>
      <c r="B116" s="6" t="s">
        <v>421</v>
      </c>
      <c r="C116" s="6" t="s">
        <v>422</v>
      </c>
      <c r="D116" s="6" t="s">
        <v>97</v>
      </c>
      <c r="E116" s="6" t="s">
        <v>47</v>
      </c>
      <c r="F116" s="6" t="s">
        <v>98</v>
      </c>
      <c r="G116" s="6" t="s">
        <v>425</v>
      </c>
    </row>
    <row r="117" spans="1:7" ht="18.95" customHeight="1">
      <c r="A117" s="6" t="s">
        <v>426</v>
      </c>
      <c r="B117" s="6" t="s">
        <v>427</v>
      </c>
      <c r="C117" s="6" t="s">
        <v>428</v>
      </c>
      <c r="D117" s="6" t="s">
        <v>103</v>
      </c>
      <c r="E117" s="6" t="s">
        <v>48</v>
      </c>
      <c r="F117" s="6" t="s">
        <v>98</v>
      </c>
      <c r="G117" s="6" t="s">
        <v>429</v>
      </c>
    </row>
    <row r="118" spans="1:7" ht="18.95" customHeight="1">
      <c r="A118" s="6" t="s">
        <v>430</v>
      </c>
      <c r="B118" s="6" t="s">
        <v>427</v>
      </c>
      <c r="C118" s="6" t="s">
        <v>428</v>
      </c>
      <c r="D118" s="6" t="s">
        <v>93</v>
      </c>
      <c r="E118" s="6" t="s">
        <v>46</v>
      </c>
      <c r="F118" s="6" t="s">
        <v>98</v>
      </c>
      <c r="G118" s="6" t="s">
        <v>431</v>
      </c>
    </row>
    <row r="119" spans="1:7" ht="18.95" customHeight="1">
      <c r="A119" s="6" t="s">
        <v>432</v>
      </c>
      <c r="B119" s="6" t="s">
        <v>433</v>
      </c>
      <c r="C119" s="6" t="s">
        <v>434</v>
      </c>
      <c r="D119" s="6" t="s">
        <v>97</v>
      </c>
      <c r="E119" s="6" t="s">
        <v>47</v>
      </c>
      <c r="F119" s="6" t="s">
        <v>98</v>
      </c>
      <c r="G119" s="6" t="s">
        <v>435</v>
      </c>
    </row>
    <row r="120" spans="1:7" ht="18.95" customHeight="1">
      <c r="A120" s="6" t="s">
        <v>436</v>
      </c>
      <c r="B120" s="6" t="s">
        <v>433</v>
      </c>
      <c r="C120" s="6" t="s">
        <v>434</v>
      </c>
      <c r="D120" s="6" t="s">
        <v>103</v>
      </c>
      <c r="E120" s="6" t="s">
        <v>48</v>
      </c>
      <c r="F120" s="6" t="s">
        <v>98</v>
      </c>
      <c r="G120" s="6" t="s">
        <v>437</v>
      </c>
    </row>
    <row r="121" spans="1:7" ht="18.95" customHeight="1">
      <c r="A121" s="6" t="s">
        <v>438</v>
      </c>
      <c r="B121" s="6" t="s">
        <v>439</v>
      </c>
      <c r="C121" s="6" t="s">
        <v>440</v>
      </c>
      <c r="D121" s="6" t="s">
        <v>93</v>
      </c>
      <c r="E121" s="6" t="s">
        <v>46</v>
      </c>
      <c r="F121" s="6" t="s">
        <v>98</v>
      </c>
      <c r="G121" s="6" t="s">
        <v>441</v>
      </c>
    </row>
    <row r="122" spans="1:7" ht="18.95" customHeight="1">
      <c r="A122" s="6" t="s">
        <v>442</v>
      </c>
      <c r="B122" s="6" t="s">
        <v>439</v>
      </c>
      <c r="C122" s="6" t="s">
        <v>440</v>
      </c>
      <c r="D122" s="6" t="s">
        <v>97</v>
      </c>
      <c r="E122" s="6" t="s">
        <v>47</v>
      </c>
      <c r="F122" s="6" t="s">
        <v>94</v>
      </c>
      <c r="G122" s="6" t="s">
        <v>443</v>
      </c>
    </row>
    <row r="123" spans="1:7" ht="18.95" customHeight="1">
      <c r="A123" s="6" t="s">
        <v>444</v>
      </c>
      <c r="B123" s="6" t="s">
        <v>445</v>
      </c>
      <c r="C123" s="6" t="s">
        <v>446</v>
      </c>
      <c r="D123" s="6" t="s">
        <v>103</v>
      </c>
      <c r="E123" s="6" t="s">
        <v>48</v>
      </c>
      <c r="F123" s="6" t="s">
        <v>98</v>
      </c>
      <c r="G123" s="6" t="s">
        <v>447</v>
      </c>
    </row>
    <row r="124" spans="1:7" ht="18.95" customHeight="1">
      <c r="A124" s="6" t="s">
        <v>448</v>
      </c>
      <c r="B124" s="6" t="s">
        <v>445</v>
      </c>
      <c r="C124" s="6" t="s">
        <v>446</v>
      </c>
      <c r="D124" s="6" t="s">
        <v>93</v>
      </c>
      <c r="E124" s="6" t="s">
        <v>46</v>
      </c>
      <c r="F124" s="6" t="s">
        <v>98</v>
      </c>
      <c r="G124" s="6" t="s">
        <v>449</v>
      </c>
    </row>
    <row r="125" spans="1:7" ht="18.95" customHeight="1">
      <c r="A125" s="6" t="s">
        <v>450</v>
      </c>
      <c r="B125" s="6" t="s">
        <v>451</v>
      </c>
      <c r="C125" s="6" t="s">
        <v>452</v>
      </c>
      <c r="D125" s="6" t="s">
        <v>97</v>
      </c>
      <c r="E125" s="6" t="s">
        <v>47</v>
      </c>
      <c r="F125" s="6" t="s">
        <v>98</v>
      </c>
      <c r="G125" s="6" t="s">
        <v>453</v>
      </c>
    </row>
    <row r="126" spans="1:7" ht="18.95" customHeight="1">
      <c r="A126" s="6" t="s">
        <v>454</v>
      </c>
      <c r="B126" s="6" t="s">
        <v>451</v>
      </c>
      <c r="C126" s="6" t="s">
        <v>452</v>
      </c>
      <c r="D126" s="6" t="s">
        <v>103</v>
      </c>
      <c r="E126" s="6" t="s">
        <v>48</v>
      </c>
      <c r="F126" s="6" t="s">
        <v>98</v>
      </c>
      <c r="G126" s="6" t="s">
        <v>455</v>
      </c>
    </row>
    <row r="127" spans="1:7" ht="18.95" customHeight="1">
      <c r="A127" s="6" t="s">
        <v>456</v>
      </c>
      <c r="B127" s="6" t="s">
        <v>457</v>
      </c>
      <c r="C127" s="6" t="s">
        <v>458</v>
      </c>
      <c r="D127" s="6" t="s">
        <v>93</v>
      </c>
      <c r="E127" s="6" t="s">
        <v>46</v>
      </c>
      <c r="F127" s="6" t="s">
        <v>98</v>
      </c>
      <c r="G127" s="6" t="s">
        <v>459</v>
      </c>
    </row>
    <row r="128" spans="1:7" ht="18.95" customHeight="1">
      <c r="A128" s="6" t="s">
        <v>460</v>
      </c>
      <c r="B128" s="6" t="s">
        <v>457</v>
      </c>
      <c r="C128" s="6" t="s">
        <v>458</v>
      </c>
      <c r="D128" s="6" t="s">
        <v>97</v>
      </c>
      <c r="E128" s="6" t="s">
        <v>47</v>
      </c>
      <c r="F128" s="6" t="s">
        <v>98</v>
      </c>
      <c r="G128" s="6" t="s">
        <v>461</v>
      </c>
    </row>
    <row r="129" spans="1:7" ht="18.95" customHeight="1">
      <c r="A129" s="6" t="s">
        <v>462</v>
      </c>
      <c r="B129" s="6" t="s">
        <v>463</v>
      </c>
      <c r="C129" s="6" t="s">
        <v>464</v>
      </c>
      <c r="D129" s="6" t="s">
        <v>103</v>
      </c>
      <c r="E129" s="6" t="s">
        <v>48</v>
      </c>
      <c r="F129" s="6" t="s">
        <v>98</v>
      </c>
      <c r="G129" s="6" t="s">
        <v>465</v>
      </c>
    </row>
    <row r="130" spans="1:7" ht="18.95" customHeight="1">
      <c r="A130" s="6" t="s">
        <v>466</v>
      </c>
      <c r="B130" s="6" t="s">
        <v>463</v>
      </c>
      <c r="C130" s="6" t="s">
        <v>464</v>
      </c>
      <c r="D130" s="6" t="s">
        <v>93</v>
      </c>
      <c r="E130" s="6" t="s">
        <v>46</v>
      </c>
      <c r="F130" s="6" t="s">
        <v>98</v>
      </c>
      <c r="G130" s="6" t="s">
        <v>467</v>
      </c>
    </row>
    <row r="131" spans="1:7" ht="18.95" customHeight="1">
      <c r="A131" s="6" t="s">
        <v>468</v>
      </c>
      <c r="B131" s="6" t="s">
        <v>469</v>
      </c>
      <c r="C131" s="6" t="s">
        <v>470</v>
      </c>
      <c r="D131" s="6" t="s">
        <v>97</v>
      </c>
      <c r="E131" s="6" t="s">
        <v>47</v>
      </c>
      <c r="F131" s="6" t="s">
        <v>98</v>
      </c>
      <c r="G131" s="6" t="s">
        <v>471</v>
      </c>
    </row>
    <row r="132" spans="1:7" ht="18.95" customHeight="1">
      <c r="A132" s="6" t="s">
        <v>472</v>
      </c>
      <c r="B132" s="6" t="s">
        <v>469</v>
      </c>
      <c r="C132" s="6" t="s">
        <v>470</v>
      </c>
      <c r="D132" s="6" t="s">
        <v>103</v>
      </c>
      <c r="E132" s="6" t="s">
        <v>48</v>
      </c>
      <c r="F132" s="6" t="s">
        <v>98</v>
      </c>
      <c r="G132" s="6" t="s">
        <v>473</v>
      </c>
    </row>
    <row r="133" spans="1:7" ht="18.95" customHeight="1">
      <c r="A133" s="6" t="s">
        <v>474</v>
      </c>
      <c r="B133" s="6" t="s">
        <v>475</v>
      </c>
      <c r="C133" s="6" t="s">
        <v>476</v>
      </c>
      <c r="D133" s="6" t="s">
        <v>93</v>
      </c>
      <c r="E133" s="6" t="s">
        <v>46</v>
      </c>
      <c r="F133" s="6" t="s">
        <v>98</v>
      </c>
      <c r="G133" s="6" t="s">
        <v>477</v>
      </c>
    </row>
    <row r="134" spans="1:7" ht="18.95" customHeight="1">
      <c r="A134" s="6" t="s">
        <v>478</v>
      </c>
      <c r="B134" s="6" t="s">
        <v>475</v>
      </c>
      <c r="C134" s="6" t="s">
        <v>476</v>
      </c>
      <c r="D134" s="6" t="s">
        <v>97</v>
      </c>
      <c r="E134" s="6" t="s">
        <v>47</v>
      </c>
      <c r="F134" s="6" t="s">
        <v>98</v>
      </c>
      <c r="G134" s="6" t="s">
        <v>479</v>
      </c>
    </row>
    <row r="135" spans="1:7" ht="18.95" customHeight="1">
      <c r="A135" s="6" t="s">
        <v>480</v>
      </c>
      <c r="B135" s="6" t="s">
        <v>481</v>
      </c>
      <c r="C135" s="6" t="s">
        <v>482</v>
      </c>
      <c r="D135" s="6" t="s">
        <v>103</v>
      </c>
      <c r="E135" s="6" t="s">
        <v>48</v>
      </c>
      <c r="F135" s="6" t="s">
        <v>98</v>
      </c>
      <c r="G135" s="6" t="s">
        <v>483</v>
      </c>
    </row>
    <row r="136" spans="1:7" ht="18.95" customHeight="1">
      <c r="A136" s="6" t="s">
        <v>484</v>
      </c>
      <c r="B136" s="6" t="s">
        <v>481</v>
      </c>
      <c r="C136" s="6" t="s">
        <v>482</v>
      </c>
      <c r="D136" s="6" t="s">
        <v>93</v>
      </c>
      <c r="E136" s="6" t="s">
        <v>46</v>
      </c>
      <c r="F136" s="6" t="s">
        <v>98</v>
      </c>
      <c r="G136" s="6" t="s">
        <v>485</v>
      </c>
    </row>
    <row r="137" spans="1:7" ht="18.95" customHeight="1">
      <c r="A137" s="6" t="s">
        <v>486</v>
      </c>
      <c r="B137" s="6" t="s">
        <v>487</v>
      </c>
      <c r="C137" s="6" t="s">
        <v>488</v>
      </c>
      <c r="D137" s="6" t="s">
        <v>97</v>
      </c>
      <c r="E137" s="6" t="s">
        <v>47</v>
      </c>
      <c r="F137" s="6" t="s">
        <v>98</v>
      </c>
      <c r="G137" s="6" t="s">
        <v>489</v>
      </c>
    </row>
    <row r="138" spans="1:7" ht="18.95" customHeight="1">
      <c r="A138" s="6" t="s">
        <v>490</v>
      </c>
      <c r="B138" s="6" t="s">
        <v>487</v>
      </c>
      <c r="C138" s="6" t="s">
        <v>488</v>
      </c>
      <c r="D138" s="6" t="s">
        <v>103</v>
      </c>
      <c r="E138" s="6" t="s">
        <v>48</v>
      </c>
      <c r="F138" s="6" t="s">
        <v>98</v>
      </c>
      <c r="G138" s="6" t="s">
        <v>491</v>
      </c>
    </row>
    <row r="139" spans="1:7" ht="18.95" customHeight="1">
      <c r="A139" s="6" t="s">
        <v>492</v>
      </c>
      <c r="B139" s="6" t="s">
        <v>493</v>
      </c>
      <c r="C139" s="6" t="s">
        <v>494</v>
      </c>
      <c r="D139" s="6" t="s">
        <v>93</v>
      </c>
      <c r="E139" s="6" t="s">
        <v>46</v>
      </c>
      <c r="F139" s="6" t="s">
        <v>98</v>
      </c>
      <c r="G139" s="6" t="s">
        <v>495</v>
      </c>
    </row>
    <row r="140" spans="1:7" ht="18.95" customHeight="1">
      <c r="A140" s="6" t="s">
        <v>496</v>
      </c>
      <c r="B140" s="6" t="s">
        <v>493</v>
      </c>
      <c r="C140" s="6" t="s">
        <v>494</v>
      </c>
      <c r="D140" s="6" t="s">
        <v>97</v>
      </c>
      <c r="E140" s="6" t="s">
        <v>47</v>
      </c>
      <c r="F140" s="6" t="s">
        <v>98</v>
      </c>
      <c r="G140" s="6" t="s">
        <v>497</v>
      </c>
    </row>
    <row r="141" spans="1:7" ht="18.95" customHeight="1">
      <c r="A141" s="6" t="s">
        <v>498</v>
      </c>
      <c r="B141" s="6" t="s">
        <v>499</v>
      </c>
      <c r="C141" s="6" t="s">
        <v>500</v>
      </c>
      <c r="D141" s="6" t="s">
        <v>103</v>
      </c>
      <c r="E141" s="6" t="s">
        <v>48</v>
      </c>
      <c r="F141" s="6" t="s">
        <v>98</v>
      </c>
      <c r="G141" s="6" t="s">
        <v>501</v>
      </c>
    </row>
    <row r="142" spans="1:7" ht="18.95" customHeight="1">
      <c r="A142" s="6" t="s">
        <v>502</v>
      </c>
      <c r="B142" s="6" t="s">
        <v>499</v>
      </c>
      <c r="C142" s="6" t="s">
        <v>500</v>
      </c>
      <c r="D142" s="6" t="s">
        <v>93</v>
      </c>
      <c r="E142" s="6" t="s">
        <v>46</v>
      </c>
      <c r="F142" s="6" t="s">
        <v>98</v>
      </c>
      <c r="G142" s="6" t="s">
        <v>503</v>
      </c>
    </row>
    <row r="143" spans="1:7" ht="18.95" customHeight="1">
      <c r="A143" s="6" t="s">
        <v>504</v>
      </c>
      <c r="B143" s="6" t="s">
        <v>505</v>
      </c>
      <c r="C143" s="6" t="s">
        <v>506</v>
      </c>
      <c r="D143" s="6" t="s">
        <v>97</v>
      </c>
      <c r="E143" s="6" t="s">
        <v>47</v>
      </c>
      <c r="F143" s="6" t="s">
        <v>98</v>
      </c>
      <c r="G143" s="6" t="s">
        <v>507</v>
      </c>
    </row>
    <row r="144" spans="1:7" ht="18.95" customHeight="1">
      <c r="A144" s="6" t="s">
        <v>508</v>
      </c>
      <c r="B144" s="6" t="s">
        <v>505</v>
      </c>
      <c r="C144" s="6" t="s">
        <v>506</v>
      </c>
      <c r="D144" s="6" t="s">
        <v>103</v>
      </c>
      <c r="E144" s="6" t="s">
        <v>48</v>
      </c>
      <c r="F144" s="6" t="s">
        <v>98</v>
      </c>
      <c r="G144" s="6" t="s">
        <v>509</v>
      </c>
    </row>
    <row r="145" spans="1:7" ht="18.95" customHeight="1">
      <c r="A145" s="6" t="s">
        <v>510</v>
      </c>
      <c r="B145" s="6" t="s">
        <v>511</v>
      </c>
      <c r="C145" s="6" t="s">
        <v>512</v>
      </c>
      <c r="D145" s="6" t="s">
        <v>93</v>
      </c>
      <c r="E145" s="6" t="s">
        <v>46</v>
      </c>
      <c r="F145" s="6" t="s">
        <v>94</v>
      </c>
      <c r="G145" s="6" t="s">
        <v>513</v>
      </c>
    </row>
    <row r="146" spans="1:7" ht="18.95" customHeight="1">
      <c r="A146" s="6" t="s">
        <v>514</v>
      </c>
      <c r="B146" s="6" t="s">
        <v>511</v>
      </c>
      <c r="C146" s="6" t="s">
        <v>512</v>
      </c>
      <c r="D146" s="6" t="s">
        <v>97</v>
      </c>
      <c r="E146" s="6" t="s">
        <v>47</v>
      </c>
      <c r="F146" s="6" t="s">
        <v>98</v>
      </c>
      <c r="G146" s="6" t="s">
        <v>515</v>
      </c>
    </row>
    <row r="147" spans="1:7" ht="18.95" customHeight="1">
      <c r="A147" s="6" t="s">
        <v>516</v>
      </c>
      <c r="B147" s="6" t="s">
        <v>517</v>
      </c>
      <c r="C147" s="6" t="s">
        <v>518</v>
      </c>
      <c r="D147" s="6" t="s">
        <v>103</v>
      </c>
      <c r="E147" s="6" t="s">
        <v>48</v>
      </c>
      <c r="F147" s="6" t="s">
        <v>98</v>
      </c>
      <c r="G147" s="6" t="s">
        <v>519</v>
      </c>
    </row>
    <row r="148" spans="1:7" ht="18.95" customHeight="1">
      <c r="A148" s="6" t="s">
        <v>520</v>
      </c>
      <c r="B148" s="6" t="s">
        <v>517</v>
      </c>
      <c r="C148" s="6" t="s">
        <v>518</v>
      </c>
      <c r="D148" s="6" t="s">
        <v>93</v>
      </c>
      <c r="E148" s="6" t="s">
        <v>46</v>
      </c>
      <c r="F148" s="6" t="s">
        <v>98</v>
      </c>
      <c r="G148" s="6" t="s">
        <v>521</v>
      </c>
    </row>
    <row r="149" spans="1:7" ht="18.95" customHeight="1">
      <c r="A149" s="6" t="s">
        <v>522</v>
      </c>
      <c r="B149" s="6" t="s">
        <v>523</v>
      </c>
      <c r="C149" s="6" t="s">
        <v>524</v>
      </c>
      <c r="D149" s="6" t="s">
        <v>97</v>
      </c>
      <c r="E149" s="6" t="s">
        <v>47</v>
      </c>
      <c r="F149" s="6" t="s">
        <v>98</v>
      </c>
      <c r="G149" s="6" t="s">
        <v>525</v>
      </c>
    </row>
    <row r="150" spans="1:7" ht="18.95" customHeight="1">
      <c r="A150" s="6" t="s">
        <v>526</v>
      </c>
      <c r="B150" s="6" t="s">
        <v>523</v>
      </c>
      <c r="C150" s="6" t="s">
        <v>524</v>
      </c>
      <c r="D150" s="6" t="s">
        <v>103</v>
      </c>
      <c r="E150" s="6" t="s">
        <v>48</v>
      </c>
      <c r="F150" s="6" t="s">
        <v>98</v>
      </c>
      <c r="G150" s="6" t="s">
        <v>527</v>
      </c>
    </row>
    <row r="151" spans="1:7" ht="18.95" customHeight="1">
      <c r="A151" s="6" t="s">
        <v>528</v>
      </c>
      <c r="B151" s="6" t="s">
        <v>529</v>
      </c>
      <c r="C151" s="6" t="s">
        <v>530</v>
      </c>
      <c r="D151" s="6" t="s">
        <v>93</v>
      </c>
      <c r="E151" s="6" t="s">
        <v>46</v>
      </c>
      <c r="F151" s="6" t="s">
        <v>98</v>
      </c>
      <c r="G151" s="6" t="s">
        <v>531</v>
      </c>
    </row>
    <row r="152" spans="1:7" ht="18.95" customHeight="1">
      <c r="A152" s="6" t="s">
        <v>532</v>
      </c>
      <c r="B152" s="6" t="s">
        <v>529</v>
      </c>
      <c r="C152" s="6" t="s">
        <v>530</v>
      </c>
      <c r="D152" s="6" t="s">
        <v>97</v>
      </c>
      <c r="E152" s="6" t="s">
        <v>47</v>
      </c>
      <c r="F152" s="6" t="s">
        <v>98</v>
      </c>
      <c r="G152" s="6" t="s">
        <v>533</v>
      </c>
    </row>
    <row r="153" spans="1:7" ht="18.95" customHeight="1">
      <c r="A153" s="6" t="s">
        <v>534</v>
      </c>
      <c r="B153" s="6" t="s">
        <v>535</v>
      </c>
      <c r="C153" s="6" t="s">
        <v>536</v>
      </c>
      <c r="D153" s="6" t="s">
        <v>103</v>
      </c>
      <c r="E153" s="6" t="s">
        <v>48</v>
      </c>
      <c r="F153" s="6" t="s">
        <v>98</v>
      </c>
      <c r="G153" s="6" t="s">
        <v>537</v>
      </c>
    </row>
    <row r="154" spans="1:7" ht="18.95" customHeight="1">
      <c r="A154" s="6" t="s">
        <v>538</v>
      </c>
      <c r="B154" s="6" t="s">
        <v>535</v>
      </c>
      <c r="C154" s="6" t="s">
        <v>536</v>
      </c>
      <c r="D154" s="6" t="s">
        <v>93</v>
      </c>
      <c r="E154" s="6" t="s">
        <v>46</v>
      </c>
      <c r="F154" s="6" t="s">
        <v>98</v>
      </c>
      <c r="G154" s="6" t="s">
        <v>539</v>
      </c>
    </row>
    <row r="155" spans="1:7" ht="18.95" customHeight="1">
      <c r="A155" s="6" t="s">
        <v>540</v>
      </c>
      <c r="B155" s="6" t="s">
        <v>541</v>
      </c>
      <c r="C155" s="6" t="s">
        <v>542</v>
      </c>
      <c r="D155" s="6" t="s">
        <v>97</v>
      </c>
      <c r="E155" s="6" t="s">
        <v>47</v>
      </c>
      <c r="F155" s="6" t="s">
        <v>98</v>
      </c>
      <c r="G155" s="6" t="s">
        <v>543</v>
      </c>
    </row>
    <row r="156" spans="1:7" ht="18.95" customHeight="1">
      <c r="A156" s="6" t="s">
        <v>544</v>
      </c>
      <c r="B156" s="6" t="s">
        <v>541</v>
      </c>
      <c r="C156" s="6" t="s">
        <v>542</v>
      </c>
      <c r="D156" s="6" t="s">
        <v>103</v>
      </c>
      <c r="E156" s="6" t="s">
        <v>48</v>
      </c>
      <c r="F156" s="6" t="s">
        <v>98</v>
      </c>
      <c r="G156" s="6" t="s">
        <v>545</v>
      </c>
    </row>
    <row r="157" spans="1:7" ht="18.95" customHeight="1">
      <c r="A157" s="6" t="s">
        <v>546</v>
      </c>
      <c r="B157" s="6" t="s">
        <v>547</v>
      </c>
      <c r="C157" s="6" t="s">
        <v>548</v>
      </c>
      <c r="D157" s="6" t="s">
        <v>93</v>
      </c>
      <c r="E157" s="6" t="s">
        <v>46</v>
      </c>
      <c r="F157" s="6" t="s">
        <v>98</v>
      </c>
      <c r="G157" s="6" t="s">
        <v>549</v>
      </c>
    </row>
    <row r="158" spans="1:7" ht="18.95" customHeight="1">
      <c r="A158" s="6" t="s">
        <v>550</v>
      </c>
      <c r="B158" s="6" t="s">
        <v>547</v>
      </c>
      <c r="C158" s="6" t="s">
        <v>548</v>
      </c>
      <c r="D158" s="6" t="s">
        <v>97</v>
      </c>
      <c r="E158" s="6" t="s">
        <v>47</v>
      </c>
      <c r="F158" s="6" t="s">
        <v>98</v>
      </c>
      <c r="G158" s="6" t="s">
        <v>551</v>
      </c>
    </row>
    <row r="159" spans="1:7" ht="18.95" customHeight="1">
      <c r="A159" s="6" t="s">
        <v>552</v>
      </c>
      <c r="B159" s="6" t="s">
        <v>553</v>
      </c>
      <c r="C159" s="6" t="s">
        <v>554</v>
      </c>
      <c r="D159" s="6" t="s">
        <v>103</v>
      </c>
      <c r="E159" s="6" t="s">
        <v>48</v>
      </c>
      <c r="F159" s="6" t="s">
        <v>98</v>
      </c>
      <c r="G159" s="6" t="s">
        <v>555</v>
      </c>
    </row>
    <row r="160" spans="1:7" ht="18.95" customHeight="1">
      <c r="A160" s="6" t="s">
        <v>556</v>
      </c>
      <c r="B160" s="6" t="s">
        <v>553</v>
      </c>
      <c r="C160" s="6" t="s">
        <v>554</v>
      </c>
      <c r="D160" s="6" t="s">
        <v>93</v>
      </c>
      <c r="E160" s="6" t="s">
        <v>46</v>
      </c>
      <c r="F160" s="6" t="s">
        <v>98</v>
      </c>
      <c r="G160" s="6" t="s">
        <v>557</v>
      </c>
    </row>
    <row r="161" spans="1:7" ht="18.95" customHeight="1">
      <c r="A161" s="6" t="s">
        <v>558</v>
      </c>
      <c r="B161" s="6" t="s">
        <v>559</v>
      </c>
      <c r="C161" s="6" t="s">
        <v>560</v>
      </c>
      <c r="D161" s="6" t="s">
        <v>97</v>
      </c>
      <c r="E161" s="6" t="s">
        <v>47</v>
      </c>
      <c r="F161" s="6" t="s">
        <v>98</v>
      </c>
      <c r="G161" s="6" t="s">
        <v>561</v>
      </c>
    </row>
    <row r="162" spans="1:7" ht="18.95" customHeight="1">
      <c r="A162" s="6" t="s">
        <v>562</v>
      </c>
      <c r="B162" s="6" t="s">
        <v>559</v>
      </c>
      <c r="C162" s="6" t="s">
        <v>560</v>
      </c>
      <c r="D162" s="6" t="s">
        <v>103</v>
      </c>
      <c r="E162" s="6" t="s">
        <v>48</v>
      </c>
      <c r="F162" s="6" t="s">
        <v>98</v>
      </c>
      <c r="G162" s="6" t="s">
        <v>563</v>
      </c>
    </row>
    <row r="163" spans="1:7" ht="18.95" customHeight="1">
      <c r="A163" s="6" t="s">
        <v>564</v>
      </c>
      <c r="B163" s="6" t="s">
        <v>565</v>
      </c>
      <c r="C163" s="6" t="s">
        <v>566</v>
      </c>
      <c r="D163" s="6" t="s">
        <v>93</v>
      </c>
      <c r="E163" s="6" t="s">
        <v>46</v>
      </c>
      <c r="F163" s="6" t="s">
        <v>98</v>
      </c>
      <c r="G163" s="6" t="s">
        <v>567</v>
      </c>
    </row>
    <row r="164" spans="1:7" ht="18.95" customHeight="1">
      <c r="A164" s="6" t="s">
        <v>568</v>
      </c>
      <c r="B164" s="6" t="s">
        <v>565</v>
      </c>
      <c r="C164" s="6" t="s">
        <v>566</v>
      </c>
      <c r="D164" s="6" t="s">
        <v>97</v>
      </c>
      <c r="E164" s="6" t="s">
        <v>47</v>
      </c>
      <c r="F164" s="6" t="s">
        <v>98</v>
      </c>
      <c r="G164" s="6" t="s">
        <v>569</v>
      </c>
    </row>
    <row r="165" spans="1:7" ht="18.95" customHeight="1">
      <c r="A165" s="6" t="s">
        <v>570</v>
      </c>
      <c r="B165" s="6" t="s">
        <v>571</v>
      </c>
      <c r="C165" s="6" t="s">
        <v>572</v>
      </c>
      <c r="D165" s="6" t="s">
        <v>103</v>
      </c>
      <c r="E165" s="6" t="s">
        <v>48</v>
      </c>
      <c r="F165" s="6" t="s">
        <v>98</v>
      </c>
      <c r="G165" s="6" t="s">
        <v>573</v>
      </c>
    </row>
    <row r="166" spans="1:7" ht="18.95" customHeight="1">
      <c r="A166" s="6" t="s">
        <v>574</v>
      </c>
      <c r="B166" s="6" t="s">
        <v>571</v>
      </c>
      <c r="C166" s="6" t="s">
        <v>572</v>
      </c>
      <c r="D166" s="6" t="s">
        <v>93</v>
      </c>
      <c r="E166" s="6" t="s">
        <v>46</v>
      </c>
      <c r="F166" s="6" t="s">
        <v>98</v>
      </c>
      <c r="G166" s="6" t="s">
        <v>575</v>
      </c>
    </row>
    <row r="167" spans="1:7" ht="18.95" customHeight="1">
      <c r="A167" s="6" t="s">
        <v>576</v>
      </c>
      <c r="B167" s="6" t="s">
        <v>577</v>
      </c>
      <c r="C167" s="6" t="s">
        <v>578</v>
      </c>
      <c r="D167" s="6" t="s">
        <v>97</v>
      </c>
      <c r="E167" s="6" t="s">
        <v>47</v>
      </c>
      <c r="F167" s="6" t="s">
        <v>98</v>
      </c>
      <c r="G167" s="6" t="s">
        <v>579</v>
      </c>
    </row>
    <row r="168" spans="1:7" ht="18.95" customHeight="1">
      <c r="A168" s="6" t="s">
        <v>580</v>
      </c>
      <c r="B168" s="6" t="s">
        <v>577</v>
      </c>
      <c r="C168" s="6" t="s">
        <v>578</v>
      </c>
      <c r="D168" s="6" t="s">
        <v>103</v>
      </c>
      <c r="E168" s="6" t="s">
        <v>48</v>
      </c>
      <c r="F168" s="6" t="s">
        <v>94</v>
      </c>
      <c r="G168" s="6" t="s">
        <v>581</v>
      </c>
    </row>
    <row r="169" spans="1:7" ht="18.95" customHeight="1">
      <c r="A169" s="6" t="s">
        <v>582</v>
      </c>
      <c r="B169" s="6" t="s">
        <v>583</v>
      </c>
      <c r="C169" s="6" t="s">
        <v>584</v>
      </c>
      <c r="D169" s="6" t="s">
        <v>93</v>
      </c>
      <c r="E169" s="6" t="s">
        <v>46</v>
      </c>
      <c r="F169" s="6" t="s">
        <v>98</v>
      </c>
      <c r="G169" s="6" t="s">
        <v>585</v>
      </c>
    </row>
    <row r="170" spans="1:7" ht="18.95" customHeight="1">
      <c r="A170" s="6" t="s">
        <v>586</v>
      </c>
      <c r="B170" s="6" t="s">
        <v>583</v>
      </c>
      <c r="C170" s="6" t="s">
        <v>584</v>
      </c>
      <c r="D170" s="6" t="s">
        <v>97</v>
      </c>
      <c r="E170" s="6" t="s">
        <v>47</v>
      </c>
      <c r="F170" s="6" t="s">
        <v>98</v>
      </c>
      <c r="G170" s="6" t="s">
        <v>587</v>
      </c>
    </row>
    <row r="171" spans="1:7" ht="18.95" customHeight="1">
      <c r="A171" s="6" t="s">
        <v>588</v>
      </c>
      <c r="B171" s="6" t="s">
        <v>589</v>
      </c>
      <c r="C171" s="6" t="s">
        <v>590</v>
      </c>
      <c r="D171" s="6" t="s">
        <v>103</v>
      </c>
      <c r="E171" s="6" t="s">
        <v>48</v>
      </c>
      <c r="F171" s="6" t="s">
        <v>98</v>
      </c>
      <c r="G171" s="6" t="s">
        <v>591</v>
      </c>
    </row>
    <row r="172" spans="1:7" ht="18.95" customHeight="1">
      <c r="A172" s="6" t="s">
        <v>592</v>
      </c>
      <c r="B172" s="6" t="s">
        <v>589</v>
      </c>
      <c r="C172" s="6" t="s">
        <v>590</v>
      </c>
      <c r="D172" s="6" t="s">
        <v>93</v>
      </c>
      <c r="E172" s="6" t="s">
        <v>46</v>
      </c>
      <c r="F172" s="6" t="s">
        <v>98</v>
      </c>
      <c r="G172" s="6" t="s">
        <v>593</v>
      </c>
    </row>
    <row r="173" spans="1:7" ht="18.95" customHeight="1">
      <c r="A173" s="6" t="s">
        <v>594</v>
      </c>
      <c r="B173" s="6" t="s">
        <v>595</v>
      </c>
      <c r="C173" s="6" t="s">
        <v>596</v>
      </c>
      <c r="D173" s="6" t="s">
        <v>97</v>
      </c>
      <c r="E173" s="6" t="s">
        <v>47</v>
      </c>
      <c r="F173" s="6" t="s">
        <v>98</v>
      </c>
      <c r="G173" s="6" t="s">
        <v>597</v>
      </c>
    </row>
    <row r="174" spans="1:7" ht="18.95" customHeight="1">
      <c r="A174" s="6" t="s">
        <v>598</v>
      </c>
      <c r="B174" s="6" t="s">
        <v>595</v>
      </c>
      <c r="C174" s="6" t="s">
        <v>596</v>
      </c>
      <c r="D174" s="6" t="s">
        <v>103</v>
      </c>
      <c r="E174" s="6" t="s">
        <v>48</v>
      </c>
      <c r="F174" s="6" t="s">
        <v>98</v>
      </c>
      <c r="G174" s="6" t="s">
        <v>599</v>
      </c>
    </row>
    <row r="175" spans="1:7" ht="18.95" customHeight="1">
      <c r="A175" s="6" t="s">
        <v>600</v>
      </c>
      <c r="B175" s="6" t="s">
        <v>601</v>
      </c>
      <c r="C175" s="6" t="s">
        <v>602</v>
      </c>
      <c r="D175" s="6" t="s">
        <v>93</v>
      </c>
      <c r="E175" s="6" t="s">
        <v>46</v>
      </c>
      <c r="F175" s="6" t="s">
        <v>98</v>
      </c>
      <c r="G175" s="6" t="s">
        <v>603</v>
      </c>
    </row>
    <row r="176" spans="1:7" ht="18.95" customHeight="1">
      <c r="A176" s="6" t="s">
        <v>604</v>
      </c>
      <c r="B176" s="6" t="s">
        <v>601</v>
      </c>
      <c r="C176" s="6" t="s">
        <v>602</v>
      </c>
      <c r="D176" s="6" t="s">
        <v>97</v>
      </c>
      <c r="E176" s="6" t="s">
        <v>47</v>
      </c>
      <c r="F176" s="6" t="s">
        <v>98</v>
      </c>
      <c r="G176" s="6" t="s">
        <v>605</v>
      </c>
    </row>
    <row r="177" spans="1:7" ht="18.95" customHeight="1">
      <c r="A177" s="6" t="s">
        <v>606</v>
      </c>
      <c r="B177" s="6" t="s">
        <v>607</v>
      </c>
      <c r="C177" s="6" t="s">
        <v>608</v>
      </c>
      <c r="D177" s="6" t="s">
        <v>103</v>
      </c>
      <c r="E177" s="6" t="s">
        <v>5191</v>
      </c>
      <c r="F177" s="6" t="s">
        <v>98</v>
      </c>
      <c r="G177" s="6" t="s">
        <v>609</v>
      </c>
    </row>
    <row r="178" spans="1:7" ht="18.95" customHeight="1">
      <c r="A178" s="6" t="s">
        <v>610</v>
      </c>
      <c r="B178" s="6" t="s">
        <v>607</v>
      </c>
      <c r="C178" s="6" t="s">
        <v>611</v>
      </c>
      <c r="D178" s="6" t="s">
        <v>93</v>
      </c>
      <c r="E178" s="6" t="s">
        <v>46</v>
      </c>
      <c r="F178" s="6" t="s">
        <v>98</v>
      </c>
      <c r="G178" s="6" t="s">
        <v>612</v>
      </c>
    </row>
    <row r="179" spans="1:7" ht="18.95" customHeight="1">
      <c r="A179" s="6" t="s">
        <v>613</v>
      </c>
      <c r="B179" s="6" t="s">
        <v>614</v>
      </c>
      <c r="C179" s="6" t="s">
        <v>615</v>
      </c>
      <c r="D179" s="6" t="s">
        <v>97</v>
      </c>
      <c r="E179" s="6" t="s">
        <v>47</v>
      </c>
      <c r="F179" s="6" t="s">
        <v>98</v>
      </c>
      <c r="G179" s="6" t="s">
        <v>616</v>
      </c>
    </row>
    <row r="180" spans="1:7" ht="18.95" customHeight="1">
      <c r="A180" s="6" t="s">
        <v>617</v>
      </c>
      <c r="B180" s="6" t="s">
        <v>614</v>
      </c>
      <c r="C180" s="6" t="s">
        <v>615</v>
      </c>
      <c r="D180" s="6" t="s">
        <v>103</v>
      </c>
      <c r="E180" s="6" t="s">
        <v>48</v>
      </c>
      <c r="F180" s="6" t="s">
        <v>98</v>
      </c>
      <c r="G180" s="6" t="s">
        <v>618</v>
      </c>
    </row>
    <row r="181" spans="1:7" ht="18.95" customHeight="1">
      <c r="A181" s="6" t="s">
        <v>619</v>
      </c>
      <c r="B181" s="6" t="s">
        <v>620</v>
      </c>
      <c r="C181" s="6" t="s">
        <v>621</v>
      </c>
      <c r="D181" s="6" t="s">
        <v>93</v>
      </c>
      <c r="E181" s="6" t="s">
        <v>46</v>
      </c>
      <c r="F181" s="6" t="s">
        <v>98</v>
      </c>
      <c r="G181" s="6" t="s">
        <v>622</v>
      </c>
    </row>
    <row r="182" spans="1:7" ht="18.95" customHeight="1">
      <c r="A182" s="6" t="s">
        <v>623</v>
      </c>
      <c r="B182" s="6" t="s">
        <v>620</v>
      </c>
      <c r="C182" s="6" t="s">
        <v>621</v>
      </c>
      <c r="D182" s="6" t="s">
        <v>97</v>
      </c>
      <c r="E182" s="6" t="s">
        <v>47</v>
      </c>
      <c r="F182" s="6" t="s">
        <v>98</v>
      </c>
      <c r="G182" s="6" t="s">
        <v>624</v>
      </c>
    </row>
    <row r="183" spans="1:7" ht="18.95" customHeight="1">
      <c r="A183" s="6" t="s">
        <v>625</v>
      </c>
      <c r="B183" s="6" t="s">
        <v>626</v>
      </c>
      <c r="C183" s="6" t="s">
        <v>627</v>
      </c>
      <c r="D183" s="6" t="s">
        <v>103</v>
      </c>
      <c r="E183" s="6" t="s">
        <v>48</v>
      </c>
      <c r="F183" s="6" t="s">
        <v>98</v>
      </c>
      <c r="G183" s="6" t="s">
        <v>628</v>
      </c>
    </row>
    <row r="184" spans="1:7" ht="18.95" customHeight="1">
      <c r="A184" s="6" t="s">
        <v>629</v>
      </c>
      <c r="B184" s="6" t="s">
        <v>626</v>
      </c>
      <c r="C184" s="6" t="s">
        <v>627</v>
      </c>
      <c r="D184" s="6" t="s">
        <v>93</v>
      </c>
      <c r="E184" s="6" t="s">
        <v>46</v>
      </c>
      <c r="F184" s="6" t="s">
        <v>98</v>
      </c>
      <c r="G184" s="6" t="s">
        <v>630</v>
      </c>
    </row>
    <row r="185" spans="1:7" ht="18.95" customHeight="1">
      <c r="A185" s="6" t="s">
        <v>631</v>
      </c>
      <c r="B185" s="6" t="s">
        <v>632</v>
      </c>
      <c r="C185" s="6" t="s">
        <v>633</v>
      </c>
      <c r="D185" s="6" t="s">
        <v>97</v>
      </c>
      <c r="E185" s="6" t="s">
        <v>47</v>
      </c>
      <c r="F185" s="6" t="s">
        <v>98</v>
      </c>
      <c r="G185" s="6" t="s">
        <v>634</v>
      </c>
    </row>
    <row r="186" spans="1:7" ht="18.95" customHeight="1">
      <c r="A186" s="6" t="s">
        <v>635</v>
      </c>
      <c r="B186" s="6" t="s">
        <v>632</v>
      </c>
      <c r="C186" s="6" t="s">
        <v>633</v>
      </c>
      <c r="D186" s="6" t="s">
        <v>103</v>
      </c>
      <c r="E186" s="6" t="s">
        <v>48</v>
      </c>
      <c r="F186" s="6" t="s">
        <v>98</v>
      </c>
      <c r="G186" s="6" t="s">
        <v>636</v>
      </c>
    </row>
    <row r="187" spans="1:7" ht="18.95" customHeight="1">
      <c r="A187" s="6" t="s">
        <v>637</v>
      </c>
      <c r="B187" s="6" t="s">
        <v>638</v>
      </c>
      <c r="C187" s="6" t="s">
        <v>92</v>
      </c>
      <c r="D187" s="6" t="s">
        <v>93</v>
      </c>
      <c r="E187" s="6" t="s">
        <v>46</v>
      </c>
      <c r="F187" s="6" t="s">
        <v>98</v>
      </c>
      <c r="G187" s="6" t="s">
        <v>639</v>
      </c>
    </row>
    <row r="188" spans="1:7" ht="18.95" customHeight="1">
      <c r="A188" s="6" t="s">
        <v>640</v>
      </c>
      <c r="B188" s="6" t="s">
        <v>638</v>
      </c>
      <c r="C188" s="6" t="s">
        <v>92</v>
      </c>
      <c r="D188" s="6" t="s">
        <v>97</v>
      </c>
      <c r="E188" s="6" t="s">
        <v>47</v>
      </c>
      <c r="F188" s="6" t="s">
        <v>98</v>
      </c>
      <c r="G188" s="6" t="s">
        <v>641</v>
      </c>
    </row>
    <row r="189" spans="1:7" ht="18.95" customHeight="1">
      <c r="A189" s="6" t="s">
        <v>642</v>
      </c>
      <c r="B189" s="6" t="s">
        <v>643</v>
      </c>
      <c r="C189" s="6" t="s">
        <v>102</v>
      </c>
      <c r="D189" s="6" t="s">
        <v>103</v>
      </c>
      <c r="E189" s="6" t="s">
        <v>48</v>
      </c>
      <c r="F189" s="6" t="s">
        <v>98</v>
      </c>
      <c r="G189" s="6" t="s">
        <v>644</v>
      </c>
    </row>
    <row r="190" spans="1:7" ht="18.95" customHeight="1">
      <c r="A190" s="6" t="s">
        <v>645</v>
      </c>
      <c r="B190" s="6" t="s">
        <v>643</v>
      </c>
      <c r="C190" s="6" t="s">
        <v>102</v>
      </c>
      <c r="D190" s="6" t="s">
        <v>93</v>
      </c>
      <c r="E190" s="6" t="s">
        <v>46</v>
      </c>
      <c r="F190" s="6" t="s">
        <v>98</v>
      </c>
      <c r="G190" s="6" t="s">
        <v>646</v>
      </c>
    </row>
    <row r="191" spans="1:7" ht="18.95" customHeight="1">
      <c r="A191" s="6" t="s">
        <v>647</v>
      </c>
      <c r="B191" s="6" t="s">
        <v>648</v>
      </c>
      <c r="C191" s="6" t="s">
        <v>109</v>
      </c>
      <c r="D191" s="6" t="s">
        <v>97</v>
      </c>
      <c r="E191" s="6" t="s">
        <v>47</v>
      </c>
      <c r="F191" s="6" t="s">
        <v>94</v>
      </c>
      <c r="G191" s="6" t="s">
        <v>649</v>
      </c>
    </row>
    <row r="192" spans="1:7" ht="18.95" customHeight="1">
      <c r="A192" s="6" t="s">
        <v>650</v>
      </c>
      <c r="B192" s="6" t="s">
        <v>648</v>
      </c>
      <c r="C192" s="6" t="s">
        <v>109</v>
      </c>
      <c r="D192" s="6" t="s">
        <v>103</v>
      </c>
      <c r="E192" s="6" t="s">
        <v>48</v>
      </c>
      <c r="F192" s="6" t="s">
        <v>98</v>
      </c>
      <c r="G192" s="6" t="s">
        <v>651</v>
      </c>
    </row>
    <row r="193" spans="1:7" ht="18.95" customHeight="1">
      <c r="A193" s="6" t="s">
        <v>652</v>
      </c>
      <c r="B193" s="6" t="s">
        <v>653</v>
      </c>
      <c r="C193" s="6" t="s">
        <v>115</v>
      </c>
      <c r="D193" s="6" t="s">
        <v>93</v>
      </c>
      <c r="E193" s="6" t="s">
        <v>46</v>
      </c>
      <c r="F193" s="6" t="s">
        <v>98</v>
      </c>
      <c r="G193" s="6" t="s">
        <v>654</v>
      </c>
    </row>
    <row r="194" spans="1:7" ht="18.95" customHeight="1">
      <c r="A194" s="6" t="s">
        <v>655</v>
      </c>
      <c r="B194" s="6" t="s">
        <v>653</v>
      </c>
      <c r="C194" s="6" t="s">
        <v>115</v>
      </c>
      <c r="D194" s="6" t="s">
        <v>97</v>
      </c>
      <c r="E194" s="6" t="s">
        <v>47</v>
      </c>
      <c r="F194" s="6" t="s">
        <v>98</v>
      </c>
      <c r="G194" s="6" t="s">
        <v>656</v>
      </c>
    </row>
    <row r="195" spans="1:7" ht="18.95" customHeight="1">
      <c r="A195" s="6" t="s">
        <v>657</v>
      </c>
      <c r="B195" s="6" t="s">
        <v>658</v>
      </c>
      <c r="C195" s="6" t="s">
        <v>121</v>
      </c>
      <c r="D195" s="6" t="s">
        <v>103</v>
      </c>
      <c r="E195" s="6" t="s">
        <v>48</v>
      </c>
      <c r="F195" s="6" t="s">
        <v>98</v>
      </c>
      <c r="G195" s="6" t="s">
        <v>659</v>
      </c>
    </row>
    <row r="196" spans="1:7" ht="18.95" customHeight="1">
      <c r="A196" s="6" t="s">
        <v>660</v>
      </c>
      <c r="B196" s="6" t="s">
        <v>658</v>
      </c>
      <c r="C196" s="6" t="s">
        <v>121</v>
      </c>
      <c r="D196" s="6" t="s">
        <v>93</v>
      </c>
      <c r="E196" s="6" t="s">
        <v>46</v>
      </c>
      <c r="F196" s="6" t="s">
        <v>98</v>
      </c>
      <c r="G196" s="6" t="s">
        <v>661</v>
      </c>
    </row>
    <row r="197" spans="1:7" ht="18.95" customHeight="1">
      <c r="A197" s="6" t="s">
        <v>662</v>
      </c>
      <c r="B197" s="6" t="s">
        <v>663</v>
      </c>
      <c r="C197" s="6" t="s">
        <v>127</v>
      </c>
      <c r="D197" s="6" t="s">
        <v>97</v>
      </c>
      <c r="E197" s="6" t="s">
        <v>47</v>
      </c>
      <c r="F197" s="6" t="s">
        <v>98</v>
      </c>
      <c r="G197" s="6" t="s">
        <v>664</v>
      </c>
    </row>
    <row r="198" spans="1:7" ht="18.95" customHeight="1">
      <c r="A198" s="6" t="s">
        <v>665</v>
      </c>
      <c r="B198" s="6" t="s">
        <v>663</v>
      </c>
      <c r="C198" s="6" t="s">
        <v>127</v>
      </c>
      <c r="D198" s="6" t="s">
        <v>103</v>
      </c>
      <c r="E198" s="6" t="s">
        <v>48</v>
      </c>
      <c r="F198" s="6" t="s">
        <v>98</v>
      </c>
      <c r="G198" s="6" t="s">
        <v>666</v>
      </c>
    </row>
    <row r="199" spans="1:7" ht="18.95" customHeight="1">
      <c r="A199" s="6" t="s">
        <v>667</v>
      </c>
      <c r="B199" s="6" t="s">
        <v>668</v>
      </c>
      <c r="C199" s="6" t="s">
        <v>133</v>
      </c>
      <c r="D199" s="6" t="s">
        <v>93</v>
      </c>
      <c r="E199" s="6" t="s">
        <v>46</v>
      </c>
      <c r="F199" s="6" t="s">
        <v>98</v>
      </c>
      <c r="G199" s="6" t="s">
        <v>669</v>
      </c>
    </row>
    <row r="200" spans="1:7" ht="18.95" customHeight="1">
      <c r="A200" s="6" t="s">
        <v>670</v>
      </c>
      <c r="B200" s="6" t="s">
        <v>668</v>
      </c>
      <c r="C200" s="6" t="s">
        <v>133</v>
      </c>
      <c r="D200" s="6" t="s">
        <v>97</v>
      </c>
      <c r="E200" s="6" t="s">
        <v>47</v>
      </c>
      <c r="F200" s="6" t="s">
        <v>98</v>
      </c>
      <c r="G200" s="6" t="s">
        <v>671</v>
      </c>
    </row>
    <row r="201" spans="1:7" ht="18.95" customHeight="1">
      <c r="A201" s="6" t="s">
        <v>672</v>
      </c>
      <c r="B201" s="6" t="s">
        <v>673</v>
      </c>
      <c r="C201" s="6" t="s">
        <v>139</v>
      </c>
      <c r="D201" s="6" t="s">
        <v>103</v>
      </c>
      <c r="E201" s="6" t="s">
        <v>48</v>
      </c>
      <c r="F201" s="6" t="s">
        <v>98</v>
      </c>
      <c r="G201" s="6" t="s">
        <v>674</v>
      </c>
    </row>
    <row r="202" spans="1:7" ht="18.95" customHeight="1">
      <c r="A202" s="6" t="s">
        <v>675</v>
      </c>
      <c r="B202" s="6" t="s">
        <v>673</v>
      </c>
      <c r="C202" s="6" t="s">
        <v>139</v>
      </c>
      <c r="D202" s="6" t="s">
        <v>93</v>
      </c>
      <c r="E202" s="6" t="s">
        <v>46</v>
      </c>
      <c r="F202" s="6" t="s">
        <v>98</v>
      </c>
      <c r="G202" s="6" t="s">
        <v>676</v>
      </c>
    </row>
    <row r="203" spans="1:7" ht="18.95" customHeight="1">
      <c r="A203" s="6" t="s">
        <v>677</v>
      </c>
      <c r="B203" s="6" t="s">
        <v>678</v>
      </c>
      <c r="C203" s="6" t="s">
        <v>145</v>
      </c>
      <c r="D203" s="6" t="s">
        <v>97</v>
      </c>
      <c r="E203" s="6" t="s">
        <v>47</v>
      </c>
      <c r="F203" s="6" t="s">
        <v>98</v>
      </c>
      <c r="G203" s="6" t="s">
        <v>679</v>
      </c>
    </row>
    <row r="204" spans="1:7" ht="18.95" customHeight="1">
      <c r="A204" s="6" t="s">
        <v>680</v>
      </c>
      <c r="B204" s="6" t="s">
        <v>678</v>
      </c>
      <c r="C204" s="6" t="s">
        <v>145</v>
      </c>
      <c r="D204" s="6" t="s">
        <v>103</v>
      </c>
      <c r="E204" s="6" t="s">
        <v>48</v>
      </c>
      <c r="F204" s="6" t="s">
        <v>98</v>
      </c>
      <c r="G204" s="6" t="s">
        <v>681</v>
      </c>
    </row>
    <row r="205" spans="1:7" ht="18.95" customHeight="1">
      <c r="A205" s="6" t="s">
        <v>682</v>
      </c>
      <c r="B205" s="6" t="s">
        <v>683</v>
      </c>
      <c r="C205" s="6" t="s">
        <v>151</v>
      </c>
      <c r="D205" s="6" t="s">
        <v>93</v>
      </c>
      <c r="E205" s="6" t="s">
        <v>46</v>
      </c>
      <c r="F205" s="6" t="s">
        <v>98</v>
      </c>
      <c r="G205" s="6" t="s">
        <v>684</v>
      </c>
    </row>
    <row r="206" spans="1:7" ht="18.95" customHeight="1">
      <c r="A206" s="6" t="s">
        <v>685</v>
      </c>
      <c r="B206" s="6" t="s">
        <v>683</v>
      </c>
      <c r="C206" s="6" t="s">
        <v>151</v>
      </c>
      <c r="D206" s="6" t="s">
        <v>97</v>
      </c>
      <c r="E206" s="6" t="s">
        <v>47</v>
      </c>
      <c r="F206" s="6" t="s">
        <v>98</v>
      </c>
      <c r="G206" s="6" t="s">
        <v>686</v>
      </c>
    </row>
    <row r="207" spans="1:7" ht="18.95" customHeight="1">
      <c r="A207" s="6" t="s">
        <v>687</v>
      </c>
      <c r="B207" s="6" t="s">
        <v>688</v>
      </c>
      <c r="C207" s="6" t="s">
        <v>157</v>
      </c>
      <c r="D207" s="6" t="s">
        <v>103</v>
      </c>
      <c r="E207" s="6" t="s">
        <v>48</v>
      </c>
      <c r="F207" s="6" t="s">
        <v>98</v>
      </c>
      <c r="G207" s="6" t="s">
        <v>689</v>
      </c>
    </row>
    <row r="208" spans="1:7" ht="18.95" customHeight="1">
      <c r="A208" s="6" t="s">
        <v>690</v>
      </c>
      <c r="B208" s="6" t="s">
        <v>688</v>
      </c>
      <c r="C208" s="6" t="s">
        <v>157</v>
      </c>
      <c r="D208" s="6" t="s">
        <v>93</v>
      </c>
      <c r="E208" s="6" t="s">
        <v>46</v>
      </c>
      <c r="F208" s="6" t="s">
        <v>98</v>
      </c>
      <c r="G208" s="6" t="s">
        <v>691</v>
      </c>
    </row>
    <row r="209" spans="1:7" ht="18.95" customHeight="1">
      <c r="A209" s="6" t="s">
        <v>692</v>
      </c>
      <c r="B209" s="6" t="s">
        <v>693</v>
      </c>
      <c r="C209" s="6" t="s">
        <v>163</v>
      </c>
      <c r="D209" s="6" t="s">
        <v>97</v>
      </c>
      <c r="E209" s="6" t="s">
        <v>47</v>
      </c>
      <c r="F209" s="6" t="s">
        <v>98</v>
      </c>
      <c r="G209" s="6" t="s">
        <v>694</v>
      </c>
    </row>
    <row r="210" spans="1:7" ht="18.95" customHeight="1">
      <c r="A210" s="6" t="s">
        <v>695</v>
      </c>
      <c r="B210" s="6" t="s">
        <v>693</v>
      </c>
      <c r="C210" s="6" t="s">
        <v>163</v>
      </c>
      <c r="D210" s="6" t="s">
        <v>103</v>
      </c>
      <c r="E210" s="6" t="s">
        <v>48</v>
      </c>
      <c r="F210" s="6" t="s">
        <v>98</v>
      </c>
      <c r="G210" s="6" t="s">
        <v>696</v>
      </c>
    </row>
    <row r="211" spans="1:7" ht="18.95" customHeight="1">
      <c r="A211" s="6" t="s">
        <v>697</v>
      </c>
      <c r="B211" s="6" t="s">
        <v>698</v>
      </c>
      <c r="C211" s="6" t="s">
        <v>169</v>
      </c>
      <c r="D211" s="6" t="s">
        <v>93</v>
      </c>
      <c r="E211" s="6" t="s">
        <v>46</v>
      </c>
      <c r="F211" s="6" t="s">
        <v>98</v>
      </c>
      <c r="G211" s="6" t="s">
        <v>699</v>
      </c>
    </row>
    <row r="212" spans="1:7" ht="18.95" customHeight="1">
      <c r="A212" s="6" t="s">
        <v>700</v>
      </c>
      <c r="B212" s="6" t="s">
        <v>698</v>
      </c>
      <c r="C212" s="6" t="s">
        <v>169</v>
      </c>
      <c r="D212" s="6" t="s">
        <v>97</v>
      </c>
      <c r="E212" s="6" t="s">
        <v>47</v>
      </c>
      <c r="F212" s="6" t="s">
        <v>98</v>
      </c>
      <c r="G212" s="6" t="s">
        <v>701</v>
      </c>
    </row>
    <row r="213" spans="1:7" ht="18.95" customHeight="1">
      <c r="A213" s="6" t="s">
        <v>702</v>
      </c>
      <c r="B213" s="6" t="s">
        <v>703</v>
      </c>
      <c r="C213" s="6" t="s">
        <v>175</v>
      </c>
      <c r="D213" s="6" t="s">
        <v>103</v>
      </c>
      <c r="E213" s="6" t="s">
        <v>48</v>
      </c>
      <c r="F213" s="6" t="s">
        <v>98</v>
      </c>
      <c r="G213" s="6" t="s">
        <v>704</v>
      </c>
    </row>
    <row r="214" spans="1:7" ht="18.95" customHeight="1">
      <c r="A214" s="6" t="s">
        <v>705</v>
      </c>
      <c r="B214" s="6" t="s">
        <v>703</v>
      </c>
      <c r="C214" s="6" t="s">
        <v>175</v>
      </c>
      <c r="D214" s="6" t="s">
        <v>93</v>
      </c>
      <c r="E214" s="6" t="s">
        <v>46</v>
      </c>
      <c r="F214" s="6" t="s">
        <v>94</v>
      </c>
      <c r="G214" s="6" t="s">
        <v>706</v>
      </c>
    </row>
    <row r="215" spans="1:7" ht="18.95" customHeight="1">
      <c r="A215" s="6" t="s">
        <v>707</v>
      </c>
      <c r="B215" s="6" t="s">
        <v>708</v>
      </c>
      <c r="C215" s="6" t="s">
        <v>181</v>
      </c>
      <c r="D215" s="6" t="s">
        <v>97</v>
      </c>
      <c r="E215" s="6" t="s">
        <v>47</v>
      </c>
      <c r="F215" s="6" t="s">
        <v>98</v>
      </c>
      <c r="G215" s="6" t="s">
        <v>709</v>
      </c>
    </row>
    <row r="216" spans="1:7" ht="18.95" customHeight="1">
      <c r="A216" s="6" t="s">
        <v>710</v>
      </c>
      <c r="B216" s="6" t="s">
        <v>708</v>
      </c>
      <c r="C216" s="6" t="s">
        <v>181</v>
      </c>
      <c r="D216" s="6" t="s">
        <v>103</v>
      </c>
      <c r="E216" s="6" t="s">
        <v>48</v>
      </c>
      <c r="F216" s="6" t="s">
        <v>98</v>
      </c>
      <c r="G216" s="6" t="s">
        <v>711</v>
      </c>
    </row>
    <row r="217" spans="1:7" ht="18.95" customHeight="1">
      <c r="A217" s="6" t="s">
        <v>712</v>
      </c>
      <c r="B217" s="6" t="s">
        <v>713</v>
      </c>
      <c r="C217" s="6" t="s">
        <v>187</v>
      </c>
      <c r="D217" s="6" t="s">
        <v>93</v>
      </c>
      <c r="E217" s="6" t="s">
        <v>46</v>
      </c>
      <c r="F217" s="6" t="s">
        <v>98</v>
      </c>
      <c r="G217" s="6" t="s">
        <v>714</v>
      </c>
    </row>
    <row r="218" spans="1:7" ht="18.95" customHeight="1">
      <c r="A218" s="6" t="s">
        <v>715</v>
      </c>
      <c r="B218" s="6" t="s">
        <v>713</v>
      </c>
      <c r="C218" s="6" t="s">
        <v>187</v>
      </c>
      <c r="D218" s="6" t="s">
        <v>97</v>
      </c>
      <c r="E218" s="6" t="s">
        <v>47</v>
      </c>
      <c r="F218" s="6" t="s">
        <v>98</v>
      </c>
      <c r="G218" s="6" t="s">
        <v>716</v>
      </c>
    </row>
    <row r="219" spans="1:7" ht="18.95" customHeight="1">
      <c r="A219" s="6" t="s">
        <v>717</v>
      </c>
      <c r="B219" s="6" t="s">
        <v>718</v>
      </c>
      <c r="C219" s="6" t="s">
        <v>193</v>
      </c>
      <c r="D219" s="6" t="s">
        <v>103</v>
      </c>
      <c r="E219" s="6" t="s">
        <v>48</v>
      </c>
      <c r="F219" s="6" t="s">
        <v>98</v>
      </c>
      <c r="G219" s="6" t="s">
        <v>719</v>
      </c>
    </row>
    <row r="220" spans="1:7" ht="18.95" customHeight="1">
      <c r="A220" s="6" t="s">
        <v>720</v>
      </c>
      <c r="B220" s="6" t="s">
        <v>718</v>
      </c>
      <c r="C220" s="6" t="s">
        <v>193</v>
      </c>
      <c r="D220" s="6" t="s">
        <v>93</v>
      </c>
      <c r="E220" s="6" t="s">
        <v>46</v>
      </c>
      <c r="F220" s="6" t="s">
        <v>98</v>
      </c>
      <c r="G220" s="6" t="s">
        <v>721</v>
      </c>
    </row>
    <row r="221" spans="1:7" ht="18.95" customHeight="1">
      <c r="A221" s="6" t="s">
        <v>722</v>
      </c>
      <c r="B221" s="6" t="s">
        <v>723</v>
      </c>
      <c r="C221" s="6" t="s">
        <v>200</v>
      </c>
      <c r="D221" s="6" t="s">
        <v>97</v>
      </c>
      <c r="E221" s="6" t="s">
        <v>47</v>
      </c>
      <c r="F221" s="6" t="s">
        <v>98</v>
      </c>
      <c r="G221" s="6" t="s">
        <v>724</v>
      </c>
    </row>
    <row r="222" spans="1:7" ht="18.95" customHeight="1">
      <c r="A222" s="6" t="s">
        <v>725</v>
      </c>
      <c r="B222" s="6" t="s">
        <v>723</v>
      </c>
      <c r="C222" s="6" t="s">
        <v>200</v>
      </c>
      <c r="D222" s="6" t="s">
        <v>103</v>
      </c>
      <c r="E222" s="6" t="s">
        <v>48</v>
      </c>
      <c r="F222" s="6" t="s">
        <v>98</v>
      </c>
      <c r="G222" s="6" t="s">
        <v>726</v>
      </c>
    </row>
    <row r="223" spans="1:7" ht="18.95" customHeight="1">
      <c r="A223" s="6" t="s">
        <v>727</v>
      </c>
      <c r="B223" s="6" t="s">
        <v>728</v>
      </c>
      <c r="C223" s="6" t="s">
        <v>206</v>
      </c>
      <c r="D223" s="6" t="s">
        <v>93</v>
      </c>
      <c r="E223" s="6" t="s">
        <v>46</v>
      </c>
      <c r="F223" s="6" t="s">
        <v>98</v>
      </c>
      <c r="G223" s="6" t="s">
        <v>729</v>
      </c>
    </row>
    <row r="224" spans="1:7" ht="18.95" customHeight="1">
      <c r="A224" s="6" t="s">
        <v>730</v>
      </c>
      <c r="B224" s="6" t="s">
        <v>728</v>
      </c>
      <c r="C224" s="6" t="s">
        <v>206</v>
      </c>
      <c r="D224" s="6" t="s">
        <v>97</v>
      </c>
      <c r="E224" s="6" t="s">
        <v>47</v>
      </c>
      <c r="F224" s="6" t="s">
        <v>98</v>
      </c>
      <c r="G224" s="6" t="s">
        <v>731</v>
      </c>
    </row>
    <row r="225" spans="1:7" ht="18.95" customHeight="1">
      <c r="A225" s="6" t="s">
        <v>732</v>
      </c>
      <c r="B225" s="6" t="s">
        <v>733</v>
      </c>
      <c r="C225" s="6" t="s">
        <v>212</v>
      </c>
      <c r="D225" s="6" t="s">
        <v>103</v>
      </c>
      <c r="E225" s="6" t="s">
        <v>48</v>
      </c>
      <c r="F225" s="6" t="s">
        <v>98</v>
      </c>
      <c r="G225" s="6" t="s">
        <v>734</v>
      </c>
    </row>
    <row r="226" spans="1:7" ht="18.95" customHeight="1">
      <c r="A226" s="6" t="s">
        <v>735</v>
      </c>
      <c r="B226" s="6" t="s">
        <v>733</v>
      </c>
      <c r="C226" s="6" t="s">
        <v>212</v>
      </c>
      <c r="D226" s="6" t="s">
        <v>93</v>
      </c>
      <c r="E226" s="6" t="s">
        <v>46</v>
      </c>
      <c r="F226" s="6" t="s">
        <v>98</v>
      </c>
      <c r="G226" s="6" t="s">
        <v>736</v>
      </c>
    </row>
    <row r="227" spans="1:7" ht="18.95" customHeight="1">
      <c r="A227" s="6" t="s">
        <v>737</v>
      </c>
      <c r="B227" s="6" t="s">
        <v>738</v>
      </c>
      <c r="C227" s="6" t="s">
        <v>218</v>
      </c>
      <c r="D227" s="6" t="s">
        <v>97</v>
      </c>
      <c r="E227" s="6" t="s">
        <v>47</v>
      </c>
      <c r="F227" s="6" t="s">
        <v>98</v>
      </c>
      <c r="G227" s="6" t="s">
        <v>739</v>
      </c>
    </row>
    <row r="228" spans="1:7" ht="18.95" customHeight="1">
      <c r="A228" s="6" t="s">
        <v>740</v>
      </c>
      <c r="B228" s="6" t="s">
        <v>738</v>
      </c>
      <c r="C228" s="6" t="s">
        <v>218</v>
      </c>
      <c r="D228" s="6" t="s">
        <v>103</v>
      </c>
      <c r="E228" s="6" t="s">
        <v>48</v>
      </c>
      <c r="F228" s="6" t="s">
        <v>98</v>
      </c>
      <c r="G228" s="6" t="s">
        <v>741</v>
      </c>
    </row>
    <row r="229" spans="1:7" ht="18.95" customHeight="1">
      <c r="A229" s="6" t="s">
        <v>742</v>
      </c>
      <c r="B229" s="6" t="s">
        <v>743</v>
      </c>
      <c r="C229" s="6" t="s">
        <v>224</v>
      </c>
      <c r="D229" s="6" t="s">
        <v>93</v>
      </c>
      <c r="E229" s="6" t="s">
        <v>46</v>
      </c>
      <c r="F229" s="6" t="s">
        <v>98</v>
      </c>
      <c r="G229" s="6" t="s">
        <v>744</v>
      </c>
    </row>
    <row r="230" spans="1:7" ht="18.95" customHeight="1">
      <c r="A230" s="6" t="s">
        <v>745</v>
      </c>
      <c r="B230" s="6" t="s">
        <v>743</v>
      </c>
      <c r="C230" s="6" t="s">
        <v>224</v>
      </c>
      <c r="D230" s="6" t="s">
        <v>97</v>
      </c>
      <c r="E230" s="6" t="s">
        <v>47</v>
      </c>
      <c r="F230" s="6" t="s">
        <v>98</v>
      </c>
      <c r="G230" s="6" t="s">
        <v>746</v>
      </c>
    </row>
    <row r="231" spans="1:7" ht="18.95" customHeight="1">
      <c r="A231" s="6" t="s">
        <v>747</v>
      </c>
      <c r="B231" s="6" t="s">
        <v>748</v>
      </c>
      <c r="C231" s="6" t="s">
        <v>230</v>
      </c>
      <c r="D231" s="6" t="s">
        <v>103</v>
      </c>
      <c r="E231" s="6" t="s">
        <v>48</v>
      </c>
      <c r="F231" s="6" t="s">
        <v>98</v>
      </c>
      <c r="G231" s="6" t="s">
        <v>749</v>
      </c>
    </row>
    <row r="232" spans="1:7" ht="18.95" customHeight="1">
      <c r="A232" s="6" t="s">
        <v>750</v>
      </c>
      <c r="B232" s="6" t="s">
        <v>748</v>
      </c>
      <c r="C232" s="6" t="s">
        <v>230</v>
      </c>
      <c r="D232" s="6" t="s">
        <v>93</v>
      </c>
      <c r="E232" s="6" t="s">
        <v>46</v>
      </c>
      <c r="F232" s="6" t="s">
        <v>98</v>
      </c>
      <c r="G232" s="6" t="s">
        <v>751</v>
      </c>
    </row>
    <row r="233" spans="1:7" ht="18.95" customHeight="1">
      <c r="A233" s="6" t="s">
        <v>752</v>
      </c>
      <c r="B233" s="6" t="s">
        <v>753</v>
      </c>
      <c r="C233" s="6" t="s">
        <v>236</v>
      </c>
      <c r="D233" s="6" t="s">
        <v>97</v>
      </c>
      <c r="E233" s="6" t="s">
        <v>47</v>
      </c>
      <c r="F233" s="6" t="s">
        <v>98</v>
      </c>
      <c r="G233" s="6" t="s">
        <v>754</v>
      </c>
    </row>
    <row r="234" spans="1:7" ht="18.95" customHeight="1">
      <c r="A234" s="6" t="s">
        <v>755</v>
      </c>
      <c r="B234" s="6" t="s">
        <v>753</v>
      </c>
      <c r="C234" s="6" t="s">
        <v>236</v>
      </c>
      <c r="D234" s="6" t="s">
        <v>103</v>
      </c>
      <c r="E234" s="6" t="s">
        <v>48</v>
      </c>
      <c r="F234" s="6" t="s">
        <v>98</v>
      </c>
      <c r="G234" s="6" t="s">
        <v>756</v>
      </c>
    </row>
    <row r="235" spans="1:7" ht="18.95" customHeight="1">
      <c r="A235" s="6" t="s">
        <v>757</v>
      </c>
      <c r="B235" s="6" t="s">
        <v>758</v>
      </c>
      <c r="C235" s="6" t="s">
        <v>242</v>
      </c>
      <c r="D235" s="6" t="s">
        <v>93</v>
      </c>
      <c r="E235" s="6" t="s">
        <v>46</v>
      </c>
      <c r="F235" s="6" t="s">
        <v>98</v>
      </c>
      <c r="G235" s="6" t="s">
        <v>759</v>
      </c>
    </row>
    <row r="236" spans="1:7" ht="18.95" customHeight="1">
      <c r="A236" s="6" t="s">
        <v>760</v>
      </c>
      <c r="B236" s="6" t="s">
        <v>758</v>
      </c>
      <c r="C236" s="6" t="s">
        <v>242</v>
      </c>
      <c r="D236" s="6" t="s">
        <v>97</v>
      </c>
      <c r="E236" s="6" t="s">
        <v>47</v>
      </c>
      <c r="F236" s="6" t="s">
        <v>98</v>
      </c>
      <c r="G236" s="6" t="s">
        <v>761</v>
      </c>
    </row>
    <row r="237" spans="1:7" ht="18.95" customHeight="1">
      <c r="A237" s="6" t="s">
        <v>762</v>
      </c>
      <c r="B237" s="6" t="s">
        <v>763</v>
      </c>
      <c r="C237" s="6" t="s">
        <v>248</v>
      </c>
      <c r="D237" s="6" t="s">
        <v>103</v>
      </c>
      <c r="E237" s="6" t="s">
        <v>48</v>
      </c>
      <c r="F237" s="6" t="s">
        <v>94</v>
      </c>
      <c r="G237" s="6" t="s">
        <v>764</v>
      </c>
    </row>
    <row r="238" spans="1:7" ht="18.95" customHeight="1">
      <c r="A238" s="6" t="s">
        <v>765</v>
      </c>
      <c r="B238" s="6" t="s">
        <v>763</v>
      </c>
      <c r="C238" s="6" t="s">
        <v>248</v>
      </c>
      <c r="D238" s="6" t="s">
        <v>93</v>
      </c>
      <c r="E238" s="6" t="s">
        <v>46</v>
      </c>
      <c r="F238" s="6" t="s">
        <v>98</v>
      </c>
      <c r="G238" s="6" t="s">
        <v>766</v>
      </c>
    </row>
    <row r="239" spans="1:7" ht="18.95" customHeight="1">
      <c r="A239" s="6" t="s">
        <v>767</v>
      </c>
      <c r="B239" s="6" t="s">
        <v>768</v>
      </c>
      <c r="C239" s="6" t="s">
        <v>254</v>
      </c>
      <c r="D239" s="6" t="s">
        <v>97</v>
      </c>
      <c r="E239" s="6" t="s">
        <v>47</v>
      </c>
      <c r="F239" s="6" t="s">
        <v>98</v>
      </c>
      <c r="G239" s="6" t="s">
        <v>769</v>
      </c>
    </row>
    <row r="240" spans="1:7" ht="18.95" customHeight="1">
      <c r="A240" s="6" t="s">
        <v>770</v>
      </c>
      <c r="B240" s="6" t="s">
        <v>768</v>
      </c>
      <c r="C240" s="6" t="s">
        <v>254</v>
      </c>
      <c r="D240" s="6" t="s">
        <v>103</v>
      </c>
      <c r="E240" s="6" t="s">
        <v>5191</v>
      </c>
      <c r="F240" s="6" t="s">
        <v>98</v>
      </c>
      <c r="G240" s="6" t="s">
        <v>771</v>
      </c>
    </row>
    <row r="241" spans="1:7" ht="18.95" customHeight="1">
      <c r="A241" s="6" t="s">
        <v>772</v>
      </c>
      <c r="B241" s="6" t="s">
        <v>773</v>
      </c>
      <c r="C241" s="6" t="s">
        <v>260</v>
      </c>
      <c r="D241" s="6" t="s">
        <v>93</v>
      </c>
      <c r="E241" s="6" t="s">
        <v>46</v>
      </c>
      <c r="F241" s="6" t="s">
        <v>98</v>
      </c>
      <c r="G241" s="6" t="s">
        <v>774</v>
      </c>
    </row>
    <row r="242" spans="1:7" ht="18.95" customHeight="1">
      <c r="A242" s="6" t="s">
        <v>775</v>
      </c>
      <c r="B242" s="6" t="s">
        <v>773</v>
      </c>
      <c r="C242" s="6" t="s">
        <v>260</v>
      </c>
      <c r="D242" s="6" t="s">
        <v>97</v>
      </c>
      <c r="E242" s="6" t="s">
        <v>47</v>
      </c>
      <c r="F242" s="6" t="s">
        <v>98</v>
      </c>
      <c r="G242" s="6" t="s">
        <v>776</v>
      </c>
    </row>
    <row r="243" spans="1:7" ht="18.95" customHeight="1">
      <c r="A243" s="6" t="s">
        <v>777</v>
      </c>
      <c r="B243" s="6" t="s">
        <v>778</v>
      </c>
      <c r="C243" s="6" t="s">
        <v>266</v>
      </c>
      <c r="D243" s="6" t="s">
        <v>103</v>
      </c>
      <c r="E243" s="6" t="s">
        <v>48</v>
      </c>
      <c r="F243" s="6" t="s">
        <v>98</v>
      </c>
      <c r="G243" s="6" t="s">
        <v>779</v>
      </c>
    </row>
    <row r="244" spans="1:7" ht="18.95" customHeight="1">
      <c r="A244" s="6" t="s">
        <v>780</v>
      </c>
      <c r="B244" s="6" t="s">
        <v>778</v>
      </c>
      <c r="C244" s="6" t="s">
        <v>266</v>
      </c>
      <c r="D244" s="6" t="s">
        <v>93</v>
      </c>
      <c r="E244" s="6" t="s">
        <v>46</v>
      </c>
      <c r="F244" s="6" t="s">
        <v>98</v>
      </c>
      <c r="G244" s="6" t="s">
        <v>781</v>
      </c>
    </row>
    <row r="245" spans="1:7" ht="18.95" customHeight="1">
      <c r="A245" s="6" t="s">
        <v>782</v>
      </c>
      <c r="B245" s="6" t="s">
        <v>783</v>
      </c>
      <c r="C245" s="6" t="s">
        <v>272</v>
      </c>
      <c r="D245" s="6" t="s">
        <v>97</v>
      </c>
      <c r="E245" s="6" t="s">
        <v>47</v>
      </c>
      <c r="F245" s="6" t="s">
        <v>98</v>
      </c>
      <c r="G245" s="6" t="s">
        <v>784</v>
      </c>
    </row>
    <row r="246" spans="1:7" ht="18.95" customHeight="1">
      <c r="A246" s="6" t="s">
        <v>785</v>
      </c>
      <c r="B246" s="6" t="s">
        <v>783</v>
      </c>
      <c r="C246" s="6" t="s">
        <v>272</v>
      </c>
      <c r="D246" s="6" t="s">
        <v>103</v>
      </c>
      <c r="E246" s="6" t="s">
        <v>48</v>
      </c>
      <c r="F246" s="6" t="s">
        <v>98</v>
      </c>
      <c r="G246" s="6" t="s">
        <v>786</v>
      </c>
    </row>
    <row r="247" spans="1:7" ht="18.95" customHeight="1">
      <c r="A247" s="6" t="s">
        <v>787</v>
      </c>
      <c r="B247" s="6" t="s">
        <v>788</v>
      </c>
      <c r="C247" s="6" t="s">
        <v>278</v>
      </c>
      <c r="D247" s="6" t="s">
        <v>93</v>
      </c>
      <c r="E247" s="6" t="s">
        <v>46</v>
      </c>
      <c r="F247" s="6" t="s">
        <v>98</v>
      </c>
      <c r="G247" s="6" t="s">
        <v>789</v>
      </c>
    </row>
    <row r="248" spans="1:7" ht="18.95" customHeight="1">
      <c r="A248" s="6" t="s">
        <v>790</v>
      </c>
      <c r="B248" s="6" t="s">
        <v>788</v>
      </c>
      <c r="C248" s="6" t="s">
        <v>278</v>
      </c>
      <c r="D248" s="6" t="s">
        <v>97</v>
      </c>
      <c r="E248" s="6" t="s">
        <v>47</v>
      </c>
      <c r="F248" s="6" t="s">
        <v>98</v>
      </c>
      <c r="G248" s="6" t="s">
        <v>791</v>
      </c>
    </row>
    <row r="249" spans="1:7" ht="18.95" customHeight="1">
      <c r="A249" s="6" t="s">
        <v>792</v>
      </c>
      <c r="B249" s="6" t="s">
        <v>793</v>
      </c>
      <c r="C249" s="6" t="s">
        <v>284</v>
      </c>
      <c r="D249" s="6" t="s">
        <v>103</v>
      </c>
      <c r="E249" s="6" t="s">
        <v>48</v>
      </c>
      <c r="F249" s="6" t="s">
        <v>98</v>
      </c>
      <c r="G249" s="6" t="s">
        <v>794</v>
      </c>
    </row>
    <row r="250" spans="1:7" ht="18.95" customHeight="1">
      <c r="A250" s="6" t="s">
        <v>795</v>
      </c>
      <c r="B250" s="6" t="s">
        <v>793</v>
      </c>
      <c r="C250" s="6" t="s">
        <v>284</v>
      </c>
      <c r="D250" s="6" t="s">
        <v>93</v>
      </c>
      <c r="E250" s="6" t="s">
        <v>46</v>
      </c>
      <c r="F250" s="6" t="s">
        <v>98</v>
      </c>
      <c r="G250" s="6" t="s">
        <v>796</v>
      </c>
    </row>
    <row r="251" spans="1:7" ht="18.95" customHeight="1">
      <c r="A251" s="6" t="s">
        <v>797</v>
      </c>
      <c r="B251" s="6" t="s">
        <v>798</v>
      </c>
      <c r="C251" s="6" t="s">
        <v>290</v>
      </c>
      <c r="D251" s="6" t="s">
        <v>97</v>
      </c>
      <c r="E251" s="6" t="s">
        <v>47</v>
      </c>
      <c r="F251" s="6" t="s">
        <v>98</v>
      </c>
      <c r="G251" s="6" t="s">
        <v>799</v>
      </c>
    </row>
    <row r="252" spans="1:7" ht="18.95" customHeight="1">
      <c r="A252" s="6" t="s">
        <v>800</v>
      </c>
      <c r="B252" s="6" t="s">
        <v>798</v>
      </c>
      <c r="C252" s="6" t="s">
        <v>290</v>
      </c>
      <c r="D252" s="6" t="s">
        <v>103</v>
      </c>
      <c r="E252" s="6" t="s">
        <v>48</v>
      </c>
      <c r="F252" s="6" t="s">
        <v>98</v>
      </c>
      <c r="G252" s="6" t="s">
        <v>801</v>
      </c>
    </row>
    <row r="253" spans="1:7" ht="18.95" customHeight="1">
      <c r="A253" s="6" t="s">
        <v>802</v>
      </c>
      <c r="B253" s="6" t="s">
        <v>803</v>
      </c>
      <c r="C253" s="6" t="s">
        <v>296</v>
      </c>
      <c r="D253" s="6" t="s">
        <v>93</v>
      </c>
      <c r="E253" s="6" t="s">
        <v>46</v>
      </c>
      <c r="F253" s="6" t="s">
        <v>98</v>
      </c>
      <c r="G253" s="6" t="s">
        <v>804</v>
      </c>
    </row>
    <row r="254" spans="1:7" ht="18.95" customHeight="1">
      <c r="A254" s="6" t="s">
        <v>805</v>
      </c>
      <c r="B254" s="6" t="s">
        <v>803</v>
      </c>
      <c r="C254" s="6" t="s">
        <v>296</v>
      </c>
      <c r="D254" s="6" t="s">
        <v>97</v>
      </c>
      <c r="E254" s="6" t="s">
        <v>47</v>
      </c>
      <c r="F254" s="6" t="s">
        <v>98</v>
      </c>
      <c r="G254" s="6" t="s">
        <v>806</v>
      </c>
    </row>
    <row r="255" spans="1:7" ht="18.95" customHeight="1">
      <c r="A255" s="6" t="s">
        <v>807</v>
      </c>
      <c r="B255" s="6" t="s">
        <v>808</v>
      </c>
      <c r="C255" s="6" t="s">
        <v>302</v>
      </c>
      <c r="D255" s="6" t="s">
        <v>103</v>
      </c>
      <c r="E255" s="6" t="s">
        <v>48</v>
      </c>
      <c r="F255" s="6" t="s">
        <v>98</v>
      </c>
      <c r="G255" s="6" t="s">
        <v>809</v>
      </c>
    </row>
    <row r="256" spans="1:7" ht="18.95" customHeight="1">
      <c r="A256" s="6" t="s">
        <v>810</v>
      </c>
      <c r="B256" s="6" t="s">
        <v>808</v>
      </c>
      <c r="C256" s="6" t="s">
        <v>302</v>
      </c>
      <c r="D256" s="6" t="s">
        <v>93</v>
      </c>
      <c r="E256" s="6" t="s">
        <v>46</v>
      </c>
      <c r="F256" s="6" t="s">
        <v>98</v>
      </c>
      <c r="G256" s="6" t="s">
        <v>811</v>
      </c>
    </row>
    <row r="257" spans="1:7" ht="18.95" customHeight="1">
      <c r="A257" s="6" t="s">
        <v>812</v>
      </c>
      <c r="B257" s="6" t="s">
        <v>813</v>
      </c>
      <c r="C257" s="6" t="s">
        <v>308</v>
      </c>
      <c r="D257" s="6" t="s">
        <v>97</v>
      </c>
      <c r="E257" s="6" t="s">
        <v>47</v>
      </c>
      <c r="F257" s="6" t="s">
        <v>98</v>
      </c>
      <c r="G257" s="6" t="s">
        <v>814</v>
      </c>
    </row>
    <row r="258" spans="1:7" ht="18.95" customHeight="1">
      <c r="A258" s="6" t="s">
        <v>815</v>
      </c>
      <c r="B258" s="6" t="s">
        <v>813</v>
      </c>
      <c r="C258" s="6" t="s">
        <v>308</v>
      </c>
      <c r="D258" s="6" t="s">
        <v>103</v>
      </c>
      <c r="E258" s="6" t="s">
        <v>48</v>
      </c>
      <c r="F258" s="6" t="s">
        <v>98</v>
      </c>
      <c r="G258" s="6" t="s">
        <v>816</v>
      </c>
    </row>
    <row r="259" spans="1:7" ht="18.95" customHeight="1">
      <c r="A259" s="6" t="s">
        <v>817</v>
      </c>
      <c r="B259" s="6" t="s">
        <v>818</v>
      </c>
      <c r="C259" s="6" t="s">
        <v>314</v>
      </c>
      <c r="D259" s="6" t="s">
        <v>93</v>
      </c>
      <c r="E259" s="6" t="s">
        <v>46</v>
      </c>
      <c r="F259" s="6" t="s">
        <v>98</v>
      </c>
      <c r="G259" s="6" t="s">
        <v>819</v>
      </c>
    </row>
    <row r="260" spans="1:7" ht="18.95" customHeight="1">
      <c r="A260" s="6" t="s">
        <v>820</v>
      </c>
      <c r="B260" s="6" t="s">
        <v>818</v>
      </c>
      <c r="C260" s="6" t="s">
        <v>314</v>
      </c>
      <c r="D260" s="6" t="s">
        <v>97</v>
      </c>
      <c r="E260" s="6" t="s">
        <v>47</v>
      </c>
      <c r="F260" s="6" t="s">
        <v>94</v>
      </c>
      <c r="G260" s="6" t="s">
        <v>821</v>
      </c>
    </row>
    <row r="261" spans="1:7" ht="18.95" customHeight="1">
      <c r="A261" s="6" t="s">
        <v>822</v>
      </c>
      <c r="B261" s="6" t="s">
        <v>823</v>
      </c>
      <c r="C261" s="6" t="s">
        <v>320</v>
      </c>
      <c r="D261" s="6" t="s">
        <v>103</v>
      </c>
      <c r="E261" s="6" t="s">
        <v>48</v>
      </c>
      <c r="F261" s="6" t="s">
        <v>98</v>
      </c>
      <c r="G261" s="6" t="s">
        <v>824</v>
      </c>
    </row>
    <row r="262" spans="1:7" ht="18.95" customHeight="1">
      <c r="A262" s="6" t="s">
        <v>825</v>
      </c>
      <c r="B262" s="6" t="s">
        <v>823</v>
      </c>
      <c r="C262" s="6" t="s">
        <v>320</v>
      </c>
      <c r="D262" s="6" t="s">
        <v>93</v>
      </c>
      <c r="E262" s="6" t="s">
        <v>46</v>
      </c>
      <c r="F262" s="6" t="s">
        <v>98</v>
      </c>
      <c r="G262" s="6" t="s">
        <v>826</v>
      </c>
    </row>
    <row r="263" spans="1:7" ht="18.95" customHeight="1">
      <c r="A263" s="6" t="s">
        <v>827</v>
      </c>
      <c r="B263" s="6" t="s">
        <v>828</v>
      </c>
      <c r="C263" s="6" t="s">
        <v>326</v>
      </c>
      <c r="D263" s="6" t="s">
        <v>97</v>
      </c>
      <c r="E263" s="6" t="s">
        <v>47</v>
      </c>
      <c r="F263" s="6" t="s">
        <v>98</v>
      </c>
      <c r="G263" s="6" t="s">
        <v>829</v>
      </c>
    </row>
    <row r="264" spans="1:7" ht="18.95" customHeight="1">
      <c r="A264" s="6" t="s">
        <v>830</v>
      </c>
      <c r="B264" s="6" t="s">
        <v>828</v>
      </c>
      <c r="C264" s="6" t="s">
        <v>326</v>
      </c>
      <c r="D264" s="6" t="s">
        <v>103</v>
      </c>
      <c r="E264" s="6" t="s">
        <v>48</v>
      </c>
      <c r="F264" s="6" t="s">
        <v>98</v>
      </c>
      <c r="G264" s="6" t="s">
        <v>831</v>
      </c>
    </row>
    <row r="265" spans="1:7" ht="18.95" customHeight="1">
      <c r="A265" s="6" t="s">
        <v>832</v>
      </c>
      <c r="B265" s="6" t="s">
        <v>833</v>
      </c>
      <c r="C265" s="6" t="s">
        <v>332</v>
      </c>
      <c r="D265" s="6" t="s">
        <v>93</v>
      </c>
      <c r="E265" s="6" t="s">
        <v>46</v>
      </c>
      <c r="F265" s="6" t="s">
        <v>98</v>
      </c>
      <c r="G265" s="6" t="s">
        <v>834</v>
      </c>
    </row>
    <row r="266" spans="1:7" ht="18.95" customHeight="1">
      <c r="A266" s="6" t="s">
        <v>835</v>
      </c>
      <c r="B266" s="6" t="s">
        <v>833</v>
      </c>
      <c r="C266" s="6" t="s">
        <v>332</v>
      </c>
      <c r="D266" s="6" t="s">
        <v>97</v>
      </c>
      <c r="E266" s="6" t="s">
        <v>47</v>
      </c>
      <c r="F266" s="6" t="s">
        <v>98</v>
      </c>
      <c r="G266" s="6" t="s">
        <v>836</v>
      </c>
    </row>
    <row r="267" spans="1:7" ht="18.95" customHeight="1">
      <c r="A267" s="6" t="s">
        <v>837</v>
      </c>
      <c r="B267" s="6" t="s">
        <v>838</v>
      </c>
      <c r="C267" s="6" t="s">
        <v>338</v>
      </c>
      <c r="D267" s="6" t="s">
        <v>103</v>
      </c>
      <c r="E267" s="6" t="s">
        <v>48</v>
      </c>
      <c r="F267" s="6" t="s">
        <v>98</v>
      </c>
      <c r="G267" s="6" t="s">
        <v>839</v>
      </c>
    </row>
    <row r="268" spans="1:7" ht="18.95" customHeight="1">
      <c r="A268" s="6" t="s">
        <v>840</v>
      </c>
      <c r="B268" s="6" t="s">
        <v>838</v>
      </c>
      <c r="C268" s="6" t="s">
        <v>338</v>
      </c>
      <c r="D268" s="6" t="s">
        <v>93</v>
      </c>
      <c r="E268" s="6" t="s">
        <v>46</v>
      </c>
      <c r="F268" s="6" t="s">
        <v>98</v>
      </c>
      <c r="G268" s="6" t="s">
        <v>841</v>
      </c>
    </row>
    <row r="269" spans="1:7" ht="18.95" customHeight="1">
      <c r="A269" s="6" t="s">
        <v>842</v>
      </c>
      <c r="B269" s="6" t="s">
        <v>843</v>
      </c>
      <c r="C269" s="6" t="s">
        <v>344</v>
      </c>
      <c r="D269" s="6" t="s">
        <v>97</v>
      </c>
      <c r="E269" s="6" t="s">
        <v>47</v>
      </c>
      <c r="F269" s="6" t="s">
        <v>98</v>
      </c>
      <c r="G269" s="6" t="s">
        <v>844</v>
      </c>
    </row>
    <row r="270" spans="1:7" ht="18.95" customHeight="1">
      <c r="A270" s="6" t="s">
        <v>845</v>
      </c>
      <c r="B270" s="6" t="s">
        <v>843</v>
      </c>
      <c r="C270" s="6" t="s">
        <v>344</v>
      </c>
      <c r="D270" s="6" t="s">
        <v>103</v>
      </c>
      <c r="E270" s="6" t="s">
        <v>48</v>
      </c>
      <c r="F270" s="6" t="s">
        <v>98</v>
      </c>
      <c r="G270" s="6" t="s">
        <v>846</v>
      </c>
    </row>
    <row r="271" spans="1:7" ht="18.95" customHeight="1">
      <c r="A271" s="6" t="s">
        <v>847</v>
      </c>
      <c r="B271" s="6" t="s">
        <v>848</v>
      </c>
      <c r="C271" s="6" t="s">
        <v>350</v>
      </c>
      <c r="D271" s="6" t="s">
        <v>93</v>
      </c>
      <c r="E271" s="6" t="s">
        <v>46</v>
      </c>
      <c r="F271" s="6" t="s">
        <v>98</v>
      </c>
      <c r="G271" s="6" t="s">
        <v>849</v>
      </c>
    </row>
    <row r="272" spans="1:7" ht="18.95" customHeight="1">
      <c r="A272" s="6" t="s">
        <v>850</v>
      </c>
      <c r="B272" s="6" t="s">
        <v>848</v>
      </c>
      <c r="C272" s="6" t="s">
        <v>350</v>
      </c>
      <c r="D272" s="6" t="s">
        <v>97</v>
      </c>
      <c r="E272" s="6" t="s">
        <v>47</v>
      </c>
      <c r="F272" s="6" t="s">
        <v>98</v>
      </c>
      <c r="G272" s="6" t="s">
        <v>851</v>
      </c>
    </row>
    <row r="273" spans="1:7" ht="18.95" customHeight="1">
      <c r="A273" s="6" t="s">
        <v>852</v>
      </c>
      <c r="B273" s="6" t="s">
        <v>853</v>
      </c>
      <c r="C273" s="6" t="s">
        <v>356</v>
      </c>
      <c r="D273" s="6" t="s">
        <v>103</v>
      </c>
      <c r="E273" s="6" t="s">
        <v>48</v>
      </c>
      <c r="F273" s="6" t="s">
        <v>98</v>
      </c>
      <c r="G273" s="6" t="s">
        <v>854</v>
      </c>
    </row>
    <row r="274" spans="1:7" ht="18.95" customHeight="1">
      <c r="A274" s="6" t="s">
        <v>855</v>
      </c>
      <c r="B274" s="6" t="s">
        <v>853</v>
      </c>
      <c r="C274" s="6" t="s">
        <v>356</v>
      </c>
      <c r="D274" s="6" t="s">
        <v>93</v>
      </c>
      <c r="E274" s="6" t="s">
        <v>46</v>
      </c>
      <c r="F274" s="6" t="s">
        <v>98</v>
      </c>
      <c r="G274" s="6" t="s">
        <v>856</v>
      </c>
    </row>
    <row r="275" spans="1:7" ht="18.95" customHeight="1">
      <c r="A275" s="6" t="s">
        <v>857</v>
      </c>
      <c r="B275" s="6" t="s">
        <v>858</v>
      </c>
      <c r="C275" s="6" t="s">
        <v>362</v>
      </c>
      <c r="D275" s="6" t="s">
        <v>97</v>
      </c>
      <c r="E275" s="6" t="s">
        <v>47</v>
      </c>
      <c r="F275" s="6" t="s">
        <v>98</v>
      </c>
      <c r="G275" s="6" t="s">
        <v>859</v>
      </c>
    </row>
    <row r="276" spans="1:7" ht="18.95" customHeight="1">
      <c r="A276" s="6" t="s">
        <v>860</v>
      </c>
      <c r="B276" s="6" t="s">
        <v>858</v>
      </c>
      <c r="C276" s="6" t="s">
        <v>362</v>
      </c>
      <c r="D276" s="6" t="s">
        <v>103</v>
      </c>
      <c r="E276" s="6" t="s">
        <v>48</v>
      </c>
      <c r="F276" s="6" t="s">
        <v>98</v>
      </c>
      <c r="G276" s="6" t="s">
        <v>861</v>
      </c>
    </row>
    <row r="277" spans="1:7" ht="18.95" customHeight="1">
      <c r="A277" s="6" t="s">
        <v>862</v>
      </c>
      <c r="B277" s="6" t="s">
        <v>863</v>
      </c>
      <c r="C277" s="6" t="s">
        <v>368</v>
      </c>
      <c r="D277" s="6" t="s">
        <v>93</v>
      </c>
      <c r="E277" s="6" t="s">
        <v>46</v>
      </c>
      <c r="F277" s="6" t="s">
        <v>98</v>
      </c>
      <c r="G277" s="6" t="s">
        <v>864</v>
      </c>
    </row>
    <row r="278" spans="1:7" ht="18.95" customHeight="1">
      <c r="A278" s="6" t="s">
        <v>865</v>
      </c>
      <c r="B278" s="6" t="s">
        <v>863</v>
      </c>
      <c r="C278" s="6" t="s">
        <v>368</v>
      </c>
      <c r="D278" s="6" t="s">
        <v>97</v>
      </c>
      <c r="E278" s="6" t="s">
        <v>47</v>
      </c>
      <c r="F278" s="6" t="s">
        <v>98</v>
      </c>
      <c r="G278" s="6" t="s">
        <v>866</v>
      </c>
    </row>
    <row r="279" spans="1:7" ht="18.95" customHeight="1">
      <c r="A279" s="6" t="s">
        <v>867</v>
      </c>
      <c r="B279" s="6" t="s">
        <v>868</v>
      </c>
      <c r="C279" s="6" t="s">
        <v>374</v>
      </c>
      <c r="D279" s="6" t="s">
        <v>103</v>
      </c>
      <c r="E279" s="6" t="s">
        <v>48</v>
      </c>
      <c r="F279" s="6" t="s">
        <v>98</v>
      </c>
      <c r="G279" s="6" t="s">
        <v>869</v>
      </c>
    </row>
    <row r="280" spans="1:7" ht="18.95" customHeight="1">
      <c r="A280" s="6" t="s">
        <v>870</v>
      </c>
      <c r="B280" s="6" t="s">
        <v>868</v>
      </c>
      <c r="C280" s="6" t="s">
        <v>374</v>
      </c>
      <c r="D280" s="6" t="s">
        <v>93</v>
      </c>
      <c r="E280" s="6" t="s">
        <v>46</v>
      </c>
      <c r="F280" s="6" t="s">
        <v>98</v>
      </c>
      <c r="G280" s="6" t="s">
        <v>871</v>
      </c>
    </row>
    <row r="281" spans="1:7" ht="18.95" customHeight="1">
      <c r="A281" s="6" t="s">
        <v>872</v>
      </c>
      <c r="B281" s="6" t="s">
        <v>873</v>
      </c>
      <c r="C281" s="6" t="s">
        <v>380</v>
      </c>
      <c r="D281" s="6" t="s">
        <v>97</v>
      </c>
      <c r="E281" s="6" t="s">
        <v>47</v>
      </c>
      <c r="F281" s="6" t="s">
        <v>98</v>
      </c>
      <c r="G281" s="6" t="s">
        <v>874</v>
      </c>
    </row>
    <row r="282" spans="1:7" ht="18.95" customHeight="1">
      <c r="A282" s="6" t="s">
        <v>875</v>
      </c>
      <c r="B282" s="6" t="s">
        <v>873</v>
      </c>
      <c r="C282" s="6" t="s">
        <v>380</v>
      </c>
      <c r="D282" s="6" t="s">
        <v>103</v>
      </c>
      <c r="E282" s="6" t="s">
        <v>48</v>
      </c>
      <c r="F282" s="6" t="s">
        <v>98</v>
      </c>
      <c r="G282" s="6" t="s">
        <v>876</v>
      </c>
    </row>
    <row r="283" spans="1:7" ht="18.95" customHeight="1">
      <c r="A283" s="6" t="s">
        <v>877</v>
      </c>
      <c r="B283" s="6" t="s">
        <v>878</v>
      </c>
      <c r="C283" s="6" t="s">
        <v>386</v>
      </c>
      <c r="D283" s="6" t="s">
        <v>93</v>
      </c>
      <c r="E283" s="6" t="s">
        <v>46</v>
      </c>
      <c r="F283" s="6" t="s">
        <v>94</v>
      </c>
      <c r="G283" s="6" t="s">
        <v>879</v>
      </c>
    </row>
    <row r="284" spans="1:7" ht="18.95" customHeight="1">
      <c r="A284" s="6" t="s">
        <v>880</v>
      </c>
      <c r="B284" s="6" t="s">
        <v>878</v>
      </c>
      <c r="C284" s="6" t="s">
        <v>386</v>
      </c>
      <c r="D284" s="6" t="s">
        <v>97</v>
      </c>
      <c r="E284" s="6" t="s">
        <v>47</v>
      </c>
      <c r="F284" s="6" t="s">
        <v>98</v>
      </c>
      <c r="G284" s="6" t="s">
        <v>881</v>
      </c>
    </row>
    <row r="285" spans="1:7" ht="18.95" customHeight="1">
      <c r="A285" s="6" t="s">
        <v>882</v>
      </c>
      <c r="B285" s="6" t="s">
        <v>883</v>
      </c>
      <c r="C285" s="6" t="s">
        <v>392</v>
      </c>
      <c r="D285" s="6" t="s">
        <v>103</v>
      </c>
      <c r="E285" s="6" t="s">
        <v>48</v>
      </c>
      <c r="F285" s="6" t="s">
        <v>98</v>
      </c>
      <c r="G285" s="6" t="s">
        <v>884</v>
      </c>
    </row>
    <row r="286" spans="1:7" ht="18.95" customHeight="1">
      <c r="A286" s="6" t="s">
        <v>885</v>
      </c>
      <c r="B286" s="6" t="s">
        <v>883</v>
      </c>
      <c r="C286" s="6" t="s">
        <v>392</v>
      </c>
      <c r="D286" s="6" t="s">
        <v>93</v>
      </c>
      <c r="E286" s="6" t="s">
        <v>46</v>
      </c>
      <c r="F286" s="6" t="s">
        <v>98</v>
      </c>
      <c r="G286" s="6" t="s">
        <v>886</v>
      </c>
    </row>
    <row r="287" spans="1:7" ht="18.95" customHeight="1">
      <c r="A287" s="6" t="s">
        <v>887</v>
      </c>
      <c r="B287" s="6" t="s">
        <v>888</v>
      </c>
      <c r="C287" s="6" t="s">
        <v>398</v>
      </c>
      <c r="D287" s="6" t="s">
        <v>97</v>
      </c>
      <c r="E287" s="6" t="s">
        <v>47</v>
      </c>
      <c r="F287" s="6" t="s">
        <v>98</v>
      </c>
      <c r="G287" s="6" t="s">
        <v>889</v>
      </c>
    </row>
    <row r="288" spans="1:7" ht="18.95" customHeight="1">
      <c r="A288" s="6" t="s">
        <v>890</v>
      </c>
      <c r="B288" s="6" t="s">
        <v>888</v>
      </c>
      <c r="C288" s="6" t="s">
        <v>398</v>
      </c>
      <c r="D288" s="6" t="s">
        <v>103</v>
      </c>
      <c r="E288" s="6" t="s">
        <v>48</v>
      </c>
      <c r="F288" s="6" t="s">
        <v>98</v>
      </c>
      <c r="G288" s="6" t="s">
        <v>891</v>
      </c>
    </row>
    <row r="289" spans="1:7" ht="18.95" customHeight="1">
      <c r="A289" s="6" t="s">
        <v>892</v>
      </c>
      <c r="B289" s="6" t="s">
        <v>893</v>
      </c>
      <c r="C289" s="6" t="s">
        <v>404</v>
      </c>
      <c r="D289" s="6" t="s">
        <v>93</v>
      </c>
      <c r="E289" s="6" t="s">
        <v>46</v>
      </c>
      <c r="F289" s="6" t="s">
        <v>98</v>
      </c>
      <c r="G289" s="6" t="s">
        <v>894</v>
      </c>
    </row>
    <row r="290" spans="1:7" ht="18.95" customHeight="1">
      <c r="A290" s="6" t="s">
        <v>895</v>
      </c>
      <c r="B290" s="6" t="s">
        <v>893</v>
      </c>
      <c r="C290" s="6" t="s">
        <v>404</v>
      </c>
      <c r="D290" s="6" t="s">
        <v>97</v>
      </c>
      <c r="E290" s="6" t="s">
        <v>47</v>
      </c>
      <c r="F290" s="6" t="s">
        <v>98</v>
      </c>
      <c r="G290" s="6" t="s">
        <v>896</v>
      </c>
    </row>
    <row r="291" spans="1:7" ht="18.95" customHeight="1">
      <c r="A291" s="6" t="s">
        <v>897</v>
      </c>
      <c r="B291" s="6" t="s">
        <v>898</v>
      </c>
      <c r="C291" s="6" t="s">
        <v>410</v>
      </c>
      <c r="D291" s="6" t="s">
        <v>103</v>
      </c>
      <c r="E291" s="6" t="s">
        <v>48</v>
      </c>
      <c r="F291" s="6" t="s">
        <v>98</v>
      </c>
      <c r="G291" s="6" t="s">
        <v>899</v>
      </c>
    </row>
    <row r="292" spans="1:7" ht="18.95" customHeight="1">
      <c r="A292" s="6" t="s">
        <v>900</v>
      </c>
      <c r="B292" s="6" t="s">
        <v>898</v>
      </c>
      <c r="C292" s="6" t="s">
        <v>410</v>
      </c>
      <c r="D292" s="6" t="s">
        <v>93</v>
      </c>
      <c r="E292" s="6" t="s">
        <v>46</v>
      </c>
      <c r="F292" s="6" t="s">
        <v>98</v>
      </c>
      <c r="G292" s="6" t="s">
        <v>901</v>
      </c>
    </row>
    <row r="293" spans="1:7" ht="18.95" customHeight="1">
      <c r="A293" s="6" t="s">
        <v>902</v>
      </c>
      <c r="B293" s="6" t="s">
        <v>903</v>
      </c>
      <c r="C293" s="6" t="s">
        <v>416</v>
      </c>
      <c r="D293" s="6" t="s">
        <v>97</v>
      </c>
      <c r="E293" s="6" t="s">
        <v>47</v>
      </c>
      <c r="F293" s="6" t="s">
        <v>98</v>
      </c>
      <c r="G293" s="6" t="s">
        <v>904</v>
      </c>
    </row>
    <row r="294" spans="1:7" ht="18.95" customHeight="1">
      <c r="A294" s="6" t="s">
        <v>905</v>
      </c>
      <c r="B294" s="6" t="s">
        <v>903</v>
      </c>
      <c r="C294" s="6" t="s">
        <v>416</v>
      </c>
      <c r="D294" s="6" t="s">
        <v>103</v>
      </c>
      <c r="E294" s="6" t="s">
        <v>48</v>
      </c>
      <c r="F294" s="6" t="s">
        <v>98</v>
      </c>
      <c r="G294" s="6" t="s">
        <v>906</v>
      </c>
    </row>
    <row r="295" spans="1:7" ht="18.95" customHeight="1">
      <c r="A295" s="6" t="s">
        <v>907</v>
      </c>
      <c r="B295" s="6" t="s">
        <v>908</v>
      </c>
      <c r="C295" s="6" t="s">
        <v>422</v>
      </c>
      <c r="D295" s="6" t="s">
        <v>93</v>
      </c>
      <c r="E295" s="6" t="s">
        <v>46</v>
      </c>
      <c r="F295" s="6" t="s">
        <v>98</v>
      </c>
      <c r="G295" s="6" t="s">
        <v>909</v>
      </c>
    </row>
    <row r="296" spans="1:7" ht="18.95" customHeight="1">
      <c r="A296" s="6" t="s">
        <v>910</v>
      </c>
      <c r="B296" s="6" t="s">
        <v>908</v>
      </c>
      <c r="C296" s="6" t="s">
        <v>422</v>
      </c>
      <c r="D296" s="6" t="s">
        <v>97</v>
      </c>
      <c r="E296" s="6" t="s">
        <v>47</v>
      </c>
      <c r="F296" s="6" t="s">
        <v>98</v>
      </c>
      <c r="G296" s="6" t="s">
        <v>911</v>
      </c>
    </row>
    <row r="297" spans="1:7" ht="18.95" customHeight="1">
      <c r="A297" s="6" t="s">
        <v>912</v>
      </c>
      <c r="B297" s="6" t="s">
        <v>913</v>
      </c>
      <c r="C297" s="6" t="s">
        <v>428</v>
      </c>
      <c r="D297" s="6" t="s">
        <v>103</v>
      </c>
      <c r="E297" s="6" t="s">
        <v>48</v>
      </c>
      <c r="F297" s="6" t="s">
        <v>98</v>
      </c>
      <c r="G297" s="6" t="s">
        <v>914</v>
      </c>
    </row>
    <row r="298" spans="1:7" ht="18.95" customHeight="1">
      <c r="A298" s="6" t="s">
        <v>915</v>
      </c>
      <c r="B298" s="6" t="s">
        <v>913</v>
      </c>
      <c r="C298" s="6" t="s">
        <v>428</v>
      </c>
      <c r="D298" s="6" t="s">
        <v>93</v>
      </c>
      <c r="E298" s="6" t="s">
        <v>46</v>
      </c>
      <c r="F298" s="6" t="s">
        <v>98</v>
      </c>
      <c r="G298" s="6" t="s">
        <v>916</v>
      </c>
    </row>
    <row r="299" spans="1:7" ht="18.95" customHeight="1">
      <c r="A299" s="6" t="s">
        <v>917</v>
      </c>
      <c r="B299" s="6" t="s">
        <v>918</v>
      </c>
      <c r="C299" s="6" t="s">
        <v>434</v>
      </c>
      <c r="D299" s="6" t="s">
        <v>97</v>
      </c>
      <c r="E299" s="6" t="s">
        <v>47</v>
      </c>
      <c r="F299" s="6" t="s">
        <v>98</v>
      </c>
      <c r="G299" s="6" t="s">
        <v>919</v>
      </c>
    </row>
    <row r="300" spans="1:7" ht="18.95" customHeight="1">
      <c r="A300" s="6" t="s">
        <v>920</v>
      </c>
      <c r="B300" s="6" t="s">
        <v>918</v>
      </c>
      <c r="C300" s="6" t="s">
        <v>434</v>
      </c>
      <c r="D300" s="6" t="s">
        <v>103</v>
      </c>
      <c r="E300" s="6" t="s">
        <v>48</v>
      </c>
      <c r="F300" s="6" t="s">
        <v>98</v>
      </c>
      <c r="G300" s="6" t="s">
        <v>921</v>
      </c>
    </row>
    <row r="301" spans="1:7" ht="18.95" customHeight="1">
      <c r="A301" s="6" t="s">
        <v>922</v>
      </c>
      <c r="B301" s="6" t="s">
        <v>923</v>
      </c>
      <c r="C301" s="6" t="s">
        <v>440</v>
      </c>
      <c r="D301" s="6" t="s">
        <v>93</v>
      </c>
      <c r="E301" s="6" t="s">
        <v>46</v>
      </c>
      <c r="F301" s="6" t="s">
        <v>98</v>
      </c>
      <c r="G301" s="6" t="s">
        <v>924</v>
      </c>
    </row>
    <row r="302" spans="1:7" ht="18.95" customHeight="1">
      <c r="A302" s="6" t="s">
        <v>925</v>
      </c>
      <c r="B302" s="6" t="s">
        <v>923</v>
      </c>
      <c r="C302" s="6" t="s">
        <v>440</v>
      </c>
      <c r="D302" s="6" t="s">
        <v>97</v>
      </c>
      <c r="E302" s="6" t="s">
        <v>47</v>
      </c>
      <c r="F302" s="6" t="s">
        <v>98</v>
      </c>
      <c r="G302" s="6" t="s">
        <v>926</v>
      </c>
    </row>
    <row r="303" spans="1:7" ht="18.95" customHeight="1">
      <c r="A303" s="6" t="s">
        <v>927</v>
      </c>
      <c r="B303" s="6" t="s">
        <v>928</v>
      </c>
      <c r="C303" s="6" t="s">
        <v>446</v>
      </c>
      <c r="D303" s="6" t="s">
        <v>103</v>
      </c>
      <c r="E303" s="6" t="s">
        <v>5191</v>
      </c>
      <c r="F303" s="6" t="s">
        <v>98</v>
      </c>
      <c r="G303" s="6" t="s">
        <v>929</v>
      </c>
    </row>
    <row r="304" spans="1:7" ht="18.95" customHeight="1">
      <c r="A304" s="6" t="s">
        <v>930</v>
      </c>
      <c r="B304" s="6" t="s">
        <v>928</v>
      </c>
      <c r="C304" s="6" t="s">
        <v>446</v>
      </c>
      <c r="D304" s="6" t="s">
        <v>93</v>
      </c>
      <c r="E304" s="6" t="s">
        <v>46</v>
      </c>
      <c r="F304" s="6" t="s">
        <v>98</v>
      </c>
      <c r="G304" s="6" t="s">
        <v>931</v>
      </c>
    </row>
    <row r="305" spans="1:7" ht="18.95" customHeight="1">
      <c r="A305" s="6" t="s">
        <v>932</v>
      </c>
      <c r="B305" s="6" t="s">
        <v>933</v>
      </c>
      <c r="C305" s="6" t="s">
        <v>452</v>
      </c>
      <c r="D305" s="6" t="s">
        <v>97</v>
      </c>
      <c r="E305" s="6" t="s">
        <v>47</v>
      </c>
      <c r="F305" s="6" t="s">
        <v>98</v>
      </c>
      <c r="G305" s="6" t="s">
        <v>934</v>
      </c>
    </row>
    <row r="306" spans="1:7" ht="18.95" customHeight="1">
      <c r="A306" s="6" t="s">
        <v>935</v>
      </c>
      <c r="B306" s="6" t="s">
        <v>933</v>
      </c>
      <c r="C306" s="6" t="s">
        <v>452</v>
      </c>
      <c r="D306" s="6" t="s">
        <v>103</v>
      </c>
      <c r="E306" s="6" t="s">
        <v>48</v>
      </c>
      <c r="F306" s="6" t="s">
        <v>94</v>
      </c>
      <c r="G306" s="6" t="s">
        <v>936</v>
      </c>
    </row>
    <row r="307" spans="1:7" ht="18.95" customHeight="1">
      <c r="A307" s="6" t="s">
        <v>937</v>
      </c>
      <c r="B307" s="6" t="s">
        <v>938</v>
      </c>
      <c r="C307" s="6" t="s">
        <v>458</v>
      </c>
      <c r="D307" s="6" t="s">
        <v>93</v>
      </c>
      <c r="E307" s="6" t="s">
        <v>46</v>
      </c>
      <c r="F307" s="6" t="s">
        <v>98</v>
      </c>
      <c r="G307" s="6" t="s">
        <v>939</v>
      </c>
    </row>
    <row r="308" spans="1:7" ht="18.95" customHeight="1">
      <c r="A308" s="6" t="s">
        <v>940</v>
      </c>
      <c r="B308" s="6" t="s">
        <v>938</v>
      </c>
      <c r="C308" s="6" t="s">
        <v>458</v>
      </c>
      <c r="D308" s="6" t="s">
        <v>97</v>
      </c>
      <c r="E308" s="6" t="s">
        <v>47</v>
      </c>
      <c r="F308" s="6" t="s">
        <v>98</v>
      </c>
      <c r="G308" s="6" t="s">
        <v>941</v>
      </c>
    </row>
    <row r="309" spans="1:7" ht="18.95" customHeight="1">
      <c r="A309" s="6" t="s">
        <v>942</v>
      </c>
      <c r="B309" s="6" t="s">
        <v>943</v>
      </c>
      <c r="C309" s="6" t="s">
        <v>464</v>
      </c>
      <c r="D309" s="6" t="s">
        <v>103</v>
      </c>
      <c r="E309" s="6" t="s">
        <v>48</v>
      </c>
      <c r="F309" s="6" t="s">
        <v>98</v>
      </c>
      <c r="G309" s="6" t="s">
        <v>944</v>
      </c>
    </row>
    <row r="310" spans="1:7" ht="18.95" customHeight="1">
      <c r="A310" s="6" t="s">
        <v>945</v>
      </c>
      <c r="B310" s="6" t="s">
        <v>943</v>
      </c>
      <c r="C310" s="6" t="s">
        <v>464</v>
      </c>
      <c r="D310" s="6" t="s">
        <v>93</v>
      </c>
      <c r="E310" s="6" t="s">
        <v>46</v>
      </c>
      <c r="F310" s="6" t="s">
        <v>98</v>
      </c>
      <c r="G310" s="6" t="s">
        <v>946</v>
      </c>
    </row>
    <row r="311" spans="1:7" ht="18.95" customHeight="1">
      <c r="A311" s="6" t="s">
        <v>947</v>
      </c>
      <c r="B311" s="6" t="s">
        <v>948</v>
      </c>
      <c r="C311" s="6" t="s">
        <v>470</v>
      </c>
      <c r="D311" s="6" t="s">
        <v>97</v>
      </c>
      <c r="E311" s="6" t="s">
        <v>47</v>
      </c>
      <c r="F311" s="6" t="s">
        <v>98</v>
      </c>
      <c r="G311" s="6" t="s">
        <v>949</v>
      </c>
    </row>
    <row r="312" spans="1:7" ht="18.95" customHeight="1">
      <c r="A312" s="6" t="s">
        <v>950</v>
      </c>
      <c r="B312" s="6" t="s">
        <v>948</v>
      </c>
      <c r="C312" s="6" t="s">
        <v>470</v>
      </c>
      <c r="D312" s="6" t="s">
        <v>103</v>
      </c>
      <c r="E312" s="6" t="s">
        <v>48</v>
      </c>
      <c r="F312" s="6" t="s">
        <v>98</v>
      </c>
      <c r="G312" s="6" t="s">
        <v>951</v>
      </c>
    </row>
    <row r="313" spans="1:7" ht="18.95" customHeight="1">
      <c r="A313" s="6" t="s">
        <v>952</v>
      </c>
      <c r="B313" s="6" t="s">
        <v>953</v>
      </c>
      <c r="C313" s="6" t="s">
        <v>476</v>
      </c>
      <c r="D313" s="6" t="s">
        <v>93</v>
      </c>
      <c r="E313" s="6" t="s">
        <v>46</v>
      </c>
      <c r="F313" s="6" t="s">
        <v>98</v>
      </c>
      <c r="G313" s="6" t="s">
        <v>954</v>
      </c>
    </row>
    <row r="314" spans="1:7" ht="18.95" customHeight="1">
      <c r="A314" s="6" t="s">
        <v>955</v>
      </c>
      <c r="B314" s="6" t="s">
        <v>953</v>
      </c>
      <c r="C314" s="6" t="s">
        <v>956</v>
      </c>
      <c r="D314" s="6" t="s">
        <v>97</v>
      </c>
      <c r="E314" s="6" t="s">
        <v>47</v>
      </c>
      <c r="F314" s="6" t="s">
        <v>98</v>
      </c>
      <c r="G314" s="6" t="s">
        <v>957</v>
      </c>
    </row>
    <row r="315" spans="1:7" ht="18.95" customHeight="1">
      <c r="A315" s="6" t="s">
        <v>958</v>
      </c>
      <c r="B315" s="6" t="s">
        <v>959</v>
      </c>
      <c r="C315" s="6" t="s">
        <v>482</v>
      </c>
      <c r="D315" s="6" t="s">
        <v>103</v>
      </c>
      <c r="E315" s="6" t="s">
        <v>48</v>
      </c>
      <c r="F315" s="6" t="s">
        <v>98</v>
      </c>
      <c r="G315" s="6" t="s">
        <v>960</v>
      </c>
    </row>
    <row r="316" spans="1:7" ht="18.95" customHeight="1">
      <c r="A316" s="6" t="s">
        <v>961</v>
      </c>
      <c r="B316" s="6" t="s">
        <v>959</v>
      </c>
      <c r="C316" s="6" t="s">
        <v>482</v>
      </c>
      <c r="D316" s="6" t="s">
        <v>93</v>
      </c>
      <c r="E316" s="6" t="s">
        <v>46</v>
      </c>
      <c r="F316" s="6" t="s">
        <v>98</v>
      </c>
      <c r="G316" s="6" t="s">
        <v>962</v>
      </c>
    </row>
    <row r="317" spans="1:7" ht="18.95" customHeight="1">
      <c r="A317" s="6" t="s">
        <v>963</v>
      </c>
      <c r="B317" s="6" t="s">
        <v>964</v>
      </c>
      <c r="C317" s="6" t="s">
        <v>488</v>
      </c>
      <c r="D317" s="6" t="s">
        <v>97</v>
      </c>
      <c r="E317" s="6" t="s">
        <v>47</v>
      </c>
      <c r="F317" s="6" t="s">
        <v>98</v>
      </c>
      <c r="G317" s="6" t="s">
        <v>965</v>
      </c>
    </row>
    <row r="318" spans="1:7" ht="18.95" customHeight="1">
      <c r="A318" s="6" t="s">
        <v>966</v>
      </c>
      <c r="B318" s="6" t="s">
        <v>964</v>
      </c>
      <c r="C318" s="6" t="s">
        <v>488</v>
      </c>
      <c r="D318" s="6" t="s">
        <v>103</v>
      </c>
      <c r="E318" s="6"/>
      <c r="F318" s="6" t="s">
        <v>98</v>
      </c>
      <c r="G318" s="6" t="s">
        <v>967</v>
      </c>
    </row>
    <row r="319" spans="1:7" ht="18.95" customHeight="1">
      <c r="A319" s="6" t="s">
        <v>968</v>
      </c>
      <c r="B319" s="6" t="s">
        <v>969</v>
      </c>
      <c r="C319" s="6" t="s">
        <v>494</v>
      </c>
      <c r="D319" s="6" t="s">
        <v>93</v>
      </c>
      <c r="E319" s="6" t="s">
        <v>46</v>
      </c>
      <c r="F319" s="6" t="s">
        <v>98</v>
      </c>
      <c r="G319" s="6" t="s">
        <v>970</v>
      </c>
    </row>
    <row r="320" spans="1:7" ht="18.95" customHeight="1">
      <c r="A320" s="6" t="s">
        <v>971</v>
      </c>
      <c r="B320" s="6" t="s">
        <v>969</v>
      </c>
      <c r="C320" s="6" t="s">
        <v>494</v>
      </c>
      <c r="D320" s="6" t="s">
        <v>97</v>
      </c>
      <c r="E320" s="6" t="s">
        <v>47</v>
      </c>
      <c r="F320" s="6" t="s">
        <v>98</v>
      </c>
      <c r="G320" s="6" t="s">
        <v>972</v>
      </c>
    </row>
    <row r="321" spans="1:7" ht="18.95" customHeight="1">
      <c r="A321" s="6" t="s">
        <v>973</v>
      </c>
      <c r="B321" s="6" t="s">
        <v>974</v>
      </c>
      <c r="C321" s="6" t="s">
        <v>500</v>
      </c>
      <c r="D321" s="6" t="s">
        <v>103</v>
      </c>
      <c r="E321" s="6" t="s">
        <v>48</v>
      </c>
      <c r="F321" s="6" t="s">
        <v>98</v>
      </c>
      <c r="G321" s="6" t="s">
        <v>975</v>
      </c>
    </row>
    <row r="322" spans="1:7" ht="18.95" customHeight="1">
      <c r="A322" s="6" t="s">
        <v>976</v>
      </c>
      <c r="B322" s="6" t="s">
        <v>974</v>
      </c>
      <c r="C322" s="6" t="s">
        <v>500</v>
      </c>
      <c r="D322" s="6" t="s">
        <v>93</v>
      </c>
      <c r="E322" s="6" t="s">
        <v>46</v>
      </c>
      <c r="F322" s="6" t="s">
        <v>98</v>
      </c>
      <c r="G322" s="6" t="s">
        <v>977</v>
      </c>
    </row>
    <row r="323" spans="1:7" ht="18.95" customHeight="1">
      <c r="A323" s="6" t="s">
        <v>978</v>
      </c>
      <c r="B323" s="6" t="s">
        <v>979</v>
      </c>
      <c r="C323" s="6" t="s">
        <v>506</v>
      </c>
      <c r="D323" s="6" t="s">
        <v>97</v>
      </c>
      <c r="E323" s="6" t="s">
        <v>47</v>
      </c>
      <c r="F323" s="6" t="s">
        <v>98</v>
      </c>
      <c r="G323" s="6" t="s">
        <v>980</v>
      </c>
    </row>
    <row r="324" spans="1:7" ht="18.95" customHeight="1">
      <c r="A324" s="6" t="s">
        <v>981</v>
      </c>
      <c r="B324" s="6" t="s">
        <v>979</v>
      </c>
      <c r="C324" s="6" t="s">
        <v>506</v>
      </c>
      <c r="D324" s="6" t="s">
        <v>103</v>
      </c>
      <c r="E324" s="6" t="s">
        <v>48</v>
      </c>
      <c r="F324" s="6" t="s">
        <v>98</v>
      </c>
      <c r="G324" s="6" t="s">
        <v>982</v>
      </c>
    </row>
    <row r="325" spans="1:7" ht="18.95" customHeight="1">
      <c r="A325" s="6" t="s">
        <v>983</v>
      </c>
      <c r="B325" s="6" t="s">
        <v>984</v>
      </c>
      <c r="C325" s="6" t="s">
        <v>512</v>
      </c>
      <c r="D325" s="6" t="s">
        <v>93</v>
      </c>
      <c r="E325" s="6" t="s">
        <v>46</v>
      </c>
      <c r="F325" s="6" t="s">
        <v>98</v>
      </c>
      <c r="G325" s="6" t="s">
        <v>985</v>
      </c>
    </row>
    <row r="326" spans="1:7" ht="18.95" customHeight="1">
      <c r="A326" s="6" t="s">
        <v>986</v>
      </c>
      <c r="B326" s="6" t="s">
        <v>984</v>
      </c>
      <c r="C326" s="6" t="s">
        <v>512</v>
      </c>
      <c r="D326" s="6" t="s">
        <v>97</v>
      </c>
      <c r="E326" s="6" t="s">
        <v>47</v>
      </c>
      <c r="F326" s="6" t="s">
        <v>98</v>
      </c>
      <c r="G326" s="6" t="s">
        <v>987</v>
      </c>
    </row>
    <row r="327" spans="1:7" ht="18.95" customHeight="1">
      <c r="A327" s="6" t="s">
        <v>988</v>
      </c>
      <c r="B327" s="6" t="s">
        <v>989</v>
      </c>
      <c r="C327" s="6" t="s">
        <v>518</v>
      </c>
      <c r="D327" s="6" t="s">
        <v>103</v>
      </c>
      <c r="E327" s="6" t="s">
        <v>48</v>
      </c>
      <c r="F327" s="6" t="s">
        <v>98</v>
      </c>
      <c r="G327" s="6" t="s">
        <v>990</v>
      </c>
    </row>
    <row r="328" spans="1:7" ht="18.95" customHeight="1">
      <c r="A328" s="6" t="s">
        <v>991</v>
      </c>
      <c r="B328" s="6" t="s">
        <v>989</v>
      </c>
      <c r="C328" s="6" t="s">
        <v>518</v>
      </c>
      <c r="D328" s="6" t="s">
        <v>93</v>
      </c>
      <c r="E328" s="6" t="s">
        <v>46</v>
      </c>
      <c r="F328" s="6" t="s">
        <v>98</v>
      </c>
      <c r="G328" s="6" t="s">
        <v>992</v>
      </c>
    </row>
    <row r="329" spans="1:7" ht="18.95" customHeight="1">
      <c r="A329" s="6" t="s">
        <v>993</v>
      </c>
      <c r="B329" s="6" t="s">
        <v>994</v>
      </c>
      <c r="C329" s="6" t="s">
        <v>524</v>
      </c>
      <c r="D329" s="6" t="s">
        <v>97</v>
      </c>
      <c r="E329" s="6" t="s">
        <v>47</v>
      </c>
      <c r="F329" s="6" t="s">
        <v>94</v>
      </c>
      <c r="G329" s="6" t="s">
        <v>995</v>
      </c>
    </row>
    <row r="330" spans="1:7" ht="18.95" customHeight="1">
      <c r="A330" s="6" t="s">
        <v>996</v>
      </c>
      <c r="B330" s="6" t="s">
        <v>994</v>
      </c>
      <c r="C330" s="6" t="s">
        <v>524</v>
      </c>
      <c r="D330" s="6" t="s">
        <v>103</v>
      </c>
      <c r="E330" s="6" t="s">
        <v>48</v>
      </c>
      <c r="F330" s="6" t="s">
        <v>98</v>
      </c>
      <c r="G330" s="6" t="s">
        <v>997</v>
      </c>
    </row>
    <row r="331" spans="1:7" ht="18.95" customHeight="1">
      <c r="A331" s="6" t="s">
        <v>998</v>
      </c>
      <c r="B331" s="6" t="s">
        <v>999</v>
      </c>
      <c r="C331" s="6" t="s">
        <v>530</v>
      </c>
      <c r="D331" s="6" t="s">
        <v>93</v>
      </c>
      <c r="E331" s="6" t="s">
        <v>46</v>
      </c>
      <c r="F331" s="6" t="s">
        <v>98</v>
      </c>
      <c r="G331" s="6" t="s">
        <v>1000</v>
      </c>
    </row>
    <row r="332" spans="1:7" ht="18.95" customHeight="1">
      <c r="A332" s="6" t="s">
        <v>1001</v>
      </c>
      <c r="B332" s="6" t="s">
        <v>999</v>
      </c>
      <c r="C332" s="6" t="s">
        <v>530</v>
      </c>
      <c r="D332" s="6" t="s">
        <v>97</v>
      </c>
      <c r="E332" s="6" t="s">
        <v>47</v>
      </c>
      <c r="F332" s="6" t="s">
        <v>98</v>
      </c>
      <c r="G332" s="6" t="s">
        <v>1002</v>
      </c>
    </row>
    <row r="333" spans="1:7" ht="18.95" customHeight="1">
      <c r="A333" s="6" t="s">
        <v>1003</v>
      </c>
      <c r="B333" s="6" t="s">
        <v>1004</v>
      </c>
      <c r="C333" s="6" t="s">
        <v>536</v>
      </c>
      <c r="D333" s="6" t="s">
        <v>103</v>
      </c>
      <c r="E333" s="6" t="s">
        <v>48</v>
      </c>
      <c r="F333" s="6" t="s">
        <v>98</v>
      </c>
      <c r="G333" s="6" t="s">
        <v>1005</v>
      </c>
    </row>
    <row r="334" spans="1:7" ht="18.95" customHeight="1">
      <c r="A334" s="6" t="s">
        <v>1006</v>
      </c>
      <c r="B334" s="6" t="s">
        <v>1004</v>
      </c>
      <c r="C334" s="6" t="s">
        <v>536</v>
      </c>
      <c r="D334" s="6" t="s">
        <v>93</v>
      </c>
      <c r="E334" s="6" t="s">
        <v>46</v>
      </c>
      <c r="F334" s="6" t="s">
        <v>98</v>
      </c>
      <c r="G334" s="6" t="s">
        <v>1007</v>
      </c>
    </row>
    <row r="335" spans="1:7" ht="18.95" customHeight="1">
      <c r="A335" s="6" t="s">
        <v>1008</v>
      </c>
      <c r="B335" s="6" t="s">
        <v>1009</v>
      </c>
      <c r="C335" s="6" t="s">
        <v>542</v>
      </c>
      <c r="D335" s="6" t="s">
        <v>97</v>
      </c>
      <c r="E335" s="6" t="s">
        <v>47</v>
      </c>
      <c r="F335" s="6" t="s">
        <v>98</v>
      </c>
      <c r="G335" s="6" t="s">
        <v>1010</v>
      </c>
    </row>
    <row r="336" spans="1:7" ht="18.95" customHeight="1">
      <c r="A336" s="6" t="s">
        <v>1011</v>
      </c>
      <c r="B336" s="6" t="s">
        <v>1009</v>
      </c>
      <c r="C336" s="6" t="s">
        <v>542</v>
      </c>
      <c r="D336" s="6" t="s">
        <v>103</v>
      </c>
      <c r="E336" s="6" t="s">
        <v>48</v>
      </c>
      <c r="F336" s="6" t="s">
        <v>98</v>
      </c>
      <c r="G336" s="6" t="s">
        <v>1012</v>
      </c>
    </row>
    <row r="337" spans="1:7" ht="18.95" customHeight="1">
      <c r="A337" s="6" t="s">
        <v>1013</v>
      </c>
      <c r="B337" s="6" t="s">
        <v>1014</v>
      </c>
      <c r="C337" s="6" t="s">
        <v>548</v>
      </c>
      <c r="D337" s="6" t="s">
        <v>93</v>
      </c>
      <c r="E337" s="6" t="s">
        <v>46</v>
      </c>
      <c r="F337" s="6" t="s">
        <v>98</v>
      </c>
      <c r="G337" s="6" t="s">
        <v>1015</v>
      </c>
    </row>
    <row r="338" spans="1:7" ht="18.95" customHeight="1">
      <c r="A338" s="6" t="s">
        <v>1016</v>
      </c>
      <c r="B338" s="6" t="s">
        <v>1014</v>
      </c>
      <c r="C338" s="6" t="s">
        <v>548</v>
      </c>
      <c r="D338" s="6" t="s">
        <v>97</v>
      </c>
      <c r="E338" s="6" t="s">
        <v>47</v>
      </c>
      <c r="F338" s="6" t="s">
        <v>98</v>
      </c>
      <c r="G338" s="6" t="s">
        <v>1017</v>
      </c>
    </row>
    <row r="339" spans="1:7" ht="18.95" customHeight="1">
      <c r="A339" s="6" t="s">
        <v>1018</v>
      </c>
      <c r="B339" s="6" t="s">
        <v>1019</v>
      </c>
      <c r="C339" s="6" t="s">
        <v>554</v>
      </c>
      <c r="D339" s="6" t="s">
        <v>103</v>
      </c>
      <c r="E339" s="6" t="s">
        <v>48</v>
      </c>
      <c r="F339" s="6" t="s">
        <v>98</v>
      </c>
      <c r="G339" s="6" t="s">
        <v>1020</v>
      </c>
    </row>
    <row r="340" spans="1:7" ht="18.95" customHeight="1">
      <c r="A340" s="6" t="s">
        <v>1021</v>
      </c>
      <c r="B340" s="6" t="s">
        <v>1019</v>
      </c>
      <c r="C340" s="6" t="s">
        <v>554</v>
      </c>
      <c r="D340" s="6" t="s">
        <v>93</v>
      </c>
      <c r="E340" s="6" t="s">
        <v>46</v>
      </c>
      <c r="F340" s="6" t="s">
        <v>98</v>
      </c>
      <c r="G340" s="6" t="s">
        <v>1022</v>
      </c>
    </row>
    <row r="341" spans="1:7" ht="18.95" customHeight="1">
      <c r="A341" s="6" t="s">
        <v>1023</v>
      </c>
      <c r="B341" s="6" t="s">
        <v>1024</v>
      </c>
      <c r="C341" s="6" t="s">
        <v>560</v>
      </c>
      <c r="D341" s="6" t="s">
        <v>97</v>
      </c>
      <c r="E341" s="6" t="s">
        <v>47</v>
      </c>
      <c r="F341" s="6" t="s">
        <v>98</v>
      </c>
      <c r="G341" s="6" t="s">
        <v>1025</v>
      </c>
    </row>
    <row r="342" spans="1:7" ht="18.95" customHeight="1">
      <c r="A342" s="6" t="s">
        <v>1026</v>
      </c>
      <c r="B342" s="6" t="s">
        <v>1024</v>
      </c>
      <c r="C342" s="6" t="s">
        <v>560</v>
      </c>
      <c r="D342" s="6" t="s">
        <v>103</v>
      </c>
      <c r="E342" s="6" t="s">
        <v>48</v>
      </c>
      <c r="F342" s="6" t="s">
        <v>98</v>
      </c>
      <c r="G342" s="6" t="s">
        <v>1027</v>
      </c>
    </row>
    <row r="343" spans="1:7" ht="18.95" customHeight="1">
      <c r="A343" s="6" t="s">
        <v>1028</v>
      </c>
      <c r="B343" s="6" t="s">
        <v>1029</v>
      </c>
      <c r="C343" s="6" t="s">
        <v>566</v>
      </c>
      <c r="D343" s="6" t="s">
        <v>93</v>
      </c>
      <c r="E343" s="6" t="s">
        <v>46</v>
      </c>
      <c r="F343" s="6" t="s">
        <v>98</v>
      </c>
      <c r="G343" s="6" t="s">
        <v>1030</v>
      </c>
    </row>
    <row r="344" spans="1:7" ht="18.95" customHeight="1">
      <c r="A344" s="6" t="s">
        <v>1031</v>
      </c>
      <c r="B344" s="6" t="s">
        <v>1029</v>
      </c>
      <c r="C344" s="6" t="s">
        <v>566</v>
      </c>
      <c r="D344" s="6" t="s">
        <v>97</v>
      </c>
      <c r="E344" s="6" t="s">
        <v>47</v>
      </c>
      <c r="F344" s="6" t="s">
        <v>98</v>
      </c>
      <c r="G344" s="6" t="s">
        <v>1032</v>
      </c>
    </row>
    <row r="345" spans="1:7" ht="18.95" customHeight="1">
      <c r="A345" s="6" t="s">
        <v>1033</v>
      </c>
      <c r="B345" s="6" t="s">
        <v>1034</v>
      </c>
      <c r="C345" s="6" t="s">
        <v>572</v>
      </c>
      <c r="D345" s="6" t="s">
        <v>103</v>
      </c>
      <c r="E345" s="6" t="s">
        <v>48</v>
      </c>
      <c r="F345" s="6" t="s">
        <v>98</v>
      </c>
      <c r="G345" s="6" t="s">
        <v>1035</v>
      </c>
    </row>
    <row r="346" spans="1:7" ht="18.95" customHeight="1">
      <c r="A346" s="6" t="s">
        <v>1036</v>
      </c>
      <c r="B346" s="6" t="s">
        <v>1034</v>
      </c>
      <c r="C346" s="6" t="s">
        <v>572</v>
      </c>
      <c r="D346" s="6" t="s">
        <v>93</v>
      </c>
      <c r="E346" s="6" t="s">
        <v>46</v>
      </c>
      <c r="F346" s="6" t="s">
        <v>98</v>
      </c>
      <c r="G346" s="6" t="s">
        <v>1037</v>
      </c>
    </row>
    <row r="347" spans="1:7" ht="18.95" customHeight="1">
      <c r="A347" s="6" t="s">
        <v>1038</v>
      </c>
      <c r="B347" s="6" t="s">
        <v>1039</v>
      </c>
      <c r="C347" s="6" t="s">
        <v>578</v>
      </c>
      <c r="D347" s="6" t="s">
        <v>97</v>
      </c>
      <c r="E347" s="6" t="s">
        <v>47</v>
      </c>
      <c r="F347" s="6" t="s">
        <v>98</v>
      </c>
      <c r="G347" s="6" t="s">
        <v>1040</v>
      </c>
    </row>
    <row r="348" spans="1:7" ht="18.95" customHeight="1">
      <c r="A348" s="6" t="s">
        <v>1041</v>
      </c>
      <c r="B348" s="6" t="s">
        <v>1039</v>
      </c>
      <c r="C348" s="6" t="s">
        <v>578</v>
      </c>
      <c r="D348" s="6" t="s">
        <v>103</v>
      </c>
      <c r="E348" s="6" t="s">
        <v>48</v>
      </c>
      <c r="F348" s="6" t="s">
        <v>98</v>
      </c>
      <c r="G348" s="6" t="s">
        <v>1042</v>
      </c>
    </row>
    <row r="349" spans="1:7" ht="18.95" customHeight="1">
      <c r="A349" s="6" t="s">
        <v>1043</v>
      </c>
      <c r="B349" s="6" t="s">
        <v>1044</v>
      </c>
      <c r="C349" s="6" t="s">
        <v>584</v>
      </c>
      <c r="D349" s="6" t="s">
        <v>93</v>
      </c>
      <c r="E349" s="6" t="s">
        <v>46</v>
      </c>
      <c r="F349" s="6" t="s">
        <v>98</v>
      </c>
      <c r="G349" s="6" t="s">
        <v>1045</v>
      </c>
    </row>
    <row r="350" spans="1:7" ht="18.95" customHeight="1">
      <c r="A350" s="6" t="s">
        <v>1046</v>
      </c>
      <c r="B350" s="6" t="s">
        <v>1044</v>
      </c>
      <c r="C350" s="6" t="s">
        <v>584</v>
      </c>
      <c r="D350" s="6" t="s">
        <v>97</v>
      </c>
      <c r="E350" s="6" t="s">
        <v>47</v>
      </c>
      <c r="F350" s="6" t="s">
        <v>98</v>
      </c>
      <c r="G350" s="6" t="s">
        <v>1047</v>
      </c>
    </row>
    <row r="351" spans="1:7" ht="18.95" customHeight="1">
      <c r="A351" s="6" t="s">
        <v>1048</v>
      </c>
      <c r="B351" s="6" t="s">
        <v>1049</v>
      </c>
      <c r="C351" s="6" t="s">
        <v>590</v>
      </c>
      <c r="D351" s="6" t="s">
        <v>103</v>
      </c>
      <c r="E351" s="6" t="s">
        <v>48</v>
      </c>
      <c r="F351" s="6" t="s">
        <v>98</v>
      </c>
      <c r="G351" s="6" t="s">
        <v>1050</v>
      </c>
    </row>
    <row r="352" spans="1:7" ht="18.95" customHeight="1">
      <c r="A352" s="6" t="s">
        <v>1051</v>
      </c>
      <c r="B352" s="6" t="s">
        <v>1049</v>
      </c>
      <c r="C352" s="6" t="s">
        <v>590</v>
      </c>
      <c r="D352" s="6" t="s">
        <v>93</v>
      </c>
      <c r="E352" s="6" t="s">
        <v>46</v>
      </c>
      <c r="F352" s="6" t="s">
        <v>94</v>
      </c>
      <c r="G352" s="6" t="s">
        <v>1052</v>
      </c>
    </row>
    <row r="353" spans="1:7" ht="18.95" customHeight="1">
      <c r="A353" s="6" t="s">
        <v>1053</v>
      </c>
      <c r="B353" s="6" t="s">
        <v>1054</v>
      </c>
      <c r="C353" s="6" t="s">
        <v>596</v>
      </c>
      <c r="D353" s="6" t="s">
        <v>97</v>
      </c>
      <c r="E353" s="6" t="s">
        <v>47</v>
      </c>
      <c r="F353" s="6" t="s">
        <v>98</v>
      </c>
      <c r="G353" s="6" t="s">
        <v>1055</v>
      </c>
    </row>
    <row r="354" spans="1:7" ht="18.95" customHeight="1">
      <c r="A354" s="6" t="s">
        <v>1056</v>
      </c>
      <c r="B354" s="6" t="s">
        <v>1054</v>
      </c>
      <c r="C354" s="6" t="s">
        <v>596</v>
      </c>
      <c r="D354" s="6" t="s">
        <v>103</v>
      </c>
      <c r="E354" s="6" t="s">
        <v>48</v>
      </c>
      <c r="F354" s="6" t="s">
        <v>98</v>
      </c>
      <c r="G354" s="6" t="s">
        <v>1057</v>
      </c>
    </row>
    <row r="355" spans="1:7" ht="18.95" customHeight="1">
      <c r="A355" s="6" t="s">
        <v>1058</v>
      </c>
      <c r="B355" s="6" t="s">
        <v>1059</v>
      </c>
      <c r="C355" s="6" t="s">
        <v>602</v>
      </c>
      <c r="D355" s="6" t="s">
        <v>93</v>
      </c>
      <c r="E355" s="6" t="s">
        <v>46</v>
      </c>
      <c r="F355" s="6" t="s">
        <v>98</v>
      </c>
      <c r="G355" s="6" t="s">
        <v>1060</v>
      </c>
    </row>
    <row r="356" spans="1:7" ht="18.95" customHeight="1">
      <c r="A356" s="6" t="s">
        <v>1061</v>
      </c>
      <c r="B356" s="6" t="s">
        <v>1059</v>
      </c>
      <c r="C356" s="6" t="s">
        <v>602</v>
      </c>
      <c r="D356" s="6" t="s">
        <v>97</v>
      </c>
      <c r="E356" s="6" t="s">
        <v>47</v>
      </c>
      <c r="F356" s="6" t="s">
        <v>98</v>
      </c>
      <c r="G356" s="6" t="s">
        <v>1062</v>
      </c>
    </row>
    <row r="357" spans="1:7" ht="18.95" customHeight="1">
      <c r="A357" s="6" t="s">
        <v>1063</v>
      </c>
      <c r="B357" s="6" t="s">
        <v>1064</v>
      </c>
      <c r="C357" s="6" t="s">
        <v>611</v>
      </c>
      <c r="D357" s="6" t="s">
        <v>103</v>
      </c>
      <c r="E357" s="6" t="s">
        <v>48</v>
      </c>
      <c r="F357" s="6" t="s">
        <v>98</v>
      </c>
      <c r="G357" s="6" t="s">
        <v>1065</v>
      </c>
    </row>
    <row r="358" spans="1:7" ht="18.95" customHeight="1">
      <c r="A358" s="6" t="s">
        <v>1066</v>
      </c>
      <c r="B358" s="6" t="s">
        <v>1064</v>
      </c>
      <c r="C358" s="6" t="s">
        <v>611</v>
      </c>
      <c r="D358" s="6" t="s">
        <v>93</v>
      </c>
      <c r="E358" s="6" t="s">
        <v>46</v>
      </c>
      <c r="F358" s="6" t="s">
        <v>98</v>
      </c>
      <c r="G358" s="6" t="s">
        <v>1067</v>
      </c>
    </row>
    <row r="359" spans="1:7" ht="18.95" customHeight="1">
      <c r="A359" s="6" t="s">
        <v>1068</v>
      </c>
      <c r="B359" s="6" t="s">
        <v>1069</v>
      </c>
      <c r="C359" s="6" t="s">
        <v>615</v>
      </c>
      <c r="D359" s="6" t="s">
        <v>97</v>
      </c>
      <c r="E359" s="6" t="s">
        <v>47</v>
      </c>
      <c r="F359" s="6" t="s">
        <v>98</v>
      </c>
      <c r="G359" s="6" t="s">
        <v>1070</v>
      </c>
    </row>
    <row r="360" spans="1:7" ht="18.95" customHeight="1">
      <c r="A360" s="6" t="s">
        <v>1071</v>
      </c>
      <c r="B360" s="6" t="s">
        <v>1069</v>
      </c>
      <c r="C360" s="6" t="s">
        <v>615</v>
      </c>
      <c r="D360" s="6" t="s">
        <v>103</v>
      </c>
      <c r="E360" s="6" t="s">
        <v>48</v>
      </c>
      <c r="F360" s="6" t="s">
        <v>98</v>
      </c>
      <c r="G360" s="6" t="s">
        <v>1072</v>
      </c>
    </row>
    <row r="361" spans="1:7" ht="18.95" customHeight="1">
      <c r="A361" s="6" t="s">
        <v>1073</v>
      </c>
      <c r="B361" s="6" t="s">
        <v>1074</v>
      </c>
      <c r="C361" s="6" t="s">
        <v>621</v>
      </c>
      <c r="D361" s="6" t="s">
        <v>93</v>
      </c>
      <c r="E361" s="6" t="s">
        <v>46</v>
      </c>
      <c r="F361" s="6" t="s">
        <v>98</v>
      </c>
      <c r="G361" s="6" t="s">
        <v>1075</v>
      </c>
    </row>
    <row r="362" spans="1:7" ht="18.95" customHeight="1">
      <c r="A362" s="6" t="s">
        <v>1076</v>
      </c>
      <c r="B362" s="6" t="s">
        <v>1074</v>
      </c>
      <c r="C362" s="6" t="s">
        <v>621</v>
      </c>
      <c r="D362" s="6" t="s">
        <v>97</v>
      </c>
      <c r="E362" s="6" t="s">
        <v>47</v>
      </c>
      <c r="F362" s="6" t="s">
        <v>98</v>
      </c>
      <c r="G362" s="6" t="s">
        <v>1077</v>
      </c>
    </row>
    <row r="363" spans="1:7" ht="18.95" customHeight="1">
      <c r="A363" s="6" t="s">
        <v>1078</v>
      </c>
      <c r="B363" s="6" t="s">
        <v>1079</v>
      </c>
      <c r="C363" s="6" t="s">
        <v>627</v>
      </c>
      <c r="D363" s="6" t="s">
        <v>103</v>
      </c>
      <c r="E363" s="6" t="s">
        <v>48</v>
      </c>
      <c r="F363" s="6" t="s">
        <v>98</v>
      </c>
      <c r="G363" s="6" t="s">
        <v>1080</v>
      </c>
    </row>
    <row r="364" spans="1:7" ht="18.95" customHeight="1">
      <c r="A364" s="6" t="s">
        <v>1081</v>
      </c>
      <c r="B364" s="6" t="s">
        <v>1079</v>
      </c>
      <c r="C364" s="6" t="s">
        <v>627</v>
      </c>
      <c r="D364" s="6" t="s">
        <v>93</v>
      </c>
      <c r="E364" s="6" t="s">
        <v>46</v>
      </c>
      <c r="F364" s="6" t="s">
        <v>98</v>
      </c>
      <c r="G364" s="6" t="s">
        <v>1082</v>
      </c>
    </row>
    <row r="365" spans="1:7" ht="18.95" customHeight="1">
      <c r="A365" s="6" t="s">
        <v>1083</v>
      </c>
      <c r="B365" s="6" t="s">
        <v>1084</v>
      </c>
      <c r="C365" s="6" t="s">
        <v>633</v>
      </c>
      <c r="D365" s="6" t="s">
        <v>97</v>
      </c>
      <c r="E365" s="6" t="s">
        <v>47</v>
      </c>
      <c r="F365" s="6" t="s">
        <v>98</v>
      </c>
      <c r="G365" s="6" t="s">
        <v>1085</v>
      </c>
    </row>
    <row r="366" spans="1:7" ht="18.95" customHeight="1">
      <c r="A366" s="6" t="s">
        <v>1086</v>
      </c>
      <c r="B366" s="6" t="s">
        <v>1084</v>
      </c>
      <c r="C366" s="6" t="s">
        <v>633</v>
      </c>
      <c r="D366" s="6" t="s">
        <v>103</v>
      </c>
      <c r="E366" s="6" t="s">
        <v>5191</v>
      </c>
      <c r="F366" s="6" t="s">
        <v>98</v>
      </c>
      <c r="G366" s="6" t="s">
        <v>1087</v>
      </c>
    </row>
    <row r="367" spans="1:7" ht="18.95" customHeight="1">
      <c r="A367" s="6" t="s">
        <v>1088</v>
      </c>
      <c r="B367" s="6" t="s">
        <v>1089</v>
      </c>
      <c r="C367" s="6" t="s">
        <v>92</v>
      </c>
      <c r="D367" s="6" t="s">
        <v>93</v>
      </c>
      <c r="E367" s="6" t="s">
        <v>46</v>
      </c>
      <c r="F367" s="6" t="s">
        <v>98</v>
      </c>
      <c r="G367" s="6" t="s">
        <v>1090</v>
      </c>
    </row>
    <row r="368" spans="1:7" ht="18.95" customHeight="1">
      <c r="A368" s="6" t="s">
        <v>1091</v>
      </c>
      <c r="B368" s="6" t="s">
        <v>1089</v>
      </c>
      <c r="C368" s="6" t="s">
        <v>92</v>
      </c>
      <c r="D368" s="6" t="s">
        <v>97</v>
      </c>
      <c r="E368" s="6" t="s">
        <v>47</v>
      </c>
      <c r="F368" s="6" t="s">
        <v>98</v>
      </c>
      <c r="G368" s="6" t="s">
        <v>1092</v>
      </c>
    </row>
    <row r="369" spans="1:7" ht="18.95" customHeight="1">
      <c r="A369" s="6" t="s">
        <v>1093</v>
      </c>
      <c r="B369" s="6" t="s">
        <v>1094</v>
      </c>
      <c r="C369" s="6" t="s">
        <v>102</v>
      </c>
      <c r="D369" s="6" t="s">
        <v>103</v>
      </c>
      <c r="E369" s="6" t="s">
        <v>48</v>
      </c>
      <c r="F369" s="6" t="s">
        <v>98</v>
      </c>
      <c r="G369" s="6" t="s">
        <v>1095</v>
      </c>
    </row>
    <row r="370" spans="1:7" ht="18.95" customHeight="1">
      <c r="A370" s="6" t="s">
        <v>1096</v>
      </c>
      <c r="B370" s="6" t="s">
        <v>1094</v>
      </c>
      <c r="C370" s="6" t="s">
        <v>102</v>
      </c>
      <c r="D370" s="6" t="s">
        <v>93</v>
      </c>
      <c r="E370" s="6" t="s">
        <v>46</v>
      </c>
      <c r="F370" s="6" t="s">
        <v>98</v>
      </c>
      <c r="G370" s="6" t="s">
        <v>1097</v>
      </c>
    </row>
    <row r="371" spans="1:7" ht="18.95" customHeight="1">
      <c r="A371" s="6" t="s">
        <v>1098</v>
      </c>
      <c r="B371" s="6" t="s">
        <v>1099</v>
      </c>
      <c r="C371" s="6" t="s">
        <v>109</v>
      </c>
      <c r="D371" s="6" t="s">
        <v>97</v>
      </c>
      <c r="E371" s="6" t="s">
        <v>47</v>
      </c>
      <c r="F371" s="6" t="s">
        <v>98</v>
      </c>
      <c r="G371" s="6" t="s">
        <v>1100</v>
      </c>
    </row>
    <row r="372" spans="1:7" ht="18.95" customHeight="1">
      <c r="A372" s="6" t="s">
        <v>1101</v>
      </c>
      <c r="B372" s="6" t="s">
        <v>1099</v>
      </c>
      <c r="C372" s="6" t="s">
        <v>109</v>
      </c>
      <c r="D372" s="6" t="s">
        <v>103</v>
      </c>
      <c r="E372" s="6" t="s">
        <v>48</v>
      </c>
      <c r="F372" s="6" t="s">
        <v>98</v>
      </c>
      <c r="G372" s="6" t="s">
        <v>1102</v>
      </c>
    </row>
    <row r="373" spans="1:7" ht="18.95" customHeight="1">
      <c r="A373" s="6" t="s">
        <v>1103</v>
      </c>
      <c r="B373" s="6" t="s">
        <v>1104</v>
      </c>
      <c r="C373" s="6" t="s">
        <v>115</v>
      </c>
      <c r="D373" s="6" t="s">
        <v>93</v>
      </c>
      <c r="E373" s="6" t="s">
        <v>46</v>
      </c>
      <c r="F373" s="6" t="s">
        <v>98</v>
      </c>
      <c r="G373" s="6" t="s">
        <v>1105</v>
      </c>
    </row>
    <row r="374" spans="1:7" ht="18.95" customHeight="1">
      <c r="A374" s="6" t="s">
        <v>1106</v>
      </c>
      <c r="B374" s="6" t="s">
        <v>1104</v>
      </c>
      <c r="C374" s="6" t="s">
        <v>115</v>
      </c>
      <c r="D374" s="6" t="s">
        <v>97</v>
      </c>
      <c r="E374" s="6" t="s">
        <v>47</v>
      </c>
      <c r="F374" s="6" t="s">
        <v>98</v>
      </c>
      <c r="G374" s="6" t="s">
        <v>1107</v>
      </c>
    </row>
    <row r="375" spans="1:7" ht="18.95" customHeight="1">
      <c r="A375" s="6" t="s">
        <v>1108</v>
      </c>
      <c r="B375" s="6" t="s">
        <v>1109</v>
      </c>
      <c r="C375" s="6" t="s">
        <v>121</v>
      </c>
      <c r="D375" s="6" t="s">
        <v>103</v>
      </c>
      <c r="E375" s="6" t="s">
        <v>48</v>
      </c>
      <c r="F375" s="6" t="s">
        <v>94</v>
      </c>
      <c r="G375" s="6" t="s">
        <v>1110</v>
      </c>
    </row>
    <row r="376" spans="1:7" ht="18.95" customHeight="1">
      <c r="A376" s="6" t="s">
        <v>1111</v>
      </c>
      <c r="B376" s="6" t="s">
        <v>1109</v>
      </c>
      <c r="C376" s="6" t="s">
        <v>121</v>
      </c>
      <c r="D376" s="6" t="s">
        <v>93</v>
      </c>
      <c r="E376" s="6" t="s">
        <v>46</v>
      </c>
      <c r="F376" s="6" t="s">
        <v>98</v>
      </c>
      <c r="G376" s="6" t="s">
        <v>1112</v>
      </c>
    </row>
    <row r="377" spans="1:7" ht="18.95" customHeight="1">
      <c r="A377" s="6" t="s">
        <v>1113</v>
      </c>
      <c r="B377" s="6" t="s">
        <v>1114</v>
      </c>
      <c r="C377" s="6" t="s">
        <v>127</v>
      </c>
      <c r="D377" s="6" t="s">
        <v>97</v>
      </c>
      <c r="E377" s="6" t="s">
        <v>47</v>
      </c>
      <c r="F377" s="6" t="s">
        <v>98</v>
      </c>
      <c r="G377" s="6" t="s">
        <v>1115</v>
      </c>
    </row>
    <row r="378" spans="1:7" ht="18.95" customHeight="1">
      <c r="A378" s="6" t="s">
        <v>1116</v>
      </c>
      <c r="B378" s="6" t="s">
        <v>1114</v>
      </c>
      <c r="C378" s="6" t="s">
        <v>127</v>
      </c>
      <c r="D378" s="6" t="s">
        <v>103</v>
      </c>
      <c r="E378" s="6" t="s">
        <v>48</v>
      </c>
      <c r="F378" s="6" t="s">
        <v>98</v>
      </c>
      <c r="G378" s="6" t="s">
        <v>1117</v>
      </c>
    </row>
    <row r="379" spans="1:7" ht="18.95" customHeight="1">
      <c r="A379" s="6" t="s">
        <v>1118</v>
      </c>
      <c r="B379" s="6" t="s">
        <v>1119</v>
      </c>
      <c r="C379" s="6" t="s">
        <v>133</v>
      </c>
      <c r="D379" s="6" t="s">
        <v>93</v>
      </c>
      <c r="E379" s="6" t="s">
        <v>46</v>
      </c>
      <c r="F379" s="6" t="s">
        <v>98</v>
      </c>
      <c r="G379" s="6" t="s">
        <v>1120</v>
      </c>
    </row>
    <row r="380" spans="1:7" ht="18.95" customHeight="1">
      <c r="A380" s="6" t="s">
        <v>1121</v>
      </c>
      <c r="B380" s="6" t="s">
        <v>1119</v>
      </c>
      <c r="C380" s="6" t="s">
        <v>133</v>
      </c>
      <c r="D380" s="6" t="s">
        <v>97</v>
      </c>
      <c r="E380" s="6" t="s">
        <v>47</v>
      </c>
      <c r="F380" s="6" t="s">
        <v>98</v>
      </c>
      <c r="G380" s="6" t="s">
        <v>1122</v>
      </c>
    </row>
    <row r="381" spans="1:7" ht="18.95" customHeight="1">
      <c r="A381" s="6" t="s">
        <v>1123</v>
      </c>
      <c r="B381" s="6" t="s">
        <v>1124</v>
      </c>
      <c r="C381" s="6" t="s">
        <v>139</v>
      </c>
      <c r="D381" s="6" t="s">
        <v>103</v>
      </c>
      <c r="E381" s="6" t="s">
        <v>48</v>
      </c>
      <c r="F381" s="6" t="s">
        <v>98</v>
      </c>
      <c r="G381" s="6" t="s">
        <v>1125</v>
      </c>
    </row>
    <row r="382" spans="1:7" ht="18.95" customHeight="1">
      <c r="A382" s="6" t="s">
        <v>1126</v>
      </c>
      <c r="B382" s="6" t="s">
        <v>1124</v>
      </c>
      <c r="C382" s="6" t="s">
        <v>139</v>
      </c>
      <c r="D382" s="6" t="s">
        <v>93</v>
      </c>
      <c r="E382" s="6" t="s">
        <v>46</v>
      </c>
      <c r="F382" s="6" t="s">
        <v>98</v>
      </c>
      <c r="G382" s="6" t="s">
        <v>1127</v>
      </c>
    </row>
    <row r="383" spans="1:7" ht="18.95" customHeight="1">
      <c r="A383" s="6" t="s">
        <v>1128</v>
      </c>
      <c r="B383" s="6" t="s">
        <v>1129</v>
      </c>
      <c r="C383" s="6" t="s">
        <v>145</v>
      </c>
      <c r="D383" s="6" t="s">
        <v>97</v>
      </c>
      <c r="E383" s="6" t="s">
        <v>47</v>
      </c>
      <c r="F383" s="6" t="s">
        <v>98</v>
      </c>
      <c r="G383" s="6" t="s">
        <v>1130</v>
      </c>
    </row>
    <row r="384" spans="1:7" ht="18.95" customHeight="1">
      <c r="A384" s="6" t="s">
        <v>1131</v>
      </c>
      <c r="B384" s="6" t="s">
        <v>1129</v>
      </c>
      <c r="C384" s="6" t="s">
        <v>145</v>
      </c>
      <c r="D384" s="6" t="s">
        <v>103</v>
      </c>
      <c r="E384" s="6" t="s">
        <v>48</v>
      </c>
      <c r="F384" s="6" t="s">
        <v>98</v>
      </c>
      <c r="G384" s="6" t="s">
        <v>1132</v>
      </c>
    </row>
    <row r="385" spans="1:7" ht="18.95" customHeight="1">
      <c r="A385" s="6" t="s">
        <v>1133</v>
      </c>
      <c r="B385" s="6" t="s">
        <v>1134</v>
      </c>
      <c r="C385" s="6" t="s">
        <v>151</v>
      </c>
      <c r="D385" s="6" t="s">
        <v>93</v>
      </c>
      <c r="E385" s="6" t="s">
        <v>46</v>
      </c>
      <c r="F385" s="6" t="s">
        <v>98</v>
      </c>
      <c r="G385" s="6" t="s">
        <v>1135</v>
      </c>
    </row>
    <row r="386" spans="1:7" ht="18.95" customHeight="1">
      <c r="A386" s="6" t="s">
        <v>1136</v>
      </c>
      <c r="B386" s="6" t="s">
        <v>1134</v>
      </c>
      <c r="C386" s="6" t="s">
        <v>151</v>
      </c>
      <c r="D386" s="6" t="s">
        <v>97</v>
      </c>
      <c r="E386" s="6" t="s">
        <v>47</v>
      </c>
      <c r="F386" s="6" t="s">
        <v>98</v>
      </c>
      <c r="G386" s="6" t="s">
        <v>1137</v>
      </c>
    </row>
    <row r="387" spans="1:7" ht="18.95" customHeight="1">
      <c r="A387" s="6" t="s">
        <v>1138</v>
      </c>
      <c r="B387" s="6" t="s">
        <v>1139</v>
      </c>
      <c r="C387" s="6" t="s">
        <v>157</v>
      </c>
      <c r="D387" s="6" t="s">
        <v>103</v>
      </c>
      <c r="E387" s="6" t="s">
        <v>48</v>
      </c>
      <c r="F387" s="6" t="s">
        <v>98</v>
      </c>
      <c r="G387" s="6" t="s">
        <v>1140</v>
      </c>
    </row>
    <row r="388" spans="1:7" ht="18.95" customHeight="1">
      <c r="A388" s="6" t="s">
        <v>1141</v>
      </c>
      <c r="B388" s="6" t="s">
        <v>1139</v>
      </c>
      <c r="C388" s="6" t="s">
        <v>157</v>
      </c>
      <c r="D388" s="6" t="s">
        <v>93</v>
      </c>
      <c r="E388" s="6" t="s">
        <v>46</v>
      </c>
      <c r="F388" s="6" t="s">
        <v>98</v>
      </c>
      <c r="G388" s="6" t="s">
        <v>1142</v>
      </c>
    </row>
    <row r="389" spans="1:7" ht="18.95" customHeight="1">
      <c r="A389" s="6" t="s">
        <v>1143</v>
      </c>
      <c r="B389" s="6" t="s">
        <v>1144</v>
      </c>
      <c r="C389" s="6" t="s">
        <v>163</v>
      </c>
      <c r="D389" s="6" t="s">
        <v>97</v>
      </c>
      <c r="E389" s="6" t="s">
        <v>47</v>
      </c>
      <c r="F389" s="6" t="s">
        <v>98</v>
      </c>
      <c r="G389" s="6" t="s">
        <v>1145</v>
      </c>
    </row>
    <row r="390" spans="1:7" ht="18.95" customHeight="1">
      <c r="A390" s="6" t="s">
        <v>1146</v>
      </c>
      <c r="B390" s="6" t="s">
        <v>1144</v>
      </c>
      <c r="C390" s="6" t="s">
        <v>163</v>
      </c>
      <c r="D390" s="6" t="s">
        <v>103</v>
      </c>
      <c r="E390" s="6" t="s">
        <v>48</v>
      </c>
      <c r="F390" s="6" t="s">
        <v>98</v>
      </c>
      <c r="G390" s="6" t="s">
        <v>1147</v>
      </c>
    </row>
    <row r="391" spans="1:7" ht="18.95" customHeight="1">
      <c r="A391" s="6" t="s">
        <v>1148</v>
      </c>
      <c r="B391" s="6" t="s">
        <v>1149</v>
      </c>
      <c r="C391" s="6" t="s">
        <v>169</v>
      </c>
      <c r="D391" s="6" t="s">
        <v>93</v>
      </c>
      <c r="E391" s="6" t="s">
        <v>46</v>
      </c>
      <c r="F391" s="6" t="s">
        <v>98</v>
      </c>
      <c r="G391" s="6" t="s">
        <v>1150</v>
      </c>
    </row>
    <row r="392" spans="1:7" ht="18.95" customHeight="1">
      <c r="A392" s="6" t="s">
        <v>1151</v>
      </c>
      <c r="B392" s="6" t="s">
        <v>1149</v>
      </c>
      <c r="C392" s="6" t="s">
        <v>169</v>
      </c>
      <c r="D392" s="6" t="s">
        <v>97</v>
      </c>
      <c r="E392" s="6" t="s">
        <v>47</v>
      </c>
      <c r="F392" s="6" t="s">
        <v>98</v>
      </c>
      <c r="G392" s="6" t="s">
        <v>1152</v>
      </c>
    </row>
    <row r="393" spans="1:7" ht="18.95" customHeight="1">
      <c r="A393" s="6" t="s">
        <v>1153</v>
      </c>
      <c r="B393" s="6" t="s">
        <v>1154</v>
      </c>
      <c r="C393" s="6" t="s">
        <v>175</v>
      </c>
      <c r="D393" s="6" t="s">
        <v>103</v>
      </c>
      <c r="E393" s="6" t="s">
        <v>48</v>
      </c>
      <c r="F393" s="6" t="s">
        <v>98</v>
      </c>
      <c r="G393" s="6" t="s">
        <v>1155</v>
      </c>
    </row>
    <row r="394" spans="1:7" ht="18.95" customHeight="1">
      <c r="A394" s="6" t="s">
        <v>1156</v>
      </c>
      <c r="B394" s="6" t="s">
        <v>1154</v>
      </c>
      <c r="C394" s="6" t="s">
        <v>175</v>
      </c>
      <c r="D394" s="6" t="s">
        <v>93</v>
      </c>
      <c r="E394" s="6" t="s">
        <v>46</v>
      </c>
      <c r="F394" s="6" t="s">
        <v>98</v>
      </c>
      <c r="G394" s="6" t="s">
        <v>1157</v>
      </c>
    </row>
    <row r="395" spans="1:7" ht="18.95" customHeight="1">
      <c r="A395" s="6" t="s">
        <v>1158</v>
      </c>
      <c r="B395" s="6" t="s">
        <v>1159</v>
      </c>
      <c r="C395" s="6" t="s">
        <v>181</v>
      </c>
      <c r="D395" s="6" t="s">
        <v>97</v>
      </c>
      <c r="E395" s="6" t="s">
        <v>47</v>
      </c>
      <c r="F395" s="6" t="s">
        <v>98</v>
      </c>
      <c r="G395" s="6" t="s">
        <v>1160</v>
      </c>
    </row>
    <row r="396" spans="1:7" ht="18.95" customHeight="1">
      <c r="A396" s="6" t="s">
        <v>1161</v>
      </c>
      <c r="B396" s="6" t="s">
        <v>1159</v>
      </c>
      <c r="C396" s="6" t="s">
        <v>181</v>
      </c>
      <c r="D396" s="6" t="s">
        <v>103</v>
      </c>
      <c r="E396" s="6" t="s">
        <v>48</v>
      </c>
      <c r="F396" s="6" t="s">
        <v>98</v>
      </c>
      <c r="G396" s="6" t="s">
        <v>1162</v>
      </c>
    </row>
    <row r="397" spans="1:7" ht="18.95" customHeight="1">
      <c r="A397" s="6" t="s">
        <v>1163</v>
      </c>
      <c r="B397" s="6" t="s">
        <v>1164</v>
      </c>
      <c r="C397" s="6" t="s">
        <v>187</v>
      </c>
      <c r="D397" s="6" t="s">
        <v>93</v>
      </c>
      <c r="E397" s="6" t="s">
        <v>46</v>
      </c>
      <c r="F397" s="6" t="s">
        <v>98</v>
      </c>
      <c r="G397" s="6" t="s">
        <v>1165</v>
      </c>
    </row>
    <row r="398" spans="1:7" ht="18.95" customHeight="1">
      <c r="A398" s="6" t="s">
        <v>1166</v>
      </c>
      <c r="B398" s="6" t="s">
        <v>1164</v>
      </c>
      <c r="C398" s="6" t="s">
        <v>187</v>
      </c>
      <c r="D398" s="6" t="s">
        <v>97</v>
      </c>
      <c r="E398" s="6" t="s">
        <v>47</v>
      </c>
      <c r="F398" s="6" t="s">
        <v>94</v>
      </c>
      <c r="G398" s="6" t="s">
        <v>1167</v>
      </c>
    </row>
    <row r="399" spans="1:7" ht="18.95" customHeight="1">
      <c r="A399" s="6" t="s">
        <v>1168</v>
      </c>
      <c r="B399" s="6" t="s">
        <v>1169</v>
      </c>
      <c r="C399" s="6" t="s">
        <v>193</v>
      </c>
      <c r="D399" s="6" t="s">
        <v>103</v>
      </c>
      <c r="E399" s="6" t="s">
        <v>48</v>
      </c>
      <c r="F399" s="6" t="s">
        <v>98</v>
      </c>
      <c r="G399" s="6" t="s">
        <v>1170</v>
      </c>
    </row>
    <row r="400" spans="1:7" ht="18.95" customHeight="1">
      <c r="A400" s="6" t="s">
        <v>1171</v>
      </c>
      <c r="B400" s="6" t="s">
        <v>1169</v>
      </c>
      <c r="C400" s="6" t="s">
        <v>193</v>
      </c>
      <c r="D400" s="6" t="s">
        <v>93</v>
      </c>
      <c r="E400" s="6" t="s">
        <v>46</v>
      </c>
      <c r="F400" s="6" t="s">
        <v>98</v>
      </c>
      <c r="G400" s="6" t="s">
        <v>1172</v>
      </c>
    </row>
    <row r="401" spans="1:7" ht="18.95" customHeight="1">
      <c r="A401" s="6" t="s">
        <v>1173</v>
      </c>
      <c r="B401" s="6" t="s">
        <v>1174</v>
      </c>
      <c r="C401" s="6" t="s">
        <v>200</v>
      </c>
      <c r="D401" s="6" t="s">
        <v>97</v>
      </c>
      <c r="E401" s="6" t="s">
        <v>47</v>
      </c>
      <c r="F401" s="6" t="s">
        <v>98</v>
      </c>
      <c r="G401" s="6" t="s">
        <v>1175</v>
      </c>
    </row>
    <row r="402" spans="1:7" ht="18.95" customHeight="1">
      <c r="A402" s="6" t="s">
        <v>1176</v>
      </c>
      <c r="B402" s="6" t="s">
        <v>1174</v>
      </c>
      <c r="C402" s="6" t="s">
        <v>200</v>
      </c>
      <c r="D402" s="6" t="s">
        <v>103</v>
      </c>
      <c r="E402" s="6" t="s">
        <v>48</v>
      </c>
      <c r="F402" s="6" t="s">
        <v>98</v>
      </c>
      <c r="G402" s="6" t="s">
        <v>1177</v>
      </c>
    </row>
    <row r="403" spans="1:7" ht="18.95" customHeight="1">
      <c r="A403" s="6" t="s">
        <v>1178</v>
      </c>
      <c r="B403" s="6" t="s">
        <v>1179</v>
      </c>
      <c r="C403" s="6" t="s">
        <v>206</v>
      </c>
      <c r="D403" s="6" t="s">
        <v>93</v>
      </c>
      <c r="E403" s="6" t="s">
        <v>46</v>
      </c>
      <c r="F403" s="6" t="s">
        <v>98</v>
      </c>
      <c r="G403" s="6" t="s">
        <v>1180</v>
      </c>
    </row>
    <row r="404" spans="1:7" ht="18.95" customHeight="1">
      <c r="A404" s="6" t="s">
        <v>1181</v>
      </c>
      <c r="B404" s="6" t="s">
        <v>1179</v>
      </c>
      <c r="C404" s="6" t="s">
        <v>206</v>
      </c>
      <c r="D404" s="6" t="s">
        <v>97</v>
      </c>
      <c r="E404" s="6" t="s">
        <v>47</v>
      </c>
      <c r="F404" s="6" t="s">
        <v>98</v>
      </c>
      <c r="G404" s="6" t="s">
        <v>1182</v>
      </c>
    </row>
    <row r="405" spans="1:7" ht="18.95" customHeight="1">
      <c r="A405" s="6" t="s">
        <v>1183</v>
      </c>
      <c r="B405" s="6" t="s">
        <v>1184</v>
      </c>
      <c r="C405" s="6" t="s">
        <v>212</v>
      </c>
      <c r="D405" s="6" t="s">
        <v>103</v>
      </c>
      <c r="E405" s="6" t="s">
        <v>48</v>
      </c>
      <c r="F405" s="6" t="s">
        <v>98</v>
      </c>
      <c r="G405" s="6" t="s">
        <v>1185</v>
      </c>
    </row>
    <row r="406" spans="1:7" ht="18.95" customHeight="1">
      <c r="A406" s="6" t="s">
        <v>1186</v>
      </c>
      <c r="B406" s="6" t="s">
        <v>1184</v>
      </c>
      <c r="C406" s="6" t="s">
        <v>212</v>
      </c>
      <c r="D406" s="6" t="s">
        <v>93</v>
      </c>
      <c r="E406" s="6" t="s">
        <v>46</v>
      </c>
      <c r="F406" s="6" t="s">
        <v>98</v>
      </c>
      <c r="G406" s="6" t="s">
        <v>1187</v>
      </c>
    </row>
    <row r="407" spans="1:7" ht="18.95" customHeight="1">
      <c r="A407" s="6" t="s">
        <v>1188</v>
      </c>
      <c r="B407" s="6" t="s">
        <v>1189</v>
      </c>
      <c r="C407" s="6" t="s">
        <v>218</v>
      </c>
      <c r="D407" s="6" t="s">
        <v>97</v>
      </c>
      <c r="E407" s="6" t="s">
        <v>47</v>
      </c>
      <c r="F407" s="6" t="s">
        <v>98</v>
      </c>
      <c r="G407" s="6" t="s">
        <v>1190</v>
      </c>
    </row>
    <row r="408" spans="1:7" ht="18.95" customHeight="1">
      <c r="A408" s="6" t="s">
        <v>1191</v>
      </c>
      <c r="B408" s="6" t="s">
        <v>1189</v>
      </c>
      <c r="C408" s="6" t="s">
        <v>218</v>
      </c>
      <c r="D408" s="6" t="s">
        <v>103</v>
      </c>
      <c r="E408" s="6" t="s">
        <v>48</v>
      </c>
      <c r="F408" s="6" t="s">
        <v>98</v>
      </c>
      <c r="G408" s="6" t="s">
        <v>1192</v>
      </c>
    </row>
    <row r="409" spans="1:7" ht="18.95" customHeight="1">
      <c r="A409" s="6" t="s">
        <v>1193</v>
      </c>
      <c r="B409" s="6" t="s">
        <v>1194</v>
      </c>
      <c r="C409" s="6" t="s">
        <v>224</v>
      </c>
      <c r="D409" s="6" t="s">
        <v>93</v>
      </c>
      <c r="E409" s="6" t="s">
        <v>46</v>
      </c>
      <c r="F409" s="6" t="s">
        <v>98</v>
      </c>
      <c r="G409" s="6" t="s">
        <v>1195</v>
      </c>
    </row>
    <row r="410" spans="1:7" ht="18.95" customHeight="1">
      <c r="A410" s="6" t="s">
        <v>1196</v>
      </c>
      <c r="B410" s="6" t="s">
        <v>1194</v>
      </c>
      <c r="C410" s="6" t="s">
        <v>224</v>
      </c>
      <c r="D410" s="6" t="s">
        <v>97</v>
      </c>
      <c r="E410" s="6" t="s">
        <v>47</v>
      </c>
      <c r="F410" s="6" t="s">
        <v>98</v>
      </c>
      <c r="G410" s="6" t="s">
        <v>1197</v>
      </c>
    </row>
    <row r="411" spans="1:7" ht="18.95" customHeight="1">
      <c r="A411" s="6" t="s">
        <v>1198</v>
      </c>
      <c r="B411" s="6" t="s">
        <v>1199</v>
      </c>
      <c r="C411" s="6" t="s">
        <v>230</v>
      </c>
      <c r="D411" s="6" t="s">
        <v>103</v>
      </c>
      <c r="E411" s="6" t="s">
        <v>48</v>
      </c>
      <c r="F411" s="6" t="s">
        <v>98</v>
      </c>
      <c r="G411" s="6" t="s">
        <v>1200</v>
      </c>
    </row>
    <row r="412" spans="1:7" ht="18.95" customHeight="1">
      <c r="A412" s="6" t="s">
        <v>1201</v>
      </c>
      <c r="B412" s="6" t="s">
        <v>1199</v>
      </c>
      <c r="C412" s="6" t="s">
        <v>230</v>
      </c>
      <c r="D412" s="6" t="s">
        <v>93</v>
      </c>
      <c r="E412" s="6" t="s">
        <v>46</v>
      </c>
      <c r="F412" s="6" t="s">
        <v>98</v>
      </c>
      <c r="G412" s="6" t="s">
        <v>1202</v>
      </c>
    </row>
    <row r="413" spans="1:7" ht="18.95" customHeight="1">
      <c r="A413" s="6" t="s">
        <v>1203</v>
      </c>
      <c r="B413" s="6" t="s">
        <v>1204</v>
      </c>
      <c r="C413" s="6" t="s">
        <v>236</v>
      </c>
      <c r="D413" s="6" t="s">
        <v>97</v>
      </c>
      <c r="E413" s="6" t="s">
        <v>47</v>
      </c>
      <c r="F413" s="6" t="s">
        <v>98</v>
      </c>
      <c r="G413" s="6" t="s">
        <v>1205</v>
      </c>
    </row>
    <row r="414" spans="1:7" ht="18.95" customHeight="1">
      <c r="A414" s="6" t="s">
        <v>1206</v>
      </c>
      <c r="B414" s="6" t="s">
        <v>1204</v>
      </c>
      <c r="C414" s="6" t="s">
        <v>236</v>
      </c>
      <c r="D414" s="6" t="s">
        <v>103</v>
      </c>
      <c r="E414" s="6" t="s">
        <v>48</v>
      </c>
      <c r="F414" s="6" t="s">
        <v>98</v>
      </c>
      <c r="G414" s="6" t="s">
        <v>1207</v>
      </c>
    </row>
    <row r="415" spans="1:7" ht="18.95" customHeight="1">
      <c r="A415" s="6" t="s">
        <v>1208</v>
      </c>
      <c r="B415" s="6" t="s">
        <v>1209</v>
      </c>
      <c r="C415" s="6" t="s">
        <v>242</v>
      </c>
      <c r="D415" s="6" t="s">
        <v>93</v>
      </c>
      <c r="E415" s="6" t="s">
        <v>46</v>
      </c>
      <c r="F415" s="6" t="s">
        <v>98</v>
      </c>
      <c r="G415" s="6" t="s">
        <v>1210</v>
      </c>
    </row>
    <row r="416" spans="1:7" ht="18.95" customHeight="1">
      <c r="A416" s="6" t="s">
        <v>1211</v>
      </c>
      <c r="B416" s="6" t="s">
        <v>1209</v>
      </c>
      <c r="C416" s="6" t="s">
        <v>242</v>
      </c>
      <c r="D416" s="6" t="s">
        <v>97</v>
      </c>
      <c r="E416" s="6" t="s">
        <v>47</v>
      </c>
      <c r="F416" s="6" t="s">
        <v>98</v>
      </c>
      <c r="G416" s="6" t="s">
        <v>1212</v>
      </c>
    </row>
    <row r="417" spans="1:7" ht="18.95" customHeight="1">
      <c r="A417" s="6" t="s">
        <v>1213</v>
      </c>
      <c r="B417" s="6" t="s">
        <v>1214</v>
      </c>
      <c r="C417" s="6" t="s">
        <v>248</v>
      </c>
      <c r="D417" s="6" t="s">
        <v>103</v>
      </c>
      <c r="E417" s="6" t="s">
        <v>48</v>
      </c>
      <c r="F417" s="6" t="s">
        <v>98</v>
      </c>
      <c r="G417" s="6" t="s">
        <v>1215</v>
      </c>
    </row>
    <row r="418" spans="1:7" ht="18.95" customHeight="1">
      <c r="A418" s="6" t="s">
        <v>1216</v>
      </c>
      <c r="B418" s="6" t="s">
        <v>1214</v>
      </c>
      <c r="C418" s="6" t="s">
        <v>248</v>
      </c>
      <c r="D418" s="6" t="s">
        <v>93</v>
      </c>
      <c r="E418" s="6" t="s">
        <v>46</v>
      </c>
      <c r="F418" s="6" t="s">
        <v>98</v>
      </c>
      <c r="G418" s="6" t="s">
        <v>1217</v>
      </c>
    </row>
    <row r="419" spans="1:7" ht="18.95" customHeight="1">
      <c r="A419" s="6" t="s">
        <v>1218</v>
      </c>
      <c r="B419" s="6" t="s">
        <v>1219</v>
      </c>
      <c r="C419" s="6" t="s">
        <v>254</v>
      </c>
      <c r="D419" s="6" t="s">
        <v>97</v>
      </c>
      <c r="E419" s="6" t="s">
        <v>47</v>
      </c>
      <c r="F419" s="6" t="s">
        <v>98</v>
      </c>
      <c r="G419" s="6" t="s">
        <v>1220</v>
      </c>
    </row>
    <row r="420" spans="1:7" ht="18.95" customHeight="1">
      <c r="A420" s="6" t="s">
        <v>1221</v>
      </c>
      <c r="B420" s="6" t="s">
        <v>1219</v>
      </c>
      <c r="C420" s="6" t="s">
        <v>254</v>
      </c>
      <c r="D420" s="6" t="s">
        <v>103</v>
      </c>
      <c r="E420" s="6" t="s">
        <v>48</v>
      </c>
      <c r="F420" s="6" t="s">
        <v>98</v>
      </c>
      <c r="G420" s="6" t="s">
        <v>1222</v>
      </c>
    </row>
    <row r="421" spans="1:7" ht="18.95" customHeight="1">
      <c r="A421" s="6" t="s">
        <v>1223</v>
      </c>
      <c r="B421" s="6" t="s">
        <v>1224</v>
      </c>
      <c r="C421" s="6" t="s">
        <v>260</v>
      </c>
      <c r="D421" s="6" t="s">
        <v>93</v>
      </c>
      <c r="E421" s="6" t="s">
        <v>46</v>
      </c>
      <c r="F421" s="6" t="s">
        <v>94</v>
      </c>
      <c r="G421" s="6" t="s">
        <v>1225</v>
      </c>
    </row>
    <row r="422" spans="1:7" ht="18.95" customHeight="1">
      <c r="A422" s="6" t="s">
        <v>1226</v>
      </c>
      <c r="B422" s="6" t="s">
        <v>1224</v>
      </c>
      <c r="C422" s="6" t="s">
        <v>260</v>
      </c>
      <c r="D422" s="6" t="s">
        <v>97</v>
      </c>
      <c r="E422" s="6" t="s">
        <v>47</v>
      </c>
      <c r="F422" s="6" t="s">
        <v>98</v>
      </c>
      <c r="G422" s="6" t="s">
        <v>1227</v>
      </c>
    </row>
    <row r="423" spans="1:7" ht="18.95" customHeight="1">
      <c r="A423" s="6" t="s">
        <v>1228</v>
      </c>
      <c r="B423" s="6" t="s">
        <v>1229</v>
      </c>
      <c r="C423" s="6" t="s">
        <v>266</v>
      </c>
      <c r="D423" s="6" t="s">
        <v>103</v>
      </c>
      <c r="E423" s="6" t="s">
        <v>48</v>
      </c>
      <c r="F423" s="6" t="s">
        <v>98</v>
      </c>
      <c r="G423" s="6" t="s">
        <v>1230</v>
      </c>
    </row>
    <row r="424" spans="1:7" ht="18.95" customHeight="1">
      <c r="A424" s="6" t="s">
        <v>1231</v>
      </c>
      <c r="B424" s="6" t="s">
        <v>1229</v>
      </c>
      <c r="C424" s="6" t="s">
        <v>266</v>
      </c>
      <c r="D424" s="6" t="s">
        <v>93</v>
      </c>
      <c r="E424" s="6" t="s">
        <v>46</v>
      </c>
      <c r="F424" s="6" t="s">
        <v>98</v>
      </c>
      <c r="G424" s="6" t="s">
        <v>1232</v>
      </c>
    </row>
    <row r="425" spans="1:7" ht="18.95" customHeight="1">
      <c r="A425" s="6" t="s">
        <v>1233</v>
      </c>
      <c r="B425" s="6" t="s">
        <v>1234</v>
      </c>
      <c r="C425" s="6" t="s">
        <v>272</v>
      </c>
      <c r="D425" s="6" t="s">
        <v>97</v>
      </c>
      <c r="E425" s="6" t="s">
        <v>47</v>
      </c>
      <c r="F425" s="6" t="s">
        <v>98</v>
      </c>
      <c r="G425" s="6" t="s">
        <v>1235</v>
      </c>
    </row>
    <row r="426" spans="1:7" ht="18.95" customHeight="1">
      <c r="A426" s="6" t="s">
        <v>1236</v>
      </c>
      <c r="B426" s="6" t="s">
        <v>1234</v>
      </c>
      <c r="C426" s="6" t="s">
        <v>272</v>
      </c>
      <c r="D426" s="6" t="s">
        <v>103</v>
      </c>
      <c r="E426" s="6" t="s">
        <v>48</v>
      </c>
      <c r="F426" s="6" t="s">
        <v>98</v>
      </c>
      <c r="G426" s="6" t="s">
        <v>1237</v>
      </c>
    </row>
    <row r="427" spans="1:7" ht="18.95" customHeight="1">
      <c r="A427" s="6" t="s">
        <v>1238</v>
      </c>
      <c r="B427" s="6" t="s">
        <v>1239</v>
      </c>
      <c r="C427" s="6" t="s">
        <v>278</v>
      </c>
      <c r="D427" s="6" t="s">
        <v>93</v>
      </c>
      <c r="E427" s="6" t="s">
        <v>46</v>
      </c>
      <c r="F427" s="6" t="s">
        <v>98</v>
      </c>
      <c r="G427" s="6" t="s">
        <v>1240</v>
      </c>
    </row>
    <row r="428" spans="1:7" ht="18.95" customHeight="1">
      <c r="A428" s="6" t="s">
        <v>1241</v>
      </c>
      <c r="B428" s="6" t="s">
        <v>1239</v>
      </c>
      <c r="C428" s="6" t="s">
        <v>278</v>
      </c>
      <c r="D428" s="6" t="s">
        <v>97</v>
      </c>
      <c r="E428" s="6" t="s">
        <v>47</v>
      </c>
      <c r="F428" s="6" t="s">
        <v>98</v>
      </c>
      <c r="G428" s="6" t="s">
        <v>1242</v>
      </c>
    </row>
    <row r="429" spans="1:7" ht="18.95" customHeight="1">
      <c r="A429" s="6" t="s">
        <v>1243</v>
      </c>
      <c r="B429" s="6" t="s">
        <v>1244</v>
      </c>
      <c r="C429" s="6" t="s">
        <v>284</v>
      </c>
      <c r="D429" s="6" t="s">
        <v>103</v>
      </c>
      <c r="E429" s="6" t="s">
        <v>5191</v>
      </c>
      <c r="F429" s="6" t="s">
        <v>98</v>
      </c>
      <c r="G429" s="6" t="s">
        <v>1245</v>
      </c>
    </row>
    <row r="430" spans="1:7" ht="18.95" customHeight="1">
      <c r="A430" s="6" t="s">
        <v>1246</v>
      </c>
      <c r="B430" s="6" t="s">
        <v>1244</v>
      </c>
      <c r="C430" s="6" t="s">
        <v>284</v>
      </c>
      <c r="D430" s="6" t="s">
        <v>93</v>
      </c>
      <c r="E430" s="6" t="s">
        <v>46</v>
      </c>
      <c r="F430" s="6" t="s">
        <v>98</v>
      </c>
      <c r="G430" s="6" t="s">
        <v>1247</v>
      </c>
    </row>
    <row r="431" spans="1:7" ht="18.95" customHeight="1">
      <c r="A431" s="6" t="s">
        <v>1248</v>
      </c>
      <c r="B431" s="6" t="s">
        <v>1249</v>
      </c>
      <c r="C431" s="6" t="s">
        <v>290</v>
      </c>
      <c r="D431" s="6" t="s">
        <v>97</v>
      </c>
      <c r="E431" s="6" t="s">
        <v>47</v>
      </c>
      <c r="F431" s="6" t="s">
        <v>98</v>
      </c>
      <c r="G431" s="6" t="s">
        <v>1250</v>
      </c>
    </row>
    <row r="432" spans="1:7" ht="18.95" customHeight="1">
      <c r="A432" s="6" t="s">
        <v>1251</v>
      </c>
      <c r="B432" s="6" t="s">
        <v>1249</v>
      </c>
      <c r="C432" s="6" t="s">
        <v>290</v>
      </c>
      <c r="D432" s="6" t="s">
        <v>103</v>
      </c>
      <c r="E432" s="6" t="s">
        <v>48</v>
      </c>
      <c r="F432" s="6" t="s">
        <v>98</v>
      </c>
      <c r="G432" s="6" t="s">
        <v>1252</v>
      </c>
    </row>
    <row r="433" spans="1:7" ht="18.95" customHeight="1">
      <c r="A433" s="6" t="s">
        <v>1253</v>
      </c>
      <c r="B433" s="6" t="s">
        <v>1254</v>
      </c>
      <c r="C433" s="6" t="s">
        <v>296</v>
      </c>
      <c r="D433" s="6" t="s">
        <v>93</v>
      </c>
      <c r="E433" s="6" t="s">
        <v>46</v>
      </c>
      <c r="F433" s="6" t="s">
        <v>98</v>
      </c>
      <c r="G433" s="6" t="s">
        <v>1255</v>
      </c>
    </row>
    <row r="434" spans="1:7" ht="18.95" customHeight="1">
      <c r="A434" s="6" t="s">
        <v>1256</v>
      </c>
      <c r="B434" s="6" t="s">
        <v>1254</v>
      </c>
      <c r="C434" s="6" t="s">
        <v>296</v>
      </c>
      <c r="D434" s="6" t="s">
        <v>97</v>
      </c>
      <c r="E434" s="6" t="s">
        <v>47</v>
      </c>
      <c r="F434" s="6" t="s">
        <v>98</v>
      </c>
      <c r="G434" s="6" t="s">
        <v>1257</v>
      </c>
    </row>
    <row r="435" spans="1:7" ht="18.95" customHeight="1">
      <c r="A435" s="6" t="s">
        <v>1258</v>
      </c>
      <c r="B435" s="6" t="s">
        <v>1259</v>
      </c>
      <c r="C435" s="6" t="s">
        <v>302</v>
      </c>
      <c r="D435" s="6" t="s">
        <v>103</v>
      </c>
      <c r="E435" s="6" t="s">
        <v>48</v>
      </c>
      <c r="F435" s="6" t="s">
        <v>98</v>
      </c>
      <c r="G435" s="6" t="s">
        <v>1260</v>
      </c>
    </row>
    <row r="436" spans="1:7" ht="18.95" customHeight="1">
      <c r="A436" s="6" t="s">
        <v>1261</v>
      </c>
      <c r="B436" s="6" t="s">
        <v>1259</v>
      </c>
      <c r="C436" s="6" t="s">
        <v>302</v>
      </c>
      <c r="D436" s="6" t="s">
        <v>93</v>
      </c>
      <c r="E436" s="6" t="s">
        <v>46</v>
      </c>
      <c r="F436" s="6" t="s">
        <v>98</v>
      </c>
      <c r="G436" s="6" t="s">
        <v>1262</v>
      </c>
    </row>
    <row r="437" spans="1:7" ht="18.95" customHeight="1">
      <c r="A437" s="6" t="s">
        <v>1263</v>
      </c>
      <c r="B437" s="6" t="s">
        <v>1264</v>
      </c>
      <c r="C437" s="6" t="s">
        <v>308</v>
      </c>
      <c r="D437" s="6" t="s">
        <v>97</v>
      </c>
      <c r="E437" s="6" t="s">
        <v>47</v>
      </c>
      <c r="F437" s="6" t="s">
        <v>98</v>
      </c>
      <c r="G437" s="6" t="s">
        <v>1265</v>
      </c>
    </row>
    <row r="438" spans="1:7" ht="18.95" customHeight="1">
      <c r="A438" s="6" t="s">
        <v>1266</v>
      </c>
      <c r="B438" s="6" t="s">
        <v>1264</v>
      </c>
      <c r="C438" s="6" t="s">
        <v>308</v>
      </c>
      <c r="D438" s="6" t="s">
        <v>103</v>
      </c>
      <c r="E438" s="6" t="s">
        <v>48</v>
      </c>
      <c r="F438" s="6" t="s">
        <v>98</v>
      </c>
      <c r="G438" s="6" t="s">
        <v>1267</v>
      </c>
    </row>
    <row r="439" spans="1:7" ht="18.95" customHeight="1">
      <c r="A439" s="6" t="s">
        <v>1268</v>
      </c>
      <c r="B439" s="6" t="s">
        <v>1269</v>
      </c>
      <c r="C439" s="6" t="s">
        <v>314</v>
      </c>
      <c r="D439" s="6" t="s">
        <v>93</v>
      </c>
      <c r="E439" s="6" t="s">
        <v>46</v>
      </c>
      <c r="F439" s="6" t="s">
        <v>98</v>
      </c>
      <c r="G439" s="6" t="s">
        <v>1270</v>
      </c>
    </row>
    <row r="440" spans="1:7" ht="18.95" customHeight="1">
      <c r="A440" s="6" t="s">
        <v>1271</v>
      </c>
      <c r="B440" s="6" t="s">
        <v>1269</v>
      </c>
      <c r="C440" s="6" t="s">
        <v>314</v>
      </c>
      <c r="D440" s="6" t="s">
        <v>97</v>
      </c>
      <c r="E440" s="6" t="s">
        <v>47</v>
      </c>
      <c r="F440" s="6" t="s">
        <v>98</v>
      </c>
      <c r="G440" s="6" t="s">
        <v>1272</v>
      </c>
    </row>
    <row r="441" spans="1:7" ht="18.95" customHeight="1">
      <c r="A441" s="6" t="s">
        <v>1273</v>
      </c>
      <c r="B441" s="6" t="s">
        <v>1274</v>
      </c>
      <c r="C441" s="6" t="s">
        <v>320</v>
      </c>
      <c r="D441" s="6" t="s">
        <v>103</v>
      </c>
      <c r="E441" s="6" t="s">
        <v>48</v>
      </c>
      <c r="F441" s="6" t="s">
        <v>98</v>
      </c>
      <c r="G441" s="6" t="s">
        <v>1275</v>
      </c>
    </row>
    <row r="442" spans="1:7" ht="18.95" customHeight="1">
      <c r="A442" s="6" t="s">
        <v>1276</v>
      </c>
      <c r="B442" s="6" t="s">
        <v>1274</v>
      </c>
      <c r="C442" s="6" t="s">
        <v>320</v>
      </c>
      <c r="D442" s="6" t="s">
        <v>93</v>
      </c>
      <c r="E442" s="6" t="s">
        <v>46</v>
      </c>
      <c r="F442" s="6" t="s">
        <v>98</v>
      </c>
      <c r="G442" s="6" t="s">
        <v>1277</v>
      </c>
    </row>
    <row r="443" spans="1:7" ht="18.95" customHeight="1">
      <c r="A443" s="6" t="s">
        <v>1278</v>
      </c>
      <c r="B443" s="6" t="s">
        <v>1279</v>
      </c>
      <c r="C443" s="6" t="s">
        <v>326</v>
      </c>
      <c r="D443" s="6" t="s">
        <v>97</v>
      </c>
      <c r="E443" s="6" t="s">
        <v>47</v>
      </c>
      <c r="F443" s="6" t="s">
        <v>98</v>
      </c>
      <c r="G443" s="6" t="s">
        <v>1280</v>
      </c>
    </row>
    <row r="444" spans="1:7" ht="18.95" customHeight="1">
      <c r="A444" s="6" t="s">
        <v>1281</v>
      </c>
      <c r="B444" s="6" t="s">
        <v>1279</v>
      </c>
      <c r="C444" s="6" t="s">
        <v>326</v>
      </c>
      <c r="D444" s="6" t="s">
        <v>103</v>
      </c>
      <c r="E444" s="6" t="s">
        <v>48</v>
      </c>
      <c r="F444" s="6" t="s">
        <v>94</v>
      </c>
      <c r="G444" s="6" t="s">
        <v>1282</v>
      </c>
    </row>
    <row r="445" spans="1:7" ht="18.95" customHeight="1">
      <c r="A445" s="6" t="s">
        <v>1283</v>
      </c>
      <c r="B445" s="6" t="s">
        <v>1284</v>
      </c>
      <c r="C445" s="6" t="s">
        <v>332</v>
      </c>
      <c r="D445" s="6" t="s">
        <v>93</v>
      </c>
      <c r="E445" s="6" t="s">
        <v>46</v>
      </c>
      <c r="F445" s="6" t="s">
        <v>98</v>
      </c>
      <c r="G445" s="6" t="s">
        <v>1285</v>
      </c>
    </row>
    <row r="446" spans="1:7" ht="18.95" customHeight="1">
      <c r="A446" s="6" t="s">
        <v>1286</v>
      </c>
      <c r="B446" s="6" t="s">
        <v>1284</v>
      </c>
      <c r="C446" s="6" t="s">
        <v>332</v>
      </c>
      <c r="D446" s="6" t="s">
        <v>97</v>
      </c>
      <c r="E446" s="6" t="s">
        <v>47</v>
      </c>
      <c r="F446" s="6" t="s">
        <v>98</v>
      </c>
      <c r="G446" s="6" t="s">
        <v>1287</v>
      </c>
    </row>
    <row r="447" spans="1:7" ht="18.95" customHeight="1">
      <c r="A447" s="6" t="s">
        <v>1288</v>
      </c>
      <c r="B447" s="6" t="s">
        <v>1289</v>
      </c>
      <c r="C447" s="6" t="s">
        <v>338</v>
      </c>
      <c r="D447" s="6" t="s">
        <v>103</v>
      </c>
      <c r="E447" s="6" t="s">
        <v>48</v>
      </c>
      <c r="F447" s="6" t="s">
        <v>98</v>
      </c>
      <c r="G447" s="6" t="s">
        <v>1290</v>
      </c>
    </row>
    <row r="448" spans="1:7" ht="18.95" customHeight="1">
      <c r="A448" s="6" t="s">
        <v>1291</v>
      </c>
      <c r="B448" s="6" t="s">
        <v>1289</v>
      </c>
      <c r="C448" s="6" t="s">
        <v>338</v>
      </c>
      <c r="D448" s="6" t="s">
        <v>93</v>
      </c>
      <c r="E448" s="6" t="s">
        <v>46</v>
      </c>
      <c r="F448" s="6" t="s">
        <v>98</v>
      </c>
      <c r="G448" s="6" t="s">
        <v>1292</v>
      </c>
    </row>
    <row r="449" spans="1:7" ht="18.95" customHeight="1">
      <c r="A449" s="6" t="s">
        <v>1293</v>
      </c>
      <c r="B449" s="6" t="s">
        <v>1294</v>
      </c>
      <c r="C449" s="6" t="s">
        <v>344</v>
      </c>
      <c r="D449" s="6" t="s">
        <v>97</v>
      </c>
      <c r="E449" s="6" t="s">
        <v>47</v>
      </c>
      <c r="F449" s="6" t="s">
        <v>98</v>
      </c>
      <c r="G449" s="6" t="s">
        <v>1295</v>
      </c>
    </row>
    <row r="450" spans="1:7" ht="18.95" customHeight="1">
      <c r="A450" s="6" t="s">
        <v>1296</v>
      </c>
      <c r="B450" s="6" t="s">
        <v>1294</v>
      </c>
      <c r="C450" s="6" t="s">
        <v>344</v>
      </c>
      <c r="D450" s="6" t="s">
        <v>103</v>
      </c>
      <c r="E450" s="6" t="s">
        <v>48</v>
      </c>
      <c r="F450" s="6" t="s">
        <v>98</v>
      </c>
      <c r="G450" s="6" t="s">
        <v>1297</v>
      </c>
    </row>
    <row r="451" spans="1:7" ht="18.95" customHeight="1">
      <c r="A451" s="6" t="s">
        <v>1298</v>
      </c>
      <c r="B451" s="6" t="s">
        <v>1299</v>
      </c>
      <c r="C451" s="6" t="s">
        <v>1300</v>
      </c>
      <c r="D451" s="6" t="s">
        <v>93</v>
      </c>
      <c r="E451" s="6" t="s">
        <v>46</v>
      </c>
      <c r="F451" s="6" t="s">
        <v>98</v>
      </c>
      <c r="G451" s="6" t="s">
        <v>1301</v>
      </c>
    </row>
    <row r="452" spans="1:7" ht="18.95" customHeight="1">
      <c r="A452" s="6" t="s">
        <v>1302</v>
      </c>
      <c r="B452" s="6" t="s">
        <v>1299</v>
      </c>
      <c r="C452" s="6" t="s">
        <v>350</v>
      </c>
      <c r="D452" s="6" t="s">
        <v>97</v>
      </c>
      <c r="E452" s="6" t="s">
        <v>47</v>
      </c>
      <c r="F452" s="6" t="s">
        <v>98</v>
      </c>
      <c r="G452" s="6" t="s">
        <v>1303</v>
      </c>
    </row>
    <row r="453" spans="1:7" ht="18.95" customHeight="1">
      <c r="A453" s="6" t="s">
        <v>1304</v>
      </c>
      <c r="B453" s="6" t="s">
        <v>1305</v>
      </c>
      <c r="C453" s="6" t="s">
        <v>356</v>
      </c>
      <c r="D453" s="6" t="s">
        <v>103</v>
      </c>
      <c r="E453" s="6" t="s">
        <v>48</v>
      </c>
      <c r="F453" s="6" t="s">
        <v>98</v>
      </c>
      <c r="G453" s="6" t="s">
        <v>1306</v>
      </c>
    </row>
    <row r="454" spans="1:7" ht="18.95" customHeight="1">
      <c r="A454" s="6" t="s">
        <v>1307</v>
      </c>
      <c r="B454" s="6" t="s">
        <v>1305</v>
      </c>
      <c r="C454" s="6" t="s">
        <v>356</v>
      </c>
      <c r="D454" s="6" t="s">
        <v>93</v>
      </c>
      <c r="E454" s="6" t="s">
        <v>46</v>
      </c>
      <c r="F454" s="6" t="s">
        <v>98</v>
      </c>
      <c r="G454" s="6" t="s">
        <v>1308</v>
      </c>
    </row>
    <row r="455" spans="1:7" ht="18.95" customHeight="1">
      <c r="A455" s="6" t="s">
        <v>1309</v>
      </c>
      <c r="B455" s="6" t="s">
        <v>1310</v>
      </c>
      <c r="C455" s="6" t="s">
        <v>362</v>
      </c>
      <c r="D455" s="6" t="s">
        <v>97</v>
      </c>
      <c r="E455" s="6" t="s">
        <v>47</v>
      </c>
      <c r="F455" s="6" t="s">
        <v>98</v>
      </c>
      <c r="G455" s="6" t="s">
        <v>1311</v>
      </c>
    </row>
    <row r="456" spans="1:7" ht="18.95" customHeight="1">
      <c r="A456" s="6" t="s">
        <v>1312</v>
      </c>
      <c r="B456" s="6" t="s">
        <v>1310</v>
      </c>
      <c r="C456" s="6" t="s">
        <v>362</v>
      </c>
      <c r="D456" s="6" t="s">
        <v>103</v>
      </c>
      <c r="E456" s="6" t="s">
        <v>48</v>
      </c>
      <c r="F456" s="6" t="s">
        <v>98</v>
      </c>
      <c r="G456" s="6" t="s">
        <v>1313</v>
      </c>
    </row>
    <row r="457" spans="1:7" ht="18.95" customHeight="1">
      <c r="A457" s="6" t="s">
        <v>1314</v>
      </c>
      <c r="B457" s="6" t="s">
        <v>1315</v>
      </c>
      <c r="C457" s="6" t="s">
        <v>368</v>
      </c>
      <c r="D457" s="6" t="s">
        <v>93</v>
      </c>
      <c r="E457" s="6" t="s">
        <v>46</v>
      </c>
      <c r="F457" s="6" t="s">
        <v>98</v>
      </c>
      <c r="G457" s="6" t="s">
        <v>1316</v>
      </c>
    </row>
    <row r="458" spans="1:7" ht="18.95" customHeight="1">
      <c r="A458" s="6" t="s">
        <v>1317</v>
      </c>
      <c r="B458" s="6" t="s">
        <v>1315</v>
      </c>
      <c r="C458" s="6" t="s">
        <v>368</v>
      </c>
      <c r="D458" s="6" t="s">
        <v>97</v>
      </c>
      <c r="E458" s="6" t="s">
        <v>47</v>
      </c>
      <c r="F458" s="6" t="s">
        <v>98</v>
      </c>
      <c r="G458" s="6" t="s">
        <v>1318</v>
      </c>
    </row>
    <row r="459" spans="1:7" ht="18.95" customHeight="1">
      <c r="A459" s="6" t="s">
        <v>1319</v>
      </c>
      <c r="B459" s="6" t="s">
        <v>1320</v>
      </c>
      <c r="C459" s="6" t="s">
        <v>374</v>
      </c>
      <c r="D459" s="6" t="s">
        <v>103</v>
      </c>
      <c r="E459" s="6" t="s">
        <v>48</v>
      </c>
      <c r="F459" s="6" t="s">
        <v>98</v>
      </c>
      <c r="G459" s="6" t="s">
        <v>1321</v>
      </c>
    </row>
    <row r="460" spans="1:7" ht="18.95" customHeight="1">
      <c r="A460" s="6" t="s">
        <v>1322</v>
      </c>
      <c r="B460" s="6" t="s">
        <v>1320</v>
      </c>
      <c r="C460" s="6" t="s">
        <v>374</v>
      </c>
      <c r="D460" s="6" t="s">
        <v>93</v>
      </c>
      <c r="E460" s="6" t="s">
        <v>46</v>
      </c>
      <c r="F460" s="6" t="s">
        <v>98</v>
      </c>
      <c r="G460" s="6" t="s">
        <v>1323</v>
      </c>
    </row>
    <row r="461" spans="1:7" ht="18.95" customHeight="1">
      <c r="A461" s="6" t="s">
        <v>1324</v>
      </c>
      <c r="B461" s="6" t="s">
        <v>1325</v>
      </c>
      <c r="C461" s="6" t="s">
        <v>380</v>
      </c>
      <c r="D461" s="6" t="s">
        <v>97</v>
      </c>
      <c r="E461" s="6" t="s">
        <v>47</v>
      </c>
      <c r="F461" s="6" t="s">
        <v>98</v>
      </c>
      <c r="G461" s="6" t="s">
        <v>1326</v>
      </c>
    </row>
    <row r="462" spans="1:7" ht="18.95" customHeight="1">
      <c r="A462" s="6" t="s">
        <v>1327</v>
      </c>
      <c r="B462" s="6" t="s">
        <v>1325</v>
      </c>
      <c r="C462" s="6" t="s">
        <v>380</v>
      </c>
      <c r="D462" s="6" t="s">
        <v>103</v>
      </c>
      <c r="E462" s="6" t="s">
        <v>48</v>
      </c>
      <c r="F462" s="6" t="s">
        <v>98</v>
      </c>
      <c r="G462" s="6" t="s">
        <v>1328</v>
      </c>
    </row>
    <row r="463" spans="1:7" ht="18.95" customHeight="1">
      <c r="A463" s="6" t="s">
        <v>1329</v>
      </c>
      <c r="B463" s="6" t="s">
        <v>1330</v>
      </c>
      <c r="C463" s="6" t="s">
        <v>386</v>
      </c>
      <c r="D463" s="6" t="s">
        <v>93</v>
      </c>
      <c r="E463" s="6" t="s">
        <v>46</v>
      </c>
      <c r="F463" s="6" t="s">
        <v>98</v>
      </c>
      <c r="G463" s="6" t="s">
        <v>1331</v>
      </c>
    </row>
    <row r="464" spans="1:7" ht="18.95" customHeight="1">
      <c r="A464" s="6" t="s">
        <v>1332</v>
      </c>
      <c r="B464" s="6" t="s">
        <v>1330</v>
      </c>
      <c r="C464" s="6" t="s">
        <v>386</v>
      </c>
      <c r="D464" s="6" t="s">
        <v>97</v>
      </c>
      <c r="E464" s="6" t="s">
        <v>47</v>
      </c>
      <c r="F464" s="6" t="s">
        <v>98</v>
      </c>
      <c r="G464" s="6" t="s">
        <v>1333</v>
      </c>
    </row>
    <row r="465" spans="1:7" ht="18.95" customHeight="1">
      <c r="A465" s="6" t="s">
        <v>1334</v>
      </c>
      <c r="B465" s="6" t="s">
        <v>1335</v>
      </c>
      <c r="C465" s="6" t="s">
        <v>392</v>
      </c>
      <c r="D465" s="6" t="s">
        <v>103</v>
      </c>
      <c r="E465" s="6" t="s">
        <v>48</v>
      </c>
      <c r="F465" s="6" t="s">
        <v>98</v>
      </c>
      <c r="G465" s="6" t="s">
        <v>1336</v>
      </c>
    </row>
    <row r="466" spans="1:7" ht="18.95" customHeight="1">
      <c r="A466" s="6" t="s">
        <v>1337</v>
      </c>
      <c r="B466" s="6" t="s">
        <v>1335</v>
      </c>
      <c r="C466" s="6" t="s">
        <v>392</v>
      </c>
      <c r="D466" s="6" t="s">
        <v>93</v>
      </c>
      <c r="E466" s="6" t="s">
        <v>46</v>
      </c>
      <c r="F466" s="6" t="s">
        <v>98</v>
      </c>
      <c r="G466" s="6" t="s">
        <v>1338</v>
      </c>
    </row>
    <row r="467" spans="1:7" ht="18.95" customHeight="1">
      <c r="A467" s="6" t="s">
        <v>1339</v>
      </c>
      <c r="B467" s="6" t="s">
        <v>1340</v>
      </c>
      <c r="C467" s="6" t="s">
        <v>398</v>
      </c>
      <c r="D467" s="6" t="s">
        <v>97</v>
      </c>
      <c r="E467" s="6" t="s">
        <v>47</v>
      </c>
      <c r="F467" s="6" t="s">
        <v>94</v>
      </c>
      <c r="G467" s="6" t="s">
        <v>1341</v>
      </c>
    </row>
    <row r="468" spans="1:7" ht="18.95" customHeight="1">
      <c r="A468" s="6" t="s">
        <v>1342</v>
      </c>
      <c r="B468" s="6" t="s">
        <v>1340</v>
      </c>
      <c r="C468" s="6" t="s">
        <v>398</v>
      </c>
      <c r="D468" s="6" t="s">
        <v>103</v>
      </c>
      <c r="E468" s="6" t="s">
        <v>48</v>
      </c>
      <c r="F468" s="6" t="s">
        <v>98</v>
      </c>
      <c r="G468" s="6" t="s">
        <v>1343</v>
      </c>
    </row>
    <row r="469" spans="1:7" ht="18.95" customHeight="1">
      <c r="A469" s="6" t="s">
        <v>1344</v>
      </c>
      <c r="B469" s="6" t="s">
        <v>1345</v>
      </c>
      <c r="C469" s="6" t="s">
        <v>404</v>
      </c>
      <c r="D469" s="6" t="s">
        <v>93</v>
      </c>
      <c r="E469" s="6" t="s">
        <v>46</v>
      </c>
      <c r="F469" s="6" t="s">
        <v>98</v>
      </c>
      <c r="G469" s="6" t="s">
        <v>1346</v>
      </c>
    </row>
    <row r="470" spans="1:7" ht="18.95" customHeight="1">
      <c r="A470" s="6" t="s">
        <v>1347</v>
      </c>
      <c r="B470" s="6" t="s">
        <v>1345</v>
      </c>
      <c r="C470" s="6" t="s">
        <v>404</v>
      </c>
      <c r="D470" s="6" t="s">
        <v>97</v>
      </c>
      <c r="E470" s="6" t="s">
        <v>47</v>
      </c>
      <c r="F470" s="6" t="s">
        <v>98</v>
      </c>
      <c r="G470" s="6" t="s">
        <v>1348</v>
      </c>
    </row>
    <row r="471" spans="1:7" ht="18.95" customHeight="1">
      <c r="A471" s="6" t="s">
        <v>1349</v>
      </c>
      <c r="B471" s="6" t="s">
        <v>1350</v>
      </c>
      <c r="C471" s="6" t="s">
        <v>410</v>
      </c>
      <c r="D471" s="6" t="s">
        <v>103</v>
      </c>
      <c r="E471" s="6" t="s">
        <v>48</v>
      </c>
      <c r="F471" s="6" t="s">
        <v>98</v>
      </c>
      <c r="G471" s="6" t="s">
        <v>1351</v>
      </c>
    </row>
    <row r="472" spans="1:7" ht="18.95" customHeight="1">
      <c r="A472" s="6" t="s">
        <v>1352</v>
      </c>
      <c r="B472" s="6" t="s">
        <v>1350</v>
      </c>
      <c r="C472" s="6" t="s">
        <v>410</v>
      </c>
      <c r="D472" s="6" t="s">
        <v>93</v>
      </c>
      <c r="E472" s="6" t="s">
        <v>46</v>
      </c>
      <c r="F472" s="6" t="s">
        <v>98</v>
      </c>
      <c r="G472" s="6" t="s">
        <v>1353</v>
      </c>
    </row>
    <row r="473" spans="1:7" ht="18.95" customHeight="1">
      <c r="A473" s="6" t="s">
        <v>1354</v>
      </c>
      <c r="B473" s="6" t="s">
        <v>1355</v>
      </c>
      <c r="C473" s="6" t="s">
        <v>416</v>
      </c>
      <c r="D473" s="6" t="s">
        <v>97</v>
      </c>
      <c r="E473" s="6" t="s">
        <v>47</v>
      </c>
      <c r="F473" s="6" t="s">
        <v>98</v>
      </c>
      <c r="G473" s="6" t="s">
        <v>1356</v>
      </c>
    </row>
    <row r="474" spans="1:7" ht="18.95" customHeight="1">
      <c r="A474" s="6" t="s">
        <v>1357</v>
      </c>
      <c r="B474" s="6" t="s">
        <v>1355</v>
      </c>
      <c r="C474" s="6" t="s">
        <v>416</v>
      </c>
      <c r="D474" s="6" t="s">
        <v>103</v>
      </c>
      <c r="E474" s="6" t="s">
        <v>48</v>
      </c>
      <c r="F474" s="6" t="s">
        <v>98</v>
      </c>
      <c r="G474" s="6" t="s">
        <v>1358</v>
      </c>
    </row>
    <row r="475" spans="1:7" ht="18.95" customHeight="1">
      <c r="A475" s="6" t="s">
        <v>1359</v>
      </c>
      <c r="B475" s="6" t="s">
        <v>1360</v>
      </c>
      <c r="C475" s="6" t="s">
        <v>422</v>
      </c>
      <c r="D475" s="6" t="s">
        <v>93</v>
      </c>
      <c r="E475" s="6" t="s">
        <v>46</v>
      </c>
      <c r="F475" s="6" t="s">
        <v>98</v>
      </c>
      <c r="G475" s="6" t="s">
        <v>1361</v>
      </c>
    </row>
    <row r="476" spans="1:7" ht="18.95" customHeight="1">
      <c r="A476" s="6" t="s">
        <v>1362</v>
      </c>
      <c r="B476" s="6" t="s">
        <v>1360</v>
      </c>
      <c r="C476" s="6" t="s">
        <v>422</v>
      </c>
      <c r="D476" s="6" t="s">
        <v>97</v>
      </c>
      <c r="E476" s="6" t="s">
        <v>47</v>
      </c>
      <c r="F476" s="6" t="s">
        <v>98</v>
      </c>
      <c r="G476" s="6" t="s">
        <v>1363</v>
      </c>
    </row>
    <row r="477" spans="1:7" ht="18.95" customHeight="1">
      <c r="A477" s="6" t="s">
        <v>1364</v>
      </c>
      <c r="B477" s="6" t="s">
        <v>1365</v>
      </c>
      <c r="C477" s="6" t="s">
        <v>428</v>
      </c>
      <c r="D477" s="6" t="s">
        <v>103</v>
      </c>
      <c r="E477" s="6" t="s">
        <v>48</v>
      </c>
      <c r="F477" s="6" t="s">
        <v>98</v>
      </c>
      <c r="G477" s="6" t="s">
        <v>1366</v>
      </c>
    </row>
    <row r="478" spans="1:7" ht="18.95" customHeight="1">
      <c r="A478" s="6" t="s">
        <v>1367</v>
      </c>
      <c r="B478" s="6" t="s">
        <v>1365</v>
      </c>
      <c r="C478" s="6" t="s">
        <v>428</v>
      </c>
      <c r="D478" s="6" t="s">
        <v>93</v>
      </c>
      <c r="E478" s="6" t="s">
        <v>46</v>
      </c>
      <c r="F478" s="6" t="s">
        <v>98</v>
      </c>
      <c r="G478" s="6" t="s">
        <v>1368</v>
      </c>
    </row>
    <row r="479" spans="1:7" ht="18.95" customHeight="1">
      <c r="A479" s="6" t="s">
        <v>1369</v>
      </c>
      <c r="B479" s="6" t="s">
        <v>1370</v>
      </c>
      <c r="C479" s="6" t="s">
        <v>434</v>
      </c>
      <c r="D479" s="6" t="s">
        <v>97</v>
      </c>
      <c r="E479" s="6" t="s">
        <v>47</v>
      </c>
      <c r="F479" s="6" t="s">
        <v>98</v>
      </c>
      <c r="G479" s="6" t="s">
        <v>1371</v>
      </c>
    </row>
    <row r="480" spans="1:7" ht="18.95" customHeight="1">
      <c r="A480" s="6" t="s">
        <v>1372</v>
      </c>
      <c r="B480" s="6" t="s">
        <v>1370</v>
      </c>
      <c r="C480" s="6" t="s">
        <v>434</v>
      </c>
      <c r="D480" s="6" t="s">
        <v>103</v>
      </c>
      <c r="E480" s="6" t="s">
        <v>48</v>
      </c>
      <c r="F480" s="6" t="s">
        <v>98</v>
      </c>
      <c r="G480" s="6" t="s">
        <v>1373</v>
      </c>
    </row>
    <row r="481" spans="1:7" ht="18.95" customHeight="1">
      <c r="A481" s="6" t="s">
        <v>1374</v>
      </c>
      <c r="B481" s="6" t="s">
        <v>1375</v>
      </c>
      <c r="C481" s="6" t="s">
        <v>440</v>
      </c>
      <c r="D481" s="6" t="s">
        <v>93</v>
      </c>
      <c r="E481" s="6" t="s">
        <v>46</v>
      </c>
      <c r="F481" s="6" t="s">
        <v>98</v>
      </c>
      <c r="G481" s="6" t="s">
        <v>1376</v>
      </c>
    </row>
    <row r="482" spans="1:7" ht="18.95" customHeight="1">
      <c r="A482" s="6" t="s">
        <v>1377</v>
      </c>
      <c r="B482" s="6" t="s">
        <v>1375</v>
      </c>
      <c r="C482" s="6" t="s">
        <v>440</v>
      </c>
      <c r="D482" s="6" t="s">
        <v>97</v>
      </c>
      <c r="E482" s="6" t="s">
        <v>47</v>
      </c>
      <c r="F482" s="6" t="s">
        <v>98</v>
      </c>
      <c r="G482" s="6" t="s">
        <v>1378</v>
      </c>
    </row>
    <row r="483" spans="1:7" ht="18.95" customHeight="1">
      <c r="A483" s="6" t="s">
        <v>1379</v>
      </c>
      <c r="B483" s="6" t="s">
        <v>1380</v>
      </c>
      <c r="C483" s="6" t="s">
        <v>446</v>
      </c>
      <c r="D483" s="6" t="s">
        <v>103</v>
      </c>
      <c r="E483" s="6" t="s">
        <v>48</v>
      </c>
      <c r="F483" s="6" t="s">
        <v>98</v>
      </c>
      <c r="G483" s="6" t="s">
        <v>1381</v>
      </c>
    </row>
    <row r="484" spans="1:7" ht="18.95" customHeight="1">
      <c r="A484" s="6" t="s">
        <v>1382</v>
      </c>
      <c r="B484" s="6" t="s">
        <v>1380</v>
      </c>
      <c r="C484" s="6" t="s">
        <v>446</v>
      </c>
      <c r="D484" s="6" t="s">
        <v>93</v>
      </c>
      <c r="E484" s="6" t="s">
        <v>46</v>
      </c>
      <c r="F484" s="6" t="s">
        <v>98</v>
      </c>
      <c r="G484" s="6" t="s">
        <v>1383</v>
      </c>
    </row>
    <row r="485" spans="1:7" ht="18.95" customHeight="1">
      <c r="A485" s="6" t="s">
        <v>1384</v>
      </c>
      <c r="B485" s="6" t="s">
        <v>1385</v>
      </c>
      <c r="C485" s="6" t="s">
        <v>452</v>
      </c>
      <c r="D485" s="6" t="s">
        <v>97</v>
      </c>
      <c r="E485" s="6" t="s">
        <v>47</v>
      </c>
      <c r="F485" s="6" t="s">
        <v>98</v>
      </c>
      <c r="G485" s="6" t="s">
        <v>1386</v>
      </c>
    </row>
    <row r="486" spans="1:7" ht="18.95" customHeight="1">
      <c r="A486" s="6" t="s">
        <v>1387</v>
      </c>
      <c r="B486" s="6" t="s">
        <v>1385</v>
      </c>
      <c r="C486" s="6" t="s">
        <v>452</v>
      </c>
      <c r="D486" s="6" t="s">
        <v>103</v>
      </c>
      <c r="E486" s="6" t="s">
        <v>48</v>
      </c>
      <c r="F486" s="6" t="s">
        <v>98</v>
      </c>
      <c r="G486" s="6" t="s">
        <v>1388</v>
      </c>
    </row>
    <row r="487" spans="1:7" ht="18.95" customHeight="1">
      <c r="A487" s="6" t="s">
        <v>1389</v>
      </c>
      <c r="B487" s="6" t="s">
        <v>1390</v>
      </c>
      <c r="C487" s="6" t="s">
        <v>458</v>
      </c>
      <c r="D487" s="6" t="s">
        <v>93</v>
      </c>
      <c r="E487" s="6" t="s">
        <v>46</v>
      </c>
      <c r="F487" s="6" t="s">
        <v>98</v>
      </c>
      <c r="G487" s="6" t="s">
        <v>1391</v>
      </c>
    </row>
    <row r="488" spans="1:7" ht="18.95" customHeight="1">
      <c r="A488" s="6" t="s">
        <v>1392</v>
      </c>
      <c r="B488" s="6" t="s">
        <v>1390</v>
      </c>
      <c r="C488" s="6" t="s">
        <v>458</v>
      </c>
      <c r="D488" s="6" t="s">
        <v>97</v>
      </c>
      <c r="E488" s="6" t="s">
        <v>47</v>
      </c>
      <c r="F488" s="6" t="s">
        <v>98</v>
      </c>
      <c r="G488" s="6" t="s">
        <v>1393</v>
      </c>
    </row>
    <row r="489" spans="1:7" ht="18.95" customHeight="1">
      <c r="A489" s="6" t="s">
        <v>1394</v>
      </c>
      <c r="B489" s="6" t="s">
        <v>1395</v>
      </c>
      <c r="C489" s="6" t="s">
        <v>464</v>
      </c>
      <c r="D489" s="6" t="s">
        <v>103</v>
      </c>
      <c r="E489" s="6" t="s">
        <v>48</v>
      </c>
      <c r="F489" s="6" t="s">
        <v>98</v>
      </c>
      <c r="G489" s="6" t="s">
        <v>1396</v>
      </c>
    </row>
    <row r="490" spans="1:7" ht="18.95" customHeight="1">
      <c r="A490" s="6" t="s">
        <v>1397</v>
      </c>
      <c r="B490" s="6" t="s">
        <v>1395</v>
      </c>
      <c r="C490" s="6" t="s">
        <v>464</v>
      </c>
      <c r="D490" s="6" t="s">
        <v>93</v>
      </c>
      <c r="E490" s="6" t="s">
        <v>46</v>
      </c>
      <c r="F490" s="6" t="s">
        <v>94</v>
      </c>
      <c r="G490" s="6" t="s">
        <v>1398</v>
      </c>
    </row>
    <row r="491" spans="1:7" ht="18.95" customHeight="1">
      <c r="A491" s="6" t="s">
        <v>1399</v>
      </c>
      <c r="B491" s="6" t="s">
        <v>1400</v>
      </c>
      <c r="C491" s="6" t="s">
        <v>470</v>
      </c>
      <c r="D491" s="6" t="s">
        <v>97</v>
      </c>
      <c r="E491" s="6" t="s">
        <v>47</v>
      </c>
      <c r="F491" s="6" t="s">
        <v>98</v>
      </c>
      <c r="G491" s="6" t="s">
        <v>1401</v>
      </c>
    </row>
    <row r="492" spans="1:7" ht="18.95" customHeight="1">
      <c r="A492" s="6" t="s">
        <v>1402</v>
      </c>
      <c r="B492" s="6" t="s">
        <v>1400</v>
      </c>
      <c r="C492" s="6" t="s">
        <v>470</v>
      </c>
      <c r="D492" s="6" t="s">
        <v>103</v>
      </c>
      <c r="E492" s="6" t="s">
        <v>5191</v>
      </c>
      <c r="F492" s="6" t="s">
        <v>98</v>
      </c>
      <c r="G492" s="6" t="s">
        <v>1403</v>
      </c>
    </row>
    <row r="493" spans="1:7" ht="18.95" customHeight="1">
      <c r="A493" s="6" t="s">
        <v>1404</v>
      </c>
      <c r="B493" s="6" t="s">
        <v>1405</v>
      </c>
      <c r="C493" s="6" t="s">
        <v>476</v>
      </c>
      <c r="D493" s="6" t="s">
        <v>93</v>
      </c>
      <c r="E493" s="6" t="s">
        <v>46</v>
      </c>
      <c r="F493" s="6" t="s">
        <v>98</v>
      </c>
      <c r="G493" s="6" t="s">
        <v>1406</v>
      </c>
    </row>
    <row r="494" spans="1:7" ht="18.95" customHeight="1">
      <c r="A494" s="6" t="s">
        <v>1407</v>
      </c>
      <c r="B494" s="6" t="s">
        <v>1405</v>
      </c>
      <c r="C494" s="6" t="s">
        <v>476</v>
      </c>
      <c r="D494" s="6" t="s">
        <v>97</v>
      </c>
      <c r="E494" s="6" t="s">
        <v>47</v>
      </c>
      <c r="F494" s="6" t="s">
        <v>98</v>
      </c>
      <c r="G494" s="6" t="s">
        <v>1408</v>
      </c>
    </row>
    <row r="495" spans="1:7" ht="18.95" customHeight="1">
      <c r="A495" s="6" t="s">
        <v>1409</v>
      </c>
      <c r="B495" s="6" t="s">
        <v>1410</v>
      </c>
      <c r="C495" s="6" t="s">
        <v>482</v>
      </c>
      <c r="D495" s="6" t="s">
        <v>103</v>
      </c>
      <c r="E495" s="6" t="s">
        <v>48</v>
      </c>
      <c r="F495" s="6" t="s">
        <v>98</v>
      </c>
      <c r="G495" s="6" t="s">
        <v>1411</v>
      </c>
    </row>
    <row r="496" spans="1:7" ht="18.95" customHeight="1">
      <c r="A496" s="6" t="s">
        <v>1412</v>
      </c>
      <c r="B496" s="6" t="s">
        <v>1410</v>
      </c>
      <c r="C496" s="6" t="s">
        <v>482</v>
      </c>
      <c r="D496" s="6" t="s">
        <v>93</v>
      </c>
      <c r="E496" s="6" t="s">
        <v>46</v>
      </c>
      <c r="F496" s="6" t="s">
        <v>98</v>
      </c>
      <c r="G496" s="6" t="s">
        <v>1413</v>
      </c>
    </row>
    <row r="497" spans="1:7" ht="18.95" customHeight="1">
      <c r="A497" s="6" t="s">
        <v>1414</v>
      </c>
      <c r="B497" s="6" t="s">
        <v>1415</v>
      </c>
      <c r="C497" s="6" t="s">
        <v>488</v>
      </c>
      <c r="D497" s="6" t="s">
        <v>97</v>
      </c>
      <c r="E497" s="6" t="s">
        <v>47</v>
      </c>
      <c r="F497" s="6" t="s">
        <v>98</v>
      </c>
      <c r="G497" s="6" t="s">
        <v>1416</v>
      </c>
    </row>
    <row r="498" spans="1:7" ht="18.95" customHeight="1">
      <c r="A498" s="6" t="s">
        <v>1417</v>
      </c>
      <c r="B498" s="6" t="s">
        <v>1415</v>
      </c>
      <c r="C498" s="6" t="s">
        <v>488</v>
      </c>
      <c r="D498" s="6" t="s">
        <v>103</v>
      </c>
      <c r="E498" s="6" t="s">
        <v>48</v>
      </c>
      <c r="F498" s="6" t="s">
        <v>98</v>
      </c>
      <c r="G498" s="6" t="s">
        <v>1418</v>
      </c>
    </row>
    <row r="499" spans="1:7" ht="18.95" customHeight="1">
      <c r="A499" s="6" t="s">
        <v>1419</v>
      </c>
      <c r="B499" s="6" t="s">
        <v>1420</v>
      </c>
      <c r="C499" s="6" t="s">
        <v>494</v>
      </c>
      <c r="D499" s="6" t="s">
        <v>93</v>
      </c>
      <c r="E499" s="6" t="s">
        <v>46</v>
      </c>
      <c r="F499" s="6" t="s">
        <v>98</v>
      </c>
      <c r="G499" s="6" t="s">
        <v>1421</v>
      </c>
    </row>
    <row r="500" spans="1:7" ht="18.95" customHeight="1">
      <c r="A500" s="6" t="s">
        <v>1422</v>
      </c>
      <c r="B500" s="6" t="s">
        <v>1420</v>
      </c>
      <c r="C500" s="6" t="s">
        <v>494</v>
      </c>
      <c r="D500" s="6" t="s">
        <v>97</v>
      </c>
      <c r="E500" s="6" t="s">
        <v>47</v>
      </c>
      <c r="F500" s="6" t="s">
        <v>98</v>
      </c>
      <c r="G500" s="6" t="s">
        <v>1423</v>
      </c>
    </row>
    <row r="501" spans="1:7" ht="18.95" customHeight="1">
      <c r="A501" s="6" t="s">
        <v>1424</v>
      </c>
      <c r="B501" s="6" t="s">
        <v>1425</v>
      </c>
      <c r="C501" s="6" t="s">
        <v>500</v>
      </c>
      <c r="D501" s="6" t="s">
        <v>103</v>
      </c>
      <c r="E501" s="6" t="s">
        <v>48</v>
      </c>
      <c r="F501" s="6" t="s">
        <v>98</v>
      </c>
      <c r="G501" s="6" t="s">
        <v>1426</v>
      </c>
    </row>
    <row r="502" spans="1:7" ht="18.95" customHeight="1">
      <c r="A502" s="6" t="s">
        <v>1427</v>
      </c>
      <c r="B502" s="6" t="s">
        <v>1425</v>
      </c>
      <c r="C502" s="6" t="s">
        <v>500</v>
      </c>
      <c r="D502" s="6" t="s">
        <v>93</v>
      </c>
      <c r="E502" s="6" t="s">
        <v>46</v>
      </c>
      <c r="F502" s="6" t="s">
        <v>98</v>
      </c>
      <c r="G502" s="6" t="s">
        <v>1428</v>
      </c>
    </row>
    <row r="503" spans="1:7" ht="18.95" customHeight="1">
      <c r="A503" s="6" t="s">
        <v>1429</v>
      </c>
      <c r="B503" s="6" t="s">
        <v>1430</v>
      </c>
      <c r="C503" s="6" t="s">
        <v>506</v>
      </c>
      <c r="D503" s="6" t="s">
        <v>97</v>
      </c>
      <c r="E503" s="6" t="s">
        <v>47</v>
      </c>
      <c r="F503" s="6" t="s">
        <v>98</v>
      </c>
      <c r="G503" s="6" t="s">
        <v>1431</v>
      </c>
    </row>
    <row r="504" spans="1:7" ht="18.95" customHeight="1">
      <c r="A504" s="6" t="s">
        <v>1432</v>
      </c>
      <c r="B504" s="6" t="s">
        <v>1430</v>
      </c>
      <c r="C504" s="6" t="s">
        <v>506</v>
      </c>
      <c r="D504" s="6" t="s">
        <v>103</v>
      </c>
      <c r="E504" s="6" t="s">
        <v>48</v>
      </c>
      <c r="F504" s="6" t="s">
        <v>98</v>
      </c>
      <c r="G504" s="6" t="s">
        <v>1433</v>
      </c>
    </row>
    <row r="505" spans="1:7" ht="18.95" customHeight="1">
      <c r="A505" s="6" t="s">
        <v>1434</v>
      </c>
      <c r="B505" s="6" t="s">
        <v>1435</v>
      </c>
      <c r="C505" s="6" t="s">
        <v>512</v>
      </c>
      <c r="D505" s="6" t="s">
        <v>93</v>
      </c>
      <c r="E505" s="6" t="s">
        <v>46</v>
      </c>
      <c r="F505" s="6" t="s">
        <v>98</v>
      </c>
      <c r="G505" s="6" t="s">
        <v>1436</v>
      </c>
    </row>
    <row r="506" spans="1:7" ht="18.95" customHeight="1">
      <c r="A506" s="6" t="s">
        <v>1437</v>
      </c>
      <c r="B506" s="6" t="s">
        <v>1435</v>
      </c>
      <c r="C506" s="6" t="s">
        <v>512</v>
      </c>
      <c r="D506" s="6" t="s">
        <v>97</v>
      </c>
      <c r="E506" s="6" t="s">
        <v>47</v>
      </c>
      <c r="F506" s="6" t="s">
        <v>98</v>
      </c>
      <c r="G506" s="6" t="s">
        <v>1438</v>
      </c>
    </row>
    <row r="507" spans="1:7" ht="18.95" customHeight="1">
      <c r="A507" s="6" t="s">
        <v>1439</v>
      </c>
      <c r="B507" s="6" t="s">
        <v>1440</v>
      </c>
      <c r="C507" s="6" t="s">
        <v>518</v>
      </c>
      <c r="D507" s="6" t="s">
        <v>103</v>
      </c>
      <c r="E507" s="6" t="s">
        <v>48</v>
      </c>
      <c r="F507" s="6" t="s">
        <v>98</v>
      </c>
      <c r="G507" s="6" t="s">
        <v>1441</v>
      </c>
    </row>
    <row r="508" spans="1:7" ht="18.95" customHeight="1">
      <c r="A508" s="6" t="s">
        <v>1442</v>
      </c>
      <c r="B508" s="6" t="s">
        <v>1440</v>
      </c>
      <c r="C508" s="6" t="s">
        <v>518</v>
      </c>
      <c r="D508" s="6" t="s">
        <v>93</v>
      </c>
      <c r="E508" s="6" t="s">
        <v>46</v>
      </c>
      <c r="F508" s="6" t="s">
        <v>98</v>
      </c>
      <c r="G508" s="6" t="s">
        <v>1443</v>
      </c>
    </row>
    <row r="509" spans="1:7" ht="18.95" customHeight="1">
      <c r="A509" s="6" t="s">
        <v>1444</v>
      </c>
      <c r="B509" s="6" t="s">
        <v>1445</v>
      </c>
      <c r="C509" s="6" t="s">
        <v>524</v>
      </c>
      <c r="D509" s="6" t="s">
        <v>97</v>
      </c>
      <c r="E509" s="6" t="s">
        <v>47</v>
      </c>
      <c r="F509" s="6" t="s">
        <v>98</v>
      </c>
      <c r="G509" s="6" t="s">
        <v>1446</v>
      </c>
    </row>
    <row r="510" spans="1:7" ht="18.95" customHeight="1">
      <c r="A510" s="6" t="s">
        <v>1447</v>
      </c>
      <c r="B510" s="6" t="s">
        <v>1445</v>
      </c>
      <c r="C510" s="6" t="s">
        <v>524</v>
      </c>
      <c r="D510" s="6" t="s">
        <v>103</v>
      </c>
      <c r="E510" s="6" t="s">
        <v>48</v>
      </c>
      <c r="F510" s="6" t="s">
        <v>98</v>
      </c>
      <c r="G510" s="6" t="s">
        <v>1448</v>
      </c>
    </row>
    <row r="511" spans="1:7" ht="18.95" customHeight="1">
      <c r="A511" s="6" t="s">
        <v>1449</v>
      </c>
      <c r="B511" s="6" t="s">
        <v>1450</v>
      </c>
      <c r="C511" s="6" t="s">
        <v>530</v>
      </c>
      <c r="D511" s="6" t="s">
        <v>93</v>
      </c>
      <c r="E511" s="6" t="s">
        <v>46</v>
      </c>
      <c r="F511" s="6" t="s">
        <v>98</v>
      </c>
      <c r="G511" s="6" t="s">
        <v>1451</v>
      </c>
    </row>
    <row r="512" spans="1:7" ht="18.95" customHeight="1">
      <c r="A512" s="6" t="s">
        <v>1452</v>
      </c>
      <c r="B512" s="6" t="s">
        <v>1450</v>
      </c>
      <c r="C512" s="6" t="s">
        <v>530</v>
      </c>
      <c r="D512" s="6" t="s">
        <v>97</v>
      </c>
      <c r="E512" s="6" t="s">
        <v>47</v>
      </c>
      <c r="F512" s="6" t="s">
        <v>98</v>
      </c>
      <c r="G512" s="6" t="s">
        <v>1453</v>
      </c>
    </row>
    <row r="513" spans="1:7" ht="18.95" customHeight="1">
      <c r="A513" s="6" t="s">
        <v>1454</v>
      </c>
      <c r="B513" s="6" t="s">
        <v>1455</v>
      </c>
      <c r="C513" s="6" t="s">
        <v>536</v>
      </c>
      <c r="D513" s="6" t="s">
        <v>103</v>
      </c>
      <c r="E513" s="6" t="s">
        <v>48</v>
      </c>
      <c r="F513" s="6" t="s">
        <v>94</v>
      </c>
      <c r="G513" s="6" t="s">
        <v>1456</v>
      </c>
    </row>
    <row r="514" spans="1:7" ht="18.95" customHeight="1">
      <c r="A514" s="6" t="s">
        <v>1457</v>
      </c>
      <c r="B514" s="6" t="s">
        <v>1455</v>
      </c>
      <c r="C514" s="6" t="s">
        <v>536</v>
      </c>
      <c r="D514" s="6" t="s">
        <v>93</v>
      </c>
      <c r="E514" s="6" t="s">
        <v>46</v>
      </c>
      <c r="F514" s="6" t="s">
        <v>98</v>
      </c>
      <c r="G514" s="6" t="s">
        <v>1458</v>
      </c>
    </row>
    <row r="515" spans="1:7" ht="18.95" customHeight="1">
      <c r="A515" s="6" t="s">
        <v>1459</v>
      </c>
      <c r="B515" s="6" t="s">
        <v>1460</v>
      </c>
      <c r="C515" s="6" t="s">
        <v>542</v>
      </c>
      <c r="D515" s="6" t="s">
        <v>97</v>
      </c>
      <c r="E515" s="6" t="s">
        <v>47</v>
      </c>
      <c r="F515" s="6" t="s">
        <v>98</v>
      </c>
      <c r="G515" s="6" t="s">
        <v>1461</v>
      </c>
    </row>
    <row r="516" spans="1:7" ht="18.95" customHeight="1">
      <c r="A516" s="6" t="s">
        <v>1462</v>
      </c>
      <c r="B516" s="6" t="s">
        <v>1460</v>
      </c>
      <c r="C516" s="6" t="s">
        <v>542</v>
      </c>
      <c r="D516" s="6" t="s">
        <v>103</v>
      </c>
      <c r="E516" s="6" t="s">
        <v>48</v>
      </c>
      <c r="F516" s="6" t="s">
        <v>98</v>
      </c>
      <c r="G516" s="6" t="s">
        <v>1463</v>
      </c>
    </row>
    <row r="517" spans="1:7" ht="18.95" customHeight="1">
      <c r="A517" s="6" t="s">
        <v>1464</v>
      </c>
      <c r="B517" s="6" t="s">
        <v>1465</v>
      </c>
      <c r="C517" s="6" t="s">
        <v>548</v>
      </c>
      <c r="D517" s="6" t="s">
        <v>93</v>
      </c>
      <c r="E517" s="6" t="s">
        <v>46</v>
      </c>
      <c r="F517" s="6" t="s">
        <v>98</v>
      </c>
      <c r="G517" s="6" t="s">
        <v>1466</v>
      </c>
    </row>
    <row r="518" spans="1:7" ht="18.95" customHeight="1">
      <c r="A518" s="6" t="s">
        <v>1467</v>
      </c>
      <c r="B518" s="6" t="s">
        <v>1465</v>
      </c>
      <c r="C518" s="6" t="s">
        <v>548</v>
      </c>
      <c r="D518" s="6" t="s">
        <v>97</v>
      </c>
      <c r="E518" s="6" t="s">
        <v>47</v>
      </c>
      <c r="F518" s="6" t="s">
        <v>98</v>
      </c>
      <c r="G518" s="6" t="s">
        <v>1468</v>
      </c>
    </row>
    <row r="519" spans="1:7" ht="18.95" customHeight="1">
      <c r="A519" s="6" t="s">
        <v>1469</v>
      </c>
      <c r="B519" s="6" t="s">
        <v>1470</v>
      </c>
      <c r="C519" s="6" t="s">
        <v>554</v>
      </c>
      <c r="D519" s="6" t="s">
        <v>103</v>
      </c>
      <c r="E519" s="6" t="s">
        <v>48</v>
      </c>
      <c r="F519" s="6" t="s">
        <v>98</v>
      </c>
      <c r="G519" s="6" t="s">
        <v>1471</v>
      </c>
    </row>
    <row r="520" spans="1:7" ht="18.95" customHeight="1">
      <c r="A520" s="6" t="s">
        <v>1472</v>
      </c>
      <c r="B520" s="6" t="s">
        <v>1470</v>
      </c>
      <c r="C520" s="6" t="s">
        <v>554</v>
      </c>
      <c r="D520" s="6" t="s">
        <v>93</v>
      </c>
      <c r="E520" s="6" t="s">
        <v>46</v>
      </c>
      <c r="F520" s="6" t="s">
        <v>98</v>
      </c>
      <c r="G520" s="6" t="s">
        <v>1473</v>
      </c>
    </row>
    <row r="521" spans="1:7" ht="18.95" customHeight="1">
      <c r="A521" s="6" t="s">
        <v>1474</v>
      </c>
      <c r="B521" s="6" t="s">
        <v>1475</v>
      </c>
      <c r="C521" s="6" t="s">
        <v>560</v>
      </c>
      <c r="D521" s="6" t="s">
        <v>97</v>
      </c>
      <c r="E521" s="6" t="s">
        <v>47</v>
      </c>
      <c r="F521" s="6" t="s">
        <v>98</v>
      </c>
      <c r="G521" s="6" t="s">
        <v>1476</v>
      </c>
    </row>
    <row r="522" spans="1:7" ht="18.95" customHeight="1">
      <c r="A522" s="6" t="s">
        <v>1477</v>
      </c>
      <c r="B522" s="6" t="s">
        <v>1475</v>
      </c>
      <c r="C522" s="6" t="s">
        <v>560</v>
      </c>
      <c r="D522" s="6" t="s">
        <v>103</v>
      </c>
      <c r="E522" s="6" t="s">
        <v>48</v>
      </c>
      <c r="F522" s="6" t="s">
        <v>98</v>
      </c>
      <c r="G522" s="6" t="s">
        <v>1478</v>
      </c>
    </row>
    <row r="523" spans="1:7" ht="18.95" customHeight="1">
      <c r="A523" s="6" t="s">
        <v>1479</v>
      </c>
      <c r="B523" s="6" t="s">
        <v>1480</v>
      </c>
      <c r="C523" s="6" t="s">
        <v>566</v>
      </c>
      <c r="D523" s="6" t="s">
        <v>93</v>
      </c>
      <c r="E523" s="6" t="s">
        <v>46</v>
      </c>
      <c r="F523" s="6" t="s">
        <v>98</v>
      </c>
      <c r="G523" s="6" t="s">
        <v>1481</v>
      </c>
    </row>
    <row r="524" spans="1:7" ht="18.95" customHeight="1">
      <c r="A524" s="6" t="s">
        <v>1482</v>
      </c>
      <c r="B524" s="6" t="s">
        <v>1480</v>
      </c>
      <c r="C524" s="6" t="s">
        <v>566</v>
      </c>
      <c r="D524" s="6" t="s">
        <v>97</v>
      </c>
      <c r="E524" s="6" t="s">
        <v>47</v>
      </c>
      <c r="F524" s="6" t="s">
        <v>98</v>
      </c>
      <c r="G524" s="6" t="s">
        <v>1483</v>
      </c>
    </row>
    <row r="525" spans="1:7" ht="18.95" customHeight="1">
      <c r="A525" s="6" t="s">
        <v>1484</v>
      </c>
      <c r="B525" s="6" t="s">
        <v>1485</v>
      </c>
      <c r="C525" s="6" t="s">
        <v>572</v>
      </c>
      <c r="D525" s="6" t="s">
        <v>103</v>
      </c>
      <c r="E525" s="6" t="s">
        <v>48</v>
      </c>
      <c r="F525" s="6" t="s">
        <v>98</v>
      </c>
      <c r="G525" s="6" t="s">
        <v>1486</v>
      </c>
    </row>
    <row r="526" spans="1:7" ht="18.95" customHeight="1">
      <c r="A526" s="6" t="s">
        <v>1487</v>
      </c>
      <c r="B526" s="6" t="s">
        <v>1485</v>
      </c>
      <c r="C526" s="6" t="s">
        <v>572</v>
      </c>
      <c r="D526" s="6" t="s">
        <v>93</v>
      </c>
      <c r="E526" s="6" t="s">
        <v>46</v>
      </c>
      <c r="F526" s="6" t="s">
        <v>98</v>
      </c>
      <c r="G526" s="6" t="s">
        <v>1488</v>
      </c>
    </row>
    <row r="527" spans="1:7" ht="18.95" customHeight="1">
      <c r="A527" s="6" t="s">
        <v>1489</v>
      </c>
      <c r="B527" s="6" t="s">
        <v>1490</v>
      </c>
      <c r="C527" s="6" t="s">
        <v>578</v>
      </c>
      <c r="D527" s="6" t="s">
        <v>97</v>
      </c>
      <c r="E527" s="6" t="s">
        <v>47</v>
      </c>
      <c r="F527" s="6" t="s">
        <v>98</v>
      </c>
      <c r="G527" s="6" t="s">
        <v>1491</v>
      </c>
    </row>
    <row r="528" spans="1:7" ht="18.95" customHeight="1">
      <c r="A528" s="6" t="s">
        <v>1492</v>
      </c>
      <c r="B528" s="6" t="s">
        <v>1490</v>
      </c>
      <c r="C528" s="6" t="s">
        <v>578</v>
      </c>
      <c r="D528" s="6" t="s">
        <v>103</v>
      </c>
      <c r="E528" s="6" t="s">
        <v>48</v>
      </c>
      <c r="F528" s="6" t="s">
        <v>98</v>
      </c>
      <c r="G528" s="6" t="s">
        <v>1493</v>
      </c>
    </row>
    <row r="529" spans="1:7" ht="18.95" customHeight="1">
      <c r="A529" s="6" t="s">
        <v>1494</v>
      </c>
      <c r="B529" s="6" t="s">
        <v>1495</v>
      </c>
      <c r="C529" s="6" t="s">
        <v>584</v>
      </c>
      <c r="D529" s="6" t="s">
        <v>93</v>
      </c>
      <c r="E529" s="6"/>
      <c r="F529" s="6" t="s">
        <v>98</v>
      </c>
      <c r="G529" s="6" t="s">
        <v>1496</v>
      </c>
    </row>
    <row r="530" spans="1:7" ht="18.95" customHeight="1">
      <c r="A530" s="6" t="s">
        <v>1497</v>
      </c>
      <c r="B530" s="6" t="s">
        <v>1495</v>
      </c>
      <c r="C530" s="6" t="s">
        <v>584</v>
      </c>
      <c r="D530" s="6" t="s">
        <v>97</v>
      </c>
      <c r="E530" s="6" t="s">
        <v>47</v>
      </c>
      <c r="F530" s="6" t="s">
        <v>98</v>
      </c>
      <c r="G530" s="6" t="s">
        <v>1498</v>
      </c>
    </row>
    <row r="531" spans="1:7" ht="18.95" customHeight="1">
      <c r="A531" s="6" t="s">
        <v>1499</v>
      </c>
      <c r="B531" s="6" t="s">
        <v>1500</v>
      </c>
      <c r="C531" s="6" t="s">
        <v>590</v>
      </c>
      <c r="D531" s="6" t="s">
        <v>103</v>
      </c>
      <c r="E531" s="6" t="s">
        <v>48</v>
      </c>
      <c r="F531" s="6" t="s">
        <v>98</v>
      </c>
      <c r="G531" s="6" t="s">
        <v>1501</v>
      </c>
    </row>
    <row r="532" spans="1:7" ht="18.95" customHeight="1">
      <c r="A532" s="6" t="s">
        <v>1502</v>
      </c>
      <c r="B532" s="6" t="s">
        <v>1500</v>
      </c>
      <c r="C532" s="6" t="s">
        <v>590</v>
      </c>
      <c r="D532" s="6" t="s">
        <v>93</v>
      </c>
      <c r="E532" s="6" t="s">
        <v>46</v>
      </c>
      <c r="F532" s="6" t="s">
        <v>98</v>
      </c>
      <c r="G532" s="6" t="s">
        <v>1503</v>
      </c>
    </row>
    <row r="533" spans="1:7" ht="18.95" customHeight="1">
      <c r="A533" s="6" t="s">
        <v>1504</v>
      </c>
      <c r="B533" s="6" t="s">
        <v>1505</v>
      </c>
      <c r="C533" s="6" t="s">
        <v>596</v>
      </c>
      <c r="D533" s="6" t="s">
        <v>97</v>
      </c>
      <c r="E533" s="6" t="s">
        <v>47</v>
      </c>
      <c r="F533" s="6" t="s">
        <v>98</v>
      </c>
      <c r="G533" s="6" t="s">
        <v>1506</v>
      </c>
    </row>
    <row r="534" spans="1:7" ht="18.95" customHeight="1">
      <c r="A534" s="6" t="s">
        <v>1507</v>
      </c>
      <c r="B534" s="6" t="s">
        <v>1505</v>
      </c>
      <c r="C534" s="6" t="s">
        <v>596</v>
      </c>
      <c r="D534" s="6" t="s">
        <v>103</v>
      </c>
      <c r="E534" s="6" t="s">
        <v>48</v>
      </c>
      <c r="F534" s="6" t="s">
        <v>98</v>
      </c>
      <c r="G534" s="6" t="s">
        <v>1508</v>
      </c>
    </row>
    <row r="535" spans="1:7" ht="18.95" customHeight="1">
      <c r="A535" s="6" t="s">
        <v>1509</v>
      </c>
      <c r="B535" s="6" t="s">
        <v>1510</v>
      </c>
      <c r="C535" s="6" t="s">
        <v>602</v>
      </c>
      <c r="D535" s="6" t="s">
        <v>93</v>
      </c>
      <c r="E535" s="6" t="s">
        <v>46</v>
      </c>
      <c r="F535" s="6" t="s">
        <v>98</v>
      </c>
      <c r="G535" s="6" t="s">
        <v>1511</v>
      </c>
    </row>
    <row r="536" spans="1:7" ht="18.95" customHeight="1">
      <c r="A536" s="6" t="s">
        <v>1512</v>
      </c>
      <c r="B536" s="6" t="s">
        <v>1510</v>
      </c>
      <c r="C536" s="6" t="s">
        <v>602</v>
      </c>
      <c r="D536" s="6" t="s">
        <v>97</v>
      </c>
      <c r="E536" s="6" t="s">
        <v>47</v>
      </c>
      <c r="F536" s="6" t="s">
        <v>94</v>
      </c>
      <c r="G536" s="6" t="s">
        <v>1513</v>
      </c>
    </row>
    <row r="537" spans="1:7" ht="18.95" customHeight="1">
      <c r="A537" s="6" t="s">
        <v>1514</v>
      </c>
      <c r="B537" s="6" t="s">
        <v>1515</v>
      </c>
      <c r="C537" s="6" t="s">
        <v>611</v>
      </c>
      <c r="D537" s="6" t="s">
        <v>103</v>
      </c>
      <c r="E537" s="6" t="s">
        <v>48</v>
      </c>
      <c r="F537" s="6" t="s">
        <v>98</v>
      </c>
      <c r="G537" s="6" t="s">
        <v>1516</v>
      </c>
    </row>
    <row r="538" spans="1:7" ht="18.95" customHeight="1">
      <c r="A538" s="6" t="s">
        <v>1517</v>
      </c>
      <c r="B538" s="6" t="s">
        <v>1515</v>
      </c>
      <c r="C538" s="6" t="s">
        <v>611</v>
      </c>
      <c r="D538" s="6" t="s">
        <v>93</v>
      </c>
      <c r="E538" s="6" t="s">
        <v>46</v>
      </c>
      <c r="F538" s="6" t="s">
        <v>98</v>
      </c>
      <c r="G538" s="6" t="s">
        <v>1518</v>
      </c>
    </row>
    <row r="539" spans="1:7" ht="18.95" customHeight="1">
      <c r="A539" s="6" t="s">
        <v>1519</v>
      </c>
      <c r="B539" s="6" t="s">
        <v>1520</v>
      </c>
      <c r="C539" s="6" t="s">
        <v>615</v>
      </c>
      <c r="D539" s="6" t="s">
        <v>97</v>
      </c>
      <c r="E539" s="6" t="s">
        <v>47</v>
      </c>
      <c r="F539" s="6" t="s">
        <v>98</v>
      </c>
      <c r="G539" s="6" t="s">
        <v>1521</v>
      </c>
    </row>
    <row r="540" spans="1:7" ht="18.95" customHeight="1">
      <c r="A540" s="6" t="s">
        <v>1522</v>
      </c>
      <c r="B540" s="6" t="s">
        <v>1520</v>
      </c>
      <c r="C540" s="6" t="s">
        <v>615</v>
      </c>
      <c r="D540" s="6" t="s">
        <v>103</v>
      </c>
      <c r="E540" s="6" t="s">
        <v>48</v>
      </c>
      <c r="F540" s="6" t="s">
        <v>98</v>
      </c>
      <c r="G540" s="6" t="s">
        <v>1523</v>
      </c>
    </row>
    <row r="541" spans="1:7" ht="18.95" customHeight="1">
      <c r="A541" s="6" t="s">
        <v>1524</v>
      </c>
      <c r="B541" s="6" t="s">
        <v>1525</v>
      </c>
      <c r="C541" s="6" t="s">
        <v>621</v>
      </c>
      <c r="D541" s="6" t="s">
        <v>93</v>
      </c>
      <c r="E541" s="6" t="s">
        <v>46</v>
      </c>
      <c r="F541" s="6" t="s">
        <v>98</v>
      </c>
      <c r="G541" s="6" t="s">
        <v>1526</v>
      </c>
    </row>
    <row r="542" spans="1:7" ht="18.95" customHeight="1">
      <c r="A542" s="6" t="s">
        <v>1527</v>
      </c>
      <c r="B542" s="6" t="s">
        <v>1525</v>
      </c>
      <c r="C542" s="6" t="s">
        <v>621</v>
      </c>
      <c r="D542" s="6" t="s">
        <v>97</v>
      </c>
      <c r="E542" s="6" t="s">
        <v>47</v>
      </c>
      <c r="F542" s="6" t="s">
        <v>98</v>
      </c>
      <c r="G542" s="6" t="s">
        <v>1528</v>
      </c>
    </row>
    <row r="543" spans="1:7" ht="18.95" customHeight="1">
      <c r="A543" s="6" t="s">
        <v>1529</v>
      </c>
      <c r="B543" s="6" t="s">
        <v>1530</v>
      </c>
      <c r="C543" s="6" t="s">
        <v>627</v>
      </c>
      <c r="D543" s="6" t="s">
        <v>103</v>
      </c>
      <c r="E543" s="6" t="s">
        <v>48</v>
      </c>
      <c r="F543" s="6" t="s">
        <v>98</v>
      </c>
      <c r="G543" s="6" t="s">
        <v>1531</v>
      </c>
    </row>
    <row r="544" spans="1:7" ht="18.95" customHeight="1">
      <c r="A544" s="6" t="s">
        <v>1532</v>
      </c>
      <c r="B544" s="6" t="s">
        <v>1530</v>
      </c>
      <c r="C544" s="6" t="s">
        <v>627</v>
      </c>
      <c r="D544" s="6" t="s">
        <v>93</v>
      </c>
      <c r="E544" s="6" t="s">
        <v>46</v>
      </c>
      <c r="F544" s="6" t="s">
        <v>98</v>
      </c>
      <c r="G544" s="6" t="s">
        <v>1533</v>
      </c>
    </row>
    <row r="545" spans="1:7" ht="18.95" customHeight="1">
      <c r="A545" s="6" t="s">
        <v>1534</v>
      </c>
      <c r="B545" s="6" t="s">
        <v>1535</v>
      </c>
      <c r="C545" s="6" t="s">
        <v>633</v>
      </c>
      <c r="D545" s="6" t="s">
        <v>97</v>
      </c>
      <c r="E545" s="6" t="s">
        <v>47</v>
      </c>
      <c r="F545" s="6" t="s">
        <v>98</v>
      </c>
      <c r="G545" s="6" t="s">
        <v>1536</v>
      </c>
    </row>
    <row r="546" spans="1:7" ht="18.95" customHeight="1">
      <c r="A546" s="6" t="s">
        <v>1537</v>
      </c>
      <c r="B546" s="6" t="s">
        <v>1535</v>
      </c>
      <c r="C546" s="6" t="s">
        <v>633</v>
      </c>
      <c r="D546" s="6" t="s">
        <v>103</v>
      </c>
      <c r="E546" s="6" t="s">
        <v>48</v>
      </c>
      <c r="F546" s="6" t="s">
        <v>98</v>
      </c>
      <c r="G546" s="6" t="s">
        <v>1538</v>
      </c>
    </row>
    <row r="547" spans="1:7" ht="18.95" customHeight="1">
      <c r="A547" s="6" t="s">
        <v>1539</v>
      </c>
      <c r="B547" s="6" t="s">
        <v>1540</v>
      </c>
      <c r="C547" s="6" t="s">
        <v>92</v>
      </c>
      <c r="D547" s="6" t="s">
        <v>93</v>
      </c>
      <c r="E547" s="6" t="s">
        <v>46</v>
      </c>
      <c r="F547" s="6" t="s">
        <v>98</v>
      </c>
      <c r="G547" s="6" t="s">
        <v>1541</v>
      </c>
    </row>
    <row r="548" spans="1:7" ht="18.95" customHeight="1">
      <c r="A548" s="6" t="s">
        <v>1542</v>
      </c>
      <c r="B548" s="6" t="s">
        <v>1540</v>
      </c>
      <c r="C548" s="6" t="s">
        <v>92</v>
      </c>
      <c r="D548" s="6" t="s">
        <v>97</v>
      </c>
      <c r="E548" s="6" t="s">
        <v>47</v>
      </c>
      <c r="F548" s="6" t="s">
        <v>98</v>
      </c>
      <c r="G548" s="6" t="s">
        <v>1543</v>
      </c>
    </row>
    <row r="549" spans="1:7" ht="18.95" customHeight="1">
      <c r="A549" s="6" t="s">
        <v>1544</v>
      </c>
      <c r="B549" s="6" t="s">
        <v>1545</v>
      </c>
      <c r="C549" s="6" t="s">
        <v>102</v>
      </c>
      <c r="D549" s="6" t="s">
        <v>103</v>
      </c>
      <c r="E549" s="6" t="s">
        <v>48</v>
      </c>
      <c r="F549" s="6" t="s">
        <v>98</v>
      </c>
      <c r="G549" s="6" t="s">
        <v>1546</v>
      </c>
    </row>
    <row r="550" spans="1:7" ht="18.95" customHeight="1">
      <c r="A550" s="6" t="s">
        <v>1547</v>
      </c>
      <c r="B550" s="6" t="s">
        <v>1545</v>
      </c>
      <c r="C550" s="6" t="s">
        <v>102</v>
      </c>
      <c r="D550" s="6" t="s">
        <v>93</v>
      </c>
      <c r="E550" s="6" t="s">
        <v>46</v>
      </c>
      <c r="F550" s="6" t="s">
        <v>98</v>
      </c>
      <c r="G550" s="6" t="s">
        <v>1548</v>
      </c>
    </row>
    <row r="551" spans="1:7" ht="18.95" customHeight="1">
      <c r="A551" s="6" t="s">
        <v>1549</v>
      </c>
      <c r="B551" s="6" t="s">
        <v>1550</v>
      </c>
      <c r="C551" s="6" t="s">
        <v>109</v>
      </c>
      <c r="D551" s="6" t="s">
        <v>97</v>
      </c>
      <c r="E551" s="6" t="s">
        <v>47</v>
      </c>
      <c r="F551" s="6" t="s">
        <v>98</v>
      </c>
      <c r="G551" s="6" t="s">
        <v>1551</v>
      </c>
    </row>
    <row r="552" spans="1:7" ht="18.95" customHeight="1">
      <c r="A552" s="6" t="s">
        <v>1552</v>
      </c>
      <c r="B552" s="6" t="s">
        <v>1550</v>
      </c>
      <c r="C552" s="6" t="s">
        <v>109</v>
      </c>
      <c r="D552" s="6" t="s">
        <v>103</v>
      </c>
      <c r="E552" s="6" t="s">
        <v>48</v>
      </c>
      <c r="F552" s="6" t="s">
        <v>98</v>
      </c>
      <c r="G552" s="6" t="s">
        <v>1553</v>
      </c>
    </row>
    <row r="553" spans="1:7" ht="18.95" customHeight="1">
      <c r="A553" s="6" t="s">
        <v>1554</v>
      </c>
      <c r="B553" s="6" t="s">
        <v>1555</v>
      </c>
      <c r="C553" s="6" t="s">
        <v>115</v>
      </c>
      <c r="D553" s="6" t="s">
        <v>93</v>
      </c>
      <c r="E553" s="6" t="s">
        <v>46</v>
      </c>
      <c r="F553" s="6" t="s">
        <v>98</v>
      </c>
      <c r="G553" s="6" t="s">
        <v>1556</v>
      </c>
    </row>
    <row r="554" spans="1:7" ht="18.95" customHeight="1">
      <c r="A554" s="6" t="s">
        <v>1557</v>
      </c>
      <c r="B554" s="6" t="s">
        <v>1555</v>
      </c>
      <c r="C554" s="6" t="s">
        <v>115</v>
      </c>
      <c r="D554" s="6" t="s">
        <v>97</v>
      </c>
      <c r="E554" s="6" t="s">
        <v>47</v>
      </c>
      <c r="F554" s="6" t="s">
        <v>98</v>
      </c>
      <c r="G554" s="6" t="s">
        <v>1558</v>
      </c>
    </row>
    <row r="555" spans="1:7" ht="18.95" customHeight="1">
      <c r="A555" s="6" t="s">
        <v>1559</v>
      </c>
      <c r="B555" s="6" t="s">
        <v>1560</v>
      </c>
      <c r="C555" s="6" t="s">
        <v>121</v>
      </c>
      <c r="D555" s="6" t="s">
        <v>103</v>
      </c>
      <c r="E555" s="6" t="s">
        <v>5191</v>
      </c>
      <c r="F555" s="6" t="s">
        <v>98</v>
      </c>
      <c r="G555" s="6" t="s">
        <v>1561</v>
      </c>
    </row>
    <row r="556" spans="1:7" ht="18.95" customHeight="1">
      <c r="A556" s="6" t="s">
        <v>1562</v>
      </c>
      <c r="B556" s="6" t="s">
        <v>1560</v>
      </c>
      <c r="C556" s="6" t="s">
        <v>121</v>
      </c>
      <c r="D556" s="6" t="s">
        <v>93</v>
      </c>
      <c r="E556" s="6" t="s">
        <v>46</v>
      </c>
      <c r="F556" s="6" t="s">
        <v>98</v>
      </c>
      <c r="G556" s="6" t="s">
        <v>1563</v>
      </c>
    </row>
    <row r="557" spans="1:7" ht="18.95" customHeight="1">
      <c r="A557" s="6" t="s">
        <v>1564</v>
      </c>
      <c r="B557" s="6" t="s">
        <v>1565</v>
      </c>
      <c r="C557" s="6" t="s">
        <v>127</v>
      </c>
      <c r="D557" s="6" t="s">
        <v>97</v>
      </c>
      <c r="E557" s="6" t="s">
        <v>47</v>
      </c>
      <c r="F557" s="6" t="s">
        <v>98</v>
      </c>
      <c r="G557" s="6" t="s">
        <v>1566</v>
      </c>
    </row>
    <row r="558" spans="1:7" ht="18.95" customHeight="1">
      <c r="A558" s="6" t="s">
        <v>1567</v>
      </c>
      <c r="B558" s="6" t="s">
        <v>1565</v>
      </c>
      <c r="C558" s="6" t="s">
        <v>127</v>
      </c>
      <c r="D558" s="6" t="s">
        <v>103</v>
      </c>
      <c r="E558" s="6" t="s">
        <v>48</v>
      </c>
      <c r="F558" s="6" t="s">
        <v>98</v>
      </c>
      <c r="G558" s="6" t="s">
        <v>1568</v>
      </c>
    </row>
    <row r="559" spans="1:7" ht="18.95" customHeight="1">
      <c r="A559" s="6" t="s">
        <v>1569</v>
      </c>
      <c r="B559" s="6" t="s">
        <v>1570</v>
      </c>
      <c r="C559" s="6" t="s">
        <v>133</v>
      </c>
      <c r="D559" s="6" t="s">
        <v>93</v>
      </c>
      <c r="E559" s="6" t="s">
        <v>46</v>
      </c>
      <c r="F559" s="6" t="s">
        <v>94</v>
      </c>
      <c r="G559" s="6" t="s">
        <v>1571</v>
      </c>
    </row>
    <row r="560" spans="1:7" ht="18.95" customHeight="1">
      <c r="A560" s="6" t="s">
        <v>1572</v>
      </c>
      <c r="B560" s="6" t="s">
        <v>1570</v>
      </c>
      <c r="C560" s="6" t="s">
        <v>133</v>
      </c>
      <c r="D560" s="6" t="s">
        <v>97</v>
      </c>
      <c r="E560" s="6" t="s">
        <v>47</v>
      </c>
      <c r="F560" s="6" t="s">
        <v>98</v>
      </c>
      <c r="G560" s="6" t="s">
        <v>1573</v>
      </c>
    </row>
    <row r="561" spans="1:7" ht="18.95" customHeight="1">
      <c r="A561" s="6" t="s">
        <v>1574</v>
      </c>
      <c r="B561" s="6" t="s">
        <v>1575</v>
      </c>
      <c r="C561" s="6" t="s">
        <v>139</v>
      </c>
      <c r="D561" s="6" t="s">
        <v>103</v>
      </c>
      <c r="E561" s="6" t="s">
        <v>48</v>
      </c>
      <c r="F561" s="6" t="s">
        <v>98</v>
      </c>
      <c r="G561" s="6" t="s">
        <v>1576</v>
      </c>
    </row>
    <row r="562" spans="1:7" ht="18.95" customHeight="1">
      <c r="A562" s="6" t="s">
        <v>1577</v>
      </c>
      <c r="B562" s="6" t="s">
        <v>1575</v>
      </c>
      <c r="C562" s="6" t="s">
        <v>139</v>
      </c>
      <c r="D562" s="6" t="s">
        <v>93</v>
      </c>
      <c r="E562" s="6" t="s">
        <v>46</v>
      </c>
      <c r="F562" s="6" t="s">
        <v>98</v>
      </c>
      <c r="G562" s="6" t="s">
        <v>1578</v>
      </c>
    </row>
    <row r="563" spans="1:7" ht="18.95" customHeight="1">
      <c r="A563" s="6" t="s">
        <v>1579</v>
      </c>
      <c r="B563" s="6" t="s">
        <v>1580</v>
      </c>
      <c r="C563" s="6" t="s">
        <v>145</v>
      </c>
      <c r="D563" s="6" t="s">
        <v>97</v>
      </c>
      <c r="E563" s="6" t="s">
        <v>47</v>
      </c>
      <c r="F563" s="6" t="s">
        <v>98</v>
      </c>
      <c r="G563" s="6" t="s">
        <v>1581</v>
      </c>
    </row>
    <row r="564" spans="1:7" ht="18.95" customHeight="1">
      <c r="A564" s="6" t="s">
        <v>1582</v>
      </c>
      <c r="B564" s="6" t="s">
        <v>1580</v>
      </c>
      <c r="C564" s="6" t="s">
        <v>145</v>
      </c>
      <c r="D564" s="6" t="s">
        <v>103</v>
      </c>
      <c r="E564" s="6" t="s">
        <v>48</v>
      </c>
      <c r="F564" s="6" t="s">
        <v>98</v>
      </c>
      <c r="G564" s="6" t="s">
        <v>1583</v>
      </c>
    </row>
    <row r="565" spans="1:7" ht="18.95" customHeight="1">
      <c r="A565" s="6" t="s">
        <v>1584</v>
      </c>
      <c r="B565" s="6" t="s">
        <v>1585</v>
      </c>
      <c r="C565" s="6" t="s">
        <v>151</v>
      </c>
      <c r="D565" s="6" t="s">
        <v>93</v>
      </c>
      <c r="E565" s="6" t="s">
        <v>46</v>
      </c>
      <c r="F565" s="6" t="s">
        <v>98</v>
      </c>
      <c r="G565" s="6" t="s">
        <v>1586</v>
      </c>
    </row>
    <row r="566" spans="1:7" ht="18.95" customHeight="1">
      <c r="A566" s="6" t="s">
        <v>1587</v>
      </c>
      <c r="B566" s="6" t="s">
        <v>1585</v>
      </c>
      <c r="C566" s="6" t="s">
        <v>151</v>
      </c>
      <c r="D566" s="6" t="s">
        <v>97</v>
      </c>
      <c r="E566" s="6" t="s">
        <v>47</v>
      </c>
      <c r="F566" s="6" t="s">
        <v>98</v>
      </c>
      <c r="G566" s="6" t="s">
        <v>1588</v>
      </c>
    </row>
    <row r="567" spans="1:7" ht="18.95" customHeight="1">
      <c r="A567" s="6" t="s">
        <v>1589</v>
      </c>
      <c r="B567" s="6" t="s">
        <v>1590</v>
      </c>
      <c r="C567" s="6" t="s">
        <v>157</v>
      </c>
      <c r="D567" s="6" t="s">
        <v>103</v>
      </c>
      <c r="E567" s="6" t="s">
        <v>48</v>
      </c>
      <c r="F567" s="6" t="s">
        <v>98</v>
      </c>
      <c r="G567" s="6" t="s">
        <v>1591</v>
      </c>
    </row>
    <row r="568" spans="1:7" ht="18.95" customHeight="1">
      <c r="A568" s="6" t="s">
        <v>1592</v>
      </c>
      <c r="B568" s="6" t="s">
        <v>1590</v>
      </c>
      <c r="C568" s="6" t="s">
        <v>157</v>
      </c>
      <c r="D568" s="6" t="s">
        <v>93</v>
      </c>
      <c r="E568" s="6" t="s">
        <v>46</v>
      </c>
      <c r="F568" s="6" t="s">
        <v>98</v>
      </c>
      <c r="G568" s="6" t="s">
        <v>1593</v>
      </c>
    </row>
    <row r="569" spans="1:7" ht="18.95" customHeight="1">
      <c r="A569" s="6" t="s">
        <v>1594</v>
      </c>
      <c r="B569" s="6" t="s">
        <v>1595</v>
      </c>
      <c r="C569" s="6" t="s">
        <v>163</v>
      </c>
      <c r="D569" s="6" t="s">
        <v>97</v>
      </c>
      <c r="E569" s="6" t="s">
        <v>47</v>
      </c>
      <c r="F569" s="6" t="s">
        <v>98</v>
      </c>
      <c r="G569" s="6" t="s">
        <v>1596</v>
      </c>
    </row>
    <row r="570" spans="1:7" ht="18.95" customHeight="1">
      <c r="A570" s="6" t="s">
        <v>1597</v>
      </c>
      <c r="B570" s="6" t="s">
        <v>1595</v>
      </c>
      <c r="C570" s="6" t="s">
        <v>163</v>
      </c>
      <c r="D570" s="6" t="s">
        <v>103</v>
      </c>
      <c r="E570" s="6" t="s">
        <v>48</v>
      </c>
      <c r="F570" s="6" t="s">
        <v>98</v>
      </c>
      <c r="G570" s="6" t="s">
        <v>1598</v>
      </c>
    </row>
    <row r="571" spans="1:7" ht="18.95" customHeight="1">
      <c r="A571" s="6" t="s">
        <v>1599</v>
      </c>
      <c r="B571" s="6" t="s">
        <v>1600</v>
      </c>
      <c r="C571" s="6" t="s">
        <v>169</v>
      </c>
      <c r="D571" s="6" t="s">
        <v>93</v>
      </c>
      <c r="E571" s="6" t="s">
        <v>46</v>
      </c>
      <c r="F571" s="6" t="s">
        <v>98</v>
      </c>
      <c r="G571" s="6" t="s">
        <v>1601</v>
      </c>
    </row>
    <row r="572" spans="1:7" ht="18.95" customHeight="1">
      <c r="A572" s="6" t="s">
        <v>1602</v>
      </c>
      <c r="B572" s="6" t="s">
        <v>1600</v>
      </c>
      <c r="C572" s="6" t="s">
        <v>169</v>
      </c>
      <c r="D572" s="6" t="s">
        <v>97</v>
      </c>
      <c r="E572" s="6" t="s">
        <v>47</v>
      </c>
      <c r="F572" s="6" t="s">
        <v>98</v>
      </c>
      <c r="G572" s="6" t="s">
        <v>1603</v>
      </c>
    </row>
    <row r="573" spans="1:7" ht="18.95" customHeight="1">
      <c r="A573" s="6" t="s">
        <v>1604</v>
      </c>
      <c r="B573" s="6" t="s">
        <v>1605</v>
      </c>
      <c r="C573" s="6" t="s">
        <v>175</v>
      </c>
      <c r="D573" s="6" t="s">
        <v>103</v>
      </c>
      <c r="E573" s="6" t="s">
        <v>48</v>
      </c>
      <c r="F573" s="6" t="s">
        <v>98</v>
      </c>
      <c r="G573" s="6" t="s">
        <v>1606</v>
      </c>
    </row>
    <row r="574" spans="1:7" ht="18.95" customHeight="1">
      <c r="A574" s="6" t="s">
        <v>1607</v>
      </c>
      <c r="B574" s="6" t="s">
        <v>1605</v>
      </c>
      <c r="C574" s="6" t="s">
        <v>175</v>
      </c>
      <c r="D574" s="6" t="s">
        <v>93</v>
      </c>
      <c r="E574" s="6" t="s">
        <v>46</v>
      </c>
      <c r="F574" s="6" t="s">
        <v>98</v>
      </c>
      <c r="G574" s="6" t="s">
        <v>1608</v>
      </c>
    </row>
    <row r="575" spans="1:7" ht="18.95" customHeight="1">
      <c r="A575" s="6" t="s">
        <v>1609</v>
      </c>
      <c r="B575" s="6" t="s">
        <v>1610</v>
      </c>
      <c r="C575" s="6" t="s">
        <v>181</v>
      </c>
      <c r="D575" s="6" t="s">
        <v>97</v>
      </c>
      <c r="E575" s="6" t="s">
        <v>47</v>
      </c>
      <c r="F575" s="6" t="s">
        <v>98</v>
      </c>
      <c r="G575" s="6" t="s">
        <v>1611</v>
      </c>
    </row>
    <row r="576" spans="1:7" ht="18.95" customHeight="1">
      <c r="A576" s="6" t="s">
        <v>1612</v>
      </c>
      <c r="B576" s="6" t="s">
        <v>1610</v>
      </c>
      <c r="C576" s="6" t="s">
        <v>181</v>
      </c>
      <c r="D576" s="6" t="s">
        <v>103</v>
      </c>
      <c r="E576" s="6" t="s">
        <v>48</v>
      </c>
      <c r="F576" s="6" t="s">
        <v>98</v>
      </c>
      <c r="G576" s="6" t="s">
        <v>1613</v>
      </c>
    </row>
    <row r="577" spans="1:7" ht="18.95" customHeight="1">
      <c r="A577" s="6" t="s">
        <v>1614</v>
      </c>
      <c r="B577" s="6" t="s">
        <v>1615</v>
      </c>
      <c r="C577" s="6" t="s">
        <v>187</v>
      </c>
      <c r="D577" s="6" t="s">
        <v>93</v>
      </c>
      <c r="E577" s="6" t="s">
        <v>46</v>
      </c>
      <c r="F577" s="6" t="s">
        <v>98</v>
      </c>
      <c r="G577" s="6" t="s">
        <v>1616</v>
      </c>
    </row>
    <row r="578" spans="1:7" ht="18.95" customHeight="1">
      <c r="A578" s="6" t="s">
        <v>1617</v>
      </c>
      <c r="B578" s="6" t="s">
        <v>1615</v>
      </c>
      <c r="C578" s="6" t="s">
        <v>187</v>
      </c>
      <c r="D578" s="6" t="s">
        <v>97</v>
      </c>
      <c r="E578" s="6" t="s">
        <v>47</v>
      </c>
      <c r="F578" s="6" t="s">
        <v>98</v>
      </c>
      <c r="G578" s="6" t="s">
        <v>1618</v>
      </c>
    </row>
    <row r="579" spans="1:7" ht="18.95" customHeight="1">
      <c r="A579" s="6" t="s">
        <v>1619</v>
      </c>
      <c r="B579" s="6" t="s">
        <v>1620</v>
      </c>
      <c r="C579" s="6" t="s">
        <v>193</v>
      </c>
      <c r="D579" s="6" t="s">
        <v>103</v>
      </c>
      <c r="E579" s="6" t="s">
        <v>48</v>
      </c>
      <c r="F579" s="6" t="s">
        <v>98</v>
      </c>
      <c r="G579" s="6" t="s">
        <v>1621</v>
      </c>
    </row>
    <row r="580" spans="1:7" ht="18.95" customHeight="1">
      <c r="A580" s="6" t="s">
        <v>1622</v>
      </c>
      <c r="B580" s="6" t="s">
        <v>1620</v>
      </c>
      <c r="C580" s="6" t="s">
        <v>193</v>
      </c>
      <c r="D580" s="6" t="s">
        <v>93</v>
      </c>
      <c r="E580" s="6" t="s">
        <v>46</v>
      </c>
      <c r="F580" s="6" t="s">
        <v>98</v>
      </c>
      <c r="G580" s="6" t="s">
        <v>1623</v>
      </c>
    </row>
    <row r="581" spans="1:7" ht="18.95" customHeight="1">
      <c r="A581" s="6" t="s">
        <v>1624</v>
      </c>
      <c r="B581" s="6" t="s">
        <v>1625</v>
      </c>
      <c r="C581" s="6" t="s">
        <v>200</v>
      </c>
      <c r="D581" s="6" t="s">
        <v>97</v>
      </c>
      <c r="E581" s="6" t="s">
        <v>47</v>
      </c>
      <c r="F581" s="6" t="s">
        <v>98</v>
      </c>
      <c r="G581" s="6" t="s">
        <v>1626</v>
      </c>
    </row>
    <row r="582" spans="1:7" ht="18.95" customHeight="1">
      <c r="A582" s="6" t="s">
        <v>1627</v>
      </c>
      <c r="B582" s="6" t="s">
        <v>1625</v>
      </c>
      <c r="C582" s="6" t="s">
        <v>200</v>
      </c>
      <c r="D582" s="6" t="s">
        <v>103</v>
      </c>
      <c r="E582" s="6" t="s">
        <v>48</v>
      </c>
      <c r="F582" s="6" t="s">
        <v>94</v>
      </c>
      <c r="G582" s="6" t="s">
        <v>1628</v>
      </c>
    </row>
    <row r="583" spans="1:7" ht="18.95" customHeight="1">
      <c r="A583" s="6" t="s">
        <v>1629</v>
      </c>
      <c r="B583" s="6" t="s">
        <v>1630</v>
      </c>
      <c r="C583" s="6" t="s">
        <v>206</v>
      </c>
      <c r="D583" s="6" t="s">
        <v>93</v>
      </c>
      <c r="E583" s="6" t="s">
        <v>46</v>
      </c>
      <c r="F583" s="6" t="s">
        <v>98</v>
      </c>
      <c r="G583" s="6" t="s">
        <v>1631</v>
      </c>
    </row>
    <row r="584" spans="1:7" ht="18.95" customHeight="1">
      <c r="A584" s="6" t="s">
        <v>1632</v>
      </c>
      <c r="B584" s="6" t="s">
        <v>1630</v>
      </c>
      <c r="C584" s="6" t="s">
        <v>206</v>
      </c>
      <c r="D584" s="6" t="s">
        <v>97</v>
      </c>
      <c r="E584" s="6" t="s">
        <v>47</v>
      </c>
      <c r="F584" s="6" t="s">
        <v>98</v>
      </c>
      <c r="G584" s="6" t="s">
        <v>1633</v>
      </c>
    </row>
    <row r="585" spans="1:7" ht="18.95" customHeight="1">
      <c r="A585" s="6" t="s">
        <v>1634</v>
      </c>
      <c r="B585" s="6" t="s">
        <v>1635</v>
      </c>
      <c r="C585" s="6" t="s">
        <v>212</v>
      </c>
      <c r="D585" s="6" t="s">
        <v>103</v>
      </c>
      <c r="E585" s="6" t="s">
        <v>48</v>
      </c>
      <c r="F585" s="6" t="s">
        <v>98</v>
      </c>
      <c r="G585" s="6" t="s">
        <v>1636</v>
      </c>
    </row>
    <row r="586" spans="1:7" ht="18.95" customHeight="1">
      <c r="A586" s="6" t="s">
        <v>1637</v>
      </c>
      <c r="B586" s="6" t="s">
        <v>1635</v>
      </c>
      <c r="C586" s="6" t="s">
        <v>212</v>
      </c>
      <c r="D586" s="6" t="s">
        <v>93</v>
      </c>
      <c r="E586" s="6" t="s">
        <v>46</v>
      </c>
      <c r="F586" s="6" t="s">
        <v>98</v>
      </c>
      <c r="G586" s="6" t="s">
        <v>1638</v>
      </c>
    </row>
    <row r="587" spans="1:7" ht="18.95" customHeight="1">
      <c r="A587" s="6" t="s">
        <v>1639</v>
      </c>
      <c r="B587" s="6" t="s">
        <v>1640</v>
      </c>
      <c r="C587" s="6" t="s">
        <v>218</v>
      </c>
      <c r="D587" s="6" t="s">
        <v>97</v>
      </c>
      <c r="E587" s="6" t="s">
        <v>47</v>
      </c>
      <c r="F587" s="6" t="s">
        <v>98</v>
      </c>
      <c r="G587" s="6" t="s">
        <v>1641</v>
      </c>
    </row>
    <row r="588" spans="1:7" ht="18.95" customHeight="1">
      <c r="A588" s="6" t="s">
        <v>1642</v>
      </c>
      <c r="B588" s="6" t="s">
        <v>1640</v>
      </c>
      <c r="C588" s="6" t="s">
        <v>1643</v>
      </c>
      <c r="D588" s="6" t="s">
        <v>103</v>
      </c>
      <c r="E588" s="6" t="s">
        <v>48</v>
      </c>
      <c r="F588" s="6" t="s">
        <v>98</v>
      </c>
      <c r="G588" s="6" t="s">
        <v>1644</v>
      </c>
    </row>
    <row r="589" spans="1:7" ht="18.95" customHeight="1">
      <c r="A589" s="6" t="s">
        <v>1645</v>
      </c>
      <c r="B589" s="6" t="s">
        <v>1646</v>
      </c>
      <c r="C589" s="6" t="s">
        <v>224</v>
      </c>
      <c r="D589" s="6" t="s">
        <v>93</v>
      </c>
      <c r="E589" s="6" t="s">
        <v>46</v>
      </c>
      <c r="F589" s="6" t="s">
        <v>98</v>
      </c>
      <c r="G589" s="6" t="s">
        <v>1647</v>
      </c>
    </row>
    <row r="590" spans="1:7" ht="18.95" customHeight="1">
      <c r="A590" s="6" t="s">
        <v>1648</v>
      </c>
      <c r="B590" s="6" t="s">
        <v>1646</v>
      </c>
      <c r="C590" s="6" t="s">
        <v>224</v>
      </c>
      <c r="D590" s="6" t="s">
        <v>97</v>
      </c>
      <c r="E590" s="6" t="s">
        <v>47</v>
      </c>
      <c r="F590" s="6" t="s">
        <v>98</v>
      </c>
      <c r="G590" s="6" t="s">
        <v>1649</v>
      </c>
    </row>
    <row r="591" spans="1:7" ht="18.95" customHeight="1">
      <c r="A591" s="6" t="s">
        <v>1650</v>
      </c>
      <c r="B591" s="6" t="s">
        <v>1651</v>
      </c>
      <c r="C591" s="6" t="s">
        <v>230</v>
      </c>
      <c r="D591" s="6" t="s">
        <v>103</v>
      </c>
      <c r="E591" s="6" t="s">
        <v>48</v>
      </c>
      <c r="F591" s="6" t="s">
        <v>98</v>
      </c>
      <c r="G591" s="6" t="s">
        <v>1652</v>
      </c>
    </row>
    <row r="592" spans="1:7" ht="18.95" customHeight="1">
      <c r="A592" s="6" t="s">
        <v>1653</v>
      </c>
      <c r="B592" s="6" t="s">
        <v>1651</v>
      </c>
      <c r="C592" s="6" t="s">
        <v>230</v>
      </c>
      <c r="D592" s="6" t="s">
        <v>93</v>
      </c>
      <c r="E592" s="6" t="s">
        <v>46</v>
      </c>
      <c r="F592" s="6" t="s">
        <v>98</v>
      </c>
      <c r="G592" s="6" t="s">
        <v>1654</v>
      </c>
    </row>
    <row r="593" spans="1:7" ht="18.95" customHeight="1">
      <c r="A593" s="6" t="s">
        <v>1655</v>
      </c>
      <c r="B593" s="6" t="s">
        <v>1656</v>
      </c>
      <c r="C593" s="6" t="s">
        <v>236</v>
      </c>
      <c r="D593" s="6" t="s">
        <v>97</v>
      </c>
      <c r="E593" s="6" t="s">
        <v>47</v>
      </c>
      <c r="F593" s="6" t="s">
        <v>98</v>
      </c>
      <c r="G593" s="6" t="s">
        <v>1657</v>
      </c>
    </row>
    <row r="594" spans="1:7" ht="18.95" customHeight="1">
      <c r="A594" s="6" t="s">
        <v>1658</v>
      </c>
      <c r="B594" s="6" t="s">
        <v>1656</v>
      </c>
      <c r="C594" s="6" t="s">
        <v>236</v>
      </c>
      <c r="D594" s="6" t="s">
        <v>103</v>
      </c>
      <c r="E594" s="6" t="s">
        <v>48</v>
      </c>
      <c r="F594" s="6" t="s">
        <v>98</v>
      </c>
      <c r="G594" s="6" t="s">
        <v>1659</v>
      </c>
    </row>
    <row r="595" spans="1:7" ht="18.95" customHeight="1">
      <c r="A595" s="6" t="s">
        <v>1660</v>
      </c>
      <c r="B595" s="6" t="s">
        <v>1661</v>
      </c>
      <c r="C595" s="6" t="s">
        <v>242</v>
      </c>
      <c r="D595" s="6" t="s">
        <v>93</v>
      </c>
      <c r="E595" s="6" t="s">
        <v>46</v>
      </c>
      <c r="F595" s="6" t="s">
        <v>98</v>
      </c>
      <c r="G595" s="6" t="s">
        <v>1662</v>
      </c>
    </row>
    <row r="596" spans="1:7" ht="18.95" customHeight="1">
      <c r="A596" s="6" t="s">
        <v>1663</v>
      </c>
      <c r="B596" s="6" t="s">
        <v>1661</v>
      </c>
      <c r="C596" s="6" t="s">
        <v>242</v>
      </c>
      <c r="D596" s="6" t="s">
        <v>97</v>
      </c>
      <c r="E596" s="6" t="s">
        <v>47</v>
      </c>
      <c r="F596" s="6" t="s">
        <v>98</v>
      </c>
      <c r="G596" s="6" t="s">
        <v>1664</v>
      </c>
    </row>
    <row r="597" spans="1:7" ht="18.95" customHeight="1">
      <c r="A597" s="6" t="s">
        <v>1665</v>
      </c>
      <c r="B597" s="6" t="s">
        <v>1666</v>
      </c>
      <c r="C597" s="6" t="s">
        <v>248</v>
      </c>
      <c r="D597" s="6" t="s">
        <v>103</v>
      </c>
      <c r="E597" s="6" t="s">
        <v>48</v>
      </c>
      <c r="F597" s="6" t="s">
        <v>98</v>
      </c>
      <c r="G597" s="6" t="s">
        <v>1667</v>
      </c>
    </row>
    <row r="598" spans="1:7" ht="18.95" customHeight="1">
      <c r="A598" s="6" t="s">
        <v>1668</v>
      </c>
      <c r="B598" s="6" t="s">
        <v>1666</v>
      </c>
      <c r="C598" s="6" t="s">
        <v>248</v>
      </c>
      <c r="D598" s="6" t="s">
        <v>93</v>
      </c>
      <c r="E598" s="6" t="s">
        <v>46</v>
      </c>
      <c r="F598" s="6" t="s">
        <v>98</v>
      </c>
      <c r="G598" s="6" t="s">
        <v>1669</v>
      </c>
    </row>
    <row r="599" spans="1:7" ht="18.95" customHeight="1">
      <c r="A599" s="6" t="s">
        <v>1670</v>
      </c>
      <c r="B599" s="6" t="s">
        <v>1671</v>
      </c>
      <c r="C599" s="6" t="s">
        <v>254</v>
      </c>
      <c r="D599" s="6" t="s">
        <v>97</v>
      </c>
      <c r="E599" s="6" t="s">
        <v>47</v>
      </c>
      <c r="F599" s="6" t="s">
        <v>98</v>
      </c>
      <c r="G599" s="6" t="s">
        <v>1672</v>
      </c>
    </row>
    <row r="600" spans="1:7" ht="18.95" customHeight="1">
      <c r="A600" s="6" t="s">
        <v>1673</v>
      </c>
      <c r="B600" s="6" t="s">
        <v>1671</v>
      </c>
      <c r="C600" s="6" t="s">
        <v>254</v>
      </c>
      <c r="D600" s="6" t="s">
        <v>103</v>
      </c>
      <c r="E600" s="6" t="s">
        <v>48</v>
      </c>
      <c r="F600" s="6" t="s">
        <v>98</v>
      </c>
      <c r="G600" s="6" t="s">
        <v>1674</v>
      </c>
    </row>
    <row r="601" spans="1:7" ht="18.95" customHeight="1">
      <c r="A601" s="6" t="s">
        <v>1675</v>
      </c>
      <c r="B601" s="6" t="s">
        <v>1676</v>
      </c>
      <c r="C601" s="6" t="s">
        <v>260</v>
      </c>
      <c r="D601" s="6" t="s">
        <v>93</v>
      </c>
      <c r="E601" s="6" t="s">
        <v>46</v>
      </c>
      <c r="F601" s="6" t="s">
        <v>98</v>
      </c>
      <c r="G601" s="6" t="s">
        <v>1677</v>
      </c>
    </row>
    <row r="602" spans="1:7" ht="18.95" customHeight="1">
      <c r="A602" s="6" t="s">
        <v>1678</v>
      </c>
      <c r="B602" s="6" t="s">
        <v>1676</v>
      </c>
      <c r="C602" s="6" t="s">
        <v>260</v>
      </c>
      <c r="D602" s="6" t="s">
        <v>97</v>
      </c>
      <c r="E602" s="6" t="s">
        <v>47</v>
      </c>
      <c r="F602" s="6" t="s">
        <v>98</v>
      </c>
      <c r="G602" s="6" t="s">
        <v>1679</v>
      </c>
    </row>
    <row r="603" spans="1:7" ht="18.95" customHeight="1">
      <c r="A603" s="6" t="s">
        <v>1680</v>
      </c>
      <c r="B603" s="6" t="s">
        <v>1681</v>
      </c>
      <c r="C603" s="6" t="s">
        <v>266</v>
      </c>
      <c r="D603" s="6" t="s">
        <v>103</v>
      </c>
      <c r="E603" s="6" t="s">
        <v>48</v>
      </c>
      <c r="F603" s="6" t="s">
        <v>98</v>
      </c>
      <c r="G603" s="6" t="s">
        <v>1682</v>
      </c>
    </row>
    <row r="604" spans="1:7" ht="18.95" customHeight="1">
      <c r="A604" s="6" t="s">
        <v>1683</v>
      </c>
      <c r="B604" s="6" t="s">
        <v>1681</v>
      </c>
      <c r="C604" s="6" t="s">
        <v>266</v>
      </c>
      <c r="D604" s="6" t="s">
        <v>93</v>
      </c>
      <c r="E604" s="6" t="s">
        <v>46</v>
      </c>
      <c r="F604" s="6" t="s">
        <v>98</v>
      </c>
      <c r="G604" s="6" t="s">
        <v>1684</v>
      </c>
    </row>
    <row r="605" spans="1:7" ht="18.95" customHeight="1">
      <c r="A605" s="6" t="s">
        <v>1685</v>
      </c>
      <c r="B605" s="6" t="s">
        <v>1686</v>
      </c>
      <c r="C605" s="6" t="s">
        <v>272</v>
      </c>
      <c r="D605" s="6" t="s">
        <v>97</v>
      </c>
      <c r="E605" s="6" t="s">
        <v>47</v>
      </c>
      <c r="F605" s="6" t="s">
        <v>94</v>
      </c>
      <c r="G605" s="6" t="s">
        <v>1687</v>
      </c>
    </row>
    <row r="606" spans="1:7" ht="18.95" customHeight="1">
      <c r="A606" s="6" t="s">
        <v>1688</v>
      </c>
      <c r="B606" s="6" t="s">
        <v>1686</v>
      </c>
      <c r="C606" s="6" t="s">
        <v>272</v>
      </c>
      <c r="D606" s="6" t="s">
        <v>103</v>
      </c>
      <c r="E606" s="6" t="s">
        <v>48</v>
      </c>
      <c r="F606" s="6" t="s">
        <v>98</v>
      </c>
      <c r="G606" s="6" t="s">
        <v>1689</v>
      </c>
    </row>
    <row r="607" spans="1:7" ht="18.95" customHeight="1">
      <c r="A607" s="6" t="s">
        <v>1690</v>
      </c>
      <c r="B607" s="6" t="s">
        <v>1691</v>
      </c>
      <c r="C607" s="6" t="s">
        <v>278</v>
      </c>
      <c r="D607" s="6" t="s">
        <v>93</v>
      </c>
      <c r="E607" s="6" t="s">
        <v>46</v>
      </c>
      <c r="F607" s="6" t="s">
        <v>98</v>
      </c>
      <c r="G607" s="6" t="s">
        <v>1692</v>
      </c>
    </row>
    <row r="608" spans="1:7" ht="18.95" customHeight="1">
      <c r="A608" s="6" t="s">
        <v>1693</v>
      </c>
      <c r="B608" s="6" t="s">
        <v>1691</v>
      </c>
      <c r="C608" s="6" t="s">
        <v>278</v>
      </c>
      <c r="D608" s="6" t="s">
        <v>97</v>
      </c>
      <c r="E608" s="6" t="s">
        <v>47</v>
      </c>
      <c r="F608" s="6" t="s">
        <v>98</v>
      </c>
      <c r="G608" s="6" t="s">
        <v>1694</v>
      </c>
    </row>
    <row r="609" spans="1:7" ht="18.95" customHeight="1">
      <c r="A609" s="6" t="s">
        <v>1695</v>
      </c>
      <c r="B609" s="6" t="s">
        <v>1696</v>
      </c>
      <c r="C609" s="6" t="s">
        <v>284</v>
      </c>
      <c r="D609" s="6" t="s">
        <v>103</v>
      </c>
      <c r="E609" s="6" t="s">
        <v>48</v>
      </c>
      <c r="F609" s="6" t="s">
        <v>98</v>
      </c>
      <c r="G609" s="6" t="s">
        <v>1697</v>
      </c>
    </row>
    <row r="610" spans="1:7" ht="18.95" customHeight="1">
      <c r="A610" s="6" t="s">
        <v>1698</v>
      </c>
      <c r="B610" s="6" t="s">
        <v>1696</v>
      </c>
      <c r="C610" s="6" t="s">
        <v>284</v>
      </c>
      <c r="D610" s="6" t="s">
        <v>93</v>
      </c>
      <c r="E610" s="6" t="s">
        <v>46</v>
      </c>
      <c r="F610" s="6" t="s">
        <v>98</v>
      </c>
      <c r="G610" s="6" t="s">
        <v>1699</v>
      </c>
    </row>
    <row r="611" spans="1:7" ht="18.95" customHeight="1">
      <c r="A611" s="6" t="s">
        <v>1700</v>
      </c>
      <c r="B611" s="6" t="s">
        <v>1701</v>
      </c>
      <c r="C611" s="6" t="s">
        <v>290</v>
      </c>
      <c r="D611" s="6" t="s">
        <v>97</v>
      </c>
      <c r="E611" s="6" t="s">
        <v>47</v>
      </c>
      <c r="F611" s="6" t="s">
        <v>98</v>
      </c>
      <c r="G611" s="6" t="s">
        <v>1702</v>
      </c>
    </row>
    <row r="612" spans="1:7" ht="18.95" customHeight="1">
      <c r="A612" s="6" t="s">
        <v>1703</v>
      </c>
      <c r="B612" s="6" t="s">
        <v>1701</v>
      </c>
      <c r="C612" s="6" t="s">
        <v>290</v>
      </c>
      <c r="D612" s="6" t="s">
        <v>103</v>
      </c>
      <c r="E612" s="6" t="s">
        <v>48</v>
      </c>
      <c r="F612" s="6" t="s">
        <v>98</v>
      </c>
      <c r="G612" s="6" t="s">
        <v>1704</v>
      </c>
    </row>
    <row r="613" spans="1:7" ht="18.95" customHeight="1">
      <c r="A613" s="6" t="s">
        <v>1705</v>
      </c>
      <c r="B613" s="6" t="s">
        <v>1706</v>
      </c>
      <c r="C613" s="6" t="s">
        <v>296</v>
      </c>
      <c r="D613" s="6" t="s">
        <v>93</v>
      </c>
      <c r="E613" s="6" t="s">
        <v>46</v>
      </c>
      <c r="F613" s="6" t="s">
        <v>98</v>
      </c>
      <c r="G613" s="6" t="s">
        <v>1707</v>
      </c>
    </row>
    <row r="614" spans="1:7" ht="18.95" customHeight="1">
      <c r="A614" s="6" t="s">
        <v>1708</v>
      </c>
      <c r="B614" s="6" t="s">
        <v>1706</v>
      </c>
      <c r="C614" s="6" t="s">
        <v>296</v>
      </c>
      <c r="D614" s="6" t="s">
        <v>97</v>
      </c>
      <c r="E614" s="6" t="s">
        <v>47</v>
      </c>
      <c r="F614" s="6" t="s">
        <v>98</v>
      </c>
      <c r="G614" s="6" t="s">
        <v>1709</v>
      </c>
    </row>
    <row r="615" spans="1:7" ht="18.95" customHeight="1">
      <c r="A615" s="6" t="s">
        <v>1710</v>
      </c>
      <c r="B615" s="6" t="s">
        <v>1711</v>
      </c>
      <c r="C615" s="6" t="s">
        <v>302</v>
      </c>
      <c r="D615" s="6" t="s">
        <v>103</v>
      </c>
      <c r="E615" s="6" t="s">
        <v>48</v>
      </c>
      <c r="F615" s="6" t="s">
        <v>98</v>
      </c>
      <c r="G615" s="6" t="s">
        <v>1712</v>
      </c>
    </row>
    <row r="616" spans="1:7" ht="18.95" customHeight="1">
      <c r="A616" s="6" t="s">
        <v>1713</v>
      </c>
      <c r="B616" s="6" t="s">
        <v>1711</v>
      </c>
      <c r="C616" s="6" t="s">
        <v>302</v>
      </c>
      <c r="D616" s="6" t="s">
        <v>93</v>
      </c>
      <c r="E616" s="6" t="s">
        <v>46</v>
      </c>
      <c r="F616" s="6" t="s">
        <v>98</v>
      </c>
      <c r="G616" s="6" t="s">
        <v>1714</v>
      </c>
    </row>
    <row r="617" spans="1:7" ht="18.95" customHeight="1">
      <c r="A617" s="6" t="s">
        <v>1715</v>
      </c>
      <c r="B617" s="6" t="s">
        <v>1716</v>
      </c>
      <c r="C617" s="6" t="s">
        <v>308</v>
      </c>
      <c r="D617" s="6" t="s">
        <v>97</v>
      </c>
      <c r="E617" s="6" t="s">
        <v>47</v>
      </c>
      <c r="F617" s="6" t="s">
        <v>98</v>
      </c>
      <c r="G617" s="6" t="s">
        <v>1717</v>
      </c>
    </row>
    <row r="618" spans="1:7" ht="18.95" customHeight="1">
      <c r="A618" s="6" t="s">
        <v>1718</v>
      </c>
      <c r="B618" s="6" t="s">
        <v>1716</v>
      </c>
      <c r="C618" s="6" t="s">
        <v>308</v>
      </c>
      <c r="D618" s="6" t="s">
        <v>103</v>
      </c>
      <c r="E618" s="6" t="s">
        <v>5191</v>
      </c>
      <c r="F618" s="6" t="s">
        <v>98</v>
      </c>
      <c r="G618" s="6" t="s">
        <v>1719</v>
      </c>
    </row>
    <row r="619" spans="1:7" ht="18.95" customHeight="1">
      <c r="A619" s="6" t="s">
        <v>1720</v>
      </c>
      <c r="B619" s="6" t="s">
        <v>1721</v>
      </c>
      <c r="C619" s="6" t="s">
        <v>314</v>
      </c>
      <c r="D619" s="6" t="s">
        <v>93</v>
      </c>
      <c r="E619" s="6" t="s">
        <v>46</v>
      </c>
      <c r="F619" s="6" t="s">
        <v>98</v>
      </c>
      <c r="G619" s="6" t="s">
        <v>1722</v>
      </c>
    </row>
    <row r="620" spans="1:7" ht="18.95" customHeight="1">
      <c r="A620" s="6" t="s">
        <v>1723</v>
      </c>
      <c r="B620" s="6" t="s">
        <v>1721</v>
      </c>
      <c r="C620" s="6" t="s">
        <v>314</v>
      </c>
      <c r="D620" s="6" t="s">
        <v>97</v>
      </c>
      <c r="E620" s="6" t="s">
        <v>47</v>
      </c>
      <c r="F620" s="6" t="s">
        <v>98</v>
      </c>
      <c r="G620" s="6" t="s">
        <v>1724</v>
      </c>
    </row>
    <row r="621" spans="1:7" ht="18.95" customHeight="1">
      <c r="A621" s="6" t="s">
        <v>1725</v>
      </c>
      <c r="B621" s="6" t="s">
        <v>1726</v>
      </c>
      <c r="C621" s="6" t="s">
        <v>320</v>
      </c>
      <c r="D621" s="6" t="s">
        <v>103</v>
      </c>
      <c r="E621" s="6" t="s">
        <v>48</v>
      </c>
      <c r="F621" s="6" t="s">
        <v>98</v>
      </c>
      <c r="G621" s="6" t="s">
        <v>1727</v>
      </c>
    </row>
    <row r="622" spans="1:7" ht="18.95" customHeight="1">
      <c r="A622" s="6" t="s">
        <v>1728</v>
      </c>
      <c r="B622" s="6" t="s">
        <v>1726</v>
      </c>
      <c r="C622" s="6" t="s">
        <v>320</v>
      </c>
      <c r="D622" s="6" t="s">
        <v>93</v>
      </c>
      <c r="E622" s="6" t="s">
        <v>46</v>
      </c>
      <c r="F622" s="6" t="s">
        <v>98</v>
      </c>
      <c r="G622" s="6" t="s">
        <v>1729</v>
      </c>
    </row>
    <row r="623" spans="1:7" ht="18.95" customHeight="1">
      <c r="A623" s="6" t="s">
        <v>1730</v>
      </c>
      <c r="B623" s="6" t="s">
        <v>1731</v>
      </c>
      <c r="C623" s="6" t="s">
        <v>326</v>
      </c>
      <c r="D623" s="6" t="s">
        <v>97</v>
      </c>
      <c r="E623" s="6" t="s">
        <v>47</v>
      </c>
      <c r="F623" s="6" t="s">
        <v>98</v>
      </c>
      <c r="G623" s="6" t="s">
        <v>1732</v>
      </c>
    </row>
    <row r="624" spans="1:7" ht="18.95" customHeight="1">
      <c r="A624" s="6" t="s">
        <v>1733</v>
      </c>
      <c r="B624" s="6" t="s">
        <v>1731</v>
      </c>
      <c r="C624" s="6" t="s">
        <v>326</v>
      </c>
      <c r="D624" s="6" t="s">
        <v>103</v>
      </c>
      <c r="E624" s="6" t="s">
        <v>48</v>
      </c>
      <c r="F624" s="6" t="s">
        <v>98</v>
      </c>
      <c r="G624" s="6" t="s">
        <v>1734</v>
      </c>
    </row>
    <row r="625" spans="1:7" ht="18.95" customHeight="1">
      <c r="A625" s="6" t="s">
        <v>1735</v>
      </c>
      <c r="B625" s="6" t="s">
        <v>1736</v>
      </c>
      <c r="C625" s="6" t="s">
        <v>332</v>
      </c>
      <c r="D625" s="6" t="s">
        <v>93</v>
      </c>
      <c r="E625" s="6" t="s">
        <v>46</v>
      </c>
      <c r="F625" s="6" t="s">
        <v>98</v>
      </c>
      <c r="G625" s="6" t="s">
        <v>1737</v>
      </c>
    </row>
    <row r="626" spans="1:7" ht="18.95" customHeight="1">
      <c r="A626" s="6" t="s">
        <v>1738</v>
      </c>
      <c r="B626" s="6" t="s">
        <v>1736</v>
      </c>
      <c r="C626" s="6" t="s">
        <v>332</v>
      </c>
      <c r="D626" s="6" t="s">
        <v>97</v>
      </c>
      <c r="E626" s="6" t="s">
        <v>47</v>
      </c>
      <c r="F626" s="6" t="s">
        <v>98</v>
      </c>
      <c r="G626" s="6" t="s">
        <v>1739</v>
      </c>
    </row>
    <row r="627" spans="1:7" ht="18.95" customHeight="1">
      <c r="A627" s="6" t="s">
        <v>1740</v>
      </c>
      <c r="B627" s="6" t="s">
        <v>1741</v>
      </c>
      <c r="C627" s="6" t="s">
        <v>338</v>
      </c>
      <c r="D627" s="6" t="s">
        <v>103</v>
      </c>
      <c r="E627" s="6" t="s">
        <v>48</v>
      </c>
      <c r="F627" s="6" t="s">
        <v>98</v>
      </c>
      <c r="G627" s="6" t="s">
        <v>1742</v>
      </c>
    </row>
    <row r="628" spans="1:7" ht="18.95" customHeight="1">
      <c r="A628" s="6" t="s">
        <v>1743</v>
      </c>
      <c r="B628" s="6" t="s">
        <v>1741</v>
      </c>
      <c r="C628" s="6" t="s">
        <v>338</v>
      </c>
      <c r="D628" s="6" t="s">
        <v>93</v>
      </c>
      <c r="E628" s="6" t="s">
        <v>46</v>
      </c>
      <c r="F628" s="6" t="s">
        <v>94</v>
      </c>
      <c r="G628" s="6" t="s">
        <v>1744</v>
      </c>
    </row>
    <row r="629" spans="1:7" ht="18.95" customHeight="1">
      <c r="A629" s="6" t="s">
        <v>1745</v>
      </c>
      <c r="B629" s="6" t="s">
        <v>1746</v>
      </c>
      <c r="C629" s="6" t="s">
        <v>344</v>
      </c>
      <c r="D629" s="6" t="s">
        <v>97</v>
      </c>
      <c r="E629" s="6" t="s">
        <v>47</v>
      </c>
      <c r="F629" s="6" t="s">
        <v>98</v>
      </c>
      <c r="G629" s="6" t="s">
        <v>1747</v>
      </c>
    </row>
    <row r="630" spans="1:7" ht="18.95" customHeight="1">
      <c r="A630" s="6" t="s">
        <v>1748</v>
      </c>
      <c r="B630" s="6" t="s">
        <v>1746</v>
      </c>
      <c r="C630" s="6" t="s">
        <v>344</v>
      </c>
      <c r="D630" s="6" t="s">
        <v>103</v>
      </c>
      <c r="E630" s="6" t="s">
        <v>48</v>
      </c>
      <c r="F630" s="6" t="s">
        <v>98</v>
      </c>
      <c r="G630" s="6" t="s">
        <v>1749</v>
      </c>
    </row>
    <row r="631" spans="1:7" ht="18.95" customHeight="1">
      <c r="A631" s="6" t="s">
        <v>1750</v>
      </c>
      <c r="B631" s="6" t="s">
        <v>1751</v>
      </c>
      <c r="C631" s="6" t="s">
        <v>350</v>
      </c>
      <c r="D631" s="6" t="s">
        <v>93</v>
      </c>
      <c r="E631" s="6" t="s">
        <v>46</v>
      </c>
      <c r="F631" s="6" t="s">
        <v>98</v>
      </c>
      <c r="G631" s="6" t="s">
        <v>1752</v>
      </c>
    </row>
    <row r="632" spans="1:7" ht="18.95" customHeight="1">
      <c r="A632" s="6" t="s">
        <v>1753</v>
      </c>
      <c r="B632" s="6" t="s">
        <v>1751</v>
      </c>
      <c r="C632" s="6" t="s">
        <v>350</v>
      </c>
      <c r="D632" s="6" t="s">
        <v>97</v>
      </c>
      <c r="E632" s="6" t="s">
        <v>47</v>
      </c>
      <c r="F632" s="6" t="s">
        <v>98</v>
      </c>
      <c r="G632" s="6" t="s">
        <v>1754</v>
      </c>
    </row>
    <row r="633" spans="1:7" ht="18.95" customHeight="1">
      <c r="A633" s="6" t="s">
        <v>1755</v>
      </c>
      <c r="B633" s="6" t="s">
        <v>1756</v>
      </c>
      <c r="C633" s="6" t="s">
        <v>356</v>
      </c>
      <c r="D633" s="6" t="s">
        <v>103</v>
      </c>
      <c r="E633" s="6" t="s">
        <v>48</v>
      </c>
      <c r="F633" s="6" t="s">
        <v>98</v>
      </c>
      <c r="G633" s="6" t="s">
        <v>1757</v>
      </c>
    </row>
    <row r="634" spans="1:7" ht="18.95" customHeight="1">
      <c r="A634" s="6" t="s">
        <v>1758</v>
      </c>
      <c r="B634" s="6" t="s">
        <v>1756</v>
      </c>
      <c r="C634" s="6" t="s">
        <v>356</v>
      </c>
      <c r="D634" s="6" t="s">
        <v>93</v>
      </c>
      <c r="E634" s="6" t="s">
        <v>46</v>
      </c>
      <c r="F634" s="6" t="s">
        <v>98</v>
      </c>
      <c r="G634" s="6" t="s">
        <v>1759</v>
      </c>
    </row>
    <row r="635" spans="1:7" ht="18.95" customHeight="1">
      <c r="A635" s="6" t="s">
        <v>1760</v>
      </c>
      <c r="B635" s="6" t="s">
        <v>1761</v>
      </c>
      <c r="C635" s="6" t="s">
        <v>362</v>
      </c>
      <c r="D635" s="6" t="s">
        <v>97</v>
      </c>
      <c r="E635" s="6" t="s">
        <v>47</v>
      </c>
      <c r="F635" s="6" t="s">
        <v>98</v>
      </c>
      <c r="G635" s="6" t="s">
        <v>1762</v>
      </c>
    </row>
    <row r="636" spans="1:7" ht="18.95" customHeight="1">
      <c r="A636" s="6" t="s">
        <v>1763</v>
      </c>
      <c r="B636" s="6" t="s">
        <v>1761</v>
      </c>
      <c r="C636" s="6" t="s">
        <v>362</v>
      </c>
      <c r="D636" s="6" t="s">
        <v>103</v>
      </c>
      <c r="E636" s="6" t="s">
        <v>48</v>
      </c>
      <c r="F636" s="6" t="s">
        <v>98</v>
      </c>
      <c r="G636" s="6" t="s">
        <v>1764</v>
      </c>
    </row>
    <row r="637" spans="1:7" ht="18.95" customHeight="1">
      <c r="A637" s="6" t="s">
        <v>1765</v>
      </c>
      <c r="B637" s="6" t="s">
        <v>1766</v>
      </c>
      <c r="C637" s="6" t="s">
        <v>368</v>
      </c>
      <c r="D637" s="6" t="s">
        <v>93</v>
      </c>
      <c r="E637" s="6" t="s">
        <v>46</v>
      </c>
      <c r="F637" s="6" t="s">
        <v>98</v>
      </c>
      <c r="G637" s="6" t="s">
        <v>1767</v>
      </c>
    </row>
    <row r="638" spans="1:7" ht="18.95" customHeight="1">
      <c r="A638" s="6" t="s">
        <v>1768</v>
      </c>
      <c r="B638" s="6" t="s">
        <v>1766</v>
      </c>
      <c r="C638" s="6" t="s">
        <v>368</v>
      </c>
      <c r="D638" s="6" t="s">
        <v>97</v>
      </c>
      <c r="E638" s="6" t="s">
        <v>47</v>
      </c>
      <c r="F638" s="6" t="s">
        <v>98</v>
      </c>
      <c r="G638" s="6" t="s">
        <v>1769</v>
      </c>
    </row>
    <row r="639" spans="1:7" ht="18.95" customHeight="1">
      <c r="A639" s="6" t="s">
        <v>1770</v>
      </c>
      <c r="B639" s="6" t="s">
        <v>1771</v>
      </c>
      <c r="C639" s="6" t="s">
        <v>374</v>
      </c>
      <c r="D639" s="6" t="s">
        <v>103</v>
      </c>
      <c r="E639" s="6" t="s">
        <v>48</v>
      </c>
      <c r="F639" s="6" t="s">
        <v>98</v>
      </c>
      <c r="G639" s="6" t="s">
        <v>1772</v>
      </c>
    </row>
    <row r="640" spans="1:7" ht="18.95" customHeight="1">
      <c r="A640" s="6" t="s">
        <v>1773</v>
      </c>
      <c r="B640" s="6" t="s">
        <v>1771</v>
      </c>
      <c r="C640" s="6" t="s">
        <v>374</v>
      </c>
      <c r="D640" s="6" t="s">
        <v>93</v>
      </c>
      <c r="E640" s="6" t="s">
        <v>46</v>
      </c>
      <c r="F640" s="6" t="s">
        <v>98</v>
      </c>
      <c r="G640" s="6" t="s">
        <v>1774</v>
      </c>
    </row>
    <row r="641" spans="1:7" ht="18.95" customHeight="1">
      <c r="A641" s="6" t="s">
        <v>1775</v>
      </c>
      <c r="B641" s="6" t="s">
        <v>1776</v>
      </c>
      <c r="C641" s="6" t="s">
        <v>380</v>
      </c>
      <c r="D641" s="6" t="s">
        <v>97</v>
      </c>
      <c r="E641" s="6" t="s">
        <v>47</v>
      </c>
      <c r="F641" s="6" t="s">
        <v>98</v>
      </c>
      <c r="G641" s="6" t="s">
        <v>1777</v>
      </c>
    </row>
    <row r="642" spans="1:7" ht="18.95" customHeight="1">
      <c r="A642" s="6" t="s">
        <v>1778</v>
      </c>
      <c r="B642" s="6" t="s">
        <v>1776</v>
      </c>
      <c r="C642" s="6" t="s">
        <v>380</v>
      </c>
      <c r="D642" s="6" t="s">
        <v>103</v>
      </c>
      <c r="E642" s="6" t="s">
        <v>48</v>
      </c>
      <c r="F642" s="6" t="s">
        <v>98</v>
      </c>
      <c r="G642" s="6" t="s">
        <v>1779</v>
      </c>
    </row>
    <row r="643" spans="1:7" ht="18.95" customHeight="1">
      <c r="A643" s="6" t="s">
        <v>1780</v>
      </c>
      <c r="B643" s="6" t="s">
        <v>1781</v>
      </c>
      <c r="C643" s="6" t="s">
        <v>386</v>
      </c>
      <c r="D643" s="6" t="s">
        <v>93</v>
      </c>
      <c r="E643" s="6" t="s">
        <v>46</v>
      </c>
      <c r="F643" s="6" t="s">
        <v>98</v>
      </c>
      <c r="G643" s="6" t="s">
        <v>1782</v>
      </c>
    </row>
    <row r="644" spans="1:7" ht="18.95" customHeight="1">
      <c r="A644" s="6" t="s">
        <v>1783</v>
      </c>
      <c r="B644" s="6" t="s">
        <v>1781</v>
      </c>
      <c r="C644" s="6" t="s">
        <v>386</v>
      </c>
      <c r="D644" s="6" t="s">
        <v>97</v>
      </c>
      <c r="E644" s="6" t="s">
        <v>47</v>
      </c>
      <c r="F644" s="6" t="s">
        <v>98</v>
      </c>
      <c r="G644" s="6" t="s">
        <v>1784</v>
      </c>
    </row>
    <row r="645" spans="1:7" ht="18.95" customHeight="1">
      <c r="A645" s="6" t="s">
        <v>1785</v>
      </c>
      <c r="B645" s="6" t="s">
        <v>1786</v>
      </c>
      <c r="C645" s="6" t="s">
        <v>392</v>
      </c>
      <c r="D645" s="6" t="s">
        <v>103</v>
      </c>
      <c r="E645" s="6" t="s">
        <v>48</v>
      </c>
      <c r="F645" s="6" t="s">
        <v>98</v>
      </c>
      <c r="G645" s="6" t="s">
        <v>1787</v>
      </c>
    </row>
    <row r="646" spans="1:7" ht="18.95" customHeight="1">
      <c r="A646" s="6" t="s">
        <v>1788</v>
      </c>
      <c r="B646" s="6" t="s">
        <v>1786</v>
      </c>
      <c r="C646" s="6" t="s">
        <v>392</v>
      </c>
      <c r="D646" s="6" t="s">
        <v>93</v>
      </c>
      <c r="E646" s="6" t="s">
        <v>46</v>
      </c>
      <c r="F646" s="6" t="s">
        <v>98</v>
      </c>
      <c r="G646" s="6" t="s">
        <v>1789</v>
      </c>
    </row>
    <row r="647" spans="1:7" ht="18.95" customHeight="1">
      <c r="A647" s="6" t="s">
        <v>1790</v>
      </c>
      <c r="B647" s="6" t="s">
        <v>1791</v>
      </c>
      <c r="C647" s="6" t="s">
        <v>398</v>
      </c>
      <c r="D647" s="6" t="s">
        <v>97</v>
      </c>
      <c r="E647" s="6" t="s">
        <v>47</v>
      </c>
      <c r="F647" s="6" t="s">
        <v>98</v>
      </c>
      <c r="G647" s="6" t="s">
        <v>1792</v>
      </c>
    </row>
    <row r="648" spans="1:7" ht="18.95" customHeight="1">
      <c r="A648" s="6" t="s">
        <v>1793</v>
      </c>
      <c r="B648" s="6" t="s">
        <v>1791</v>
      </c>
      <c r="C648" s="6" t="s">
        <v>398</v>
      </c>
      <c r="D648" s="6" t="s">
        <v>103</v>
      </c>
      <c r="E648" s="6" t="s">
        <v>48</v>
      </c>
      <c r="F648" s="6" t="s">
        <v>98</v>
      </c>
      <c r="G648" s="6" t="s">
        <v>1794</v>
      </c>
    </row>
    <row r="649" spans="1:7" ht="18.95" customHeight="1">
      <c r="A649" s="6" t="s">
        <v>1795</v>
      </c>
      <c r="B649" s="6" t="s">
        <v>1796</v>
      </c>
      <c r="C649" s="6" t="s">
        <v>404</v>
      </c>
      <c r="D649" s="6" t="s">
        <v>93</v>
      </c>
      <c r="E649" s="6" t="s">
        <v>46</v>
      </c>
      <c r="F649" s="6" t="s">
        <v>98</v>
      </c>
      <c r="G649" s="6" t="s">
        <v>1797</v>
      </c>
    </row>
    <row r="650" spans="1:7" ht="18.95" customHeight="1">
      <c r="A650" s="6" t="s">
        <v>1798</v>
      </c>
      <c r="B650" s="6" t="s">
        <v>1796</v>
      </c>
      <c r="C650" s="6" t="s">
        <v>404</v>
      </c>
      <c r="D650" s="6" t="s">
        <v>97</v>
      </c>
      <c r="E650" s="6" t="s">
        <v>47</v>
      </c>
      <c r="F650" s="6" t="s">
        <v>98</v>
      </c>
      <c r="G650" s="6" t="s">
        <v>1799</v>
      </c>
    </row>
    <row r="651" spans="1:7" ht="18.95" customHeight="1">
      <c r="A651" s="6" t="s">
        <v>1800</v>
      </c>
      <c r="B651" s="6" t="s">
        <v>1801</v>
      </c>
      <c r="C651" s="6" t="s">
        <v>410</v>
      </c>
      <c r="D651" s="6" t="s">
        <v>103</v>
      </c>
      <c r="E651" s="6" t="s">
        <v>48</v>
      </c>
      <c r="F651" s="6" t="s">
        <v>94</v>
      </c>
      <c r="G651" s="6" t="s">
        <v>1802</v>
      </c>
    </row>
    <row r="652" spans="1:7" ht="18.95" customHeight="1">
      <c r="A652" s="6" t="s">
        <v>1803</v>
      </c>
      <c r="B652" s="6" t="s">
        <v>1801</v>
      </c>
      <c r="C652" s="6" t="s">
        <v>410</v>
      </c>
      <c r="D652" s="6" t="s">
        <v>93</v>
      </c>
      <c r="E652" s="6" t="s">
        <v>46</v>
      </c>
      <c r="F652" s="6" t="s">
        <v>98</v>
      </c>
      <c r="G652" s="6" t="s">
        <v>1804</v>
      </c>
    </row>
    <row r="653" spans="1:7" ht="18.95" customHeight="1">
      <c r="A653" s="6" t="s">
        <v>1805</v>
      </c>
      <c r="B653" s="6" t="s">
        <v>1806</v>
      </c>
      <c r="C653" s="6" t="s">
        <v>416</v>
      </c>
      <c r="D653" s="6" t="s">
        <v>97</v>
      </c>
      <c r="E653" s="6" t="s">
        <v>47</v>
      </c>
      <c r="F653" s="6" t="s">
        <v>98</v>
      </c>
      <c r="G653" s="6" t="s">
        <v>1807</v>
      </c>
    </row>
    <row r="654" spans="1:7" ht="18.95" customHeight="1">
      <c r="A654" s="6" t="s">
        <v>1808</v>
      </c>
      <c r="B654" s="6" t="s">
        <v>1806</v>
      </c>
      <c r="C654" s="6" t="s">
        <v>416</v>
      </c>
      <c r="D654" s="6" t="s">
        <v>103</v>
      </c>
      <c r="E654" s="6" t="s">
        <v>48</v>
      </c>
      <c r="F654" s="6" t="s">
        <v>98</v>
      </c>
      <c r="G654" s="6" t="s">
        <v>1809</v>
      </c>
    </row>
    <row r="655" spans="1:7" ht="18.95" customHeight="1">
      <c r="A655" s="6" t="s">
        <v>1810</v>
      </c>
      <c r="B655" s="6" t="s">
        <v>1811</v>
      </c>
      <c r="C655" s="6" t="s">
        <v>422</v>
      </c>
      <c r="D655" s="6" t="s">
        <v>93</v>
      </c>
      <c r="E655" s="6" t="s">
        <v>46</v>
      </c>
      <c r="F655" s="6" t="s">
        <v>98</v>
      </c>
      <c r="G655" s="6" t="s">
        <v>1812</v>
      </c>
    </row>
    <row r="656" spans="1:7" ht="18.95" customHeight="1">
      <c r="A656" s="6" t="s">
        <v>1813</v>
      </c>
      <c r="B656" s="6" t="s">
        <v>1811</v>
      </c>
      <c r="C656" s="6" t="s">
        <v>422</v>
      </c>
      <c r="D656" s="6" t="s">
        <v>97</v>
      </c>
      <c r="E656" s="6" t="s">
        <v>47</v>
      </c>
      <c r="F656" s="6" t="s">
        <v>98</v>
      </c>
      <c r="G656" s="6" t="s">
        <v>1814</v>
      </c>
    </row>
    <row r="657" spans="1:7" ht="18.95" customHeight="1">
      <c r="A657" s="6" t="s">
        <v>1815</v>
      </c>
      <c r="B657" s="6" t="s">
        <v>1816</v>
      </c>
      <c r="C657" s="6" t="s">
        <v>428</v>
      </c>
      <c r="D657" s="6" t="s">
        <v>103</v>
      </c>
      <c r="E657" s="6" t="s">
        <v>48</v>
      </c>
      <c r="F657" s="6" t="s">
        <v>98</v>
      </c>
      <c r="G657" s="6" t="s">
        <v>1817</v>
      </c>
    </row>
    <row r="658" spans="1:7" ht="18.95" customHeight="1">
      <c r="A658" s="6" t="s">
        <v>1818</v>
      </c>
      <c r="B658" s="6" t="s">
        <v>1816</v>
      </c>
      <c r="C658" s="6" t="s">
        <v>428</v>
      </c>
      <c r="D658" s="6" t="s">
        <v>93</v>
      </c>
      <c r="E658" s="6" t="s">
        <v>46</v>
      </c>
      <c r="F658" s="6" t="s">
        <v>98</v>
      </c>
      <c r="G658" s="6" t="s">
        <v>1819</v>
      </c>
    </row>
    <row r="659" spans="1:7" ht="18.95" customHeight="1">
      <c r="A659" s="6" t="s">
        <v>1820</v>
      </c>
      <c r="B659" s="6" t="s">
        <v>1821</v>
      </c>
      <c r="C659" s="6" t="s">
        <v>434</v>
      </c>
      <c r="D659" s="6" t="s">
        <v>97</v>
      </c>
      <c r="E659" s="6" t="s">
        <v>47</v>
      </c>
      <c r="F659" s="6" t="s">
        <v>98</v>
      </c>
      <c r="G659" s="6" t="s">
        <v>1822</v>
      </c>
    </row>
    <row r="660" spans="1:7" ht="18.95" customHeight="1">
      <c r="A660" s="6" t="s">
        <v>1823</v>
      </c>
      <c r="B660" s="6" t="s">
        <v>1821</v>
      </c>
      <c r="C660" s="6" t="s">
        <v>434</v>
      </c>
      <c r="D660" s="6" t="s">
        <v>103</v>
      </c>
      <c r="E660" s="6" t="s">
        <v>48</v>
      </c>
      <c r="F660" s="6" t="s">
        <v>98</v>
      </c>
      <c r="G660" s="6" t="s">
        <v>1824</v>
      </c>
    </row>
    <row r="661" spans="1:7" ht="18.95" customHeight="1">
      <c r="A661" s="6" t="s">
        <v>1825</v>
      </c>
      <c r="B661" s="6" t="s">
        <v>1826</v>
      </c>
      <c r="C661" s="6" t="s">
        <v>440</v>
      </c>
      <c r="D661" s="6" t="s">
        <v>93</v>
      </c>
      <c r="E661" s="6" t="s">
        <v>46</v>
      </c>
      <c r="F661" s="6" t="s">
        <v>98</v>
      </c>
      <c r="G661" s="6" t="s">
        <v>1827</v>
      </c>
    </row>
    <row r="662" spans="1:7" ht="18.95" customHeight="1">
      <c r="A662" s="6" t="s">
        <v>1828</v>
      </c>
      <c r="B662" s="6" t="s">
        <v>1826</v>
      </c>
      <c r="C662" s="6" t="s">
        <v>440</v>
      </c>
      <c r="D662" s="6" t="s">
        <v>97</v>
      </c>
      <c r="E662" s="6" t="s">
        <v>47</v>
      </c>
      <c r="F662" s="6" t="s">
        <v>98</v>
      </c>
      <c r="G662" s="6" t="s">
        <v>1829</v>
      </c>
    </row>
    <row r="663" spans="1:7" ht="18.95" customHeight="1">
      <c r="A663" s="6" t="s">
        <v>1830</v>
      </c>
      <c r="B663" s="6" t="s">
        <v>1831</v>
      </c>
      <c r="C663" s="6" t="s">
        <v>446</v>
      </c>
      <c r="D663" s="6" t="s">
        <v>103</v>
      </c>
      <c r="E663" s="6" t="s">
        <v>48</v>
      </c>
      <c r="F663" s="6" t="s">
        <v>98</v>
      </c>
      <c r="G663" s="6" t="s">
        <v>1832</v>
      </c>
    </row>
    <row r="664" spans="1:7" ht="18.95" customHeight="1">
      <c r="A664" s="6" t="s">
        <v>1833</v>
      </c>
      <c r="B664" s="6" t="s">
        <v>1831</v>
      </c>
      <c r="C664" s="6" t="s">
        <v>446</v>
      </c>
      <c r="D664" s="6" t="s">
        <v>93</v>
      </c>
      <c r="E664" s="6" t="s">
        <v>46</v>
      </c>
      <c r="F664" s="6" t="s">
        <v>98</v>
      </c>
      <c r="G664" s="6" t="s">
        <v>1834</v>
      </c>
    </row>
    <row r="665" spans="1:7" ht="18.95" customHeight="1">
      <c r="A665" s="6" t="s">
        <v>1835</v>
      </c>
      <c r="B665" s="6" t="s">
        <v>1836</v>
      </c>
      <c r="C665" s="6" t="s">
        <v>452</v>
      </c>
      <c r="D665" s="6" t="s">
        <v>97</v>
      </c>
      <c r="E665" s="6" t="s">
        <v>47</v>
      </c>
      <c r="F665" s="6" t="s">
        <v>98</v>
      </c>
      <c r="G665" s="6" t="s">
        <v>1837</v>
      </c>
    </row>
    <row r="666" spans="1:7" ht="18.95" customHeight="1">
      <c r="A666" s="6" t="s">
        <v>1838</v>
      </c>
      <c r="B666" s="6" t="s">
        <v>1836</v>
      </c>
      <c r="C666" s="6" t="s">
        <v>452</v>
      </c>
      <c r="D666" s="6" t="s">
        <v>103</v>
      </c>
      <c r="E666" s="6" t="s">
        <v>48</v>
      </c>
      <c r="F666" s="6" t="s">
        <v>98</v>
      </c>
      <c r="G666" s="6" t="s">
        <v>1839</v>
      </c>
    </row>
    <row r="667" spans="1:7" ht="18.95" customHeight="1">
      <c r="A667" s="6" t="s">
        <v>1840</v>
      </c>
      <c r="B667" s="6" t="s">
        <v>1841</v>
      </c>
      <c r="C667" s="6" t="s">
        <v>458</v>
      </c>
      <c r="D667" s="6" t="s">
        <v>93</v>
      </c>
      <c r="E667" s="6" t="s">
        <v>46</v>
      </c>
      <c r="F667" s="6" t="s">
        <v>98</v>
      </c>
      <c r="G667" s="6" t="s">
        <v>1842</v>
      </c>
    </row>
    <row r="668" spans="1:7" ht="18.95" customHeight="1">
      <c r="A668" s="6" t="s">
        <v>1843</v>
      </c>
      <c r="B668" s="6" t="s">
        <v>1841</v>
      </c>
      <c r="C668" s="6" t="s">
        <v>458</v>
      </c>
      <c r="D668" s="6" t="s">
        <v>97</v>
      </c>
      <c r="E668" s="6" t="s">
        <v>47</v>
      </c>
      <c r="F668" s="6" t="s">
        <v>98</v>
      </c>
      <c r="G668" s="6" t="s">
        <v>1844</v>
      </c>
    </row>
    <row r="669" spans="1:7" ht="18.95" customHeight="1">
      <c r="A669" s="6" t="s">
        <v>1845</v>
      </c>
      <c r="B669" s="6" t="s">
        <v>1846</v>
      </c>
      <c r="C669" s="6" t="s">
        <v>464</v>
      </c>
      <c r="D669" s="6" t="s">
        <v>103</v>
      </c>
      <c r="E669" s="6" t="s">
        <v>48</v>
      </c>
      <c r="F669" s="6" t="s">
        <v>98</v>
      </c>
      <c r="G669" s="6" t="s">
        <v>1847</v>
      </c>
    </row>
    <row r="670" spans="1:7" ht="18.95" customHeight="1">
      <c r="A670" s="6" t="s">
        <v>1848</v>
      </c>
      <c r="B670" s="6" t="s">
        <v>1846</v>
      </c>
      <c r="C670" s="6" t="s">
        <v>464</v>
      </c>
      <c r="D670" s="6" t="s">
        <v>93</v>
      </c>
      <c r="E670" s="6" t="s">
        <v>46</v>
      </c>
      <c r="F670" s="6" t="s">
        <v>98</v>
      </c>
      <c r="G670" s="6" t="s">
        <v>1849</v>
      </c>
    </row>
    <row r="671" spans="1:7" ht="18.95" customHeight="1">
      <c r="A671" s="6" t="s">
        <v>1850</v>
      </c>
      <c r="B671" s="6" t="s">
        <v>1851</v>
      </c>
      <c r="C671" s="6" t="s">
        <v>470</v>
      </c>
      <c r="D671" s="6" t="s">
        <v>97</v>
      </c>
      <c r="E671" s="6" t="s">
        <v>47</v>
      </c>
      <c r="F671" s="6" t="s">
        <v>98</v>
      </c>
      <c r="G671" s="6" t="s">
        <v>1852</v>
      </c>
    </row>
    <row r="672" spans="1:7" ht="18.95" customHeight="1">
      <c r="A672" s="6" t="s">
        <v>1853</v>
      </c>
      <c r="B672" s="6" t="s">
        <v>1851</v>
      </c>
      <c r="C672" s="6" t="s">
        <v>470</v>
      </c>
      <c r="D672" s="6" t="s">
        <v>103</v>
      </c>
      <c r="E672" s="6" t="s">
        <v>48</v>
      </c>
      <c r="F672" s="6" t="s">
        <v>98</v>
      </c>
      <c r="G672" s="6" t="s">
        <v>1854</v>
      </c>
    </row>
    <row r="673" spans="1:7" ht="18.95" customHeight="1">
      <c r="A673" s="6" t="s">
        <v>1855</v>
      </c>
      <c r="B673" s="6" t="s">
        <v>1856</v>
      </c>
      <c r="C673" s="6" t="s">
        <v>476</v>
      </c>
      <c r="D673" s="6" t="s">
        <v>93</v>
      </c>
      <c r="E673" s="6" t="s">
        <v>46</v>
      </c>
      <c r="F673" s="6" t="s">
        <v>98</v>
      </c>
      <c r="G673" s="6" t="s">
        <v>1857</v>
      </c>
    </row>
    <row r="674" spans="1:7" ht="18.95" customHeight="1">
      <c r="A674" s="6" t="s">
        <v>1858</v>
      </c>
      <c r="B674" s="6" t="s">
        <v>1856</v>
      </c>
      <c r="C674" s="6" t="s">
        <v>476</v>
      </c>
      <c r="D674" s="6" t="s">
        <v>97</v>
      </c>
      <c r="E674" s="6" t="s">
        <v>47</v>
      </c>
      <c r="F674" s="6" t="s">
        <v>94</v>
      </c>
      <c r="G674" s="6" t="s">
        <v>1859</v>
      </c>
    </row>
    <row r="675" spans="1:7" ht="18.95" customHeight="1">
      <c r="A675" s="6" t="s">
        <v>1860</v>
      </c>
      <c r="B675" s="6" t="s">
        <v>1861</v>
      </c>
      <c r="C675" s="6" t="s">
        <v>482</v>
      </c>
      <c r="D675" s="6" t="s">
        <v>103</v>
      </c>
      <c r="E675" s="6" t="s">
        <v>48</v>
      </c>
      <c r="F675" s="6" t="s">
        <v>98</v>
      </c>
      <c r="G675" s="6" t="s">
        <v>1862</v>
      </c>
    </row>
    <row r="676" spans="1:7" ht="18.95" customHeight="1">
      <c r="A676" s="6" t="s">
        <v>1863</v>
      </c>
      <c r="B676" s="6" t="s">
        <v>1861</v>
      </c>
      <c r="C676" s="6" t="s">
        <v>482</v>
      </c>
      <c r="D676" s="6" t="s">
        <v>93</v>
      </c>
      <c r="E676" s="6" t="s">
        <v>46</v>
      </c>
      <c r="F676" s="6" t="s">
        <v>98</v>
      </c>
      <c r="G676" s="6" t="s">
        <v>1864</v>
      </c>
    </row>
    <row r="677" spans="1:7" ht="18.95" customHeight="1">
      <c r="A677" s="6" t="s">
        <v>1865</v>
      </c>
      <c r="B677" s="6" t="s">
        <v>1866</v>
      </c>
      <c r="C677" s="6" t="s">
        <v>488</v>
      </c>
      <c r="D677" s="6" t="s">
        <v>97</v>
      </c>
      <c r="E677" s="6" t="s">
        <v>47</v>
      </c>
      <c r="F677" s="6" t="s">
        <v>98</v>
      </c>
      <c r="G677" s="6" t="s">
        <v>1867</v>
      </c>
    </row>
    <row r="678" spans="1:7" ht="18.95" customHeight="1">
      <c r="A678" s="6" t="s">
        <v>1868</v>
      </c>
      <c r="B678" s="6" t="s">
        <v>1866</v>
      </c>
      <c r="C678" s="6" t="s">
        <v>488</v>
      </c>
      <c r="D678" s="6" t="s">
        <v>103</v>
      </c>
      <c r="E678" s="6" t="s">
        <v>48</v>
      </c>
      <c r="F678" s="6" t="s">
        <v>98</v>
      </c>
      <c r="G678" s="6" t="s">
        <v>1869</v>
      </c>
    </row>
    <row r="679" spans="1:7" ht="18.95" customHeight="1">
      <c r="A679" s="6" t="s">
        <v>1870</v>
      </c>
      <c r="B679" s="6" t="s">
        <v>1871</v>
      </c>
      <c r="C679" s="6" t="s">
        <v>494</v>
      </c>
      <c r="D679" s="6" t="s">
        <v>93</v>
      </c>
      <c r="E679" s="6" t="s">
        <v>46</v>
      </c>
      <c r="F679" s="6" t="s">
        <v>98</v>
      </c>
      <c r="G679" s="6" t="s">
        <v>1872</v>
      </c>
    </row>
    <row r="680" spans="1:7" ht="18.95" customHeight="1">
      <c r="A680" s="6" t="s">
        <v>1873</v>
      </c>
      <c r="B680" s="6" t="s">
        <v>1871</v>
      </c>
      <c r="C680" s="6" t="s">
        <v>494</v>
      </c>
      <c r="D680" s="6" t="s">
        <v>97</v>
      </c>
      <c r="E680" s="6" t="s">
        <v>47</v>
      </c>
      <c r="F680" s="6" t="s">
        <v>98</v>
      </c>
      <c r="G680" s="6" t="s">
        <v>1874</v>
      </c>
    </row>
    <row r="681" spans="1:7" ht="18.95" customHeight="1">
      <c r="A681" s="6" t="s">
        <v>1875</v>
      </c>
      <c r="B681" s="6" t="s">
        <v>1876</v>
      </c>
      <c r="C681" s="6" t="s">
        <v>500</v>
      </c>
      <c r="D681" s="6" t="s">
        <v>103</v>
      </c>
      <c r="E681" s="6" t="s">
        <v>5191</v>
      </c>
      <c r="F681" s="6" t="s">
        <v>98</v>
      </c>
      <c r="G681" s="6" t="s">
        <v>1877</v>
      </c>
    </row>
    <row r="682" spans="1:7" ht="18.95" customHeight="1">
      <c r="A682" s="6" t="s">
        <v>1878</v>
      </c>
      <c r="B682" s="6" t="s">
        <v>1876</v>
      </c>
      <c r="C682" s="6" t="s">
        <v>500</v>
      </c>
      <c r="D682" s="6" t="s">
        <v>93</v>
      </c>
      <c r="E682" s="6" t="s">
        <v>46</v>
      </c>
      <c r="F682" s="6" t="s">
        <v>98</v>
      </c>
      <c r="G682" s="6" t="s">
        <v>1879</v>
      </c>
    </row>
    <row r="683" spans="1:7" ht="18.95" customHeight="1">
      <c r="A683" s="6" t="s">
        <v>1880</v>
      </c>
      <c r="B683" s="6" t="s">
        <v>1881</v>
      </c>
      <c r="C683" s="6" t="s">
        <v>506</v>
      </c>
      <c r="D683" s="6" t="s">
        <v>97</v>
      </c>
      <c r="E683" s="6" t="s">
        <v>47</v>
      </c>
      <c r="F683" s="6" t="s">
        <v>98</v>
      </c>
      <c r="G683" s="6" t="s">
        <v>1882</v>
      </c>
    </row>
    <row r="684" spans="1:7" ht="18.95" customHeight="1">
      <c r="A684" s="6" t="s">
        <v>1883</v>
      </c>
      <c r="B684" s="6" t="s">
        <v>1881</v>
      </c>
      <c r="C684" s="6" t="s">
        <v>506</v>
      </c>
      <c r="D684" s="6" t="s">
        <v>103</v>
      </c>
      <c r="E684" s="6" t="s">
        <v>48</v>
      </c>
      <c r="F684" s="6" t="s">
        <v>98</v>
      </c>
      <c r="G684" s="6" t="s">
        <v>1884</v>
      </c>
    </row>
    <row r="685" spans="1:7" ht="18.95" customHeight="1">
      <c r="A685" s="6" t="s">
        <v>1885</v>
      </c>
      <c r="B685" s="6" t="s">
        <v>1886</v>
      </c>
      <c r="C685" s="6" t="s">
        <v>512</v>
      </c>
      <c r="D685" s="6" t="s">
        <v>93</v>
      </c>
      <c r="E685" s="6" t="s">
        <v>46</v>
      </c>
      <c r="F685" s="6" t="s">
        <v>98</v>
      </c>
      <c r="G685" s="6" t="s">
        <v>1887</v>
      </c>
    </row>
    <row r="686" spans="1:7" ht="18.95" customHeight="1">
      <c r="A686" s="6" t="s">
        <v>1888</v>
      </c>
      <c r="B686" s="6" t="s">
        <v>1886</v>
      </c>
      <c r="C686" s="6" t="s">
        <v>512</v>
      </c>
      <c r="D686" s="6" t="s">
        <v>97</v>
      </c>
      <c r="E686" s="6" t="s">
        <v>47</v>
      </c>
      <c r="F686" s="6" t="s">
        <v>98</v>
      </c>
      <c r="G686" s="6" t="s">
        <v>1889</v>
      </c>
    </row>
    <row r="687" spans="1:7" ht="18.95" customHeight="1">
      <c r="A687" s="6" t="s">
        <v>1890</v>
      </c>
      <c r="B687" s="6" t="s">
        <v>1891</v>
      </c>
      <c r="C687" s="6" t="s">
        <v>518</v>
      </c>
      <c r="D687" s="6" t="s">
        <v>103</v>
      </c>
      <c r="E687" s="6" t="s">
        <v>48</v>
      </c>
      <c r="F687" s="6" t="s">
        <v>98</v>
      </c>
      <c r="G687" s="6" t="s">
        <v>1892</v>
      </c>
    </row>
    <row r="688" spans="1:7" ht="18.95" customHeight="1">
      <c r="A688" s="6" t="s">
        <v>1893</v>
      </c>
      <c r="B688" s="6" t="s">
        <v>1891</v>
      </c>
      <c r="C688" s="6" t="s">
        <v>518</v>
      </c>
      <c r="D688" s="6" t="s">
        <v>93</v>
      </c>
      <c r="E688" s="6" t="s">
        <v>46</v>
      </c>
      <c r="F688" s="6" t="s">
        <v>98</v>
      </c>
      <c r="G688" s="6" t="s">
        <v>1894</v>
      </c>
    </row>
    <row r="689" spans="1:7" ht="18.95" customHeight="1">
      <c r="A689" s="6" t="s">
        <v>1895</v>
      </c>
      <c r="B689" s="6" t="s">
        <v>1896</v>
      </c>
      <c r="C689" s="6" t="s">
        <v>524</v>
      </c>
      <c r="D689" s="6" t="s">
        <v>97</v>
      </c>
      <c r="E689" s="6" t="s">
        <v>47</v>
      </c>
      <c r="F689" s="6" t="s">
        <v>98</v>
      </c>
      <c r="G689" s="6" t="s">
        <v>1897</v>
      </c>
    </row>
    <row r="690" spans="1:7" ht="18.95" customHeight="1">
      <c r="A690" s="6" t="s">
        <v>1898</v>
      </c>
      <c r="B690" s="6" t="s">
        <v>1896</v>
      </c>
      <c r="C690" s="6" t="s">
        <v>524</v>
      </c>
      <c r="D690" s="6" t="s">
        <v>103</v>
      </c>
      <c r="E690" s="6" t="s">
        <v>48</v>
      </c>
      <c r="F690" s="6" t="s">
        <v>98</v>
      </c>
      <c r="G690" s="6" t="s">
        <v>1899</v>
      </c>
    </row>
    <row r="691" spans="1:7" ht="18.95" customHeight="1">
      <c r="A691" s="6" t="s">
        <v>1900</v>
      </c>
      <c r="B691" s="6" t="s">
        <v>1901</v>
      </c>
      <c r="C691" s="6" t="s">
        <v>530</v>
      </c>
      <c r="D691" s="6" t="s">
        <v>93</v>
      </c>
      <c r="E691" s="6" t="s">
        <v>46</v>
      </c>
      <c r="F691" s="6" t="s">
        <v>98</v>
      </c>
      <c r="G691" s="6" t="s">
        <v>1902</v>
      </c>
    </row>
    <row r="692" spans="1:7" ht="18.95" customHeight="1">
      <c r="A692" s="6" t="s">
        <v>1903</v>
      </c>
      <c r="B692" s="6" t="s">
        <v>1901</v>
      </c>
      <c r="C692" s="6" t="s">
        <v>530</v>
      </c>
      <c r="D692" s="6" t="s">
        <v>97</v>
      </c>
      <c r="E692" s="6" t="s">
        <v>47</v>
      </c>
      <c r="F692" s="6" t="s">
        <v>98</v>
      </c>
      <c r="G692" s="6" t="s">
        <v>1904</v>
      </c>
    </row>
    <row r="693" spans="1:7" ht="18.95" customHeight="1">
      <c r="A693" s="6" t="s">
        <v>1905</v>
      </c>
      <c r="B693" s="6" t="s">
        <v>1906</v>
      </c>
      <c r="C693" s="6" t="s">
        <v>536</v>
      </c>
      <c r="D693" s="6" t="s">
        <v>103</v>
      </c>
      <c r="E693" s="6" t="s">
        <v>48</v>
      </c>
      <c r="F693" s="6" t="s">
        <v>98</v>
      </c>
      <c r="G693" s="6" t="s">
        <v>1907</v>
      </c>
    </row>
    <row r="694" spans="1:7" ht="18.95" customHeight="1">
      <c r="A694" s="6" t="s">
        <v>1908</v>
      </c>
      <c r="B694" s="6" t="s">
        <v>1906</v>
      </c>
      <c r="C694" s="6" t="s">
        <v>536</v>
      </c>
      <c r="D694" s="6" t="s">
        <v>93</v>
      </c>
      <c r="E694" s="6" t="s">
        <v>46</v>
      </c>
      <c r="F694" s="6" t="s">
        <v>98</v>
      </c>
      <c r="G694" s="6" t="s">
        <v>1909</v>
      </c>
    </row>
    <row r="695" spans="1:7" ht="18.95" customHeight="1">
      <c r="A695" s="6" t="s">
        <v>1910</v>
      </c>
      <c r="B695" s="6" t="s">
        <v>1911</v>
      </c>
      <c r="C695" s="6" t="s">
        <v>542</v>
      </c>
      <c r="D695" s="6" t="s">
        <v>97</v>
      </c>
      <c r="E695" s="6" t="s">
        <v>47</v>
      </c>
      <c r="F695" s="6" t="s">
        <v>98</v>
      </c>
      <c r="G695" s="6" t="s">
        <v>1912</v>
      </c>
    </row>
    <row r="696" spans="1:7" ht="18.95" customHeight="1">
      <c r="A696" s="6" t="s">
        <v>1913</v>
      </c>
      <c r="B696" s="6" t="s">
        <v>1911</v>
      </c>
      <c r="C696" s="6" t="s">
        <v>542</v>
      </c>
      <c r="D696" s="6" t="s">
        <v>103</v>
      </c>
      <c r="E696" s="6" t="s">
        <v>48</v>
      </c>
      <c r="F696" s="6" t="s">
        <v>98</v>
      </c>
      <c r="G696" s="6" t="s">
        <v>1914</v>
      </c>
    </row>
    <row r="697" spans="1:7" ht="18.95" customHeight="1">
      <c r="A697" s="6" t="s">
        <v>1915</v>
      </c>
      <c r="B697" s="6" t="s">
        <v>1916</v>
      </c>
      <c r="C697" s="6" t="s">
        <v>548</v>
      </c>
      <c r="D697" s="6" t="s">
        <v>93</v>
      </c>
      <c r="E697" s="6" t="s">
        <v>46</v>
      </c>
      <c r="F697" s="6" t="s">
        <v>94</v>
      </c>
      <c r="G697" s="6" t="s">
        <v>1917</v>
      </c>
    </row>
    <row r="698" spans="1:7" ht="18.95" customHeight="1">
      <c r="A698" s="6" t="s">
        <v>1918</v>
      </c>
      <c r="B698" s="6" t="s">
        <v>1916</v>
      </c>
      <c r="C698" s="6" t="s">
        <v>548</v>
      </c>
      <c r="D698" s="6" t="s">
        <v>97</v>
      </c>
      <c r="E698" s="6" t="s">
        <v>47</v>
      </c>
      <c r="F698" s="6" t="s">
        <v>98</v>
      </c>
      <c r="G698" s="6" t="s">
        <v>1919</v>
      </c>
    </row>
    <row r="699" spans="1:7" ht="18.95" customHeight="1">
      <c r="A699" s="6" t="s">
        <v>1920</v>
      </c>
      <c r="B699" s="6" t="s">
        <v>1921</v>
      </c>
      <c r="C699" s="6" t="s">
        <v>554</v>
      </c>
      <c r="D699" s="6" t="s">
        <v>103</v>
      </c>
      <c r="E699" s="6" t="s">
        <v>48</v>
      </c>
      <c r="F699" s="6" t="s">
        <v>98</v>
      </c>
      <c r="G699" s="6" t="s">
        <v>1922</v>
      </c>
    </row>
    <row r="700" spans="1:7" ht="18.95" customHeight="1">
      <c r="A700" s="6" t="s">
        <v>1923</v>
      </c>
      <c r="B700" s="6" t="s">
        <v>1921</v>
      </c>
      <c r="C700" s="6" t="s">
        <v>554</v>
      </c>
      <c r="D700" s="6" t="s">
        <v>93</v>
      </c>
      <c r="E700" s="6" t="s">
        <v>46</v>
      </c>
      <c r="F700" s="6" t="s">
        <v>98</v>
      </c>
      <c r="G700" s="6" t="s">
        <v>1924</v>
      </c>
    </row>
    <row r="701" spans="1:7" ht="18.95" customHeight="1">
      <c r="A701" s="6" t="s">
        <v>1925</v>
      </c>
      <c r="B701" s="6" t="s">
        <v>1926</v>
      </c>
      <c r="C701" s="6" t="s">
        <v>560</v>
      </c>
      <c r="D701" s="6" t="s">
        <v>97</v>
      </c>
      <c r="E701" s="6" t="s">
        <v>47</v>
      </c>
      <c r="F701" s="6" t="s">
        <v>98</v>
      </c>
      <c r="G701" s="6" t="s">
        <v>1927</v>
      </c>
    </row>
    <row r="702" spans="1:7" ht="18.95" customHeight="1">
      <c r="A702" s="6" t="s">
        <v>1928</v>
      </c>
      <c r="B702" s="6" t="s">
        <v>1926</v>
      </c>
      <c r="C702" s="6" t="s">
        <v>560</v>
      </c>
      <c r="D702" s="6" t="s">
        <v>103</v>
      </c>
      <c r="E702" s="6" t="s">
        <v>48</v>
      </c>
      <c r="F702" s="6" t="s">
        <v>98</v>
      </c>
      <c r="G702" s="6" t="s">
        <v>1929</v>
      </c>
    </row>
    <row r="703" spans="1:7" ht="18.95" customHeight="1">
      <c r="A703" s="6" t="s">
        <v>1930</v>
      </c>
      <c r="B703" s="6" t="s">
        <v>1931</v>
      </c>
      <c r="C703" s="6" t="s">
        <v>566</v>
      </c>
      <c r="D703" s="6" t="s">
        <v>93</v>
      </c>
      <c r="E703" s="6" t="s">
        <v>46</v>
      </c>
      <c r="F703" s="6" t="s">
        <v>98</v>
      </c>
      <c r="G703" s="6" t="s">
        <v>1932</v>
      </c>
    </row>
    <row r="704" spans="1:7" ht="18.95" customHeight="1">
      <c r="A704" s="6" t="s">
        <v>1933</v>
      </c>
      <c r="B704" s="6" t="s">
        <v>1931</v>
      </c>
      <c r="C704" s="6" t="s">
        <v>566</v>
      </c>
      <c r="D704" s="6" t="s">
        <v>97</v>
      </c>
      <c r="E704" s="6" t="s">
        <v>47</v>
      </c>
      <c r="F704" s="6" t="s">
        <v>98</v>
      </c>
      <c r="G704" s="6" t="s">
        <v>1934</v>
      </c>
    </row>
    <row r="705" spans="1:7" ht="18.95" customHeight="1">
      <c r="A705" s="6" t="s">
        <v>1935</v>
      </c>
      <c r="B705" s="6" t="s">
        <v>1936</v>
      </c>
      <c r="C705" s="6" t="s">
        <v>572</v>
      </c>
      <c r="D705" s="6" t="s">
        <v>103</v>
      </c>
      <c r="E705" s="6" t="s">
        <v>48</v>
      </c>
      <c r="F705" s="6" t="s">
        <v>98</v>
      </c>
      <c r="G705" s="6" t="s">
        <v>1937</v>
      </c>
    </row>
    <row r="706" spans="1:7" ht="18.95" customHeight="1">
      <c r="A706" s="6" t="s">
        <v>1938</v>
      </c>
      <c r="B706" s="6" t="s">
        <v>1936</v>
      </c>
      <c r="C706" s="6" t="s">
        <v>572</v>
      </c>
      <c r="D706" s="6" t="s">
        <v>93</v>
      </c>
      <c r="E706" s="6" t="s">
        <v>46</v>
      </c>
      <c r="F706" s="6" t="s">
        <v>98</v>
      </c>
      <c r="G706" s="6" t="s">
        <v>1939</v>
      </c>
    </row>
    <row r="707" spans="1:7" ht="18.95" customHeight="1">
      <c r="A707" s="6" t="s">
        <v>1940</v>
      </c>
      <c r="B707" s="6" t="s">
        <v>1941</v>
      </c>
      <c r="C707" s="6" t="s">
        <v>578</v>
      </c>
      <c r="D707" s="6" t="s">
        <v>97</v>
      </c>
      <c r="E707" s="6" t="s">
        <v>47</v>
      </c>
      <c r="F707" s="6" t="s">
        <v>98</v>
      </c>
      <c r="G707" s="6" t="s">
        <v>1942</v>
      </c>
    </row>
    <row r="708" spans="1:7" ht="18.95" customHeight="1">
      <c r="A708" s="6" t="s">
        <v>1943</v>
      </c>
      <c r="B708" s="6" t="s">
        <v>1941</v>
      </c>
      <c r="C708" s="6" t="s">
        <v>578</v>
      </c>
      <c r="D708" s="6" t="s">
        <v>103</v>
      </c>
      <c r="E708" s="6" t="s">
        <v>48</v>
      </c>
      <c r="F708" s="6" t="s">
        <v>98</v>
      </c>
      <c r="G708" s="6" t="s">
        <v>1944</v>
      </c>
    </row>
    <row r="709" spans="1:7" ht="18.95" customHeight="1">
      <c r="A709" s="6" t="s">
        <v>1945</v>
      </c>
      <c r="B709" s="6" t="s">
        <v>1946</v>
      </c>
      <c r="C709" s="6" t="s">
        <v>584</v>
      </c>
      <c r="D709" s="6" t="s">
        <v>93</v>
      </c>
      <c r="E709" s="6" t="s">
        <v>46</v>
      </c>
      <c r="F709" s="6" t="s">
        <v>98</v>
      </c>
      <c r="G709" s="6" t="s">
        <v>1947</v>
      </c>
    </row>
    <row r="710" spans="1:7" ht="18.95" customHeight="1">
      <c r="A710" s="6" t="s">
        <v>1948</v>
      </c>
      <c r="B710" s="6" t="s">
        <v>1946</v>
      </c>
      <c r="C710" s="6" t="s">
        <v>584</v>
      </c>
      <c r="D710" s="6" t="s">
        <v>97</v>
      </c>
      <c r="E710" s="6" t="s">
        <v>47</v>
      </c>
      <c r="F710" s="6" t="s">
        <v>98</v>
      </c>
      <c r="G710" s="6" t="s">
        <v>1949</v>
      </c>
    </row>
    <row r="711" spans="1:7" ht="18.95" customHeight="1">
      <c r="A711" s="6" t="s">
        <v>1950</v>
      </c>
      <c r="B711" s="6" t="s">
        <v>1951</v>
      </c>
      <c r="C711" s="6" t="s">
        <v>590</v>
      </c>
      <c r="D711" s="6" t="s">
        <v>103</v>
      </c>
      <c r="E711" s="6" t="s">
        <v>48</v>
      </c>
      <c r="F711" s="6" t="s">
        <v>98</v>
      </c>
      <c r="G711" s="6" t="s">
        <v>1952</v>
      </c>
    </row>
    <row r="712" spans="1:7" ht="18.95" customHeight="1">
      <c r="A712" s="6" t="s">
        <v>1953</v>
      </c>
      <c r="B712" s="6" t="s">
        <v>1951</v>
      </c>
      <c r="C712" s="6" t="s">
        <v>590</v>
      </c>
      <c r="D712" s="6" t="s">
        <v>93</v>
      </c>
      <c r="E712" s="6" t="s">
        <v>46</v>
      </c>
      <c r="F712" s="6" t="s">
        <v>98</v>
      </c>
      <c r="G712" s="6" t="s">
        <v>1954</v>
      </c>
    </row>
    <row r="713" spans="1:7" ht="18.95" customHeight="1">
      <c r="A713" s="6" t="s">
        <v>1955</v>
      </c>
      <c r="B713" s="6" t="s">
        <v>1956</v>
      </c>
      <c r="C713" s="6" t="s">
        <v>596</v>
      </c>
      <c r="D713" s="6" t="s">
        <v>97</v>
      </c>
      <c r="E713" s="6" t="s">
        <v>47</v>
      </c>
      <c r="F713" s="6" t="s">
        <v>98</v>
      </c>
      <c r="G713" s="6" t="s">
        <v>1957</v>
      </c>
    </row>
    <row r="714" spans="1:7" ht="18.95" customHeight="1">
      <c r="A714" s="6" t="s">
        <v>1958</v>
      </c>
      <c r="B714" s="6" t="s">
        <v>1956</v>
      </c>
      <c r="C714" s="6" t="s">
        <v>596</v>
      </c>
      <c r="D714" s="6" t="s">
        <v>103</v>
      </c>
      <c r="E714" s="6" t="s">
        <v>48</v>
      </c>
      <c r="F714" s="6" t="s">
        <v>98</v>
      </c>
      <c r="G714" s="6" t="s">
        <v>1959</v>
      </c>
    </row>
    <row r="715" spans="1:7" ht="18.95" customHeight="1">
      <c r="A715" s="6" t="s">
        <v>1960</v>
      </c>
      <c r="B715" s="6" t="s">
        <v>1961</v>
      </c>
      <c r="C715" s="6" t="s">
        <v>602</v>
      </c>
      <c r="D715" s="6" t="s">
        <v>93</v>
      </c>
      <c r="E715" s="6" t="s">
        <v>46</v>
      </c>
      <c r="F715" s="6" t="s">
        <v>98</v>
      </c>
      <c r="G715" s="6" t="s">
        <v>1962</v>
      </c>
    </row>
    <row r="716" spans="1:7" ht="18.95" customHeight="1">
      <c r="A716" s="6" t="s">
        <v>1963</v>
      </c>
      <c r="B716" s="6" t="s">
        <v>1961</v>
      </c>
      <c r="C716" s="6" t="s">
        <v>602</v>
      </c>
      <c r="D716" s="6" t="s">
        <v>97</v>
      </c>
      <c r="E716" s="6" t="s">
        <v>47</v>
      </c>
      <c r="F716" s="6" t="s">
        <v>98</v>
      </c>
      <c r="G716" s="6" t="s">
        <v>1964</v>
      </c>
    </row>
    <row r="717" spans="1:7" ht="18.95" customHeight="1">
      <c r="A717" s="6" t="s">
        <v>1965</v>
      </c>
      <c r="B717" s="6" t="s">
        <v>1966</v>
      </c>
      <c r="C717" s="6" t="s">
        <v>611</v>
      </c>
      <c r="D717" s="6" t="s">
        <v>103</v>
      </c>
      <c r="E717" s="6" t="s">
        <v>48</v>
      </c>
      <c r="F717" s="6" t="s">
        <v>98</v>
      </c>
      <c r="G717" s="6" t="s">
        <v>1967</v>
      </c>
    </row>
    <row r="718" spans="1:7" ht="18.95" customHeight="1">
      <c r="A718" s="6" t="s">
        <v>1968</v>
      </c>
      <c r="B718" s="6" t="s">
        <v>1966</v>
      </c>
      <c r="C718" s="6" t="s">
        <v>611</v>
      </c>
      <c r="D718" s="6" t="s">
        <v>93</v>
      </c>
      <c r="E718" s="6" t="s">
        <v>46</v>
      </c>
      <c r="F718" s="6" t="s">
        <v>98</v>
      </c>
      <c r="G718" s="6" t="s">
        <v>1969</v>
      </c>
    </row>
    <row r="719" spans="1:7" ht="18.95" customHeight="1">
      <c r="A719" s="6" t="s">
        <v>1970</v>
      </c>
      <c r="B719" s="6" t="s">
        <v>1971</v>
      </c>
      <c r="C719" s="6" t="s">
        <v>615</v>
      </c>
      <c r="D719" s="6" t="s">
        <v>97</v>
      </c>
      <c r="E719" s="6" t="s">
        <v>47</v>
      </c>
      <c r="F719" s="6" t="s">
        <v>98</v>
      </c>
      <c r="G719" s="6" t="s">
        <v>1972</v>
      </c>
    </row>
    <row r="720" spans="1:7" ht="18.95" customHeight="1">
      <c r="A720" s="6" t="s">
        <v>1973</v>
      </c>
      <c r="B720" s="6" t="s">
        <v>1971</v>
      </c>
      <c r="C720" s="6" t="s">
        <v>615</v>
      </c>
      <c r="D720" s="6" t="s">
        <v>103</v>
      </c>
      <c r="E720" s="6" t="s">
        <v>48</v>
      </c>
      <c r="F720" s="6" t="s">
        <v>94</v>
      </c>
      <c r="G720" s="6" t="s">
        <v>1974</v>
      </c>
    </row>
    <row r="721" spans="1:7" ht="18.95" customHeight="1">
      <c r="A721" s="6" t="s">
        <v>1975</v>
      </c>
      <c r="B721" s="6" t="s">
        <v>1976</v>
      </c>
      <c r="C721" s="6" t="s">
        <v>621</v>
      </c>
      <c r="D721" s="6" t="s">
        <v>93</v>
      </c>
      <c r="E721" s="6" t="s">
        <v>46</v>
      </c>
      <c r="F721" s="6" t="s">
        <v>98</v>
      </c>
      <c r="G721" s="6" t="s">
        <v>1977</v>
      </c>
    </row>
    <row r="722" spans="1:7" ht="18.95" customHeight="1">
      <c r="A722" s="6" t="s">
        <v>1978</v>
      </c>
      <c r="B722" s="6" t="s">
        <v>1976</v>
      </c>
      <c r="C722" s="6" t="s">
        <v>621</v>
      </c>
      <c r="D722" s="6" t="s">
        <v>97</v>
      </c>
      <c r="E722" s="6" t="s">
        <v>47</v>
      </c>
      <c r="F722" s="6" t="s">
        <v>98</v>
      </c>
      <c r="G722" s="6" t="s">
        <v>1979</v>
      </c>
    </row>
    <row r="723" spans="1:7" ht="18.95" customHeight="1">
      <c r="A723" s="6" t="s">
        <v>1980</v>
      </c>
      <c r="B723" s="6" t="s">
        <v>1981</v>
      </c>
      <c r="C723" s="6" t="s">
        <v>627</v>
      </c>
      <c r="D723" s="6" t="s">
        <v>103</v>
      </c>
      <c r="E723" s="6" t="s">
        <v>48</v>
      </c>
      <c r="F723" s="6" t="s">
        <v>98</v>
      </c>
      <c r="G723" s="6" t="s">
        <v>1982</v>
      </c>
    </row>
    <row r="724" spans="1:7" ht="18.95" customHeight="1">
      <c r="A724" s="6" t="s">
        <v>1983</v>
      </c>
      <c r="B724" s="6" t="s">
        <v>1981</v>
      </c>
      <c r="C724" s="6" t="s">
        <v>627</v>
      </c>
      <c r="D724" s="6" t="s">
        <v>93</v>
      </c>
      <c r="E724" s="6" t="s">
        <v>46</v>
      </c>
      <c r="F724" s="6" t="s">
        <v>98</v>
      </c>
      <c r="G724" s="6" t="s">
        <v>1984</v>
      </c>
    </row>
    <row r="725" spans="1:7" ht="18.95" customHeight="1">
      <c r="A725" s="6" t="s">
        <v>1985</v>
      </c>
      <c r="B725" s="6" t="s">
        <v>1986</v>
      </c>
      <c r="C725" s="6" t="s">
        <v>1987</v>
      </c>
      <c r="D725" s="6" t="s">
        <v>97</v>
      </c>
      <c r="E725" s="6" t="s">
        <v>47</v>
      </c>
      <c r="F725" s="6" t="s">
        <v>98</v>
      </c>
      <c r="G725" s="6" t="s">
        <v>1988</v>
      </c>
    </row>
    <row r="726" spans="1:7" ht="18.95" customHeight="1">
      <c r="A726" s="6" t="s">
        <v>1989</v>
      </c>
      <c r="B726" s="6" t="s">
        <v>1986</v>
      </c>
      <c r="C726" s="6" t="s">
        <v>633</v>
      </c>
      <c r="D726" s="6" t="s">
        <v>103</v>
      </c>
      <c r="E726" s="6" t="s">
        <v>48</v>
      </c>
      <c r="F726" s="6" t="s">
        <v>98</v>
      </c>
      <c r="G726" s="6" t="s">
        <v>1990</v>
      </c>
    </row>
    <row r="727" spans="1:7" ht="18.95" customHeight="1">
      <c r="A727" s="6" t="s">
        <v>1991</v>
      </c>
      <c r="B727" s="6" t="s">
        <v>1992</v>
      </c>
      <c r="C727" s="6" t="s">
        <v>92</v>
      </c>
      <c r="D727" s="6" t="s">
        <v>93</v>
      </c>
      <c r="E727" s="6" t="s">
        <v>46</v>
      </c>
      <c r="F727" s="6" t="s">
        <v>98</v>
      </c>
      <c r="G727" s="6" t="s">
        <v>1993</v>
      </c>
    </row>
    <row r="728" spans="1:7" ht="18.95" customHeight="1">
      <c r="A728" s="6" t="s">
        <v>1994</v>
      </c>
      <c r="B728" s="6" t="s">
        <v>1992</v>
      </c>
      <c r="C728" s="6" t="s">
        <v>92</v>
      </c>
      <c r="D728" s="6" t="s">
        <v>97</v>
      </c>
      <c r="E728" s="6" t="s">
        <v>47</v>
      </c>
      <c r="F728" s="6" t="s">
        <v>98</v>
      </c>
      <c r="G728" s="6" t="s">
        <v>1995</v>
      </c>
    </row>
    <row r="729" spans="1:7" ht="18.95" customHeight="1">
      <c r="A729" s="6" t="s">
        <v>1996</v>
      </c>
      <c r="B729" s="6" t="s">
        <v>1997</v>
      </c>
      <c r="C729" s="6" t="s">
        <v>102</v>
      </c>
      <c r="D729" s="6" t="s">
        <v>103</v>
      </c>
      <c r="E729" s="6" t="s">
        <v>48</v>
      </c>
      <c r="F729" s="6" t="s">
        <v>98</v>
      </c>
      <c r="G729" s="6" t="s">
        <v>1998</v>
      </c>
    </row>
    <row r="730" spans="1:7" ht="18.95" customHeight="1">
      <c r="A730" s="6" t="s">
        <v>1999</v>
      </c>
      <c r="B730" s="6" t="s">
        <v>1997</v>
      </c>
      <c r="C730" s="6" t="s">
        <v>102</v>
      </c>
      <c r="D730" s="6" t="s">
        <v>93</v>
      </c>
      <c r="E730" s="6" t="s">
        <v>46</v>
      </c>
      <c r="F730" s="6" t="s">
        <v>98</v>
      </c>
      <c r="G730" s="6" t="s">
        <v>2000</v>
      </c>
    </row>
    <row r="731" spans="1:7" ht="18.95" customHeight="1">
      <c r="A731" s="6" t="s">
        <v>2001</v>
      </c>
      <c r="B731" s="6" t="s">
        <v>2002</v>
      </c>
      <c r="C731" s="6" t="s">
        <v>109</v>
      </c>
      <c r="D731" s="6" t="s">
        <v>97</v>
      </c>
      <c r="E731" s="6" t="s">
        <v>47</v>
      </c>
      <c r="F731" s="6" t="s">
        <v>98</v>
      </c>
      <c r="G731" s="6" t="s">
        <v>2003</v>
      </c>
    </row>
    <row r="732" spans="1:7" ht="18.95" customHeight="1">
      <c r="A732" s="6" t="s">
        <v>2004</v>
      </c>
      <c r="B732" s="6" t="s">
        <v>2002</v>
      </c>
      <c r="C732" s="6" t="s">
        <v>109</v>
      </c>
      <c r="D732" s="6" t="s">
        <v>103</v>
      </c>
      <c r="E732" s="6" t="s">
        <v>48</v>
      </c>
      <c r="F732" s="6" t="s">
        <v>98</v>
      </c>
      <c r="G732" s="6" t="s">
        <v>2005</v>
      </c>
    </row>
    <row r="733" spans="1:7" ht="18.95" customHeight="1">
      <c r="A733" s="6" t="s">
        <v>2006</v>
      </c>
      <c r="B733" s="6" t="s">
        <v>2007</v>
      </c>
      <c r="C733" s="6" t="s">
        <v>115</v>
      </c>
      <c r="D733" s="6" t="s">
        <v>93</v>
      </c>
      <c r="E733" s="6" t="s">
        <v>46</v>
      </c>
      <c r="F733" s="6" t="s">
        <v>98</v>
      </c>
      <c r="G733" s="6" t="s">
        <v>2008</v>
      </c>
    </row>
    <row r="734" spans="1:7" ht="18.95" customHeight="1">
      <c r="A734" s="6" t="s">
        <v>2009</v>
      </c>
      <c r="B734" s="6" t="s">
        <v>2007</v>
      </c>
      <c r="C734" s="6" t="s">
        <v>115</v>
      </c>
      <c r="D734" s="6" t="s">
        <v>97</v>
      </c>
      <c r="E734" s="6" t="s">
        <v>47</v>
      </c>
      <c r="F734" s="6" t="s">
        <v>98</v>
      </c>
      <c r="G734" s="6" t="s">
        <v>2010</v>
      </c>
    </row>
    <row r="735" spans="1:7" ht="18.95" customHeight="1">
      <c r="A735" s="6" t="s">
        <v>2011</v>
      </c>
      <c r="B735" s="6" t="s">
        <v>2012</v>
      </c>
      <c r="C735" s="6" t="s">
        <v>121</v>
      </c>
      <c r="D735" s="6" t="s">
        <v>103</v>
      </c>
      <c r="E735" s="6" t="s">
        <v>48</v>
      </c>
      <c r="F735" s="6" t="s">
        <v>98</v>
      </c>
      <c r="G735" s="6" t="s">
        <v>2013</v>
      </c>
    </row>
    <row r="736" spans="1:7" ht="18.95" customHeight="1">
      <c r="A736" s="6" t="s">
        <v>2014</v>
      </c>
      <c r="B736" s="6" t="s">
        <v>2012</v>
      </c>
      <c r="C736" s="6" t="s">
        <v>121</v>
      </c>
      <c r="D736" s="6" t="s">
        <v>93</v>
      </c>
      <c r="E736" s="6" t="s">
        <v>46</v>
      </c>
      <c r="F736" s="6" t="s">
        <v>98</v>
      </c>
      <c r="G736" s="6" t="s">
        <v>2015</v>
      </c>
    </row>
    <row r="737" spans="1:7" ht="18.95" customHeight="1">
      <c r="A737" s="6" t="s">
        <v>2016</v>
      </c>
      <c r="B737" s="6" t="s">
        <v>2017</v>
      </c>
      <c r="C737" s="6" t="s">
        <v>127</v>
      </c>
      <c r="D737" s="6" t="s">
        <v>97</v>
      </c>
      <c r="E737" s="6" t="s">
        <v>47</v>
      </c>
      <c r="F737" s="6" t="s">
        <v>98</v>
      </c>
      <c r="G737" s="6" t="s">
        <v>2018</v>
      </c>
    </row>
    <row r="738" spans="1:7" ht="18.95" customHeight="1">
      <c r="A738" s="6" t="s">
        <v>2019</v>
      </c>
      <c r="B738" s="6" t="s">
        <v>2017</v>
      </c>
      <c r="C738" s="6" t="s">
        <v>127</v>
      </c>
      <c r="D738" s="6" t="s">
        <v>103</v>
      </c>
      <c r="E738" s="6" t="s">
        <v>48</v>
      </c>
      <c r="F738" s="6" t="s">
        <v>98</v>
      </c>
      <c r="G738" s="6" t="s">
        <v>2020</v>
      </c>
    </row>
    <row r="739" spans="1:7" ht="18.95" customHeight="1">
      <c r="A739" s="6" t="s">
        <v>2021</v>
      </c>
      <c r="B739" s="6" t="s">
        <v>2022</v>
      </c>
      <c r="C739" s="6" t="s">
        <v>133</v>
      </c>
      <c r="D739" s="6" t="s">
        <v>93</v>
      </c>
      <c r="E739" s="6" t="s">
        <v>46</v>
      </c>
      <c r="F739" s="6" t="s">
        <v>98</v>
      </c>
      <c r="G739" s="6" t="s">
        <v>2023</v>
      </c>
    </row>
    <row r="740" spans="1:7" ht="18.95" customHeight="1">
      <c r="A740" s="6" t="s">
        <v>2024</v>
      </c>
      <c r="B740" s="6" t="s">
        <v>2022</v>
      </c>
      <c r="C740" s="6" t="s">
        <v>133</v>
      </c>
      <c r="D740" s="6" t="s">
        <v>97</v>
      </c>
      <c r="E740" s="6"/>
      <c r="F740" s="6" t="s">
        <v>98</v>
      </c>
      <c r="G740" s="6" t="s">
        <v>2025</v>
      </c>
    </row>
    <row r="741" spans="1:7" ht="18.95" customHeight="1">
      <c r="A741" s="6" t="s">
        <v>2026</v>
      </c>
      <c r="B741" s="6" t="s">
        <v>2027</v>
      </c>
      <c r="C741" s="6" t="s">
        <v>139</v>
      </c>
      <c r="D741" s="6" t="s">
        <v>103</v>
      </c>
      <c r="E741" s="6" t="s">
        <v>48</v>
      </c>
      <c r="F741" s="6" t="s">
        <v>98</v>
      </c>
      <c r="G741" s="6" t="s">
        <v>2028</v>
      </c>
    </row>
    <row r="742" spans="1:7" ht="18.95" customHeight="1">
      <c r="A742" s="6" t="s">
        <v>2029</v>
      </c>
      <c r="B742" s="6" t="s">
        <v>2027</v>
      </c>
      <c r="C742" s="6" t="s">
        <v>139</v>
      </c>
      <c r="D742" s="6" t="s">
        <v>93</v>
      </c>
      <c r="E742" s="6" t="s">
        <v>46</v>
      </c>
      <c r="F742" s="6" t="s">
        <v>98</v>
      </c>
      <c r="G742" s="6" t="s">
        <v>2030</v>
      </c>
    </row>
    <row r="743" spans="1:7" ht="18.95" customHeight="1">
      <c r="A743" s="6" t="s">
        <v>2031</v>
      </c>
      <c r="B743" s="6" t="s">
        <v>2032</v>
      </c>
      <c r="C743" s="6" t="s">
        <v>145</v>
      </c>
      <c r="D743" s="6" t="s">
        <v>97</v>
      </c>
      <c r="E743" s="6" t="s">
        <v>47</v>
      </c>
      <c r="F743" s="6" t="s">
        <v>94</v>
      </c>
      <c r="G743" s="6" t="s">
        <v>2033</v>
      </c>
    </row>
    <row r="744" spans="1:7" ht="18.95" customHeight="1">
      <c r="A744" s="6" t="s">
        <v>2034</v>
      </c>
      <c r="B744" s="6" t="s">
        <v>2032</v>
      </c>
      <c r="C744" s="6" t="s">
        <v>145</v>
      </c>
      <c r="D744" s="6" t="s">
        <v>103</v>
      </c>
      <c r="E744" s="6" t="s">
        <v>5191</v>
      </c>
      <c r="F744" s="6" t="s">
        <v>98</v>
      </c>
      <c r="G744" s="6" t="s">
        <v>2035</v>
      </c>
    </row>
    <row r="745" spans="1:7" ht="18.95" customHeight="1">
      <c r="A745" s="6" t="s">
        <v>2036</v>
      </c>
      <c r="B745" s="6" t="s">
        <v>2037</v>
      </c>
      <c r="C745" s="6" t="s">
        <v>151</v>
      </c>
      <c r="D745" s="6" t="s">
        <v>93</v>
      </c>
      <c r="E745" s="6" t="s">
        <v>46</v>
      </c>
      <c r="F745" s="6" t="s">
        <v>98</v>
      </c>
      <c r="G745" s="6" t="s">
        <v>2038</v>
      </c>
    </row>
    <row r="746" spans="1:7" ht="18.95" customHeight="1">
      <c r="A746" s="6" t="s">
        <v>2039</v>
      </c>
      <c r="B746" s="6" t="s">
        <v>2037</v>
      </c>
      <c r="C746" s="6" t="s">
        <v>151</v>
      </c>
      <c r="D746" s="6" t="s">
        <v>97</v>
      </c>
      <c r="E746" s="6" t="s">
        <v>47</v>
      </c>
      <c r="F746" s="6" t="s">
        <v>98</v>
      </c>
      <c r="G746" s="6" t="s">
        <v>2040</v>
      </c>
    </row>
    <row r="747" spans="1:7" ht="18.95" customHeight="1">
      <c r="A747" s="6" t="s">
        <v>2041</v>
      </c>
      <c r="B747" s="6" t="s">
        <v>2042</v>
      </c>
      <c r="C747" s="6" t="s">
        <v>157</v>
      </c>
      <c r="D747" s="6" t="s">
        <v>103</v>
      </c>
      <c r="E747" s="6" t="s">
        <v>48</v>
      </c>
      <c r="F747" s="6" t="s">
        <v>98</v>
      </c>
      <c r="G747" s="6" t="s">
        <v>2043</v>
      </c>
    </row>
    <row r="748" spans="1:7" ht="18.95" customHeight="1">
      <c r="A748" s="6" t="s">
        <v>2044</v>
      </c>
      <c r="B748" s="6" t="s">
        <v>2042</v>
      </c>
      <c r="C748" s="6" t="s">
        <v>157</v>
      </c>
      <c r="D748" s="6" t="s">
        <v>93</v>
      </c>
      <c r="E748" s="6" t="s">
        <v>46</v>
      </c>
      <c r="F748" s="6" t="s">
        <v>98</v>
      </c>
      <c r="G748" s="6" t="s">
        <v>2045</v>
      </c>
    </row>
    <row r="749" spans="1:7" ht="18.95" customHeight="1">
      <c r="A749" s="6" t="s">
        <v>2046</v>
      </c>
      <c r="B749" s="6" t="s">
        <v>2047</v>
      </c>
      <c r="C749" s="6" t="s">
        <v>163</v>
      </c>
      <c r="D749" s="6" t="s">
        <v>97</v>
      </c>
      <c r="E749" s="6" t="s">
        <v>47</v>
      </c>
      <c r="F749" s="6" t="s">
        <v>98</v>
      </c>
      <c r="G749" s="6" t="s">
        <v>2048</v>
      </c>
    </row>
    <row r="750" spans="1:7" ht="18.95" customHeight="1">
      <c r="A750" s="6" t="s">
        <v>2049</v>
      </c>
      <c r="B750" s="6" t="s">
        <v>2047</v>
      </c>
      <c r="C750" s="6" t="s">
        <v>163</v>
      </c>
      <c r="D750" s="6" t="s">
        <v>103</v>
      </c>
      <c r="E750" s="6" t="s">
        <v>48</v>
      </c>
      <c r="F750" s="6" t="s">
        <v>98</v>
      </c>
      <c r="G750" s="6" t="s">
        <v>2050</v>
      </c>
    </row>
    <row r="751" spans="1:7" ht="18.95" customHeight="1">
      <c r="A751" s="6" t="s">
        <v>2051</v>
      </c>
      <c r="B751" s="6" t="s">
        <v>2052</v>
      </c>
      <c r="C751" s="6" t="s">
        <v>169</v>
      </c>
      <c r="D751" s="6" t="s">
        <v>93</v>
      </c>
      <c r="E751" s="6" t="s">
        <v>46</v>
      </c>
      <c r="F751" s="6" t="s">
        <v>98</v>
      </c>
      <c r="G751" s="6" t="s">
        <v>2053</v>
      </c>
    </row>
    <row r="752" spans="1:7" ht="18.95" customHeight="1">
      <c r="A752" s="6" t="s">
        <v>2054</v>
      </c>
      <c r="B752" s="6" t="s">
        <v>2052</v>
      </c>
      <c r="C752" s="6" t="s">
        <v>169</v>
      </c>
      <c r="D752" s="6" t="s">
        <v>97</v>
      </c>
      <c r="E752" s="6" t="s">
        <v>47</v>
      </c>
      <c r="F752" s="6" t="s">
        <v>98</v>
      </c>
      <c r="G752" s="6" t="s">
        <v>2055</v>
      </c>
    </row>
    <row r="753" spans="1:7" ht="18.95" customHeight="1">
      <c r="A753" s="6" t="s">
        <v>2056</v>
      </c>
      <c r="B753" s="6" t="s">
        <v>2057</v>
      </c>
      <c r="C753" s="6" t="s">
        <v>175</v>
      </c>
      <c r="D753" s="6" t="s">
        <v>103</v>
      </c>
      <c r="E753" s="6" t="s">
        <v>48</v>
      </c>
      <c r="F753" s="6" t="s">
        <v>98</v>
      </c>
      <c r="G753" s="6" t="s">
        <v>2058</v>
      </c>
    </row>
    <row r="754" spans="1:7" ht="18.95" customHeight="1">
      <c r="A754" s="6" t="s">
        <v>2059</v>
      </c>
      <c r="B754" s="6" t="s">
        <v>2057</v>
      </c>
      <c r="C754" s="6" t="s">
        <v>175</v>
      </c>
      <c r="D754" s="6" t="s">
        <v>93</v>
      </c>
      <c r="E754" s="6" t="s">
        <v>46</v>
      </c>
      <c r="F754" s="6" t="s">
        <v>98</v>
      </c>
      <c r="G754" s="6" t="s">
        <v>2060</v>
      </c>
    </row>
    <row r="755" spans="1:7" ht="18.95" customHeight="1">
      <c r="A755" s="6" t="s">
        <v>2061</v>
      </c>
      <c r="B755" s="6" t="s">
        <v>2062</v>
      </c>
      <c r="C755" s="6" t="s">
        <v>181</v>
      </c>
      <c r="D755" s="6" t="s">
        <v>97</v>
      </c>
      <c r="E755" s="6" t="s">
        <v>47</v>
      </c>
      <c r="F755" s="6" t="s">
        <v>98</v>
      </c>
      <c r="G755" s="6" t="s">
        <v>2063</v>
      </c>
    </row>
    <row r="756" spans="1:7" ht="18.95" customHeight="1">
      <c r="A756" s="6" t="s">
        <v>2064</v>
      </c>
      <c r="B756" s="6" t="s">
        <v>2062</v>
      </c>
      <c r="C756" s="6" t="s">
        <v>181</v>
      </c>
      <c r="D756" s="6" t="s">
        <v>103</v>
      </c>
      <c r="E756" s="6" t="s">
        <v>48</v>
      </c>
      <c r="F756" s="6" t="s">
        <v>98</v>
      </c>
      <c r="G756" s="6" t="s">
        <v>2065</v>
      </c>
    </row>
    <row r="757" spans="1:7" ht="18.95" customHeight="1">
      <c r="A757" s="6" t="s">
        <v>2066</v>
      </c>
      <c r="B757" s="6" t="s">
        <v>2067</v>
      </c>
      <c r="C757" s="6" t="s">
        <v>187</v>
      </c>
      <c r="D757" s="6" t="s">
        <v>93</v>
      </c>
      <c r="E757" s="6" t="s">
        <v>46</v>
      </c>
      <c r="F757" s="6" t="s">
        <v>98</v>
      </c>
      <c r="G757" s="6" t="s">
        <v>2068</v>
      </c>
    </row>
    <row r="758" spans="1:7" ht="18.95" customHeight="1">
      <c r="A758" s="6" t="s">
        <v>2069</v>
      </c>
      <c r="B758" s="6" t="s">
        <v>2067</v>
      </c>
      <c r="C758" s="6" t="s">
        <v>187</v>
      </c>
      <c r="D758" s="6" t="s">
        <v>97</v>
      </c>
      <c r="E758" s="6" t="s">
        <v>47</v>
      </c>
      <c r="F758" s="6" t="s">
        <v>98</v>
      </c>
      <c r="G758" s="6" t="s">
        <v>2070</v>
      </c>
    </row>
    <row r="759" spans="1:7" ht="18.95" customHeight="1">
      <c r="A759" s="6" t="s">
        <v>2071</v>
      </c>
      <c r="B759" s="6" t="s">
        <v>2072</v>
      </c>
      <c r="C759" s="6" t="s">
        <v>193</v>
      </c>
      <c r="D759" s="6" t="s">
        <v>103</v>
      </c>
      <c r="E759" s="6" t="s">
        <v>48</v>
      </c>
      <c r="F759" s="6" t="s">
        <v>98</v>
      </c>
      <c r="G759" s="6" t="s">
        <v>2073</v>
      </c>
    </row>
    <row r="760" spans="1:7" ht="18.95" customHeight="1">
      <c r="A760" s="6" t="s">
        <v>2074</v>
      </c>
      <c r="B760" s="6" t="s">
        <v>2072</v>
      </c>
      <c r="C760" s="6" t="s">
        <v>193</v>
      </c>
      <c r="D760" s="6" t="s">
        <v>93</v>
      </c>
      <c r="E760" s="6" t="s">
        <v>46</v>
      </c>
      <c r="F760" s="6" t="s">
        <v>98</v>
      </c>
      <c r="G760" s="6" t="s">
        <v>2075</v>
      </c>
    </row>
    <row r="761" spans="1:7" ht="18.95" customHeight="1">
      <c r="A761" s="6" t="s">
        <v>2076</v>
      </c>
      <c r="B761" s="6" t="s">
        <v>2077</v>
      </c>
      <c r="C761" s="6" t="s">
        <v>200</v>
      </c>
      <c r="D761" s="6" t="s">
        <v>97</v>
      </c>
      <c r="E761" s="6" t="s">
        <v>47</v>
      </c>
      <c r="F761" s="6" t="s">
        <v>98</v>
      </c>
      <c r="G761" s="6" t="s">
        <v>2078</v>
      </c>
    </row>
    <row r="762" spans="1:7" ht="18.95" customHeight="1">
      <c r="A762" s="6" t="s">
        <v>2079</v>
      </c>
      <c r="B762" s="6" t="s">
        <v>2077</v>
      </c>
      <c r="C762" s="6" t="s">
        <v>200</v>
      </c>
      <c r="D762" s="6" t="s">
        <v>103</v>
      </c>
      <c r="E762" s="6" t="s">
        <v>48</v>
      </c>
      <c r="F762" s="6" t="s">
        <v>98</v>
      </c>
      <c r="G762" s="6" t="s">
        <v>2080</v>
      </c>
    </row>
    <row r="763" spans="1:7" ht="18.95" customHeight="1">
      <c r="A763" s="6" t="s">
        <v>2081</v>
      </c>
      <c r="B763" s="6" t="s">
        <v>2082</v>
      </c>
      <c r="C763" s="6" t="s">
        <v>206</v>
      </c>
      <c r="D763" s="6" t="s">
        <v>93</v>
      </c>
      <c r="E763" s="6" t="s">
        <v>46</v>
      </c>
      <c r="F763" s="6" t="s">
        <v>98</v>
      </c>
      <c r="G763" s="6" t="s">
        <v>2083</v>
      </c>
    </row>
    <row r="764" spans="1:7" ht="18.95" customHeight="1">
      <c r="A764" s="6" t="s">
        <v>2084</v>
      </c>
      <c r="B764" s="6" t="s">
        <v>2082</v>
      </c>
      <c r="C764" s="6" t="s">
        <v>206</v>
      </c>
      <c r="D764" s="6" t="s">
        <v>97</v>
      </c>
      <c r="E764" s="6" t="s">
        <v>47</v>
      </c>
      <c r="F764" s="6" t="s">
        <v>98</v>
      </c>
      <c r="G764" s="6" t="s">
        <v>2085</v>
      </c>
    </row>
    <row r="765" spans="1:7" ht="18.95" customHeight="1">
      <c r="A765" s="6" t="s">
        <v>2086</v>
      </c>
      <c r="B765" s="6" t="s">
        <v>2087</v>
      </c>
      <c r="C765" s="6" t="s">
        <v>212</v>
      </c>
      <c r="D765" s="6" t="s">
        <v>103</v>
      </c>
      <c r="E765" s="6" t="s">
        <v>48</v>
      </c>
      <c r="F765" s="6" t="s">
        <v>98</v>
      </c>
      <c r="G765" s="6" t="s">
        <v>2088</v>
      </c>
    </row>
    <row r="766" spans="1:7" ht="18.95" customHeight="1">
      <c r="A766" s="6" t="s">
        <v>2089</v>
      </c>
      <c r="B766" s="6" t="s">
        <v>2087</v>
      </c>
      <c r="C766" s="6" t="s">
        <v>212</v>
      </c>
      <c r="D766" s="6" t="s">
        <v>93</v>
      </c>
      <c r="E766" s="6" t="s">
        <v>46</v>
      </c>
      <c r="F766" s="6" t="s">
        <v>94</v>
      </c>
      <c r="G766" s="6" t="s">
        <v>2090</v>
      </c>
    </row>
    <row r="767" spans="1:7" ht="18.95" customHeight="1">
      <c r="A767" s="6" t="s">
        <v>2091</v>
      </c>
      <c r="B767" s="6" t="s">
        <v>2092</v>
      </c>
      <c r="C767" s="6" t="s">
        <v>218</v>
      </c>
      <c r="D767" s="6" t="s">
        <v>97</v>
      </c>
      <c r="E767" s="6" t="s">
        <v>47</v>
      </c>
      <c r="F767" s="6" t="s">
        <v>98</v>
      </c>
      <c r="G767" s="6" t="s">
        <v>2093</v>
      </c>
    </row>
    <row r="768" spans="1:7" ht="18.95" customHeight="1">
      <c r="A768" s="6" t="s">
        <v>2094</v>
      </c>
      <c r="B768" s="6" t="s">
        <v>2092</v>
      </c>
      <c r="C768" s="6" t="s">
        <v>218</v>
      </c>
      <c r="D768" s="6" t="s">
        <v>103</v>
      </c>
      <c r="E768" s="6" t="s">
        <v>48</v>
      </c>
      <c r="F768" s="6" t="s">
        <v>98</v>
      </c>
      <c r="G768" s="6" t="s">
        <v>2095</v>
      </c>
    </row>
    <row r="769" spans="1:7" ht="18.95" customHeight="1">
      <c r="A769" s="6" t="s">
        <v>2096</v>
      </c>
      <c r="B769" s="6" t="s">
        <v>2097</v>
      </c>
      <c r="C769" s="6" t="s">
        <v>224</v>
      </c>
      <c r="D769" s="6" t="s">
        <v>93</v>
      </c>
      <c r="E769" s="6" t="s">
        <v>46</v>
      </c>
      <c r="F769" s="6" t="s">
        <v>98</v>
      </c>
      <c r="G769" s="6" t="s">
        <v>2098</v>
      </c>
    </row>
    <row r="770" spans="1:7" ht="18.95" customHeight="1">
      <c r="A770" s="6" t="s">
        <v>2099</v>
      </c>
      <c r="B770" s="6" t="s">
        <v>2097</v>
      </c>
      <c r="C770" s="6" t="s">
        <v>224</v>
      </c>
      <c r="D770" s="6" t="s">
        <v>97</v>
      </c>
      <c r="E770" s="6" t="s">
        <v>47</v>
      </c>
      <c r="F770" s="6" t="s">
        <v>98</v>
      </c>
      <c r="G770" s="6" t="s">
        <v>2100</v>
      </c>
    </row>
    <row r="771" spans="1:7" ht="18.95" customHeight="1">
      <c r="A771" s="6" t="s">
        <v>2101</v>
      </c>
      <c r="B771" s="6" t="s">
        <v>2102</v>
      </c>
      <c r="C771" s="6" t="s">
        <v>230</v>
      </c>
      <c r="D771" s="6" t="s">
        <v>103</v>
      </c>
      <c r="E771" s="6" t="s">
        <v>48</v>
      </c>
      <c r="F771" s="6" t="s">
        <v>98</v>
      </c>
      <c r="G771" s="6" t="s">
        <v>2103</v>
      </c>
    </row>
    <row r="772" spans="1:7" ht="18.95" customHeight="1">
      <c r="A772" s="6" t="s">
        <v>2104</v>
      </c>
      <c r="B772" s="6" t="s">
        <v>2102</v>
      </c>
      <c r="C772" s="6" t="s">
        <v>230</v>
      </c>
      <c r="D772" s="6" t="s">
        <v>93</v>
      </c>
      <c r="E772" s="6" t="s">
        <v>46</v>
      </c>
      <c r="F772" s="6" t="s">
        <v>98</v>
      </c>
      <c r="G772" s="6" t="s">
        <v>2105</v>
      </c>
    </row>
    <row r="773" spans="1:7" ht="18.95" customHeight="1">
      <c r="A773" s="6" t="s">
        <v>2106</v>
      </c>
      <c r="B773" s="6" t="s">
        <v>2107</v>
      </c>
      <c r="C773" s="6" t="s">
        <v>236</v>
      </c>
      <c r="D773" s="6" t="s">
        <v>97</v>
      </c>
      <c r="E773" s="6" t="s">
        <v>47</v>
      </c>
      <c r="F773" s="6" t="s">
        <v>98</v>
      </c>
      <c r="G773" s="6" t="s">
        <v>2108</v>
      </c>
    </row>
    <row r="774" spans="1:7" ht="18.95" customHeight="1">
      <c r="A774" s="6" t="s">
        <v>2109</v>
      </c>
      <c r="B774" s="6" t="s">
        <v>2107</v>
      </c>
      <c r="C774" s="6" t="s">
        <v>236</v>
      </c>
      <c r="D774" s="6" t="s">
        <v>103</v>
      </c>
      <c r="E774" s="6" t="s">
        <v>48</v>
      </c>
      <c r="F774" s="6" t="s">
        <v>98</v>
      </c>
      <c r="G774" s="6" t="s">
        <v>2110</v>
      </c>
    </row>
    <row r="775" spans="1:7" ht="18.95" customHeight="1">
      <c r="A775" s="6" t="s">
        <v>2111</v>
      </c>
      <c r="B775" s="6" t="s">
        <v>2112</v>
      </c>
      <c r="C775" s="6" t="s">
        <v>242</v>
      </c>
      <c r="D775" s="6" t="s">
        <v>93</v>
      </c>
      <c r="E775" s="6" t="s">
        <v>46</v>
      </c>
      <c r="F775" s="6" t="s">
        <v>98</v>
      </c>
      <c r="G775" s="6" t="s">
        <v>2113</v>
      </c>
    </row>
    <row r="776" spans="1:7" ht="18.95" customHeight="1">
      <c r="A776" s="6" t="s">
        <v>2114</v>
      </c>
      <c r="B776" s="6" t="s">
        <v>2112</v>
      </c>
      <c r="C776" s="6" t="s">
        <v>242</v>
      </c>
      <c r="D776" s="6" t="s">
        <v>97</v>
      </c>
      <c r="E776" s="6" t="s">
        <v>47</v>
      </c>
      <c r="F776" s="6" t="s">
        <v>98</v>
      </c>
      <c r="G776" s="6" t="s">
        <v>2115</v>
      </c>
    </row>
    <row r="777" spans="1:7" ht="18.95" customHeight="1">
      <c r="A777" s="6" t="s">
        <v>2116</v>
      </c>
      <c r="B777" s="6" t="s">
        <v>2117</v>
      </c>
      <c r="C777" s="6" t="s">
        <v>248</v>
      </c>
      <c r="D777" s="6" t="s">
        <v>103</v>
      </c>
      <c r="E777" s="6" t="s">
        <v>48</v>
      </c>
      <c r="F777" s="6" t="s">
        <v>98</v>
      </c>
      <c r="G777" s="6" t="s">
        <v>2118</v>
      </c>
    </row>
    <row r="778" spans="1:7" ht="18.95" customHeight="1">
      <c r="A778" s="6" t="s">
        <v>2119</v>
      </c>
      <c r="B778" s="6" t="s">
        <v>2117</v>
      </c>
      <c r="C778" s="6" t="s">
        <v>248</v>
      </c>
      <c r="D778" s="6" t="s">
        <v>93</v>
      </c>
      <c r="E778" s="6" t="s">
        <v>46</v>
      </c>
      <c r="F778" s="6" t="s">
        <v>98</v>
      </c>
      <c r="G778" s="6" t="s">
        <v>2120</v>
      </c>
    </row>
    <row r="779" spans="1:7" ht="18.95" customHeight="1">
      <c r="A779" s="6" t="s">
        <v>2121</v>
      </c>
      <c r="B779" s="6" t="s">
        <v>2122</v>
      </c>
      <c r="C779" s="6" t="s">
        <v>254</v>
      </c>
      <c r="D779" s="6" t="s">
        <v>97</v>
      </c>
      <c r="E779" s="6" t="s">
        <v>47</v>
      </c>
      <c r="F779" s="6" t="s">
        <v>98</v>
      </c>
      <c r="G779" s="6" t="s">
        <v>2123</v>
      </c>
    </row>
    <row r="780" spans="1:7" ht="18.95" customHeight="1">
      <c r="A780" s="6" t="s">
        <v>2124</v>
      </c>
      <c r="B780" s="6" t="s">
        <v>2122</v>
      </c>
      <c r="C780" s="6" t="s">
        <v>254</v>
      </c>
      <c r="D780" s="6" t="s">
        <v>103</v>
      </c>
      <c r="E780" s="6" t="s">
        <v>48</v>
      </c>
      <c r="F780" s="6" t="s">
        <v>98</v>
      </c>
      <c r="G780" s="6" t="s">
        <v>2125</v>
      </c>
    </row>
    <row r="781" spans="1:7" ht="18.95" customHeight="1">
      <c r="A781" s="6" t="s">
        <v>2126</v>
      </c>
      <c r="B781" s="6" t="s">
        <v>2127</v>
      </c>
      <c r="C781" s="6" t="s">
        <v>260</v>
      </c>
      <c r="D781" s="6" t="s">
        <v>93</v>
      </c>
      <c r="E781" s="6" t="s">
        <v>46</v>
      </c>
      <c r="F781" s="6" t="s">
        <v>98</v>
      </c>
      <c r="G781" s="6" t="s">
        <v>2128</v>
      </c>
    </row>
    <row r="782" spans="1:7" ht="18.95" customHeight="1">
      <c r="A782" s="6" t="s">
        <v>2129</v>
      </c>
      <c r="B782" s="6" t="s">
        <v>2127</v>
      </c>
      <c r="C782" s="6" t="s">
        <v>260</v>
      </c>
      <c r="D782" s="6" t="s">
        <v>97</v>
      </c>
      <c r="E782" s="6" t="s">
        <v>47</v>
      </c>
      <c r="F782" s="6" t="s">
        <v>98</v>
      </c>
      <c r="G782" s="6" t="s">
        <v>2130</v>
      </c>
    </row>
    <row r="783" spans="1:7" ht="18.95" customHeight="1">
      <c r="A783" s="6" t="s">
        <v>2131</v>
      </c>
      <c r="B783" s="6" t="s">
        <v>2132</v>
      </c>
      <c r="C783" s="6" t="s">
        <v>266</v>
      </c>
      <c r="D783" s="6" t="s">
        <v>103</v>
      </c>
      <c r="E783" s="6" t="s">
        <v>48</v>
      </c>
      <c r="F783" s="6" t="s">
        <v>98</v>
      </c>
      <c r="G783" s="6" t="s">
        <v>2133</v>
      </c>
    </row>
    <row r="784" spans="1:7" ht="18.95" customHeight="1">
      <c r="A784" s="6" t="s">
        <v>2134</v>
      </c>
      <c r="B784" s="6" t="s">
        <v>2132</v>
      </c>
      <c r="C784" s="6" t="s">
        <v>266</v>
      </c>
      <c r="D784" s="6" t="s">
        <v>93</v>
      </c>
      <c r="E784" s="6" t="s">
        <v>46</v>
      </c>
      <c r="F784" s="6" t="s">
        <v>98</v>
      </c>
      <c r="G784" s="6" t="s">
        <v>2135</v>
      </c>
    </row>
    <row r="785" spans="1:7" ht="18.95" customHeight="1">
      <c r="A785" s="6" t="s">
        <v>2136</v>
      </c>
      <c r="B785" s="6" t="s">
        <v>2137</v>
      </c>
      <c r="C785" s="6" t="s">
        <v>272</v>
      </c>
      <c r="D785" s="6" t="s">
        <v>97</v>
      </c>
      <c r="E785" s="6" t="s">
        <v>47</v>
      </c>
      <c r="F785" s="6" t="s">
        <v>98</v>
      </c>
      <c r="G785" s="6" t="s">
        <v>2138</v>
      </c>
    </row>
    <row r="786" spans="1:7" ht="18.95" customHeight="1">
      <c r="A786" s="6" t="s">
        <v>2139</v>
      </c>
      <c r="B786" s="6" t="s">
        <v>2137</v>
      </c>
      <c r="C786" s="6" t="s">
        <v>272</v>
      </c>
      <c r="D786" s="6" t="s">
        <v>103</v>
      </c>
      <c r="E786" s="6" t="s">
        <v>48</v>
      </c>
      <c r="F786" s="6" t="s">
        <v>98</v>
      </c>
      <c r="G786" s="6" t="s">
        <v>2140</v>
      </c>
    </row>
    <row r="787" spans="1:7" ht="18.95" customHeight="1">
      <c r="A787" s="6" t="s">
        <v>2141</v>
      </c>
      <c r="B787" s="6" t="s">
        <v>2142</v>
      </c>
      <c r="C787" s="6" t="s">
        <v>278</v>
      </c>
      <c r="D787" s="6" t="s">
        <v>93</v>
      </c>
      <c r="E787" s="6" t="s">
        <v>46</v>
      </c>
      <c r="F787" s="6" t="s">
        <v>98</v>
      </c>
      <c r="G787" s="6" t="s">
        <v>2143</v>
      </c>
    </row>
    <row r="788" spans="1:7" ht="18.95" customHeight="1">
      <c r="A788" s="6" t="s">
        <v>2144</v>
      </c>
      <c r="B788" s="6" t="s">
        <v>2142</v>
      </c>
      <c r="C788" s="6" t="s">
        <v>278</v>
      </c>
      <c r="D788" s="6" t="s">
        <v>97</v>
      </c>
      <c r="E788" s="6" t="s">
        <v>47</v>
      </c>
      <c r="F788" s="6" t="s">
        <v>98</v>
      </c>
      <c r="G788" s="6" t="s">
        <v>2145</v>
      </c>
    </row>
    <row r="789" spans="1:7" ht="18.95" customHeight="1">
      <c r="A789" s="6" t="s">
        <v>2146</v>
      </c>
      <c r="B789" s="6" t="s">
        <v>2147</v>
      </c>
      <c r="C789" s="6" t="s">
        <v>284</v>
      </c>
      <c r="D789" s="6" t="s">
        <v>103</v>
      </c>
      <c r="E789" s="6" t="s">
        <v>48</v>
      </c>
      <c r="F789" s="6" t="s">
        <v>94</v>
      </c>
      <c r="G789" s="6" t="s">
        <v>2148</v>
      </c>
    </row>
    <row r="790" spans="1:7" ht="18.95" customHeight="1">
      <c r="A790" s="6" t="s">
        <v>2149</v>
      </c>
      <c r="B790" s="6" t="s">
        <v>2147</v>
      </c>
      <c r="C790" s="6" t="s">
        <v>284</v>
      </c>
      <c r="D790" s="6" t="s">
        <v>93</v>
      </c>
      <c r="E790" s="6" t="s">
        <v>46</v>
      </c>
      <c r="F790" s="6" t="s">
        <v>98</v>
      </c>
      <c r="G790" s="6" t="s">
        <v>2150</v>
      </c>
    </row>
    <row r="791" spans="1:7" ht="18.95" customHeight="1">
      <c r="A791" s="6" t="s">
        <v>2151</v>
      </c>
      <c r="B791" s="6" t="s">
        <v>2152</v>
      </c>
      <c r="C791" s="6" t="s">
        <v>290</v>
      </c>
      <c r="D791" s="6" t="s">
        <v>97</v>
      </c>
      <c r="E791" s="6" t="s">
        <v>47</v>
      </c>
      <c r="F791" s="6" t="s">
        <v>98</v>
      </c>
      <c r="G791" s="6" t="s">
        <v>2153</v>
      </c>
    </row>
    <row r="792" spans="1:7" ht="18.95" customHeight="1">
      <c r="A792" s="6" t="s">
        <v>2154</v>
      </c>
      <c r="B792" s="6" t="s">
        <v>2152</v>
      </c>
      <c r="C792" s="6" t="s">
        <v>290</v>
      </c>
      <c r="D792" s="6" t="s">
        <v>103</v>
      </c>
      <c r="E792" s="6" t="s">
        <v>48</v>
      </c>
      <c r="F792" s="6" t="s">
        <v>98</v>
      </c>
      <c r="G792" s="6" t="s">
        <v>2155</v>
      </c>
    </row>
    <row r="793" spans="1:7" ht="18.95" customHeight="1">
      <c r="A793" s="6" t="s">
        <v>2156</v>
      </c>
      <c r="B793" s="6" t="s">
        <v>2157</v>
      </c>
      <c r="C793" s="6" t="s">
        <v>296</v>
      </c>
      <c r="D793" s="6" t="s">
        <v>93</v>
      </c>
      <c r="E793" s="6" t="s">
        <v>46</v>
      </c>
      <c r="F793" s="6" t="s">
        <v>98</v>
      </c>
      <c r="G793" s="6" t="s">
        <v>2158</v>
      </c>
    </row>
    <row r="794" spans="1:7" ht="18.95" customHeight="1">
      <c r="A794" s="6" t="s">
        <v>2159</v>
      </c>
      <c r="B794" s="6" t="s">
        <v>2157</v>
      </c>
      <c r="C794" s="6" t="s">
        <v>296</v>
      </c>
      <c r="D794" s="6" t="s">
        <v>97</v>
      </c>
      <c r="E794" s="6" t="s">
        <v>47</v>
      </c>
      <c r="F794" s="6" t="s">
        <v>98</v>
      </c>
      <c r="G794" s="6" t="s">
        <v>2160</v>
      </c>
    </row>
    <row r="795" spans="1:7" ht="18.95" customHeight="1">
      <c r="A795" s="6" t="s">
        <v>2161</v>
      </c>
      <c r="B795" s="6" t="s">
        <v>2162</v>
      </c>
      <c r="C795" s="6" t="s">
        <v>302</v>
      </c>
      <c r="D795" s="6" t="s">
        <v>103</v>
      </c>
      <c r="E795" s="6" t="s">
        <v>48</v>
      </c>
      <c r="F795" s="6" t="s">
        <v>98</v>
      </c>
      <c r="G795" s="6" t="s">
        <v>2163</v>
      </c>
    </row>
    <row r="796" spans="1:7" ht="18.95" customHeight="1">
      <c r="A796" s="6" t="s">
        <v>2164</v>
      </c>
      <c r="B796" s="6" t="s">
        <v>2162</v>
      </c>
      <c r="C796" s="6" t="s">
        <v>302</v>
      </c>
      <c r="D796" s="6" t="s">
        <v>93</v>
      </c>
      <c r="E796" s="6" t="s">
        <v>46</v>
      </c>
      <c r="F796" s="6" t="s">
        <v>98</v>
      </c>
      <c r="G796" s="6" t="s">
        <v>2165</v>
      </c>
    </row>
    <row r="797" spans="1:7" ht="18.95" customHeight="1">
      <c r="A797" s="6" t="s">
        <v>2166</v>
      </c>
      <c r="B797" s="6" t="s">
        <v>2167</v>
      </c>
      <c r="C797" s="6" t="s">
        <v>308</v>
      </c>
      <c r="D797" s="6" t="s">
        <v>97</v>
      </c>
      <c r="E797" s="6" t="s">
        <v>47</v>
      </c>
      <c r="F797" s="6" t="s">
        <v>98</v>
      </c>
      <c r="G797" s="6" t="s">
        <v>2168</v>
      </c>
    </row>
    <row r="798" spans="1:7" ht="18.95" customHeight="1">
      <c r="A798" s="6" t="s">
        <v>2169</v>
      </c>
      <c r="B798" s="6" t="s">
        <v>2167</v>
      </c>
      <c r="C798" s="6" t="s">
        <v>308</v>
      </c>
      <c r="D798" s="6" t="s">
        <v>103</v>
      </c>
      <c r="E798" s="6" t="s">
        <v>48</v>
      </c>
      <c r="F798" s="6" t="s">
        <v>98</v>
      </c>
      <c r="G798" s="6" t="s">
        <v>2170</v>
      </c>
    </row>
    <row r="799" spans="1:7" ht="18.95" customHeight="1">
      <c r="A799" s="6" t="s">
        <v>2171</v>
      </c>
      <c r="B799" s="6" t="s">
        <v>2172</v>
      </c>
      <c r="C799" s="6" t="s">
        <v>314</v>
      </c>
      <c r="D799" s="6" t="s">
        <v>93</v>
      </c>
      <c r="E799" s="6" t="s">
        <v>46</v>
      </c>
      <c r="F799" s="6" t="s">
        <v>98</v>
      </c>
      <c r="G799" s="6" t="s">
        <v>2173</v>
      </c>
    </row>
    <row r="800" spans="1:7" ht="18.95" customHeight="1">
      <c r="A800" s="6" t="s">
        <v>2174</v>
      </c>
      <c r="B800" s="6" t="s">
        <v>2172</v>
      </c>
      <c r="C800" s="6" t="s">
        <v>314</v>
      </c>
      <c r="D800" s="6" t="s">
        <v>97</v>
      </c>
      <c r="E800" s="6" t="s">
        <v>47</v>
      </c>
      <c r="F800" s="6" t="s">
        <v>98</v>
      </c>
      <c r="G800" s="6" t="s">
        <v>2175</v>
      </c>
    </row>
    <row r="801" spans="1:7" ht="18.95" customHeight="1">
      <c r="A801" s="6" t="s">
        <v>2176</v>
      </c>
      <c r="B801" s="6" t="s">
        <v>2177</v>
      </c>
      <c r="C801" s="6" t="s">
        <v>320</v>
      </c>
      <c r="D801" s="6" t="s">
        <v>103</v>
      </c>
      <c r="E801" s="6" t="s">
        <v>48</v>
      </c>
      <c r="F801" s="6" t="s">
        <v>98</v>
      </c>
      <c r="G801" s="6" t="s">
        <v>2178</v>
      </c>
    </row>
    <row r="802" spans="1:7" ht="18.95" customHeight="1">
      <c r="A802" s="6" t="s">
        <v>2179</v>
      </c>
      <c r="B802" s="6" t="s">
        <v>2177</v>
      </c>
      <c r="C802" s="6" t="s">
        <v>320</v>
      </c>
      <c r="D802" s="6" t="s">
        <v>93</v>
      </c>
      <c r="E802" s="6" t="s">
        <v>46</v>
      </c>
      <c r="F802" s="6" t="s">
        <v>98</v>
      </c>
      <c r="G802" s="6" t="s">
        <v>2180</v>
      </c>
    </row>
    <row r="803" spans="1:7" ht="18.95" customHeight="1">
      <c r="A803" s="6" t="s">
        <v>2181</v>
      </c>
      <c r="B803" s="6" t="s">
        <v>2182</v>
      </c>
      <c r="C803" s="6" t="s">
        <v>326</v>
      </c>
      <c r="D803" s="6" t="s">
        <v>97</v>
      </c>
      <c r="E803" s="6" t="s">
        <v>47</v>
      </c>
      <c r="F803" s="6" t="s">
        <v>98</v>
      </c>
      <c r="G803" s="6" t="s">
        <v>2183</v>
      </c>
    </row>
    <row r="804" spans="1:7" ht="18.95" customHeight="1">
      <c r="A804" s="6" t="s">
        <v>2184</v>
      </c>
      <c r="B804" s="6" t="s">
        <v>2182</v>
      </c>
      <c r="C804" s="6" t="s">
        <v>326</v>
      </c>
      <c r="D804" s="6" t="s">
        <v>103</v>
      </c>
      <c r="E804" s="6" t="s">
        <v>48</v>
      </c>
      <c r="F804" s="6" t="s">
        <v>98</v>
      </c>
      <c r="G804" s="6" t="s">
        <v>2185</v>
      </c>
    </row>
    <row r="805" spans="1:7" ht="18.95" customHeight="1">
      <c r="A805" s="6" t="s">
        <v>2186</v>
      </c>
      <c r="B805" s="6" t="s">
        <v>2187</v>
      </c>
      <c r="C805" s="6" t="s">
        <v>332</v>
      </c>
      <c r="D805" s="6" t="s">
        <v>93</v>
      </c>
      <c r="E805" s="6" t="s">
        <v>46</v>
      </c>
      <c r="F805" s="6" t="s">
        <v>98</v>
      </c>
      <c r="G805" s="6" t="s">
        <v>2188</v>
      </c>
    </row>
    <row r="806" spans="1:7" ht="18.95" customHeight="1">
      <c r="A806" s="6" t="s">
        <v>2189</v>
      </c>
      <c r="B806" s="6" t="s">
        <v>2187</v>
      </c>
      <c r="C806" s="6" t="s">
        <v>332</v>
      </c>
      <c r="D806" s="6" t="s">
        <v>97</v>
      </c>
      <c r="E806" s="6" t="s">
        <v>47</v>
      </c>
      <c r="F806" s="6" t="s">
        <v>98</v>
      </c>
      <c r="G806" s="6" t="s">
        <v>2190</v>
      </c>
    </row>
    <row r="807" spans="1:7" ht="18.95" customHeight="1">
      <c r="A807" s="6" t="s">
        <v>2191</v>
      </c>
      <c r="B807" s="6" t="s">
        <v>2192</v>
      </c>
      <c r="C807" s="6" t="s">
        <v>338</v>
      </c>
      <c r="D807" s="6" t="s">
        <v>103</v>
      </c>
      <c r="E807" s="6" t="s">
        <v>5191</v>
      </c>
      <c r="F807" s="6" t="s">
        <v>98</v>
      </c>
      <c r="G807" s="6" t="s">
        <v>2193</v>
      </c>
    </row>
    <row r="808" spans="1:7" ht="18.95" customHeight="1">
      <c r="A808" s="6" t="s">
        <v>2194</v>
      </c>
      <c r="B808" s="6" t="s">
        <v>2192</v>
      </c>
      <c r="C808" s="6" t="s">
        <v>338</v>
      </c>
      <c r="D808" s="6" t="s">
        <v>93</v>
      </c>
      <c r="E808" s="6" t="s">
        <v>46</v>
      </c>
      <c r="F808" s="6" t="s">
        <v>98</v>
      </c>
      <c r="G808" s="6" t="s">
        <v>2195</v>
      </c>
    </row>
    <row r="809" spans="1:7" ht="18.95" customHeight="1">
      <c r="A809" s="6" t="s">
        <v>2196</v>
      </c>
      <c r="B809" s="6" t="s">
        <v>2197</v>
      </c>
      <c r="C809" s="6" t="s">
        <v>344</v>
      </c>
      <c r="D809" s="6" t="s">
        <v>97</v>
      </c>
      <c r="E809" s="6" t="s">
        <v>47</v>
      </c>
      <c r="F809" s="6" t="s">
        <v>98</v>
      </c>
      <c r="G809" s="6" t="s">
        <v>2198</v>
      </c>
    </row>
    <row r="810" spans="1:7" ht="18.95" customHeight="1">
      <c r="A810" s="6" t="s">
        <v>2199</v>
      </c>
      <c r="B810" s="6" t="s">
        <v>2197</v>
      </c>
      <c r="C810" s="6" t="s">
        <v>344</v>
      </c>
      <c r="D810" s="6" t="s">
        <v>103</v>
      </c>
      <c r="E810" s="6" t="s">
        <v>48</v>
      </c>
      <c r="F810" s="6" t="s">
        <v>98</v>
      </c>
      <c r="G810" s="6" t="s">
        <v>2200</v>
      </c>
    </row>
    <row r="811" spans="1:7" ht="18.95" customHeight="1">
      <c r="A811" s="6" t="s">
        <v>2201</v>
      </c>
      <c r="B811" s="6" t="s">
        <v>2202</v>
      </c>
      <c r="C811" s="6" t="s">
        <v>350</v>
      </c>
      <c r="D811" s="6" t="s">
        <v>93</v>
      </c>
      <c r="E811" s="6" t="s">
        <v>46</v>
      </c>
      <c r="F811" s="6" t="s">
        <v>98</v>
      </c>
      <c r="G811" s="6" t="s">
        <v>2203</v>
      </c>
    </row>
    <row r="812" spans="1:7" ht="18.95" customHeight="1">
      <c r="A812" s="6" t="s">
        <v>2204</v>
      </c>
      <c r="B812" s="6" t="s">
        <v>2202</v>
      </c>
      <c r="C812" s="6" t="s">
        <v>350</v>
      </c>
      <c r="D812" s="6" t="s">
        <v>97</v>
      </c>
      <c r="E812" s="6" t="s">
        <v>47</v>
      </c>
      <c r="F812" s="6" t="s">
        <v>94</v>
      </c>
      <c r="G812" s="6" t="s">
        <v>2205</v>
      </c>
    </row>
    <row r="813" spans="1:7" ht="18.95" customHeight="1">
      <c r="A813" s="6" t="s">
        <v>2206</v>
      </c>
      <c r="B813" s="6" t="s">
        <v>2207</v>
      </c>
      <c r="C813" s="6" t="s">
        <v>356</v>
      </c>
      <c r="D813" s="6" t="s">
        <v>103</v>
      </c>
      <c r="E813" s="6" t="s">
        <v>48</v>
      </c>
      <c r="F813" s="6" t="s">
        <v>98</v>
      </c>
      <c r="G813" s="6" t="s">
        <v>2208</v>
      </c>
    </row>
    <row r="814" spans="1:7" ht="18.95" customHeight="1">
      <c r="A814" s="6" t="s">
        <v>2209</v>
      </c>
      <c r="B814" s="6" t="s">
        <v>2207</v>
      </c>
      <c r="C814" s="6" t="s">
        <v>356</v>
      </c>
      <c r="D814" s="6" t="s">
        <v>93</v>
      </c>
      <c r="E814" s="6" t="s">
        <v>46</v>
      </c>
      <c r="F814" s="6" t="s">
        <v>98</v>
      </c>
      <c r="G814" s="6" t="s">
        <v>2210</v>
      </c>
    </row>
    <row r="815" spans="1:7" ht="18.95" customHeight="1">
      <c r="A815" s="6" t="s">
        <v>2211</v>
      </c>
      <c r="B815" s="6" t="s">
        <v>2212</v>
      </c>
      <c r="C815" s="6" t="s">
        <v>362</v>
      </c>
      <c r="D815" s="6" t="s">
        <v>97</v>
      </c>
      <c r="E815" s="6" t="s">
        <v>47</v>
      </c>
      <c r="F815" s="6" t="s">
        <v>98</v>
      </c>
      <c r="G815" s="6" t="s">
        <v>2213</v>
      </c>
    </row>
    <row r="816" spans="1:7" ht="18.95" customHeight="1">
      <c r="A816" s="6" t="s">
        <v>2214</v>
      </c>
      <c r="B816" s="6" t="s">
        <v>2212</v>
      </c>
      <c r="C816" s="6" t="s">
        <v>362</v>
      </c>
      <c r="D816" s="6" t="s">
        <v>103</v>
      </c>
      <c r="E816" s="6" t="s">
        <v>48</v>
      </c>
      <c r="F816" s="6" t="s">
        <v>98</v>
      </c>
      <c r="G816" s="6" t="s">
        <v>2215</v>
      </c>
    </row>
    <row r="817" spans="1:7" ht="18.95" customHeight="1">
      <c r="A817" s="6" t="s">
        <v>2216</v>
      </c>
      <c r="B817" s="6" t="s">
        <v>2217</v>
      </c>
      <c r="C817" s="6" t="s">
        <v>368</v>
      </c>
      <c r="D817" s="6" t="s">
        <v>93</v>
      </c>
      <c r="E817" s="6" t="s">
        <v>46</v>
      </c>
      <c r="F817" s="6" t="s">
        <v>98</v>
      </c>
      <c r="G817" s="6" t="s">
        <v>2218</v>
      </c>
    </row>
    <row r="818" spans="1:7" ht="18.95" customHeight="1">
      <c r="A818" s="6" t="s">
        <v>2219</v>
      </c>
      <c r="B818" s="6" t="s">
        <v>2217</v>
      </c>
      <c r="C818" s="6" t="s">
        <v>368</v>
      </c>
      <c r="D818" s="6" t="s">
        <v>97</v>
      </c>
      <c r="E818" s="6" t="s">
        <v>47</v>
      </c>
      <c r="F818" s="6" t="s">
        <v>98</v>
      </c>
      <c r="G818" s="6" t="s">
        <v>2220</v>
      </c>
    </row>
    <row r="819" spans="1:7" ht="18.95" customHeight="1">
      <c r="A819" s="6" t="s">
        <v>2221</v>
      </c>
      <c r="B819" s="6" t="s">
        <v>2222</v>
      </c>
      <c r="C819" s="6" t="s">
        <v>374</v>
      </c>
      <c r="D819" s="6" t="s">
        <v>103</v>
      </c>
      <c r="E819" s="6" t="s">
        <v>48</v>
      </c>
      <c r="F819" s="6" t="s">
        <v>98</v>
      </c>
      <c r="G819" s="6" t="s">
        <v>2223</v>
      </c>
    </row>
    <row r="820" spans="1:7" ht="18.95" customHeight="1">
      <c r="A820" s="6" t="s">
        <v>2224</v>
      </c>
      <c r="B820" s="6" t="s">
        <v>2222</v>
      </c>
      <c r="C820" s="6" t="s">
        <v>374</v>
      </c>
      <c r="D820" s="6" t="s">
        <v>93</v>
      </c>
      <c r="E820" s="6" t="s">
        <v>46</v>
      </c>
      <c r="F820" s="6" t="s">
        <v>98</v>
      </c>
      <c r="G820" s="6" t="s">
        <v>2225</v>
      </c>
    </row>
    <row r="821" spans="1:7" ht="18.95" customHeight="1">
      <c r="A821" s="6" t="s">
        <v>2226</v>
      </c>
      <c r="B821" s="6" t="s">
        <v>2227</v>
      </c>
      <c r="C821" s="6" t="s">
        <v>380</v>
      </c>
      <c r="D821" s="6" t="s">
        <v>97</v>
      </c>
      <c r="E821" s="6" t="s">
        <v>47</v>
      </c>
      <c r="F821" s="6" t="s">
        <v>98</v>
      </c>
      <c r="G821" s="6" t="s">
        <v>2228</v>
      </c>
    </row>
    <row r="822" spans="1:7" ht="18.95" customHeight="1">
      <c r="A822" s="6" t="s">
        <v>2229</v>
      </c>
      <c r="B822" s="6" t="s">
        <v>2227</v>
      </c>
      <c r="C822" s="6" t="s">
        <v>380</v>
      </c>
      <c r="D822" s="6" t="s">
        <v>103</v>
      </c>
      <c r="E822" s="6" t="s">
        <v>48</v>
      </c>
      <c r="F822" s="6" t="s">
        <v>98</v>
      </c>
      <c r="G822" s="6" t="s">
        <v>2230</v>
      </c>
    </row>
    <row r="823" spans="1:7" ht="18.95" customHeight="1">
      <c r="A823" s="6" t="s">
        <v>2231</v>
      </c>
      <c r="B823" s="6" t="s">
        <v>2232</v>
      </c>
      <c r="C823" s="6" t="s">
        <v>386</v>
      </c>
      <c r="D823" s="6" t="s">
        <v>93</v>
      </c>
      <c r="E823" s="6" t="s">
        <v>46</v>
      </c>
      <c r="F823" s="6" t="s">
        <v>98</v>
      </c>
      <c r="G823" s="6" t="s">
        <v>2233</v>
      </c>
    </row>
    <row r="824" spans="1:7" ht="18.95" customHeight="1">
      <c r="A824" s="6" t="s">
        <v>2234</v>
      </c>
      <c r="B824" s="6" t="s">
        <v>2232</v>
      </c>
      <c r="C824" s="6" t="s">
        <v>386</v>
      </c>
      <c r="D824" s="6" t="s">
        <v>97</v>
      </c>
      <c r="E824" s="6" t="s">
        <v>47</v>
      </c>
      <c r="F824" s="6" t="s">
        <v>98</v>
      </c>
      <c r="G824" s="6" t="s">
        <v>2235</v>
      </c>
    </row>
    <row r="825" spans="1:7" ht="18.95" customHeight="1">
      <c r="A825" s="6" t="s">
        <v>2236</v>
      </c>
      <c r="B825" s="6" t="s">
        <v>2237</v>
      </c>
      <c r="C825" s="6" t="s">
        <v>392</v>
      </c>
      <c r="D825" s="6" t="s">
        <v>103</v>
      </c>
      <c r="E825" s="6" t="s">
        <v>48</v>
      </c>
      <c r="F825" s="6" t="s">
        <v>98</v>
      </c>
      <c r="G825" s="6" t="s">
        <v>2238</v>
      </c>
    </row>
    <row r="826" spans="1:7" ht="18.95" customHeight="1">
      <c r="A826" s="6" t="s">
        <v>2239</v>
      </c>
      <c r="B826" s="6" t="s">
        <v>2237</v>
      </c>
      <c r="C826" s="6" t="s">
        <v>392</v>
      </c>
      <c r="D826" s="6" t="s">
        <v>93</v>
      </c>
      <c r="E826" s="6" t="s">
        <v>46</v>
      </c>
      <c r="F826" s="6" t="s">
        <v>98</v>
      </c>
      <c r="G826" s="6" t="s">
        <v>2240</v>
      </c>
    </row>
    <row r="827" spans="1:7" ht="18.95" customHeight="1">
      <c r="A827" s="6" t="s">
        <v>2241</v>
      </c>
      <c r="B827" s="6" t="s">
        <v>2242</v>
      </c>
      <c r="C827" s="6" t="s">
        <v>398</v>
      </c>
      <c r="D827" s="6" t="s">
        <v>97</v>
      </c>
      <c r="E827" s="6" t="s">
        <v>47</v>
      </c>
      <c r="F827" s="6" t="s">
        <v>98</v>
      </c>
      <c r="G827" s="6" t="s">
        <v>2243</v>
      </c>
    </row>
    <row r="828" spans="1:7" ht="18.95" customHeight="1">
      <c r="A828" s="6" t="s">
        <v>2244</v>
      </c>
      <c r="B828" s="6" t="s">
        <v>2242</v>
      </c>
      <c r="C828" s="6" t="s">
        <v>398</v>
      </c>
      <c r="D828" s="6" t="s">
        <v>103</v>
      </c>
      <c r="E828" s="6" t="s">
        <v>48</v>
      </c>
      <c r="F828" s="6" t="s">
        <v>98</v>
      </c>
      <c r="G828" s="6" t="s">
        <v>2245</v>
      </c>
    </row>
    <row r="829" spans="1:7" ht="18.95" customHeight="1">
      <c r="A829" s="6" t="s">
        <v>2246</v>
      </c>
      <c r="B829" s="6" t="s">
        <v>2247</v>
      </c>
      <c r="C829" s="6" t="s">
        <v>404</v>
      </c>
      <c r="D829" s="6" t="s">
        <v>93</v>
      </c>
      <c r="E829" s="6" t="s">
        <v>46</v>
      </c>
      <c r="F829" s="6" t="s">
        <v>98</v>
      </c>
      <c r="G829" s="6" t="s">
        <v>2248</v>
      </c>
    </row>
    <row r="830" spans="1:7" ht="18.95" customHeight="1">
      <c r="A830" s="6" t="s">
        <v>2249</v>
      </c>
      <c r="B830" s="6" t="s">
        <v>2247</v>
      </c>
      <c r="C830" s="6" t="s">
        <v>404</v>
      </c>
      <c r="D830" s="6" t="s">
        <v>97</v>
      </c>
      <c r="E830" s="6" t="s">
        <v>47</v>
      </c>
      <c r="F830" s="6" t="s">
        <v>98</v>
      </c>
      <c r="G830" s="6" t="s">
        <v>2250</v>
      </c>
    </row>
    <row r="831" spans="1:7" ht="18.95" customHeight="1">
      <c r="A831" s="6" t="s">
        <v>2251</v>
      </c>
      <c r="B831" s="6" t="s">
        <v>2252</v>
      </c>
      <c r="C831" s="6" t="s">
        <v>410</v>
      </c>
      <c r="D831" s="6" t="s">
        <v>103</v>
      </c>
      <c r="E831" s="6" t="s">
        <v>48</v>
      </c>
      <c r="F831" s="6" t="s">
        <v>98</v>
      </c>
      <c r="G831" s="6" t="s">
        <v>2253</v>
      </c>
    </row>
    <row r="832" spans="1:7" ht="18.95" customHeight="1">
      <c r="A832" s="6" t="s">
        <v>2254</v>
      </c>
      <c r="B832" s="6" t="s">
        <v>2252</v>
      </c>
      <c r="C832" s="6" t="s">
        <v>410</v>
      </c>
      <c r="D832" s="6" t="s">
        <v>93</v>
      </c>
      <c r="E832" s="6" t="s">
        <v>46</v>
      </c>
      <c r="F832" s="6" t="s">
        <v>98</v>
      </c>
      <c r="G832" s="6" t="s">
        <v>2255</v>
      </c>
    </row>
    <row r="833" spans="1:7" ht="18.95" customHeight="1">
      <c r="A833" s="6" t="s">
        <v>2256</v>
      </c>
      <c r="B833" s="6" t="s">
        <v>2257</v>
      </c>
      <c r="C833" s="6" t="s">
        <v>416</v>
      </c>
      <c r="D833" s="6" t="s">
        <v>97</v>
      </c>
      <c r="E833" s="6" t="s">
        <v>47</v>
      </c>
      <c r="F833" s="6" t="s">
        <v>98</v>
      </c>
      <c r="G833" s="6" t="s">
        <v>2258</v>
      </c>
    </row>
    <row r="834" spans="1:7" ht="18.95" customHeight="1">
      <c r="A834" s="6" t="s">
        <v>2259</v>
      </c>
      <c r="B834" s="6" t="s">
        <v>2257</v>
      </c>
      <c r="C834" s="6" t="s">
        <v>416</v>
      </c>
      <c r="D834" s="6" t="s">
        <v>103</v>
      </c>
      <c r="E834" s="6" t="s">
        <v>48</v>
      </c>
      <c r="F834" s="6" t="s">
        <v>98</v>
      </c>
      <c r="G834" s="6" t="s">
        <v>2260</v>
      </c>
    </row>
    <row r="835" spans="1:7" ht="18.95" customHeight="1">
      <c r="A835" s="6" t="s">
        <v>2261</v>
      </c>
      <c r="B835" s="6" t="s">
        <v>2262</v>
      </c>
      <c r="C835" s="6" t="s">
        <v>422</v>
      </c>
      <c r="D835" s="6" t="s">
        <v>93</v>
      </c>
      <c r="E835" s="6" t="s">
        <v>46</v>
      </c>
      <c r="F835" s="6" t="s">
        <v>94</v>
      </c>
      <c r="G835" s="6" t="s">
        <v>2263</v>
      </c>
    </row>
    <row r="836" spans="1:7" ht="18.95" customHeight="1">
      <c r="A836" s="6" t="s">
        <v>2264</v>
      </c>
      <c r="B836" s="6" t="s">
        <v>2262</v>
      </c>
      <c r="C836" s="6" t="s">
        <v>422</v>
      </c>
      <c r="D836" s="6" t="s">
        <v>97</v>
      </c>
      <c r="E836" s="6" t="s">
        <v>47</v>
      </c>
      <c r="F836" s="6" t="s">
        <v>98</v>
      </c>
      <c r="G836" s="6" t="s">
        <v>2265</v>
      </c>
    </row>
    <row r="837" spans="1:7" ht="18.95" customHeight="1">
      <c r="A837" s="6" t="s">
        <v>2266</v>
      </c>
      <c r="B837" s="6" t="s">
        <v>2267</v>
      </c>
      <c r="C837" s="6" t="s">
        <v>428</v>
      </c>
      <c r="D837" s="6" t="s">
        <v>103</v>
      </c>
      <c r="E837" s="6" t="s">
        <v>48</v>
      </c>
      <c r="F837" s="6" t="s">
        <v>98</v>
      </c>
      <c r="G837" s="6" t="s">
        <v>2268</v>
      </c>
    </row>
    <row r="838" spans="1:7" ht="18.95" customHeight="1">
      <c r="A838" s="6" t="s">
        <v>2269</v>
      </c>
      <c r="B838" s="6" t="s">
        <v>2267</v>
      </c>
      <c r="C838" s="6" t="s">
        <v>428</v>
      </c>
      <c r="D838" s="6" t="s">
        <v>93</v>
      </c>
      <c r="E838" s="6" t="s">
        <v>46</v>
      </c>
      <c r="F838" s="6" t="s">
        <v>98</v>
      </c>
      <c r="G838" s="6" t="s">
        <v>2270</v>
      </c>
    </row>
    <row r="839" spans="1:7" ht="18.95" customHeight="1">
      <c r="A839" s="6" t="s">
        <v>2271</v>
      </c>
      <c r="B839" s="6" t="s">
        <v>2272</v>
      </c>
      <c r="C839" s="6" t="s">
        <v>434</v>
      </c>
      <c r="D839" s="6" t="s">
        <v>97</v>
      </c>
      <c r="E839" s="6" t="s">
        <v>47</v>
      </c>
      <c r="F839" s="6" t="s">
        <v>98</v>
      </c>
      <c r="G839" s="6" t="s">
        <v>2273</v>
      </c>
    </row>
    <row r="840" spans="1:7" ht="18.95" customHeight="1">
      <c r="A840" s="6" t="s">
        <v>2274</v>
      </c>
      <c r="B840" s="6" t="s">
        <v>2272</v>
      </c>
      <c r="C840" s="6" t="s">
        <v>434</v>
      </c>
      <c r="D840" s="6" t="s">
        <v>103</v>
      </c>
      <c r="E840" s="6" t="s">
        <v>48</v>
      </c>
      <c r="F840" s="6" t="s">
        <v>98</v>
      </c>
      <c r="G840" s="6" t="s">
        <v>2275</v>
      </c>
    </row>
    <row r="841" spans="1:7" ht="18.95" customHeight="1">
      <c r="A841" s="6" t="s">
        <v>2276</v>
      </c>
      <c r="B841" s="6" t="s">
        <v>2277</v>
      </c>
      <c r="C841" s="6" t="s">
        <v>440</v>
      </c>
      <c r="D841" s="6" t="s">
        <v>93</v>
      </c>
      <c r="E841" s="6" t="s">
        <v>46</v>
      </c>
      <c r="F841" s="6" t="s">
        <v>98</v>
      </c>
      <c r="G841" s="6" t="s">
        <v>2278</v>
      </c>
    </row>
    <row r="842" spans="1:7" ht="18.95" customHeight="1">
      <c r="A842" s="6" t="s">
        <v>2279</v>
      </c>
      <c r="B842" s="6" t="s">
        <v>2277</v>
      </c>
      <c r="C842" s="6" t="s">
        <v>440</v>
      </c>
      <c r="D842" s="6" t="s">
        <v>97</v>
      </c>
      <c r="E842" s="6" t="s">
        <v>47</v>
      </c>
      <c r="F842" s="6" t="s">
        <v>98</v>
      </c>
      <c r="G842" s="6" t="s">
        <v>2280</v>
      </c>
    </row>
    <row r="843" spans="1:7" ht="18.95" customHeight="1">
      <c r="A843" s="6" t="s">
        <v>2281</v>
      </c>
      <c r="B843" s="6" t="s">
        <v>2282</v>
      </c>
      <c r="C843" s="6" t="s">
        <v>446</v>
      </c>
      <c r="D843" s="6" t="s">
        <v>103</v>
      </c>
      <c r="E843" s="6" t="s">
        <v>48</v>
      </c>
      <c r="F843" s="6" t="s">
        <v>98</v>
      </c>
      <c r="G843" s="6" t="s">
        <v>2283</v>
      </c>
    </row>
    <row r="844" spans="1:7" ht="18.95" customHeight="1">
      <c r="A844" s="6" t="s">
        <v>2284</v>
      </c>
      <c r="B844" s="6" t="s">
        <v>2282</v>
      </c>
      <c r="C844" s="6" t="s">
        <v>446</v>
      </c>
      <c r="D844" s="6" t="s">
        <v>93</v>
      </c>
      <c r="E844" s="6" t="s">
        <v>46</v>
      </c>
      <c r="F844" s="6" t="s">
        <v>98</v>
      </c>
      <c r="G844" s="6" t="s">
        <v>2285</v>
      </c>
    </row>
    <row r="845" spans="1:7" ht="18.95" customHeight="1">
      <c r="A845" s="6" t="s">
        <v>2286</v>
      </c>
      <c r="B845" s="6" t="s">
        <v>2287</v>
      </c>
      <c r="C845" s="6" t="s">
        <v>452</v>
      </c>
      <c r="D845" s="6" t="s">
        <v>97</v>
      </c>
      <c r="E845" s="6" t="s">
        <v>47</v>
      </c>
      <c r="F845" s="6" t="s">
        <v>98</v>
      </c>
      <c r="G845" s="6" t="s">
        <v>2288</v>
      </c>
    </row>
    <row r="846" spans="1:7" ht="18.95" customHeight="1">
      <c r="A846" s="6" t="s">
        <v>2289</v>
      </c>
      <c r="B846" s="6" t="s">
        <v>2287</v>
      </c>
      <c r="C846" s="6" t="s">
        <v>452</v>
      </c>
      <c r="D846" s="6" t="s">
        <v>103</v>
      </c>
      <c r="E846" s="6" t="s">
        <v>48</v>
      </c>
      <c r="F846" s="6" t="s">
        <v>98</v>
      </c>
      <c r="G846" s="6" t="s">
        <v>2290</v>
      </c>
    </row>
    <row r="847" spans="1:7" ht="18.95" customHeight="1">
      <c r="A847" s="6" t="s">
        <v>2291</v>
      </c>
      <c r="B847" s="6" t="s">
        <v>2292</v>
      </c>
      <c r="C847" s="6" t="s">
        <v>458</v>
      </c>
      <c r="D847" s="6" t="s">
        <v>93</v>
      </c>
      <c r="E847" s="6" t="s">
        <v>46</v>
      </c>
      <c r="F847" s="6" t="s">
        <v>98</v>
      </c>
      <c r="G847" s="6" t="s">
        <v>2293</v>
      </c>
    </row>
    <row r="848" spans="1:7" ht="18.95" customHeight="1">
      <c r="A848" s="6" t="s">
        <v>2294</v>
      </c>
      <c r="B848" s="6" t="s">
        <v>2292</v>
      </c>
      <c r="C848" s="6" t="s">
        <v>458</v>
      </c>
      <c r="D848" s="6" t="s">
        <v>97</v>
      </c>
      <c r="E848" s="6" t="s">
        <v>47</v>
      </c>
      <c r="F848" s="6" t="s">
        <v>98</v>
      </c>
      <c r="G848" s="6" t="s">
        <v>2295</v>
      </c>
    </row>
    <row r="849" spans="1:7" ht="18.95" customHeight="1">
      <c r="A849" s="6" t="s">
        <v>2296</v>
      </c>
      <c r="B849" s="6" t="s">
        <v>2297</v>
      </c>
      <c r="C849" s="6" t="s">
        <v>464</v>
      </c>
      <c r="D849" s="6" t="s">
        <v>103</v>
      </c>
      <c r="E849" s="6" t="s">
        <v>48</v>
      </c>
      <c r="F849" s="6" t="s">
        <v>98</v>
      </c>
      <c r="G849" s="6" t="s">
        <v>2298</v>
      </c>
    </row>
    <row r="850" spans="1:7" ht="18.95" customHeight="1">
      <c r="A850" s="6" t="s">
        <v>2299</v>
      </c>
      <c r="B850" s="6" t="s">
        <v>2297</v>
      </c>
      <c r="C850" s="6" t="s">
        <v>464</v>
      </c>
      <c r="D850" s="6" t="s">
        <v>93</v>
      </c>
      <c r="E850" s="6" t="s">
        <v>46</v>
      </c>
      <c r="F850" s="6" t="s">
        <v>98</v>
      </c>
      <c r="G850" s="6" t="s">
        <v>2300</v>
      </c>
    </row>
    <row r="851" spans="1:7" ht="18.95" customHeight="1">
      <c r="A851" s="6" t="s">
        <v>2301</v>
      </c>
      <c r="B851" s="6" t="s">
        <v>2302</v>
      </c>
      <c r="C851" s="6" t="s">
        <v>470</v>
      </c>
      <c r="D851" s="6" t="s">
        <v>97</v>
      </c>
      <c r="E851" s="6" t="s">
        <v>47</v>
      </c>
      <c r="F851" s="6" t="s">
        <v>98</v>
      </c>
      <c r="G851" s="6" t="s">
        <v>2303</v>
      </c>
    </row>
    <row r="852" spans="1:7" ht="18.95" customHeight="1">
      <c r="A852" s="6" t="s">
        <v>2304</v>
      </c>
      <c r="B852" s="6" t="s">
        <v>2302</v>
      </c>
      <c r="C852" s="6" t="s">
        <v>470</v>
      </c>
      <c r="D852" s="6" t="s">
        <v>103</v>
      </c>
      <c r="E852" s="6" t="s">
        <v>48</v>
      </c>
      <c r="F852" s="6" t="s">
        <v>98</v>
      </c>
      <c r="G852" s="6" t="s">
        <v>2305</v>
      </c>
    </row>
    <row r="853" spans="1:7" ht="18.95" customHeight="1">
      <c r="A853" s="6" t="s">
        <v>2306</v>
      </c>
      <c r="B853" s="6" t="s">
        <v>2307</v>
      </c>
      <c r="C853" s="6" t="s">
        <v>476</v>
      </c>
      <c r="D853" s="6" t="s">
        <v>93</v>
      </c>
      <c r="E853" s="6" t="s">
        <v>46</v>
      </c>
      <c r="F853" s="6" t="s">
        <v>98</v>
      </c>
      <c r="G853" s="6" t="s">
        <v>2308</v>
      </c>
    </row>
    <row r="854" spans="1:7" ht="18.95" customHeight="1">
      <c r="A854" s="6" t="s">
        <v>2309</v>
      </c>
      <c r="B854" s="6" t="s">
        <v>2307</v>
      </c>
      <c r="C854" s="6" t="s">
        <v>476</v>
      </c>
      <c r="D854" s="6" t="s">
        <v>97</v>
      </c>
      <c r="E854" s="6" t="s">
        <v>47</v>
      </c>
      <c r="F854" s="6" t="s">
        <v>98</v>
      </c>
      <c r="G854" s="6" t="s">
        <v>2310</v>
      </c>
    </row>
    <row r="855" spans="1:7" ht="18.95" customHeight="1">
      <c r="A855" s="6" t="s">
        <v>2311</v>
      </c>
      <c r="B855" s="6" t="s">
        <v>2312</v>
      </c>
      <c r="C855" s="6" t="s">
        <v>482</v>
      </c>
      <c r="D855" s="6" t="s">
        <v>103</v>
      </c>
      <c r="E855" s="6" t="s">
        <v>48</v>
      </c>
      <c r="F855" s="6" t="s">
        <v>98</v>
      </c>
      <c r="G855" s="6" t="s">
        <v>2313</v>
      </c>
    </row>
    <row r="856" spans="1:7" ht="18.95" customHeight="1">
      <c r="A856" s="6" t="s">
        <v>2314</v>
      </c>
      <c r="B856" s="6" t="s">
        <v>2312</v>
      </c>
      <c r="C856" s="6" t="s">
        <v>482</v>
      </c>
      <c r="D856" s="6" t="s">
        <v>93</v>
      </c>
      <c r="E856" s="6" t="s">
        <v>46</v>
      </c>
      <c r="F856" s="6" t="s">
        <v>98</v>
      </c>
      <c r="G856" s="6" t="s">
        <v>2315</v>
      </c>
    </row>
    <row r="857" spans="1:7" ht="18.95" customHeight="1">
      <c r="A857" s="6" t="s">
        <v>2316</v>
      </c>
      <c r="B857" s="6" t="s">
        <v>2317</v>
      </c>
      <c r="C857" s="6" t="s">
        <v>488</v>
      </c>
      <c r="D857" s="6" t="s">
        <v>97</v>
      </c>
      <c r="E857" s="6" t="s">
        <v>47</v>
      </c>
      <c r="F857" s="6" t="s">
        <v>98</v>
      </c>
      <c r="G857" s="6" t="s">
        <v>2318</v>
      </c>
    </row>
    <row r="858" spans="1:7" ht="18.95" customHeight="1">
      <c r="A858" s="6" t="s">
        <v>2319</v>
      </c>
      <c r="B858" s="6" t="s">
        <v>2317</v>
      </c>
      <c r="C858" s="6" t="s">
        <v>488</v>
      </c>
      <c r="D858" s="6" t="s">
        <v>103</v>
      </c>
      <c r="E858" s="6" t="s">
        <v>48</v>
      </c>
      <c r="F858" s="6" t="s">
        <v>94</v>
      </c>
      <c r="G858" s="6" t="s">
        <v>2320</v>
      </c>
    </row>
    <row r="859" spans="1:7" ht="18.95" customHeight="1">
      <c r="A859" s="6" t="s">
        <v>2321</v>
      </c>
      <c r="B859" s="6" t="s">
        <v>2322</v>
      </c>
      <c r="C859" s="6" t="s">
        <v>494</v>
      </c>
      <c r="D859" s="6" t="s">
        <v>93</v>
      </c>
      <c r="E859" s="6" t="s">
        <v>46</v>
      </c>
      <c r="F859" s="6" t="s">
        <v>98</v>
      </c>
      <c r="G859" s="6" t="s">
        <v>2323</v>
      </c>
    </row>
    <row r="860" spans="1:7" ht="18.95" customHeight="1">
      <c r="A860" s="6" t="s">
        <v>2324</v>
      </c>
      <c r="B860" s="6" t="s">
        <v>2322</v>
      </c>
      <c r="C860" s="6" t="s">
        <v>494</v>
      </c>
      <c r="D860" s="6" t="s">
        <v>97</v>
      </c>
      <c r="E860" s="6" t="s">
        <v>47</v>
      </c>
      <c r="F860" s="6" t="s">
        <v>98</v>
      </c>
      <c r="G860" s="6" t="s">
        <v>2325</v>
      </c>
    </row>
    <row r="861" spans="1:7" ht="18.95" customHeight="1">
      <c r="A861" s="6" t="s">
        <v>2326</v>
      </c>
      <c r="B861" s="6" t="s">
        <v>2327</v>
      </c>
      <c r="C861" s="6" t="s">
        <v>500</v>
      </c>
      <c r="D861" s="6" t="s">
        <v>103</v>
      </c>
      <c r="E861" s="6" t="s">
        <v>48</v>
      </c>
      <c r="F861" s="6" t="s">
        <v>98</v>
      </c>
      <c r="G861" s="6" t="s">
        <v>2328</v>
      </c>
    </row>
    <row r="862" spans="1:7" ht="18.95" customHeight="1">
      <c r="A862" s="6" t="s">
        <v>2329</v>
      </c>
      <c r="B862" s="6" t="s">
        <v>2327</v>
      </c>
      <c r="C862" s="6" t="s">
        <v>2330</v>
      </c>
      <c r="D862" s="6" t="s">
        <v>93</v>
      </c>
      <c r="E862" s="6" t="s">
        <v>46</v>
      </c>
      <c r="F862" s="6" t="s">
        <v>98</v>
      </c>
      <c r="G862" s="6" t="s">
        <v>2331</v>
      </c>
    </row>
    <row r="863" spans="1:7" ht="18.95" customHeight="1">
      <c r="A863" s="6" t="s">
        <v>2332</v>
      </c>
      <c r="B863" s="6" t="s">
        <v>2333</v>
      </c>
      <c r="C863" s="6" t="s">
        <v>506</v>
      </c>
      <c r="D863" s="6" t="s">
        <v>97</v>
      </c>
      <c r="E863" s="6" t="s">
        <v>47</v>
      </c>
      <c r="F863" s="6" t="s">
        <v>98</v>
      </c>
      <c r="G863" s="6" t="s">
        <v>2334</v>
      </c>
    </row>
    <row r="864" spans="1:7" ht="18.95" customHeight="1">
      <c r="A864" s="6" t="s">
        <v>2335</v>
      </c>
      <c r="B864" s="6" t="s">
        <v>2333</v>
      </c>
      <c r="C864" s="6" t="s">
        <v>506</v>
      </c>
      <c r="D864" s="6" t="s">
        <v>103</v>
      </c>
      <c r="E864" s="6" t="s">
        <v>48</v>
      </c>
      <c r="F864" s="6" t="s">
        <v>98</v>
      </c>
      <c r="G864" s="6" t="s">
        <v>2336</v>
      </c>
    </row>
    <row r="865" spans="1:7" ht="18.95" customHeight="1">
      <c r="A865" s="6" t="s">
        <v>2337</v>
      </c>
      <c r="B865" s="6" t="s">
        <v>2338</v>
      </c>
      <c r="C865" s="6" t="s">
        <v>512</v>
      </c>
      <c r="D865" s="6" t="s">
        <v>93</v>
      </c>
      <c r="E865" s="6" t="s">
        <v>46</v>
      </c>
      <c r="F865" s="6" t="s">
        <v>98</v>
      </c>
      <c r="G865" s="6" t="s">
        <v>2339</v>
      </c>
    </row>
    <row r="866" spans="1:7" ht="18.95" customHeight="1">
      <c r="A866" s="6" t="s">
        <v>2340</v>
      </c>
      <c r="B866" s="6" t="s">
        <v>2338</v>
      </c>
      <c r="C866" s="6" t="s">
        <v>512</v>
      </c>
      <c r="D866" s="6" t="s">
        <v>97</v>
      </c>
      <c r="E866" s="6" t="s">
        <v>47</v>
      </c>
      <c r="F866" s="6" t="s">
        <v>98</v>
      </c>
      <c r="G866" s="6" t="s">
        <v>2341</v>
      </c>
    </row>
    <row r="867" spans="1:7" ht="18.95" customHeight="1">
      <c r="A867" s="6" t="s">
        <v>2342</v>
      </c>
      <c r="B867" s="6" t="s">
        <v>2343</v>
      </c>
      <c r="C867" s="6" t="s">
        <v>518</v>
      </c>
      <c r="D867" s="6" t="s">
        <v>103</v>
      </c>
      <c r="E867" s="6" t="s">
        <v>48</v>
      </c>
      <c r="F867" s="6" t="s">
        <v>98</v>
      </c>
      <c r="G867" s="6" t="s">
        <v>2344</v>
      </c>
    </row>
    <row r="868" spans="1:7" ht="18.95" customHeight="1">
      <c r="A868" s="6" t="s">
        <v>2345</v>
      </c>
      <c r="B868" s="6" t="s">
        <v>2343</v>
      </c>
      <c r="C868" s="6" t="s">
        <v>518</v>
      </c>
      <c r="D868" s="6" t="s">
        <v>93</v>
      </c>
      <c r="E868" s="6" t="s">
        <v>46</v>
      </c>
      <c r="F868" s="6" t="s">
        <v>98</v>
      </c>
      <c r="G868" s="6" t="s">
        <v>2346</v>
      </c>
    </row>
    <row r="869" spans="1:7" ht="18.95" customHeight="1">
      <c r="A869" s="6" t="s">
        <v>2347</v>
      </c>
      <c r="B869" s="6" t="s">
        <v>2348</v>
      </c>
      <c r="C869" s="6" t="s">
        <v>524</v>
      </c>
      <c r="D869" s="6" t="s">
        <v>97</v>
      </c>
      <c r="E869" s="6" t="s">
        <v>47</v>
      </c>
      <c r="F869" s="6" t="s">
        <v>98</v>
      </c>
      <c r="G869" s="6" t="s">
        <v>2349</v>
      </c>
    </row>
    <row r="870" spans="1:7" ht="18.95" customHeight="1">
      <c r="A870" s="6" t="s">
        <v>2350</v>
      </c>
      <c r="B870" s="6" t="s">
        <v>2348</v>
      </c>
      <c r="C870" s="6" t="s">
        <v>524</v>
      </c>
      <c r="D870" s="6" t="s">
        <v>103</v>
      </c>
      <c r="E870" s="6" t="s">
        <v>5191</v>
      </c>
      <c r="F870" s="6" t="s">
        <v>98</v>
      </c>
      <c r="G870" s="6" t="s">
        <v>2351</v>
      </c>
    </row>
    <row r="871" spans="1:7" ht="18.95" customHeight="1">
      <c r="A871" s="6" t="s">
        <v>2352</v>
      </c>
      <c r="B871" s="6" t="s">
        <v>2353</v>
      </c>
      <c r="C871" s="6" t="s">
        <v>530</v>
      </c>
      <c r="D871" s="6" t="s">
        <v>93</v>
      </c>
      <c r="E871" s="6" t="s">
        <v>46</v>
      </c>
      <c r="F871" s="6" t="s">
        <v>98</v>
      </c>
      <c r="G871" s="6" t="s">
        <v>2354</v>
      </c>
    </row>
    <row r="872" spans="1:7" ht="18.95" customHeight="1">
      <c r="A872" s="6" t="s">
        <v>2355</v>
      </c>
      <c r="B872" s="6" t="s">
        <v>2353</v>
      </c>
      <c r="C872" s="6" t="s">
        <v>530</v>
      </c>
      <c r="D872" s="6" t="s">
        <v>97</v>
      </c>
      <c r="E872" s="6" t="s">
        <v>47</v>
      </c>
      <c r="F872" s="6" t="s">
        <v>98</v>
      </c>
      <c r="G872" s="6" t="s">
        <v>2356</v>
      </c>
    </row>
    <row r="873" spans="1:7" ht="18.95" customHeight="1">
      <c r="A873" s="6" t="s">
        <v>2357</v>
      </c>
      <c r="B873" s="6" t="s">
        <v>2358</v>
      </c>
      <c r="C873" s="6" t="s">
        <v>536</v>
      </c>
      <c r="D873" s="6" t="s">
        <v>103</v>
      </c>
      <c r="E873" s="6" t="s">
        <v>48</v>
      </c>
      <c r="F873" s="6" t="s">
        <v>98</v>
      </c>
      <c r="G873" s="6" t="s">
        <v>2359</v>
      </c>
    </row>
    <row r="874" spans="1:7" ht="18.95" customHeight="1">
      <c r="A874" s="6" t="s">
        <v>2360</v>
      </c>
      <c r="B874" s="6" t="s">
        <v>2358</v>
      </c>
      <c r="C874" s="6" t="s">
        <v>536</v>
      </c>
      <c r="D874" s="6" t="s">
        <v>93</v>
      </c>
      <c r="E874" s="6" t="s">
        <v>46</v>
      </c>
      <c r="F874" s="6" t="s">
        <v>98</v>
      </c>
      <c r="G874" s="6" t="s">
        <v>2361</v>
      </c>
    </row>
    <row r="875" spans="1:7" ht="18.95" customHeight="1">
      <c r="A875" s="6" t="s">
        <v>2362</v>
      </c>
      <c r="B875" s="6" t="s">
        <v>2363</v>
      </c>
      <c r="C875" s="6" t="s">
        <v>542</v>
      </c>
      <c r="D875" s="6" t="s">
        <v>97</v>
      </c>
      <c r="E875" s="6" t="s">
        <v>47</v>
      </c>
      <c r="F875" s="6" t="s">
        <v>98</v>
      </c>
      <c r="G875" s="6" t="s">
        <v>2364</v>
      </c>
    </row>
    <row r="876" spans="1:7" ht="18.95" customHeight="1">
      <c r="A876" s="6" t="s">
        <v>2365</v>
      </c>
      <c r="B876" s="6" t="s">
        <v>2363</v>
      </c>
      <c r="C876" s="6" t="s">
        <v>542</v>
      </c>
      <c r="D876" s="6" t="s">
        <v>103</v>
      </c>
      <c r="E876" s="6" t="s">
        <v>48</v>
      </c>
      <c r="F876" s="6" t="s">
        <v>98</v>
      </c>
      <c r="G876" s="6" t="s">
        <v>2366</v>
      </c>
    </row>
    <row r="877" spans="1:7" ht="18.95" customHeight="1">
      <c r="A877" s="6" t="s">
        <v>2367</v>
      </c>
      <c r="B877" s="6" t="s">
        <v>2368</v>
      </c>
      <c r="C877" s="6" t="s">
        <v>548</v>
      </c>
      <c r="D877" s="6" t="s">
        <v>93</v>
      </c>
      <c r="E877" s="6" t="s">
        <v>46</v>
      </c>
      <c r="F877" s="6" t="s">
        <v>98</v>
      </c>
      <c r="G877" s="6" t="s">
        <v>2369</v>
      </c>
    </row>
    <row r="878" spans="1:7" ht="18.95" customHeight="1">
      <c r="A878" s="6" t="s">
        <v>2370</v>
      </c>
      <c r="B878" s="6" t="s">
        <v>2368</v>
      </c>
      <c r="C878" s="6" t="s">
        <v>548</v>
      </c>
      <c r="D878" s="6" t="s">
        <v>97</v>
      </c>
      <c r="E878" s="6" t="s">
        <v>47</v>
      </c>
      <c r="F878" s="6" t="s">
        <v>98</v>
      </c>
      <c r="G878" s="6" t="s">
        <v>2371</v>
      </c>
    </row>
    <row r="879" spans="1:7" ht="18.95" customHeight="1">
      <c r="A879" s="6" t="s">
        <v>2372</v>
      </c>
      <c r="B879" s="6" t="s">
        <v>2373</v>
      </c>
      <c r="C879" s="6" t="s">
        <v>554</v>
      </c>
      <c r="D879" s="6" t="s">
        <v>103</v>
      </c>
      <c r="E879" s="6" t="s">
        <v>48</v>
      </c>
      <c r="F879" s="6" t="s">
        <v>98</v>
      </c>
      <c r="G879" s="6" t="s">
        <v>2374</v>
      </c>
    </row>
    <row r="880" spans="1:7" ht="18.95" customHeight="1">
      <c r="A880" s="6" t="s">
        <v>2375</v>
      </c>
      <c r="B880" s="6" t="s">
        <v>2373</v>
      </c>
      <c r="C880" s="6" t="s">
        <v>554</v>
      </c>
      <c r="D880" s="6" t="s">
        <v>93</v>
      </c>
      <c r="E880" s="6" t="s">
        <v>46</v>
      </c>
      <c r="F880" s="6" t="s">
        <v>98</v>
      </c>
      <c r="G880" s="6" t="s">
        <v>2376</v>
      </c>
    </row>
    <row r="881" spans="1:7" ht="18.95" customHeight="1">
      <c r="A881" s="6" t="s">
        <v>2377</v>
      </c>
      <c r="B881" s="6" t="s">
        <v>2378</v>
      </c>
      <c r="C881" s="6" t="s">
        <v>560</v>
      </c>
      <c r="D881" s="6" t="s">
        <v>97</v>
      </c>
      <c r="E881" s="6" t="s">
        <v>47</v>
      </c>
      <c r="F881" s="6" t="s">
        <v>94</v>
      </c>
      <c r="G881" s="6" t="s">
        <v>2379</v>
      </c>
    </row>
    <row r="882" spans="1:7" ht="18.95" customHeight="1">
      <c r="A882" s="6" t="s">
        <v>2380</v>
      </c>
      <c r="B882" s="6" t="s">
        <v>2378</v>
      </c>
      <c r="C882" s="6" t="s">
        <v>560</v>
      </c>
      <c r="D882" s="6" t="s">
        <v>103</v>
      </c>
      <c r="E882" s="6" t="s">
        <v>48</v>
      </c>
      <c r="F882" s="6" t="s">
        <v>98</v>
      </c>
      <c r="G882" s="6" t="s">
        <v>2381</v>
      </c>
    </row>
    <row r="883" spans="1:7" ht="18.95" customHeight="1">
      <c r="A883" s="6" t="s">
        <v>2382</v>
      </c>
      <c r="B883" s="6" t="s">
        <v>2383</v>
      </c>
      <c r="C883" s="6" t="s">
        <v>566</v>
      </c>
      <c r="D883" s="6" t="s">
        <v>93</v>
      </c>
      <c r="E883" s="6" t="s">
        <v>46</v>
      </c>
      <c r="F883" s="6" t="s">
        <v>98</v>
      </c>
      <c r="G883" s="6" t="s">
        <v>2384</v>
      </c>
    </row>
    <row r="884" spans="1:7" ht="18.95" customHeight="1">
      <c r="A884" s="6" t="s">
        <v>2385</v>
      </c>
      <c r="B884" s="6" t="s">
        <v>2383</v>
      </c>
      <c r="C884" s="6" t="s">
        <v>566</v>
      </c>
      <c r="D884" s="6" t="s">
        <v>97</v>
      </c>
      <c r="E884" s="6" t="s">
        <v>47</v>
      </c>
      <c r="F884" s="6" t="s">
        <v>98</v>
      </c>
      <c r="G884" s="6" t="s">
        <v>2386</v>
      </c>
    </row>
    <row r="885" spans="1:7" ht="18.95" customHeight="1">
      <c r="A885" s="6" t="s">
        <v>2387</v>
      </c>
      <c r="B885" s="6" t="s">
        <v>2388</v>
      </c>
      <c r="C885" s="6" t="s">
        <v>572</v>
      </c>
      <c r="D885" s="6" t="s">
        <v>103</v>
      </c>
      <c r="E885" s="6" t="s">
        <v>48</v>
      </c>
      <c r="F885" s="6" t="s">
        <v>98</v>
      </c>
      <c r="G885" s="6" t="s">
        <v>2389</v>
      </c>
    </row>
    <row r="886" spans="1:7" ht="18.95" customHeight="1">
      <c r="A886" s="6" t="s">
        <v>2390</v>
      </c>
      <c r="B886" s="6" t="s">
        <v>2388</v>
      </c>
      <c r="C886" s="6" t="s">
        <v>572</v>
      </c>
      <c r="D886" s="6" t="s">
        <v>93</v>
      </c>
      <c r="E886" s="6" t="s">
        <v>46</v>
      </c>
      <c r="F886" s="6" t="s">
        <v>98</v>
      </c>
      <c r="G886" s="6" t="s">
        <v>2391</v>
      </c>
    </row>
    <row r="887" spans="1:7" ht="18.95" customHeight="1">
      <c r="A887" s="6" t="s">
        <v>2392</v>
      </c>
      <c r="B887" s="6" t="s">
        <v>2393</v>
      </c>
      <c r="C887" s="6" t="s">
        <v>578</v>
      </c>
      <c r="D887" s="6" t="s">
        <v>97</v>
      </c>
      <c r="E887" s="6" t="s">
        <v>47</v>
      </c>
      <c r="F887" s="6" t="s">
        <v>98</v>
      </c>
      <c r="G887" s="6" t="s">
        <v>2394</v>
      </c>
    </row>
    <row r="888" spans="1:7" ht="18.95" customHeight="1">
      <c r="A888" s="6" t="s">
        <v>2395</v>
      </c>
      <c r="B888" s="6" t="s">
        <v>2393</v>
      </c>
      <c r="C888" s="6" t="s">
        <v>578</v>
      </c>
      <c r="D888" s="6" t="s">
        <v>103</v>
      </c>
      <c r="E888" s="6" t="s">
        <v>48</v>
      </c>
      <c r="F888" s="6" t="s">
        <v>98</v>
      </c>
      <c r="G888" s="6" t="s">
        <v>2396</v>
      </c>
    </row>
    <row r="889" spans="1:7" ht="18.95" customHeight="1">
      <c r="A889" s="6" t="s">
        <v>2397</v>
      </c>
      <c r="B889" s="6" t="s">
        <v>2398</v>
      </c>
      <c r="C889" s="6" t="s">
        <v>584</v>
      </c>
      <c r="D889" s="6" t="s">
        <v>93</v>
      </c>
      <c r="E889" s="6" t="s">
        <v>46</v>
      </c>
      <c r="F889" s="6" t="s">
        <v>98</v>
      </c>
      <c r="G889" s="6" t="s">
        <v>2399</v>
      </c>
    </row>
    <row r="890" spans="1:7" ht="18.95" customHeight="1">
      <c r="A890" s="6" t="s">
        <v>2400</v>
      </c>
      <c r="B890" s="6" t="s">
        <v>2398</v>
      </c>
      <c r="C890" s="6" t="s">
        <v>584</v>
      </c>
      <c r="D890" s="6" t="s">
        <v>97</v>
      </c>
      <c r="E890" s="6" t="s">
        <v>47</v>
      </c>
      <c r="F890" s="6" t="s">
        <v>98</v>
      </c>
      <c r="G890" s="6" t="s">
        <v>2401</v>
      </c>
    </row>
    <row r="891" spans="1:7" ht="18.95" customHeight="1">
      <c r="A891" s="6" t="s">
        <v>2402</v>
      </c>
      <c r="B891" s="6" t="s">
        <v>2403</v>
      </c>
      <c r="C891" s="6" t="s">
        <v>590</v>
      </c>
      <c r="D891" s="6" t="s">
        <v>103</v>
      </c>
      <c r="E891" s="6" t="s">
        <v>48</v>
      </c>
      <c r="F891" s="6" t="s">
        <v>98</v>
      </c>
      <c r="G891" s="6" t="s">
        <v>2404</v>
      </c>
    </row>
    <row r="892" spans="1:7" ht="18.95" customHeight="1">
      <c r="A892" s="6" t="s">
        <v>2405</v>
      </c>
      <c r="B892" s="6" t="s">
        <v>2403</v>
      </c>
      <c r="C892" s="6" t="s">
        <v>590</v>
      </c>
      <c r="D892" s="6" t="s">
        <v>93</v>
      </c>
      <c r="E892" s="6" t="s">
        <v>46</v>
      </c>
      <c r="F892" s="6" t="s">
        <v>98</v>
      </c>
      <c r="G892" s="6" t="s">
        <v>2406</v>
      </c>
    </row>
    <row r="893" spans="1:7" ht="18.95" customHeight="1">
      <c r="A893" s="6" t="s">
        <v>2407</v>
      </c>
      <c r="B893" s="6" t="s">
        <v>2408</v>
      </c>
      <c r="C893" s="6" t="s">
        <v>596</v>
      </c>
      <c r="D893" s="6" t="s">
        <v>97</v>
      </c>
      <c r="E893" s="6" t="s">
        <v>47</v>
      </c>
      <c r="F893" s="6" t="s">
        <v>98</v>
      </c>
      <c r="G893" s="6" t="s">
        <v>2409</v>
      </c>
    </row>
    <row r="894" spans="1:7" ht="18.95" customHeight="1">
      <c r="A894" s="6" t="s">
        <v>2410</v>
      </c>
      <c r="B894" s="6" t="s">
        <v>2408</v>
      </c>
      <c r="C894" s="6" t="s">
        <v>596</v>
      </c>
      <c r="D894" s="6" t="s">
        <v>103</v>
      </c>
      <c r="E894" s="6" t="s">
        <v>48</v>
      </c>
      <c r="F894" s="6" t="s">
        <v>98</v>
      </c>
      <c r="G894" s="6" t="s">
        <v>2411</v>
      </c>
    </row>
    <row r="895" spans="1:7" ht="18.95" customHeight="1">
      <c r="A895" s="6" t="s">
        <v>2412</v>
      </c>
      <c r="B895" s="6" t="s">
        <v>2413</v>
      </c>
      <c r="C895" s="6" t="s">
        <v>602</v>
      </c>
      <c r="D895" s="6" t="s">
        <v>93</v>
      </c>
      <c r="E895" s="6" t="s">
        <v>46</v>
      </c>
      <c r="F895" s="6" t="s">
        <v>98</v>
      </c>
      <c r="G895" s="6" t="s">
        <v>2414</v>
      </c>
    </row>
    <row r="896" spans="1:7" ht="18.95" customHeight="1">
      <c r="A896" s="6" t="s">
        <v>2415</v>
      </c>
      <c r="B896" s="6" t="s">
        <v>2413</v>
      </c>
      <c r="C896" s="6" t="s">
        <v>602</v>
      </c>
      <c r="D896" s="6" t="s">
        <v>97</v>
      </c>
      <c r="E896" s="6" t="s">
        <v>47</v>
      </c>
      <c r="F896" s="6" t="s">
        <v>98</v>
      </c>
      <c r="G896" s="6" t="s">
        <v>2416</v>
      </c>
    </row>
    <row r="897" spans="1:7" ht="18.95" customHeight="1">
      <c r="A897" s="6" t="s">
        <v>2417</v>
      </c>
      <c r="B897" s="6" t="s">
        <v>2418</v>
      </c>
      <c r="C897" s="6" t="s">
        <v>611</v>
      </c>
      <c r="D897" s="6" t="s">
        <v>103</v>
      </c>
      <c r="E897" s="6" t="s">
        <v>48</v>
      </c>
      <c r="F897" s="6" t="s">
        <v>98</v>
      </c>
      <c r="G897" s="6" t="s">
        <v>2419</v>
      </c>
    </row>
    <row r="898" spans="1:7" ht="18.95" customHeight="1">
      <c r="A898" s="6" t="s">
        <v>2420</v>
      </c>
      <c r="B898" s="6" t="s">
        <v>2418</v>
      </c>
      <c r="C898" s="6" t="s">
        <v>611</v>
      </c>
      <c r="D898" s="6" t="s">
        <v>93</v>
      </c>
      <c r="E898" s="6" t="s">
        <v>46</v>
      </c>
      <c r="F898" s="6" t="s">
        <v>98</v>
      </c>
      <c r="G898" s="6" t="s">
        <v>2421</v>
      </c>
    </row>
    <row r="899" spans="1:7" ht="18.95" customHeight="1">
      <c r="A899" s="6" t="s">
        <v>2422</v>
      </c>
      <c r="B899" s="6" t="s">
        <v>2423</v>
      </c>
      <c r="C899" s="6" t="s">
        <v>615</v>
      </c>
      <c r="D899" s="6" t="s">
        <v>97</v>
      </c>
      <c r="E899" s="6" t="s">
        <v>47</v>
      </c>
      <c r="F899" s="6" t="s">
        <v>98</v>
      </c>
      <c r="G899" s="6" t="s">
        <v>2424</v>
      </c>
    </row>
    <row r="900" spans="1:7" ht="18.95" customHeight="1">
      <c r="A900" s="6" t="s">
        <v>2425</v>
      </c>
      <c r="B900" s="6" t="s">
        <v>2423</v>
      </c>
      <c r="C900" s="6" t="s">
        <v>615</v>
      </c>
      <c r="D900" s="6" t="s">
        <v>103</v>
      </c>
      <c r="E900" s="6" t="s">
        <v>48</v>
      </c>
      <c r="F900" s="6" t="s">
        <v>98</v>
      </c>
      <c r="G900" s="6" t="s">
        <v>2426</v>
      </c>
    </row>
    <row r="901" spans="1:7" ht="18.95" customHeight="1">
      <c r="A901" s="6" t="s">
        <v>2427</v>
      </c>
      <c r="B901" s="6" t="s">
        <v>2428</v>
      </c>
      <c r="C901" s="6" t="s">
        <v>621</v>
      </c>
      <c r="D901" s="6" t="s">
        <v>93</v>
      </c>
      <c r="E901" s="6" t="s">
        <v>46</v>
      </c>
      <c r="F901" s="6" t="s">
        <v>98</v>
      </c>
      <c r="G901" s="6" t="s">
        <v>2429</v>
      </c>
    </row>
    <row r="902" spans="1:7" ht="18.95" customHeight="1">
      <c r="A902" s="6" t="s">
        <v>2430</v>
      </c>
      <c r="B902" s="6" t="s">
        <v>2428</v>
      </c>
      <c r="C902" s="6" t="s">
        <v>621</v>
      </c>
      <c r="D902" s="6" t="s">
        <v>97</v>
      </c>
      <c r="E902" s="6" t="s">
        <v>47</v>
      </c>
      <c r="F902" s="6" t="s">
        <v>98</v>
      </c>
      <c r="G902" s="6" t="s">
        <v>2431</v>
      </c>
    </row>
    <row r="903" spans="1:7" ht="18.95" customHeight="1">
      <c r="A903" s="6" t="s">
        <v>2432</v>
      </c>
      <c r="B903" s="6" t="s">
        <v>2433</v>
      </c>
      <c r="C903" s="6" t="s">
        <v>627</v>
      </c>
      <c r="D903" s="6" t="s">
        <v>103</v>
      </c>
      <c r="E903" s="6" t="s">
        <v>48</v>
      </c>
      <c r="F903" s="6" t="s">
        <v>98</v>
      </c>
      <c r="G903" s="6" t="s">
        <v>2434</v>
      </c>
    </row>
    <row r="904" spans="1:7" ht="18.95" customHeight="1">
      <c r="A904" s="6" t="s">
        <v>2435</v>
      </c>
      <c r="B904" s="6" t="s">
        <v>2433</v>
      </c>
      <c r="C904" s="6" t="s">
        <v>627</v>
      </c>
      <c r="D904" s="6" t="s">
        <v>93</v>
      </c>
      <c r="E904" s="6" t="s">
        <v>46</v>
      </c>
      <c r="F904" s="6" t="s">
        <v>94</v>
      </c>
      <c r="G904" s="6" t="s">
        <v>2436</v>
      </c>
    </row>
    <row r="905" spans="1:7" ht="18.95" customHeight="1">
      <c r="A905" s="6" t="s">
        <v>2437</v>
      </c>
      <c r="B905" s="6" t="s">
        <v>2438</v>
      </c>
      <c r="C905" s="6" t="s">
        <v>633</v>
      </c>
      <c r="D905" s="6" t="s">
        <v>97</v>
      </c>
      <c r="E905" s="6" t="s">
        <v>47</v>
      </c>
      <c r="F905" s="6" t="s">
        <v>98</v>
      </c>
      <c r="G905" s="6" t="s">
        <v>2439</v>
      </c>
    </row>
    <row r="906" spans="1:7" ht="18.95" customHeight="1">
      <c r="A906" s="6" t="s">
        <v>2440</v>
      </c>
      <c r="B906" s="6" t="s">
        <v>2438</v>
      </c>
      <c r="C906" s="6" t="s">
        <v>633</v>
      </c>
      <c r="D906" s="6" t="s">
        <v>103</v>
      </c>
      <c r="E906" s="6" t="s">
        <v>48</v>
      </c>
      <c r="F906" s="6" t="s">
        <v>98</v>
      </c>
      <c r="G906" s="6" t="s">
        <v>2441</v>
      </c>
    </row>
    <row r="907" spans="1:7" ht="18.95" customHeight="1">
      <c r="A907" s="6" t="s">
        <v>2442</v>
      </c>
      <c r="B907" s="6" t="s">
        <v>2443</v>
      </c>
      <c r="C907" s="6" t="s">
        <v>92</v>
      </c>
      <c r="D907" s="6" t="s">
        <v>93</v>
      </c>
      <c r="E907" s="6" t="s">
        <v>46</v>
      </c>
      <c r="F907" s="6" t="s">
        <v>98</v>
      </c>
      <c r="G907" s="6" t="s">
        <v>2444</v>
      </c>
    </row>
    <row r="908" spans="1:7" ht="18.95" customHeight="1">
      <c r="A908" s="6" t="s">
        <v>2445</v>
      </c>
      <c r="B908" s="6" t="s">
        <v>2443</v>
      </c>
      <c r="C908" s="6" t="s">
        <v>92</v>
      </c>
      <c r="D908" s="6" t="s">
        <v>97</v>
      </c>
      <c r="E908" s="6" t="s">
        <v>47</v>
      </c>
      <c r="F908" s="6" t="s">
        <v>98</v>
      </c>
      <c r="G908" s="6" t="s">
        <v>2446</v>
      </c>
    </row>
    <row r="909" spans="1:7" ht="18.95" customHeight="1">
      <c r="A909" s="6" t="s">
        <v>2447</v>
      </c>
      <c r="B909" s="6" t="s">
        <v>2448</v>
      </c>
      <c r="C909" s="6" t="s">
        <v>102</v>
      </c>
      <c r="D909" s="6" t="s">
        <v>103</v>
      </c>
      <c r="E909" s="6" t="s">
        <v>48</v>
      </c>
      <c r="F909" s="6" t="s">
        <v>98</v>
      </c>
      <c r="G909" s="6" t="s">
        <v>2449</v>
      </c>
    </row>
    <row r="910" spans="1:7" ht="18.95" customHeight="1">
      <c r="A910" s="6" t="s">
        <v>2450</v>
      </c>
      <c r="B910" s="6" t="s">
        <v>2448</v>
      </c>
      <c r="C910" s="6" t="s">
        <v>102</v>
      </c>
      <c r="D910" s="6" t="s">
        <v>93</v>
      </c>
      <c r="E910" s="6" t="s">
        <v>46</v>
      </c>
      <c r="F910" s="6" t="s">
        <v>98</v>
      </c>
      <c r="G910" s="6" t="s">
        <v>2451</v>
      </c>
    </row>
    <row r="911" spans="1:7" ht="18.95" customHeight="1">
      <c r="A911" s="6" t="s">
        <v>2452</v>
      </c>
      <c r="B911" s="6" t="s">
        <v>2453</v>
      </c>
      <c r="C911" s="6" t="s">
        <v>109</v>
      </c>
      <c r="D911" s="6" t="s">
        <v>97</v>
      </c>
      <c r="E911" s="6" t="s">
        <v>47</v>
      </c>
      <c r="F911" s="6" t="s">
        <v>98</v>
      </c>
      <c r="G911" s="6" t="s">
        <v>2454</v>
      </c>
    </row>
    <row r="912" spans="1:7" ht="18.95" customHeight="1">
      <c r="A912" s="6" t="s">
        <v>2455</v>
      </c>
      <c r="B912" s="6" t="s">
        <v>2453</v>
      </c>
      <c r="C912" s="6" t="s">
        <v>109</v>
      </c>
      <c r="D912" s="6" t="s">
        <v>103</v>
      </c>
      <c r="E912" s="6" t="s">
        <v>48</v>
      </c>
      <c r="F912" s="6" t="s">
        <v>98</v>
      </c>
      <c r="G912" s="6" t="s">
        <v>2456</v>
      </c>
    </row>
    <row r="913" spans="1:7" ht="18.95" customHeight="1">
      <c r="A913" s="6" t="s">
        <v>2457</v>
      </c>
      <c r="B913" s="6" t="s">
        <v>2458</v>
      </c>
      <c r="C913" s="6" t="s">
        <v>115</v>
      </c>
      <c r="D913" s="6" t="s">
        <v>93</v>
      </c>
      <c r="E913" s="6" t="s">
        <v>46</v>
      </c>
      <c r="F913" s="6" t="s">
        <v>98</v>
      </c>
      <c r="G913" s="6" t="s">
        <v>2459</v>
      </c>
    </row>
    <row r="914" spans="1:7" ht="18.95" customHeight="1">
      <c r="A914" s="6" t="s">
        <v>2460</v>
      </c>
      <c r="B914" s="6" t="s">
        <v>2458</v>
      </c>
      <c r="C914" s="6" t="s">
        <v>115</v>
      </c>
      <c r="D914" s="6" t="s">
        <v>97</v>
      </c>
      <c r="E914" s="6" t="s">
        <v>47</v>
      </c>
      <c r="F914" s="6" t="s">
        <v>98</v>
      </c>
      <c r="G914" s="6" t="s">
        <v>2461</v>
      </c>
    </row>
    <row r="915" spans="1:7" ht="18.95" customHeight="1">
      <c r="A915" s="6" t="s">
        <v>2462</v>
      </c>
      <c r="B915" s="6" t="s">
        <v>2463</v>
      </c>
      <c r="C915" s="6" t="s">
        <v>121</v>
      </c>
      <c r="D915" s="6" t="s">
        <v>103</v>
      </c>
      <c r="E915" s="6" t="s">
        <v>48</v>
      </c>
      <c r="F915" s="6" t="s">
        <v>98</v>
      </c>
      <c r="G915" s="6" t="s">
        <v>2464</v>
      </c>
    </row>
    <row r="916" spans="1:7" ht="18.95" customHeight="1">
      <c r="A916" s="6" t="s">
        <v>2465</v>
      </c>
      <c r="B916" s="6" t="s">
        <v>2463</v>
      </c>
      <c r="C916" s="6" t="s">
        <v>121</v>
      </c>
      <c r="D916" s="6" t="s">
        <v>93</v>
      </c>
      <c r="E916" s="6" t="s">
        <v>46</v>
      </c>
      <c r="F916" s="6" t="s">
        <v>98</v>
      </c>
      <c r="G916" s="6" t="s">
        <v>2466</v>
      </c>
    </row>
    <row r="917" spans="1:7" ht="18.95" customHeight="1">
      <c r="A917" s="6" t="s">
        <v>2467</v>
      </c>
      <c r="B917" s="6" t="s">
        <v>2468</v>
      </c>
      <c r="C917" s="6" t="s">
        <v>127</v>
      </c>
      <c r="D917" s="6" t="s">
        <v>97</v>
      </c>
      <c r="E917" s="6" t="s">
        <v>47</v>
      </c>
      <c r="F917" s="6" t="s">
        <v>98</v>
      </c>
      <c r="G917" s="6" t="s">
        <v>2469</v>
      </c>
    </row>
    <row r="918" spans="1:7" ht="18.95" customHeight="1">
      <c r="A918" s="6" t="s">
        <v>2470</v>
      </c>
      <c r="B918" s="6" t="s">
        <v>2468</v>
      </c>
      <c r="C918" s="6" t="s">
        <v>127</v>
      </c>
      <c r="D918" s="6" t="s">
        <v>103</v>
      </c>
      <c r="E918" s="6" t="s">
        <v>48</v>
      </c>
      <c r="F918" s="6" t="s">
        <v>98</v>
      </c>
      <c r="G918" s="6" t="s">
        <v>2471</v>
      </c>
    </row>
    <row r="919" spans="1:7" ht="18.95" customHeight="1">
      <c r="A919" s="6" t="s">
        <v>2472</v>
      </c>
      <c r="B919" s="6" t="s">
        <v>2473</v>
      </c>
      <c r="C919" s="6" t="s">
        <v>133</v>
      </c>
      <c r="D919" s="6" t="s">
        <v>93</v>
      </c>
      <c r="E919" s="6" t="s">
        <v>46</v>
      </c>
      <c r="F919" s="6" t="s">
        <v>98</v>
      </c>
      <c r="G919" s="6" t="s">
        <v>2474</v>
      </c>
    </row>
    <row r="920" spans="1:7" ht="18.95" customHeight="1">
      <c r="A920" s="6" t="s">
        <v>2475</v>
      </c>
      <c r="B920" s="6" t="s">
        <v>2473</v>
      </c>
      <c r="C920" s="6" t="s">
        <v>133</v>
      </c>
      <c r="D920" s="6" t="s">
        <v>97</v>
      </c>
      <c r="E920" s="6" t="s">
        <v>47</v>
      </c>
      <c r="F920" s="6" t="s">
        <v>98</v>
      </c>
      <c r="G920" s="6" t="s">
        <v>2476</v>
      </c>
    </row>
    <row r="921" spans="1:7" ht="18.95" customHeight="1">
      <c r="A921" s="6" t="s">
        <v>2477</v>
      </c>
      <c r="B921" s="6" t="s">
        <v>2478</v>
      </c>
      <c r="C921" s="6" t="s">
        <v>139</v>
      </c>
      <c r="D921" s="6" t="s">
        <v>103</v>
      </c>
      <c r="E921" s="6" t="s">
        <v>48</v>
      </c>
      <c r="F921" s="6" t="s">
        <v>98</v>
      </c>
      <c r="G921" s="6" t="s">
        <v>2479</v>
      </c>
    </row>
    <row r="922" spans="1:7" ht="18.95" customHeight="1">
      <c r="A922" s="6" t="s">
        <v>2480</v>
      </c>
      <c r="B922" s="6" t="s">
        <v>2478</v>
      </c>
      <c r="C922" s="6" t="s">
        <v>139</v>
      </c>
      <c r="D922" s="6" t="s">
        <v>93</v>
      </c>
      <c r="E922" s="6" t="s">
        <v>46</v>
      </c>
      <c r="F922" s="6" t="s">
        <v>98</v>
      </c>
      <c r="G922" s="6" t="s">
        <v>2481</v>
      </c>
    </row>
    <row r="923" spans="1:7" ht="18.95" customHeight="1">
      <c r="A923" s="6" t="s">
        <v>2482</v>
      </c>
      <c r="B923" s="6" t="s">
        <v>2483</v>
      </c>
      <c r="C923" s="6" t="s">
        <v>145</v>
      </c>
      <c r="D923" s="6" t="s">
        <v>97</v>
      </c>
      <c r="E923" s="6" t="s">
        <v>47</v>
      </c>
      <c r="F923" s="6" t="s">
        <v>98</v>
      </c>
      <c r="G923" s="6" t="s">
        <v>2484</v>
      </c>
    </row>
    <row r="924" spans="1:7" ht="18.95" customHeight="1">
      <c r="A924" s="6" t="s">
        <v>2485</v>
      </c>
      <c r="B924" s="6" t="s">
        <v>2483</v>
      </c>
      <c r="C924" s="6" t="s">
        <v>145</v>
      </c>
      <c r="D924" s="6" t="s">
        <v>103</v>
      </c>
      <c r="E924" s="6" t="s">
        <v>48</v>
      </c>
      <c r="F924" s="6" t="s">
        <v>98</v>
      </c>
      <c r="G924" s="6" t="s">
        <v>2486</v>
      </c>
    </row>
    <row r="925" spans="1:7" ht="18.95" customHeight="1">
      <c r="A925" s="6" t="s">
        <v>2487</v>
      </c>
      <c r="B925" s="6" t="s">
        <v>2488</v>
      </c>
      <c r="C925" s="6" t="s">
        <v>151</v>
      </c>
      <c r="D925" s="6" t="s">
        <v>93</v>
      </c>
      <c r="E925" s="6" t="s">
        <v>46</v>
      </c>
      <c r="F925" s="6" t="s">
        <v>98</v>
      </c>
      <c r="G925" s="6" t="s">
        <v>2489</v>
      </c>
    </row>
    <row r="926" spans="1:7" ht="18.95" customHeight="1">
      <c r="A926" s="6" t="s">
        <v>2490</v>
      </c>
      <c r="B926" s="6" t="s">
        <v>2488</v>
      </c>
      <c r="C926" s="6" t="s">
        <v>151</v>
      </c>
      <c r="D926" s="6" t="s">
        <v>97</v>
      </c>
      <c r="E926" s="6" t="s">
        <v>47</v>
      </c>
      <c r="F926" s="6" t="s">
        <v>98</v>
      </c>
      <c r="G926" s="6" t="s">
        <v>2491</v>
      </c>
    </row>
    <row r="927" spans="1:7" ht="18.95" customHeight="1">
      <c r="A927" s="6" t="s">
        <v>2492</v>
      </c>
      <c r="B927" s="6" t="s">
        <v>2493</v>
      </c>
      <c r="C927" s="6" t="s">
        <v>157</v>
      </c>
      <c r="D927" s="6" t="s">
        <v>103</v>
      </c>
      <c r="E927" s="6" t="s">
        <v>48</v>
      </c>
      <c r="F927" s="6" t="s">
        <v>94</v>
      </c>
      <c r="G927" s="6" t="s">
        <v>2494</v>
      </c>
    </row>
    <row r="928" spans="1:7" ht="18.95" customHeight="1">
      <c r="A928" s="6" t="s">
        <v>2495</v>
      </c>
      <c r="B928" s="6" t="s">
        <v>2493</v>
      </c>
      <c r="C928" s="6" t="s">
        <v>157</v>
      </c>
      <c r="D928" s="6" t="s">
        <v>93</v>
      </c>
      <c r="E928" s="6" t="s">
        <v>46</v>
      </c>
      <c r="F928" s="6" t="s">
        <v>98</v>
      </c>
      <c r="G928" s="6" t="s">
        <v>2496</v>
      </c>
    </row>
    <row r="929" spans="1:7" ht="18.95" customHeight="1">
      <c r="A929" s="6" t="s">
        <v>2497</v>
      </c>
      <c r="B929" s="6" t="s">
        <v>2498</v>
      </c>
      <c r="C929" s="6" t="s">
        <v>163</v>
      </c>
      <c r="D929" s="6" t="s">
        <v>97</v>
      </c>
      <c r="E929" s="6" t="s">
        <v>47</v>
      </c>
      <c r="F929" s="6" t="s">
        <v>98</v>
      </c>
      <c r="G929" s="6" t="s">
        <v>2499</v>
      </c>
    </row>
    <row r="930" spans="1:7" ht="18.95" customHeight="1">
      <c r="A930" s="6" t="s">
        <v>2500</v>
      </c>
      <c r="B930" s="6" t="s">
        <v>2498</v>
      </c>
      <c r="C930" s="6" t="s">
        <v>163</v>
      </c>
      <c r="D930" s="6" t="s">
        <v>103</v>
      </c>
      <c r="E930" s="6" t="s">
        <v>48</v>
      </c>
      <c r="F930" s="6" t="s">
        <v>98</v>
      </c>
      <c r="G930" s="6" t="s">
        <v>2501</v>
      </c>
    </row>
    <row r="931" spans="1:7" ht="18.95" customHeight="1">
      <c r="A931" s="6" t="s">
        <v>2502</v>
      </c>
      <c r="B931" s="6" t="s">
        <v>2503</v>
      </c>
      <c r="C931" s="6" t="s">
        <v>169</v>
      </c>
      <c r="D931" s="6" t="s">
        <v>93</v>
      </c>
      <c r="E931" s="6" t="s">
        <v>46</v>
      </c>
      <c r="F931" s="6" t="s">
        <v>98</v>
      </c>
      <c r="G931" s="6" t="s">
        <v>2504</v>
      </c>
    </row>
    <row r="932" spans="1:7" ht="18.95" customHeight="1">
      <c r="A932" s="6" t="s">
        <v>2505</v>
      </c>
      <c r="B932" s="6" t="s">
        <v>2503</v>
      </c>
      <c r="C932" s="6" t="s">
        <v>169</v>
      </c>
      <c r="D932" s="6" t="s">
        <v>97</v>
      </c>
      <c r="E932" s="6" t="s">
        <v>47</v>
      </c>
      <c r="F932" s="6" t="s">
        <v>98</v>
      </c>
      <c r="G932" s="6" t="s">
        <v>2506</v>
      </c>
    </row>
    <row r="933" spans="1:7" ht="18.95" customHeight="1">
      <c r="A933" s="6" t="s">
        <v>2507</v>
      </c>
      <c r="B933" s="6" t="s">
        <v>2508</v>
      </c>
      <c r="C933" s="6" t="s">
        <v>175</v>
      </c>
      <c r="D933" s="6" t="s">
        <v>103</v>
      </c>
      <c r="E933" s="6" t="s">
        <v>5191</v>
      </c>
      <c r="F933" s="6" t="s">
        <v>98</v>
      </c>
      <c r="G933" s="6" t="s">
        <v>2509</v>
      </c>
    </row>
    <row r="934" spans="1:7" ht="18.95" customHeight="1">
      <c r="A934" s="6" t="s">
        <v>2510</v>
      </c>
      <c r="B934" s="6" t="s">
        <v>2508</v>
      </c>
      <c r="C934" s="6" t="s">
        <v>175</v>
      </c>
      <c r="D934" s="6" t="s">
        <v>93</v>
      </c>
      <c r="E934" s="6" t="s">
        <v>46</v>
      </c>
      <c r="F934" s="6" t="s">
        <v>98</v>
      </c>
      <c r="G934" s="6" t="s">
        <v>2511</v>
      </c>
    </row>
    <row r="935" spans="1:7" ht="18.95" customHeight="1">
      <c r="A935" s="6" t="s">
        <v>2512</v>
      </c>
      <c r="B935" s="6" t="s">
        <v>2513</v>
      </c>
      <c r="C935" s="6" t="s">
        <v>181</v>
      </c>
      <c r="D935" s="6" t="s">
        <v>97</v>
      </c>
      <c r="E935" s="6" t="s">
        <v>47</v>
      </c>
      <c r="F935" s="6" t="s">
        <v>98</v>
      </c>
      <c r="G935" s="6" t="s">
        <v>2514</v>
      </c>
    </row>
    <row r="936" spans="1:7" ht="18.95" customHeight="1">
      <c r="A936" s="6" t="s">
        <v>2515</v>
      </c>
      <c r="B936" s="6" t="s">
        <v>2513</v>
      </c>
      <c r="C936" s="6" t="s">
        <v>181</v>
      </c>
      <c r="D936" s="6" t="s">
        <v>103</v>
      </c>
      <c r="E936" s="6" t="s">
        <v>48</v>
      </c>
      <c r="F936" s="6" t="s">
        <v>98</v>
      </c>
      <c r="G936" s="6" t="s">
        <v>2516</v>
      </c>
    </row>
    <row r="937" spans="1:7" ht="18.95" customHeight="1">
      <c r="A937" s="6" t="s">
        <v>2517</v>
      </c>
      <c r="B937" s="6" t="s">
        <v>2518</v>
      </c>
      <c r="C937" s="6" t="s">
        <v>187</v>
      </c>
      <c r="D937" s="6" t="s">
        <v>93</v>
      </c>
      <c r="E937" s="6" t="s">
        <v>46</v>
      </c>
      <c r="F937" s="6" t="s">
        <v>98</v>
      </c>
      <c r="G937" s="6" t="s">
        <v>2519</v>
      </c>
    </row>
    <row r="938" spans="1:7" ht="18.95" customHeight="1">
      <c r="A938" s="6" t="s">
        <v>2520</v>
      </c>
      <c r="B938" s="6" t="s">
        <v>2518</v>
      </c>
      <c r="C938" s="6" t="s">
        <v>187</v>
      </c>
      <c r="D938" s="6" t="s">
        <v>97</v>
      </c>
      <c r="E938" s="6" t="s">
        <v>47</v>
      </c>
      <c r="F938" s="6" t="s">
        <v>98</v>
      </c>
      <c r="G938" s="6" t="s">
        <v>2521</v>
      </c>
    </row>
    <row r="939" spans="1:7" ht="18.95" customHeight="1">
      <c r="A939" s="6" t="s">
        <v>2522</v>
      </c>
      <c r="B939" s="6" t="s">
        <v>2523</v>
      </c>
      <c r="C939" s="6" t="s">
        <v>193</v>
      </c>
      <c r="D939" s="6" t="s">
        <v>103</v>
      </c>
      <c r="E939" s="6" t="s">
        <v>48</v>
      </c>
      <c r="F939" s="6" t="s">
        <v>98</v>
      </c>
      <c r="G939" s="6" t="s">
        <v>2524</v>
      </c>
    </row>
    <row r="940" spans="1:7" ht="18.95" customHeight="1">
      <c r="A940" s="6" t="s">
        <v>2525</v>
      </c>
      <c r="B940" s="6" t="s">
        <v>2523</v>
      </c>
      <c r="C940" s="6" t="s">
        <v>193</v>
      </c>
      <c r="D940" s="6" t="s">
        <v>93</v>
      </c>
      <c r="E940" s="6" t="s">
        <v>46</v>
      </c>
      <c r="F940" s="6" t="s">
        <v>98</v>
      </c>
      <c r="G940" s="6" t="s">
        <v>2526</v>
      </c>
    </row>
    <row r="941" spans="1:7" ht="18.95" customHeight="1">
      <c r="A941" s="6" t="s">
        <v>2527</v>
      </c>
      <c r="B941" s="6" t="s">
        <v>2528</v>
      </c>
      <c r="C941" s="6" t="s">
        <v>200</v>
      </c>
      <c r="D941" s="6" t="s">
        <v>97</v>
      </c>
      <c r="E941" s="6" t="s">
        <v>47</v>
      </c>
      <c r="F941" s="6" t="s">
        <v>98</v>
      </c>
      <c r="G941" s="6" t="s">
        <v>2529</v>
      </c>
    </row>
    <row r="942" spans="1:7" ht="18.95" customHeight="1">
      <c r="A942" s="6" t="s">
        <v>2530</v>
      </c>
      <c r="B942" s="6" t="s">
        <v>2528</v>
      </c>
      <c r="C942" s="6" t="s">
        <v>200</v>
      </c>
      <c r="D942" s="6" t="s">
        <v>103</v>
      </c>
      <c r="E942" s="6" t="s">
        <v>48</v>
      </c>
      <c r="F942" s="6" t="s">
        <v>98</v>
      </c>
      <c r="G942" s="6" t="s">
        <v>2531</v>
      </c>
    </row>
    <row r="943" spans="1:7" ht="18.95" customHeight="1">
      <c r="A943" s="6" t="s">
        <v>2532</v>
      </c>
      <c r="B943" s="6" t="s">
        <v>2533</v>
      </c>
      <c r="C943" s="6" t="s">
        <v>206</v>
      </c>
      <c r="D943" s="6" t="s">
        <v>93</v>
      </c>
      <c r="E943" s="6" t="s">
        <v>46</v>
      </c>
      <c r="F943" s="6" t="s">
        <v>98</v>
      </c>
      <c r="G943" s="6" t="s">
        <v>2534</v>
      </c>
    </row>
    <row r="944" spans="1:7" ht="18.95" customHeight="1">
      <c r="A944" s="6" t="s">
        <v>2535</v>
      </c>
      <c r="B944" s="6" t="s">
        <v>2533</v>
      </c>
      <c r="C944" s="6" t="s">
        <v>206</v>
      </c>
      <c r="D944" s="6" t="s">
        <v>97</v>
      </c>
      <c r="E944" s="6" t="s">
        <v>47</v>
      </c>
      <c r="F944" s="6" t="s">
        <v>98</v>
      </c>
      <c r="G944" s="6" t="s">
        <v>2536</v>
      </c>
    </row>
    <row r="945" spans="1:7" ht="18.95" customHeight="1">
      <c r="A945" s="6" t="s">
        <v>2537</v>
      </c>
      <c r="B945" s="6" t="s">
        <v>2538</v>
      </c>
      <c r="C945" s="6" t="s">
        <v>212</v>
      </c>
      <c r="D945" s="6" t="s">
        <v>103</v>
      </c>
      <c r="E945" s="6" t="s">
        <v>48</v>
      </c>
      <c r="F945" s="6" t="s">
        <v>98</v>
      </c>
      <c r="G945" s="6" t="s">
        <v>2539</v>
      </c>
    </row>
    <row r="946" spans="1:7" ht="18.95" customHeight="1">
      <c r="A946" s="6" t="s">
        <v>2540</v>
      </c>
      <c r="B946" s="6" t="s">
        <v>2538</v>
      </c>
      <c r="C946" s="6" t="s">
        <v>212</v>
      </c>
      <c r="D946" s="6" t="s">
        <v>93</v>
      </c>
      <c r="E946" s="6" t="s">
        <v>46</v>
      </c>
      <c r="F946" s="6" t="s">
        <v>98</v>
      </c>
      <c r="G946" s="6" t="s">
        <v>2541</v>
      </c>
    </row>
    <row r="947" spans="1:7" ht="18.95" customHeight="1">
      <c r="A947" s="6" t="s">
        <v>2542</v>
      </c>
      <c r="B947" s="6" t="s">
        <v>2543</v>
      </c>
      <c r="C947" s="6" t="s">
        <v>218</v>
      </c>
      <c r="D947" s="6" t="s">
        <v>97</v>
      </c>
      <c r="E947" s="6" t="s">
        <v>47</v>
      </c>
      <c r="F947" s="6" t="s">
        <v>98</v>
      </c>
      <c r="G947" s="6" t="s">
        <v>2544</v>
      </c>
    </row>
    <row r="948" spans="1:7" ht="18.95" customHeight="1">
      <c r="A948" s="6" t="s">
        <v>2545</v>
      </c>
      <c r="B948" s="6" t="s">
        <v>2543</v>
      </c>
      <c r="C948" s="6" t="s">
        <v>218</v>
      </c>
      <c r="D948" s="6" t="s">
        <v>103</v>
      </c>
      <c r="E948" s="6" t="s">
        <v>48</v>
      </c>
      <c r="F948" s="6" t="s">
        <v>98</v>
      </c>
      <c r="G948" s="6" t="s">
        <v>2546</v>
      </c>
    </row>
    <row r="949" spans="1:7" ht="18.95" customHeight="1">
      <c r="A949" s="6" t="s">
        <v>2547</v>
      </c>
      <c r="B949" s="6" t="s">
        <v>2548</v>
      </c>
      <c r="C949" s="6" t="s">
        <v>224</v>
      </c>
      <c r="D949" s="6" t="s">
        <v>93</v>
      </c>
      <c r="E949" s="6" t="s">
        <v>46</v>
      </c>
      <c r="F949" s="6" t="s">
        <v>98</v>
      </c>
      <c r="G949" s="6" t="s">
        <v>2549</v>
      </c>
    </row>
    <row r="950" spans="1:7" ht="18.95" customHeight="1">
      <c r="A950" s="6" t="s">
        <v>2550</v>
      </c>
      <c r="B950" s="6" t="s">
        <v>2548</v>
      </c>
      <c r="C950" s="6" t="s">
        <v>224</v>
      </c>
      <c r="D950" s="6" t="s">
        <v>97</v>
      </c>
      <c r="E950" s="6" t="s">
        <v>47</v>
      </c>
      <c r="F950" s="6" t="s">
        <v>94</v>
      </c>
      <c r="G950" s="6" t="s">
        <v>2551</v>
      </c>
    </row>
    <row r="951" spans="1:7" ht="18.95" customHeight="1">
      <c r="A951" s="6" t="s">
        <v>2552</v>
      </c>
      <c r="B951" s="6" t="s">
        <v>2553</v>
      </c>
      <c r="C951" s="6" t="s">
        <v>230</v>
      </c>
      <c r="D951" s="6" t="s">
        <v>103</v>
      </c>
      <c r="E951" s="6"/>
      <c r="F951" s="6" t="s">
        <v>98</v>
      </c>
      <c r="G951" s="6" t="s">
        <v>2554</v>
      </c>
    </row>
    <row r="952" spans="1:7" ht="18.95" customHeight="1">
      <c r="A952" s="6" t="s">
        <v>2555</v>
      </c>
      <c r="B952" s="6" t="s">
        <v>2553</v>
      </c>
      <c r="C952" s="6" t="s">
        <v>230</v>
      </c>
      <c r="D952" s="6" t="s">
        <v>93</v>
      </c>
      <c r="E952" s="6" t="s">
        <v>46</v>
      </c>
      <c r="F952" s="6" t="s">
        <v>98</v>
      </c>
      <c r="G952" s="6" t="s">
        <v>2556</v>
      </c>
    </row>
    <row r="953" spans="1:7" ht="18.95" customHeight="1">
      <c r="A953" s="6" t="s">
        <v>2557</v>
      </c>
      <c r="B953" s="6" t="s">
        <v>2558</v>
      </c>
      <c r="C953" s="6" t="s">
        <v>236</v>
      </c>
      <c r="D953" s="6" t="s">
        <v>97</v>
      </c>
      <c r="E953" s="6" t="s">
        <v>47</v>
      </c>
      <c r="F953" s="6" t="s">
        <v>98</v>
      </c>
      <c r="G953" s="6" t="s">
        <v>2559</v>
      </c>
    </row>
    <row r="954" spans="1:7" ht="18.95" customHeight="1">
      <c r="A954" s="6" t="s">
        <v>2560</v>
      </c>
      <c r="B954" s="6" t="s">
        <v>2558</v>
      </c>
      <c r="C954" s="6" t="s">
        <v>236</v>
      </c>
      <c r="D954" s="6" t="s">
        <v>103</v>
      </c>
      <c r="E954" s="6" t="s">
        <v>48</v>
      </c>
      <c r="F954" s="6" t="s">
        <v>98</v>
      </c>
      <c r="G954" s="6" t="s">
        <v>2561</v>
      </c>
    </row>
    <row r="955" spans="1:7" ht="18.95" customHeight="1">
      <c r="A955" s="6" t="s">
        <v>2562</v>
      </c>
      <c r="B955" s="6" t="s">
        <v>2563</v>
      </c>
      <c r="C955" s="6" t="s">
        <v>242</v>
      </c>
      <c r="D955" s="6" t="s">
        <v>93</v>
      </c>
      <c r="E955" s="6" t="s">
        <v>46</v>
      </c>
      <c r="F955" s="6" t="s">
        <v>98</v>
      </c>
      <c r="G955" s="6" t="s">
        <v>2564</v>
      </c>
    </row>
    <row r="956" spans="1:7" ht="18.95" customHeight="1">
      <c r="A956" s="6" t="s">
        <v>2565</v>
      </c>
      <c r="B956" s="6" t="s">
        <v>2563</v>
      </c>
      <c r="C956" s="6" t="s">
        <v>242</v>
      </c>
      <c r="D956" s="6" t="s">
        <v>97</v>
      </c>
      <c r="E956" s="6" t="s">
        <v>47</v>
      </c>
      <c r="F956" s="6" t="s">
        <v>98</v>
      </c>
      <c r="G956" s="6" t="s">
        <v>2566</v>
      </c>
    </row>
    <row r="957" spans="1:7" ht="18.95" customHeight="1">
      <c r="A957" s="6" t="s">
        <v>2567</v>
      </c>
      <c r="B957" s="6" t="s">
        <v>2568</v>
      </c>
      <c r="C957" s="6" t="s">
        <v>248</v>
      </c>
      <c r="D957" s="6" t="s">
        <v>103</v>
      </c>
      <c r="E957" s="6" t="s">
        <v>48</v>
      </c>
      <c r="F957" s="6" t="s">
        <v>98</v>
      </c>
      <c r="G957" s="6" t="s">
        <v>2569</v>
      </c>
    </row>
    <row r="958" spans="1:7" ht="18.95" customHeight="1">
      <c r="A958" s="6" t="s">
        <v>2570</v>
      </c>
      <c r="B958" s="6" t="s">
        <v>2568</v>
      </c>
      <c r="C958" s="6" t="s">
        <v>248</v>
      </c>
      <c r="D958" s="6" t="s">
        <v>93</v>
      </c>
      <c r="E958" s="6" t="s">
        <v>46</v>
      </c>
      <c r="F958" s="6" t="s">
        <v>98</v>
      </c>
      <c r="G958" s="6" t="s">
        <v>2571</v>
      </c>
    </row>
    <row r="959" spans="1:7" ht="18.95" customHeight="1">
      <c r="A959" s="6" t="s">
        <v>2572</v>
      </c>
      <c r="B959" s="6" t="s">
        <v>2573</v>
      </c>
      <c r="C959" s="6" t="s">
        <v>254</v>
      </c>
      <c r="D959" s="6" t="s">
        <v>97</v>
      </c>
      <c r="E959" s="6" t="s">
        <v>47</v>
      </c>
      <c r="F959" s="6" t="s">
        <v>98</v>
      </c>
      <c r="G959" s="6" t="s">
        <v>2574</v>
      </c>
    </row>
    <row r="960" spans="1:7" ht="18.95" customHeight="1">
      <c r="A960" s="6" t="s">
        <v>2575</v>
      </c>
      <c r="B960" s="6" t="s">
        <v>2573</v>
      </c>
      <c r="C960" s="6" t="s">
        <v>254</v>
      </c>
      <c r="D960" s="6" t="s">
        <v>103</v>
      </c>
      <c r="E960" s="6" t="s">
        <v>48</v>
      </c>
      <c r="F960" s="6" t="s">
        <v>98</v>
      </c>
      <c r="G960" s="6" t="s">
        <v>2576</v>
      </c>
    </row>
    <row r="961" spans="1:7" ht="18.95" customHeight="1">
      <c r="A961" s="6" t="s">
        <v>2577</v>
      </c>
      <c r="B961" s="6" t="s">
        <v>2578</v>
      </c>
      <c r="C961" s="6" t="s">
        <v>260</v>
      </c>
      <c r="D961" s="6" t="s">
        <v>93</v>
      </c>
      <c r="E961" s="6" t="s">
        <v>46</v>
      </c>
      <c r="F961" s="6" t="s">
        <v>98</v>
      </c>
      <c r="G961" s="6" t="s">
        <v>2579</v>
      </c>
    </row>
    <row r="962" spans="1:7" ht="18.95" customHeight="1">
      <c r="A962" s="6" t="s">
        <v>2580</v>
      </c>
      <c r="B962" s="6" t="s">
        <v>2578</v>
      </c>
      <c r="C962" s="6" t="s">
        <v>260</v>
      </c>
      <c r="D962" s="6" t="s">
        <v>97</v>
      </c>
      <c r="E962" s="6" t="s">
        <v>47</v>
      </c>
      <c r="F962" s="6" t="s">
        <v>98</v>
      </c>
      <c r="G962" s="6" t="s">
        <v>2581</v>
      </c>
    </row>
    <row r="963" spans="1:7" ht="18.95" customHeight="1">
      <c r="A963" s="6" t="s">
        <v>2582</v>
      </c>
      <c r="B963" s="6" t="s">
        <v>2583</v>
      </c>
      <c r="C963" s="6" t="s">
        <v>266</v>
      </c>
      <c r="D963" s="6" t="s">
        <v>103</v>
      </c>
      <c r="E963" s="6" t="s">
        <v>48</v>
      </c>
      <c r="F963" s="6" t="s">
        <v>98</v>
      </c>
      <c r="G963" s="6" t="s">
        <v>2584</v>
      </c>
    </row>
    <row r="964" spans="1:7" ht="18.95" customHeight="1">
      <c r="A964" s="6" t="s">
        <v>2585</v>
      </c>
      <c r="B964" s="6" t="s">
        <v>2583</v>
      </c>
      <c r="C964" s="6" t="s">
        <v>266</v>
      </c>
      <c r="D964" s="6" t="s">
        <v>93</v>
      </c>
      <c r="E964" s="6" t="s">
        <v>46</v>
      </c>
      <c r="F964" s="6" t="s">
        <v>98</v>
      </c>
      <c r="G964" s="6" t="s">
        <v>2586</v>
      </c>
    </row>
    <row r="965" spans="1:7" ht="18.95" customHeight="1">
      <c r="A965" s="6" t="s">
        <v>2587</v>
      </c>
      <c r="B965" s="6" t="s">
        <v>2588</v>
      </c>
      <c r="C965" s="6" t="s">
        <v>272</v>
      </c>
      <c r="D965" s="6" t="s">
        <v>97</v>
      </c>
      <c r="E965" s="6" t="s">
        <v>47</v>
      </c>
      <c r="F965" s="6" t="s">
        <v>98</v>
      </c>
      <c r="G965" s="6" t="s">
        <v>2589</v>
      </c>
    </row>
    <row r="966" spans="1:7" ht="18.95" customHeight="1">
      <c r="A966" s="6" t="s">
        <v>2590</v>
      </c>
      <c r="B966" s="6" t="s">
        <v>2588</v>
      </c>
      <c r="C966" s="6" t="s">
        <v>272</v>
      </c>
      <c r="D966" s="6" t="s">
        <v>103</v>
      </c>
      <c r="E966" s="6" t="s">
        <v>48</v>
      </c>
      <c r="F966" s="6" t="s">
        <v>98</v>
      </c>
      <c r="G966" s="6" t="s">
        <v>2591</v>
      </c>
    </row>
    <row r="967" spans="1:7" ht="18.95" customHeight="1">
      <c r="A967" s="6" t="s">
        <v>2592</v>
      </c>
      <c r="B967" s="6" t="s">
        <v>2593</v>
      </c>
      <c r="C967" s="6" t="s">
        <v>278</v>
      </c>
      <c r="D967" s="6" t="s">
        <v>93</v>
      </c>
      <c r="E967" s="6" t="s">
        <v>46</v>
      </c>
      <c r="F967" s="6" t="s">
        <v>98</v>
      </c>
      <c r="G967" s="6" t="s">
        <v>2594</v>
      </c>
    </row>
    <row r="968" spans="1:7" ht="18.95" customHeight="1">
      <c r="A968" s="6" t="s">
        <v>2595</v>
      </c>
      <c r="B968" s="6" t="s">
        <v>2593</v>
      </c>
      <c r="C968" s="6" t="s">
        <v>278</v>
      </c>
      <c r="D968" s="6" t="s">
        <v>97</v>
      </c>
      <c r="E968" s="6" t="s">
        <v>47</v>
      </c>
      <c r="F968" s="6" t="s">
        <v>98</v>
      </c>
      <c r="G968" s="6" t="s">
        <v>2596</v>
      </c>
    </row>
    <row r="969" spans="1:7" ht="18.95" customHeight="1">
      <c r="A969" s="6" t="s">
        <v>2597</v>
      </c>
      <c r="B969" s="6" t="s">
        <v>2598</v>
      </c>
      <c r="C969" s="6" t="s">
        <v>284</v>
      </c>
      <c r="D969" s="6" t="s">
        <v>103</v>
      </c>
      <c r="E969" s="6" t="s">
        <v>48</v>
      </c>
      <c r="F969" s="6" t="s">
        <v>98</v>
      </c>
      <c r="G969" s="6" t="s">
        <v>2599</v>
      </c>
    </row>
    <row r="970" spans="1:7" ht="18.95" customHeight="1">
      <c r="A970" s="6" t="s">
        <v>2600</v>
      </c>
      <c r="B970" s="6" t="s">
        <v>2598</v>
      </c>
      <c r="C970" s="6" t="s">
        <v>284</v>
      </c>
      <c r="D970" s="6" t="s">
        <v>93</v>
      </c>
      <c r="E970" s="6" t="s">
        <v>46</v>
      </c>
      <c r="F970" s="6" t="s">
        <v>98</v>
      </c>
      <c r="G970" s="6" t="s">
        <v>2601</v>
      </c>
    </row>
    <row r="971" spans="1:7" ht="18.95" customHeight="1">
      <c r="A971" s="6" t="s">
        <v>2602</v>
      </c>
      <c r="B971" s="6" t="s">
        <v>2603</v>
      </c>
      <c r="C971" s="6" t="s">
        <v>290</v>
      </c>
      <c r="D971" s="6" t="s">
        <v>97</v>
      </c>
      <c r="E971" s="6" t="s">
        <v>47</v>
      </c>
      <c r="F971" s="6" t="s">
        <v>98</v>
      </c>
      <c r="G971" s="6" t="s">
        <v>2604</v>
      </c>
    </row>
    <row r="972" spans="1:7" ht="18.95" customHeight="1">
      <c r="A972" s="6" t="s">
        <v>2605</v>
      </c>
      <c r="B972" s="6" t="s">
        <v>2603</v>
      </c>
      <c r="C972" s="6" t="s">
        <v>290</v>
      </c>
      <c r="D972" s="6" t="s">
        <v>103</v>
      </c>
      <c r="E972" s="6" t="s">
        <v>48</v>
      </c>
      <c r="F972" s="6" t="s">
        <v>98</v>
      </c>
      <c r="G972" s="6" t="s">
        <v>2606</v>
      </c>
    </row>
    <row r="973" spans="1:7" ht="18.95" customHeight="1">
      <c r="A973" s="6" t="s">
        <v>2607</v>
      </c>
      <c r="B973" s="6" t="s">
        <v>2608</v>
      </c>
      <c r="C973" s="6" t="s">
        <v>296</v>
      </c>
      <c r="D973" s="6" t="s">
        <v>93</v>
      </c>
      <c r="E973" s="6" t="s">
        <v>46</v>
      </c>
      <c r="F973" s="6" t="s">
        <v>94</v>
      </c>
      <c r="G973" s="6" t="s">
        <v>2609</v>
      </c>
    </row>
    <row r="974" spans="1:7" ht="18.95" customHeight="1">
      <c r="A974" s="6" t="s">
        <v>2610</v>
      </c>
      <c r="B974" s="6" t="s">
        <v>2608</v>
      </c>
      <c r="C974" s="6" t="s">
        <v>296</v>
      </c>
      <c r="D974" s="6" t="s">
        <v>97</v>
      </c>
      <c r="E974" s="6" t="s">
        <v>47</v>
      </c>
      <c r="F974" s="6" t="s">
        <v>98</v>
      </c>
      <c r="G974" s="6" t="s">
        <v>2611</v>
      </c>
    </row>
    <row r="975" spans="1:7" ht="18.95" customHeight="1">
      <c r="A975" s="6" t="s">
        <v>2612</v>
      </c>
      <c r="B975" s="6" t="s">
        <v>2613</v>
      </c>
      <c r="C975" s="6" t="s">
        <v>302</v>
      </c>
      <c r="D975" s="6" t="s">
        <v>103</v>
      </c>
      <c r="E975" s="6" t="s">
        <v>48</v>
      </c>
      <c r="F975" s="6" t="s">
        <v>98</v>
      </c>
      <c r="G975" s="6" t="s">
        <v>2614</v>
      </c>
    </row>
    <row r="976" spans="1:7" ht="18.95" customHeight="1">
      <c r="A976" s="6" t="s">
        <v>2615</v>
      </c>
      <c r="B976" s="6" t="s">
        <v>2613</v>
      </c>
      <c r="C976" s="6" t="s">
        <v>302</v>
      </c>
      <c r="D976" s="6" t="s">
        <v>93</v>
      </c>
      <c r="E976" s="6" t="s">
        <v>46</v>
      </c>
      <c r="F976" s="6" t="s">
        <v>98</v>
      </c>
      <c r="G976" s="6" t="s">
        <v>2616</v>
      </c>
    </row>
    <row r="977" spans="1:7" ht="18.95" customHeight="1">
      <c r="A977" s="6" t="s">
        <v>2617</v>
      </c>
      <c r="B977" s="6" t="s">
        <v>2618</v>
      </c>
      <c r="C977" s="6" t="s">
        <v>308</v>
      </c>
      <c r="D977" s="6" t="s">
        <v>97</v>
      </c>
      <c r="E977" s="6" t="s">
        <v>47</v>
      </c>
      <c r="F977" s="6" t="s">
        <v>98</v>
      </c>
      <c r="G977" s="6" t="s">
        <v>2619</v>
      </c>
    </row>
    <row r="978" spans="1:7" ht="18.95" customHeight="1">
      <c r="A978" s="6" t="s">
        <v>2620</v>
      </c>
      <c r="B978" s="6" t="s">
        <v>2618</v>
      </c>
      <c r="C978" s="6" t="s">
        <v>308</v>
      </c>
      <c r="D978" s="6" t="s">
        <v>103</v>
      </c>
      <c r="E978" s="6" t="s">
        <v>48</v>
      </c>
      <c r="F978" s="6" t="s">
        <v>98</v>
      </c>
      <c r="G978" s="6" t="s">
        <v>2621</v>
      </c>
    </row>
    <row r="979" spans="1:7" ht="18.95" customHeight="1">
      <c r="A979" s="6" t="s">
        <v>2622</v>
      </c>
      <c r="B979" s="6" t="s">
        <v>2623</v>
      </c>
      <c r="C979" s="6" t="s">
        <v>314</v>
      </c>
      <c r="D979" s="6" t="s">
        <v>93</v>
      </c>
      <c r="E979" s="6" t="s">
        <v>46</v>
      </c>
      <c r="F979" s="6" t="s">
        <v>98</v>
      </c>
      <c r="G979" s="6" t="s">
        <v>2624</v>
      </c>
    </row>
    <row r="980" spans="1:7" ht="18.95" customHeight="1">
      <c r="A980" s="6" t="s">
        <v>2625</v>
      </c>
      <c r="B980" s="6" t="s">
        <v>2623</v>
      </c>
      <c r="C980" s="6" t="s">
        <v>314</v>
      </c>
      <c r="D980" s="6" t="s">
        <v>97</v>
      </c>
      <c r="E980" s="6" t="s">
        <v>47</v>
      </c>
      <c r="F980" s="6" t="s">
        <v>98</v>
      </c>
      <c r="G980" s="6" t="s">
        <v>2626</v>
      </c>
    </row>
    <row r="981" spans="1:7" ht="18.95" customHeight="1">
      <c r="A981" s="6" t="s">
        <v>2627</v>
      </c>
      <c r="B981" s="6" t="s">
        <v>2628</v>
      </c>
      <c r="C981" s="6" t="s">
        <v>320</v>
      </c>
      <c r="D981" s="6" t="s">
        <v>103</v>
      </c>
      <c r="E981" s="6" t="s">
        <v>48</v>
      </c>
      <c r="F981" s="6" t="s">
        <v>98</v>
      </c>
      <c r="G981" s="6" t="s">
        <v>2629</v>
      </c>
    </row>
    <row r="982" spans="1:7" ht="18.95" customHeight="1">
      <c r="A982" s="6" t="s">
        <v>2630</v>
      </c>
      <c r="B982" s="6" t="s">
        <v>2628</v>
      </c>
      <c r="C982" s="6" t="s">
        <v>320</v>
      </c>
      <c r="D982" s="6" t="s">
        <v>93</v>
      </c>
      <c r="E982" s="6" t="s">
        <v>46</v>
      </c>
      <c r="F982" s="6" t="s">
        <v>98</v>
      </c>
      <c r="G982" s="6" t="s">
        <v>2631</v>
      </c>
    </row>
    <row r="983" spans="1:7" ht="18.95" customHeight="1">
      <c r="A983" s="6" t="s">
        <v>2632</v>
      </c>
      <c r="B983" s="6" t="s">
        <v>2633</v>
      </c>
      <c r="C983" s="6" t="s">
        <v>326</v>
      </c>
      <c r="D983" s="6" t="s">
        <v>97</v>
      </c>
      <c r="E983" s="6" t="s">
        <v>47</v>
      </c>
      <c r="F983" s="6" t="s">
        <v>98</v>
      </c>
      <c r="G983" s="6" t="s">
        <v>2634</v>
      </c>
    </row>
    <row r="984" spans="1:7" ht="18.95" customHeight="1">
      <c r="A984" s="6" t="s">
        <v>2635</v>
      </c>
      <c r="B984" s="6" t="s">
        <v>2633</v>
      </c>
      <c r="C984" s="6" t="s">
        <v>326</v>
      </c>
      <c r="D984" s="6" t="s">
        <v>103</v>
      </c>
      <c r="E984" s="6" t="s">
        <v>48</v>
      </c>
      <c r="F984" s="6" t="s">
        <v>98</v>
      </c>
      <c r="G984" s="6" t="s">
        <v>2636</v>
      </c>
    </row>
    <row r="985" spans="1:7" ht="18.95" customHeight="1">
      <c r="A985" s="6" t="s">
        <v>2637</v>
      </c>
      <c r="B985" s="6" t="s">
        <v>2638</v>
      </c>
      <c r="C985" s="6" t="s">
        <v>332</v>
      </c>
      <c r="D985" s="6" t="s">
        <v>93</v>
      </c>
      <c r="E985" s="6" t="s">
        <v>46</v>
      </c>
      <c r="F985" s="6" t="s">
        <v>98</v>
      </c>
      <c r="G985" s="6" t="s">
        <v>2639</v>
      </c>
    </row>
    <row r="986" spans="1:7" ht="18.95" customHeight="1">
      <c r="A986" s="6" t="s">
        <v>2640</v>
      </c>
      <c r="B986" s="6" t="s">
        <v>2638</v>
      </c>
      <c r="C986" s="6" t="s">
        <v>332</v>
      </c>
      <c r="D986" s="6" t="s">
        <v>97</v>
      </c>
      <c r="E986" s="6" t="s">
        <v>47</v>
      </c>
      <c r="F986" s="6" t="s">
        <v>98</v>
      </c>
      <c r="G986" s="6" t="s">
        <v>2641</v>
      </c>
    </row>
    <row r="987" spans="1:7" ht="18.95" customHeight="1">
      <c r="A987" s="6" t="s">
        <v>2642</v>
      </c>
      <c r="B987" s="6" t="s">
        <v>2643</v>
      </c>
      <c r="C987" s="6" t="s">
        <v>338</v>
      </c>
      <c r="D987" s="6" t="s">
        <v>103</v>
      </c>
      <c r="E987" s="6" t="s">
        <v>48</v>
      </c>
      <c r="F987" s="6" t="s">
        <v>98</v>
      </c>
      <c r="G987" s="6" t="s">
        <v>2644</v>
      </c>
    </row>
    <row r="988" spans="1:7" ht="18.95" customHeight="1">
      <c r="A988" s="6" t="s">
        <v>2645</v>
      </c>
      <c r="B988" s="6" t="s">
        <v>2643</v>
      </c>
      <c r="C988" s="6" t="s">
        <v>338</v>
      </c>
      <c r="D988" s="6" t="s">
        <v>93</v>
      </c>
      <c r="E988" s="6" t="s">
        <v>46</v>
      </c>
      <c r="F988" s="6" t="s">
        <v>98</v>
      </c>
      <c r="G988" s="6" t="s">
        <v>2646</v>
      </c>
    </row>
    <row r="989" spans="1:7" ht="18.95" customHeight="1">
      <c r="A989" s="6" t="s">
        <v>2647</v>
      </c>
      <c r="B989" s="6" t="s">
        <v>2648</v>
      </c>
      <c r="C989" s="6" t="s">
        <v>344</v>
      </c>
      <c r="D989" s="6" t="s">
        <v>97</v>
      </c>
      <c r="E989" s="6" t="s">
        <v>47</v>
      </c>
      <c r="F989" s="6" t="s">
        <v>98</v>
      </c>
      <c r="G989" s="6" t="s">
        <v>2649</v>
      </c>
    </row>
    <row r="990" spans="1:7" ht="18.95" customHeight="1">
      <c r="A990" s="6" t="s">
        <v>2650</v>
      </c>
      <c r="B990" s="6" t="s">
        <v>2648</v>
      </c>
      <c r="C990" s="6" t="s">
        <v>344</v>
      </c>
      <c r="D990" s="6" t="s">
        <v>103</v>
      </c>
      <c r="E990" s="6" t="s">
        <v>48</v>
      </c>
      <c r="F990" s="6" t="s">
        <v>98</v>
      </c>
      <c r="G990" s="6" t="s">
        <v>2651</v>
      </c>
    </row>
    <row r="991" spans="1:7" ht="18.95" customHeight="1">
      <c r="A991" s="6" t="s">
        <v>2652</v>
      </c>
      <c r="B991" s="6" t="s">
        <v>2653</v>
      </c>
      <c r="C991" s="6" t="s">
        <v>350</v>
      </c>
      <c r="D991" s="6" t="s">
        <v>93</v>
      </c>
      <c r="E991" s="6" t="s">
        <v>46</v>
      </c>
      <c r="F991" s="6" t="s">
        <v>98</v>
      </c>
      <c r="G991" s="6" t="s">
        <v>2654</v>
      </c>
    </row>
    <row r="992" spans="1:7" ht="18.95" customHeight="1">
      <c r="A992" s="6" t="s">
        <v>2655</v>
      </c>
      <c r="B992" s="6" t="s">
        <v>2653</v>
      </c>
      <c r="C992" s="6" t="s">
        <v>350</v>
      </c>
      <c r="D992" s="6" t="s">
        <v>97</v>
      </c>
      <c r="E992" s="6" t="s">
        <v>47</v>
      </c>
      <c r="F992" s="6" t="s">
        <v>98</v>
      </c>
      <c r="G992" s="6" t="s">
        <v>2656</v>
      </c>
    </row>
    <row r="993" spans="1:7" ht="18.95" customHeight="1">
      <c r="A993" s="6" t="s">
        <v>2657</v>
      </c>
      <c r="B993" s="6" t="s">
        <v>2658</v>
      </c>
      <c r="C993" s="6" t="s">
        <v>356</v>
      </c>
      <c r="D993" s="6" t="s">
        <v>103</v>
      </c>
      <c r="E993" s="6" t="s">
        <v>48</v>
      </c>
      <c r="F993" s="6" t="s">
        <v>98</v>
      </c>
      <c r="G993" s="6" t="s">
        <v>2659</v>
      </c>
    </row>
    <row r="994" spans="1:7" ht="18.95" customHeight="1">
      <c r="A994" s="6" t="s">
        <v>2660</v>
      </c>
      <c r="B994" s="6" t="s">
        <v>2658</v>
      </c>
      <c r="C994" s="6" t="s">
        <v>356</v>
      </c>
      <c r="D994" s="6" t="s">
        <v>93</v>
      </c>
      <c r="E994" s="6" t="s">
        <v>46</v>
      </c>
      <c r="F994" s="6" t="s">
        <v>98</v>
      </c>
      <c r="G994" s="6" t="s">
        <v>2661</v>
      </c>
    </row>
    <row r="995" spans="1:7" ht="18.95" customHeight="1">
      <c r="A995" s="6" t="s">
        <v>2662</v>
      </c>
      <c r="B995" s="6" t="s">
        <v>2663</v>
      </c>
      <c r="C995" s="6" t="s">
        <v>362</v>
      </c>
      <c r="D995" s="6" t="s">
        <v>97</v>
      </c>
      <c r="E995" s="6" t="s">
        <v>47</v>
      </c>
      <c r="F995" s="6" t="s">
        <v>98</v>
      </c>
      <c r="G995" s="6" t="s">
        <v>2664</v>
      </c>
    </row>
    <row r="996" spans="1:7" ht="18.95" customHeight="1">
      <c r="A996" s="6" t="s">
        <v>2665</v>
      </c>
      <c r="B996" s="6" t="s">
        <v>2663</v>
      </c>
      <c r="C996" s="6" t="s">
        <v>362</v>
      </c>
      <c r="D996" s="6" t="s">
        <v>103</v>
      </c>
      <c r="E996" s="6" t="s">
        <v>5191</v>
      </c>
      <c r="F996" s="6" t="s">
        <v>94</v>
      </c>
      <c r="G996" s="6" t="s">
        <v>2666</v>
      </c>
    </row>
    <row r="997" spans="1:7" ht="18.95" customHeight="1">
      <c r="A997" s="6" t="s">
        <v>2667</v>
      </c>
      <c r="B997" s="6" t="s">
        <v>2668</v>
      </c>
      <c r="C997" s="6" t="s">
        <v>368</v>
      </c>
      <c r="D997" s="6" t="s">
        <v>93</v>
      </c>
      <c r="E997" s="6" t="s">
        <v>46</v>
      </c>
      <c r="F997" s="6" t="s">
        <v>98</v>
      </c>
      <c r="G997" s="6" t="s">
        <v>2669</v>
      </c>
    </row>
    <row r="998" spans="1:7" ht="18.95" customHeight="1">
      <c r="A998" s="6" t="s">
        <v>2670</v>
      </c>
      <c r="B998" s="6" t="s">
        <v>2668</v>
      </c>
      <c r="C998" s="6" t="s">
        <v>368</v>
      </c>
      <c r="D998" s="6" t="s">
        <v>97</v>
      </c>
      <c r="E998" s="6" t="s">
        <v>47</v>
      </c>
      <c r="F998" s="6" t="s">
        <v>98</v>
      </c>
      <c r="G998" s="6" t="s">
        <v>2671</v>
      </c>
    </row>
    <row r="999" spans="1:7" ht="18.95" customHeight="1">
      <c r="A999" s="6" t="s">
        <v>2672</v>
      </c>
      <c r="B999" s="6" t="s">
        <v>2673</v>
      </c>
      <c r="C999" s="6" t="s">
        <v>2674</v>
      </c>
      <c r="D999" s="6" t="s">
        <v>103</v>
      </c>
      <c r="E999" s="6" t="s">
        <v>48</v>
      </c>
      <c r="F999" s="6" t="s">
        <v>98</v>
      </c>
      <c r="G999" s="6" t="s">
        <v>2675</v>
      </c>
    </row>
    <row r="1000" spans="1:7" ht="18.95" customHeight="1">
      <c r="A1000" s="6" t="s">
        <v>2676</v>
      </c>
      <c r="B1000" s="6" t="s">
        <v>2673</v>
      </c>
      <c r="C1000" s="6" t="s">
        <v>374</v>
      </c>
      <c r="D1000" s="6" t="s">
        <v>93</v>
      </c>
      <c r="E1000" s="6" t="s">
        <v>46</v>
      </c>
      <c r="F1000" s="6" t="s">
        <v>98</v>
      </c>
      <c r="G1000" s="6" t="s">
        <v>2677</v>
      </c>
    </row>
    <row r="1001" spans="1:7" ht="18.95" customHeight="1">
      <c r="A1001" s="6" t="s">
        <v>2678</v>
      </c>
      <c r="B1001" s="6" t="s">
        <v>2679</v>
      </c>
      <c r="C1001" s="6" t="s">
        <v>380</v>
      </c>
      <c r="D1001" s="6" t="s">
        <v>97</v>
      </c>
      <c r="E1001" s="6" t="s">
        <v>47</v>
      </c>
      <c r="F1001" s="6" t="s">
        <v>98</v>
      </c>
      <c r="G1001" s="6" t="s">
        <v>2680</v>
      </c>
    </row>
    <row r="1002" spans="1:7" ht="18.95" customHeight="1">
      <c r="A1002" s="6" t="s">
        <v>2681</v>
      </c>
      <c r="B1002" s="6" t="s">
        <v>2679</v>
      </c>
      <c r="C1002" s="6" t="s">
        <v>380</v>
      </c>
      <c r="D1002" s="6" t="s">
        <v>103</v>
      </c>
      <c r="E1002" s="6" t="s">
        <v>48</v>
      </c>
      <c r="F1002" s="6" t="s">
        <v>98</v>
      </c>
      <c r="G1002" s="6" t="s">
        <v>2682</v>
      </c>
    </row>
    <row r="1003" spans="1:7" ht="18.95" customHeight="1">
      <c r="A1003" s="6" t="s">
        <v>2683</v>
      </c>
      <c r="B1003" s="6" t="s">
        <v>2684</v>
      </c>
      <c r="C1003" s="6" t="s">
        <v>386</v>
      </c>
      <c r="D1003" s="6" t="s">
        <v>93</v>
      </c>
      <c r="E1003" s="6" t="s">
        <v>46</v>
      </c>
      <c r="F1003" s="6" t="s">
        <v>98</v>
      </c>
      <c r="G1003" s="6" t="s">
        <v>2685</v>
      </c>
    </row>
    <row r="1004" spans="1:7" ht="18.95" customHeight="1">
      <c r="A1004" s="6" t="s">
        <v>2686</v>
      </c>
      <c r="B1004" s="6" t="s">
        <v>2684</v>
      </c>
      <c r="C1004" s="6" t="s">
        <v>386</v>
      </c>
      <c r="D1004" s="6" t="s">
        <v>97</v>
      </c>
      <c r="E1004" s="6" t="s">
        <v>47</v>
      </c>
      <c r="F1004" s="6" t="s">
        <v>98</v>
      </c>
      <c r="G1004" s="6" t="s">
        <v>2687</v>
      </c>
    </row>
    <row r="1005" spans="1:7" ht="18.95" customHeight="1">
      <c r="A1005" s="6" t="s">
        <v>2688</v>
      </c>
      <c r="B1005" s="6" t="s">
        <v>2689</v>
      </c>
      <c r="C1005" s="6" t="s">
        <v>392</v>
      </c>
      <c r="D1005" s="6" t="s">
        <v>103</v>
      </c>
      <c r="E1005" s="6" t="s">
        <v>48</v>
      </c>
      <c r="F1005" s="6" t="s">
        <v>98</v>
      </c>
      <c r="G1005" s="6" t="s">
        <v>2690</v>
      </c>
    </row>
    <row r="1006" spans="1:7" ht="18.95" customHeight="1">
      <c r="A1006" s="6" t="s">
        <v>2691</v>
      </c>
      <c r="B1006" s="6" t="s">
        <v>2689</v>
      </c>
      <c r="C1006" s="6" t="s">
        <v>392</v>
      </c>
      <c r="D1006" s="6" t="s">
        <v>93</v>
      </c>
      <c r="E1006" s="6" t="s">
        <v>46</v>
      </c>
      <c r="F1006" s="6" t="s">
        <v>98</v>
      </c>
      <c r="G1006" s="6" t="s">
        <v>2692</v>
      </c>
    </row>
    <row r="1007" spans="1:7" ht="18.95" customHeight="1">
      <c r="A1007" s="6" t="s">
        <v>2693</v>
      </c>
      <c r="B1007" s="6" t="s">
        <v>2694</v>
      </c>
      <c r="C1007" s="6" t="s">
        <v>398</v>
      </c>
      <c r="D1007" s="6" t="s">
        <v>97</v>
      </c>
      <c r="E1007" s="6" t="s">
        <v>47</v>
      </c>
      <c r="F1007" s="6" t="s">
        <v>98</v>
      </c>
      <c r="G1007" s="6" t="s">
        <v>2695</v>
      </c>
    </row>
    <row r="1008" spans="1:7" ht="18.95" customHeight="1">
      <c r="A1008" s="6" t="s">
        <v>2696</v>
      </c>
      <c r="B1008" s="6" t="s">
        <v>2694</v>
      </c>
      <c r="C1008" s="6" t="s">
        <v>398</v>
      </c>
      <c r="D1008" s="6" t="s">
        <v>103</v>
      </c>
      <c r="E1008" s="6" t="s">
        <v>48</v>
      </c>
      <c r="F1008" s="6" t="s">
        <v>98</v>
      </c>
      <c r="G1008" s="6" t="s">
        <v>2697</v>
      </c>
    </row>
    <row r="1009" spans="1:7" ht="18.95" customHeight="1">
      <c r="A1009" s="6" t="s">
        <v>2698</v>
      </c>
      <c r="B1009" s="6" t="s">
        <v>2699</v>
      </c>
      <c r="C1009" s="6" t="s">
        <v>404</v>
      </c>
      <c r="D1009" s="6" t="s">
        <v>93</v>
      </c>
      <c r="E1009" s="6" t="s">
        <v>46</v>
      </c>
      <c r="F1009" s="6" t="s">
        <v>98</v>
      </c>
      <c r="G1009" s="6" t="s">
        <v>2700</v>
      </c>
    </row>
    <row r="1010" spans="1:7" ht="18.95" customHeight="1">
      <c r="A1010" s="6" t="s">
        <v>2701</v>
      </c>
      <c r="B1010" s="6" t="s">
        <v>2699</v>
      </c>
      <c r="C1010" s="6" t="s">
        <v>404</v>
      </c>
      <c r="D1010" s="6" t="s">
        <v>97</v>
      </c>
      <c r="E1010" s="6" t="s">
        <v>47</v>
      </c>
      <c r="F1010" s="6" t="s">
        <v>98</v>
      </c>
      <c r="G1010" s="6" t="s">
        <v>2702</v>
      </c>
    </row>
    <row r="1011" spans="1:7" ht="18.95" customHeight="1">
      <c r="A1011" s="6" t="s">
        <v>2703</v>
      </c>
      <c r="B1011" s="6" t="s">
        <v>2704</v>
      </c>
      <c r="C1011" s="6" t="s">
        <v>410</v>
      </c>
      <c r="D1011" s="6" t="s">
        <v>103</v>
      </c>
      <c r="E1011" s="6" t="s">
        <v>48</v>
      </c>
      <c r="F1011" s="6" t="s">
        <v>98</v>
      </c>
      <c r="G1011" s="6" t="s">
        <v>2705</v>
      </c>
    </row>
    <row r="1012" spans="1:7" ht="18.95" customHeight="1">
      <c r="A1012" s="6" t="s">
        <v>2706</v>
      </c>
      <c r="B1012" s="6" t="s">
        <v>2704</v>
      </c>
      <c r="C1012" s="6" t="s">
        <v>410</v>
      </c>
      <c r="D1012" s="6" t="s">
        <v>93</v>
      </c>
      <c r="E1012" s="6" t="s">
        <v>46</v>
      </c>
      <c r="F1012" s="6" t="s">
        <v>98</v>
      </c>
      <c r="G1012" s="6" t="s">
        <v>2707</v>
      </c>
    </row>
    <row r="1013" spans="1:7" ht="18.95" customHeight="1">
      <c r="A1013" s="6" t="s">
        <v>2708</v>
      </c>
      <c r="B1013" s="6" t="s">
        <v>2709</v>
      </c>
      <c r="C1013" s="6" t="s">
        <v>416</v>
      </c>
      <c r="D1013" s="6" t="s">
        <v>97</v>
      </c>
      <c r="E1013" s="6" t="s">
        <v>47</v>
      </c>
      <c r="F1013" s="6" t="s">
        <v>98</v>
      </c>
      <c r="G1013" s="6" t="s">
        <v>2710</v>
      </c>
    </row>
    <row r="1014" spans="1:7" ht="18.95" customHeight="1">
      <c r="A1014" s="6" t="s">
        <v>2711</v>
      </c>
      <c r="B1014" s="6" t="s">
        <v>2709</v>
      </c>
      <c r="C1014" s="6" t="s">
        <v>416</v>
      </c>
      <c r="D1014" s="6" t="s">
        <v>103</v>
      </c>
      <c r="E1014" s="6" t="s">
        <v>48</v>
      </c>
      <c r="F1014" s="6" t="s">
        <v>98</v>
      </c>
      <c r="G1014" s="6" t="s">
        <v>2712</v>
      </c>
    </row>
    <row r="1015" spans="1:7" ht="18.95" customHeight="1">
      <c r="A1015" s="6" t="s">
        <v>2713</v>
      </c>
      <c r="B1015" s="6" t="s">
        <v>2714</v>
      </c>
      <c r="C1015" s="6" t="s">
        <v>422</v>
      </c>
      <c r="D1015" s="6" t="s">
        <v>93</v>
      </c>
      <c r="E1015" s="6" t="s">
        <v>46</v>
      </c>
      <c r="F1015" s="6" t="s">
        <v>98</v>
      </c>
      <c r="G1015" s="6" t="s">
        <v>2715</v>
      </c>
    </row>
    <row r="1016" spans="1:7" ht="18.95" customHeight="1">
      <c r="A1016" s="6" t="s">
        <v>2716</v>
      </c>
      <c r="B1016" s="6" t="s">
        <v>2714</v>
      </c>
      <c r="C1016" s="6" t="s">
        <v>422</v>
      </c>
      <c r="D1016" s="6" t="s">
        <v>97</v>
      </c>
      <c r="E1016" s="6" t="s">
        <v>47</v>
      </c>
      <c r="F1016" s="6" t="s">
        <v>98</v>
      </c>
      <c r="G1016" s="6" t="s">
        <v>2717</v>
      </c>
    </row>
    <row r="1017" spans="1:7" ht="18.95" customHeight="1">
      <c r="A1017" s="6" t="s">
        <v>2718</v>
      </c>
      <c r="B1017" s="6" t="s">
        <v>2719</v>
      </c>
      <c r="C1017" s="6" t="s">
        <v>428</v>
      </c>
      <c r="D1017" s="6" t="s">
        <v>103</v>
      </c>
      <c r="E1017" s="6" t="s">
        <v>48</v>
      </c>
      <c r="F1017" s="6" t="s">
        <v>98</v>
      </c>
      <c r="G1017" s="6" t="s">
        <v>2720</v>
      </c>
    </row>
    <row r="1018" spans="1:7" ht="18.95" customHeight="1">
      <c r="A1018" s="6" t="s">
        <v>2721</v>
      </c>
      <c r="B1018" s="6" t="s">
        <v>2719</v>
      </c>
      <c r="C1018" s="6" t="s">
        <v>428</v>
      </c>
      <c r="D1018" s="6" t="s">
        <v>93</v>
      </c>
      <c r="E1018" s="6" t="s">
        <v>46</v>
      </c>
      <c r="F1018" s="6" t="s">
        <v>98</v>
      </c>
      <c r="G1018" s="6" t="s">
        <v>2722</v>
      </c>
    </row>
    <row r="1019" spans="1:7" ht="18.95" customHeight="1">
      <c r="A1019" s="6" t="s">
        <v>2723</v>
      </c>
      <c r="B1019" s="6" t="s">
        <v>2724</v>
      </c>
      <c r="C1019" s="6" t="s">
        <v>434</v>
      </c>
      <c r="D1019" s="6" t="s">
        <v>97</v>
      </c>
      <c r="E1019" s="6" t="s">
        <v>47</v>
      </c>
      <c r="F1019" s="6" t="s">
        <v>94</v>
      </c>
      <c r="G1019" s="6" t="s">
        <v>2725</v>
      </c>
    </row>
    <row r="1020" spans="1:7" ht="18.95" customHeight="1">
      <c r="A1020" s="6" t="s">
        <v>2726</v>
      </c>
      <c r="B1020" s="6" t="s">
        <v>2724</v>
      </c>
      <c r="C1020" s="6" t="s">
        <v>434</v>
      </c>
      <c r="D1020" s="6" t="s">
        <v>103</v>
      </c>
      <c r="E1020" s="6" t="s">
        <v>48</v>
      </c>
      <c r="F1020" s="6" t="s">
        <v>98</v>
      </c>
      <c r="G1020" s="6" t="s">
        <v>2727</v>
      </c>
    </row>
    <row r="1021" spans="1:7" ht="18.95" customHeight="1">
      <c r="A1021" s="6" t="s">
        <v>2728</v>
      </c>
      <c r="B1021" s="6" t="s">
        <v>2729</v>
      </c>
      <c r="C1021" s="6" t="s">
        <v>440</v>
      </c>
      <c r="D1021" s="6" t="s">
        <v>93</v>
      </c>
      <c r="E1021" s="6" t="s">
        <v>46</v>
      </c>
      <c r="F1021" s="6" t="s">
        <v>98</v>
      </c>
      <c r="G1021" s="6" t="s">
        <v>2730</v>
      </c>
    </row>
    <row r="1022" spans="1:7" ht="18.95" customHeight="1">
      <c r="A1022" s="6" t="s">
        <v>2731</v>
      </c>
      <c r="B1022" s="6" t="s">
        <v>2729</v>
      </c>
      <c r="C1022" s="6" t="s">
        <v>440</v>
      </c>
      <c r="D1022" s="6" t="s">
        <v>97</v>
      </c>
      <c r="E1022" s="6" t="s">
        <v>47</v>
      </c>
      <c r="F1022" s="6" t="s">
        <v>98</v>
      </c>
      <c r="G1022" s="6" t="s">
        <v>2732</v>
      </c>
    </row>
    <row r="1023" spans="1:7" ht="18.95" customHeight="1">
      <c r="A1023" s="6" t="s">
        <v>2733</v>
      </c>
      <c r="B1023" s="6" t="s">
        <v>2734</v>
      </c>
      <c r="C1023" s="6" t="s">
        <v>446</v>
      </c>
      <c r="D1023" s="6" t="s">
        <v>103</v>
      </c>
      <c r="E1023" s="6" t="s">
        <v>48</v>
      </c>
      <c r="F1023" s="6" t="s">
        <v>98</v>
      </c>
      <c r="G1023" s="6" t="s">
        <v>2735</v>
      </c>
    </row>
    <row r="1024" spans="1:7" ht="18.95" customHeight="1">
      <c r="A1024" s="6" t="s">
        <v>2736</v>
      </c>
      <c r="B1024" s="6" t="s">
        <v>2734</v>
      </c>
      <c r="C1024" s="6" t="s">
        <v>446</v>
      </c>
      <c r="D1024" s="6" t="s">
        <v>93</v>
      </c>
      <c r="E1024" s="6" t="s">
        <v>46</v>
      </c>
      <c r="F1024" s="6" t="s">
        <v>98</v>
      </c>
      <c r="G1024" s="6" t="s">
        <v>2737</v>
      </c>
    </row>
    <row r="1025" spans="1:7" ht="18.95" customHeight="1">
      <c r="A1025" s="6" t="s">
        <v>2738</v>
      </c>
      <c r="B1025" s="6" t="s">
        <v>2739</v>
      </c>
      <c r="C1025" s="6" t="s">
        <v>452</v>
      </c>
      <c r="D1025" s="6" t="s">
        <v>97</v>
      </c>
      <c r="E1025" s="6" t="s">
        <v>47</v>
      </c>
      <c r="F1025" s="6" t="s">
        <v>98</v>
      </c>
      <c r="G1025" s="6" t="s">
        <v>2740</v>
      </c>
    </row>
    <row r="1026" spans="1:7" ht="18.95" customHeight="1">
      <c r="A1026" s="6" t="s">
        <v>2741</v>
      </c>
      <c r="B1026" s="6" t="s">
        <v>2739</v>
      </c>
      <c r="C1026" s="6" t="s">
        <v>452</v>
      </c>
      <c r="D1026" s="6" t="s">
        <v>103</v>
      </c>
      <c r="E1026" s="6" t="s">
        <v>48</v>
      </c>
      <c r="F1026" s="6" t="s">
        <v>98</v>
      </c>
      <c r="G1026" s="6" t="s">
        <v>2742</v>
      </c>
    </row>
    <row r="1027" spans="1:7" ht="18.95" customHeight="1">
      <c r="A1027" s="6" t="s">
        <v>2743</v>
      </c>
      <c r="B1027" s="6" t="s">
        <v>2744</v>
      </c>
      <c r="C1027" s="6" t="s">
        <v>458</v>
      </c>
      <c r="D1027" s="6" t="s">
        <v>93</v>
      </c>
      <c r="E1027" s="6" t="s">
        <v>46</v>
      </c>
      <c r="F1027" s="6" t="s">
        <v>98</v>
      </c>
      <c r="G1027" s="6" t="s">
        <v>2745</v>
      </c>
    </row>
    <row r="1028" spans="1:7" ht="18.95" customHeight="1">
      <c r="A1028" s="6" t="s">
        <v>2746</v>
      </c>
      <c r="B1028" s="6" t="s">
        <v>2744</v>
      </c>
      <c r="C1028" s="6" t="s">
        <v>458</v>
      </c>
      <c r="D1028" s="6" t="s">
        <v>97</v>
      </c>
      <c r="E1028" s="6" t="s">
        <v>47</v>
      </c>
      <c r="F1028" s="6" t="s">
        <v>98</v>
      </c>
      <c r="G1028" s="6" t="s">
        <v>2747</v>
      </c>
    </row>
    <row r="1029" spans="1:7" ht="18.95" customHeight="1">
      <c r="A1029" s="6" t="s">
        <v>2748</v>
      </c>
      <c r="B1029" s="6" t="s">
        <v>2749</v>
      </c>
      <c r="C1029" s="6" t="s">
        <v>464</v>
      </c>
      <c r="D1029" s="6" t="s">
        <v>103</v>
      </c>
      <c r="E1029" s="6" t="s">
        <v>48</v>
      </c>
      <c r="F1029" s="6" t="s">
        <v>98</v>
      </c>
      <c r="G1029" s="6" t="s">
        <v>2750</v>
      </c>
    </row>
    <row r="1030" spans="1:7" ht="18.95" customHeight="1">
      <c r="A1030" s="6" t="s">
        <v>2751</v>
      </c>
      <c r="B1030" s="6" t="s">
        <v>2749</v>
      </c>
      <c r="C1030" s="6" t="s">
        <v>464</v>
      </c>
      <c r="D1030" s="6" t="s">
        <v>93</v>
      </c>
      <c r="E1030" s="6" t="s">
        <v>46</v>
      </c>
      <c r="F1030" s="6" t="s">
        <v>98</v>
      </c>
      <c r="G1030" s="6" t="s">
        <v>2752</v>
      </c>
    </row>
    <row r="1031" spans="1:7" ht="18.95" customHeight="1">
      <c r="A1031" s="6" t="s">
        <v>2753</v>
      </c>
      <c r="B1031" s="6" t="s">
        <v>2754</v>
      </c>
      <c r="C1031" s="6" t="s">
        <v>470</v>
      </c>
      <c r="D1031" s="6" t="s">
        <v>97</v>
      </c>
      <c r="E1031" s="6" t="s">
        <v>47</v>
      </c>
      <c r="F1031" s="6" t="s">
        <v>98</v>
      </c>
      <c r="G1031" s="6" t="s">
        <v>2755</v>
      </c>
    </row>
    <row r="1032" spans="1:7" ht="18.95" customHeight="1">
      <c r="A1032" s="6" t="s">
        <v>2756</v>
      </c>
      <c r="B1032" s="6" t="s">
        <v>2754</v>
      </c>
      <c r="C1032" s="6" t="s">
        <v>470</v>
      </c>
      <c r="D1032" s="6" t="s">
        <v>103</v>
      </c>
      <c r="E1032" s="6" t="s">
        <v>48</v>
      </c>
      <c r="F1032" s="6" t="s">
        <v>98</v>
      </c>
      <c r="G1032" s="6" t="s">
        <v>2757</v>
      </c>
    </row>
    <row r="1033" spans="1:7" ht="18.95" customHeight="1">
      <c r="A1033" s="6" t="s">
        <v>2758</v>
      </c>
      <c r="B1033" s="6" t="s">
        <v>2759</v>
      </c>
      <c r="C1033" s="6" t="s">
        <v>476</v>
      </c>
      <c r="D1033" s="6" t="s">
        <v>93</v>
      </c>
      <c r="E1033" s="6" t="s">
        <v>46</v>
      </c>
      <c r="F1033" s="6" t="s">
        <v>98</v>
      </c>
      <c r="G1033" s="6" t="s">
        <v>2760</v>
      </c>
    </row>
    <row r="1034" spans="1:7" ht="18.95" customHeight="1">
      <c r="A1034" s="6" t="s">
        <v>2761</v>
      </c>
      <c r="B1034" s="6" t="s">
        <v>2759</v>
      </c>
      <c r="C1034" s="6" t="s">
        <v>476</v>
      </c>
      <c r="D1034" s="6" t="s">
        <v>97</v>
      </c>
      <c r="E1034" s="6" t="s">
        <v>47</v>
      </c>
      <c r="F1034" s="6" t="s">
        <v>98</v>
      </c>
      <c r="G1034" s="6" t="s">
        <v>2762</v>
      </c>
    </row>
    <row r="1035" spans="1:7" ht="18.95" customHeight="1">
      <c r="A1035" s="6" t="s">
        <v>2763</v>
      </c>
      <c r="B1035" s="6" t="s">
        <v>2764</v>
      </c>
      <c r="C1035" s="6" t="s">
        <v>482</v>
      </c>
      <c r="D1035" s="6" t="s">
        <v>103</v>
      </c>
      <c r="E1035" s="6" t="s">
        <v>48</v>
      </c>
      <c r="F1035" s="6" t="s">
        <v>98</v>
      </c>
      <c r="G1035" s="6" t="s">
        <v>2765</v>
      </c>
    </row>
    <row r="1036" spans="1:7" ht="18.95" customHeight="1">
      <c r="A1036" s="6" t="s">
        <v>2766</v>
      </c>
      <c r="B1036" s="6" t="s">
        <v>2764</v>
      </c>
      <c r="C1036" s="6" t="s">
        <v>482</v>
      </c>
      <c r="D1036" s="6" t="s">
        <v>93</v>
      </c>
      <c r="E1036" s="6" t="s">
        <v>46</v>
      </c>
      <c r="F1036" s="6" t="s">
        <v>98</v>
      </c>
      <c r="G1036" s="6" t="s">
        <v>2767</v>
      </c>
    </row>
    <row r="1037" spans="1:7" ht="18.95" customHeight="1">
      <c r="A1037" s="6" t="s">
        <v>2768</v>
      </c>
      <c r="B1037" s="6" t="s">
        <v>2769</v>
      </c>
      <c r="C1037" s="6" t="s">
        <v>488</v>
      </c>
      <c r="D1037" s="6" t="s">
        <v>97</v>
      </c>
      <c r="E1037" s="6" t="s">
        <v>47</v>
      </c>
      <c r="F1037" s="6" t="s">
        <v>98</v>
      </c>
      <c r="G1037" s="6" t="s">
        <v>2770</v>
      </c>
    </row>
    <row r="1038" spans="1:7" ht="18.95" customHeight="1">
      <c r="A1038" s="6" t="s">
        <v>2771</v>
      </c>
      <c r="B1038" s="6" t="s">
        <v>2769</v>
      </c>
      <c r="C1038" s="6" t="s">
        <v>488</v>
      </c>
      <c r="D1038" s="6" t="s">
        <v>103</v>
      </c>
      <c r="E1038" s="6" t="s">
        <v>48</v>
      </c>
      <c r="F1038" s="6" t="s">
        <v>98</v>
      </c>
      <c r="G1038" s="6" t="s">
        <v>2772</v>
      </c>
    </row>
    <row r="1039" spans="1:7" ht="18.95" customHeight="1">
      <c r="A1039" s="6" t="s">
        <v>2773</v>
      </c>
      <c r="B1039" s="6" t="s">
        <v>2774</v>
      </c>
      <c r="C1039" s="6" t="s">
        <v>494</v>
      </c>
      <c r="D1039" s="6" t="s">
        <v>93</v>
      </c>
      <c r="E1039" s="6" t="s">
        <v>46</v>
      </c>
      <c r="F1039" s="6" t="s">
        <v>98</v>
      </c>
      <c r="G1039" s="6" t="s">
        <v>2775</v>
      </c>
    </row>
    <row r="1040" spans="1:7" ht="18.95" customHeight="1">
      <c r="A1040" s="6" t="s">
        <v>2776</v>
      </c>
      <c r="B1040" s="6" t="s">
        <v>2774</v>
      </c>
      <c r="C1040" s="6" t="s">
        <v>494</v>
      </c>
      <c r="D1040" s="6" t="s">
        <v>97</v>
      </c>
      <c r="E1040" s="6" t="s">
        <v>47</v>
      </c>
      <c r="F1040" s="6" t="s">
        <v>98</v>
      </c>
      <c r="G1040" s="6" t="s">
        <v>2777</v>
      </c>
    </row>
    <row r="1041" spans="1:7" ht="18.95" customHeight="1">
      <c r="A1041" s="6" t="s">
        <v>2778</v>
      </c>
      <c r="B1041" s="6" t="s">
        <v>2779</v>
      </c>
      <c r="C1041" s="6" t="s">
        <v>500</v>
      </c>
      <c r="D1041" s="6" t="s">
        <v>103</v>
      </c>
      <c r="E1041" s="6" t="s">
        <v>48</v>
      </c>
      <c r="F1041" s="6" t="s">
        <v>98</v>
      </c>
      <c r="G1041" s="6" t="s">
        <v>2780</v>
      </c>
    </row>
    <row r="1042" spans="1:7" ht="18.95" customHeight="1">
      <c r="A1042" s="6" t="s">
        <v>2781</v>
      </c>
      <c r="B1042" s="6" t="s">
        <v>2779</v>
      </c>
      <c r="C1042" s="6" t="s">
        <v>500</v>
      </c>
      <c r="D1042" s="6" t="s">
        <v>93</v>
      </c>
      <c r="E1042" s="6" t="s">
        <v>46</v>
      </c>
      <c r="F1042" s="6" t="s">
        <v>94</v>
      </c>
      <c r="G1042" s="6" t="s">
        <v>2782</v>
      </c>
    </row>
    <row r="1043" spans="1:7" ht="18.95" customHeight="1">
      <c r="A1043" s="6" t="s">
        <v>2783</v>
      </c>
      <c r="B1043" s="6" t="s">
        <v>2784</v>
      </c>
      <c r="C1043" s="6" t="s">
        <v>506</v>
      </c>
      <c r="D1043" s="6" t="s">
        <v>97</v>
      </c>
      <c r="E1043" s="6" t="s">
        <v>47</v>
      </c>
      <c r="F1043" s="6" t="s">
        <v>98</v>
      </c>
      <c r="G1043" s="6" t="s">
        <v>2785</v>
      </c>
    </row>
    <row r="1044" spans="1:7" ht="18.95" customHeight="1">
      <c r="A1044" s="6" t="s">
        <v>2786</v>
      </c>
      <c r="B1044" s="6" t="s">
        <v>2784</v>
      </c>
      <c r="C1044" s="6" t="s">
        <v>506</v>
      </c>
      <c r="D1044" s="6" t="s">
        <v>103</v>
      </c>
      <c r="E1044" s="6" t="s">
        <v>48</v>
      </c>
      <c r="F1044" s="6" t="s">
        <v>98</v>
      </c>
      <c r="G1044" s="6" t="s">
        <v>2787</v>
      </c>
    </row>
    <row r="1045" spans="1:7" ht="18.95" customHeight="1">
      <c r="A1045" s="6" t="s">
        <v>2788</v>
      </c>
      <c r="B1045" s="6" t="s">
        <v>2789</v>
      </c>
      <c r="C1045" s="6" t="s">
        <v>512</v>
      </c>
      <c r="D1045" s="6" t="s">
        <v>93</v>
      </c>
      <c r="E1045" s="6" t="s">
        <v>46</v>
      </c>
      <c r="F1045" s="6" t="s">
        <v>98</v>
      </c>
      <c r="G1045" s="6" t="s">
        <v>2790</v>
      </c>
    </row>
    <row r="1046" spans="1:7" ht="18.95" customHeight="1">
      <c r="A1046" s="6" t="s">
        <v>2791</v>
      </c>
      <c r="B1046" s="6" t="s">
        <v>2789</v>
      </c>
      <c r="C1046" s="6" t="s">
        <v>512</v>
      </c>
      <c r="D1046" s="6" t="s">
        <v>97</v>
      </c>
      <c r="E1046" s="6" t="s">
        <v>47</v>
      </c>
      <c r="F1046" s="6" t="s">
        <v>98</v>
      </c>
      <c r="G1046" s="6" t="s">
        <v>2792</v>
      </c>
    </row>
    <row r="1047" spans="1:7" ht="18.95" customHeight="1">
      <c r="A1047" s="6" t="s">
        <v>2793</v>
      </c>
      <c r="B1047" s="6" t="s">
        <v>2794</v>
      </c>
      <c r="C1047" s="6" t="s">
        <v>518</v>
      </c>
      <c r="D1047" s="6" t="s">
        <v>103</v>
      </c>
      <c r="E1047" s="6" t="s">
        <v>48</v>
      </c>
      <c r="F1047" s="6" t="s">
        <v>98</v>
      </c>
      <c r="G1047" s="6" t="s">
        <v>2795</v>
      </c>
    </row>
    <row r="1048" spans="1:7" ht="18.95" customHeight="1">
      <c r="A1048" s="6" t="s">
        <v>2796</v>
      </c>
      <c r="B1048" s="6" t="s">
        <v>2794</v>
      </c>
      <c r="C1048" s="6" t="s">
        <v>518</v>
      </c>
      <c r="D1048" s="6" t="s">
        <v>93</v>
      </c>
      <c r="E1048" s="6" t="s">
        <v>46</v>
      </c>
      <c r="F1048" s="6" t="s">
        <v>98</v>
      </c>
      <c r="G1048" s="6" t="s">
        <v>2797</v>
      </c>
    </row>
    <row r="1049" spans="1:7" ht="18.95" customHeight="1">
      <c r="A1049" s="6" t="s">
        <v>2798</v>
      </c>
      <c r="B1049" s="6" t="s">
        <v>2799</v>
      </c>
      <c r="C1049" s="6" t="s">
        <v>524</v>
      </c>
      <c r="D1049" s="6" t="s">
        <v>97</v>
      </c>
      <c r="E1049" s="6" t="s">
        <v>47</v>
      </c>
      <c r="F1049" s="6" t="s">
        <v>98</v>
      </c>
      <c r="G1049" s="6" t="s">
        <v>2800</v>
      </c>
    </row>
    <row r="1050" spans="1:7" ht="18.95" customHeight="1">
      <c r="A1050" s="6" t="s">
        <v>2801</v>
      </c>
      <c r="B1050" s="6" t="s">
        <v>2799</v>
      </c>
      <c r="C1050" s="6" t="s">
        <v>524</v>
      </c>
      <c r="D1050" s="6" t="s">
        <v>103</v>
      </c>
      <c r="E1050" s="6" t="s">
        <v>48</v>
      </c>
      <c r="F1050" s="6" t="s">
        <v>98</v>
      </c>
      <c r="G1050" s="6" t="s">
        <v>2802</v>
      </c>
    </row>
    <row r="1051" spans="1:7" ht="18.95" customHeight="1">
      <c r="A1051" s="6" t="s">
        <v>2803</v>
      </c>
      <c r="B1051" s="6" t="s">
        <v>2804</v>
      </c>
      <c r="C1051" s="6" t="s">
        <v>530</v>
      </c>
      <c r="D1051" s="6" t="s">
        <v>93</v>
      </c>
      <c r="E1051" s="6" t="s">
        <v>46</v>
      </c>
      <c r="F1051" s="6" t="s">
        <v>98</v>
      </c>
      <c r="G1051" s="6" t="s">
        <v>2805</v>
      </c>
    </row>
    <row r="1052" spans="1:7" ht="18.95" customHeight="1">
      <c r="A1052" s="6" t="s">
        <v>2806</v>
      </c>
      <c r="B1052" s="6" t="s">
        <v>2804</v>
      </c>
      <c r="C1052" s="6" t="s">
        <v>530</v>
      </c>
      <c r="D1052" s="6" t="s">
        <v>97</v>
      </c>
      <c r="E1052" s="6" t="s">
        <v>47</v>
      </c>
      <c r="F1052" s="6" t="s">
        <v>98</v>
      </c>
      <c r="G1052" s="6" t="s">
        <v>2807</v>
      </c>
    </row>
    <row r="1053" spans="1:7" ht="18.95" customHeight="1">
      <c r="A1053" s="6" t="s">
        <v>2808</v>
      </c>
      <c r="B1053" s="6" t="s">
        <v>2809</v>
      </c>
      <c r="C1053" s="6" t="s">
        <v>536</v>
      </c>
      <c r="D1053" s="6" t="s">
        <v>103</v>
      </c>
      <c r="E1053" s="6" t="s">
        <v>48</v>
      </c>
      <c r="F1053" s="6" t="s">
        <v>98</v>
      </c>
      <c r="G1053" s="6" t="s">
        <v>2810</v>
      </c>
    </row>
    <row r="1054" spans="1:7" ht="18.95" customHeight="1">
      <c r="A1054" s="6" t="s">
        <v>2811</v>
      </c>
      <c r="B1054" s="6" t="s">
        <v>2809</v>
      </c>
      <c r="C1054" s="6" t="s">
        <v>536</v>
      </c>
      <c r="D1054" s="6" t="s">
        <v>93</v>
      </c>
      <c r="E1054" s="6" t="s">
        <v>46</v>
      </c>
      <c r="F1054" s="6" t="s">
        <v>98</v>
      </c>
      <c r="G1054" s="6" t="s">
        <v>2812</v>
      </c>
    </row>
    <row r="1055" spans="1:7" ht="18.95" customHeight="1">
      <c r="A1055" s="6" t="s">
        <v>2813</v>
      </c>
      <c r="B1055" s="6" t="s">
        <v>2814</v>
      </c>
      <c r="C1055" s="6" t="s">
        <v>542</v>
      </c>
      <c r="D1055" s="6" t="s">
        <v>97</v>
      </c>
      <c r="E1055" s="6" t="s">
        <v>47</v>
      </c>
      <c r="F1055" s="6" t="s">
        <v>98</v>
      </c>
      <c r="G1055" s="6" t="s">
        <v>2815</v>
      </c>
    </row>
    <row r="1056" spans="1:7" ht="18.95" customHeight="1">
      <c r="A1056" s="6" t="s">
        <v>2816</v>
      </c>
      <c r="B1056" s="6" t="s">
        <v>2814</v>
      </c>
      <c r="C1056" s="6" t="s">
        <v>542</v>
      </c>
      <c r="D1056" s="6" t="s">
        <v>103</v>
      </c>
      <c r="E1056" s="6" t="s">
        <v>48</v>
      </c>
      <c r="F1056" s="6" t="s">
        <v>98</v>
      </c>
      <c r="G1056" s="6" t="s">
        <v>2817</v>
      </c>
    </row>
    <row r="1057" spans="1:7" ht="18.95" customHeight="1">
      <c r="A1057" s="6" t="s">
        <v>2818</v>
      </c>
      <c r="B1057" s="6" t="s">
        <v>2819</v>
      </c>
      <c r="C1057" s="6" t="s">
        <v>548</v>
      </c>
      <c r="D1057" s="6" t="s">
        <v>93</v>
      </c>
      <c r="E1057" s="6" t="s">
        <v>46</v>
      </c>
      <c r="F1057" s="6" t="s">
        <v>98</v>
      </c>
      <c r="G1057" s="6" t="s">
        <v>2820</v>
      </c>
    </row>
    <row r="1058" spans="1:7" ht="18.95" customHeight="1">
      <c r="A1058" s="6" t="s">
        <v>2821</v>
      </c>
      <c r="B1058" s="6" t="s">
        <v>2819</v>
      </c>
      <c r="C1058" s="6" t="s">
        <v>548</v>
      </c>
      <c r="D1058" s="6" t="s">
        <v>97</v>
      </c>
      <c r="E1058" s="6" t="s">
        <v>47</v>
      </c>
      <c r="F1058" s="6" t="s">
        <v>98</v>
      </c>
      <c r="G1058" s="6" t="s">
        <v>2822</v>
      </c>
    </row>
    <row r="1059" spans="1:7" ht="18.95" customHeight="1">
      <c r="A1059" s="6" t="s">
        <v>2823</v>
      </c>
      <c r="B1059" s="6" t="s">
        <v>2824</v>
      </c>
      <c r="C1059" s="6" t="s">
        <v>554</v>
      </c>
      <c r="D1059" s="6" t="s">
        <v>103</v>
      </c>
      <c r="E1059" s="6" t="s">
        <v>5191</v>
      </c>
      <c r="F1059" s="6" t="s">
        <v>98</v>
      </c>
      <c r="G1059" s="6" t="s">
        <v>2825</v>
      </c>
    </row>
    <row r="1060" spans="1:7" ht="18.95" customHeight="1">
      <c r="A1060" s="6" t="s">
        <v>2826</v>
      </c>
      <c r="B1060" s="6" t="s">
        <v>2824</v>
      </c>
      <c r="C1060" s="6" t="s">
        <v>554</v>
      </c>
      <c r="D1060" s="6" t="s">
        <v>93</v>
      </c>
      <c r="E1060" s="6" t="s">
        <v>46</v>
      </c>
      <c r="F1060" s="6" t="s">
        <v>98</v>
      </c>
      <c r="G1060" s="6" t="s">
        <v>2827</v>
      </c>
    </row>
    <row r="1061" spans="1:7" ht="18.95" customHeight="1">
      <c r="A1061" s="6" t="s">
        <v>2828</v>
      </c>
      <c r="B1061" s="6" t="s">
        <v>2829</v>
      </c>
      <c r="C1061" s="6" t="s">
        <v>560</v>
      </c>
      <c r="D1061" s="6" t="s">
        <v>97</v>
      </c>
      <c r="E1061" s="6" t="s">
        <v>47</v>
      </c>
      <c r="F1061" s="6" t="s">
        <v>98</v>
      </c>
      <c r="G1061" s="6" t="s">
        <v>2830</v>
      </c>
    </row>
    <row r="1062" spans="1:7" ht="18.95" customHeight="1">
      <c r="A1062" s="6" t="s">
        <v>2831</v>
      </c>
      <c r="B1062" s="6" t="s">
        <v>2829</v>
      </c>
      <c r="C1062" s="6" t="s">
        <v>560</v>
      </c>
      <c r="D1062" s="6" t="s">
        <v>103</v>
      </c>
      <c r="E1062" s="6" t="s">
        <v>48</v>
      </c>
      <c r="F1062" s="6" t="s">
        <v>98</v>
      </c>
      <c r="G1062" s="6" t="s">
        <v>2832</v>
      </c>
    </row>
    <row r="1063" spans="1:7" ht="18.95" customHeight="1">
      <c r="A1063" s="6" t="s">
        <v>2833</v>
      </c>
      <c r="B1063" s="6" t="s">
        <v>2834</v>
      </c>
      <c r="C1063" s="6" t="s">
        <v>566</v>
      </c>
      <c r="D1063" s="6" t="s">
        <v>93</v>
      </c>
      <c r="E1063" s="6" t="s">
        <v>46</v>
      </c>
      <c r="F1063" s="6" t="s">
        <v>98</v>
      </c>
      <c r="G1063" s="6" t="s">
        <v>2835</v>
      </c>
    </row>
    <row r="1064" spans="1:7" ht="18.95" customHeight="1">
      <c r="A1064" s="6" t="s">
        <v>2836</v>
      </c>
      <c r="B1064" s="6" t="s">
        <v>2834</v>
      </c>
      <c r="C1064" s="6" t="s">
        <v>566</v>
      </c>
      <c r="D1064" s="6" t="s">
        <v>97</v>
      </c>
      <c r="E1064" s="6" t="s">
        <v>47</v>
      </c>
      <c r="F1064" s="6" t="s">
        <v>98</v>
      </c>
      <c r="G1064" s="6" t="s">
        <v>2837</v>
      </c>
    </row>
    <row r="1065" spans="1:7" ht="18.95" customHeight="1">
      <c r="A1065" s="6" t="s">
        <v>2838</v>
      </c>
      <c r="B1065" s="6" t="s">
        <v>2839</v>
      </c>
      <c r="C1065" s="6" t="s">
        <v>572</v>
      </c>
      <c r="D1065" s="6" t="s">
        <v>103</v>
      </c>
      <c r="E1065" s="6" t="s">
        <v>48</v>
      </c>
      <c r="F1065" s="6" t="s">
        <v>94</v>
      </c>
      <c r="G1065" s="6" t="s">
        <v>2840</v>
      </c>
    </row>
    <row r="1066" spans="1:7" ht="18.95" customHeight="1">
      <c r="A1066" s="6" t="s">
        <v>2841</v>
      </c>
      <c r="B1066" s="6" t="s">
        <v>2839</v>
      </c>
      <c r="C1066" s="6" t="s">
        <v>572</v>
      </c>
      <c r="D1066" s="6" t="s">
        <v>93</v>
      </c>
      <c r="E1066" s="6" t="s">
        <v>46</v>
      </c>
      <c r="F1066" s="6" t="s">
        <v>98</v>
      </c>
      <c r="G1066" s="6" t="s">
        <v>2842</v>
      </c>
    </row>
    <row r="1067" spans="1:7" ht="18.95" customHeight="1">
      <c r="A1067" s="6" t="s">
        <v>2843</v>
      </c>
      <c r="B1067" s="6" t="s">
        <v>2844</v>
      </c>
      <c r="C1067" s="6" t="s">
        <v>578</v>
      </c>
      <c r="D1067" s="6" t="s">
        <v>97</v>
      </c>
      <c r="E1067" s="6" t="s">
        <v>47</v>
      </c>
      <c r="F1067" s="6" t="s">
        <v>98</v>
      </c>
      <c r="G1067" s="6" t="s">
        <v>2845</v>
      </c>
    </row>
    <row r="1068" spans="1:7" ht="18.95" customHeight="1">
      <c r="A1068" s="6" t="s">
        <v>2846</v>
      </c>
      <c r="B1068" s="6" t="s">
        <v>2844</v>
      </c>
      <c r="C1068" s="6" t="s">
        <v>578</v>
      </c>
      <c r="D1068" s="6" t="s">
        <v>103</v>
      </c>
      <c r="E1068" s="6" t="s">
        <v>48</v>
      </c>
      <c r="F1068" s="6" t="s">
        <v>98</v>
      </c>
      <c r="G1068" s="6" t="s">
        <v>2847</v>
      </c>
    </row>
    <row r="1069" spans="1:7" ht="18.95" customHeight="1">
      <c r="A1069" s="6" t="s">
        <v>2848</v>
      </c>
      <c r="B1069" s="6" t="s">
        <v>2849</v>
      </c>
      <c r="C1069" s="6" t="s">
        <v>584</v>
      </c>
      <c r="D1069" s="6" t="s">
        <v>93</v>
      </c>
      <c r="E1069" s="6" t="s">
        <v>46</v>
      </c>
      <c r="F1069" s="6" t="s">
        <v>98</v>
      </c>
      <c r="G1069" s="6" t="s">
        <v>2850</v>
      </c>
    </row>
    <row r="1070" spans="1:7" ht="18.95" customHeight="1">
      <c r="A1070" s="6" t="s">
        <v>2851</v>
      </c>
      <c r="B1070" s="6" t="s">
        <v>2849</v>
      </c>
      <c r="C1070" s="6" t="s">
        <v>584</v>
      </c>
      <c r="D1070" s="6" t="s">
        <v>97</v>
      </c>
      <c r="E1070" s="6" t="s">
        <v>47</v>
      </c>
      <c r="F1070" s="6" t="s">
        <v>98</v>
      </c>
      <c r="G1070" s="6" t="s">
        <v>2852</v>
      </c>
    </row>
    <row r="1071" spans="1:7" ht="18.95" customHeight="1">
      <c r="A1071" s="6" t="s">
        <v>2853</v>
      </c>
      <c r="B1071" s="6" t="s">
        <v>2854</v>
      </c>
      <c r="C1071" s="6" t="s">
        <v>590</v>
      </c>
      <c r="D1071" s="6" t="s">
        <v>103</v>
      </c>
      <c r="E1071" s="6" t="s">
        <v>48</v>
      </c>
      <c r="F1071" s="6" t="s">
        <v>98</v>
      </c>
      <c r="G1071" s="6" t="s">
        <v>2855</v>
      </c>
    </row>
    <row r="1072" spans="1:7" ht="18.95" customHeight="1">
      <c r="A1072" s="6" t="s">
        <v>2856</v>
      </c>
      <c r="B1072" s="6" t="s">
        <v>2854</v>
      </c>
      <c r="C1072" s="6" t="s">
        <v>590</v>
      </c>
      <c r="D1072" s="6" t="s">
        <v>93</v>
      </c>
      <c r="E1072" s="6" t="s">
        <v>46</v>
      </c>
      <c r="F1072" s="6" t="s">
        <v>98</v>
      </c>
      <c r="G1072" s="6" t="s">
        <v>2857</v>
      </c>
    </row>
    <row r="1073" spans="1:7" ht="18.95" customHeight="1">
      <c r="A1073" s="6" t="s">
        <v>2858</v>
      </c>
      <c r="B1073" s="6" t="s">
        <v>2859</v>
      </c>
      <c r="C1073" s="6" t="s">
        <v>596</v>
      </c>
      <c r="D1073" s="6" t="s">
        <v>97</v>
      </c>
      <c r="E1073" s="6" t="s">
        <v>47</v>
      </c>
      <c r="F1073" s="6" t="s">
        <v>98</v>
      </c>
      <c r="G1073" s="6" t="s">
        <v>2860</v>
      </c>
    </row>
    <row r="1074" spans="1:7" ht="18.95" customHeight="1">
      <c r="A1074" s="6" t="s">
        <v>2861</v>
      </c>
      <c r="B1074" s="6" t="s">
        <v>2859</v>
      </c>
      <c r="C1074" s="6" t="s">
        <v>596</v>
      </c>
      <c r="D1074" s="6" t="s">
        <v>103</v>
      </c>
      <c r="E1074" s="6" t="s">
        <v>48</v>
      </c>
      <c r="F1074" s="6" t="s">
        <v>98</v>
      </c>
      <c r="G1074" s="6" t="s">
        <v>2862</v>
      </c>
    </row>
    <row r="1075" spans="1:7" ht="18.95" customHeight="1">
      <c r="A1075" s="6" t="s">
        <v>2863</v>
      </c>
      <c r="B1075" s="6" t="s">
        <v>2864</v>
      </c>
      <c r="C1075" s="6" t="s">
        <v>602</v>
      </c>
      <c r="D1075" s="6" t="s">
        <v>93</v>
      </c>
      <c r="E1075" s="6" t="s">
        <v>46</v>
      </c>
      <c r="F1075" s="6" t="s">
        <v>98</v>
      </c>
      <c r="G1075" s="6" t="s">
        <v>2865</v>
      </c>
    </row>
    <row r="1076" spans="1:7" ht="18.95" customHeight="1">
      <c r="A1076" s="6" t="s">
        <v>2866</v>
      </c>
      <c r="B1076" s="6" t="s">
        <v>2864</v>
      </c>
      <c r="C1076" s="6" t="s">
        <v>602</v>
      </c>
      <c r="D1076" s="6" t="s">
        <v>97</v>
      </c>
      <c r="E1076" s="6" t="s">
        <v>47</v>
      </c>
      <c r="F1076" s="6" t="s">
        <v>98</v>
      </c>
      <c r="G1076" s="6" t="s">
        <v>2867</v>
      </c>
    </row>
    <row r="1077" spans="1:7" ht="18.95" customHeight="1">
      <c r="A1077" s="6" t="s">
        <v>2868</v>
      </c>
      <c r="B1077" s="6" t="s">
        <v>2869</v>
      </c>
      <c r="C1077" s="6" t="s">
        <v>611</v>
      </c>
      <c r="D1077" s="6" t="s">
        <v>103</v>
      </c>
      <c r="E1077" s="6" t="s">
        <v>48</v>
      </c>
      <c r="F1077" s="6" t="s">
        <v>98</v>
      </c>
      <c r="G1077" s="6" t="s">
        <v>2870</v>
      </c>
    </row>
    <row r="1078" spans="1:7" ht="18.95" customHeight="1">
      <c r="A1078" s="6" t="s">
        <v>2871</v>
      </c>
      <c r="B1078" s="6" t="s">
        <v>2869</v>
      </c>
      <c r="C1078" s="6" t="s">
        <v>611</v>
      </c>
      <c r="D1078" s="6" t="s">
        <v>93</v>
      </c>
      <c r="E1078" s="6" t="s">
        <v>46</v>
      </c>
      <c r="F1078" s="6" t="s">
        <v>98</v>
      </c>
      <c r="G1078" s="6" t="s">
        <v>2872</v>
      </c>
    </row>
    <row r="1079" spans="1:7" ht="18.95" customHeight="1">
      <c r="A1079" s="6" t="s">
        <v>2873</v>
      </c>
      <c r="B1079" s="6" t="s">
        <v>2874</v>
      </c>
      <c r="C1079" s="6" t="s">
        <v>615</v>
      </c>
      <c r="D1079" s="6" t="s">
        <v>97</v>
      </c>
      <c r="E1079" s="6" t="s">
        <v>47</v>
      </c>
      <c r="F1079" s="6" t="s">
        <v>98</v>
      </c>
      <c r="G1079" s="6" t="s">
        <v>2875</v>
      </c>
    </row>
    <row r="1080" spans="1:7" ht="18.95" customHeight="1">
      <c r="A1080" s="6" t="s">
        <v>2876</v>
      </c>
      <c r="B1080" s="6" t="s">
        <v>2874</v>
      </c>
      <c r="C1080" s="6" t="s">
        <v>615</v>
      </c>
      <c r="D1080" s="6" t="s">
        <v>103</v>
      </c>
      <c r="E1080" s="6" t="s">
        <v>48</v>
      </c>
      <c r="F1080" s="6" t="s">
        <v>98</v>
      </c>
      <c r="G1080" s="6" t="s">
        <v>2877</v>
      </c>
    </row>
    <row r="1081" spans="1:7" ht="18.95" customHeight="1">
      <c r="A1081" s="6" t="s">
        <v>2878</v>
      </c>
      <c r="B1081" s="6" t="s">
        <v>2879</v>
      </c>
      <c r="C1081" s="6" t="s">
        <v>621</v>
      </c>
      <c r="D1081" s="6" t="s">
        <v>93</v>
      </c>
      <c r="E1081" s="6" t="s">
        <v>46</v>
      </c>
      <c r="F1081" s="6" t="s">
        <v>98</v>
      </c>
      <c r="G1081" s="6" t="s">
        <v>2880</v>
      </c>
    </row>
    <row r="1082" spans="1:7" ht="18.95" customHeight="1">
      <c r="A1082" s="6" t="s">
        <v>2881</v>
      </c>
      <c r="B1082" s="6" t="s">
        <v>2879</v>
      </c>
      <c r="C1082" s="6" t="s">
        <v>621</v>
      </c>
      <c r="D1082" s="6" t="s">
        <v>97</v>
      </c>
      <c r="E1082" s="6" t="s">
        <v>47</v>
      </c>
      <c r="F1082" s="6" t="s">
        <v>98</v>
      </c>
      <c r="G1082" s="6" t="s">
        <v>2882</v>
      </c>
    </row>
    <row r="1083" spans="1:7" ht="18.95" customHeight="1">
      <c r="A1083" s="6" t="s">
        <v>2883</v>
      </c>
      <c r="B1083" s="6" t="s">
        <v>2884</v>
      </c>
      <c r="C1083" s="6" t="s">
        <v>627</v>
      </c>
      <c r="D1083" s="6" t="s">
        <v>103</v>
      </c>
      <c r="E1083" s="6" t="s">
        <v>48</v>
      </c>
      <c r="F1083" s="6" t="s">
        <v>98</v>
      </c>
      <c r="G1083" s="6" t="s">
        <v>2885</v>
      </c>
    </row>
    <row r="1084" spans="1:7" ht="18.95" customHeight="1">
      <c r="A1084" s="6" t="s">
        <v>2886</v>
      </c>
      <c r="B1084" s="6" t="s">
        <v>2884</v>
      </c>
      <c r="C1084" s="6" t="s">
        <v>627</v>
      </c>
      <c r="D1084" s="6" t="s">
        <v>93</v>
      </c>
      <c r="E1084" s="6" t="s">
        <v>46</v>
      </c>
      <c r="F1084" s="6" t="s">
        <v>98</v>
      </c>
      <c r="G1084" s="6" t="s">
        <v>2887</v>
      </c>
    </row>
    <row r="1085" spans="1:7" ht="18.95" customHeight="1">
      <c r="A1085" s="6" t="s">
        <v>2888</v>
      </c>
      <c r="B1085" s="6" t="s">
        <v>2889</v>
      </c>
      <c r="C1085" s="6" t="s">
        <v>633</v>
      </c>
      <c r="D1085" s="6" t="s">
        <v>97</v>
      </c>
      <c r="E1085" s="6" t="s">
        <v>47</v>
      </c>
      <c r="F1085" s="6" t="s">
        <v>98</v>
      </c>
      <c r="G1085" s="6" t="s">
        <v>2890</v>
      </c>
    </row>
    <row r="1086" spans="1:7" ht="18.95" customHeight="1">
      <c r="A1086" s="6" t="s">
        <v>2891</v>
      </c>
      <c r="B1086" s="6" t="s">
        <v>2889</v>
      </c>
      <c r="C1086" s="6" t="s">
        <v>633</v>
      </c>
      <c r="D1086" s="6" t="s">
        <v>103</v>
      </c>
      <c r="E1086" s="6" t="s">
        <v>48</v>
      </c>
      <c r="F1086" s="6" t="s">
        <v>98</v>
      </c>
      <c r="G1086" s="6" t="s">
        <v>2892</v>
      </c>
    </row>
    <row r="1087" spans="1:7" ht="18.95" customHeight="1">
      <c r="A1087" s="6" t="s">
        <v>2893</v>
      </c>
      <c r="B1087" s="6" t="s">
        <v>2894</v>
      </c>
      <c r="C1087" s="6" t="s">
        <v>92</v>
      </c>
      <c r="D1087" s="6" t="s">
        <v>93</v>
      </c>
      <c r="E1087" s="6" t="s">
        <v>46</v>
      </c>
      <c r="F1087" s="6" t="s">
        <v>98</v>
      </c>
      <c r="G1087" s="6" t="s">
        <v>2895</v>
      </c>
    </row>
    <row r="1088" spans="1:7" ht="18.95" customHeight="1">
      <c r="A1088" s="6" t="s">
        <v>2896</v>
      </c>
      <c r="B1088" s="6" t="s">
        <v>2894</v>
      </c>
      <c r="C1088" s="6" t="s">
        <v>92</v>
      </c>
      <c r="D1088" s="6" t="s">
        <v>97</v>
      </c>
      <c r="E1088" s="6" t="s">
        <v>47</v>
      </c>
      <c r="F1088" s="6" t="s">
        <v>94</v>
      </c>
      <c r="G1088" s="6" t="s">
        <v>2897</v>
      </c>
    </row>
    <row r="1089" spans="1:7" ht="18.95" customHeight="1">
      <c r="A1089" s="6" t="s">
        <v>2898</v>
      </c>
      <c r="B1089" s="6" t="s">
        <v>2899</v>
      </c>
      <c r="C1089" s="6" t="s">
        <v>102</v>
      </c>
      <c r="D1089" s="6" t="s">
        <v>103</v>
      </c>
      <c r="E1089" s="6" t="s">
        <v>48</v>
      </c>
      <c r="F1089" s="6" t="s">
        <v>98</v>
      </c>
      <c r="G1089" s="6" t="s">
        <v>2900</v>
      </c>
    </row>
    <row r="1090" spans="1:7" ht="18.95" customHeight="1">
      <c r="A1090" s="6" t="s">
        <v>2901</v>
      </c>
      <c r="B1090" s="6" t="s">
        <v>2899</v>
      </c>
      <c r="C1090" s="6" t="s">
        <v>102</v>
      </c>
      <c r="D1090" s="6" t="s">
        <v>93</v>
      </c>
      <c r="E1090" s="6" t="s">
        <v>46</v>
      </c>
      <c r="F1090" s="6" t="s">
        <v>98</v>
      </c>
      <c r="G1090" s="6" t="s">
        <v>2902</v>
      </c>
    </row>
    <row r="1091" spans="1:7" ht="18.95" customHeight="1">
      <c r="A1091" s="6" t="s">
        <v>2903</v>
      </c>
      <c r="B1091" s="6" t="s">
        <v>2904</v>
      </c>
      <c r="C1091" s="6" t="s">
        <v>109</v>
      </c>
      <c r="D1091" s="6" t="s">
        <v>97</v>
      </c>
      <c r="E1091" s="6" t="s">
        <v>47</v>
      </c>
      <c r="F1091" s="6" t="s">
        <v>98</v>
      </c>
      <c r="G1091" s="6" t="s">
        <v>2905</v>
      </c>
    </row>
    <row r="1092" spans="1:7" ht="18.95" customHeight="1">
      <c r="A1092" s="6" t="s">
        <v>2906</v>
      </c>
      <c r="B1092" s="6" t="s">
        <v>2904</v>
      </c>
      <c r="C1092" s="6" t="s">
        <v>109</v>
      </c>
      <c r="D1092" s="6" t="s">
        <v>103</v>
      </c>
      <c r="E1092" s="6" t="s">
        <v>48</v>
      </c>
      <c r="F1092" s="6" t="s">
        <v>98</v>
      </c>
      <c r="G1092" s="6" t="s">
        <v>2907</v>
      </c>
    </row>
    <row r="1093" spans="1:7" ht="18.95" customHeight="1">
      <c r="A1093" s="6" t="s">
        <v>2908</v>
      </c>
      <c r="B1093" s="6" t="s">
        <v>2909</v>
      </c>
      <c r="C1093" s="6" t="s">
        <v>115</v>
      </c>
      <c r="D1093" s="6" t="s">
        <v>93</v>
      </c>
      <c r="E1093" s="6" t="s">
        <v>46</v>
      </c>
      <c r="F1093" s="6" t="s">
        <v>98</v>
      </c>
      <c r="G1093" s="6" t="s">
        <v>2910</v>
      </c>
    </row>
    <row r="1094" spans="1:7" ht="18.95" customHeight="1">
      <c r="A1094" s="6" t="s">
        <v>2911</v>
      </c>
      <c r="B1094" s="6" t="s">
        <v>2909</v>
      </c>
      <c r="C1094" s="6" t="s">
        <v>115</v>
      </c>
      <c r="D1094" s="6" t="s">
        <v>97</v>
      </c>
      <c r="E1094" s="6" t="s">
        <v>47</v>
      </c>
      <c r="F1094" s="6" t="s">
        <v>98</v>
      </c>
      <c r="G1094" s="6" t="s">
        <v>2912</v>
      </c>
    </row>
    <row r="1095" spans="1:7" ht="18.95" customHeight="1">
      <c r="A1095" s="6" t="s">
        <v>2913</v>
      </c>
      <c r="B1095" s="6" t="s">
        <v>2914</v>
      </c>
      <c r="C1095" s="6" t="s">
        <v>121</v>
      </c>
      <c r="D1095" s="6" t="s">
        <v>103</v>
      </c>
      <c r="E1095" s="6" t="s">
        <v>48</v>
      </c>
      <c r="F1095" s="6" t="s">
        <v>98</v>
      </c>
      <c r="G1095" s="6" t="s">
        <v>2915</v>
      </c>
    </row>
    <row r="1096" spans="1:7" ht="18.95" customHeight="1">
      <c r="A1096" s="6" t="s">
        <v>2916</v>
      </c>
      <c r="B1096" s="6" t="s">
        <v>2914</v>
      </c>
      <c r="C1096" s="6" t="s">
        <v>121</v>
      </c>
      <c r="D1096" s="6" t="s">
        <v>93</v>
      </c>
      <c r="E1096" s="6" t="s">
        <v>46</v>
      </c>
      <c r="F1096" s="6" t="s">
        <v>98</v>
      </c>
      <c r="G1096" s="6" t="s">
        <v>2917</v>
      </c>
    </row>
    <row r="1097" spans="1:7" ht="18.95" customHeight="1">
      <c r="A1097" s="6" t="s">
        <v>2918</v>
      </c>
      <c r="B1097" s="6" t="s">
        <v>2919</v>
      </c>
      <c r="C1097" s="6" t="s">
        <v>127</v>
      </c>
      <c r="D1097" s="6" t="s">
        <v>97</v>
      </c>
      <c r="E1097" s="6" t="s">
        <v>47</v>
      </c>
      <c r="F1097" s="6" t="s">
        <v>98</v>
      </c>
      <c r="G1097" s="6" t="s">
        <v>2920</v>
      </c>
    </row>
    <row r="1098" spans="1:7" ht="18.95" customHeight="1">
      <c r="A1098" s="6" t="s">
        <v>2921</v>
      </c>
      <c r="B1098" s="6" t="s">
        <v>2919</v>
      </c>
      <c r="C1098" s="6" t="s">
        <v>127</v>
      </c>
      <c r="D1098" s="6" t="s">
        <v>103</v>
      </c>
      <c r="E1098" s="6" t="s">
        <v>48</v>
      </c>
      <c r="F1098" s="6" t="s">
        <v>98</v>
      </c>
      <c r="G1098" s="6" t="s">
        <v>2922</v>
      </c>
    </row>
    <row r="1099" spans="1:7" ht="18.95" customHeight="1">
      <c r="A1099" s="6" t="s">
        <v>2923</v>
      </c>
      <c r="B1099" s="6" t="s">
        <v>2924</v>
      </c>
      <c r="C1099" s="6" t="s">
        <v>133</v>
      </c>
      <c r="D1099" s="6" t="s">
        <v>93</v>
      </c>
      <c r="E1099" s="6" t="s">
        <v>46</v>
      </c>
      <c r="F1099" s="6" t="s">
        <v>98</v>
      </c>
      <c r="G1099" s="6" t="s">
        <v>2925</v>
      </c>
    </row>
    <row r="1100" spans="1:7" ht="18.95" customHeight="1">
      <c r="A1100" s="6" t="s">
        <v>2926</v>
      </c>
      <c r="B1100" s="6" t="s">
        <v>2924</v>
      </c>
      <c r="C1100" s="6" t="s">
        <v>133</v>
      </c>
      <c r="D1100" s="6" t="s">
        <v>97</v>
      </c>
      <c r="E1100" s="6" t="s">
        <v>47</v>
      </c>
      <c r="F1100" s="6" t="s">
        <v>98</v>
      </c>
      <c r="G1100" s="6" t="s">
        <v>2927</v>
      </c>
    </row>
    <row r="1101" spans="1:7" ht="18.95" customHeight="1">
      <c r="A1101" s="6" t="s">
        <v>2928</v>
      </c>
      <c r="B1101" s="6" t="s">
        <v>2929</v>
      </c>
      <c r="C1101" s="6" t="s">
        <v>139</v>
      </c>
      <c r="D1101" s="6" t="s">
        <v>103</v>
      </c>
      <c r="E1101" s="6" t="s">
        <v>48</v>
      </c>
      <c r="F1101" s="6" t="s">
        <v>98</v>
      </c>
      <c r="G1101" s="6" t="s">
        <v>2930</v>
      </c>
    </row>
    <row r="1102" spans="1:7" ht="18.95" customHeight="1">
      <c r="A1102" s="6" t="s">
        <v>2931</v>
      </c>
      <c r="B1102" s="6" t="s">
        <v>2929</v>
      </c>
      <c r="C1102" s="6" t="s">
        <v>139</v>
      </c>
      <c r="D1102" s="6" t="s">
        <v>93</v>
      </c>
      <c r="E1102" s="6" t="s">
        <v>46</v>
      </c>
      <c r="F1102" s="6" t="s">
        <v>98</v>
      </c>
      <c r="G1102" s="6" t="s">
        <v>2932</v>
      </c>
    </row>
    <row r="1103" spans="1:7" ht="18.95" customHeight="1">
      <c r="A1103" s="6" t="s">
        <v>2933</v>
      </c>
      <c r="B1103" s="6" t="s">
        <v>2934</v>
      </c>
      <c r="C1103" s="6" t="s">
        <v>145</v>
      </c>
      <c r="D1103" s="6" t="s">
        <v>97</v>
      </c>
      <c r="E1103" s="6" t="s">
        <v>47</v>
      </c>
      <c r="F1103" s="6" t="s">
        <v>98</v>
      </c>
      <c r="G1103" s="6" t="s">
        <v>2935</v>
      </c>
    </row>
    <row r="1104" spans="1:7" ht="18.95" customHeight="1">
      <c r="A1104" s="6" t="s">
        <v>2936</v>
      </c>
      <c r="B1104" s="6" t="s">
        <v>2934</v>
      </c>
      <c r="C1104" s="6" t="s">
        <v>145</v>
      </c>
      <c r="D1104" s="6" t="s">
        <v>103</v>
      </c>
      <c r="E1104" s="6" t="s">
        <v>48</v>
      </c>
      <c r="F1104" s="6" t="s">
        <v>98</v>
      </c>
      <c r="G1104" s="6" t="s">
        <v>2937</v>
      </c>
    </row>
    <row r="1105" spans="1:7" ht="18.95" customHeight="1">
      <c r="A1105" s="6" t="s">
        <v>2938</v>
      </c>
      <c r="B1105" s="6" t="s">
        <v>2939</v>
      </c>
      <c r="C1105" s="6" t="s">
        <v>151</v>
      </c>
      <c r="D1105" s="6" t="s">
        <v>93</v>
      </c>
      <c r="E1105" s="6" t="s">
        <v>46</v>
      </c>
      <c r="F1105" s="6" t="s">
        <v>98</v>
      </c>
      <c r="G1105" s="6" t="s">
        <v>2940</v>
      </c>
    </row>
    <row r="1106" spans="1:7" ht="18.95" customHeight="1">
      <c r="A1106" s="6" t="s">
        <v>2941</v>
      </c>
      <c r="B1106" s="6" t="s">
        <v>2939</v>
      </c>
      <c r="C1106" s="6" t="s">
        <v>151</v>
      </c>
      <c r="D1106" s="6" t="s">
        <v>97</v>
      </c>
      <c r="E1106" s="6" t="s">
        <v>47</v>
      </c>
      <c r="F1106" s="6" t="s">
        <v>98</v>
      </c>
      <c r="G1106" s="6" t="s">
        <v>2942</v>
      </c>
    </row>
    <row r="1107" spans="1:7" ht="18.95" customHeight="1">
      <c r="A1107" s="6" t="s">
        <v>2943</v>
      </c>
      <c r="B1107" s="6" t="s">
        <v>2944</v>
      </c>
      <c r="C1107" s="6" t="s">
        <v>157</v>
      </c>
      <c r="D1107" s="6" t="s">
        <v>103</v>
      </c>
      <c r="E1107" s="6" t="s">
        <v>48</v>
      </c>
      <c r="F1107" s="6" t="s">
        <v>98</v>
      </c>
      <c r="G1107" s="6" t="s">
        <v>2945</v>
      </c>
    </row>
    <row r="1108" spans="1:7" ht="18.95" customHeight="1">
      <c r="A1108" s="6" t="s">
        <v>2946</v>
      </c>
      <c r="B1108" s="6" t="s">
        <v>2944</v>
      </c>
      <c r="C1108" s="6" t="s">
        <v>157</v>
      </c>
      <c r="D1108" s="6" t="s">
        <v>93</v>
      </c>
      <c r="E1108" s="6" t="s">
        <v>46</v>
      </c>
      <c r="F1108" s="6" t="s">
        <v>98</v>
      </c>
      <c r="G1108" s="6" t="s">
        <v>2947</v>
      </c>
    </row>
    <row r="1109" spans="1:7" ht="18.95" customHeight="1">
      <c r="A1109" s="6" t="s">
        <v>2948</v>
      </c>
      <c r="B1109" s="6" t="s">
        <v>2949</v>
      </c>
      <c r="C1109" s="6" t="s">
        <v>163</v>
      </c>
      <c r="D1109" s="6" t="s">
        <v>97</v>
      </c>
      <c r="E1109" s="6" t="s">
        <v>47</v>
      </c>
      <c r="F1109" s="6" t="s">
        <v>98</v>
      </c>
      <c r="G1109" s="6" t="s">
        <v>2950</v>
      </c>
    </row>
    <row r="1110" spans="1:7" ht="18.95" customHeight="1">
      <c r="A1110" s="6" t="s">
        <v>2951</v>
      </c>
      <c r="B1110" s="6" t="s">
        <v>2949</v>
      </c>
      <c r="C1110" s="6" t="s">
        <v>163</v>
      </c>
      <c r="D1110" s="6" t="s">
        <v>103</v>
      </c>
      <c r="E1110" s="6" t="s">
        <v>48</v>
      </c>
      <c r="F1110" s="6" t="s">
        <v>98</v>
      </c>
      <c r="G1110" s="6" t="s">
        <v>2952</v>
      </c>
    </row>
    <row r="1111" spans="1:7" ht="18.95" customHeight="1">
      <c r="A1111" s="6" t="s">
        <v>2953</v>
      </c>
      <c r="B1111" s="6" t="s">
        <v>2954</v>
      </c>
      <c r="C1111" s="6" t="s">
        <v>169</v>
      </c>
      <c r="D1111" s="6" t="s">
        <v>93</v>
      </c>
      <c r="E1111" s="6" t="s">
        <v>46</v>
      </c>
      <c r="F1111" s="6" t="s">
        <v>94</v>
      </c>
      <c r="G1111" s="6" t="s">
        <v>2955</v>
      </c>
    </row>
    <row r="1112" spans="1:7" ht="18.95" customHeight="1">
      <c r="A1112" s="6" t="s">
        <v>2956</v>
      </c>
      <c r="B1112" s="6" t="s">
        <v>2954</v>
      </c>
      <c r="C1112" s="6" t="s">
        <v>169</v>
      </c>
      <c r="D1112" s="6" t="s">
        <v>97</v>
      </c>
      <c r="E1112" s="6" t="s">
        <v>47</v>
      </c>
      <c r="F1112" s="6" t="s">
        <v>98</v>
      </c>
      <c r="G1112" s="6" t="s">
        <v>2957</v>
      </c>
    </row>
    <row r="1113" spans="1:7" ht="18.95" customHeight="1">
      <c r="A1113" s="6" t="s">
        <v>2958</v>
      </c>
      <c r="B1113" s="6" t="s">
        <v>2959</v>
      </c>
      <c r="C1113" s="6" t="s">
        <v>175</v>
      </c>
      <c r="D1113" s="6" t="s">
        <v>103</v>
      </c>
      <c r="E1113" s="6" t="s">
        <v>48</v>
      </c>
      <c r="F1113" s="6" t="s">
        <v>98</v>
      </c>
      <c r="G1113" s="6" t="s">
        <v>2960</v>
      </c>
    </row>
    <row r="1114" spans="1:7" ht="18.95" customHeight="1">
      <c r="A1114" s="6" t="s">
        <v>2961</v>
      </c>
      <c r="B1114" s="6" t="s">
        <v>2959</v>
      </c>
      <c r="C1114" s="6" t="s">
        <v>175</v>
      </c>
      <c r="D1114" s="6" t="s">
        <v>93</v>
      </c>
      <c r="E1114" s="6" t="s">
        <v>46</v>
      </c>
      <c r="F1114" s="6" t="s">
        <v>98</v>
      </c>
      <c r="G1114" s="6" t="s">
        <v>2962</v>
      </c>
    </row>
    <row r="1115" spans="1:7" ht="18.95" customHeight="1">
      <c r="A1115" s="6" t="s">
        <v>2963</v>
      </c>
      <c r="B1115" s="6" t="s">
        <v>2964</v>
      </c>
      <c r="C1115" s="6" t="s">
        <v>181</v>
      </c>
      <c r="D1115" s="6" t="s">
        <v>97</v>
      </c>
      <c r="E1115" s="6" t="s">
        <v>47</v>
      </c>
      <c r="F1115" s="6" t="s">
        <v>98</v>
      </c>
      <c r="G1115" s="6" t="s">
        <v>2965</v>
      </c>
    </row>
    <row r="1116" spans="1:7" ht="18.95" customHeight="1">
      <c r="A1116" s="6" t="s">
        <v>2966</v>
      </c>
      <c r="B1116" s="6" t="s">
        <v>2964</v>
      </c>
      <c r="C1116" s="6" t="s">
        <v>181</v>
      </c>
      <c r="D1116" s="6" t="s">
        <v>103</v>
      </c>
      <c r="E1116" s="6" t="s">
        <v>48</v>
      </c>
      <c r="F1116" s="6" t="s">
        <v>98</v>
      </c>
      <c r="G1116" s="6" t="s">
        <v>2967</v>
      </c>
    </row>
    <row r="1117" spans="1:7" ht="18.95" customHeight="1">
      <c r="A1117" s="6" t="s">
        <v>2968</v>
      </c>
      <c r="B1117" s="6" t="s">
        <v>2969</v>
      </c>
      <c r="C1117" s="6" t="s">
        <v>187</v>
      </c>
      <c r="D1117" s="6" t="s">
        <v>93</v>
      </c>
      <c r="E1117" s="6" t="s">
        <v>46</v>
      </c>
      <c r="F1117" s="6" t="s">
        <v>98</v>
      </c>
      <c r="G1117" s="6" t="s">
        <v>2970</v>
      </c>
    </row>
    <row r="1118" spans="1:7" ht="18.95" customHeight="1">
      <c r="A1118" s="6" t="s">
        <v>2971</v>
      </c>
      <c r="B1118" s="6" t="s">
        <v>2969</v>
      </c>
      <c r="C1118" s="6" t="s">
        <v>187</v>
      </c>
      <c r="D1118" s="6" t="s">
        <v>97</v>
      </c>
      <c r="E1118" s="6" t="s">
        <v>47</v>
      </c>
      <c r="F1118" s="6" t="s">
        <v>98</v>
      </c>
      <c r="G1118" s="6" t="s">
        <v>2972</v>
      </c>
    </row>
    <row r="1119" spans="1:7" ht="18.95" customHeight="1">
      <c r="A1119" s="6" t="s">
        <v>2973</v>
      </c>
      <c r="B1119" s="6" t="s">
        <v>2974</v>
      </c>
      <c r="C1119" s="6" t="s">
        <v>193</v>
      </c>
      <c r="D1119" s="6" t="s">
        <v>103</v>
      </c>
      <c r="E1119" s="6" t="s">
        <v>48</v>
      </c>
      <c r="F1119" s="6" t="s">
        <v>98</v>
      </c>
      <c r="G1119" s="6" t="s">
        <v>2975</v>
      </c>
    </row>
    <row r="1120" spans="1:7" ht="18.95" customHeight="1">
      <c r="A1120" s="6" t="s">
        <v>2976</v>
      </c>
      <c r="B1120" s="6" t="s">
        <v>2974</v>
      </c>
      <c r="C1120" s="6" t="s">
        <v>193</v>
      </c>
      <c r="D1120" s="6" t="s">
        <v>93</v>
      </c>
      <c r="E1120" s="6" t="s">
        <v>46</v>
      </c>
      <c r="F1120" s="6" t="s">
        <v>98</v>
      </c>
      <c r="G1120" s="6" t="s">
        <v>2977</v>
      </c>
    </row>
    <row r="1121" spans="1:7" ht="18.95" customHeight="1">
      <c r="A1121" s="6" t="s">
        <v>2978</v>
      </c>
      <c r="B1121" s="6" t="s">
        <v>2979</v>
      </c>
      <c r="C1121" s="6" t="s">
        <v>200</v>
      </c>
      <c r="D1121" s="6" t="s">
        <v>97</v>
      </c>
      <c r="E1121" s="6" t="s">
        <v>47</v>
      </c>
      <c r="F1121" s="6" t="s">
        <v>98</v>
      </c>
      <c r="G1121" s="6" t="s">
        <v>2980</v>
      </c>
    </row>
    <row r="1122" spans="1:7" ht="18.95" customHeight="1">
      <c r="A1122" s="6" t="s">
        <v>2981</v>
      </c>
      <c r="B1122" s="6" t="s">
        <v>2979</v>
      </c>
      <c r="C1122" s="6" t="s">
        <v>200</v>
      </c>
      <c r="D1122" s="6" t="s">
        <v>103</v>
      </c>
      <c r="E1122" s="6" t="s">
        <v>5191</v>
      </c>
      <c r="F1122" s="6" t="s">
        <v>98</v>
      </c>
      <c r="G1122" s="6" t="s">
        <v>2982</v>
      </c>
    </row>
    <row r="1123" spans="1:7" ht="18.95" customHeight="1">
      <c r="A1123" s="6" t="s">
        <v>2983</v>
      </c>
      <c r="B1123" s="6" t="s">
        <v>2984</v>
      </c>
      <c r="C1123" s="6" t="s">
        <v>206</v>
      </c>
      <c r="D1123" s="6" t="s">
        <v>93</v>
      </c>
      <c r="E1123" s="6" t="s">
        <v>46</v>
      </c>
      <c r="F1123" s="6" t="s">
        <v>98</v>
      </c>
      <c r="G1123" s="6" t="s">
        <v>2985</v>
      </c>
    </row>
    <row r="1124" spans="1:7" ht="18.95" customHeight="1">
      <c r="A1124" s="6" t="s">
        <v>2986</v>
      </c>
      <c r="B1124" s="6" t="s">
        <v>2984</v>
      </c>
      <c r="C1124" s="6" t="s">
        <v>206</v>
      </c>
      <c r="D1124" s="6" t="s">
        <v>97</v>
      </c>
      <c r="E1124" s="6" t="s">
        <v>47</v>
      </c>
      <c r="F1124" s="6" t="s">
        <v>98</v>
      </c>
      <c r="G1124" s="6" t="s">
        <v>2987</v>
      </c>
    </row>
    <row r="1125" spans="1:7" ht="18.95" customHeight="1">
      <c r="A1125" s="6" t="s">
        <v>2988</v>
      </c>
      <c r="B1125" s="6" t="s">
        <v>2989</v>
      </c>
      <c r="C1125" s="6" t="s">
        <v>212</v>
      </c>
      <c r="D1125" s="6" t="s">
        <v>103</v>
      </c>
      <c r="E1125" s="6" t="s">
        <v>48</v>
      </c>
      <c r="F1125" s="6" t="s">
        <v>98</v>
      </c>
      <c r="G1125" s="6" t="s">
        <v>2990</v>
      </c>
    </row>
    <row r="1126" spans="1:7" ht="18.95" customHeight="1">
      <c r="A1126" s="6" t="s">
        <v>2991</v>
      </c>
      <c r="B1126" s="6" t="s">
        <v>2989</v>
      </c>
      <c r="C1126" s="6" t="s">
        <v>212</v>
      </c>
      <c r="D1126" s="6" t="s">
        <v>93</v>
      </c>
      <c r="E1126" s="6" t="s">
        <v>46</v>
      </c>
      <c r="F1126" s="6" t="s">
        <v>98</v>
      </c>
      <c r="G1126" s="6" t="s">
        <v>2992</v>
      </c>
    </row>
    <row r="1127" spans="1:7" ht="18.95" customHeight="1">
      <c r="A1127" s="6" t="s">
        <v>2993</v>
      </c>
      <c r="B1127" s="6" t="s">
        <v>2994</v>
      </c>
      <c r="C1127" s="6" t="s">
        <v>218</v>
      </c>
      <c r="D1127" s="6" t="s">
        <v>97</v>
      </c>
      <c r="E1127" s="6" t="s">
        <v>47</v>
      </c>
      <c r="F1127" s="6" t="s">
        <v>98</v>
      </c>
      <c r="G1127" s="6" t="s">
        <v>2995</v>
      </c>
    </row>
    <row r="1128" spans="1:7" ht="18.95" customHeight="1">
      <c r="A1128" s="6" t="s">
        <v>2996</v>
      </c>
      <c r="B1128" s="6" t="s">
        <v>2994</v>
      </c>
      <c r="C1128" s="6" t="s">
        <v>218</v>
      </c>
      <c r="D1128" s="6" t="s">
        <v>103</v>
      </c>
      <c r="E1128" s="6" t="s">
        <v>48</v>
      </c>
      <c r="F1128" s="6" t="s">
        <v>98</v>
      </c>
      <c r="G1128" s="6" t="s">
        <v>2997</v>
      </c>
    </row>
    <row r="1129" spans="1:7" ht="18.95" customHeight="1">
      <c r="A1129" s="6" t="s">
        <v>2998</v>
      </c>
      <c r="B1129" s="6" t="s">
        <v>2999</v>
      </c>
      <c r="C1129" s="6" t="s">
        <v>224</v>
      </c>
      <c r="D1129" s="6" t="s">
        <v>93</v>
      </c>
      <c r="E1129" s="6" t="s">
        <v>46</v>
      </c>
      <c r="F1129" s="6" t="s">
        <v>98</v>
      </c>
      <c r="G1129" s="6" t="s">
        <v>3000</v>
      </c>
    </row>
    <row r="1130" spans="1:7" ht="18.95" customHeight="1">
      <c r="A1130" s="6" t="s">
        <v>3001</v>
      </c>
      <c r="B1130" s="6" t="s">
        <v>2999</v>
      </c>
      <c r="C1130" s="6" t="s">
        <v>224</v>
      </c>
      <c r="D1130" s="6" t="s">
        <v>97</v>
      </c>
      <c r="E1130" s="6" t="s">
        <v>47</v>
      </c>
      <c r="F1130" s="6" t="s">
        <v>98</v>
      </c>
      <c r="G1130" s="6" t="s">
        <v>3002</v>
      </c>
    </row>
    <row r="1131" spans="1:7" ht="18.95" customHeight="1">
      <c r="A1131" s="6" t="s">
        <v>3003</v>
      </c>
      <c r="B1131" s="6" t="s">
        <v>3004</v>
      </c>
      <c r="C1131" s="6" t="s">
        <v>230</v>
      </c>
      <c r="D1131" s="6" t="s">
        <v>103</v>
      </c>
      <c r="E1131" s="6" t="s">
        <v>48</v>
      </c>
      <c r="F1131" s="6" t="s">
        <v>98</v>
      </c>
      <c r="G1131" s="6" t="s">
        <v>3005</v>
      </c>
    </row>
    <row r="1132" spans="1:7" ht="18.95" customHeight="1">
      <c r="A1132" s="6" t="s">
        <v>3006</v>
      </c>
      <c r="B1132" s="6" t="s">
        <v>3004</v>
      </c>
      <c r="C1132" s="6" t="s">
        <v>230</v>
      </c>
      <c r="D1132" s="6" t="s">
        <v>93</v>
      </c>
      <c r="E1132" s="6" t="s">
        <v>46</v>
      </c>
      <c r="F1132" s="6" t="s">
        <v>98</v>
      </c>
      <c r="G1132" s="6" t="s">
        <v>3007</v>
      </c>
    </row>
    <row r="1133" spans="1:7" ht="18.95" customHeight="1">
      <c r="A1133" s="6" t="s">
        <v>3008</v>
      </c>
      <c r="B1133" s="6" t="s">
        <v>3009</v>
      </c>
      <c r="C1133" s="6" t="s">
        <v>236</v>
      </c>
      <c r="D1133" s="6" t="s">
        <v>97</v>
      </c>
      <c r="E1133" s="6" t="s">
        <v>47</v>
      </c>
      <c r="F1133" s="6" t="s">
        <v>98</v>
      </c>
      <c r="G1133" s="6" t="s">
        <v>3010</v>
      </c>
    </row>
    <row r="1134" spans="1:7" ht="18.95" customHeight="1">
      <c r="A1134" s="6" t="s">
        <v>3011</v>
      </c>
      <c r="B1134" s="6" t="s">
        <v>3009</v>
      </c>
      <c r="C1134" s="6" t="s">
        <v>236</v>
      </c>
      <c r="D1134" s="6" t="s">
        <v>103</v>
      </c>
      <c r="E1134" s="6" t="s">
        <v>48</v>
      </c>
      <c r="F1134" s="6" t="s">
        <v>94</v>
      </c>
      <c r="G1134" s="6" t="s">
        <v>3012</v>
      </c>
    </row>
    <row r="1135" spans="1:7" ht="18.95" customHeight="1">
      <c r="A1135" s="6" t="s">
        <v>3013</v>
      </c>
      <c r="B1135" s="6" t="s">
        <v>3014</v>
      </c>
      <c r="C1135" s="6" t="s">
        <v>242</v>
      </c>
      <c r="D1135" s="6" t="s">
        <v>93</v>
      </c>
      <c r="E1135" s="6" t="s">
        <v>46</v>
      </c>
      <c r="F1135" s="6" t="s">
        <v>98</v>
      </c>
      <c r="G1135" s="6" t="s">
        <v>3015</v>
      </c>
    </row>
    <row r="1136" spans="1:7" ht="18.95" customHeight="1">
      <c r="A1136" s="6" t="s">
        <v>3016</v>
      </c>
      <c r="B1136" s="6" t="s">
        <v>3014</v>
      </c>
      <c r="C1136" s="6" t="s">
        <v>3017</v>
      </c>
      <c r="D1136" s="6" t="s">
        <v>97</v>
      </c>
      <c r="E1136" s="6" t="s">
        <v>47</v>
      </c>
      <c r="F1136" s="6" t="s">
        <v>98</v>
      </c>
      <c r="G1136" s="6" t="s">
        <v>3018</v>
      </c>
    </row>
    <row r="1137" spans="1:7" ht="18.95" customHeight="1">
      <c r="A1137" s="6" t="s">
        <v>3019</v>
      </c>
      <c r="B1137" s="6" t="s">
        <v>3020</v>
      </c>
      <c r="C1137" s="6" t="s">
        <v>248</v>
      </c>
      <c r="D1137" s="6" t="s">
        <v>103</v>
      </c>
      <c r="E1137" s="6" t="s">
        <v>48</v>
      </c>
      <c r="F1137" s="6" t="s">
        <v>98</v>
      </c>
      <c r="G1137" s="6" t="s">
        <v>3021</v>
      </c>
    </row>
    <row r="1138" spans="1:7" ht="18.95" customHeight="1">
      <c r="A1138" s="6" t="s">
        <v>3022</v>
      </c>
      <c r="B1138" s="6" t="s">
        <v>3020</v>
      </c>
      <c r="C1138" s="6" t="s">
        <v>248</v>
      </c>
      <c r="D1138" s="6" t="s">
        <v>93</v>
      </c>
      <c r="E1138" s="6" t="s">
        <v>46</v>
      </c>
      <c r="F1138" s="6" t="s">
        <v>98</v>
      </c>
      <c r="G1138" s="6" t="s">
        <v>3023</v>
      </c>
    </row>
    <row r="1139" spans="1:7" ht="18.95" customHeight="1">
      <c r="A1139" s="6" t="s">
        <v>3024</v>
      </c>
      <c r="B1139" s="6" t="s">
        <v>3025</v>
      </c>
      <c r="C1139" s="6" t="s">
        <v>254</v>
      </c>
      <c r="D1139" s="6" t="s">
        <v>97</v>
      </c>
      <c r="E1139" s="6" t="s">
        <v>47</v>
      </c>
      <c r="F1139" s="6" t="s">
        <v>98</v>
      </c>
      <c r="G1139" s="6" t="s">
        <v>3026</v>
      </c>
    </row>
    <row r="1140" spans="1:7" ht="18.95" customHeight="1">
      <c r="A1140" s="6" t="s">
        <v>3027</v>
      </c>
      <c r="B1140" s="6" t="s">
        <v>3025</v>
      </c>
      <c r="C1140" s="6" t="s">
        <v>254</v>
      </c>
      <c r="D1140" s="6" t="s">
        <v>103</v>
      </c>
      <c r="E1140" s="6" t="s">
        <v>48</v>
      </c>
      <c r="F1140" s="6" t="s">
        <v>98</v>
      </c>
      <c r="G1140" s="6" t="s">
        <v>3028</v>
      </c>
    </row>
    <row r="1141" spans="1:7" ht="18.95" customHeight="1">
      <c r="A1141" s="6" t="s">
        <v>3029</v>
      </c>
      <c r="B1141" s="6" t="s">
        <v>3030</v>
      </c>
      <c r="C1141" s="6" t="s">
        <v>260</v>
      </c>
      <c r="D1141" s="6" t="s">
        <v>93</v>
      </c>
      <c r="E1141" s="6" t="s">
        <v>46</v>
      </c>
      <c r="F1141" s="6" t="s">
        <v>98</v>
      </c>
      <c r="G1141" s="6" t="s">
        <v>3031</v>
      </c>
    </row>
    <row r="1142" spans="1:7" ht="18.95" customHeight="1">
      <c r="A1142" s="6" t="s">
        <v>3032</v>
      </c>
      <c r="B1142" s="6" t="s">
        <v>3030</v>
      </c>
      <c r="C1142" s="6" t="s">
        <v>260</v>
      </c>
      <c r="D1142" s="6" t="s">
        <v>97</v>
      </c>
      <c r="E1142" s="6" t="s">
        <v>47</v>
      </c>
      <c r="F1142" s="6" t="s">
        <v>98</v>
      </c>
      <c r="G1142" s="6" t="s">
        <v>3033</v>
      </c>
    </row>
    <row r="1143" spans="1:7" ht="18.95" customHeight="1">
      <c r="A1143" s="6" t="s">
        <v>3034</v>
      </c>
      <c r="B1143" s="6" t="s">
        <v>3035</v>
      </c>
      <c r="C1143" s="6" t="s">
        <v>266</v>
      </c>
      <c r="D1143" s="6" t="s">
        <v>103</v>
      </c>
      <c r="E1143" s="6" t="s">
        <v>48</v>
      </c>
      <c r="F1143" s="6" t="s">
        <v>98</v>
      </c>
      <c r="G1143" s="6" t="s">
        <v>3036</v>
      </c>
    </row>
    <row r="1144" spans="1:7" ht="18.95" customHeight="1">
      <c r="A1144" s="6" t="s">
        <v>3037</v>
      </c>
      <c r="B1144" s="6" t="s">
        <v>3035</v>
      </c>
      <c r="C1144" s="6" t="s">
        <v>266</v>
      </c>
      <c r="D1144" s="6" t="s">
        <v>93</v>
      </c>
      <c r="E1144" s="6" t="s">
        <v>46</v>
      </c>
      <c r="F1144" s="6" t="s">
        <v>98</v>
      </c>
      <c r="G1144" s="6" t="s">
        <v>3038</v>
      </c>
    </row>
    <row r="1145" spans="1:7" ht="18.95" customHeight="1">
      <c r="A1145" s="6" t="s">
        <v>3039</v>
      </c>
      <c r="B1145" s="6" t="s">
        <v>3040</v>
      </c>
      <c r="C1145" s="6" t="s">
        <v>272</v>
      </c>
      <c r="D1145" s="6" t="s">
        <v>97</v>
      </c>
      <c r="E1145" s="6" t="s">
        <v>47</v>
      </c>
      <c r="F1145" s="6" t="s">
        <v>98</v>
      </c>
      <c r="G1145" s="6" t="s">
        <v>3041</v>
      </c>
    </row>
    <row r="1146" spans="1:7" ht="18.95" customHeight="1">
      <c r="A1146" s="6" t="s">
        <v>3042</v>
      </c>
      <c r="B1146" s="6" t="s">
        <v>3040</v>
      </c>
      <c r="C1146" s="6" t="s">
        <v>272</v>
      </c>
      <c r="D1146" s="6" t="s">
        <v>103</v>
      </c>
      <c r="E1146" s="6" t="s">
        <v>48</v>
      </c>
      <c r="F1146" s="6" t="s">
        <v>98</v>
      </c>
      <c r="G1146" s="6" t="s">
        <v>3043</v>
      </c>
    </row>
    <row r="1147" spans="1:7" ht="18.95" customHeight="1">
      <c r="A1147" s="6" t="s">
        <v>3044</v>
      </c>
      <c r="B1147" s="6" t="s">
        <v>3045</v>
      </c>
      <c r="C1147" s="6" t="s">
        <v>278</v>
      </c>
      <c r="D1147" s="6" t="s">
        <v>93</v>
      </c>
      <c r="E1147" s="6" t="s">
        <v>46</v>
      </c>
      <c r="F1147" s="6" t="s">
        <v>98</v>
      </c>
      <c r="G1147" s="6" t="s">
        <v>3046</v>
      </c>
    </row>
    <row r="1148" spans="1:7" ht="18.95" customHeight="1">
      <c r="A1148" s="6" t="s">
        <v>3047</v>
      </c>
      <c r="B1148" s="6" t="s">
        <v>3045</v>
      </c>
      <c r="C1148" s="6" t="s">
        <v>278</v>
      </c>
      <c r="D1148" s="6" t="s">
        <v>97</v>
      </c>
      <c r="E1148" s="6" t="s">
        <v>47</v>
      </c>
      <c r="F1148" s="6" t="s">
        <v>98</v>
      </c>
      <c r="G1148" s="6" t="s">
        <v>3048</v>
      </c>
    </row>
    <row r="1149" spans="1:7" ht="18.95" customHeight="1">
      <c r="A1149" s="6" t="s">
        <v>3049</v>
      </c>
      <c r="B1149" s="6" t="s">
        <v>3050</v>
      </c>
      <c r="C1149" s="6" t="s">
        <v>284</v>
      </c>
      <c r="D1149" s="6" t="s">
        <v>103</v>
      </c>
      <c r="E1149" s="6" t="s">
        <v>48</v>
      </c>
      <c r="F1149" s="6" t="s">
        <v>98</v>
      </c>
      <c r="G1149" s="6" t="s">
        <v>3051</v>
      </c>
    </row>
    <row r="1150" spans="1:7" ht="18.95" customHeight="1">
      <c r="A1150" s="6" t="s">
        <v>3052</v>
      </c>
      <c r="B1150" s="6" t="s">
        <v>3050</v>
      </c>
      <c r="C1150" s="6" t="s">
        <v>284</v>
      </c>
      <c r="D1150" s="6" t="s">
        <v>93</v>
      </c>
      <c r="E1150" s="6" t="s">
        <v>46</v>
      </c>
      <c r="F1150" s="6" t="s">
        <v>98</v>
      </c>
      <c r="G1150" s="6" t="s">
        <v>3053</v>
      </c>
    </row>
    <row r="1151" spans="1:7" ht="18.95" customHeight="1">
      <c r="A1151" s="6" t="s">
        <v>3054</v>
      </c>
      <c r="B1151" s="6" t="s">
        <v>3055</v>
      </c>
      <c r="C1151" s="6" t="s">
        <v>290</v>
      </c>
      <c r="D1151" s="6" t="s">
        <v>97</v>
      </c>
      <c r="E1151" s="6" t="s">
        <v>47</v>
      </c>
      <c r="F1151" s="6" t="s">
        <v>98</v>
      </c>
      <c r="G1151" s="6" t="s">
        <v>3056</v>
      </c>
    </row>
    <row r="1152" spans="1:7" ht="18.95" customHeight="1">
      <c r="A1152" s="6" t="s">
        <v>3057</v>
      </c>
      <c r="B1152" s="6" t="s">
        <v>3055</v>
      </c>
      <c r="C1152" s="6" t="s">
        <v>290</v>
      </c>
      <c r="D1152" s="6" t="s">
        <v>103</v>
      </c>
      <c r="E1152" s="6" t="s">
        <v>48</v>
      </c>
      <c r="F1152" s="6" t="s">
        <v>98</v>
      </c>
      <c r="G1152" s="6" t="s">
        <v>3058</v>
      </c>
    </row>
    <row r="1153" spans="1:7" ht="18.95" customHeight="1">
      <c r="A1153" s="6" t="s">
        <v>3059</v>
      </c>
      <c r="B1153" s="6" t="s">
        <v>3060</v>
      </c>
      <c r="C1153" s="6" t="s">
        <v>296</v>
      </c>
      <c r="D1153" s="6" t="s">
        <v>93</v>
      </c>
      <c r="E1153" s="6" t="s">
        <v>46</v>
      </c>
      <c r="F1153" s="6" t="s">
        <v>98</v>
      </c>
      <c r="G1153" s="6" t="s">
        <v>3061</v>
      </c>
    </row>
    <row r="1154" spans="1:7" ht="18.95" customHeight="1">
      <c r="A1154" s="6" t="s">
        <v>3062</v>
      </c>
      <c r="B1154" s="6" t="s">
        <v>3060</v>
      </c>
      <c r="C1154" s="6" t="s">
        <v>296</v>
      </c>
      <c r="D1154" s="6" t="s">
        <v>97</v>
      </c>
      <c r="E1154" s="6" t="s">
        <v>47</v>
      </c>
      <c r="F1154" s="6" t="s">
        <v>98</v>
      </c>
      <c r="G1154" s="6" t="s">
        <v>3063</v>
      </c>
    </row>
    <row r="1155" spans="1:7" ht="18.95" customHeight="1">
      <c r="A1155" s="6" t="s">
        <v>3064</v>
      </c>
      <c r="B1155" s="6" t="s">
        <v>3065</v>
      </c>
      <c r="C1155" s="6" t="s">
        <v>302</v>
      </c>
      <c r="D1155" s="6" t="s">
        <v>103</v>
      </c>
      <c r="E1155" s="6" t="s">
        <v>48</v>
      </c>
      <c r="F1155" s="6" t="s">
        <v>98</v>
      </c>
      <c r="G1155" s="6" t="s">
        <v>3066</v>
      </c>
    </row>
    <row r="1156" spans="1:7" ht="18.95" customHeight="1">
      <c r="A1156" s="6" t="s">
        <v>3067</v>
      </c>
      <c r="B1156" s="6" t="s">
        <v>3065</v>
      </c>
      <c r="C1156" s="6" t="s">
        <v>302</v>
      </c>
      <c r="D1156" s="6" t="s">
        <v>93</v>
      </c>
      <c r="E1156" s="6" t="s">
        <v>46</v>
      </c>
      <c r="F1156" s="6" t="s">
        <v>98</v>
      </c>
      <c r="G1156" s="6" t="s">
        <v>3068</v>
      </c>
    </row>
    <row r="1157" spans="1:7" ht="18.95" customHeight="1">
      <c r="A1157" s="6" t="s">
        <v>3069</v>
      </c>
      <c r="B1157" s="6" t="s">
        <v>3070</v>
      </c>
      <c r="C1157" s="6" t="s">
        <v>308</v>
      </c>
      <c r="D1157" s="6" t="s">
        <v>97</v>
      </c>
      <c r="E1157" s="6" t="s">
        <v>47</v>
      </c>
      <c r="F1157" s="6" t="s">
        <v>94</v>
      </c>
      <c r="G1157" s="6" t="s">
        <v>3071</v>
      </c>
    </row>
    <row r="1158" spans="1:7" ht="18.95" customHeight="1">
      <c r="A1158" s="6" t="s">
        <v>3072</v>
      </c>
      <c r="B1158" s="6" t="s">
        <v>3070</v>
      </c>
      <c r="C1158" s="6" t="s">
        <v>308</v>
      </c>
      <c r="D1158" s="6" t="s">
        <v>103</v>
      </c>
      <c r="E1158" s="6" t="s">
        <v>48</v>
      </c>
      <c r="F1158" s="6" t="s">
        <v>98</v>
      </c>
      <c r="G1158" s="6" t="s">
        <v>3073</v>
      </c>
    </row>
    <row r="1159" spans="1:7" ht="18.95" customHeight="1">
      <c r="A1159" s="6" t="s">
        <v>3074</v>
      </c>
      <c r="B1159" s="6" t="s">
        <v>3075</v>
      </c>
      <c r="C1159" s="6" t="s">
        <v>314</v>
      </c>
      <c r="D1159" s="6" t="s">
        <v>93</v>
      </c>
      <c r="E1159" s="6" t="s">
        <v>46</v>
      </c>
      <c r="F1159" s="6" t="s">
        <v>98</v>
      </c>
      <c r="G1159" s="6" t="s">
        <v>3076</v>
      </c>
    </row>
    <row r="1160" spans="1:7" ht="18.95" customHeight="1">
      <c r="A1160" s="6" t="s">
        <v>3077</v>
      </c>
      <c r="B1160" s="6" t="s">
        <v>3075</v>
      </c>
      <c r="C1160" s="6" t="s">
        <v>314</v>
      </c>
      <c r="D1160" s="6" t="s">
        <v>97</v>
      </c>
      <c r="E1160" s="6" t="s">
        <v>47</v>
      </c>
      <c r="F1160" s="6" t="s">
        <v>98</v>
      </c>
      <c r="G1160" s="6" t="s">
        <v>3078</v>
      </c>
    </row>
    <row r="1161" spans="1:7" ht="18.95" customHeight="1">
      <c r="A1161" s="6" t="s">
        <v>3079</v>
      </c>
      <c r="B1161" s="6" t="s">
        <v>3080</v>
      </c>
      <c r="C1161" s="6" t="s">
        <v>320</v>
      </c>
      <c r="D1161" s="6" t="s">
        <v>103</v>
      </c>
      <c r="E1161" s="6" t="s">
        <v>48</v>
      </c>
      <c r="F1161" s="6" t="s">
        <v>98</v>
      </c>
      <c r="G1161" s="6" t="s">
        <v>3081</v>
      </c>
    </row>
    <row r="1162" spans="1:7" ht="18.95" customHeight="1">
      <c r="A1162" s="6" t="s">
        <v>3082</v>
      </c>
      <c r="B1162" s="6" t="s">
        <v>3080</v>
      </c>
      <c r="C1162" s="6" t="s">
        <v>320</v>
      </c>
      <c r="D1162" s="6" t="s">
        <v>93</v>
      </c>
      <c r="E1162" s="6"/>
      <c r="F1162" s="6" t="s">
        <v>98</v>
      </c>
      <c r="G1162" s="6" t="s">
        <v>3083</v>
      </c>
    </row>
    <row r="1163" spans="1:7" ht="18.95" customHeight="1">
      <c r="A1163" s="6" t="s">
        <v>3084</v>
      </c>
      <c r="B1163" s="6" t="s">
        <v>3085</v>
      </c>
      <c r="C1163" s="6" t="s">
        <v>326</v>
      </c>
      <c r="D1163" s="6" t="s">
        <v>97</v>
      </c>
      <c r="E1163" s="6" t="s">
        <v>47</v>
      </c>
      <c r="F1163" s="6" t="s">
        <v>98</v>
      </c>
      <c r="G1163" s="6" t="s">
        <v>3086</v>
      </c>
    </row>
    <row r="1164" spans="1:7" ht="18.95" customHeight="1">
      <c r="A1164" s="6" t="s">
        <v>3087</v>
      </c>
      <c r="B1164" s="6" t="s">
        <v>3085</v>
      </c>
      <c r="C1164" s="6" t="s">
        <v>326</v>
      </c>
      <c r="D1164" s="6" t="s">
        <v>103</v>
      </c>
      <c r="E1164" s="6" t="s">
        <v>48</v>
      </c>
      <c r="F1164" s="6" t="s">
        <v>98</v>
      </c>
      <c r="G1164" s="6" t="s">
        <v>3088</v>
      </c>
    </row>
    <row r="1165" spans="1:7" ht="18.95" customHeight="1">
      <c r="A1165" s="6" t="s">
        <v>3089</v>
      </c>
      <c r="B1165" s="6" t="s">
        <v>3090</v>
      </c>
      <c r="C1165" s="6" t="s">
        <v>332</v>
      </c>
      <c r="D1165" s="6" t="s">
        <v>93</v>
      </c>
      <c r="E1165" s="6" t="s">
        <v>46</v>
      </c>
      <c r="F1165" s="6" t="s">
        <v>98</v>
      </c>
      <c r="G1165" s="6" t="s">
        <v>3091</v>
      </c>
    </row>
    <row r="1166" spans="1:7" ht="18.95" customHeight="1">
      <c r="A1166" s="6" t="s">
        <v>3092</v>
      </c>
      <c r="B1166" s="6" t="s">
        <v>3090</v>
      </c>
      <c r="C1166" s="6" t="s">
        <v>332</v>
      </c>
      <c r="D1166" s="6" t="s">
        <v>97</v>
      </c>
      <c r="E1166" s="6" t="s">
        <v>47</v>
      </c>
      <c r="F1166" s="6" t="s">
        <v>98</v>
      </c>
      <c r="G1166" s="6" t="s">
        <v>3093</v>
      </c>
    </row>
    <row r="1167" spans="1:7" ht="18.95" customHeight="1">
      <c r="A1167" s="6" t="s">
        <v>3094</v>
      </c>
      <c r="B1167" s="6" t="s">
        <v>3095</v>
      </c>
      <c r="C1167" s="6" t="s">
        <v>338</v>
      </c>
      <c r="D1167" s="6" t="s">
        <v>103</v>
      </c>
      <c r="E1167" s="6" t="s">
        <v>48</v>
      </c>
      <c r="F1167" s="6" t="s">
        <v>98</v>
      </c>
      <c r="G1167" s="6" t="s">
        <v>3096</v>
      </c>
    </row>
    <row r="1168" spans="1:7" ht="18.95" customHeight="1">
      <c r="A1168" s="6" t="s">
        <v>3097</v>
      </c>
      <c r="B1168" s="6" t="s">
        <v>3095</v>
      </c>
      <c r="C1168" s="6" t="s">
        <v>338</v>
      </c>
      <c r="D1168" s="6" t="s">
        <v>93</v>
      </c>
      <c r="E1168" s="6" t="s">
        <v>46</v>
      </c>
      <c r="F1168" s="6" t="s">
        <v>98</v>
      </c>
      <c r="G1168" s="6" t="s">
        <v>3098</v>
      </c>
    </row>
    <row r="1169" spans="1:7" ht="18.95" customHeight="1">
      <c r="A1169" s="6" t="s">
        <v>3099</v>
      </c>
      <c r="B1169" s="6" t="s">
        <v>3100</v>
      </c>
      <c r="C1169" s="6" t="s">
        <v>344</v>
      </c>
      <c r="D1169" s="6" t="s">
        <v>97</v>
      </c>
      <c r="E1169" s="6" t="s">
        <v>47</v>
      </c>
      <c r="F1169" s="6" t="s">
        <v>98</v>
      </c>
      <c r="G1169" s="6" t="s">
        <v>3101</v>
      </c>
    </row>
    <row r="1170" spans="1:7" ht="18.95" customHeight="1">
      <c r="A1170" s="6" t="s">
        <v>3102</v>
      </c>
      <c r="B1170" s="6" t="s">
        <v>3100</v>
      </c>
      <c r="C1170" s="6" t="s">
        <v>344</v>
      </c>
      <c r="D1170" s="6" t="s">
        <v>103</v>
      </c>
      <c r="E1170" s="6" t="s">
        <v>48</v>
      </c>
      <c r="F1170" s="6" t="s">
        <v>98</v>
      </c>
      <c r="G1170" s="6" t="s">
        <v>3103</v>
      </c>
    </row>
    <row r="1171" spans="1:7" ht="18.95" customHeight="1">
      <c r="A1171" s="6" t="s">
        <v>3104</v>
      </c>
      <c r="B1171" s="6" t="s">
        <v>3105</v>
      </c>
      <c r="C1171" s="6" t="s">
        <v>350</v>
      </c>
      <c r="D1171" s="6" t="s">
        <v>93</v>
      </c>
      <c r="E1171" s="6" t="s">
        <v>46</v>
      </c>
      <c r="F1171" s="6" t="s">
        <v>98</v>
      </c>
      <c r="G1171" s="6" t="s">
        <v>3106</v>
      </c>
    </row>
    <row r="1172" spans="1:7" ht="18.95" customHeight="1">
      <c r="A1172" s="6" t="s">
        <v>3107</v>
      </c>
      <c r="B1172" s="6" t="s">
        <v>3105</v>
      </c>
      <c r="C1172" s="6" t="s">
        <v>350</v>
      </c>
      <c r="D1172" s="6" t="s">
        <v>97</v>
      </c>
      <c r="E1172" s="6" t="s">
        <v>47</v>
      </c>
      <c r="F1172" s="6" t="s">
        <v>98</v>
      </c>
      <c r="G1172" s="6" t="s">
        <v>3108</v>
      </c>
    </row>
    <row r="1173" spans="1:7" ht="18.95" customHeight="1">
      <c r="A1173" s="6" t="s">
        <v>3109</v>
      </c>
      <c r="B1173" s="6" t="s">
        <v>3110</v>
      </c>
      <c r="C1173" s="6" t="s">
        <v>356</v>
      </c>
      <c r="D1173" s="6" t="s">
        <v>103</v>
      </c>
      <c r="E1173" s="6" t="s">
        <v>48</v>
      </c>
      <c r="F1173" s="6" t="s">
        <v>98</v>
      </c>
      <c r="G1173" s="6" t="s">
        <v>3111</v>
      </c>
    </row>
    <row r="1174" spans="1:7" ht="18.95" customHeight="1">
      <c r="A1174" s="6" t="s">
        <v>3112</v>
      </c>
      <c r="B1174" s="6" t="s">
        <v>3110</v>
      </c>
      <c r="C1174" s="6" t="s">
        <v>356</v>
      </c>
      <c r="D1174" s="6" t="s">
        <v>93</v>
      </c>
      <c r="E1174" s="6" t="s">
        <v>46</v>
      </c>
      <c r="F1174" s="6" t="s">
        <v>98</v>
      </c>
      <c r="G1174" s="6" t="s">
        <v>3113</v>
      </c>
    </row>
    <row r="1175" spans="1:7" ht="18.95" customHeight="1">
      <c r="A1175" s="6" t="s">
        <v>3114</v>
      </c>
      <c r="B1175" s="6" t="s">
        <v>3115</v>
      </c>
      <c r="C1175" s="6" t="s">
        <v>362</v>
      </c>
      <c r="D1175" s="6" t="s">
        <v>97</v>
      </c>
      <c r="E1175" s="6" t="s">
        <v>47</v>
      </c>
      <c r="F1175" s="6" t="s">
        <v>98</v>
      </c>
      <c r="G1175" s="6" t="s">
        <v>3116</v>
      </c>
    </row>
    <row r="1176" spans="1:7" ht="18.95" customHeight="1">
      <c r="A1176" s="6" t="s">
        <v>3117</v>
      </c>
      <c r="B1176" s="6" t="s">
        <v>3115</v>
      </c>
      <c r="C1176" s="6" t="s">
        <v>362</v>
      </c>
      <c r="D1176" s="6" t="s">
        <v>103</v>
      </c>
      <c r="E1176" s="6" t="s">
        <v>48</v>
      </c>
      <c r="F1176" s="6" t="s">
        <v>98</v>
      </c>
      <c r="G1176" s="6" t="s">
        <v>3118</v>
      </c>
    </row>
    <row r="1177" spans="1:7" ht="18.95" customHeight="1">
      <c r="A1177" s="6" t="s">
        <v>3119</v>
      </c>
      <c r="B1177" s="6" t="s">
        <v>3120</v>
      </c>
      <c r="C1177" s="6" t="s">
        <v>368</v>
      </c>
      <c r="D1177" s="6" t="s">
        <v>93</v>
      </c>
      <c r="E1177" s="6" t="s">
        <v>46</v>
      </c>
      <c r="F1177" s="6" t="s">
        <v>98</v>
      </c>
      <c r="G1177" s="6" t="s">
        <v>3121</v>
      </c>
    </row>
    <row r="1178" spans="1:7" ht="18.95" customHeight="1">
      <c r="A1178" s="6" t="s">
        <v>3122</v>
      </c>
      <c r="B1178" s="6" t="s">
        <v>3120</v>
      </c>
      <c r="C1178" s="6" t="s">
        <v>368</v>
      </c>
      <c r="D1178" s="6" t="s">
        <v>97</v>
      </c>
      <c r="E1178" s="6" t="s">
        <v>47</v>
      </c>
      <c r="F1178" s="6" t="s">
        <v>98</v>
      </c>
      <c r="G1178" s="6" t="s">
        <v>3123</v>
      </c>
    </row>
    <row r="1179" spans="1:7" ht="18.95" customHeight="1">
      <c r="A1179" s="6" t="s">
        <v>3124</v>
      </c>
      <c r="B1179" s="6" t="s">
        <v>3125</v>
      </c>
      <c r="C1179" s="6" t="s">
        <v>374</v>
      </c>
      <c r="D1179" s="6" t="s">
        <v>103</v>
      </c>
      <c r="E1179" s="6" t="s">
        <v>48</v>
      </c>
      <c r="F1179" s="6" t="s">
        <v>98</v>
      </c>
      <c r="G1179" s="6" t="s">
        <v>3126</v>
      </c>
    </row>
    <row r="1180" spans="1:7" ht="18.95" customHeight="1">
      <c r="A1180" s="6" t="s">
        <v>3127</v>
      </c>
      <c r="B1180" s="6" t="s">
        <v>3125</v>
      </c>
      <c r="C1180" s="6" t="s">
        <v>374</v>
      </c>
      <c r="D1180" s="6" t="s">
        <v>93</v>
      </c>
      <c r="E1180" s="6" t="s">
        <v>46</v>
      </c>
      <c r="F1180" s="6" t="s">
        <v>94</v>
      </c>
      <c r="G1180" s="6" t="s">
        <v>3128</v>
      </c>
    </row>
    <row r="1181" spans="1:7" ht="18.95" customHeight="1">
      <c r="A1181" s="6" t="s">
        <v>3129</v>
      </c>
      <c r="B1181" s="6" t="s">
        <v>3130</v>
      </c>
      <c r="C1181" s="6" t="s">
        <v>380</v>
      </c>
      <c r="D1181" s="6" t="s">
        <v>97</v>
      </c>
      <c r="E1181" s="6" t="s">
        <v>47</v>
      </c>
      <c r="F1181" s="6" t="s">
        <v>98</v>
      </c>
      <c r="G1181" s="6" t="s">
        <v>3131</v>
      </c>
    </row>
    <row r="1182" spans="1:7" ht="18.95" customHeight="1">
      <c r="A1182" s="6" t="s">
        <v>3132</v>
      </c>
      <c r="B1182" s="6" t="s">
        <v>3130</v>
      </c>
      <c r="C1182" s="6" t="s">
        <v>380</v>
      </c>
      <c r="D1182" s="6" t="s">
        <v>103</v>
      </c>
      <c r="E1182" s="6" t="s">
        <v>48</v>
      </c>
      <c r="F1182" s="6" t="s">
        <v>98</v>
      </c>
      <c r="G1182" s="6" t="s">
        <v>3133</v>
      </c>
    </row>
    <row r="1183" spans="1:7" ht="18.95" customHeight="1">
      <c r="A1183" s="6" t="s">
        <v>3134</v>
      </c>
      <c r="B1183" s="6" t="s">
        <v>3135</v>
      </c>
      <c r="C1183" s="6" t="s">
        <v>386</v>
      </c>
      <c r="D1183" s="6" t="s">
        <v>93</v>
      </c>
      <c r="E1183" s="6" t="s">
        <v>46</v>
      </c>
      <c r="F1183" s="6" t="s">
        <v>98</v>
      </c>
      <c r="G1183" s="6" t="s">
        <v>3136</v>
      </c>
    </row>
    <row r="1184" spans="1:7" ht="18.95" customHeight="1">
      <c r="A1184" s="6" t="s">
        <v>3137</v>
      </c>
      <c r="B1184" s="6" t="s">
        <v>3135</v>
      </c>
      <c r="C1184" s="6" t="s">
        <v>386</v>
      </c>
      <c r="D1184" s="6" t="s">
        <v>97</v>
      </c>
      <c r="E1184" s="6" t="s">
        <v>47</v>
      </c>
      <c r="F1184" s="6" t="s">
        <v>98</v>
      </c>
      <c r="G1184" s="6" t="s">
        <v>3138</v>
      </c>
    </row>
    <row r="1185" spans="1:7" ht="18.95" customHeight="1">
      <c r="A1185" s="6" t="s">
        <v>3139</v>
      </c>
      <c r="B1185" s="6" t="s">
        <v>3140</v>
      </c>
      <c r="C1185" s="6" t="s">
        <v>392</v>
      </c>
      <c r="D1185" s="6" t="s">
        <v>103</v>
      </c>
      <c r="E1185" s="6" t="s">
        <v>5191</v>
      </c>
      <c r="F1185" s="6" t="s">
        <v>98</v>
      </c>
      <c r="G1185" s="6" t="s">
        <v>3141</v>
      </c>
    </row>
    <row r="1186" spans="1:7" ht="18.95" customHeight="1">
      <c r="A1186" s="6" t="s">
        <v>3142</v>
      </c>
      <c r="B1186" s="6" t="s">
        <v>3140</v>
      </c>
      <c r="C1186" s="6" t="s">
        <v>392</v>
      </c>
      <c r="D1186" s="6" t="s">
        <v>93</v>
      </c>
      <c r="E1186" s="6" t="s">
        <v>46</v>
      </c>
      <c r="F1186" s="6" t="s">
        <v>98</v>
      </c>
      <c r="G1186" s="6" t="s">
        <v>3143</v>
      </c>
    </row>
    <row r="1187" spans="1:7" ht="18.95" customHeight="1">
      <c r="A1187" s="6" t="s">
        <v>3144</v>
      </c>
      <c r="B1187" s="6" t="s">
        <v>3145</v>
      </c>
      <c r="C1187" s="6" t="s">
        <v>398</v>
      </c>
      <c r="D1187" s="6" t="s">
        <v>97</v>
      </c>
      <c r="E1187" s="6" t="s">
        <v>47</v>
      </c>
      <c r="F1187" s="6" t="s">
        <v>98</v>
      </c>
      <c r="G1187" s="6" t="s">
        <v>3146</v>
      </c>
    </row>
    <row r="1188" spans="1:7" ht="18.95" customHeight="1">
      <c r="A1188" s="6" t="s">
        <v>3147</v>
      </c>
      <c r="B1188" s="6" t="s">
        <v>3145</v>
      </c>
      <c r="C1188" s="6" t="s">
        <v>398</v>
      </c>
      <c r="D1188" s="6" t="s">
        <v>103</v>
      </c>
      <c r="E1188" s="6" t="s">
        <v>48</v>
      </c>
      <c r="F1188" s="6" t="s">
        <v>98</v>
      </c>
      <c r="G1188" s="6" t="s">
        <v>3148</v>
      </c>
    </row>
    <row r="1189" spans="1:7" ht="18.95" customHeight="1">
      <c r="A1189" s="6" t="s">
        <v>3149</v>
      </c>
      <c r="B1189" s="6" t="s">
        <v>3150</v>
      </c>
      <c r="C1189" s="6" t="s">
        <v>404</v>
      </c>
      <c r="D1189" s="6" t="s">
        <v>93</v>
      </c>
      <c r="E1189" s="6" t="s">
        <v>46</v>
      </c>
      <c r="F1189" s="6" t="s">
        <v>98</v>
      </c>
      <c r="G1189" s="6" t="s">
        <v>3151</v>
      </c>
    </row>
    <row r="1190" spans="1:7" ht="18.95" customHeight="1">
      <c r="A1190" s="6" t="s">
        <v>3152</v>
      </c>
      <c r="B1190" s="6" t="s">
        <v>3150</v>
      </c>
      <c r="C1190" s="6" t="s">
        <v>404</v>
      </c>
      <c r="D1190" s="6" t="s">
        <v>97</v>
      </c>
      <c r="E1190" s="6" t="s">
        <v>47</v>
      </c>
      <c r="F1190" s="6" t="s">
        <v>98</v>
      </c>
      <c r="G1190" s="6" t="s">
        <v>3153</v>
      </c>
    </row>
    <row r="1191" spans="1:7" ht="18.95" customHeight="1">
      <c r="A1191" s="6" t="s">
        <v>3154</v>
      </c>
      <c r="B1191" s="6" t="s">
        <v>3155</v>
      </c>
      <c r="C1191" s="6" t="s">
        <v>410</v>
      </c>
      <c r="D1191" s="6" t="s">
        <v>103</v>
      </c>
      <c r="E1191" s="6" t="s">
        <v>48</v>
      </c>
      <c r="F1191" s="6" t="s">
        <v>98</v>
      </c>
      <c r="G1191" s="6" t="s">
        <v>3156</v>
      </c>
    </row>
    <row r="1192" spans="1:7" ht="18.95" customHeight="1">
      <c r="A1192" s="6" t="s">
        <v>3157</v>
      </c>
      <c r="B1192" s="6" t="s">
        <v>3155</v>
      </c>
      <c r="C1192" s="6" t="s">
        <v>410</v>
      </c>
      <c r="D1192" s="6" t="s">
        <v>93</v>
      </c>
      <c r="E1192" s="6" t="s">
        <v>46</v>
      </c>
      <c r="F1192" s="6" t="s">
        <v>98</v>
      </c>
      <c r="G1192" s="6" t="s">
        <v>3158</v>
      </c>
    </row>
    <row r="1193" spans="1:7" ht="18.95" customHeight="1">
      <c r="A1193" s="6" t="s">
        <v>3159</v>
      </c>
      <c r="B1193" s="6" t="s">
        <v>3160</v>
      </c>
      <c r="C1193" s="6" t="s">
        <v>416</v>
      </c>
      <c r="D1193" s="6" t="s">
        <v>97</v>
      </c>
      <c r="E1193" s="6" t="s">
        <v>47</v>
      </c>
      <c r="F1193" s="6" t="s">
        <v>98</v>
      </c>
      <c r="G1193" s="6" t="s">
        <v>3161</v>
      </c>
    </row>
    <row r="1194" spans="1:7" ht="18.95" customHeight="1">
      <c r="A1194" s="6" t="s">
        <v>3162</v>
      </c>
      <c r="B1194" s="6" t="s">
        <v>3160</v>
      </c>
      <c r="C1194" s="6" t="s">
        <v>416</v>
      </c>
      <c r="D1194" s="6" t="s">
        <v>103</v>
      </c>
      <c r="E1194" s="6" t="s">
        <v>48</v>
      </c>
      <c r="F1194" s="6" t="s">
        <v>98</v>
      </c>
      <c r="G1194" s="6" t="s">
        <v>3163</v>
      </c>
    </row>
    <row r="1195" spans="1:7" ht="18.95" customHeight="1">
      <c r="A1195" s="6" t="s">
        <v>3164</v>
      </c>
      <c r="B1195" s="6" t="s">
        <v>3165</v>
      </c>
      <c r="C1195" s="6" t="s">
        <v>422</v>
      </c>
      <c r="D1195" s="6" t="s">
        <v>93</v>
      </c>
      <c r="E1195" s="6" t="s">
        <v>46</v>
      </c>
      <c r="F1195" s="6" t="s">
        <v>98</v>
      </c>
      <c r="G1195" s="6" t="s">
        <v>3166</v>
      </c>
    </row>
    <row r="1196" spans="1:7" ht="18.95" customHeight="1">
      <c r="A1196" s="6" t="s">
        <v>3167</v>
      </c>
      <c r="B1196" s="6" t="s">
        <v>3165</v>
      </c>
      <c r="C1196" s="6" t="s">
        <v>422</v>
      </c>
      <c r="D1196" s="6" t="s">
        <v>97</v>
      </c>
      <c r="E1196" s="6" t="s">
        <v>47</v>
      </c>
      <c r="F1196" s="6" t="s">
        <v>98</v>
      </c>
      <c r="G1196" s="6" t="s">
        <v>3168</v>
      </c>
    </row>
    <row r="1197" spans="1:7" ht="18.95" customHeight="1">
      <c r="A1197" s="6" t="s">
        <v>3169</v>
      </c>
      <c r="B1197" s="6" t="s">
        <v>3170</v>
      </c>
      <c r="C1197" s="6" t="s">
        <v>428</v>
      </c>
      <c r="D1197" s="6" t="s">
        <v>103</v>
      </c>
      <c r="E1197" s="6" t="s">
        <v>48</v>
      </c>
      <c r="F1197" s="6" t="s">
        <v>98</v>
      </c>
      <c r="G1197" s="6" t="s">
        <v>3171</v>
      </c>
    </row>
    <row r="1198" spans="1:7" ht="18.95" customHeight="1">
      <c r="A1198" s="6" t="s">
        <v>3172</v>
      </c>
      <c r="B1198" s="6" t="s">
        <v>3170</v>
      </c>
      <c r="C1198" s="6" t="s">
        <v>428</v>
      </c>
      <c r="D1198" s="6" t="s">
        <v>93</v>
      </c>
      <c r="E1198" s="6" t="s">
        <v>46</v>
      </c>
      <c r="F1198" s="6" t="s">
        <v>98</v>
      </c>
      <c r="G1198" s="6" t="s">
        <v>3173</v>
      </c>
    </row>
    <row r="1199" spans="1:7" ht="18.95" customHeight="1">
      <c r="A1199" s="6" t="s">
        <v>3174</v>
      </c>
      <c r="B1199" s="6" t="s">
        <v>3175</v>
      </c>
      <c r="C1199" s="6" t="s">
        <v>434</v>
      </c>
      <c r="D1199" s="6" t="s">
        <v>97</v>
      </c>
      <c r="E1199" s="6" t="s">
        <v>47</v>
      </c>
      <c r="F1199" s="6" t="s">
        <v>98</v>
      </c>
      <c r="G1199" s="6" t="s">
        <v>3176</v>
      </c>
    </row>
    <row r="1200" spans="1:7" ht="18.95" customHeight="1">
      <c r="A1200" s="6" t="s">
        <v>3177</v>
      </c>
      <c r="B1200" s="6" t="s">
        <v>3175</v>
      </c>
      <c r="C1200" s="6" t="s">
        <v>434</v>
      </c>
      <c r="D1200" s="6" t="s">
        <v>103</v>
      </c>
      <c r="E1200" s="6" t="s">
        <v>48</v>
      </c>
      <c r="F1200" s="6" t="s">
        <v>98</v>
      </c>
      <c r="G1200" s="6" t="s">
        <v>3178</v>
      </c>
    </row>
    <row r="1201" spans="1:7" ht="18.95" customHeight="1">
      <c r="A1201" s="6" t="s">
        <v>3179</v>
      </c>
      <c r="B1201" s="6" t="s">
        <v>3180</v>
      </c>
      <c r="C1201" s="6" t="s">
        <v>440</v>
      </c>
      <c r="D1201" s="6" t="s">
        <v>93</v>
      </c>
      <c r="E1201" s="6" t="s">
        <v>46</v>
      </c>
      <c r="F1201" s="6" t="s">
        <v>98</v>
      </c>
      <c r="G1201" s="6" t="s">
        <v>3181</v>
      </c>
    </row>
    <row r="1202" spans="1:7" ht="18.95" customHeight="1">
      <c r="A1202" s="6" t="s">
        <v>3182</v>
      </c>
      <c r="B1202" s="6" t="s">
        <v>3180</v>
      </c>
      <c r="C1202" s="6" t="s">
        <v>440</v>
      </c>
      <c r="D1202" s="6" t="s">
        <v>97</v>
      </c>
      <c r="E1202" s="6" t="s">
        <v>47</v>
      </c>
      <c r="F1202" s="6" t="s">
        <v>98</v>
      </c>
      <c r="G1202" s="6" t="s">
        <v>3183</v>
      </c>
    </row>
    <row r="1203" spans="1:7" ht="18.95" customHeight="1">
      <c r="A1203" s="6" t="s">
        <v>3184</v>
      </c>
      <c r="B1203" s="6" t="s">
        <v>3185</v>
      </c>
      <c r="C1203" s="6" t="s">
        <v>446</v>
      </c>
      <c r="D1203" s="6" t="s">
        <v>103</v>
      </c>
      <c r="E1203" s="6" t="s">
        <v>48</v>
      </c>
      <c r="F1203" s="6" t="s">
        <v>94</v>
      </c>
      <c r="G1203" s="6" t="s">
        <v>3186</v>
      </c>
    </row>
    <row r="1204" spans="1:7" ht="18.95" customHeight="1">
      <c r="A1204" s="6" t="s">
        <v>3187</v>
      </c>
      <c r="B1204" s="6" t="s">
        <v>3185</v>
      </c>
      <c r="C1204" s="6" t="s">
        <v>446</v>
      </c>
      <c r="D1204" s="6" t="s">
        <v>93</v>
      </c>
      <c r="E1204" s="6" t="s">
        <v>46</v>
      </c>
      <c r="F1204" s="6" t="s">
        <v>98</v>
      </c>
      <c r="G1204" s="6" t="s">
        <v>3188</v>
      </c>
    </row>
    <row r="1205" spans="1:7" ht="18.95" customHeight="1">
      <c r="A1205" s="6" t="s">
        <v>3189</v>
      </c>
      <c r="B1205" s="6" t="s">
        <v>3190</v>
      </c>
      <c r="C1205" s="6" t="s">
        <v>452</v>
      </c>
      <c r="D1205" s="6" t="s">
        <v>97</v>
      </c>
      <c r="E1205" s="6" t="s">
        <v>47</v>
      </c>
      <c r="F1205" s="6" t="s">
        <v>98</v>
      </c>
      <c r="G1205" s="6" t="s">
        <v>3191</v>
      </c>
    </row>
    <row r="1206" spans="1:7" ht="18.95" customHeight="1">
      <c r="A1206" s="6" t="s">
        <v>3192</v>
      </c>
      <c r="B1206" s="6" t="s">
        <v>3190</v>
      </c>
      <c r="C1206" s="6" t="s">
        <v>452</v>
      </c>
      <c r="D1206" s="6" t="s">
        <v>103</v>
      </c>
      <c r="E1206" s="6" t="s">
        <v>48</v>
      </c>
      <c r="F1206" s="6" t="s">
        <v>98</v>
      </c>
      <c r="G1206" s="6" t="s">
        <v>3193</v>
      </c>
    </row>
    <row r="1207" spans="1:7" ht="18.95" customHeight="1">
      <c r="A1207" s="6" t="s">
        <v>3194</v>
      </c>
      <c r="B1207" s="6" t="s">
        <v>3195</v>
      </c>
      <c r="C1207" s="6" t="s">
        <v>458</v>
      </c>
      <c r="D1207" s="6" t="s">
        <v>93</v>
      </c>
      <c r="E1207" s="6" t="s">
        <v>46</v>
      </c>
      <c r="F1207" s="6" t="s">
        <v>98</v>
      </c>
      <c r="G1207" s="6" t="s">
        <v>3196</v>
      </c>
    </row>
    <row r="1208" spans="1:7" ht="18.95" customHeight="1">
      <c r="A1208" s="6" t="s">
        <v>3197</v>
      </c>
      <c r="B1208" s="6" t="s">
        <v>3195</v>
      </c>
      <c r="C1208" s="6" t="s">
        <v>458</v>
      </c>
      <c r="D1208" s="6" t="s">
        <v>97</v>
      </c>
      <c r="E1208" s="6" t="s">
        <v>47</v>
      </c>
      <c r="F1208" s="6" t="s">
        <v>98</v>
      </c>
      <c r="G1208" s="6" t="s">
        <v>3198</v>
      </c>
    </row>
    <row r="1209" spans="1:7" ht="18.95" customHeight="1">
      <c r="A1209" s="6" t="s">
        <v>3199</v>
      </c>
      <c r="B1209" s="6" t="s">
        <v>3200</v>
      </c>
      <c r="C1209" s="6" t="s">
        <v>464</v>
      </c>
      <c r="D1209" s="6" t="s">
        <v>103</v>
      </c>
      <c r="E1209" s="6" t="s">
        <v>48</v>
      </c>
      <c r="F1209" s="6" t="s">
        <v>98</v>
      </c>
      <c r="G1209" s="6" t="s">
        <v>3201</v>
      </c>
    </row>
    <row r="1210" spans="1:7" ht="18.95" customHeight="1">
      <c r="A1210" s="6" t="s">
        <v>3202</v>
      </c>
      <c r="B1210" s="6" t="s">
        <v>3200</v>
      </c>
      <c r="C1210" s="6" t="s">
        <v>464</v>
      </c>
      <c r="D1210" s="6" t="s">
        <v>93</v>
      </c>
      <c r="E1210" s="6" t="s">
        <v>46</v>
      </c>
      <c r="F1210" s="6" t="s">
        <v>98</v>
      </c>
      <c r="G1210" s="6" t="s">
        <v>3203</v>
      </c>
    </row>
    <row r="1211" spans="1:7" ht="18.95" customHeight="1">
      <c r="A1211" s="6" t="s">
        <v>3204</v>
      </c>
      <c r="B1211" s="6" t="s">
        <v>3205</v>
      </c>
      <c r="C1211" s="6" t="s">
        <v>470</v>
      </c>
      <c r="D1211" s="6" t="s">
        <v>97</v>
      </c>
      <c r="E1211" s="6" t="s">
        <v>47</v>
      </c>
      <c r="F1211" s="6" t="s">
        <v>98</v>
      </c>
      <c r="G1211" s="6" t="s">
        <v>3206</v>
      </c>
    </row>
    <row r="1212" spans="1:7" ht="18.95" customHeight="1">
      <c r="A1212" s="6" t="s">
        <v>3207</v>
      </c>
      <c r="B1212" s="6" t="s">
        <v>3205</v>
      </c>
      <c r="C1212" s="6" t="s">
        <v>470</v>
      </c>
      <c r="D1212" s="6" t="s">
        <v>103</v>
      </c>
      <c r="E1212" s="6" t="s">
        <v>48</v>
      </c>
      <c r="F1212" s="6" t="s">
        <v>98</v>
      </c>
      <c r="G1212" s="6" t="s">
        <v>3208</v>
      </c>
    </row>
    <row r="1213" spans="1:7" ht="18.95" customHeight="1">
      <c r="A1213" s="6" t="s">
        <v>3209</v>
      </c>
      <c r="B1213" s="6" t="s">
        <v>3210</v>
      </c>
      <c r="C1213" s="6" t="s">
        <v>476</v>
      </c>
      <c r="D1213" s="6" t="s">
        <v>93</v>
      </c>
      <c r="E1213" s="6" t="s">
        <v>46</v>
      </c>
      <c r="F1213" s="6" t="s">
        <v>98</v>
      </c>
      <c r="G1213" s="6" t="s">
        <v>3211</v>
      </c>
    </row>
    <row r="1214" spans="1:7" ht="18.95" customHeight="1">
      <c r="A1214" s="6" t="s">
        <v>3212</v>
      </c>
      <c r="B1214" s="6" t="s">
        <v>3210</v>
      </c>
      <c r="C1214" s="6" t="s">
        <v>476</v>
      </c>
      <c r="D1214" s="6" t="s">
        <v>97</v>
      </c>
      <c r="E1214" s="6" t="s">
        <v>47</v>
      </c>
      <c r="F1214" s="6" t="s">
        <v>98</v>
      </c>
      <c r="G1214" s="6" t="s">
        <v>3213</v>
      </c>
    </row>
    <row r="1215" spans="1:7" ht="18.95" customHeight="1">
      <c r="A1215" s="6" t="s">
        <v>3214</v>
      </c>
      <c r="B1215" s="6" t="s">
        <v>3215</v>
      </c>
      <c r="C1215" s="6" t="s">
        <v>482</v>
      </c>
      <c r="D1215" s="6" t="s">
        <v>103</v>
      </c>
      <c r="E1215" s="6" t="s">
        <v>48</v>
      </c>
      <c r="F1215" s="6" t="s">
        <v>98</v>
      </c>
      <c r="G1215" s="6" t="s">
        <v>3216</v>
      </c>
    </row>
    <row r="1216" spans="1:7" ht="18.95" customHeight="1">
      <c r="A1216" s="6" t="s">
        <v>3217</v>
      </c>
      <c r="B1216" s="6" t="s">
        <v>3215</v>
      </c>
      <c r="C1216" s="6" t="s">
        <v>482</v>
      </c>
      <c r="D1216" s="6" t="s">
        <v>93</v>
      </c>
      <c r="E1216" s="6" t="s">
        <v>46</v>
      </c>
      <c r="F1216" s="6" t="s">
        <v>98</v>
      </c>
      <c r="G1216" s="6" t="s">
        <v>3218</v>
      </c>
    </row>
    <row r="1217" spans="1:7" ht="18.95" customHeight="1">
      <c r="A1217" s="6" t="s">
        <v>3219</v>
      </c>
      <c r="B1217" s="6" t="s">
        <v>3220</v>
      </c>
      <c r="C1217" s="6" t="s">
        <v>488</v>
      </c>
      <c r="D1217" s="6" t="s">
        <v>97</v>
      </c>
      <c r="E1217" s="6" t="s">
        <v>47</v>
      </c>
      <c r="F1217" s="6" t="s">
        <v>98</v>
      </c>
      <c r="G1217" s="6" t="s">
        <v>3221</v>
      </c>
    </row>
    <row r="1218" spans="1:7" ht="18.95" customHeight="1">
      <c r="A1218" s="6" t="s">
        <v>3222</v>
      </c>
      <c r="B1218" s="6" t="s">
        <v>3220</v>
      </c>
      <c r="C1218" s="6" t="s">
        <v>488</v>
      </c>
      <c r="D1218" s="6" t="s">
        <v>103</v>
      </c>
      <c r="E1218" s="6" t="s">
        <v>48</v>
      </c>
      <c r="F1218" s="6" t="s">
        <v>98</v>
      </c>
      <c r="G1218" s="6" t="s">
        <v>3223</v>
      </c>
    </row>
    <row r="1219" spans="1:7" ht="18.95" customHeight="1">
      <c r="A1219" s="6" t="s">
        <v>3224</v>
      </c>
      <c r="B1219" s="6" t="s">
        <v>3225</v>
      </c>
      <c r="C1219" s="6" t="s">
        <v>494</v>
      </c>
      <c r="D1219" s="6" t="s">
        <v>93</v>
      </c>
      <c r="E1219" s="6" t="s">
        <v>46</v>
      </c>
      <c r="F1219" s="6" t="s">
        <v>98</v>
      </c>
      <c r="G1219" s="6" t="s">
        <v>3226</v>
      </c>
    </row>
    <row r="1220" spans="1:7" ht="18.95" customHeight="1">
      <c r="A1220" s="6" t="s">
        <v>3227</v>
      </c>
      <c r="B1220" s="6" t="s">
        <v>3225</v>
      </c>
      <c r="C1220" s="6" t="s">
        <v>494</v>
      </c>
      <c r="D1220" s="6" t="s">
        <v>97</v>
      </c>
      <c r="E1220" s="6" t="s">
        <v>47</v>
      </c>
      <c r="F1220" s="6" t="s">
        <v>98</v>
      </c>
      <c r="G1220" s="6" t="s">
        <v>3228</v>
      </c>
    </row>
    <row r="1221" spans="1:7" ht="18.95" customHeight="1">
      <c r="A1221" s="6" t="s">
        <v>3229</v>
      </c>
      <c r="B1221" s="6" t="s">
        <v>3230</v>
      </c>
      <c r="C1221" s="6" t="s">
        <v>500</v>
      </c>
      <c r="D1221" s="6" t="s">
        <v>103</v>
      </c>
      <c r="E1221" s="6" t="s">
        <v>48</v>
      </c>
      <c r="F1221" s="6" t="s">
        <v>98</v>
      </c>
      <c r="G1221" s="6" t="s">
        <v>3231</v>
      </c>
    </row>
    <row r="1222" spans="1:7" ht="18.95" customHeight="1">
      <c r="A1222" s="6" t="s">
        <v>3232</v>
      </c>
      <c r="B1222" s="6" t="s">
        <v>3230</v>
      </c>
      <c r="C1222" s="6" t="s">
        <v>500</v>
      </c>
      <c r="D1222" s="6" t="s">
        <v>93</v>
      </c>
      <c r="E1222" s="6" t="s">
        <v>46</v>
      </c>
      <c r="F1222" s="6" t="s">
        <v>98</v>
      </c>
      <c r="G1222" s="6" t="s">
        <v>3233</v>
      </c>
    </row>
    <row r="1223" spans="1:7" ht="18.95" customHeight="1">
      <c r="A1223" s="6" t="s">
        <v>3234</v>
      </c>
      <c r="B1223" s="6" t="s">
        <v>3235</v>
      </c>
      <c r="C1223" s="6" t="s">
        <v>506</v>
      </c>
      <c r="D1223" s="6" t="s">
        <v>97</v>
      </c>
      <c r="E1223" s="6" t="s">
        <v>47</v>
      </c>
      <c r="F1223" s="6" t="s">
        <v>98</v>
      </c>
      <c r="G1223" s="6" t="s">
        <v>3236</v>
      </c>
    </row>
    <row r="1224" spans="1:7" ht="18.95" customHeight="1">
      <c r="A1224" s="6" t="s">
        <v>3237</v>
      </c>
      <c r="B1224" s="6" t="s">
        <v>3235</v>
      </c>
      <c r="C1224" s="6" t="s">
        <v>506</v>
      </c>
      <c r="D1224" s="6" t="s">
        <v>103</v>
      </c>
      <c r="E1224" s="6" t="s">
        <v>48</v>
      </c>
      <c r="F1224" s="6" t="s">
        <v>98</v>
      </c>
      <c r="G1224" s="6" t="s">
        <v>3238</v>
      </c>
    </row>
    <row r="1225" spans="1:7" ht="18.95" customHeight="1">
      <c r="A1225" s="6" t="s">
        <v>3239</v>
      </c>
      <c r="B1225" s="6" t="s">
        <v>3240</v>
      </c>
      <c r="C1225" s="6" t="s">
        <v>512</v>
      </c>
      <c r="D1225" s="6" t="s">
        <v>93</v>
      </c>
      <c r="E1225" s="6" t="s">
        <v>46</v>
      </c>
      <c r="F1225" s="6" t="s">
        <v>98</v>
      </c>
      <c r="G1225" s="6" t="s">
        <v>3241</v>
      </c>
    </row>
    <row r="1226" spans="1:7" ht="18.95" customHeight="1">
      <c r="A1226" s="6" t="s">
        <v>3242</v>
      </c>
      <c r="B1226" s="6" t="s">
        <v>3240</v>
      </c>
      <c r="C1226" s="6" t="s">
        <v>512</v>
      </c>
      <c r="D1226" s="6" t="s">
        <v>97</v>
      </c>
      <c r="E1226" s="6" t="s">
        <v>47</v>
      </c>
      <c r="F1226" s="6" t="s">
        <v>94</v>
      </c>
      <c r="G1226" s="6" t="s">
        <v>3243</v>
      </c>
    </row>
    <row r="1227" spans="1:7" ht="18.95" customHeight="1">
      <c r="A1227" s="6" t="s">
        <v>3244</v>
      </c>
      <c r="B1227" s="6" t="s">
        <v>3245</v>
      </c>
      <c r="C1227" s="6" t="s">
        <v>518</v>
      </c>
      <c r="D1227" s="6" t="s">
        <v>103</v>
      </c>
      <c r="E1227" s="6" t="s">
        <v>48</v>
      </c>
      <c r="F1227" s="6" t="s">
        <v>98</v>
      </c>
      <c r="G1227" s="6" t="s">
        <v>3246</v>
      </c>
    </row>
    <row r="1228" spans="1:7" ht="18.95" customHeight="1">
      <c r="A1228" s="6" t="s">
        <v>3247</v>
      </c>
      <c r="B1228" s="6" t="s">
        <v>3245</v>
      </c>
      <c r="C1228" s="6" t="s">
        <v>518</v>
      </c>
      <c r="D1228" s="6" t="s">
        <v>93</v>
      </c>
      <c r="E1228" s="6" t="s">
        <v>46</v>
      </c>
      <c r="F1228" s="6" t="s">
        <v>98</v>
      </c>
      <c r="G1228" s="6" t="s">
        <v>3248</v>
      </c>
    </row>
    <row r="1229" spans="1:7" ht="18.95" customHeight="1">
      <c r="A1229" s="6" t="s">
        <v>3249</v>
      </c>
      <c r="B1229" s="6" t="s">
        <v>3250</v>
      </c>
      <c r="C1229" s="6" t="s">
        <v>524</v>
      </c>
      <c r="D1229" s="6" t="s">
        <v>97</v>
      </c>
      <c r="E1229" s="6" t="s">
        <v>47</v>
      </c>
      <c r="F1229" s="6" t="s">
        <v>98</v>
      </c>
      <c r="G1229" s="6" t="s">
        <v>3251</v>
      </c>
    </row>
    <row r="1230" spans="1:7" ht="18.95" customHeight="1">
      <c r="A1230" s="6" t="s">
        <v>3252</v>
      </c>
      <c r="B1230" s="6" t="s">
        <v>3250</v>
      </c>
      <c r="C1230" s="6" t="s">
        <v>524</v>
      </c>
      <c r="D1230" s="6" t="s">
        <v>103</v>
      </c>
      <c r="E1230" s="6" t="s">
        <v>48</v>
      </c>
      <c r="F1230" s="6" t="s">
        <v>98</v>
      </c>
      <c r="G1230" s="6" t="s">
        <v>3253</v>
      </c>
    </row>
    <row r="1231" spans="1:7" ht="18.95" customHeight="1">
      <c r="A1231" s="6" t="s">
        <v>3254</v>
      </c>
      <c r="B1231" s="6" t="s">
        <v>3255</v>
      </c>
      <c r="C1231" s="6" t="s">
        <v>530</v>
      </c>
      <c r="D1231" s="6" t="s">
        <v>93</v>
      </c>
      <c r="E1231" s="6" t="s">
        <v>46</v>
      </c>
      <c r="F1231" s="6" t="s">
        <v>98</v>
      </c>
      <c r="G1231" s="6" t="s">
        <v>3256</v>
      </c>
    </row>
    <row r="1232" spans="1:7" ht="18.95" customHeight="1">
      <c r="A1232" s="6" t="s">
        <v>3257</v>
      </c>
      <c r="B1232" s="6" t="s">
        <v>3255</v>
      </c>
      <c r="C1232" s="6" t="s">
        <v>530</v>
      </c>
      <c r="D1232" s="6" t="s">
        <v>97</v>
      </c>
      <c r="E1232" s="6" t="s">
        <v>47</v>
      </c>
      <c r="F1232" s="6" t="s">
        <v>98</v>
      </c>
      <c r="G1232" s="6" t="s">
        <v>3258</v>
      </c>
    </row>
    <row r="1233" spans="1:7" ht="18.95" customHeight="1">
      <c r="A1233" s="6" t="s">
        <v>3259</v>
      </c>
      <c r="B1233" s="6" t="s">
        <v>3260</v>
      </c>
      <c r="C1233" s="6" t="s">
        <v>536</v>
      </c>
      <c r="D1233" s="6" t="s">
        <v>103</v>
      </c>
      <c r="E1233" s="6" t="s">
        <v>48</v>
      </c>
      <c r="F1233" s="6" t="s">
        <v>98</v>
      </c>
      <c r="G1233" s="6" t="s">
        <v>3261</v>
      </c>
    </row>
    <row r="1234" spans="1:7" ht="18.95" customHeight="1">
      <c r="A1234" s="6" t="s">
        <v>3262</v>
      </c>
      <c r="B1234" s="6" t="s">
        <v>3260</v>
      </c>
      <c r="C1234" s="6" t="s">
        <v>536</v>
      </c>
      <c r="D1234" s="6" t="s">
        <v>93</v>
      </c>
      <c r="E1234" s="6" t="s">
        <v>46</v>
      </c>
      <c r="F1234" s="6" t="s">
        <v>98</v>
      </c>
      <c r="G1234" s="6" t="s">
        <v>3263</v>
      </c>
    </row>
    <row r="1235" spans="1:7" ht="18.95" customHeight="1">
      <c r="A1235" s="6" t="s">
        <v>3264</v>
      </c>
      <c r="B1235" s="6" t="s">
        <v>3265</v>
      </c>
      <c r="C1235" s="6" t="s">
        <v>542</v>
      </c>
      <c r="D1235" s="6" t="s">
        <v>97</v>
      </c>
      <c r="E1235" s="6" t="s">
        <v>47</v>
      </c>
      <c r="F1235" s="6" t="s">
        <v>98</v>
      </c>
      <c r="G1235" s="6" t="s">
        <v>3266</v>
      </c>
    </row>
    <row r="1236" spans="1:7" ht="18.95" customHeight="1">
      <c r="A1236" s="6" t="s">
        <v>3267</v>
      </c>
      <c r="B1236" s="6" t="s">
        <v>3265</v>
      </c>
      <c r="C1236" s="6" t="s">
        <v>542</v>
      </c>
      <c r="D1236" s="6" t="s">
        <v>103</v>
      </c>
      <c r="E1236" s="6" t="s">
        <v>48</v>
      </c>
      <c r="F1236" s="6" t="s">
        <v>98</v>
      </c>
      <c r="G1236" s="6" t="s">
        <v>3268</v>
      </c>
    </row>
    <row r="1237" spans="1:7" ht="18.95" customHeight="1">
      <c r="A1237" s="6" t="s">
        <v>3269</v>
      </c>
      <c r="B1237" s="6" t="s">
        <v>3270</v>
      </c>
      <c r="C1237" s="6" t="s">
        <v>548</v>
      </c>
      <c r="D1237" s="6" t="s">
        <v>93</v>
      </c>
      <c r="E1237" s="6" t="s">
        <v>46</v>
      </c>
      <c r="F1237" s="6" t="s">
        <v>98</v>
      </c>
      <c r="G1237" s="6" t="s">
        <v>3271</v>
      </c>
    </row>
    <row r="1238" spans="1:7" ht="18.95" customHeight="1">
      <c r="A1238" s="6" t="s">
        <v>3272</v>
      </c>
      <c r="B1238" s="6" t="s">
        <v>3270</v>
      </c>
      <c r="C1238" s="6" t="s">
        <v>548</v>
      </c>
      <c r="D1238" s="6" t="s">
        <v>97</v>
      </c>
      <c r="E1238" s="6" t="s">
        <v>47</v>
      </c>
      <c r="F1238" s="6" t="s">
        <v>98</v>
      </c>
      <c r="G1238" s="6" t="s">
        <v>3273</v>
      </c>
    </row>
    <row r="1239" spans="1:7" ht="18.95" customHeight="1">
      <c r="A1239" s="6" t="s">
        <v>3274</v>
      </c>
      <c r="B1239" s="6" t="s">
        <v>3275</v>
      </c>
      <c r="C1239" s="6" t="s">
        <v>554</v>
      </c>
      <c r="D1239" s="6" t="s">
        <v>103</v>
      </c>
      <c r="E1239" s="6" t="s">
        <v>48</v>
      </c>
      <c r="F1239" s="6" t="s">
        <v>98</v>
      </c>
      <c r="G1239" s="6" t="s">
        <v>3276</v>
      </c>
    </row>
    <row r="1240" spans="1:7" ht="18.95" customHeight="1">
      <c r="A1240" s="6" t="s">
        <v>3277</v>
      </c>
      <c r="B1240" s="6" t="s">
        <v>3275</v>
      </c>
      <c r="C1240" s="6" t="s">
        <v>554</v>
      </c>
      <c r="D1240" s="6" t="s">
        <v>93</v>
      </c>
      <c r="E1240" s="6" t="s">
        <v>46</v>
      </c>
      <c r="F1240" s="6" t="s">
        <v>98</v>
      </c>
      <c r="G1240" s="6" t="s">
        <v>3278</v>
      </c>
    </row>
    <row r="1241" spans="1:7" ht="18.95" customHeight="1">
      <c r="A1241" s="6" t="s">
        <v>3279</v>
      </c>
      <c r="B1241" s="6" t="s">
        <v>3280</v>
      </c>
      <c r="C1241" s="6" t="s">
        <v>560</v>
      </c>
      <c r="D1241" s="6" t="s">
        <v>97</v>
      </c>
      <c r="E1241" s="6" t="s">
        <v>47</v>
      </c>
      <c r="F1241" s="6" t="s">
        <v>98</v>
      </c>
      <c r="G1241" s="6" t="s">
        <v>3281</v>
      </c>
    </row>
    <row r="1242" spans="1:7" ht="18.95" customHeight="1">
      <c r="A1242" s="6" t="s">
        <v>3282</v>
      </c>
      <c r="B1242" s="6" t="s">
        <v>3280</v>
      </c>
      <c r="C1242" s="6" t="s">
        <v>560</v>
      </c>
      <c r="D1242" s="6" t="s">
        <v>103</v>
      </c>
      <c r="E1242" s="6" t="s">
        <v>48</v>
      </c>
      <c r="F1242" s="6" t="s">
        <v>98</v>
      </c>
      <c r="G1242" s="6" t="s">
        <v>3283</v>
      </c>
    </row>
    <row r="1243" spans="1:7" ht="18.95" customHeight="1">
      <c r="A1243" s="6" t="s">
        <v>3284</v>
      </c>
      <c r="B1243" s="6" t="s">
        <v>3285</v>
      </c>
      <c r="C1243" s="6" t="s">
        <v>566</v>
      </c>
      <c r="D1243" s="6" t="s">
        <v>93</v>
      </c>
      <c r="E1243" s="6" t="s">
        <v>46</v>
      </c>
      <c r="F1243" s="6" t="s">
        <v>98</v>
      </c>
      <c r="G1243" s="6" t="s">
        <v>3286</v>
      </c>
    </row>
    <row r="1244" spans="1:7" ht="18.95" customHeight="1">
      <c r="A1244" s="6" t="s">
        <v>3287</v>
      </c>
      <c r="B1244" s="6" t="s">
        <v>3285</v>
      </c>
      <c r="C1244" s="6" t="s">
        <v>566</v>
      </c>
      <c r="D1244" s="6" t="s">
        <v>97</v>
      </c>
      <c r="E1244" s="6" t="s">
        <v>47</v>
      </c>
      <c r="F1244" s="6" t="s">
        <v>98</v>
      </c>
      <c r="G1244" s="6" t="s">
        <v>3288</v>
      </c>
    </row>
    <row r="1245" spans="1:7" ht="18.95" customHeight="1">
      <c r="A1245" s="6" t="s">
        <v>3289</v>
      </c>
      <c r="B1245" s="6" t="s">
        <v>3290</v>
      </c>
      <c r="C1245" s="6" t="s">
        <v>572</v>
      </c>
      <c r="D1245" s="6" t="s">
        <v>103</v>
      </c>
      <c r="E1245" s="6" t="s">
        <v>48</v>
      </c>
      <c r="F1245" s="6" t="s">
        <v>98</v>
      </c>
      <c r="G1245" s="6" t="s">
        <v>3291</v>
      </c>
    </row>
    <row r="1246" spans="1:7" ht="18.95" customHeight="1">
      <c r="A1246" s="6" t="s">
        <v>3292</v>
      </c>
      <c r="B1246" s="6" t="s">
        <v>3290</v>
      </c>
      <c r="C1246" s="6" t="s">
        <v>572</v>
      </c>
      <c r="D1246" s="6" t="s">
        <v>93</v>
      </c>
      <c r="E1246" s="6" t="s">
        <v>46</v>
      </c>
      <c r="F1246" s="6" t="s">
        <v>98</v>
      </c>
      <c r="G1246" s="6" t="s">
        <v>3293</v>
      </c>
    </row>
    <row r="1247" spans="1:7" ht="18.95" customHeight="1">
      <c r="A1247" s="6" t="s">
        <v>3294</v>
      </c>
      <c r="B1247" s="6" t="s">
        <v>3295</v>
      </c>
      <c r="C1247" s="6" t="s">
        <v>578</v>
      </c>
      <c r="D1247" s="6" t="s">
        <v>97</v>
      </c>
      <c r="E1247" s="6" t="s">
        <v>47</v>
      </c>
      <c r="F1247" s="6" t="s">
        <v>98</v>
      </c>
      <c r="G1247" s="6" t="s">
        <v>3296</v>
      </c>
    </row>
    <row r="1248" spans="1:7" ht="18.95" customHeight="1">
      <c r="A1248" s="6" t="s">
        <v>3297</v>
      </c>
      <c r="B1248" s="6" t="s">
        <v>3295</v>
      </c>
      <c r="C1248" s="6" t="s">
        <v>578</v>
      </c>
      <c r="D1248" s="6" t="s">
        <v>103</v>
      </c>
      <c r="E1248" s="6" t="s">
        <v>5191</v>
      </c>
      <c r="F1248" s="6" t="s">
        <v>98</v>
      </c>
      <c r="G1248" s="6" t="s">
        <v>3298</v>
      </c>
    </row>
    <row r="1249" spans="1:7" ht="18.95" customHeight="1">
      <c r="A1249" s="6" t="s">
        <v>3299</v>
      </c>
      <c r="B1249" s="6" t="s">
        <v>3300</v>
      </c>
      <c r="C1249" s="6" t="s">
        <v>584</v>
      </c>
      <c r="D1249" s="6" t="s">
        <v>93</v>
      </c>
      <c r="E1249" s="6" t="s">
        <v>46</v>
      </c>
      <c r="F1249" s="6" t="s">
        <v>94</v>
      </c>
      <c r="G1249" s="6" t="s">
        <v>3301</v>
      </c>
    </row>
    <row r="1250" spans="1:7" ht="18.95" customHeight="1">
      <c r="A1250" s="6" t="s">
        <v>3302</v>
      </c>
      <c r="B1250" s="6" t="s">
        <v>3300</v>
      </c>
      <c r="C1250" s="6" t="s">
        <v>584</v>
      </c>
      <c r="D1250" s="6" t="s">
        <v>97</v>
      </c>
      <c r="E1250" s="6" t="s">
        <v>47</v>
      </c>
      <c r="F1250" s="6" t="s">
        <v>98</v>
      </c>
      <c r="G1250" s="6" t="s">
        <v>3303</v>
      </c>
    </row>
    <row r="1251" spans="1:7" ht="18.95" customHeight="1">
      <c r="A1251" s="6" t="s">
        <v>3304</v>
      </c>
      <c r="B1251" s="6" t="s">
        <v>3305</v>
      </c>
      <c r="C1251" s="6" t="s">
        <v>590</v>
      </c>
      <c r="D1251" s="6" t="s">
        <v>103</v>
      </c>
      <c r="E1251" s="6" t="s">
        <v>48</v>
      </c>
      <c r="F1251" s="6" t="s">
        <v>98</v>
      </c>
      <c r="G1251" s="6" t="s">
        <v>3306</v>
      </c>
    </row>
    <row r="1252" spans="1:7" ht="18.95" customHeight="1">
      <c r="A1252" s="6" t="s">
        <v>3307</v>
      </c>
      <c r="B1252" s="6" t="s">
        <v>3305</v>
      </c>
      <c r="C1252" s="6" t="s">
        <v>590</v>
      </c>
      <c r="D1252" s="6" t="s">
        <v>93</v>
      </c>
      <c r="E1252" s="6" t="s">
        <v>46</v>
      </c>
      <c r="F1252" s="6" t="s">
        <v>98</v>
      </c>
      <c r="G1252" s="6" t="s">
        <v>3308</v>
      </c>
    </row>
    <row r="1253" spans="1:7" ht="18.95" customHeight="1">
      <c r="A1253" s="6" t="s">
        <v>3309</v>
      </c>
      <c r="B1253" s="6" t="s">
        <v>3310</v>
      </c>
      <c r="C1253" s="6" t="s">
        <v>596</v>
      </c>
      <c r="D1253" s="6" t="s">
        <v>97</v>
      </c>
      <c r="E1253" s="6" t="s">
        <v>47</v>
      </c>
      <c r="F1253" s="6" t="s">
        <v>98</v>
      </c>
      <c r="G1253" s="6" t="s">
        <v>3311</v>
      </c>
    </row>
    <row r="1254" spans="1:7" ht="18.95" customHeight="1">
      <c r="A1254" s="6" t="s">
        <v>3312</v>
      </c>
      <c r="B1254" s="6" t="s">
        <v>3310</v>
      </c>
      <c r="C1254" s="6" t="s">
        <v>596</v>
      </c>
      <c r="D1254" s="6" t="s">
        <v>103</v>
      </c>
      <c r="E1254" s="6" t="s">
        <v>48</v>
      </c>
      <c r="F1254" s="6" t="s">
        <v>98</v>
      </c>
      <c r="G1254" s="6" t="s">
        <v>3313</v>
      </c>
    </row>
    <row r="1255" spans="1:7" ht="18.95" customHeight="1">
      <c r="A1255" s="6" t="s">
        <v>3314</v>
      </c>
      <c r="B1255" s="6" t="s">
        <v>3315</v>
      </c>
      <c r="C1255" s="6" t="s">
        <v>602</v>
      </c>
      <c r="D1255" s="6" t="s">
        <v>93</v>
      </c>
      <c r="E1255" s="6" t="s">
        <v>46</v>
      </c>
      <c r="F1255" s="6" t="s">
        <v>98</v>
      </c>
      <c r="G1255" s="6" t="s">
        <v>3316</v>
      </c>
    </row>
    <row r="1256" spans="1:7" ht="18.95" customHeight="1">
      <c r="A1256" s="6" t="s">
        <v>3317</v>
      </c>
      <c r="B1256" s="6" t="s">
        <v>3315</v>
      </c>
      <c r="C1256" s="6" t="s">
        <v>602</v>
      </c>
      <c r="D1256" s="6" t="s">
        <v>97</v>
      </c>
      <c r="E1256" s="6" t="s">
        <v>47</v>
      </c>
      <c r="F1256" s="6" t="s">
        <v>98</v>
      </c>
      <c r="G1256" s="6" t="s">
        <v>3318</v>
      </c>
    </row>
    <row r="1257" spans="1:7" ht="18.95" customHeight="1">
      <c r="A1257" s="6" t="s">
        <v>3319</v>
      </c>
      <c r="B1257" s="6" t="s">
        <v>3320</v>
      </c>
      <c r="C1257" s="6" t="s">
        <v>611</v>
      </c>
      <c r="D1257" s="6" t="s">
        <v>103</v>
      </c>
      <c r="E1257" s="6" t="s">
        <v>48</v>
      </c>
      <c r="F1257" s="6" t="s">
        <v>98</v>
      </c>
      <c r="G1257" s="6" t="s">
        <v>3321</v>
      </c>
    </row>
    <row r="1258" spans="1:7" ht="18.95" customHeight="1">
      <c r="A1258" s="6" t="s">
        <v>3322</v>
      </c>
      <c r="B1258" s="6" t="s">
        <v>3320</v>
      </c>
      <c r="C1258" s="6" t="s">
        <v>611</v>
      </c>
      <c r="D1258" s="6" t="s">
        <v>93</v>
      </c>
      <c r="E1258" s="6" t="s">
        <v>46</v>
      </c>
      <c r="F1258" s="6" t="s">
        <v>98</v>
      </c>
      <c r="G1258" s="6" t="s">
        <v>3323</v>
      </c>
    </row>
    <row r="1259" spans="1:7" ht="18.95" customHeight="1">
      <c r="A1259" s="6" t="s">
        <v>3324</v>
      </c>
      <c r="B1259" s="6" t="s">
        <v>3325</v>
      </c>
      <c r="C1259" s="6" t="s">
        <v>615</v>
      </c>
      <c r="D1259" s="6" t="s">
        <v>97</v>
      </c>
      <c r="E1259" s="6" t="s">
        <v>47</v>
      </c>
      <c r="F1259" s="6" t="s">
        <v>98</v>
      </c>
      <c r="G1259" s="6" t="s">
        <v>3326</v>
      </c>
    </row>
    <row r="1260" spans="1:7" ht="18.95" customHeight="1">
      <c r="A1260" s="6" t="s">
        <v>3327</v>
      </c>
      <c r="B1260" s="6" t="s">
        <v>3325</v>
      </c>
      <c r="C1260" s="6" t="s">
        <v>615</v>
      </c>
      <c r="D1260" s="6" t="s">
        <v>103</v>
      </c>
      <c r="E1260" s="6" t="s">
        <v>48</v>
      </c>
      <c r="F1260" s="6" t="s">
        <v>98</v>
      </c>
      <c r="G1260" s="6" t="s">
        <v>3328</v>
      </c>
    </row>
    <row r="1261" spans="1:7" ht="18.95" customHeight="1">
      <c r="A1261" s="6" t="s">
        <v>3329</v>
      </c>
      <c r="B1261" s="6" t="s">
        <v>3330</v>
      </c>
      <c r="C1261" s="6" t="s">
        <v>621</v>
      </c>
      <c r="D1261" s="6" t="s">
        <v>93</v>
      </c>
      <c r="E1261" s="6" t="s">
        <v>46</v>
      </c>
      <c r="F1261" s="6" t="s">
        <v>98</v>
      </c>
      <c r="G1261" s="6" t="s">
        <v>3331</v>
      </c>
    </row>
    <row r="1262" spans="1:7" ht="18.95" customHeight="1">
      <c r="A1262" s="6" t="s">
        <v>3332</v>
      </c>
      <c r="B1262" s="6" t="s">
        <v>3330</v>
      </c>
      <c r="C1262" s="6" t="s">
        <v>621</v>
      </c>
      <c r="D1262" s="6" t="s">
        <v>97</v>
      </c>
      <c r="E1262" s="6" t="s">
        <v>47</v>
      </c>
      <c r="F1262" s="6" t="s">
        <v>98</v>
      </c>
      <c r="G1262" s="6" t="s">
        <v>3333</v>
      </c>
    </row>
    <row r="1263" spans="1:7" ht="18.95" customHeight="1">
      <c r="A1263" s="6" t="s">
        <v>3334</v>
      </c>
      <c r="B1263" s="6" t="s">
        <v>3335</v>
      </c>
      <c r="C1263" s="6" t="s">
        <v>627</v>
      </c>
      <c r="D1263" s="6" t="s">
        <v>103</v>
      </c>
      <c r="E1263" s="6" t="s">
        <v>48</v>
      </c>
      <c r="F1263" s="6" t="s">
        <v>98</v>
      </c>
      <c r="G1263" s="6" t="s">
        <v>3336</v>
      </c>
    </row>
    <row r="1264" spans="1:7" ht="18.95" customHeight="1">
      <c r="A1264" s="6" t="s">
        <v>3337</v>
      </c>
      <c r="B1264" s="6" t="s">
        <v>3335</v>
      </c>
      <c r="C1264" s="6" t="s">
        <v>627</v>
      </c>
      <c r="D1264" s="6" t="s">
        <v>93</v>
      </c>
      <c r="E1264" s="6" t="s">
        <v>46</v>
      </c>
      <c r="F1264" s="6" t="s">
        <v>98</v>
      </c>
      <c r="G1264" s="6" t="s">
        <v>3338</v>
      </c>
    </row>
    <row r="1265" spans="1:7" ht="18.95" customHeight="1">
      <c r="A1265" s="6" t="s">
        <v>3339</v>
      </c>
      <c r="B1265" s="6" t="s">
        <v>3340</v>
      </c>
      <c r="C1265" s="6" t="s">
        <v>633</v>
      </c>
      <c r="D1265" s="6" t="s">
        <v>97</v>
      </c>
      <c r="E1265" s="6" t="s">
        <v>47</v>
      </c>
      <c r="F1265" s="6" t="s">
        <v>98</v>
      </c>
      <c r="G1265" s="6" t="s">
        <v>3341</v>
      </c>
    </row>
    <row r="1266" spans="1:7" ht="18.95" customHeight="1">
      <c r="A1266" s="6" t="s">
        <v>3342</v>
      </c>
      <c r="B1266" s="6" t="s">
        <v>3340</v>
      </c>
      <c r="C1266" s="6" t="s">
        <v>633</v>
      </c>
      <c r="D1266" s="6" t="s">
        <v>103</v>
      </c>
      <c r="E1266" s="6" t="s">
        <v>48</v>
      </c>
      <c r="F1266" s="6" t="s">
        <v>98</v>
      </c>
      <c r="G1266" s="6" t="s">
        <v>3343</v>
      </c>
    </row>
    <row r="1267" spans="1:7" ht="18.95" customHeight="1">
      <c r="A1267" s="6" t="s">
        <v>3344</v>
      </c>
      <c r="B1267" s="6" t="s">
        <v>3345</v>
      </c>
      <c r="C1267" s="6" t="s">
        <v>92</v>
      </c>
      <c r="D1267" s="6" t="s">
        <v>93</v>
      </c>
      <c r="E1267" s="6" t="s">
        <v>46</v>
      </c>
      <c r="F1267" s="6" t="s">
        <v>98</v>
      </c>
      <c r="G1267" s="6" t="s">
        <v>3346</v>
      </c>
    </row>
    <row r="1268" spans="1:7" ht="18.95" customHeight="1">
      <c r="A1268" s="6" t="s">
        <v>3347</v>
      </c>
      <c r="B1268" s="6" t="s">
        <v>3345</v>
      </c>
      <c r="C1268" s="6" t="s">
        <v>92</v>
      </c>
      <c r="D1268" s="6" t="s">
        <v>97</v>
      </c>
      <c r="E1268" s="6" t="s">
        <v>47</v>
      </c>
      <c r="F1268" s="6" t="s">
        <v>98</v>
      </c>
      <c r="G1268" s="6" t="s">
        <v>3348</v>
      </c>
    </row>
    <row r="1269" spans="1:7" ht="18.95" customHeight="1">
      <c r="A1269" s="6" t="s">
        <v>3349</v>
      </c>
      <c r="B1269" s="6" t="s">
        <v>3350</v>
      </c>
      <c r="C1269" s="6" t="s">
        <v>102</v>
      </c>
      <c r="D1269" s="6" t="s">
        <v>103</v>
      </c>
      <c r="E1269" s="6" t="s">
        <v>48</v>
      </c>
      <c r="F1269" s="6" t="s">
        <v>98</v>
      </c>
      <c r="G1269" s="6" t="s">
        <v>3351</v>
      </c>
    </row>
    <row r="1270" spans="1:7" ht="18.95" customHeight="1">
      <c r="A1270" s="6" t="s">
        <v>3352</v>
      </c>
      <c r="B1270" s="6" t="s">
        <v>3350</v>
      </c>
      <c r="C1270" s="6" t="s">
        <v>102</v>
      </c>
      <c r="D1270" s="6" t="s">
        <v>93</v>
      </c>
      <c r="E1270" s="6" t="s">
        <v>46</v>
      </c>
      <c r="F1270" s="6" t="s">
        <v>98</v>
      </c>
      <c r="G1270" s="6" t="s">
        <v>3353</v>
      </c>
    </row>
    <row r="1271" spans="1:7" ht="18.95" customHeight="1">
      <c r="A1271" s="6" t="s">
        <v>3354</v>
      </c>
      <c r="B1271" s="6" t="s">
        <v>3355</v>
      </c>
      <c r="C1271" s="6" t="s">
        <v>109</v>
      </c>
      <c r="D1271" s="6" t="s">
        <v>97</v>
      </c>
      <c r="E1271" s="6" t="s">
        <v>47</v>
      </c>
      <c r="F1271" s="6" t="s">
        <v>98</v>
      </c>
      <c r="G1271" s="6" t="s">
        <v>3356</v>
      </c>
    </row>
    <row r="1272" spans="1:7" ht="18.95" customHeight="1">
      <c r="A1272" s="6" t="s">
        <v>3357</v>
      </c>
      <c r="B1272" s="6" t="s">
        <v>3355</v>
      </c>
      <c r="C1272" s="6" t="s">
        <v>109</v>
      </c>
      <c r="D1272" s="6" t="s">
        <v>103</v>
      </c>
      <c r="E1272" s="6" t="s">
        <v>48</v>
      </c>
      <c r="F1272" s="6" t="s">
        <v>94</v>
      </c>
      <c r="G1272" s="6" t="s">
        <v>3358</v>
      </c>
    </row>
    <row r="1273" spans="1:7" ht="18.95" customHeight="1">
      <c r="A1273" s="6" t="s">
        <v>3359</v>
      </c>
      <c r="B1273" s="6" t="s">
        <v>3360</v>
      </c>
      <c r="C1273" s="6" t="s">
        <v>3361</v>
      </c>
      <c r="D1273" s="6" t="s">
        <v>93</v>
      </c>
      <c r="E1273" s="6" t="s">
        <v>46</v>
      </c>
      <c r="F1273" s="6" t="s">
        <v>98</v>
      </c>
      <c r="G1273" s="6" t="s">
        <v>3362</v>
      </c>
    </row>
    <row r="1274" spans="1:7" ht="18.95" customHeight="1">
      <c r="A1274" s="6" t="s">
        <v>3363</v>
      </c>
      <c r="B1274" s="6" t="s">
        <v>3360</v>
      </c>
      <c r="C1274" s="6" t="s">
        <v>115</v>
      </c>
      <c r="D1274" s="6" t="s">
        <v>97</v>
      </c>
      <c r="E1274" s="6" t="s">
        <v>47</v>
      </c>
      <c r="F1274" s="6" t="s">
        <v>98</v>
      </c>
      <c r="G1274" s="6" t="s">
        <v>3364</v>
      </c>
    </row>
    <row r="1275" spans="1:7" ht="18.95" customHeight="1">
      <c r="A1275" s="6" t="s">
        <v>3365</v>
      </c>
      <c r="B1275" s="6" t="s">
        <v>3366</v>
      </c>
      <c r="C1275" s="6" t="s">
        <v>121</v>
      </c>
      <c r="D1275" s="6" t="s">
        <v>103</v>
      </c>
      <c r="E1275" s="6" t="s">
        <v>48</v>
      </c>
      <c r="F1275" s="6" t="s">
        <v>98</v>
      </c>
      <c r="G1275" s="6" t="s">
        <v>3367</v>
      </c>
    </row>
    <row r="1276" spans="1:7" ht="18.95" customHeight="1">
      <c r="A1276" s="6" t="s">
        <v>3368</v>
      </c>
      <c r="B1276" s="6" t="s">
        <v>3366</v>
      </c>
      <c r="C1276" s="6" t="s">
        <v>121</v>
      </c>
      <c r="D1276" s="6" t="s">
        <v>93</v>
      </c>
      <c r="E1276" s="6" t="s">
        <v>46</v>
      </c>
      <c r="F1276" s="6" t="s">
        <v>98</v>
      </c>
      <c r="G1276" s="6" t="s">
        <v>3369</v>
      </c>
    </row>
    <row r="1277" spans="1:7" ht="18.95" customHeight="1">
      <c r="A1277" s="6" t="s">
        <v>3370</v>
      </c>
      <c r="B1277" s="6" t="s">
        <v>3371</v>
      </c>
      <c r="C1277" s="6" t="s">
        <v>127</v>
      </c>
      <c r="D1277" s="6" t="s">
        <v>97</v>
      </c>
      <c r="E1277" s="6" t="s">
        <v>47</v>
      </c>
      <c r="F1277" s="6" t="s">
        <v>98</v>
      </c>
      <c r="G1277" s="6" t="s">
        <v>3372</v>
      </c>
    </row>
    <row r="1278" spans="1:7" ht="18.95" customHeight="1">
      <c r="A1278" s="6" t="s">
        <v>3373</v>
      </c>
      <c r="B1278" s="6" t="s">
        <v>3371</v>
      </c>
      <c r="C1278" s="6" t="s">
        <v>127</v>
      </c>
      <c r="D1278" s="6" t="s">
        <v>103</v>
      </c>
      <c r="E1278" s="6" t="s">
        <v>48</v>
      </c>
      <c r="F1278" s="6" t="s">
        <v>98</v>
      </c>
      <c r="G1278" s="6" t="s">
        <v>3374</v>
      </c>
    </row>
    <row r="1279" spans="1:7" ht="18.95" customHeight="1">
      <c r="A1279" s="6" t="s">
        <v>3375</v>
      </c>
      <c r="B1279" s="6" t="s">
        <v>3376</v>
      </c>
      <c r="C1279" s="6" t="s">
        <v>133</v>
      </c>
      <c r="D1279" s="6" t="s">
        <v>93</v>
      </c>
      <c r="E1279" s="6" t="s">
        <v>46</v>
      </c>
      <c r="F1279" s="6" t="s">
        <v>98</v>
      </c>
      <c r="G1279" s="6" t="s">
        <v>3377</v>
      </c>
    </row>
    <row r="1280" spans="1:7" ht="18.95" customHeight="1">
      <c r="A1280" s="6" t="s">
        <v>3378</v>
      </c>
      <c r="B1280" s="6" t="s">
        <v>3376</v>
      </c>
      <c r="C1280" s="6" t="s">
        <v>133</v>
      </c>
      <c r="D1280" s="6" t="s">
        <v>97</v>
      </c>
      <c r="E1280" s="6" t="s">
        <v>47</v>
      </c>
      <c r="F1280" s="6" t="s">
        <v>98</v>
      </c>
      <c r="G1280" s="6" t="s">
        <v>3379</v>
      </c>
    </row>
    <row r="1281" spans="1:7" ht="18.95" customHeight="1">
      <c r="A1281" s="6" t="s">
        <v>3380</v>
      </c>
      <c r="B1281" s="6" t="s">
        <v>3381</v>
      </c>
      <c r="C1281" s="6" t="s">
        <v>139</v>
      </c>
      <c r="D1281" s="6" t="s">
        <v>103</v>
      </c>
      <c r="E1281" s="6" t="s">
        <v>48</v>
      </c>
      <c r="F1281" s="6" t="s">
        <v>98</v>
      </c>
      <c r="G1281" s="6" t="s">
        <v>3382</v>
      </c>
    </row>
    <row r="1282" spans="1:7" ht="18.95" customHeight="1">
      <c r="A1282" s="6" t="s">
        <v>3383</v>
      </c>
      <c r="B1282" s="6" t="s">
        <v>3381</v>
      </c>
      <c r="C1282" s="6" t="s">
        <v>139</v>
      </c>
      <c r="D1282" s="6" t="s">
        <v>93</v>
      </c>
      <c r="E1282" s="6" t="s">
        <v>46</v>
      </c>
      <c r="F1282" s="6" t="s">
        <v>98</v>
      </c>
      <c r="G1282" s="6" t="s">
        <v>3384</v>
      </c>
    </row>
    <row r="1283" spans="1:7" ht="18.95" customHeight="1">
      <c r="A1283" s="6" t="s">
        <v>3385</v>
      </c>
      <c r="B1283" s="6" t="s">
        <v>3386</v>
      </c>
      <c r="C1283" s="6" t="s">
        <v>145</v>
      </c>
      <c r="D1283" s="6" t="s">
        <v>97</v>
      </c>
      <c r="E1283" s="6" t="s">
        <v>47</v>
      </c>
      <c r="F1283" s="6" t="s">
        <v>98</v>
      </c>
      <c r="G1283" s="6" t="s">
        <v>3387</v>
      </c>
    </row>
    <row r="1284" spans="1:7" ht="18.95" customHeight="1">
      <c r="A1284" s="6" t="s">
        <v>3388</v>
      </c>
      <c r="B1284" s="6" t="s">
        <v>3386</v>
      </c>
      <c r="C1284" s="6" t="s">
        <v>145</v>
      </c>
      <c r="D1284" s="6" t="s">
        <v>103</v>
      </c>
      <c r="E1284" s="6" t="s">
        <v>48</v>
      </c>
      <c r="F1284" s="6" t="s">
        <v>98</v>
      </c>
      <c r="G1284" s="6" t="s">
        <v>3389</v>
      </c>
    </row>
    <row r="1285" spans="1:7" ht="18.95" customHeight="1">
      <c r="A1285" s="6" t="s">
        <v>3390</v>
      </c>
      <c r="B1285" s="6" t="s">
        <v>3391</v>
      </c>
      <c r="C1285" s="6" t="s">
        <v>151</v>
      </c>
      <c r="D1285" s="6" t="s">
        <v>93</v>
      </c>
      <c r="E1285" s="6" t="s">
        <v>46</v>
      </c>
      <c r="F1285" s="6" t="s">
        <v>98</v>
      </c>
      <c r="G1285" s="6" t="s">
        <v>3392</v>
      </c>
    </row>
    <row r="1286" spans="1:7" ht="18.95" customHeight="1">
      <c r="A1286" s="6" t="s">
        <v>3393</v>
      </c>
      <c r="B1286" s="6" t="s">
        <v>3391</v>
      </c>
      <c r="C1286" s="6" t="s">
        <v>151</v>
      </c>
      <c r="D1286" s="6" t="s">
        <v>97</v>
      </c>
      <c r="E1286" s="6" t="s">
        <v>47</v>
      </c>
      <c r="F1286" s="6" t="s">
        <v>98</v>
      </c>
      <c r="G1286" s="6" t="s">
        <v>3394</v>
      </c>
    </row>
    <row r="1287" spans="1:7" ht="18.95" customHeight="1">
      <c r="A1287" s="6" t="s">
        <v>3395</v>
      </c>
      <c r="B1287" s="6" t="s">
        <v>3396</v>
      </c>
      <c r="C1287" s="6" t="s">
        <v>157</v>
      </c>
      <c r="D1287" s="6" t="s">
        <v>103</v>
      </c>
      <c r="E1287" s="6" t="s">
        <v>48</v>
      </c>
      <c r="F1287" s="6" t="s">
        <v>98</v>
      </c>
      <c r="G1287" s="6" t="s">
        <v>3397</v>
      </c>
    </row>
    <row r="1288" spans="1:7" ht="18.95" customHeight="1">
      <c r="A1288" s="6" t="s">
        <v>3398</v>
      </c>
      <c r="B1288" s="6" t="s">
        <v>3396</v>
      </c>
      <c r="C1288" s="6" t="s">
        <v>157</v>
      </c>
      <c r="D1288" s="6" t="s">
        <v>93</v>
      </c>
      <c r="E1288" s="6" t="s">
        <v>46</v>
      </c>
      <c r="F1288" s="6" t="s">
        <v>98</v>
      </c>
      <c r="G1288" s="6" t="s">
        <v>3399</v>
      </c>
    </row>
    <row r="1289" spans="1:7" ht="18.95" customHeight="1">
      <c r="A1289" s="6" t="s">
        <v>3400</v>
      </c>
      <c r="B1289" s="6" t="s">
        <v>3401</v>
      </c>
      <c r="C1289" s="6" t="s">
        <v>163</v>
      </c>
      <c r="D1289" s="6" t="s">
        <v>97</v>
      </c>
      <c r="E1289" s="6" t="s">
        <v>47</v>
      </c>
      <c r="F1289" s="6" t="s">
        <v>98</v>
      </c>
      <c r="G1289" s="6" t="s">
        <v>3402</v>
      </c>
    </row>
    <row r="1290" spans="1:7" ht="18.95" customHeight="1">
      <c r="A1290" s="6" t="s">
        <v>3403</v>
      </c>
      <c r="B1290" s="6" t="s">
        <v>3401</v>
      </c>
      <c r="C1290" s="6" t="s">
        <v>163</v>
      </c>
      <c r="D1290" s="6" t="s">
        <v>103</v>
      </c>
      <c r="E1290" s="6" t="s">
        <v>48</v>
      </c>
      <c r="F1290" s="6" t="s">
        <v>98</v>
      </c>
      <c r="G1290" s="6" t="s">
        <v>3404</v>
      </c>
    </row>
    <row r="1291" spans="1:7" ht="18.95" customHeight="1">
      <c r="A1291" s="6" t="s">
        <v>3405</v>
      </c>
      <c r="B1291" s="6" t="s">
        <v>3406</v>
      </c>
      <c r="C1291" s="6" t="s">
        <v>169</v>
      </c>
      <c r="D1291" s="6" t="s">
        <v>93</v>
      </c>
      <c r="E1291" s="6" t="s">
        <v>46</v>
      </c>
      <c r="F1291" s="6" t="s">
        <v>98</v>
      </c>
      <c r="G1291" s="6" t="s">
        <v>3407</v>
      </c>
    </row>
    <row r="1292" spans="1:7" ht="18.95" customHeight="1">
      <c r="A1292" s="6" t="s">
        <v>3408</v>
      </c>
      <c r="B1292" s="6" t="s">
        <v>3406</v>
      </c>
      <c r="C1292" s="6" t="s">
        <v>169</v>
      </c>
      <c r="D1292" s="6" t="s">
        <v>97</v>
      </c>
      <c r="E1292" s="6" t="s">
        <v>47</v>
      </c>
      <c r="F1292" s="6" t="s">
        <v>98</v>
      </c>
      <c r="G1292" s="6" t="s">
        <v>3409</v>
      </c>
    </row>
    <row r="1293" spans="1:7" ht="18.95" customHeight="1">
      <c r="A1293" s="6" t="s">
        <v>3410</v>
      </c>
      <c r="B1293" s="6" t="s">
        <v>3411</v>
      </c>
      <c r="C1293" s="6" t="s">
        <v>175</v>
      </c>
      <c r="D1293" s="6" t="s">
        <v>103</v>
      </c>
      <c r="E1293" s="6" t="s">
        <v>48</v>
      </c>
      <c r="F1293" s="6" t="s">
        <v>98</v>
      </c>
      <c r="G1293" s="6" t="s">
        <v>3412</v>
      </c>
    </row>
    <row r="1294" spans="1:7" ht="18.95" customHeight="1">
      <c r="A1294" s="6" t="s">
        <v>3413</v>
      </c>
      <c r="B1294" s="6" t="s">
        <v>3411</v>
      </c>
      <c r="C1294" s="6" t="s">
        <v>175</v>
      </c>
      <c r="D1294" s="6" t="s">
        <v>93</v>
      </c>
      <c r="E1294" s="6" t="s">
        <v>46</v>
      </c>
      <c r="F1294" s="6" t="s">
        <v>98</v>
      </c>
      <c r="G1294" s="6" t="s">
        <v>3414</v>
      </c>
    </row>
    <row r="1295" spans="1:7" ht="18.95" customHeight="1">
      <c r="A1295" s="6" t="s">
        <v>3415</v>
      </c>
      <c r="B1295" s="6" t="s">
        <v>3416</v>
      </c>
      <c r="C1295" s="6" t="s">
        <v>181</v>
      </c>
      <c r="D1295" s="6" t="s">
        <v>97</v>
      </c>
      <c r="E1295" s="6" t="s">
        <v>47</v>
      </c>
      <c r="F1295" s="6" t="s">
        <v>94</v>
      </c>
      <c r="G1295" s="6" t="s">
        <v>3417</v>
      </c>
    </row>
    <row r="1296" spans="1:7" ht="18.95" customHeight="1">
      <c r="A1296" s="6" t="s">
        <v>3418</v>
      </c>
      <c r="B1296" s="6" t="s">
        <v>3416</v>
      </c>
      <c r="C1296" s="6" t="s">
        <v>181</v>
      </c>
      <c r="D1296" s="6" t="s">
        <v>103</v>
      </c>
      <c r="E1296" s="6" t="s">
        <v>48</v>
      </c>
      <c r="F1296" s="6" t="s">
        <v>98</v>
      </c>
      <c r="G1296" s="6" t="s">
        <v>3419</v>
      </c>
    </row>
    <row r="1297" spans="1:7" ht="18.95" customHeight="1">
      <c r="A1297" s="6" t="s">
        <v>3420</v>
      </c>
      <c r="B1297" s="6" t="s">
        <v>3421</v>
      </c>
      <c r="C1297" s="6" t="s">
        <v>187</v>
      </c>
      <c r="D1297" s="6" t="s">
        <v>93</v>
      </c>
      <c r="E1297" s="6" t="s">
        <v>46</v>
      </c>
      <c r="F1297" s="6" t="s">
        <v>98</v>
      </c>
      <c r="G1297" s="6" t="s">
        <v>3422</v>
      </c>
    </row>
    <row r="1298" spans="1:7" ht="18.95" customHeight="1">
      <c r="A1298" s="6" t="s">
        <v>3423</v>
      </c>
      <c r="B1298" s="6" t="s">
        <v>3421</v>
      </c>
      <c r="C1298" s="6" t="s">
        <v>187</v>
      </c>
      <c r="D1298" s="6" t="s">
        <v>97</v>
      </c>
      <c r="E1298" s="6" t="s">
        <v>47</v>
      </c>
      <c r="F1298" s="6" t="s">
        <v>98</v>
      </c>
      <c r="G1298" s="6" t="s">
        <v>3424</v>
      </c>
    </row>
    <row r="1299" spans="1:7" ht="18.95" customHeight="1">
      <c r="A1299" s="6" t="s">
        <v>3425</v>
      </c>
      <c r="B1299" s="6" t="s">
        <v>3426</v>
      </c>
      <c r="C1299" s="6" t="s">
        <v>193</v>
      </c>
      <c r="D1299" s="6" t="s">
        <v>103</v>
      </c>
      <c r="E1299" s="6" t="s">
        <v>48</v>
      </c>
      <c r="F1299" s="6" t="s">
        <v>98</v>
      </c>
      <c r="G1299" s="6" t="s">
        <v>3427</v>
      </c>
    </row>
    <row r="1300" spans="1:7" ht="18.95" customHeight="1">
      <c r="A1300" s="6" t="s">
        <v>3428</v>
      </c>
      <c r="B1300" s="6" t="s">
        <v>3426</v>
      </c>
      <c r="C1300" s="6" t="s">
        <v>193</v>
      </c>
      <c r="D1300" s="6" t="s">
        <v>93</v>
      </c>
      <c r="E1300" s="6" t="s">
        <v>46</v>
      </c>
      <c r="F1300" s="6" t="s">
        <v>98</v>
      </c>
      <c r="G1300" s="6" t="s">
        <v>3429</v>
      </c>
    </row>
    <row r="1301" spans="1:7" ht="18.95" customHeight="1">
      <c r="A1301" s="6" t="s">
        <v>3430</v>
      </c>
      <c r="B1301" s="6" t="s">
        <v>3431</v>
      </c>
      <c r="C1301" s="6" t="s">
        <v>200</v>
      </c>
      <c r="D1301" s="6" t="s">
        <v>97</v>
      </c>
      <c r="E1301" s="6" t="s">
        <v>47</v>
      </c>
      <c r="F1301" s="6" t="s">
        <v>98</v>
      </c>
      <c r="G1301" s="6" t="s">
        <v>3432</v>
      </c>
    </row>
    <row r="1302" spans="1:7" ht="18.95" customHeight="1">
      <c r="A1302" s="6" t="s">
        <v>3433</v>
      </c>
      <c r="B1302" s="6" t="s">
        <v>3431</v>
      </c>
      <c r="C1302" s="6" t="s">
        <v>200</v>
      </c>
      <c r="D1302" s="6" t="s">
        <v>103</v>
      </c>
      <c r="E1302" s="6" t="s">
        <v>48</v>
      </c>
      <c r="F1302" s="6" t="s">
        <v>98</v>
      </c>
      <c r="G1302" s="6" t="s">
        <v>3434</v>
      </c>
    </row>
    <row r="1303" spans="1:7" ht="18.95" customHeight="1">
      <c r="A1303" s="6" t="s">
        <v>3435</v>
      </c>
      <c r="B1303" s="6" t="s">
        <v>3436</v>
      </c>
      <c r="C1303" s="6" t="s">
        <v>206</v>
      </c>
      <c r="D1303" s="6" t="s">
        <v>93</v>
      </c>
      <c r="E1303" s="6" t="s">
        <v>46</v>
      </c>
      <c r="F1303" s="6" t="s">
        <v>98</v>
      </c>
      <c r="G1303" s="6" t="s">
        <v>3437</v>
      </c>
    </row>
    <row r="1304" spans="1:7" ht="18.95" customHeight="1">
      <c r="A1304" s="6" t="s">
        <v>3438</v>
      </c>
      <c r="B1304" s="6" t="s">
        <v>3436</v>
      </c>
      <c r="C1304" s="6" t="s">
        <v>206</v>
      </c>
      <c r="D1304" s="6" t="s">
        <v>97</v>
      </c>
      <c r="E1304" s="6" t="s">
        <v>47</v>
      </c>
      <c r="F1304" s="6" t="s">
        <v>98</v>
      </c>
      <c r="G1304" s="6" t="s">
        <v>3439</v>
      </c>
    </row>
    <row r="1305" spans="1:7" ht="18.95" customHeight="1">
      <c r="A1305" s="6" t="s">
        <v>3440</v>
      </c>
      <c r="B1305" s="6" t="s">
        <v>3441</v>
      </c>
      <c r="C1305" s="6" t="s">
        <v>212</v>
      </c>
      <c r="D1305" s="6" t="s">
        <v>103</v>
      </c>
      <c r="E1305" s="6" t="s">
        <v>48</v>
      </c>
      <c r="F1305" s="6" t="s">
        <v>98</v>
      </c>
      <c r="G1305" s="6" t="s">
        <v>3442</v>
      </c>
    </row>
    <row r="1306" spans="1:7" ht="18.95" customHeight="1">
      <c r="A1306" s="6" t="s">
        <v>3443</v>
      </c>
      <c r="B1306" s="6" t="s">
        <v>3441</v>
      </c>
      <c r="C1306" s="6" t="s">
        <v>212</v>
      </c>
      <c r="D1306" s="6" t="s">
        <v>93</v>
      </c>
      <c r="E1306" s="6" t="s">
        <v>46</v>
      </c>
      <c r="F1306" s="6" t="s">
        <v>98</v>
      </c>
      <c r="G1306" s="6" t="s">
        <v>3444</v>
      </c>
    </row>
    <row r="1307" spans="1:7" ht="18.95" customHeight="1">
      <c r="A1307" s="6" t="s">
        <v>3445</v>
      </c>
      <c r="B1307" s="6" t="s">
        <v>3446</v>
      </c>
      <c r="C1307" s="6" t="s">
        <v>218</v>
      </c>
      <c r="D1307" s="6" t="s">
        <v>97</v>
      </c>
      <c r="E1307" s="6" t="s">
        <v>47</v>
      </c>
      <c r="F1307" s="6" t="s">
        <v>98</v>
      </c>
      <c r="G1307" s="6" t="s">
        <v>3447</v>
      </c>
    </row>
    <row r="1308" spans="1:7" ht="18.95" customHeight="1">
      <c r="A1308" s="6" t="s">
        <v>3448</v>
      </c>
      <c r="B1308" s="6" t="s">
        <v>3446</v>
      </c>
      <c r="C1308" s="6" t="s">
        <v>218</v>
      </c>
      <c r="D1308" s="6" t="s">
        <v>103</v>
      </c>
      <c r="E1308" s="6" t="s">
        <v>48</v>
      </c>
      <c r="F1308" s="6" t="s">
        <v>98</v>
      </c>
      <c r="G1308" s="6" t="s">
        <v>3449</v>
      </c>
    </row>
    <row r="1309" spans="1:7" ht="18.95" customHeight="1">
      <c r="A1309" s="6" t="s">
        <v>3450</v>
      </c>
      <c r="B1309" s="6" t="s">
        <v>3451</v>
      </c>
      <c r="C1309" s="6" t="s">
        <v>224</v>
      </c>
      <c r="D1309" s="6" t="s">
        <v>93</v>
      </c>
      <c r="E1309" s="6" t="s">
        <v>46</v>
      </c>
      <c r="F1309" s="6" t="s">
        <v>98</v>
      </c>
      <c r="G1309" s="6" t="s">
        <v>3452</v>
      </c>
    </row>
    <row r="1310" spans="1:7" ht="18.95" customHeight="1">
      <c r="A1310" s="6" t="s">
        <v>3453</v>
      </c>
      <c r="B1310" s="6" t="s">
        <v>3451</v>
      </c>
      <c r="C1310" s="6" t="s">
        <v>224</v>
      </c>
      <c r="D1310" s="6" t="s">
        <v>97</v>
      </c>
      <c r="E1310" s="6" t="s">
        <v>47</v>
      </c>
      <c r="F1310" s="6" t="s">
        <v>98</v>
      </c>
      <c r="G1310" s="6" t="s">
        <v>3454</v>
      </c>
    </row>
    <row r="1311" spans="1:7" ht="18.95" customHeight="1">
      <c r="A1311" s="6" t="s">
        <v>3455</v>
      </c>
      <c r="B1311" s="6" t="s">
        <v>3456</v>
      </c>
      <c r="C1311" s="6" t="s">
        <v>230</v>
      </c>
      <c r="D1311" s="6" t="s">
        <v>103</v>
      </c>
      <c r="E1311" s="6" t="s">
        <v>5191</v>
      </c>
      <c r="F1311" s="6" t="s">
        <v>98</v>
      </c>
      <c r="G1311" s="6" t="s">
        <v>3457</v>
      </c>
    </row>
    <row r="1312" spans="1:7" ht="18.95" customHeight="1">
      <c r="A1312" s="6" t="s">
        <v>3458</v>
      </c>
      <c r="B1312" s="6" t="s">
        <v>3456</v>
      </c>
      <c r="C1312" s="6" t="s">
        <v>230</v>
      </c>
      <c r="D1312" s="6" t="s">
        <v>93</v>
      </c>
      <c r="E1312" s="6" t="s">
        <v>46</v>
      </c>
      <c r="F1312" s="6" t="s">
        <v>98</v>
      </c>
      <c r="G1312" s="6" t="s">
        <v>3459</v>
      </c>
    </row>
    <row r="1313" spans="1:7" ht="18.95" customHeight="1">
      <c r="A1313" s="6" t="s">
        <v>3460</v>
      </c>
      <c r="B1313" s="6" t="s">
        <v>3461</v>
      </c>
      <c r="C1313" s="6" t="s">
        <v>236</v>
      </c>
      <c r="D1313" s="6" t="s">
        <v>97</v>
      </c>
      <c r="E1313" s="6" t="s">
        <v>47</v>
      </c>
      <c r="F1313" s="6" t="s">
        <v>98</v>
      </c>
      <c r="G1313" s="6" t="s">
        <v>3462</v>
      </c>
    </row>
    <row r="1314" spans="1:7" ht="18.95" customHeight="1">
      <c r="A1314" s="6" t="s">
        <v>3463</v>
      </c>
      <c r="B1314" s="6" t="s">
        <v>3461</v>
      </c>
      <c r="C1314" s="6" t="s">
        <v>236</v>
      </c>
      <c r="D1314" s="6" t="s">
        <v>103</v>
      </c>
      <c r="E1314" s="6" t="s">
        <v>48</v>
      </c>
      <c r="F1314" s="6" t="s">
        <v>98</v>
      </c>
      <c r="G1314" s="6" t="s">
        <v>3464</v>
      </c>
    </row>
    <row r="1315" spans="1:7" ht="18.95" customHeight="1">
      <c r="A1315" s="6" t="s">
        <v>3465</v>
      </c>
      <c r="B1315" s="6" t="s">
        <v>3466</v>
      </c>
      <c r="C1315" s="6" t="s">
        <v>242</v>
      </c>
      <c r="D1315" s="6" t="s">
        <v>93</v>
      </c>
      <c r="E1315" s="6" t="s">
        <v>46</v>
      </c>
      <c r="F1315" s="6" t="s">
        <v>98</v>
      </c>
      <c r="G1315" s="6" t="s">
        <v>3467</v>
      </c>
    </row>
    <row r="1316" spans="1:7" ht="18.95" customHeight="1">
      <c r="A1316" s="6" t="s">
        <v>3468</v>
      </c>
      <c r="B1316" s="6" t="s">
        <v>3466</v>
      </c>
      <c r="C1316" s="6" t="s">
        <v>242</v>
      </c>
      <c r="D1316" s="6" t="s">
        <v>97</v>
      </c>
      <c r="E1316" s="6" t="s">
        <v>47</v>
      </c>
      <c r="F1316" s="6" t="s">
        <v>98</v>
      </c>
      <c r="G1316" s="6" t="s">
        <v>3469</v>
      </c>
    </row>
    <row r="1317" spans="1:7" ht="18.95" customHeight="1">
      <c r="A1317" s="6" t="s">
        <v>3470</v>
      </c>
      <c r="B1317" s="6" t="s">
        <v>3471</v>
      </c>
      <c r="C1317" s="6" t="s">
        <v>248</v>
      </c>
      <c r="D1317" s="6" t="s">
        <v>103</v>
      </c>
      <c r="E1317" s="6" t="s">
        <v>48</v>
      </c>
      <c r="F1317" s="6" t="s">
        <v>98</v>
      </c>
      <c r="G1317" s="6" t="s">
        <v>3472</v>
      </c>
    </row>
    <row r="1318" spans="1:7" ht="18.95" customHeight="1">
      <c r="A1318" s="6" t="s">
        <v>3473</v>
      </c>
      <c r="B1318" s="6" t="s">
        <v>3471</v>
      </c>
      <c r="C1318" s="6" t="s">
        <v>248</v>
      </c>
      <c r="D1318" s="6" t="s">
        <v>93</v>
      </c>
      <c r="E1318" s="6" t="s">
        <v>46</v>
      </c>
      <c r="F1318" s="6" t="s">
        <v>94</v>
      </c>
      <c r="G1318" s="6" t="s">
        <v>3474</v>
      </c>
    </row>
    <row r="1319" spans="1:7" ht="18.95" customHeight="1">
      <c r="A1319" s="6" t="s">
        <v>3475</v>
      </c>
      <c r="B1319" s="6" t="s">
        <v>3476</v>
      </c>
      <c r="C1319" s="6" t="s">
        <v>254</v>
      </c>
      <c r="D1319" s="6" t="s">
        <v>97</v>
      </c>
      <c r="E1319" s="6" t="s">
        <v>47</v>
      </c>
      <c r="F1319" s="6" t="s">
        <v>98</v>
      </c>
      <c r="G1319" s="6" t="s">
        <v>3477</v>
      </c>
    </row>
    <row r="1320" spans="1:7" ht="18.95" customHeight="1">
      <c r="A1320" s="6" t="s">
        <v>3478</v>
      </c>
      <c r="B1320" s="6" t="s">
        <v>3476</v>
      </c>
      <c r="C1320" s="6" t="s">
        <v>254</v>
      </c>
      <c r="D1320" s="6" t="s">
        <v>103</v>
      </c>
      <c r="E1320" s="6" t="s">
        <v>48</v>
      </c>
      <c r="F1320" s="6" t="s">
        <v>98</v>
      </c>
      <c r="G1320" s="6" t="s">
        <v>3479</v>
      </c>
    </row>
    <row r="1321" spans="1:7" ht="18.95" customHeight="1">
      <c r="A1321" s="6" t="s">
        <v>3480</v>
      </c>
      <c r="B1321" s="6" t="s">
        <v>3481</v>
      </c>
      <c r="C1321" s="6" t="s">
        <v>260</v>
      </c>
      <c r="D1321" s="6" t="s">
        <v>93</v>
      </c>
      <c r="E1321" s="6" t="s">
        <v>46</v>
      </c>
      <c r="F1321" s="6" t="s">
        <v>98</v>
      </c>
      <c r="G1321" s="6" t="s">
        <v>3482</v>
      </c>
    </row>
    <row r="1322" spans="1:7" ht="18.95" customHeight="1">
      <c r="A1322" s="6" t="s">
        <v>3483</v>
      </c>
      <c r="B1322" s="6" t="s">
        <v>3481</v>
      </c>
      <c r="C1322" s="6" t="s">
        <v>260</v>
      </c>
      <c r="D1322" s="6" t="s">
        <v>97</v>
      </c>
      <c r="E1322" s="6" t="s">
        <v>47</v>
      </c>
      <c r="F1322" s="6" t="s">
        <v>98</v>
      </c>
      <c r="G1322" s="6" t="s">
        <v>3484</v>
      </c>
    </row>
    <row r="1323" spans="1:7" ht="18.95" customHeight="1">
      <c r="A1323" s="6" t="s">
        <v>3485</v>
      </c>
      <c r="B1323" s="6" t="s">
        <v>3486</v>
      </c>
      <c r="C1323" s="6" t="s">
        <v>266</v>
      </c>
      <c r="D1323" s="6" t="s">
        <v>103</v>
      </c>
      <c r="E1323" s="6" t="s">
        <v>48</v>
      </c>
      <c r="F1323" s="6" t="s">
        <v>98</v>
      </c>
      <c r="G1323" s="6" t="s">
        <v>3487</v>
      </c>
    </row>
    <row r="1324" spans="1:7" ht="18.95" customHeight="1">
      <c r="A1324" s="6" t="s">
        <v>3488</v>
      </c>
      <c r="B1324" s="6" t="s">
        <v>3486</v>
      </c>
      <c r="C1324" s="6" t="s">
        <v>266</v>
      </c>
      <c r="D1324" s="6" t="s">
        <v>93</v>
      </c>
      <c r="E1324" s="6" t="s">
        <v>46</v>
      </c>
      <c r="F1324" s="6" t="s">
        <v>98</v>
      </c>
      <c r="G1324" s="6" t="s">
        <v>3489</v>
      </c>
    </row>
    <row r="1325" spans="1:7" ht="18.95" customHeight="1">
      <c r="A1325" s="6" t="s">
        <v>3490</v>
      </c>
      <c r="B1325" s="6" t="s">
        <v>3491</v>
      </c>
      <c r="C1325" s="6" t="s">
        <v>272</v>
      </c>
      <c r="D1325" s="6" t="s">
        <v>97</v>
      </c>
      <c r="E1325" s="6" t="s">
        <v>47</v>
      </c>
      <c r="F1325" s="6" t="s">
        <v>98</v>
      </c>
      <c r="G1325" s="6" t="s">
        <v>3492</v>
      </c>
    </row>
    <row r="1326" spans="1:7" ht="18.95" customHeight="1">
      <c r="A1326" s="6" t="s">
        <v>3493</v>
      </c>
      <c r="B1326" s="6" t="s">
        <v>3491</v>
      </c>
      <c r="C1326" s="6" t="s">
        <v>272</v>
      </c>
      <c r="D1326" s="6" t="s">
        <v>103</v>
      </c>
      <c r="E1326" s="6" t="s">
        <v>48</v>
      </c>
      <c r="F1326" s="6" t="s">
        <v>98</v>
      </c>
      <c r="G1326" s="6" t="s">
        <v>3494</v>
      </c>
    </row>
    <row r="1327" spans="1:7" ht="18.95" customHeight="1">
      <c r="A1327" s="6" t="s">
        <v>3495</v>
      </c>
      <c r="B1327" s="6" t="s">
        <v>3496</v>
      </c>
      <c r="C1327" s="6" t="s">
        <v>278</v>
      </c>
      <c r="D1327" s="6" t="s">
        <v>93</v>
      </c>
      <c r="E1327" s="6" t="s">
        <v>46</v>
      </c>
      <c r="F1327" s="6" t="s">
        <v>98</v>
      </c>
      <c r="G1327" s="6" t="s">
        <v>3497</v>
      </c>
    </row>
    <row r="1328" spans="1:7" ht="18.95" customHeight="1">
      <c r="A1328" s="6" t="s">
        <v>3498</v>
      </c>
      <c r="B1328" s="6" t="s">
        <v>3496</v>
      </c>
      <c r="C1328" s="6" t="s">
        <v>278</v>
      </c>
      <c r="D1328" s="6" t="s">
        <v>97</v>
      </c>
      <c r="E1328" s="6" t="s">
        <v>47</v>
      </c>
      <c r="F1328" s="6" t="s">
        <v>98</v>
      </c>
      <c r="G1328" s="6" t="s">
        <v>3499</v>
      </c>
    </row>
    <row r="1329" spans="1:7" ht="18.95" customHeight="1">
      <c r="A1329" s="6" t="s">
        <v>3500</v>
      </c>
      <c r="B1329" s="6" t="s">
        <v>3501</v>
      </c>
      <c r="C1329" s="6" t="s">
        <v>284</v>
      </c>
      <c r="D1329" s="6" t="s">
        <v>103</v>
      </c>
      <c r="E1329" s="6" t="s">
        <v>48</v>
      </c>
      <c r="F1329" s="6" t="s">
        <v>98</v>
      </c>
      <c r="G1329" s="6" t="s">
        <v>3502</v>
      </c>
    </row>
    <row r="1330" spans="1:7" ht="18.95" customHeight="1">
      <c r="A1330" s="6" t="s">
        <v>3503</v>
      </c>
      <c r="B1330" s="6" t="s">
        <v>3501</v>
      </c>
      <c r="C1330" s="6" t="s">
        <v>284</v>
      </c>
      <c r="D1330" s="6" t="s">
        <v>93</v>
      </c>
      <c r="E1330" s="6" t="s">
        <v>46</v>
      </c>
      <c r="F1330" s="6" t="s">
        <v>98</v>
      </c>
      <c r="G1330" s="6" t="s">
        <v>3504</v>
      </c>
    </row>
    <row r="1331" spans="1:7" ht="18.95" customHeight="1">
      <c r="A1331" s="6" t="s">
        <v>3505</v>
      </c>
      <c r="B1331" s="6" t="s">
        <v>3506</v>
      </c>
      <c r="C1331" s="6" t="s">
        <v>290</v>
      </c>
      <c r="D1331" s="6" t="s">
        <v>97</v>
      </c>
      <c r="E1331" s="6" t="s">
        <v>47</v>
      </c>
      <c r="F1331" s="6" t="s">
        <v>98</v>
      </c>
      <c r="G1331" s="6" t="s">
        <v>3507</v>
      </c>
    </row>
    <row r="1332" spans="1:7" ht="18.95" customHeight="1">
      <c r="A1332" s="6" t="s">
        <v>3508</v>
      </c>
      <c r="B1332" s="6" t="s">
        <v>3506</v>
      </c>
      <c r="C1332" s="6" t="s">
        <v>290</v>
      </c>
      <c r="D1332" s="6" t="s">
        <v>103</v>
      </c>
      <c r="E1332" s="6" t="s">
        <v>48</v>
      </c>
      <c r="F1332" s="6" t="s">
        <v>98</v>
      </c>
      <c r="G1332" s="6" t="s">
        <v>3509</v>
      </c>
    </row>
    <row r="1333" spans="1:7" ht="18.95" customHeight="1">
      <c r="A1333" s="6" t="s">
        <v>3510</v>
      </c>
      <c r="B1333" s="6" t="s">
        <v>3511</v>
      </c>
      <c r="C1333" s="6" t="s">
        <v>296</v>
      </c>
      <c r="D1333" s="6" t="s">
        <v>93</v>
      </c>
      <c r="E1333" s="6" t="s">
        <v>46</v>
      </c>
      <c r="F1333" s="6" t="s">
        <v>98</v>
      </c>
      <c r="G1333" s="6" t="s">
        <v>3512</v>
      </c>
    </row>
    <row r="1334" spans="1:7" ht="18.95" customHeight="1">
      <c r="A1334" s="6" t="s">
        <v>3513</v>
      </c>
      <c r="B1334" s="6" t="s">
        <v>3511</v>
      </c>
      <c r="C1334" s="6" t="s">
        <v>296</v>
      </c>
      <c r="D1334" s="6" t="s">
        <v>97</v>
      </c>
      <c r="E1334" s="6" t="s">
        <v>47</v>
      </c>
      <c r="F1334" s="6" t="s">
        <v>98</v>
      </c>
      <c r="G1334" s="6" t="s">
        <v>3514</v>
      </c>
    </row>
    <row r="1335" spans="1:7" ht="18.95" customHeight="1">
      <c r="A1335" s="6" t="s">
        <v>3515</v>
      </c>
      <c r="B1335" s="6" t="s">
        <v>3516</v>
      </c>
      <c r="C1335" s="6" t="s">
        <v>302</v>
      </c>
      <c r="D1335" s="6" t="s">
        <v>103</v>
      </c>
      <c r="E1335" s="6" t="s">
        <v>48</v>
      </c>
      <c r="F1335" s="6" t="s">
        <v>98</v>
      </c>
      <c r="G1335" s="6" t="s">
        <v>3517</v>
      </c>
    </row>
    <row r="1336" spans="1:7" ht="18.95" customHeight="1">
      <c r="A1336" s="6" t="s">
        <v>3518</v>
      </c>
      <c r="B1336" s="6" t="s">
        <v>3516</v>
      </c>
      <c r="C1336" s="6" t="s">
        <v>302</v>
      </c>
      <c r="D1336" s="6" t="s">
        <v>93</v>
      </c>
      <c r="E1336" s="6" t="s">
        <v>46</v>
      </c>
      <c r="F1336" s="6" t="s">
        <v>98</v>
      </c>
      <c r="G1336" s="6" t="s">
        <v>3519</v>
      </c>
    </row>
    <row r="1337" spans="1:7" ht="18.95" customHeight="1">
      <c r="A1337" s="6" t="s">
        <v>3520</v>
      </c>
      <c r="B1337" s="6" t="s">
        <v>3521</v>
      </c>
      <c r="C1337" s="6" t="s">
        <v>308</v>
      </c>
      <c r="D1337" s="6" t="s">
        <v>97</v>
      </c>
      <c r="E1337" s="6" t="s">
        <v>47</v>
      </c>
      <c r="F1337" s="6" t="s">
        <v>98</v>
      </c>
      <c r="G1337" s="6" t="s">
        <v>3522</v>
      </c>
    </row>
    <row r="1338" spans="1:7" ht="18.95" customHeight="1">
      <c r="A1338" s="6" t="s">
        <v>3523</v>
      </c>
      <c r="B1338" s="6" t="s">
        <v>3521</v>
      </c>
      <c r="C1338" s="6" t="s">
        <v>308</v>
      </c>
      <c r="D1338" s="6" t="s">
        <v>103</v>
      </c>
      <c r="E1338" s="6" t="s">
        <v>48</v>
      </c>
      <c r="F1338" s="6" t="s">
        <v>98</v>
      </c>
      <c r="G1338" s="6" t="s">
        <v>3524</v>
      </c>
    </row>
    <row r="1339" spans="1:7" ht="18.95" customHeight="1">
      <c r="A1339" s="6" t="s">
        <v>3525</v>
      </c>
      <c r="B1339" s="6" t="s">
        <v>3526</v>
      </c>
      <c r="C1339" s="6" t="s">
        <v>314</v>
      </c>
      <c r="D1339" s="6" t="s">
        <v>93</v>
      </c>
      <c r="E1339" s="6" t="s">
        <v>46</v>
      </c>
      <c r="F1339" s="6" t="s">
        <v>98</v>
      </c>
      <c r="G1339" s="6" t="s">
        <v>3527</v>
      </c>
    </row>
    <row r="1340" spans="1:7" ht="18.95" customHeight="1">
      <c r="A1340" s="6" t="s">
        <v>3528</v>
      </c>
      <c r="B1340" s="6" t="s">
        <v>3526</v>
      </c>
      <c r="C1340" s="6" t="s">
        <v>314</v>
      </c>
      <c r="D1340" s="6" t="s">
        <v>97</v>
      </c>
      <c r="E1340" s="6" t="s">
        <v>47</v>
      </c>
      <c r="F1340" s="6" t="s">
        <v>98</v>
      </c>
      <c r="G1340" s="6" t="s">
        <v>3529</v>
      </c>
    </row>
    <row r="1341" spans="1:7" ht="18.95" customHeight="1">
      <c r="A1341" s="6" t="s">
        <v>3530</v>
      </c>
      <c r="B1341" s="6" t="s">
        <v>3531</v>
      </c>
      <c r="C1341" s="6" t="s">
        <v>320</v>
      </c>
      <c r="D1341" s="6" t="s">
        <v>103</v>
      </c>
      <c r="E1341" s="6" t="s">
        <v>48</v>
      </c>
      <c r="F1341" s="6" t="s">
        <v>94</v>
      </c>
      <c r="G1341" s="6" t="s">
        <v>3532</v>
      </c>
    </row>
    <row r="1342" spans="1:7" ht="18.95" customHeight="1">
      <c r="A1342" s="6" t="s">
        <v>3533</v>
      </c>
      <c r="B1342" s="6" t="s">
        <v>3531</v>
      </c>
      <c r="C1342" s="6" t="s">
        <v>320</v>
      </c>
      <c r="D1342" s="6" t="s">
        <v>93</v>
      </c>
      <c r="E1342" s="6" t="s">
        <v>46</v>
      </c>
      <c r="F1342" s="6" t="s">
        <v>98</v>
      </c>
      <c r="G1342" s="6" t="s">
        <v>3534</v>
      </c>
    </row>
    <row r="1343" spans="1:7" ht="18.95" customHeight="1">
      <c r="A1343" s="6" t="s">
        <v>3535</v>
      </c>
      <c r="B1343" s="6" t="s">
        <v>3536</v>
      </c>
      <c r="C1343" s="6" t="s">
        <v>326</v>
      </c>
      <c r="D1343" s="6" t="s">
        <v>97</v>
      </c>
      <c r="E1343" s="6" t="s">
        <v>47</v>
      </c>
      <c r="F1343" s="6" t="s">
        <v>98</v>
      </c>
      <c r="G1343" s="6" t="s">
        <v>3537</v>
      </c>
    </row>
    <row r="1344" spans="1:7" ht="18.95" customHeight="1">
      <c r="A1344" s="6" t="s">
        <v>3538</v>
      </c>
      <c r="B1344" s="6" t="s">
        <v>3536</v>
      </c>
      <c r="C1344" s="6" t="s">
        <v>326</v>
      </c>
      <c r="D1344" s="6" t="s">
        <v>103</v>
      </c>
      <c r="E1344" s="6" t="s">
        <v>48</v>
      </c>
      <c r="F1344" s="6" t="s">
        <v>98</v>
      </c>
      <c r="G1344" s="6" t="s">
        <v>3539</v>
      </c>
    </row>
    <row r="1345" spans="1:7" ht="18.95" customHeight="1">
      <c r="A1345" s="6" t="s">
        <v>3540</v>
      </c>
      <c r="B1345" s="6" t="s">
        <v>3541</v>
      </c>
      <c r="C1345" s="6" t="s">
        <v>332</v>
      </c>
      <c r="D1345" s="6" t="s">
        <v>93</v>
      </c>
      <c r="E1345" s="6" t="s">
        <v>46</v>
      </c>
      <c r="F1345" s="6" t="s">
        <v>98</v>
      </c>
      <c r="G1345" s="6" t="s">
        <v>3542</v>
      </c>
    </row>
    <row r="1346" spans="1:7" ht="18.95" customHeight="1">
      <c r="A1346" s="6" t="s">
        <v>3543</v>
      </c>
      <c r="B1346" s="6" t="s">
        <v>3541</v>
      </c>
      <c r="C1346" s="6" t="s">
        <v>332</v>
      </c>
      <c r="D1346" s="6" t="s">
        <v>97</v>
      </c>
      <c r="E1346" s="6" t="s">
        <v>47</v>
      </c>
      <c r="F1346" s="6" t="s">
        <v>98</v>
      </c>
      <c r="G1346" s="6" t="s">
        <v>3544</v>
      </c>
    </row>
    <row r="1347" spans="1:7" ht="18.95" customHeight="1">
      <c r="A1347" s="6" t="s">
        <v>3545</v>
      </c>
      <c r="B1347" s="6" t="s">
        <v>3546</v>
      </c>
      <c r="C1347" s="6" t="s">
        <v>338</v>
      </c>
      <c r="D1347" s="6" t="s">
        <v>103</v>
      </c>
      <c r="E1347" s="6" t="s">
        <v>48</v>
      </c>
      <c r="F1347" s="6" t="s">
        <v>98</v>
      </c>
      <c r="G1347" s="6" t="s">
        <v>3547</v>
      </c>
    </row>
    <row r="1348" spans="1:7" ht="18.95" customHeight="1">
      <c r="A1348" s="6" t="s">
        <v>3548</v>
      </c>
      <c r="B1348" s="6" t="s">
        <v>3546</v>
      </c>
      <c r="C1348" s="6" t="s">
        <v>338</v>
      </c>
      <c r="D1348" s="6" t="s">
        <v>93</v>
      </c>
      <c r="E1348" s="6" t="s">
        <v>46</v>
      </c>
      <c r="F1348" s="6" t="s">
        <v>98</v>
      </c>
      <c r="G1348" s="6" t="s">
        <v>3549</v>
      </c>
    </row>
    <row r="1349" spans="1:7" ht="18.95" customHeight="1">
      <c r="A1349" s="6" t="s">
        <v>3550</v>
      </c>
      <c r="B1349" s="6" t="s">
        <v>3551</v>
      </c>
      <c r="C1349" s="6" t="s">
        <v>344</v>
      </c>
      <c r="D1349" s="6" t="s">
        <v>97</v>
      </c>
      <c r="E1349" s="6" t="s">
        <v>47</v>
      </c>
      <c r="F1349" s="6" t="s">
        <v>98</v>
      </c>
      <c r="G1349" s="6" t="s">
        <v>3552</v>
      </c>
    </row>
    <row r="1350" spans="1:7" ht="18.95" customHeight="1">
      <c r="A1350" s="6" t="s">
        <v>3553</v>
      </c>
      <c r="B1350" s="6" t="s">
        <v>3551</v>
      </c>
      <c r="C1350" s="6" t="s">
        <v>344</v>
      </c>
      <c r="D1350" s="6" t="s">
        <v>103</v>
      </c>
      <c r="E1350" s="6" t="s">
        <v>48</v>
      </c>
      <c r="F1350" s="6" t="s">
        <v>98</v>
      </c>
      <c r="G1350" s="6" t="s">
        <v>3554</v>
      </c>
    </row>
    <row r="1351" spans="1:7" ht="18.95" customHeight="1">
      <c r="A1351" s="6" t="s">
        <v>3555</v>
      </c>
      <c r="B1351" s="6" t="s">
        <v>3556</v>
      </c>
      <c r="C1351" s="6" t="s">
        <v>350</v>
      </c>
      <c r="D1351" s="6" t="s">
        <v>93</v>
      </c>
      <c r="E1351" s="6" t="s">
        <v>46</v>
      </c>
      <c r="F1351" s="6" t="s">
        <v>98</v>
      </c>
      <c r="G1351" s="6" t="s">
        <v>3557</v>
      </c>
    </row>
    <row r="1352" spans="1:7" ht="18.95" customHeight="1">
      <c r="A1352" s="6" t="s">
        <v>3558</v>
      </c>
      <c r="B1352" s="6" t="s">
        <v>3556</v>
      </c>
      <c r="C1352" s="6" t="s">
        <v>350</v>
      </c>
      <c r="D1352" s="6" t="s">
        <v>97</v>
      </c>
      <c r="E1352" s="6" t="s">
        <v>47</v>
      </c>
      <c r="F1352" s="6" t="s">
        <v>98</v>
      </c>
      <c r="G1352" s="6" t="s">
        <v>3559</v>
      </c>
    </row>
    <row r="1353" spans="1:7" ht="18.95" customHeight="1">
      <c r="A1353" s="6" t="s">
        <v>3560</v>
      </c>
      <c r="B1353" s="6" t="s">
        <v>3561</v>
      </c>
      <c r="C1353" s="6" t="s">
        <v>356</v>
      </c>
      <c r="D1353" s="6" t="s">
        <v>103</v>
      </c>
      <c r="E1353" s="6" t="s">
        <v>48</v>
      </c>
      <c r="F1353" s="6" t="s">
        <v>98</v>
      </c>
      <c r="G1353" s="6" t="s">
        <v>3562</v>
      </c>
    </row>
    <row r="1354" spans="1:7" ht="18.95" customHeight="1">
      <c r="A1354" s="6" t="s">
        <v>3563</v>
      </c>
      <c r="B1354" s="6" t="s">
        <v>3561</v>
      </c>
      <c r="C1354" s="6" t="s">
        <v>356</v>
      </c>
      <c r="D1354" s="6" t="s">
        <v>93</v>
      </c>
      <c r="E1354" s="6" t="s">
        <v>46</v>
      </c>
      <c r="F1354" s="6" t="s">
        <v>98</v>
      </c>
      <c r="G1354" s="6" t="s">
        <v>3564</v>
      </c>
    </row>
    <row r="1355" spans="1:7" ht="18.95" customHeight="1">
      <c r="A1355" s="6" t="s">
        <v>3565</v>
      </c>
      <c r="B1355" s="6" t="s">
        <v>3566</v>
      </c>
      <c r="C1355" s="6" t="s">
        <v>362</v>
      </c>
      <c r="D1355" s="6" t="s">
        <v>97</v>
      </c>
      <c r="E1355" s="6" t="s">
        <v>47</v>
      </c>
      <c r="F1355" s="6" t="s">
        <v>98</v>
      </c>
      <c r="G1355" s="6" t="s">
        <v>3567</v>
      </c>
    </row>
    <row r="1356" spans="1:7" ht="18.95" customHeight="1">
      <c r="A1356" s="6" t="s">
        <v>3568</v>
      </c>
      <c r="B1356" s="6" t="s">
        <v>3566</v>
      </c>
      <c r="C1356" s="6" t="s">
        <v>362</v>
      </c>
      <c r="D1356" s="6" t="s">
        <v>103</v>
      </c>
      <c r="E1356" s="6" t="s">
        <v>48</v>
      </c>
      <c r="F1356" s="6" t="s">
        <v>98</v>
      </c>
      <c r="G1356" s="6" t="s">
        <v>3569</v>
      </c>
    </row>
    <row r="1357" spans="1:7" ht="18.95" customHeight="1">
      <c r="A1357" s="6" t="s">
        <v>3570</v>
      </c>
      <c r="B1357" s="6" t="s">
        <v>3571</v>
      </c>
      <c r="C1357" s="6" t="s">
        <v>368</v>
      </c>
      <c r="D1357" s="6" t="s">
        <v>93</v>
      </c>
      <c r="E1357" s="6" t="s">
        <v>46</v>
      </c>
      <c r="F1357" s="6" t="s">
        <v>98</v>
      </c>
      <c r="G1357" s="6" t="s">
        <v>3572</v>
      </c>
    </row>
    <row r="1358" spans="1:7" ht="18.95" customHeight="1">
      <c r="A1358" s="6" t="s">
        <v>3573</v>
      </c>
      <c r="B1358" s="6" t="s">
        <v>3571</v>
      </c>
      <c r="C1358" s="6" t="s">
        <v>368</v>
      </c>
      <c r="D1358" s="6" t="s">
        <v>97</v>
      </c>
      <c r="E1358" s="6" t="s">
        <v>47</v>
      </c>
      <c r="F1358" s="6" t="s">
        <v>98</v>
      </c>
      <c r="G1358" s="6" t="s">
        <v>3574</v>
      </c>
    </row>
    <row r="1359" spans="1:7" ht="18.95" customHeight="1">
      <c r="A1359" s="6" t="s">
        <v>3575</v>
      </c>
      <c r="B1359" s="6" t="s">
        <v>3576</v>
      </c>
      <c r="C1359" s="6" t="s">
        <v>374</v>
      </c>
      <c r="D1359" s="6" t="s">
        <v>103</v>
      </c>
      <c r="E1359" s="6" t="s">
        <v>48</v>
      </c>
      <c r="F1359" s="6" t="s">
        <v>98</v>
      </c>
      <c r="G1359" s="6" t="s">
        <v>3577</v>
      </c>
    </row>
    <row r="1360" spans="1:7" ht="18.95" customHeight="1">
      <c r="A1360" s="6" t="s">
        <v>3578</v>
      </c>
      <c r="B1360" s="6" t="s">
        <v>3576</v>
      </c>
      <c r="C1360" s="6" t="s">
        <v>374</v>
      </c>
      <c r="D1360" s="6" t="s">
        <v>93</v>
      </c>
      <c r="E1360" s="6" t="s">
        <v>46</v>
      </c>
      <c r="F1360" s="6" t="s">
        <v>98</v>
      </c>
      <c r="G1360" s="6" t="s">
        <v>3579</v>
      </c>
    </row>
    <row r="1361" spans="1:7" ht="18.95" customHeight="1">
      <c r="A1361" s="6" t="s">
        <v>3580</v>
      </c>
      <c r="B1361" s="6" t="s">
        <v>3581</v>
      </c>
      <c r="C1361" s="6" t="s">
        <v>380</v>
      </c>
      <c r="D1361" s="6" t="s">
        <v>97</v>
      </c>
      <c r="E1361" s="6" t="s">
        <v>47</v>
      </c>
      <c r="F1361" s="6" t="s">
        <v>98</v>
      </c>
      <c r="G1361" s="6" t="s">
        <v>3582</v>
      </c>
    </row>
    <row r="1362" spans="1:7" ht="18.95" customHeight="1">
      <c r="A1362" s="6" t="s">
        <v>3583</v>
      </c>
      <c r="B1362" s="6" t="s">
        <v>3581</v>
      </c>
      <c r="C1362" s="6" t="s">
        <v>380</v>
      </c>
      <c r="D1362" s="6" t="s">
        <v>103</v>
      </c>
      <c r="E1362" s="6" t="s">
        <v>48</v>
      </c>
      <c r="F1362" s="6" t="s">
        <v>98</v>
      </c>
      <c r="G1362" s="6" t="s">
        <v>3584</v>
      </c>
    </row>
    <row r="1363" spans="1:7" ht="18.95" customHeight="1">
      <c r="A1363" s="6" t="s">
        <v>3585</v>
      </c>
      <c r="B1363" s="6" t="s">
        <v>3586</v>
      </c>
      <c r="C1363" s="6" t="s">
        <v>386</v>
      </c>
      <c r="D1363" s="6" t="s">
        <v>93</v>
      </c>
      <c r="E1363" s="6" t="s">
        <v>46</v>
      </c>
      <c r="F1363" s="6" t="s">
        <v>98</v>
      </c>
      <c r="G1363" s="6" t="s">
        <v>3587</v>
      </c>
    </row>
    <row r="1364" spans="1:7" ht="18.95" customHeight="1">
      <c r="A1364" s="6" t="s">
        <v>3588</v>
      </c>
      <c r="B1364" s="6" t="s">
        <v>3586</v>
      </c>
      <c r="C1364" s="6" t="s">
        <v>386</v>
      </c>
      <c r="D1364" s="6" t="s">
        <v>97</v>
      </c>
      <c r="E1364" s="6" t="s">
        <v>47</v>
      </c>
      <c r="F1364" s="6" t="s">
        <v>94</v>
      </c>
      <c r="G1364" s="6" t="s">
        <v>3589</v>
      </c>
    </row>
    <row r="1365" spans="1:7" ht="18.95" customHeight="1">
      <c r="A1365" s="6" t="s">
        <v>3590</v>
      </c>
      <c r="B1365" s="6" t="s">
        <v>3591</v>
      </c>
      <c r="C1365" s="6" t="s">
        <v>392</v>
      </c>
      <c r="D1365" s="6" t="s">
        <v>103</v>
      </c>
      <c r="E1365" s="6" t="s">
        <v>48</v>
      </c>
      <c r="F1365" s="6" t="s">
        <v>98</v>
      </c>
      <c r="G1365" s="6" t="s">
        <v>3592</v>
      </c>
    </row>
    <row r="1366" spans="1:7" ht="18.95" customHeight="1">
      <c r="A1366" s="6" t="s">
        <v>3593</v>
      </c>
      <c r="B1366" s="6" t="s">
        <v>3591</v>
      </c>
      <c r="C1366" s="6" t="s">
        <v>392</v>
      </c>
      <c r="D1366" s="6" t="s">
        <v>93</v>
      </c>
      <c r="E1366" s="6" t="s">
        <v>46</v>
      </c>
      <c r="F1366" s="6" t="s">
        <v>98</v>
      </c>
      <c r="G1366" s="6" t="s">
        <v>3594</v>
      </c>
    </row>
    <row r="1367" spans="1:7" ht="18.95" customHeight="1">
      <c r="A1367" s="6" t="s">
        <v>3595</v>
      </c>
      <c r="B1367" s="6" t="s">
        <v>3596</v>
      </c>
      <c r="C1367" s="6" t="s">
        <v>398</v>
      </c>
      <c r="D1367" s="6" t="s">
        <v>97</v>
      </c>
      <c r="E1367" s="6" t="s">
        <v>47</v>
      </c>
      <c r="F1367" s="6" t="s">
        <v>98</v>
      </c>
      <c r="G1367" s="6" t="s">
        <v>3597</v>
      </c>
    </row>
    <row r="1368" spans="1:7" ht="18.95" customHeight="1">
      <c r="A1368" s="6" t="s">
        <v>3598</v>
      </c>
      <c r="B1368" s="6" t="s">
        <v>3596</v>
      </c>
      <c r="C1368" s="6" t="s">
        <v>398</v>
      </c>
      <c r="D1368" s="6" t="s">
        <v>103</v>
      </c>
      <c r="E1368" s="6" t="s">
        <v>48</v>
      </c>
      <c r="F1368" s="6" t="s">
        <v>98</v>
      </c>
      <c r="G1368" s="6" t="s">
        <v>3599</v>
      </c>
    </row>
    <row r="1369" spans="1:7" ht="18.95" customHeight="1">
      <c r="A1369" s="6" t="s">
        <v>3600</v>
      </c>
      <c r="B1369" s="6" t="s">
        <v>3601</v>
      </c>
      <c r="C1369" s="6" t="s">
        <v>404</v>
      </c>
      <c r="D1369" s="6" t="s">
        <v>93</v>
      </c>
      <c r="E1369" s="6" t="s">
        <v>46</v>
      </c>
      <c r="F1369" s="6" t="s">
        <v>98</v>
      </c>
      <c r="G1369" s="6" t="s">
        <v>3602</v>
      </c>
    </row>
    <row r="1370" spans="1:7" ht="18.95" customHeight="1">
      <c r="A1370" s="6" t="s">
        <v>3603</v>
      </c>
      <c r="B1370" s="6" t="s">
        <v>3601</v>
      </c>
      <c r="C1370" s="6" t="s">
        <v>404</v>
      </c>
      <c r="D1370" s="6" t="s">
        <v>97</v>
      </c>
      <c r="E1370" s="6" t="s">
        <v>47</v>
      </c>
      <c r="F1370" s="6" t="s">
        <v>98</v>
      </c>
      <c r="G1370" s="6" t="s">
        <v>3604</v>
      </c>
    </row>
    <row r="1371" spans="1:7" ht="18.95" customHeight="1">
      <c r="A1371" s="6" t="s">
        <v>3605</v>
      </c>
      <c r="B1371" s="6" t="s">
        <v>3606</v>
      </c>
      <c r="C1371" s="6" t="s">
        <v>410</v>
      </c>
      <c r="D1371" s="6" t="s">
        <v>103</v>
      </c>
      <c r="E1371" s="6" t="s">
        <v>48</v>
      </c>
      <c r="F1371" s="6" t="s">
        <v>98</v>
      </c>
      <c r="G1371" s="6" t="s">
        <v>3607</v>
      </c>
    </row>
    <row r="1372" spans="1:7" ht="18.95" customHeight="1">
      <c r="A1372" s="6" t="s">
        <v>3608</v>
      </c>
      <c r="B1372" s="6" t="s">
        <v>3606</v>
      </c>
      <c r="C1372" s="6" t="s">
        <v>410</v>
      </c>
      <c r="D1372" s="6" t="s">
        <v>93</v>
      </c>
      <c r="E1372" s="6" t="s">
        <v>46</v>
      </c>
      <c r="F1372" s="6" t="s">
        <v>98</v>
      </c>
      <c r="G1372" s="6" t="s">
        <v>3609</v>
      </c>
    </row>
    <row r="1373" spans="1:7" ht="18.95" customHeight="1">
      <c r="A1373" s="6" t="s">
        <v>3610</v>
      </c>
      <c r="B1373" s="6" t="s">
        <v>3611</v>
      </c>
      <c r="C1373" s="6" t="s">
        <v>416</v>
      </c>
      <c r="D1373" s="6" t="s">
        <v>97</v>
      </c>
      <c r="E1373" s="6" t="s">
        <v>47</v>
      </c>
      <c r="F1373" s="6" t="s">
        <v>98</v>
      </c>
      <c r="G1373" s="6" t="s">
        <v>3612</v>
      </c>
    </row>
    <row r="1374" spans="1:7" ht="18.95" customHeight="1">
      <c r="A1374" s="6" t="s">
        <v>3613</v>
      </c>
      <c r="B1374" s="6" t="s">
        <v>3611</v>
      </c>
      <c r="C1374" s="6" t="s">
        <v>416</v>
      </c>
      <c r="D1374" s="6" t="s">
        <v>103</v>
      </c>
      <c r="E1374" s="6" t="s">
        <v>5191</v>
      </c>
      <c r="F1374" s="6" t="s">
        <v>98</v>
      </c>
      <c r="G1374" s="6" t="s">
        <v>3614</v>
      </c>
    </row>
    <row r="1375" spans="1:7" ht="18.95" customHeight="1">
      <c r="A1375" s="6" t="s">
        <v>3615</v>
      </c>
      <c r="B1375" s="6" t="s">
        <v>3616</v>
      </c>
      <c r="C1375" s="6" t="s">
        <v>422</v>
      </c>
      <c r="D1375" s="6" t="s">
        <v>93</v>
      </c>
      <c r="E1375" s="6" t="s">
        <v>46</v>
      </c>
      <c r="F1375" s="6" t="s">
        <v>98</v>
      </c>
      <c r="G1375" s="6" t="s">
        <v>3617</v>
      </c>
    </row>
    <row r="1376" spans="1:7" ht="18.95" customHeight="1">
      <c r="A1376" s="6" t="s">
        <v>3618</v>
      </c>
      <c r="B1376" s="6" t="s">
        <v>3616</v>
      </c>
      <c r="C1376" s="6" t="s">
        <v>422</v>
      </c>
      <c r="D1376" s="6" t="s">
        <v>97</v>
      </c>
      <c r="E1376" s="6" t="s">
        <v>47</v>
      </c>
      <c r="F1376" s="6" t="s">
        <v>98</v>
      </c>
      <c r="G1376" s="6" t="s">
        <v>3619</v>
      </c>
    </row>
    <row r="1377" spans="1:7" ht="18.95" customHeight="1">
      <c r="A1377" s="6" t="s">
        <v>3620</v>
      </c>
      <c r="B1377" s="6" t="s">
        <v>3621</v>
      </c>
      <c r="C1377" s="6" t="s">
        <v>428</v>
      </c>
      <c r="D1377" s="6" t="s">
        <v>103</v>
      </c>
      <c r="E1377" s="6" t="s">
        <v>48</v>
      </c>
      <c r="F1377" s="6" t="s">
        <v>98</v>
      </c>
      <c r="G1377" s="6" t="s">
        <v>3622</v>
      </c>
    </row>
    <row r="1378" spans="1:7" ht="18.95" customHeight="1">
      <c r="A1378" s="6" t="s">
        <v>3623</v>
      </c>
      <c r="B1378" s="6" t="s">
        <v>3621</v>
      </c>
      <c r="C1378" s="6" t="s">
        <v>428</v>
      </c>
      <c r="D1378" s="6" t="s">
        <v>93</v>
      </c>
      <c r="E1378" s="6" t="s">
        <v>46</v>
      </c>
      <c r="F1378" s="6" t="s">
        <v>98</v>
      </c>
      <c r="G1378" s="6" t="s">
        <v>3624</v>
      </c>
    </row>
    <row r="1379" spans="1:7" ht="18.95" customHeight="1">
      <c r="A1379" s="6" t="s">
        <v>3625</v>
      </c>
      <c r="B1379" s="6" t="s">
        <v>3626</v>
      </c>
      <c r="C1379" s="6" t="s">
        <v>434</v>
      </c>
      <c r="D1379" s="6" t="s">
        <v>97</v>
      </c>
      <c r="E1379" s="6" t="s">
        <v>47</v>
      </c>
      <c r="F1379" s="6" t="s">
        <v>98</v>
      </c>
      <c r="G1379" s="6" t="s">
        <v>3627</v>
      </c>
    </row>
    <row r="1380" spans="1:7" ht="18.95" customHeight="1">
      <c r="A1380" s="6" t="s">
        <v>3628</v>
      </c>
      <c r="B1380" s="6" t="s">
        <v>3626</v>
      </c>
      <c r="C1380" s="6" t="s">
        <v>434</v>
      </c>
      <c r="D1380" s="6" t="s">
        <v>103</v>
      </c>
      <c r="E1380" s="6" t="s">
        <v>48</v>
      </c>
      <c r="F1380" s="6" t="s">
        <v>98</v>
      </c>
      <c r="G1380" s="6" t="s">
        <v>3629</v>
      </c>
    </row>
    <row r="1381" spans="1:7" ht="18.95" customHeight="1">
      <c r="A1381" s="6" t="s">
        <v>3630</v>
      </c>
      <c r="B1381" s="6" t="s">
        <v>3631</v>
      </c>
      <c r="C1381" s="6" t="s">
        <v>440</v>
      </c>
      <c r="D1381" s="6" t="s">
        <v>93</v>
      </c>
      <c r="E1381" s="6" t="s">
        <v>46</v>
      </c>
      <c r="F1381" s="6" t="s">
        <v>98</v>
      </c>
      <c r="G1381" s="6" t="s">
        <v>3632</v>
      </c>
    </row>
    <row r="1382" spans="1:7" ht="18.95" customHeight="1">
      <c r="A1382" s="6" t="s">
        <v>3633</v>
      </c>
      <c r="B1382" s="6" t="s">
        <v>3631</v>
      </c>
      <c r="C1382" s="6" t="s">
        <v>440</v>
      </c>
      <c r="D1382" s="6" t="s">
        <v>97</v>
      </c>
      <c r="E1382" s="6" t="s">
        <v>47</v>
      </c>
      <c r="F1382" s="6" t="s">
        <v>98</v>
      </c>
      <c r="G1382" s="6" t="s">
        <v>3634</v>
      </c>
    </row>
    <row r="1383" spans="1:7" ht="18.95" customHeight="1">
      <c r="A1383" s="6" t="s">
        <v>3635</v>
      </c>
      <c r="B1383" s="6" t="s">
        <v>3636</v>
      </c>
      <c r="C1383" s="6" t="s">
        <v>446</v>
      </c>
      <c r="D1383" s="6" t="s">
        <v>103</v>
      </c>
      <c r="E1383" s="6" t="s">
        <v>48</v>
      </c>
      <c r="F1383" s="6" t="s">
        <v>98</v>
      </c>
      <c r="G1383" s="6" t="s">
        <v>3637</v>
      </c>
    </row>
    <row r="1384" spans="1:7" ht="18.95" customHeight="1">
      <c r="A1384" s="6" t="s">
        <v>3638</v>
      </c>
      <c r="B1384" s="6" t="s">
        <v>3636</v>
      </c>
      <c r="C1384" s="6" t="s">
        <v>446</v>
      </c>
      <c r="D1384" s="6" t="s">
        <v>93</v>
      </c>
      <c r="E1384" s="6" t="s">
        <v>46</v>
      </c>
      <c r="F1384" s="6" t="s">
        <v>98</v>
      </c>
      <c r="G1384" s="6" t="s">
        <v>3639</v>
      </c>
    </row>
    <row r="1385" spans="1:7" ht="18.95" customHeight="1">
      <c r="A1385" s="6" t="s">
        <v>3640</v>
      </c>
      <c r="B1385" s="6" t="s">
        <v>3641</v>
      </c>
      <c r="C1385" s="6" t="s">
        <v>452</v>
      </c>
      <c r="D1385" s="6" t="s">
        <v>97</v>
      </c>
      <c r="E1385" s="6" t="s">
        <v>47</v>
      </c>
      <c r="F1385" s="6" t="s">
        <v>98</v>
      </c>
      <c r="G1385" s="6" t="s">
        <v>3642</v>
      </c>
    </row>
    <row r="1386" spans="1:7" ht="18.95" customHeight="1">
      <c r="A1386" s="6" t="s">
        <v>3643</v>
      </c>
      <c r="B1386" s="6" t="s">
        <v>3641</v>
      </c>
      <c r="C1386" s="6" t="s">
        <v>452</v>
      </c>
      <c r="D1386" s="6" t="s">
        <v>103</v>
      </c>
      <c r="E1386" s="6" t="s">
        <v>48</v>
      </c>
      <c r="F1386" s="6" t="s">
        <v>98</v>
      </c>
      <c r="G1386" s="6" t="s">
        <v>3644</v>
      </c>
    </row>
    <row r="1387" spans="1:7" ht="18.95" customHeight="1">
      <c r="A1387" s="6" t="s">
        <v>3645</v>
      </c>
      <c r="B1387" s="6" t="s">
        <v>3646</v>
      </c>
      <c r="C1387" s="6" t="s">
        <v>458</v>
      </c>
      <c r="D1387" s="6" t="s">
        <v>93</v>
      </c>
      <c r="E1387" s="6" t="s">
        <v>46</v>
      </c>
      <c r="F1387" s="6" t="s">
        <v>94</v>
      </c>
      <c r="G1387" s="6" t="s">
        <v>3647</v>
      </c>
    </row>
    <row r="1388" spans="1:7" ht="18.95" customHeight="1">
      <c r="A1388" s="6" t="s">
        <v>3648</v>
      </c>
      <c r="B1388" s="6" t="s">
        <v>3646</v>
      </c>
      <c r="C1388" s="6" t="s">
        <v>458</v>
      </c>
      <c r="D1388" s="6" t="s">
        <v>97</v>
      </c>
      <c r="E1388" s="6" t="s">
        <v>47</v>
      </c>
      <c r="F1388" s="6" t="s">
        <v>98</v>
      </c>
      <c r="G1388" s="6" t="s">
        <v>3649</v>
      </c>
    </row>
    <row r="1389" spans="1:7" ht="18.95" customHeight="1">
      <c r="A1389" s="6" t="s">
        <v>3650</v>
      </c>
      <c r="B1389" s="6" t="s">
        <v>3651</v>
      </c>
      <c r="C1389" s="6" t="s">
        <v>464</v>
      </c>
      <c r="D1389" s="6" t="s">
        <v>103</v>
      </c>
      <c r="E1389" s="6" t="s">
        <v>48</v>
      </c>
      <c r="F1389" s="6" t="s">
        <v>98</v>
      </c>
      <c r="G1389" s="6" t="s">
        <v>3652</v>
      </c>
    </row>
    <row r="1390" spans="1:7" ht="18.95" customHeight="1">
      <c r="A1390" s="6" t="s">
        <v>3653</v>
      </c>
      <c r="B1390" s="6" t="s">
        <v>3651</v>
      </c>
      <c r="C1390" s="6" t="s">
        <v>464</v>
      </c>
      <c r="D1390" s="6" t="s">
        <v>93</v>
      </c>
      <c r="E1390" s="6" t="s">
        <v>46</v>
      </c>
      <c r="F1390" s="6" t="s">
        <v>98</v>
      </c>
      <c r="G1390" s="6" t="s">
        <v>3654</v>
      </c>
    </row>
    <row r="1391" spans="1:7" ht="18.95" customHeight="1">
      <c r="A1391" s="6" t="s">
        <v>3655</v>
      </c>
      <c r="B1391" s="6" t="s">
        <v>3656</v>
      </c>
      <c r="C1391" s="6" t="s">
        <v>470</v>
      </c>
      <c r="D1391" s="6" t="s">
        <v>97</v>
      </c>
      <c r="E1391" s="6" t="s">
        <v>47</v>
      </c>
      <c r="F1391" s="6" t="s">
        <v>98</v>
      </c>
      <c r="G1391" s="6" t="s">
        <v>3657</v>
      </c>
    </row>
    <row r="1392" spans="1:7" ht="18.95" customHeight="1">
      <c r="A1392" s="6" t="s">
        <v>3658</v>
      </c>
      <c r="B1392" s="6" t="s">
        <v>3656</v>
      </c>
      <c r="C1392" s="6" t="s">
        <v>470</v>
      </c>
      <c r="D1392" s="6" t="s">
        <v>103</v>
      </c>
      <c r="E1392" s="6" t="s">
        <v>48</v>
      </c>
      <c r="F1392" s="6" t="s">
        <v>98</v>
      </c>
      <c r="G1392" s="6" t="s">
        <v>3659</v>
      </c>
    </row>
    <row r="1393" spans="1:7" ht="18.95" customHeight="1">
      <c r="A1393" s="6" t="s">
        <v>3660</v>
      </c>
      <c r="B1393" s="6" t="s">
        <v>3661</v>
      </c>
      <c r="C1393" s="6" t="s">
        <v>476</v>
      </c>
      <c r="D1393" s="6" t="s">
        <v>93</v>
      </c>
      <c r="E1393" s="6" t="s">
        <v>46</v>
      </c>
      <c r="F1393" s="6" t="s">
        <v>98</v>
      </c>
      <c r="G1393" s="6" t="s">
        <v>3662</v>
      </c>
    </row>
    <row r="1394" spans="1:7" ht="18.95" customHeight="1">
      <c r="A1394" s="6" t="s">
        <v>3663</v>
      </c>
      <c r="B1394" s="6" t="s">
        <v>3661</v>
      </c>
      <c r="C1394" s="6" t="s">
        <v>476</v>
      </c>
      <c r="D1394" s="6" t="s">
        <v>97</v>
      </c>
      <c r="E1394" s="6" t="s">
        <v>47</v>
      </c>
      <c r="F1394" s="6" t="s">
        <v>98</v>
      </c>
      <c r="G1394" s="6" t="s">
        <v>3664</v>
      </c>
    </row>
    <row r="1395" spans="1:7" ht="18.95" customHeight="1">
      <c r="A1395" s="6" t="s">
        <v>3665</v>
      </c>
      <c r="B1395" s="6" t="s">
        <v>3666</v>
      </c>
      <c r="C1395" s="6" t="s">
        <v>482</v>
      </c>
      <c r="D1395" s="6" t="s">
        <v>103</v>
      </c>
      <c r="E1395" s="6" t="s">
        <v>48</v>
      </c>
      <c r="F1395" s="6" t="s">
        <v>98</v>
      </c>
      <c r="G1395" s="6" t="s">
        <v>3667</v>
      </c>
    </row>
    <row r="1396" spans="1:7" ht="18.95" customHeight="1">
      <c r="A1396" s="6" t="s">
        <v>3668</v>
      </c>
      <c r="B1396" s="6" t="s">
        <v>3666</v>
      </c>
      <c r="C1396" s="6" t="s">
        <v>482</v>
      </c>
      <c r="D1396" s="6" t="s">
        <v>93</v>
      </c>
      <c r="E1396" s="6" t="s">
        <v>46</v>
      </c>
      <c r="F1396" s="6" t="s">
        <v>98</v>
      </c>
      <c r="G1396" s="6" t="s">
        <v>3669</v>
      </c>
    </row>
    <row r="1397" spans="1:7" ht="18.95" customHeight="1">
      <c r="A1397" s="6" t="s">
        <v>3670</v>
      </c>
      <c r="B1397" s="6" t="s">
        <v>3671</v>
      </c>
      <c r="C1397" s="6" t="s">
        <v>488</v>
      </c>
      <c r="D1397" s="6" t="s">
        <v>97</v>
      </c>
      <c r="E1397" s="6" t="s">
        <v>47</v>
      </c>
      <c r="F1397" s="6" t="s">
        <v>98</v>
      </c>
      <c r="G1397" s="6" t="s">
        <v>3672</v>
      </c>
    </row>
    <row r="1398" spans="1:7" ht="18.95" customHeight="1">
      <c r="A1398" s="6" t="s">
        <v>3673</v>
      </c>
      <c r="B1398" s="6" t="s">
        <v>3671</v>
      </c>
      <c r="C1398" s="6" t="s">
        <v>488</v>
      </c>
      <c r="D1398" s="6" t="s">
        <v>103</v>
      </c>
      <c r="E1398" s="6" t="s">
        <v>48</v>
      </c>
      <c r="F1398" s="6" t="s">
        <v>98</v>
      </c>
      <c r="G1398" s="6" t="s">
        <v>3674</v>
      </c>
    </row>
    <row r="1399" spans="1:7" ht="18.95" customHeight="1">
      <c r="A1399" s="6" t="s">
        <v>3675</v>
      </c>
      <c r="B1399" s="6" t="s">
        <v>3676</v>
      </c>
      <c r="C1399" s="6" t="s">
        <v>494</v>
      </c>
      <c r="D1399" s="6" t="s">
        <v>93</v>
      </c>
      <c r="E1399" s="6" t="s">
        <v>46</v>
      </c>
      <c r="F1399" s="6" t="s">
        <v>98</v>
      </c>
      <c r="G1399" s="6" t="s">
        <v>3677</v>
      </c>
    </row>
    <row r="1400" spans="1:7" ht="18.95" customHeight="1">
      <c r="A1400" s="6" t="s">
        <v>3678</v>
      </c>
      <c r="B1400" s="6" t="s">
        <v>3676</v>
      </c>
      <c r="C1400" s="6" t="s">
        <v>494</v>
      </c>
      <c r="D1400" s="6" t="s">
        <v>97</v>
      </c>
      <c r="E1400" s="6" t="s">
        <v>47</v>
      </c>
      <c r="F1400" s="6" t="s">
        <v>98</v>
      </c>
      <c r="G1400" s="6" t="s">
        <v>3679</v>
      </c>
    </row>
    <row r="1401" spans="1:7" ht="18.95" customHeight="1">
      <c r="A1401" s="6" t="s">
        <v>3680</v>
      </c>
      <c r="B1401" s="6" t="s">
        <v>3681</v>
      </c>
      <c r="C1401" s="6" t="s">
        <v>500</v>
      </c>
      <c r="D1401" s="6" t="s">
        <v>103</v>
      </c>
      <c r="E1401" s="6" t="s">
        <v>48</v>
      </c>
      <c r="F1401" s="6" t="s">
        <v>98</v>
      </c>
      <c r="G1401" s="6" t="s">
        <v>3682</v>
      </c>
    </row>
    <row r="1402" spans="1:7" ht="18.95" customHeight="1">
      <c r="A1402" s="6" t="s">
        <v>3683</v>
      </c>
      <c r="B1402" s="6" t="s">
        <v>3681</v>
      </c>
      <c r="C1402" s="6" t="s">
        <v>500</v>
      </c>
      <c r="D1402" s="6" t="s">
        <v>93</v>
      </c>
      <c r="E1402" s="6" t="s">
        <v>46</v>
      </c>
      <c r="F1402" s="6" t="s">
        <v>98</v>
      </c>
      <c r="G1402" s="6" t="s">
        <v>3684</v>
      </c>
    </row>
    <row r="1403" spans="1:7" ht="18.95" customHeight="1">
      <c r="A1403" s="6" t="s">
        <v>3685</v>
      </c>
      <c r="B1403" s="6" t="s">
        <v>3686</v>
      </c>
      <c r="C1403" s="6" t="s">
        <v>506</v>
      </c>
      <c r="D1403" s="6" t="s">
        <v>97</v>
      </c>
      <c r="E1403" s="6" t="s">
        <v>47</v>
      </c>
      <c r="F1403" s="6" t="s">
        <v>98</v>
      </c>
      <c r="G1403" s="6" t="s">
        <v>3687</v>
      </c>
    </row>
    <row r="1404" spans="1:7" ht="18.95" customHeight="1">
      <c r="A1404" s="6" t="s">
        <v>3688</v>
      </c>
      <c r="B1404" s="6" t="s">
        <v>3686</v>
      </c>
      <c r="C1404" s="6" t="s">
        <v>506</v>
      </c>
      <c r="D1404" s="6" t="s">
        <v>103</v>
      </c>
      <c r="E1404" s="6" t="s">
        <v>48</v>
      </c>
      <c r="F1404" s="6" t="s">
        <v>98</v>
      </c>
      <c r="G1404" s="6" t="s">
        <v>3689</v>
      </c>
    </row>
    <row r="1405" spans="1:7" ht="18.95" customHeight="1">
      <c r="A1405" s="6" t="s">
        <v>3690</v>
      </c>
      <c r="B1405" s="6" t="s">
        <v>3691</v>
      </c>
      <c r="C1405" s="6" t="s">
        <v>512</v>
      </c>
      <c r="D1405" s="6" t="s">
        <v>93</v>
      </c>
      <c r="E1405" s="6" t="s">
        <v>46</v>
      </c>
      <c r="F1405" s="6" t="s">
        <v>98</v>
      </c>
      <c r="G1405" s="6" t="s">
        <v>3692</v>
      </c>
    </row>
    <row r="1406" spans="1:7" ht="18.95" customHeight="1">
      <c r="A1406" s="6" t="s">
        <v>3693</v>
      </c>
      <c r="B1406" s="6" t="s">
        <v>3691</v>
      </c>
      <c r="C1406" s="6" t="s">
        <v>512</v>
      </c>
      <c r="D1406" s="6" t="s">
        <v>97</v>
      </c>
      <c r="E1406" s="6" t="s">
        <v>47</v>
      </c>
      <c r="F1406" s="6" t="s">
        <v>98</v>
      </c>
      <c r="G1406" s="6" t="s">
        <v>3694</v>
      </c>
    </row>
    <row r="1407" spans="1:7" ht="18.95" customHeight="1">
      <c r="A1407" s="6" t="s">
        <v>3695</v>
      </c>
      <c r="B1407" s="6" t="s">
        <v>3696</v>
      </c>
      <c r="C1407" s="6" t="s">
        <v>518</v>
      </c>
      <c r="D1407" s="6" t="s">
        <v>103</v>
      </c>
      <c r="E1407" s="6" t="s">
        <v>48</v>
      </c>
      <c r="F1407" s="6" t="s">
        <v>98</v>
      </c>
      <c r="G1407" s="6" t="s">
        <v>3697</v>
      </c>
    </row>
    <row r="1408" spans="1:7" ht="18.95" customHeight="1">
      <c r="A1408" s="6" t="s">
        <v>3698</v>
      </c>
      <c r="B1408" s="6" t="s">
        <v>3696</v>
      </c>
      <c r="C1408" s="6" t="s">
        <v>518</v>
      </c>
      <c r="D1408" s="6" t="s">
        <v>93</v>
      </c>
      <c r="E1408" s="6" t="s">
        <v>46</v>
      </c>
      <c r="F1408" s="6" t="s">
        <v>98</v>
      </c>
      <c r="G1408" s="6" t="s">
        <v>3699</v>
      </c>
    </row>
    <row r="1409" spans="1:7" ht="18.95" customHeight="1">
      <c r="A1409" s="6" t="s">
        <v>3700</v>
      </c>
      <c r="B1409" s="6" t="s">
        <v>3701</v>
      </c>
      <c r="C1409" s="6" t="s">
        <v>524</v>
      </c>
      <c r="D1409" s="6" t="s">
        <v>97</v>
      </c>
      <c r="E1409" s="6" t="s">
        <v>47</v>
      </c>
      <c r="F1409" s="6" t="s">
        <v>98</v>
      </c>
      <c r="G1409" s="6" t="s">
        <v>3702</v>
      </c>
    </row>
    <row r="1410" spans="1:7" ht="18.95" customHeight="1">
      <c r="A1410" s="6" t="s">
        <v>3703</v>
      </c>
      <c r="B1410" s="6" t="s">
        <v>3701</v>
      </c>
      <c r="C1410" s="6" t="s">
        <v>3704</v>
      </c>
      <c r="D1410" s="6" t="s">
        <v>103</v>
      </c>
      <c r="E1410" s="6" t="s">
        <v>48</v>
      </c>
      <c r="F1410" s="6" t="s">
        <v>94</v>
      </c>
      <c r="G1410" s="6" t="s">
        <v>3705</v>
      </c>
    </row>
    <row r="1411" spans="1:7" ht="18.95" customHeight="1">
      <c r="A1411" s="6" t="s">
        <v>3706</v>
      </c>
      <c r="B1411" s="6" t="s">
        <v>3707</v>
      </c>
      <c r="C1411" s="6" t="s">
        <v>530</v>
      </c>
      <c r="D1411" s="6" t="s">
        <v>93</v>
      </c>
      <c r="E1411" s="6" t="s">
        <v>46</v>
      </c>
      <c r="F1411" s="6" t="s">
        <v>98</v>
      </c>
      <c r="G1411" s="6" t="s">
        <v>3708</v>
      </c>
    </row>
    <row r="1412" spans="1:7" ht="18.95" customHeight="1">
      <c r="A1412" s="6" t="s">
        <v>3709</v>
      </c>
      <c r="B1412" s="6" t="s">
        <v>3707</v>
      </c>
      <c r="C1412" s="6" t="s">
        <v>530</v>
      </c>
      <c r="D1412" s="6" t="s">
        <v>97</v>
      </c>
      <c r="E1412" s="6" t="s">
        <v>47</v>
      </c>
      <c r="F1412" s="6" t="s">
        <v>98</v>
      </c>
      <c r="G1412" s="6" t="s">
        <v>3710</v>
      </c>
    </row>
    <row r="1413" spans="1:7" ht="18.95" customHeight="1">
      <c r="A1413" s="6" t="s">
        <v>3711</v>
      </c>
      <c r="B1413" s="6" t="s">
        <v>3712</v>
      </c>
      <c r="C1413" s="6" t="s">
        <v>536</v>
      </c>
      <c r="D1413" s="6" t="s">
        <v>103</v>
      </c>
      <c r="E1413" s="6" t="s">
        <v>48</v>
      </c>
      <c r="F1413" s="6" t="s">
        <v>98</v>
      </c>
      <c r="G1413" s="6" t="s">
        <v>3713</v>
      </c>
    </row>
    <row r="1414" spans="1:7" ht="18.95" customHeight="1">
      <c r="A1414" s="6" t="s">
        <v>3714</v>
      </c>
      <c r="B1414" s="6" t="s">
        <v>3712</v>
      </c>
      <c r="C1414" s="6" t="s">
        <v>536</v>
      </c>
      <c r="D1414" s="6" t="s">
        <v>93</v>
      </c>
      <c r="E1414" s="6" t="s">
        <v>46</v>
      </c>
      <c r="F1414" s="6" t="s">
        <v>98</v>
      </c>
      <c r="G1414" s="6" t="s">
        <v>3715</v>
      </c>
    </row>
    <row r="1415" spans="1:7" ht="18.95" customHeight="1">
      <c r="A1415" s="6" t="s">
        <v>3716</v>
      </c>
      <c r="B1415" s="6" t="s">
        <v>3717</v>
      </c>
      <c r="C1415" s="6" t="s">
        <v>542</v>
      </c>
      <c r="D1415" s="6" t="s">
        <v>97</v>
      </c>
      <c r="E1415" s="6" t="s">
        <v>47</v>
      </c>
      <c r="F1415" s="6" t="s">
        <v>98</v>
      </c>
      <c r="G1415" s="6" t="s">
        <v>3718</v>
      </c>
    </row>
    <row r="1416" spans="1:7" ht="18.95" customHeight="1">
      <c r="A1416" s="6" t="s">
        <v>3719</v>
      </c>
      <c r="B1416" s="6" t="s">
        <v>3717</v>
      </c>
      <c r="C1416" s="6" t="s">
        <v>542</v>
      </c>
      <c r="D1416" s="6" t="s">
        <v>103</v>
      </c>
      <c r="E1416" s="6" t="s">
        <v>48</v>
      </c>
      <c r="F1416" s="6" t="s">
        <v>98</v>
      </c>
      <c r="G1416" s="6" t="s">
        <v>3720</v>
      </c>
    </row>
    <row r="1417" spans="1:7" ht="18.95" customHeight="1">
      <c r="A1417" s="6" t="s">
        <v>3721</v>
      </c>
      <c r="B1417" s="6" t="s">
        <v>3722</v>
      </c>
      <c r="C1417" s="6" t="s">
        <v>548</v>
      </c>
      <c r="D1417" s="6" t="s">
        <v>93</v>
      </c>
      <c r="E1417" s="6" t="s">
        <v>46</v>
      </c>
      <c r="F1417" s="6" t="s">
        <v>98</v>
      </c>
      <c r="G1417" s="6" t="s">
        <v>3723</v>
      </c>
    </row>
    <row r="1418" spans="1:7" ht="18.95" customHeight="1">
      <c r="A1418" s="6" t="s">
        <v>3724</v>
      </c>
      <c r="B1418" s="6" t="s">
        <v>3722</v>
      </c>
      <c r="C1418" s="6" t="s">
        <v>548</v>
      </c>
      <c r="D1418" s="6" t="s">
        <v>97</v>
      </c>
      <c r="E1418" s="6" t="s">
        <v>47</v>
      </c>
      <c r="F1418" s="6" t="s">
        <v>98</v>
      </c>
      <c r="G1418" s="6" t="s">
        <v>3725</v>
      </c>
    </row>
    <row r="1419" spans="1:7" ht="18.95" customHeight="1">
      <c r="A1419" s="6" t="s">
        <v>3726</v>
      </c>
      <c r="B1419" s="6" t="s">
        <v>3727</v>
      </c>
      <c r="C1419" s="6" t="s">
        <v>554</v>
      </c>
      <c r="D1419" s="6" t="s">
        <v>103</v>
      </c>
      <c r="E1419" s="6" t="s">
        <v>48</v>
      </c>
      <c r="F1419" s="6" t="s">
        <v>98</v>
      </c>
      <c r="G1419" s="6" t="s">
        <v>3728</v>
      </c>
    </row>
    <row r="1420" spans="1:7" ht="18.95" customHeight="1">
      <c r="A1420" s="6" t="s">
        <v>3729</v>
      </c>
      <c r="B1420" s="6" t="s">
        <v>3727</v>
      </c>
      <c r="C1420" s="6" t="s">
        <v>554</v>
      </c>
      <c r="D1420" s="6" t="s">
        <v>93</v>
      </c>
      <c r="E1420" s="6" t="s">
        <v>46</v>
      </c>
      <c r="F1420" s="6" t="s">
        <v>98</v>
      </c>
      <c r="G1420" s="6" t="s">
        <v>3730</v>
      </c>
    </row>
    <row r="1421" spans="1:7" ht="18.95" customHeight="1">
      <c r="A1421" s="6" t="s">
        <v>3731</v>
      </c>
      <c r="B1421" s="6" t="s">
        <v>3732</v>
      </c>
      <c r="C1421" s="6" t="s">
        <v>560</v>
      </c>
      <c r="D1421" s="6" t="s">
        <v>97</v>
      </c>
      <c r="E1421" s="6" t="s">
        <v>47</v>
      </c>
      <c r="F1421" s="6" t="s">
        <v>98</v>
      </c>
      <c r="G1421" s="6" t="s">
        <v>3733</v>
      </c>
    </row>
    <row r="1422" spans="1:7" ht="18.95" customHeight="1">
      <c r="A1422" s="6" t="s">
        <v>3734</v>
      </c>
      <c r="B1422" s="6" t="s">
        <v>3732</v>
      </c>
      <c r="C1422" s="6" t="s">
        <v>560</v>
      </c>
      <c r="D1422" s="6" t="s">
        <v>103</v>
      </c>
      <c r="E1422" s="6" t="s">
        <v>48</v>
      </c>
      <c r="F1422" s="6" t="s">
        <v>98</v>
      </c>
      <c r="G1422" s="6" t="s">
        <v>3735</v>
      </c>
    </row>
    <row r="1423" spans="1:7" ht="18.95" customHeight="1">
      <c r="A1423" s="6" t="s">
        <v>3736</v>
      </c>
      <c r="B1423" s="6" t="s">
        <v>3737</v>
      </c>
      <c r="C1423" s="6" t="s">
        <v>566</v>
      </c>
      <c r="D1423" s="6" t="s">
        <v>93</v>
      </c>
      <c r="E1423" s="6" t="s">
        <v>46</v>
      </c>
      <c r="F1423" s="6" t="s">
        <v>98</v>
      </c>
      <c r="G1423" s="6" t="s">
        <v>3738</v>
      </c>
    </row>
    <row r="1424" spans="1:7" ht="18.95" customHeight="1">
      <c r="A1424" s="6" t="s">
        <v>3739</v>
      </c>
      <c r="B1424" s="6" t="s">
        <v>3737</v>
      </c>
      <c r="C1424" s="6" t="s">
        <v>566</v>
      </c>
      <c r="D1424" s="6" t="s">
        <v>97</v>
      </c>
      <c r="E1424" s="6" t="s">
        <v>47</v>
      </c>
      <c r="F1424" s="6" t="s">
        <v>98</v>
      </c>
      <c r="G1424" s="6" t="s">
        <v>3740</v>
      </c>
    </row>
    <row r="1425" spans="1:7" ht="18.95" customHeight="1">
      <c r="A1425" s="6" t="s">
        <v>3741</v>
      </c>
      <c r="B1425" s="6" t="s">
        <v>3742</v>
      </c>
      <c r="C1425" s="6" t="s">
        <v>572</v>
      </c>
      <c r="D1425" s="6" t="s">
        <v>103</v>
      </c>
      <c r="E1425" s="6" t="s">
        <v>48</v>
      </c>
      <c r="F1425" s="6" t="s">
        <v>98</v>
      </c>
      <c r="G1425" s="6" t="s">
        <v>3743</v>
      </c>
    </row>
    <row r="1426" spans="1:7" ht="18.95" customHeight="1">
      <c r="A1426" s="6" t="s">
        <v>3744</v>
      </c>
      <c r="B1426" s="6" t="s">
        <v>3742</v>
      </c>
      <c r="C1426" s="6" t="s">
        <v>572</v>
      </c>
      <c r="D1426" s="6" t="s">
        <v>93</v>
      </c>
      <c r="E1426" s="6" t="s">
        <v>46</v>
      </c>
      <c r="F1426" s="6" t="s">
        <v>98</v>
      </c>
      <c r="G1426" s="6" t="s">
        <v>3745</v>
      </c>
    </row>
    <row r="1427" spans="1:7" ht="18.95" customHeight="1">
      <c r="A1427" s="6" t="s">
        <v>3746</v>
      </c>
      <c r="B1427" s="6" t="s">
        <v>3747</v>
      </c>
      <c r="C1427" s="6" t="s">
        <v>578</v>
      </c>
      <c r="D1427" s="6" t="s">
        <v>97</v>
      </c>
      <c r="E1427" s="6" t="s">
        <v>47</v>
      </c>
      <c r="F1427" s="6" t="s">
        <v>98</v>
      </c>
      <c r="G1427" s="6" t="s">
        <v>3748</v>
      </c>
    </row>
    <row r="1428" spans="1:7" ht="18.95" customHeight="1">
      <c r="A1428" s="6" t="s">
        <v>3749</v>
      </c>
      <c r="B1428" s="6" t="s">
        <v>3747</v>
      </c>
      <c r="C1428" s="6" t="s">
        <v>578</v>
      </c>
      <c r="D1428" s="6" t="s">
        <v>103</v>
      </c>
      <c r="E1428" s="6" t="s">
        <v>48</v>
      </c>
      <c r="F1428" s="6" t="s">
        <v>98</v>
      </c>
      <c r="G1428" s="6" t="s">
        <v>3750</v>
      </c>
    </row>
    <row r="1429" spans="1:7" ht="18.95" customHeight="1">
      <c r="A1429" s="6" t="s">
        <v>3751</v>
      </c>
      <c r="B1429" s="6" t="s">
        <v>3752</v>
      </c>
      <c r="C1429" s="6" t="s">
        <v>584</v>
      </c>
      <c r="D1429" s="6" t="s">
        <v>93</v>
      </c>
      <c r="E1429" s="6" t="s">
        <v>46</v>
      </c>
      <c r="F1429" s="6" t="s">
        <v>98</v>
      </c>
      <c r="G1429" s="6" t="s">
        <v>3753</v>
      </c>
    </row>
    <row r="1430" spans="1:7" ht="18.95" customHeight="1">
      <c r="A1430" s="6" t="s">
        <v>3754</v>
      </c>
      <c r="B1430" s="6" t="s">
        <v>3752</v>
      </c>
      <c r="C1430" s="6" t="s">
        <v>584</v>
      </c>
      <c r="D1430" s="6" t="s">
        <v>97</v>
      </c>
      <c r="E1430" s="6" t="s">
        <v>47</v>
      </c>
      <c r="F1430" s="6" t="s">
        <v>98</v>
      </c>
      <c r="G1430" s="6" t="s">
        <v>3755</v>
      </c>
    </row>
    <row r="1431" spans="1:7" ht="18.95" customHeight="1">
      <c r="A1431" s="6" t="s">
        <v>3756</v>
      </c>
      <c r="B1431" s="6" t="s">
        <v>3757</v>
      </c>
      <c r="C1431" s="6" t="s">
        <v>590</v>
      </c>
      <c r="D1431" s="6" t="s">
        <v>103</v>
      </c>
      <c r="E1431" s="6" t="s">
        <v>48</v>
      </c>
      <c r="F1431" s="6" t="s">
        <v>98</v>
      </c>
      <c r="G1431" s="6" t="s">
        <v>3758</v>
      </c>
    </row>
    <row r="1432" spans="1:7" ht="18.95" customHeight="1">
      <c r="A1432" s="6" t="s">
        <v>3759</v>
      </c>
      <c r="B1432" s="6" t="s">
        <v>3757</v>
      </c>
      <c r="C1432" s="6" t="s">
        <v>590</v>
      </c>
      <c r="D1432" s="6" t="s">
        <v>93</v>
      </c>
      <c r="E1432" s="6" t="s">
        <v>46</v>
      </c>
      <c r="F1432" s="6" t="s">
        <v>98</v>
      </c>
      <c r="G1432" s="6" t="s">
        <v>3760</v>
      </c>
    </row>
    <row r="1433" spans="1:7" ht="18.95" customHeight="1">
      <c r="A1433" s="6" t="s">
        <v>3761</v>
      </c>
      <c r="B1433" s="6" t="s">
        <v>3762</v>
      </c>
      <c r="C1433" s="6" t="s">
        <v>596</v>
      </c>
      <c r="D1433" s="6" t="s">
        <v>97</v>
      </c>
      <c r="E1433" s="6" t="s">
        <v>47</v>
      </c>
      <c r="F1433" s="6" t="s">
        <v>94</v>
      </c>
      <c r="G1433" s="6" t="s">
        <v>3763</v>
      </c>
    </row>
    <row r="1434" spans="1:7" ht="18.95" customHeight="1">
      <c r="A1434" s="6" t="s">
        <v>3764</v>
      </c>
      <c r="B1434" s="6" t="s">
        <v>3762</v>
      </c>
      <c r="C1434" s="6" t="s">
        <v>596</v>
      </c>
      <c r="D1434" s="6" t="s">
        <v>103</v>
      </c>
      <c r="E1434" s="6" t="s">
        <v>48</v>
      </c>
      <c r="F1434" s="6" t="s">
        <v>98</v>
      </c>
      <c r="G1434" s="6" t="s">
        <v>3765</v>
      </c>
    </row>
    <row r="1435" spans="1:7" ht="18.95" customHeight="1">
      <c r="A1435" s="6" t="s">
        <v>3766</v>
      </c>
      <c r="B1435" s="6" t="s">
        <v>3767</v>
      </c>
      <c r="C1435" s="6" t="s">
        <v>602</v>
      </c>
      <c r="D1435" s="6" t="s">
        <v>93</v>
      </c>
      <c r="E1435" s="6" t="s">
        <v>46</v>
      </c>
      <c r="F1435" s="6" t="s">
        <v>98</v>
      </c>
      <c r="G1435" s="6" t="s">
        <v>3768</v>
      </c>
    </row>
    <row r="1436" spans="1:7" ht="18.95" customHeight="1">
      <c r="A1436" s="6" t="s">
        <v>3769</v>
      </c>
      <c r="B1436" s="6" t="s">
        <v>3767</v>
      </c>
      <c r="C1436" s="6" t="s">
        <v>602</v>
      </c>
      <c r="D1436" s="6" t="s">
        <v>97</v>
      </c>
      <c r="E1436" s="6" t="s">
        <v>47</v>
      </c>
      <c r="F1436" s="6" t="s">
        <v>98</v>
      </c>
      <c r="G1436" s="6" t="s">
        <v>3770</v>
      </c>
    </row>
    <row r="1437" spans="1:7" ht="18.95" customHeight="1">
      <c r="A1437" s="6" t="s">
        <v>3771</v>
      </c>
      <c r="B1437" s="6" t="s">
        <v>3772</v>
      </c>
      <c r="C1437" s="6" t="s">
        <v>611</v>
      </c>
      <c r="D1437" s="6" t="s">
        <v>103</v>
      </c>
      <c r="E1437" s="6" t="s">
        <v>5191</v>
      </c>
      <c r="F1437" s="6" t="s">
        <v>98</v>
      </c>
      <c r="G1437" s="6" t="s">
        <v>3773</v>
      </c>
    </row>
    <row r="1438" spans="1:7" ht="18.95" customHeight="1">
      <c r="A1438" s="6" t="s">
        <v>3774</v>
      </c>
      <c r="B1438" s="6" t="s">
        <v>3772</v>
      </c>
      <c r="C1438" s="6" t="s">
        <v>611</v>
      </c>
      <c r="D1438" s="6" t="s">
        <v>93</v>
      </c>
      <c r="E1438" s="6" t="s">
        <v>46</v>
      </c>
      <c r="F1438" s="6" t="s">
        <v>98</v>
      </c>
      <c r="G1438" s="6" t="s">
        <v>3775</v>
      </c>
    </row>
    <row r="1439" spans="1:7" ht="18.95" customHeight="1">
      <c r="A1439" s="6" t="s">
        <v>3776</v>
      </c>
      <c r="B1439" s="6" t="s">
        <v>3777</v>
      </c>
      <c r="C1439" s="6" t="s">
        <v>615</v>
      </c>
      <c r="D1439" s="6" t="s">
        <v>97</v>
      </c>
      <c r="E1439" s="6" t="s">
        <v>47</v>
      </c>
      <c r="F1439" s="6" t="s">
        <v>98</v>
      </c>
      <c r="G1439" s="6" t="s">
        <v>3778</v>
      </c>
    </row>
    <row r="1440" spans="1:7" ht="18.95" customHeight="1">
      <c r="A1440" s="6" t="s">
        <v>3779</v>
      </c>
      <c r="B1440" s="6" t="s">
        <v>3777</v>
      </c>
      <c r="C1440" s="6" t="s">
        <v>615</v>
      </c>
      <c r="D1440" s="6" t="s">
        <v>103</v>
      </c>
      <c r="E1440" s="6" t="s">
        <v>48</v>
      </c>
      <c r="F1440" s="6" t="s">
        <v>98</v>
      </c>
      <c r="G1440" s="6" t="s">
        <v>3780</v>
      </c>
    </row>
    <row r="1441" spans="1:7" ht="18.95" customHeight="1">
      <c r="A1441" s="6" t="s">
        <v>3781</v>
      </c>
      <c r="B1441" s="6" t="s">
        <v>3782</v>
      </c>
      <c r="C1441" s="6" t="s">
        <v>621</v>
      </c>
      <c r="D1441" s="6" t="s">
        <v>93</v>
      </c>
      <c r="E1441" s="6" t="s">
        <v>46</v>
      </c>
      <c r="F1441" s="6" t="s">
        <v>98</v>
      </c>
      <c r="G1441" s="6" t="s">
        <v>3783</v>
      </c>
    </row>
    <row r="1442" spans="1:7" ht="18.95" customHeight="1">
      <c r="A1442" s="6" t="s">
        <v>3784</v>
      </c>
      <c r="B1442" s="6" t="s">
        <v>3782</v>
      </c>
      <c r="C1442" s="6" t="s">
        <v>621</v>
      </c>
      <c r="D1442" s="6" t="s">
        <v>97</v>
      </c>
      <c r="E1442" s="6" t="s">
        <v>47</v>
      </c>
      <c r="F1442" s="6" t="s">
        <v>98</v>
      </c>
      <c r="G1442" s="6" t="s">
        <v>3785</v>
      </c>
    </row>
    <row r="1443" spans="1:7" ht="18.95" customHeight="1">
      <c r="A1443" s="6" t="s">
        <v>3786</v>
      </c>
      <c r="B1443" s="6" t="s">
        <v>3787</v>
      </c>
      <c r="C1443" s="6" t="s">
        <v>627</v>
      </c>
      <c r="D1443" s="6" t="s">
        <v>103</v>
      </c>
      <c r="E1443" s="6" t="s">
        <v>48</v>
      </c>
      <c r="F1443" s="6" t="s">
        <v>98</v>
      </c>
      <c r="G1443" s="6" t="s">
        <v>3788</v>
      </c>
    </row>
    <row r="1444" spans="1:7" ht="18.95" customHeight="1">
      <c r="A1444" s="6" t="s">
        <v>3789</v>
      </c>
      <c r="B1444" s="6" t="s">
        <v>3787</v>
      </c>
      <c r="C1444" s="6" t="s">
        <v>627</v>
      </c>
      <c r="D1444" s="6" t="s">
        <v>93</v>
      </c>
      <c r="E1444" s="6" t="s">
        <v>46</v>
      </c>
      <c r="F1444" s="6" t="s">
        <v>98</v>
      </c>
      <c r="G1444" s="6" t="s">
        <v>3790</v>
      </c>
    </row>
    <row r="1445" spans="1:7" ht="18.95" customHeight="1">
      <c r="A1445" s="6" t="s">
        <v>3791</v>
      </c>
      <c r="B1445" s="6" t="s">
        <v>3792</v>
      </c>
      <c r="C1445" s="6" t="s">
        <v>633</v>
      </c>
      <c r="D1445" s="6" t="s">
        <v>97</v>
      </c>
      <c r="E1445" s="6" t="s">
        <v>47</v>
      </c>
      <c r="F1445" s="6" t="s">
        <v>98</v>
      </c>
      <c r="G1445" s="6" t="s">
        <v>3793</v>
      </c>
    </row>
    <row r="1446" spans="1:7" ht="18.95" customHeight="1">
      <c r="A1446" s="6" t="s">
        <v>3794</v>
      </c>
      <c r="B1446" s="6" t="s">
        <v>3792</v>
      </c>
      <c r="C1446" s="6" t="s">
        <v>633</v>
      </c>
      <c r="D1446" s="6" t="s">
        <v>103</v>
      </c>
      <c r="E1446" s="6" t="s">
        <v>48</v>
      </c>
      <c r="F1446" s="6" t="s">
        <v>98</v>
      </c>
      <c r="G1446" s="6" t="s">
        <v>3795</v>
      </c>
    </row>
    <row r="1447" spans="1:7" ht="18.95" customHeight="1">
      <c r="A1447" s="6" t="s">
        <v>3796</v>
      </c>
      <c r="B1447" s="6" t="s">
        <v>3797</v>
      </c>
      <c r="C1447" s="6" t="s">
        <v>92</v>
      </c>
      <c r="D1447" s="6" t="s">
        <v>93</v>
      </c>
      <c r="E1447" s="6" t="s">
        <v>46</v>
      </c>
      <c r="F1447" s="6" t="s">
        <v>98</v>
      </c>
      <c r="G1447" s="6" t="s">
        <v>3798</v>
      </c>
    </row>
    <row r="1448" spans="1:7" ht="18.95" customHeight="1">
      <c r="A1448" s="6" t="s">
        <v>3799</v>
      </c>
      <c r="B1448" s="6" t="s">
        <v>3797</v>
      </c>
      <c r="C1448" s="6" t="s">
        <v>92</v>
      </c>
      <c r="D1448" s="6" t="s">
        <v>97</v>
      </c>
      <c r="E1448" s="6" t="s">
        <v>47</v>
      </c>
      <c r="F1448" s="6" t="s">
        <v>98</v>
      </c>
      <c r="G1448" s="6" t="s">
        <v>3800</v>
      </c>
    </row>
    <row r="1449" spans="1:7" ht="18.95" customHeight="1">
      <c r="A1449" s="6" t="s">
        <v>3801</v>
      </c>
      <c r="B1449" s="6" t="s">
        <v>3802</v>
      </c>
      <c r="C1449" s="6" t="s">
        <v>102</v>
      </c>
      <c r="D1449" s="6" t="s">
        <v>103</v>
      </c>
      <c r="E1449" s="6" t="s">
        <v>48</v>
      </c>
      <c r="F1449" s="6" t="s">
        <v>98</v>
      </c>
      <c r="G1449" s="6" t="s">
        <v>3803</v>
      </c>
    </row>
    <row r="1450" spans="1:7" ht="18.95" customHeight="1">
      <c r="A1450" s="6" t="s">
        <v>3804</v>
      </c>
      <c r="B1450" s="6" t="s">
        <v>3802</v>
      </c>
      <c r="C1450" s="6" t="s">
        <v>102</v>
      </c>
      <c r="D1450" s="6" t="s">
        <v>93</v>
      </c>
      <c r="E1450" s="6" t="s">
        <v>46</v>
      </c>
      <c r="F1450" s="6" t="s">
        <v>98</v>
      </c>
      <c r="G1450" s="6" t="s">
        <v>3805</v>
      </c>
    </row>
    <row r="1451" spans="1:7" ht="18.95" customHeight="1">
      <c r="A1451" s="6" t="s">
        <v>3806</v>
      </c>
      <c r="B1451" s="6" t="s">
        <v>3807</v>
      </c>
      <c r="C1451" s="6" t="s">
        <v>109</v>
      </c>
      <c r="D1451" s="6" t="s">
        <v>97</v>
      </c>
      <c r="E1451" s="6" t="s">
        <v>47</v>
      </c>
      <c r="F1451" s="6" t="s">
        <v>98</v>
      </c>
      <c r="G1451" s="6" t="s">
        <v>3808</v>
      </c>
    </row>
    <row r="1452" spans="1:7" ht="18.95" customHeight="1">
      <c r="A1452" s="6" t="s">
        <v>3809</v>
      </c>
      <c r="B1452" s="6" t="s">
        <v>3807</v>
      </c>
      <c r="C1452" s="6" t="s">
        <v>109</v>
      </c>
      <c r="D1452" s="6" t="s">
        <v>103</v>
      </c>
      <c r="E1452" s="6" t="s">
        <v>48</v>
      </c>
      <c r="F1452" s="6" t="s">
        <v>98</v>
      </c>
      <c r="G1452" s="6" t="s">
        <v>3810</v>
      </c>
    </row>
    <row r="1453" spans="1:7" ht="18.95" customHeight="1">
      <c r="A1453" s="6" t="s">
        <v>3811</v>
      </c>
      <c r="B1453" s="6" t="s">
        <v>3812</v>
      </c>
      <c r="C1453" s="6" t="s">
        <v>115</v>
      </c>
      <c r="D1453" s="6" t="s">
        <v>93</v>
      </c>
      <c r="E1453" s="6" t="s">
        <v>46</v>
      </c>
      <c r="F1453" s="6" t="s">
        <v>98</v>
      </c>
      <c r="G1453" s="6" t="s">
        <v>3813</v>
      </c>
    </row>
    <row r="1454" spans="1:7" ht="18.95" customHeight="1">
      <c r="A1454" s="6" t="s">
        <v>3814</v>
      </c>
      <c r="B1454" s="6" t="s">
        <v>3812</v>
      </c>
      <c r="C1454" s="6" t="s">
        <v>115</v>
      </c>
      <c r="D1454" s="6" t="s">
        <v>97</v>
      </c>
      <c r="E1454" s="6" t="s">
        <v>47</v>
      </c>
      <c r="F1454" s="6" t="s">
        <v>98</v>
      </c>
      <c r="G1454" s="6" t="s">
        <v>3815</v>
      </c>
    </row>
    <row r="1455" spans="1:7" ht="18.95" customHeight="1">
      <c r="A1455" s="6" t="s">
        <v>3816</v>
      </c>
      <c r="B1455" s="6" t="s">
        <v>3817</v>
      </c>
      <c r="C1455" s="6" t="s">
        <v>121</v>
      </c>
      <c r="D1455" s="6" t="s">
        <v>103</v>
      </c>
      <c r="E1455" s="6" t="s">
        <v>48</v>
      </c>
      <c r="F1455" s="6" t="s">
        <v>98</v>
      </c>
      <c r="G1455" s="6" t="s">
        <v>3818</v>
      </c>
    </row>
    <row r="1456" spans="1:7" ht="18.95" customHeight="1">
      <c r="A1456" s="6" t="s">
        <v>3819</v>
      </c>
      <c r="B1456" s="6" t="s">
        <v>3817</v>
      </c>
      <c r="C1456" s="6" t="s">
        <v>121</v>
      </c>
      <c r="D1456" s="6" t="s">
        <v>93</v>
      </c>
      <c r="E1456" s="6" t="s">
        <v>46</v>
      </c>
      <c r="F1456" s="6" t="s">
        <v>94</v>
      </c>
      <c r="G1456" s="6" t="s">
        <v>3820</v>
      </c>
    </row>
    <row r="1457" spans="1:7" ht="18.95" customHeight="1">
      <c r="A1457" s="6" t="s">
        <v>3821</v>
      </c>
      <c r="B1457" s="6" t="s">
        <v>3822</v>
      </c>
      <c r="C1457" s="6" t="s">
        <v>127</v>
      </c>
      <c r="D1457" s="6" t="s">
        <v>97</v>
      </c>
      <c r="E1457" s="6" t="s">
        <v>47</v>
      </c>
      <c r="F1457" s="6" t="s">
        <v>98</v>
      </c>
      <c r="G1457" s="6" t="s">
        <v>3823</v>
      </c>
    </row>
    <row r="1458" spans="1:7" ht="18.95" customHeight="1">
      <c r="A1458" s="6" t="s">
        <v>3824</v>
      </c>
      <c r="B1458" s="6" t="s">
        <v>3822</v>
      </c>
      <c r="C1458" s="6" t="s">
        <v>127</v>
      </c>
      <c r="D1458" s="6" t="s">
        <v>103</v>
      </c>
      <c r="E1458" s="6" t="s">
        <v>48</v>
      </c>
      <c r="F1458" s="6" t="s">
        <v>98</v>
      </c>
      <c r="G1458" s="6" t="s">
        <v>3825</v>
      </c>
    </row>
    <row r="1459" spans="1:7" ht="18.95" customHeight="1">
      <c r="A1459" s="6" t="s">
        <v>3826</v>
      </c>
      <c r="B1459" s="6" t="s">
        <v>3827</v>
      </c>
      <c r="C1459" s="6" t="s">
        <v>133</v>
      </c>
      <c r="D1459" s="6" t="s">
        <v>93</v>
      </c>
      <c r="E1459" s="6" t="s">
        <v>46</v>
      </c>
      <c r="F1459" s="6" t="s">
        <v>98</v>
      </c>
      <c r="G1459" s="6" t="s">
        <v>3828</v>
      </c>
    </row>
    <row r="1460" spans="1:7" ht="18.95" customHeight="1">
      <c r="A1460" s="6" t="s">
        <v>3829</v>
      </c>
      <c r="B1460" s="6" t="s">
        <v>3827</v>
      </c>
      <c r="C1460" s="6" t="s">
        <v>133</v>
      </c>
      <c r="D1460" s="6" t="s">
        <v>97</v>
      </c>
      <c r="E1460" s="6" t="s">
        <v>47</v>
      </c>
      <c r="F1460" s="6" t="s">
        <v>98</v>
      </c>
      <c r="G1460" s="6" t="s">
        <v>3830</v>
      </c>
    </row>
    <row r="1461" spans="1:7" ht="18.95" customHeight="1">
      <c r="A1461" s="6" t="s">
        <v>3831</v>
      </c>
      <c r="B1461" s="6" t="s">
        <v>3832</v>
      </c>
      <c r="C1461" s="6" t="s">
        <v>139</v>
      </c>
      <c r="D1461" s="6" t="s">
        <v>103</v>
      </c>
      <c r="E1461" s="6" t="s">
        <v>48</v>
      </c>
      <c r="F1461" s="6" t="s">
        <v>98</v>
      </c>
      <c r="G1461" s="6" t="s">
        <v>3833</v>
      </c>
    </row>
    <row r="1462" spans="1:7" ht="18.95" customHeight="1">
      <c r="A1462" s="6" t="s">
        <v>3834</v>
      </c>
      <c r="B1462" s="6" t="s">
        <v>3832</v>
      </c>
      <c r="C1462" s="6" t="s">
        <v>139</v>
      </c>
      <c r="D1462" s="6" t="s">
        <v>93</v>
      </c>
      <c r="E1462" s="6" t="s">
        <v>46</v>
      </c>
      <c r="F1462" s="6" t="s">
        <v>98</v>
      </c>
      <c r="G1462" s="6" t="s">
        <v>3835</v>
      </c>
    </row>
    <row r="1463" spans="1:7" ht="18.95" customHeight="1">
      <c r="A1463" s="6" t="s">
        <v>3836</v>
      </c>
      <c r="B1463" s="6" t="s">
        <v>3837</v>
      </c>
      <c r="C1463" s="6" t="s">
        <v>145</v>
      </c>
      <c r="D1463" s="6" t="s">
        <v>97</v>
      </c>
      <c r="E1463" s="6" t="s">
        <v>47</v>
      </c>
      <c r="F1463" s="6" t="s">
        <v>98</v>
      </c>
      <c r="G1463" s="6" t="s">
        <v>3838</v>
      </c>
    </row>
    <row r="1464" spans="1:7" ht="18.95" customHeight="1">
      <c r="A1464" s="6" t="s">
        <v>3839</v>
      </c>
      <c r="B1464" s="6" t="s">
        <v>3837</v>
      </c>
      <c r="C1464" s="6" t="s">
        <v>145</v>
      </c>
      <c r="D1464" s="6" t="s">
        <v>103</v>
      </c>
      <c r="E1464" s="6" t="s">
        <v>48</v>
      </c>
      <c r="F1464" s="6" t="s">
        <v>98</v>
      </c>
      <c r="G1464" s="6" t="s">
        <v>3840</v>
      </c>
    </row>
    <row r="1465" spans="1:7" ht="18.95" customHeight="1">
      <c r="A1465" s="6" t="s">
        <v>3841</v>
      </c>
      <c r="B1465" s="6" t="s">
        <v>3842</v>
      </c>
      <c r="C1465" s="6" t="s">
        <v>151</v>
      </c>
      <c r="D1465" s="6" t="s">
        <v>93</v>
      </c>
      <c r="E1465" s="6" t="s">
        <v>46</v>
      </c>
      <c r="F1465" s="6" t="s">
        <v>98</v>
      </c>
      <c r="G1465" s="6" t="s">
        <v>3843</v>
      </c>
    </row>
    <row r="1466" spans="1:7" ht="18.95" customHeight="1">
      <c r="A1466" s="6" t="s">
        <v>3844</v>
      </c>
      <c r="B1466" s="6" t="s">
        <v>3842</v>
      </c>
      <c r="C1466" s="6" t="s">
        <v>151</v>
      </c>
      <c r="D1466" s="6" t="s">
        <v>97</v>
      </c>
      <c r="E1466" s="6" t="s">
        <v>47</v>
      </c>
      <c r="F1466" s="6" t="s">
        <v>98</v>
      </c>
      <c r="G1466" s="6" t="s">
        <v>3845</v>
      </c>
    </row>
    <row r="1467" spans="1:7" ht="18.95" customHeight="1">
      <c r="A1467" s="6" t="s">
        <v>3846</v>
      </c>
      <c r="B1467" s="6" t="s">
        <v>3847</v>
      </c>
      <c r="C1467" s="6" t="s">
        <v>157</v>
      </c>
      <c r="D1467" s="6" t="s">
        <v>103</v>
      </c>
      <c r="E1467" s="6" t="s">
        <v>48</v>
      </c>
      <c r="F1467" s="6" t="s">
        <v>98</v>
      </c>
      <c r="G1467" s="6" t="s">
        <v>3848</v>
      </c>
    </row>
    <row r="1468" spans="1:7" ht="18.95" customHeight="1">
      <c r="A1468" s="6" t="s">
        <v>3849</v>
      </c>
      <c r="B1468" s="6" t="s">
        <v>3847</v>
      </c>
      <c r="C1468" s="6" t="s">
        <v>157</v>
      </c>
      <c r="D1468" s="6" t="s">
        <v>93</v>
      </c>
      <c r="E1468" s="6" t="s">
        <v>46</v>
      </c>
      <c r="F1468" s="6" t="s">
        <v>98</v>
      </c>
      <c r="G1468" s="6" t="s">
        <v>3850</v>
      </c>
    </row>
    <row r="1469" spans="1:7" ht="18.95" customHeight="1">
      <c r="A1469" s="6" t="s">
        <v>3851</v>
      </c>
      <c r="B1469" s="6" t="s">
        <v>3852</v>
      </c>
      <c r="C1469" s="6" t="s">
        <v>163</v>
      </c>
      <c r="D1469" s="6" t="s">
        <v>97</v>
      </c>
      <c r="E1469" s="6" t="s">
        <v>47</v>
      </c>
      <c r="F1469" s="6" t="s">
        <v>98</v>
      </c>
      <c r="G1469" s="6" t="s">
        <v>3853</v>
      </c>
    </row>
    <row r="1470" spans="1:7" ht="18.95" customHeight="1">
      <c r="A1470" s="6" t="s">
        <v>3854</v>
      </c>
      <c r="B1470" s="6" t="s">
        <v>3852</v>
      </c>
      <c r="C1470" s="6" t="s">
        <v>163</v>
      </c>
      <c r="D1470" s="6" t="s">
        <v>103</v>
      </c>
      <c r="E1470" s="6" t="s">
        <v>48</v>
      </c>
      <c r="F1470" s="6" t="s">
        <v>98</v>
      </c>
      <c r="G1470" s="6" t="s">
        <v>3855</v>
      </c>
    </row>
    <row r="1471" spans="1:7" ht="18.95" customHeight="1">
      <c r="A1471" s="6" t="s">
        <v>3856</v>
      </c>
      <c r="B1471" s="6" t="s">
        <v>3857</v>
      </c>
      <c r="C1471" s="6" t="s">
        <v>169</v>
      </c>
      <c r="D1471" s="6" t="s">
        <v>93</v>
      </c>
      <c r="E1471" s="6" t="s">
        <v>46</v>
      </c>
      <c r="F1471" s="6" t="s">
        <v>98</v>
      </c>
      <c r="G1471" s="6" t="s">
        <v>3858</v>
      </c>
    </row>
    <row r="1472" spans="1:7" ht="18.95" customHeight="1">
      <c r="A1472" s="6" t="s">
        <v>3859</v>
      </c>
      <c r="B1472" s="6" t="s">
        <v>3857</v>
      </c>
      <c r="C1472" s="6" t="s">
        <v>169</v>
      </c>
      <c r="D1472" s="6" t="s">
        <v>97</v>
      </c>
      <c r="E1472" s="6" t="s">
        <v>47</v>
      </c>
      <c r="F1472" s="6" t="s">
        <v>98</v>
      </c>
      <c r="G1472" s="6" t="s">
        <v>3860</v>
      </c>
    </row>
    <row r="1473" spans="1:7" ht="18.95" customHeight="1">
      <c r="A1473" s="6" t="s">
        <v>3861</v>
      </c>
      <c r="B1473" s="6" t="s">
        <v>3862</v>
      </c>
      <c r="C1473" s="6" t="s">
        <v>175</v>
      </c>
      <c r="D1473" s="6" t="s">
        <v>103</v>
      </c>
      <c r="E1473" s="6" t="s">
        <v>48</v>
      </c>
      <c r="F1473" s="6" t="s">
        <v>98</v>
      </c>
      <c r="G1473" s="6" t="s">
        <v>3863</v>
      </c>
    </row>
    <row r="1474" spans="1:7" ht="18.95" customHeight="1">
      <c r="A1474" s="6" t="s">
        <v>3864</v>
      </c>
      <c r="B1474" s="6" t="s">
        <v>3862</v>
      </c>
      <c r="C1474" s="6" t="s">
        <v>175</v>
      </c>
      <c r="D1474" s="6" t="s">
        <v>93</v>
      </c>
      <c r="E1474" s="6" t="s">
        <v>46</v>
      </c>
      <c r="F1474" s="6" t="s">
        <v>98</v>
      </c>
      <c r="G1474" s="6" t="s">
        <v>3865</v>
      </c>
    </row>
    <row r="1475" spans="1:7" ht="18.95" customHeight="1">
      <c r="A1475" s="6" t="s">
        <v>3866</v>
      </c>
      <c r="B1475" s="6" t="s">
        <v>3867</v>
      </c>
      <c r="C1475" s="6" t="s">
        <v>181</v>
      </c>
      <c r="D1475" s="6" t="s">
        <v>97</v>
      </c>
      <c r="E1475" s="6" t="s">
        <v>47</v>
      </c>
      <c r="F1475" s="6" t="s">
        <v>98</v>
      </c>
      <c r="G1475" s="6" t="s">
        <v>3868</v>
      </c>
    </row>
    <row r="1476" spans="1:7" ht="18.95" customHeight="1">
      <c r="A1476" s="6" t="s">
        <v>3869</v>
      </c>
      <c r="B1476" s="6" t="s">
        <v>3867</v>
      </c>
      <c r="C1476" s="6" t="s">
        <v>181</v>
      </c>
      <c r="D1476" s="6" t="s">
        <v>103</v>
      </c>
      <c r="E1476" s="6" t="s">
        <v>48</v>
      </c>
      <c r="F1476" s="6" t="s">
        <v>98</v>
      </c>
      <c r="G1476" s="6" t="s">
        <v>3870</v>
      </c>
    </row>
    <row r="1477" spans="1:7" ht="18.95" customHeight="1">
      <c r="A1477" s="6" t="s">
        <v>3871</v>
      </c>
      <c r="B1477" s="6" t="s">
        <v>3872</v>
      </c>
      <c r="C1477" s="6" t="s">
        <v>187</v>
      </c>
      <c r="D1477" s="6" t="s">
        <v>93</v>
      </c>
      <c r="E1477" s="6" t="s">
        <v>46</v>
      </c>
      <c r="F1477" s="6" t="s">
        <v>98</v>
      </c>
      <c r="G1477" s="6" t="s">
        <v>3873</v>
      </c>
    </row>
    <row r="1478" spans="1:7" ht="18.95" customHeight="1">
      <c r="A1478" s="6" t="s">
        <v>3874</v>
      </c>
      <c r="B1478" s="6" t="s">
        <v>3872</v>
      </c>
      <c r="C1478" s="6" t="s">
        <v>187</v>
      </c>
      <c r="D1478" s="6" t="s">
        <v>97</v>
      </c>
      <c r="E1478" s="6" t="s">
        <v>47</v>
      </c>
      <c r="F1478" s="6" t="s">
        <v>98</v>
      </c>
      <c r="G1478" s="6" t="s">
        <v>3875</v>
      </c>
    </row>
    <row r="1479" spans="1:7" ht="18.95" customHeight="1">
      <c r="A1479" s="6" t="s">
        <v>3876</v>
      </c>
      <c r="B1479" s="6" t="s">
        <v>3877</v>
      </c>
      <c r="C1479" s="6" t="s">
        <v>193</v>
      </c>
      <c r="D1479" s="6" t="s">
        <v>103</v>
      </c>
      <c r="E1479" s="6" t="s">
        <v>48</v>
      </c>
      <c r="F1479" s="6" t="s">
        <v>94</v>
      </c>
      <c r="G1479" s="6" t="s">
        <v>3878</v>
      </c>
    </row>
    <row r="1480" spans="1:7" ht="18.95" customHeight="1">
      <c r="A1480" s="6" t="s">
        <v>3879</v>
      </c>
      <c r="B1480" s="6" t="s">
        <v>3877</v>
      </c>
      <c r="C1480" s="6" t="s">
        <v>193</v>
      </c>
      <c r="D1480" s="6" t="s">
        <v>93</v>
      </c>
      <c r="E1480" s="6" t="s">
        <v>46</v>
      </c>
      <c r="F1480" s="6" t="s">
        <v>98</v>
      </c>
      <c r="G1480" s="6" t="s">
        <v>3880</v>
      </c>
    </row>
    <row r="1481" spans="1:7" ht="18.95" customHeight="1">
      <c r="A1481" s="6" t="s">
        <v>3881</v>
      </c>
      <c r="B1481" s="6" t="s">
        <v>3882</v>
      </c>
      <c r="C1481" s="6" t="s">
        <v>200</v>
      </c>
      <c r="D1481" s="6" t="s">
        <v>97</v>
      </c>
      <c r="E1481" s="6" t="s">
        <v>47</v>
      </c>
      <c r="F1481" s="6" t="s">
        <v>98</v>
      </c>
      <c r="G1481" s="6" t="s">
        <v>3883</v>
      </c>
    </row>
    <row r="1482" spans="1:7" ht="18.95" customHeight="1">
      <c r="A1482" s="6" t="s">
        <v>3884</v>
      </c>
      <c r="B1482" s="6" t="s">
        <v>3882</v>
      </c>
      <c r="C1482" s="6" t="s">
        <v>200</v>
      </c>
      <c r="D1482" s="6" t="s">
        <v>103</v>
      </c>
      <c r="E1482" s="6" t="s">
        <v>48</v>
      </c>
      <c r="F1482" s="6" t="s">
        <v>98</v>
      </c>
      <c r="G1482" s="6" t="s">
        <v>3885</v>
      </c>
    </row>
    <row r="1483" spans="1:7" ht="18.95" customHeight="1">
      <c r="A1483" s="6" t="s">
        <v>3886</v>
      </c>
      <c r="B1483" s="6" t="s">
        <v>3887</v>
      </c>
      <c r="C1483" s="6" t="s">
        <v>206</v>
      </c>
      <c r="D1483" s="6" t="s">
        <v>93</v>
      </c>
      <c r="E1483" s="6" t="s">
        <v>46</v>
      </c>
      <c r="F1483" s="6" t="s">
        <v>98</v>
      </c>
      <c r="G1483" s="6" t="s">
        <v>3888</v>
      </c>
    </row>
    <row r="1484" spans="1:7" ht="18.95" customHeight="1">
      <c r="A1484" s="6" t="s">
        <v>3889</v>
      </c>
      <c r="B1484" s="6" t="s">
        <v>3887</v>
      </c>
      <c r="C1484" s="6" t="s">
        <v>206</v>
      </c>
      <c r="D1484" s="6" t="s">
        <v>97</v>
      </c>
      <c r="E1484" s="6" t="s">
        <v>47</v>
      </c>
      <c r="F1484" s="6" t="s">
        <v>98</v>
      </c>
      <c r="G1484" s="6" t="s">
        <v>3890</v>
      </c>
    </row>
    <row r="1485" spans="1:7" ht="18.95" customHeight="1">
      <c r="A1485" s="6" t="s">
        <v>3891</v>
      </c>
      <c r="B1485" s="6" t="s">
        <v>3892</v>
      </c>
      <c r="C1485" s="6" t="s">
        <v>212</v>
      </c>
      <c r="D1485" s="6" t="s">
        <v>103</v>
      </c>
      <c r="E1485" s="6" t="s">
        <v>48</v>
      </c>
      <c r="F1485" s="6" t="s">
        <v>98</v>
      </c>
      <c r="G1485" s="6" t="s">
        <v>3893</v>
      </c>
    </row>
    <row r="1486" spans="1:7" ht="18.95" customHeight="1">
      <c r="A1486" s="6" t="s">
        <v>3894</v>
      </c>
      <c r="B1486" s="6" t="s">
        <v>3892</v>
      </c>
      <c r="C1486" s="6" t="s">
        <v>212</v>
      </c>
      <c r="D1486" s="6" t="s">
        <v>93</v>
      </c>
      <c r="E1486" s="6" t="s">
        <v>46</v>
      </c>
      <c r="F1486" s="6" t="s">
        <v>98</v>
      </c>
      <c r="G1486" s="6" t="s">
        <v>3895</v>
      </c>
    </row>
    <row r="1487" spans="1:7" ht="18.95" customHeight="1">
      <c r="A1487" s="6" t="s">
        <v>3896</v>
      </c>
      <c r="B1487" s="6" t="s">
        <v>3897</v>
      </c>
      <c r="C1487" s="6" t="s">
        <v>218</v>
      </c>
      <c r="D1487" s="6" t="s">
        <v>97</v>
      </c>
      <c r="E1487" s="6" t="s">
        <v>47</v>
      </c>
      <c r="F1487" s="6" t="s">
        <v>98</v>
      </c>
      <c r="G1487" s="6" t="s">
        <v>3898</v>
      </c>
    </row>
    <row r="1488" spans="1:7" ht="18.95" customHeight="1">
      <c r="A1488" s="6" t="s">
        <v>3899</v>
      </c>
      <c r="B1488" s="6" t="s">
        <v>3897</v>
      </c>
      <c r="C1488" s="6" t="s">
        <v>218</v>
      </c>
      <c r="D1488" s="6" t="s">
        <v>103</v>
      </c>
      <c r="E1488" s="6" t="s">
        <v>48</v>
      </c>
      <c r="F1488" s="6" t="s">
        <v>98</v>
      </c>
      <c r="G1488" s="6" t="s">
        <v>3900</v>
      </c>
    </row>
    <row r="1489" spans="1:7" ht="18.95" customHeight="1">
      <c r="A1489" s="6" t="s">
        <v>3901</v>
      </c>
      <c r="B1489" s="6" t="s">
        <v>3902</v>
      </c>
      <c r="C1489" s="6" t="s">
        <v>224</v>
      </c>
      <c r="D1489" s="6" t="s">
        <v>93</v>
      </c>
      <c r="E1489" s="6" t="s">
        <v>46</v>
      </c>
      <c r="F1489" s="6" t="s">
        <v>98</v>
      </c>
      <c r="G1489" s="6" t="s">
        <v>3903</v>
      </c>
    </row>
    <row r="1490" spans="1:7" ht="18.95" customHeight="1">
      <c r="A1490" s="6" t="s">
        <v>3904</v>
      </c>
      <c r="B1490" s="6" t="s">
        <v>3902</v>
      </c>
      <c r="C1490" s="6" t="s">
        <v>224</v>
      </c>
      <c r="D1490" s="6" t="s">
        <v>97</v>
      </c>
      <c r="E1490" s="6" t="s">
        <v>47</v>
      </c>
      <c r="F1490" s="6" t="s">
        <v>98</v>
      </c>
      <c r="G1490" s="6" t="s">
        <v>3905</v>
      </c>
    </row>
    <row r="1491" spans="1:7" ht="18.95" customHeight="1">
      <c r="A1491" s="6" t="s">
        <v>3906</v>
      </c>
      <c r="B1491" s="6" t="s">
        <v>3907</v>
      </c>
      <c r="C1491" s="6" t="s">
        <v>230</v>
      </c>
      <c r="D1491" s="6" t="s">
        <v>103</v>
      </c>
      <c r="E1491" s="6" t="s">
        <v>48</v>
      </c>
      <c r="F1491" s="6" t="s">
        <v>98</v>
      </c>
      <c r="G1491" s="6" t="s">
        <v>3908</v>
      </c>
    </row>
    <row r="1492" spans="1:7" ht="18.95" customHeight="1">
      <c r="A1492" s="6" t="s">
        <v>3909</v>
      </c>
      <c r="B1492" s="6" t="s">
        <v>3907</v>
      </c>
      <c r="C1492" s="6" t="s">
        <v>230</v>
      </c>
      <c r="D1492" s="6" t="s">
        <v>93</v>
      </c>
      <c r="E1492" s="6" t="s">
        <v>46</v>
      </c>
      <c r="F1492" s="6" t="s">
        <v>98</v>
      </c>
      <c r="G1492" s="6" t="s">
        <v>3910</v>
      </c>
    </row>
    <row r="1493" spans="1:7" ht="18.95" customHeight="1">
      <c r="A1493" s="6" t="s">
        <v>3911</v>
      </c>
      <c r="B1493" s="6" t="s">
        <v>3912</v>
      </c>
      <c r="C1493" s="6" t="s">
        <v>236</v>
      </c>
      <c r="D1493" s="6" t="s">
        <v>97</v>
      </c>
      <c r="E1493" s="6" t="s">
        <v>47</v>
      </c>
      <c r="F1493" s="6" t="s">
        <v>98</v>
      </c>
      <c r="G1493" s="6" t="s">
        <v>3913</v>
      </c>
    </row>
    <row r="1494" spans="1:7" ht="18.95" customHeight="1">
      <c r="A1494" s="6" t="s">
        <v>3914</v>
      </c>
      <c r="B1494" s="6" t="s">
        <v>3912</v>
      </c>
      <c r="C1494" s="6" t="s">
        <v>236</v>
      </c>
      <c r="D1494" s="6" t="s">
        <v>103</v>
      </c>
      <c r="E1494" s="6" t="s">
        <v>48</v>
      </c>
      <c r="F1494" s="6" t="s">
        <v>98</v>
      </c>
      <c r="G1494" s="6" t="s">
        <v>3915</v>
      </c>
    </row>
    <row r="1495" spans="1:7" ht="18.95" customHeight="1">
      <c r="A1495" s="6" t="s">
        <v>3916</v>
      </c>
      <c r="B1495" s="6" t="s">
        <v>3917</v>
      </c>
      <c r="C1495" s="6" t="s">
        <v>242</v>
      </c>
      <c r="D1495" s="6" t="s">
        <v>93</v>
      </c>
      <c r="E1495" s="6" t="s">
        <v>46</v>
      </c>
      <c r="F1495" s="6" t="s">
        <v>98</v>
      </c>
      <c r="G1495" s="6" t="s">
        <v>3918</v>
      </c>
    </row>
    <row r="1496" spans="1:7" ht="18.95" customHeight="1">
      <c r="A1496" s="6" t="s">
        <v>3919</v>
      </c>
      <c r="B1496" s="6" t="s">
        <v>3917</v>
      </c>
      <c r="C1496" s="6" t="s">
        <v>242</v>
      </c>
      <c r="D1496" s="6" t="s">
        <v>97</v>
      </c>
      <c r="E1496" s="6" t="s">
        <v>47</v>
      </c>
      <c r="F1496" s="6" t="s">
        <v>98</v>
      </c>
      <c r="G1496" s="6" t="s">
        <v>3920</v>
      </c>
    </row>
    <row r="1497" spans="1:7" ht="18.95" customHeight="1">
      <c r="A1497" s="6" t="s">
        <v>3921</v>
      </c>
      <c r="B1497" s="6" t="s">
        <v>3922</v>
      </c>
      <c r="C1497" s="6" t="s">
        <v>248</v>
      </c>
      <c r="D1497" s="6" t="s">
        <v>103</v>
      </c>
      <c r="E1497" s="6" t="s">
        <v>48</v>
      </c>
      <c r="F1497" s="6" t="s">
        <v>98</v>
      </c>
      <c r="G1497" s="6" t="s">
        <v>3923</v>
      </c>
    </row>
    <row r="1498" spans="1:7" ht="18.95" customHeight="1">
      <c r="A1498" s="6" t="s">
        <v>3924</v>
      </c>
      <c r="B1498" s="6" t="s">
        <v>3922</v>
      </c>
      <c r="C1498" s="6" t="s">
        <v>248</v>
      </c>
      <c r="D1498" s="6" t="s">
        <v>93</v>
      </c>
      <c r="E1498" s="6" t="s">
        <v>46</v>
      </c>
      <c r="F1498" s="6" t="s">
        <v>98</v>
      </c>
      <c r="G1498" s="6" t="s">
        <v>3925</v>
      </c>
    </row>
    <row r="1499" spans="1:7" ht="18.95" customHeight="1">
      <c r="A1499" s="6" t="s">
        <v>3926</v>
      </c>
      <c r="B1499" s="6" t="s">
        <v>3927</v>
      </c>
      <c r="C1499" s="6" t="s">
        <v>254</v>
      </c>
      <c r="D1499" s="6" t="s">
        <v>97</v>
      </c>
      <c r="E1499" s="6" t="s">
        <v>47</v>
      </c>
      <c r="F1499" s="6" t="s">
        <v>98</v>
      </c>
      <c r="G1499" s="6" t="s">
        <v>3928</v>
      </c>
    </row>
    <row r="1500" spans="1:7" ht="18.95" customHeight="1">
      <c r="A1500" s="6" t="s">
        <v>3929</v>
      </c>
      <c r="B1500" s="6" t="s">
        <v>3927</v>
      </c>
      <c r="C1500" s="6" t="s">
        <v>254</v>
      </c>
      <c r="D1500" s="6" t="s">
        <v>103</v>
      </c>
      <c r="E1500" s="6" t="s">
        <v>5191</v>
      </c>
      <c r="F1500" s="6" t="s">
        <v>98</v>
      </c>
      <c r="G1500" s="6" t="s">
        <v>3930</v>
      </c>
    </row>
    <row r="1501" spans="1:7" ht="18.95" customHeight="1">
      <c r="A1501" s="6" t="s">
        <v>3931</v>
      </c>
      <c r="B1501" s="6" t="s">
        <v>3932</v>
      </c>
      <c r="C1501" s="6" t="s">
        <v>260</v>
      </c>
      <c r="D1501" s="6" t="s">
        <v>93</v>
      </c>
      <c r="E1501" s="6" t="s">
        <v>46</v>
      </c>
      <c r="F1501" s="6" t="s">
        <v>98</v>
      </c>
      <c r="G1501" s="6" t="s">
        <v>3933</v>
      </c>
    </row>
    <row r="1502" spans="1:7" ht="18.95" customHeight="1">
      <c r="A1502" s="6" t="s">
        <v>3934</v>
      </c>
      <c r="B1502" s="6" t="s">
        <v>3932</v>
      </c>
      <c r="C1502" s="6" t="s">
        <v>260</v>
      </c>
      <c r="D1502" s="6" t="s">
        <v>97</v>
      </c>
      <c r="E1502" s="6" t="s">
        <v>47</v>
      </c>
      <c r="F1502" s="6" t="s">
        <v>94</v>
      </c>
      <c r="G1502" s="6" t="s">
        <v>3935</v>
      </c>
    </row>
    <row r="1503" spans="1:7" ht="18.95" customHeight="1">
      <c r="A1503" s="6" t="s">
        <v>3936</v>
      </c>
      <c r="B1503" s="6" t="s">
        <v>3937</v>
      </c>
      <c r="C1503" s="6" t="s">
        <v>266</v>
      </c>
      <c r="D1503" s="6" t="s">
        <v>103</v>
      </c>
      <c r="E1503" s="6" t="s">
        <v>48</v>
      </c>
      <c r="F1503" s="6" t="s">
        <v>98</v>
      </c>
      <c r="G1503" s="6" t="s">
        <v>3938</v>
      </c>
    </row>
    <row r="1504" spans="1:7" ht="18.95" customHeight="1">
      <c r="A1504" s="6" t="s">
        <v>3939</v>
      </c>
      <c r="B1504" s="6" t="s">
        <v>3937</v>
      </c>
      <c r="C1504" s="6" t="s">
        <v>266</v>
      </c>
      <c r="D1504" s="6" t="s">
        <v>93</v>
      </c>
      <c r="E1504" s="6" t="s">
        <v>46</v>
      </c>
      <c r="F1504" s="6" t="s">
        <v>98</v>
      </c>
      <c r="G1504" s="6" t="s">
        <v>3940</v>
      </c>
    </row>
    <row r="1505" spans="1:7" ht="18.95" customHeight="1">
      <c r="A1505" s="6" t="s">
        <v>3941</v>
      </c>
      <c r="B1505" s="6" t="s">
        <v>3942</v>
      </c>
      <c r="C1505" s="6" t="s">
        <v>272</v>
      </c>
      <c r="D1505" s="6" t="s">
        <v>97</v>
      </c>
      <c r="E1505" s="6" t="s">
        <v>47</v>
      </c>
      <c r="F1505" s="6" t="s">
        <v>98</v>
      </c>
      <c r="G1505" s="6" t="s">
        <v>3943</v>
      </c>
    </row>
    <row r="1506" spans="1:7" ht="18.95" customHeight="1">
      <c r="A1506" s="6" t="s">
        <v>3944</v>
      </c>
      <c r="B1506" s="6" t="s">
        <v>3942</v>
      </c>
      <c r="C1506" s="6" t="s">
        <v>272</v>
      </c>
      <c r="D1506" s="6" t="s">
        <v>103</v>
      </c>
      <c r="E1506" s="6" t="s">
        <v>48</v>
      </c>
      <c r="F1506" s="6" t="s">
        <v>98</v>
      </c>
      <c r="G1506" s="6" t="s">
        <v>3945</v>
      </c>
    </row>
    <row r="1507" spans="1:7" ht="18.95" customHeight="1">
      <c r="A1507" s="6" t="s">
        <v>3946</v>
      </c>
      <c r="B1507" s="6" t="s">
        <v>3947</v>
      </c>
      <c r="C1507" s="6" t="s">
        <v>278</v>
      </c>
      <c r="D1507" s="6" t="s">
        <v>93</v>
      </c>
      <c r="E1507" s="6" t="s">
        <v>46</v>
      </c>
      <c r="F1507" s="6" t="s">
        <v>98</v>
      </c>
      <c r="G1507" s="6" t="s">
        <v>3948</v>
      </c>
    </row>
    <row r="1508" spans="1:7" ht="18.95" customHeight="1">
      <c r="A1508" s="6" t="s">
        <v>3949</v>
      </c>
      <c r="B1508" s="6" t="s">
        <v>3947</v>
      </c>
      <c r="C1508" s="6" t="s">
        <v>278</v>
      </c>
      <c r="D1508" s="6" t="s">
        <v>97</v>
      </c>
      <c r="E1508" s="6" t="s">
        <v>47</v>
      </c>
      <c r="F1508" s="6" t="s">
        <v>98</v>
      </c>
      <c r="G1508" s="6" t="s">
        <v>3950</v>
      </c>
    </row>
    <row r="1509" spans="1:7" ht="18.95" customHeight="1">
      <c r="A1509" s="6" t="s">
        <v>3951</v>
      </c>
      <c r="B1509" s="6" t="s">
        <v>3952</v>
      </c>
      <c r="C1509" s="6" t="s">
        <v>284</v>
      </c>
      <c r="D1509" s="6" t="s">
        <v>103</v>
      </c>
      <c r="E1509" s="6" t="s">
        <v>48</v>
      </c>
      <c r="F1509" s="6" t="s">
        <v>98</v>
      </c>
      <c r="G1509" s="6" t="s">
        <v>3953</v>
      </c>
    </row>
    <row r="1510" spans="1:7" ht="18.95" customHeight="1">
      <c r="A1510" s="6" t="s">
        <v>3954</v>
      </c>
      <c r="B1510" s="6" t="s">
        <v>3952</v>
      </c>
      <c r="C1510" s="6" t="s">
        <v>284</v>
      </c>
      <c r="D1510" s="6" t="s">
        <v>93</v>
      </c>
      <c r="E1510" s="6" t="s">
        <v>46</v>
      </c>
      <c r="F1510" s="6" t="s">
        <v>98</v>
      </c>
      <c r="G1510" s="6" t="s">
        <v>3955</v>
      </c>
    </row>
    <row r="1511" spans="1:7" ht="18.95" customHeight="1">
      <c r="A1511" s="6" t="s">
        <v>3956</v>
      </c>
      <c r="B1511" s="6" t="s">
        <v>3957</v>
      </c>
      <c r="C1511" s="6" t="s">
        <v>290</v>
      </c>
      <c r="D1511" s="6" t="s">
        <v>97</v>
      </c>
      <c r="E1511" s="6" t="s">
        <v>47</v>
      </c>
      <c r="F1511" s="6" t="s">
        <v>98</v>
      </c>
      <c r="G1511" s="6" t="s">
        <v>3958</v>
      </c>
    </row>
    <row r="1512" spans="1:7" ht="18.95" customHeight="1">
      <c r="A1512" s="6" t="s">
        <v>3959</v>
      </c>
      <c r="B1512" s="6" t="s">
        <v>3957</v>
      </c>
      <c r="C1512" s="6" t="s">
        <v>290</v>
      </c>
      <c r="D1512" s="6" t="s">
        <v>103</v>
      </c>
      <c r="E1512" s="6" t="s">
        <v>48</v>
      </c>
      <c r="F1512" s="6" t="s">
        <v>98</v>
      </c>
      <c r="G1512" s="6" t="s">
        <v>3960</v>
      </c>
    </row>
    <row r="1513" spans="1:7" ht="18.95" customHeight="1">
      <c r="A1513" s="6" t="s">
        <v>3961</v>
      </c>
      <c r="B1513" s="6" t="s">
        <v>3962</v>
      </c>
      <c r="C1513" s="6" t="s">
        <v>296</v>
      </c>
      <c r="D1513" s="6" t="s">
        <v>93</v>
      </c>
      <c r="E1513" s="6" t="s">
        <v>46</v>
      </c>
      <c r="F1513" s="6" t="s">
        <v>98</v>
      </c>
      <c r="G1513" s="6" t="s">
        <v>3963</v>
      </c>
    </row>
    <row r="1514" spans="1:7" ht="18.95" customHeight="1">
      <c r="A1514" s="6" t="s">
        <v>3964</v>
      </c>
      <c r="B1514" s="6" t="s">
        <v>3962</v>
      </c>
      <c r="C1514" s="6" t="s">
        <v>296</v>
      </c>
      <c r="D1514" s="6" t="s">
        <v>97</v>
      </c>
      <c r="E1514" s="6" t="s">
        <v>47</v>
      </c>
      <c r="F1514" s="6" t="s">
        <v>98</v>
      </c>
      <c r="G1514" s="6" t="s">
        <v>3965</v>
      </c>
    </row>
    <row r="1515" spans="1:7" ht="18.95" customHeight="1">
      <c r="A1515" s="6" t="s">
        <v>3966</v>
      </c>
      <c r="B1515" s="6" t="s">
        <v>3967</v>
      </c>
      <c r="C1515" s="6" t="s">
        <v>302</v>
      </c>
      <c r="D1515" s="6" t="s">
        <v>103</v>
      </c>
      <c r="E1515" s="6" t="s">
        <v>48</v>
      </c>
      <c r="F1515" s="6" t="s">
        <v>98</v>
      </c>
      <c r="G1515" s="6" t="s">
        <v>3968</v>
      </c>
    </row>
    <row r="1516" spans="1:7" ht="18.95" customHeight="1">
      <c r="A1516" s="6" t="s">
        <v>3969</v>
      </c>
      <c r="B1516" s="6" t="s">
        <v>3967</v>
      </c>
      <c r="C1516" s="6" t="s">
        <v>302</v>
      </c>
      <c r="D1516" s="6" t="s">
        <v>93</v>
      </c>
      <c r="E1516" s="6" t="s">
        <v>46</v>
      </c>
      <c r="F1516" s="6" t="s">
        <v>98</v>
      </c>
      <c r="G1516" s="6" t="s">
        <v>3970</v>
      </c>
    </row>
    <row r="1517" spans="1:7" ht="18.95" customHeight="1">
      <c r="A1517" s="6" t="s">
        <v>3971</v>
      </c>
      <c r="B1517" s="6" t="s">
        <v>3972</v>
      </c>
      <c r="C1517" s="6" t="s">
        <v>308</v>
      </c>
      <c r="D1517" s="6" t="s">
        <v>97</v>
      </c>
      <c r="E1517" s="6" t="s">
        <v>47</v>
      </c>
      <c r="F1517" s="6" t="s">
        <v>98</v>
      </c>
      <c r="G1517" s="6" t="s">
        <v>3973</v>
      </c>
    </row>
    <row r="1518" spans="1:7" ht="18.95" customHeight="1">
      <c r="A1518" s="6" t="s">
        <v>3974</v>
      </c>
      <c r="B1518" s="6" t="s">
        <v>3972</v>
      </c>
      <c r="C1518" s="6" t="s">
        <v>308</v>
      </c>
      <c r="D1518" s="6" t="s">
        <v>103</v>
      </c>
      <c r="E1518" s="6" t="s">
        <v>48</v>
      </c>
      <c r="F1518" s="6" t="s">
        <v>98</v>
      </c>
      <c r="G1518" s="6" t="s">
        <v>3975</v>
      </c>
    </row>
    <row r="1519" spans="1:7" ht="18.95" customHeight="1">
      <c r="A1519" s="6" t="s">
        <v>3976</v>
      </c>
      <c r="B1519" s="6" t="s">
        <v>3977</v>
      </c>
      <c r="C1519" s="6" t="s">
        <v>314</v>
      </c>
      <c r="D1519" s="6" t="s">
        <v>93</v>
      </c>
      <c r="E1519" s="6" t="s">
        <v>46</v>
      </c>
      <c r="F1519" s="6" t="s">
        <v>98</v>
      </c>
      <c r="G1519" s="6" t="s">
        <v>3978</v>
      </c>
    </row>
    <row r="1520" spans="1:7" ht="18.95" customHeight="1">
      <c r="A1520" s="6" t="s">
        <v>3979</v>
      </c>
      <c r="B1520" s="6" t="s">
        <v>3977</v>
      </c>
      <c r="C1520" s="6" t="s">
        <v>314</v>
      </c>
      <c r="D1520" s="6" t="s">
        <v>97</v>
      </c>
      <c r="E1520" s="6" t="s">
        <v>47</v>
      </c>
      <c r="F1520" s="6" t="s">
        <v>98</v>
      </c>
      <c r="G1520" s="6" t="s">
        <v>3980</v>
      </c>
    </row>
    <row r="1521" spans="1:7" ht="18.95" customHeight="1">
      <c r="A1521" s="6" t="s">
        <v>3981</v>
      </c>
      <c r="B1521" s="6" t="s">
        <v>3982</v>
      </c>
      <c r="C1521" s="6" t="s">
        <v>320</v>
      </c>
      <c r="D1521" s="6" t="s">
        <v>103</v>
      </c>
      <c r="E1521" s="6" t="s">
        <v>48</v>
      </c>
      <c r="F1521" s="6" t="s">
        <v>98</v>
      </c>
      <c r="G1521" s="6" t="s">
        <v>3983</v>
      </c>
    </row>
    <row r="1522" spans="1:7" ht="18.95" customHeight="1">
      <c r="A1522" s="6" t="s">
        <v>3984</v>
      </c>
      <c r="B1522" s="6" t="s">
        <v>3982</v>
      </c>
      <c r="C1522" s="6" t="s">
        <v>320</v>
      </c>
      <c r="D1522" s="6" t="s">
        <v>93</v>
      </c>
      <c r="E1522" s="6" t="s">
        <v>46</v>
      </c>
      <c r="F1522" s="6" t="s">
        <v>98</v>
      </c>
      <c r="G1522" s="6" t="s">
        <v>3985</v>
      </c>
    </row>
    <row r="1523" spans="1:7" ht="18.95" customHeight="1">
      <c r="A1523" s="6" t="s">
        <v>3986</v>
      </c>
      <c r="B1523" s="6" t="s">
        <v>3987</v>
      </c>
      <c r="C1523" s="6" t="s">
        <v>326</v>
      </c>
      <c r="D1523" s="6" t="s">
        <v>97</v>
      </c>
      <c r="E1523" s="6" t="s">
        <v>47</v>
      </c>
      <c r="F1523" s="6" t="s">
        <v>98</v>
      </c>
      <c r="G1523" s="6" t="s">
        <v>3988</v>
      </c>
    </row>
    <row r="1524" spans="1:7" ht="18.95" customHeight="1">
      <c r="A1524" s="6" t="s">
        <v>3989</v>
      </c>
      <c r="B1524" s="6" t="s">
        <v>3987</v>
      </c>
      <c r="C1524" s="6" t="s">
        <v>326</v>
      </c>
      <c r="D1524" s="6" t="s">
        <v>103</v>
      </c>
      <c r="E1524" s="6" t="s">
        <v>48</v>
      </c>
      <c r="F1524" s="6" t="s">
        <v>98</v>
      </c>
      <c r="G1524" s="6" t="s">
        <v>3990</v>
      </c>
    </row>
    <row r="1525" spans="1:7" ht="18.95" customHeight="1">
      <c r="A1525" s="6" t="s">
        <v>3991</v>
      </c>
      <c r="B1525" s="6" t="s">
        <v>3992</v>
      </c>
      <c r="C1525" s="6" t="s">
        <v>332</v>
      </c>
      <c r="D1525" s="6" t="s">
        <v>93</v>
      </c>
      <c r="E1525" s="6" t="s">
        <v>46</v>
      </c>
      <c r="F1525" s="6" t="s">
        <v>94</v>
      </c>
      <c r="G1525" s="6" t="s">
        <v>3993</v>
      </c>
    </row>
    <row r="1526" spans="1:7" ht="18.95" customHeight="1">
      <c r="A1526" s="6" t="s">
        <v>3994</v>
      </c>
      <c r="B1526" s="6" t="s">
        <v>3992</v>
      </c>
      <c r="C1526" s="6" t="s">
        <v>332</v>
      </c>
      <c r="D1526" s="6" t="s">
        <v>97</v>
      </c>
      <c r="E1526" s="6" t="s">
        <v>47</v>
      </c>
      <c r="F1526" s="6" t="s">
        <v>98</v>
      </c>
      <c r="G1526" s="6" t="s">
        <v>3995</v>
      </c>
    </row>
    <row r="1527" spans="1:7" ht="18.95" customHeight="1">
      <c r="A1527" s="6" t="s">
        <v>3996</v>
      </c>
      <c r="B1527" s="6" t="s">
        <v>3997</v>
      </c>
      <c r="C1527" s="6" t="s">
        <v>338</v>
      </c>
      <c r="D1527" s="6" t="s">
        <v>103</v>
      </c>
      <c r="E1527" s="6" t="s">
        <v>48</v>
      </c>
      <c r="F1527" s="6" t="s">
        <v>98</v>
      </c>
      <c r="G1527" s="6" t="s">
        <v>3998</v>
      </c>
    </row>
    <row r="1528" spans="1:7" ht="18.95" customHeight="1">
      <c r="A1528" s="6" t="s">
        <v>3999</v>
      </c>
      <c r="B1528" s="6" t="s">
        <v>3997</v>
      </c>
      <c r="C1528" s="6" t="s">
        <v>338</v>
      </c>
      <c r="D1528" s="6" t="s">
        <v>93</v>
      </c>
      <c r="E1528" s="6" t="s">
        <v>46</v>
      </c>
      <c r="F1528" s="6" t="s">
        <v>98</v>
      </c>
      <c r="G1528" s="6" t="s">
        <v>4000</v>
      </c>
    </row>
    <row r="1529" spans="1:7" ht="18.95" customHeight="1">
      <c r="A1529" s="6" t="s">
        <v>4001</v>
      </c>
      <c r="B1529" s="6" t="s">
        <v>4002</v>
      </c>
      <c r="C1529" s="6" t="s">
        <v>344</v>
      </c>
      <c r="D1529" s="6" t="s">
        <v>97</v>
      </c>
      <c r="E1529" s="6" t="s">
        <v>47</v>
      </c>
      <c r="F1529" s="6" t="s">
        <v>98</v>
      </c>
      <c r="G1529" s="6" t="s">
        <v>4003</v>
      </c>
    </row>
    <row r="1530" spans="1:7" ht="18.95" customHeight="1">
      <c r="A1530" s="6" t="s">
        <v>4004</v>
      </c>
      <c r="B1530" s="6" t="s">
        <v>4002</v>
      </c>
      <c r="C1530" s="6" t="s">
        <v>344</v>
      </c>
      <c r="D1530" s="6" t="s">
        <v>103</v>
      </c>
      <c r="E1530" s="6" t="s">
        <v>48</v>
      </c>
      <c r="F1530" s="6" t="s">
        <v>98</v>
      </c>
      <c r="G1530" s="6" t="s">
        <v>4005</v>
      </c>
    </row>
    <row r="1531" spans="1:7" ht="18.95" customHeight="1">
      <c r="A1531" s="6" t="s">
        <v>4006</v>
      </c>
      <c r="B1531" s="6" t="s">
        <v>4007</v>
      </c>
      <c r="C1531" s="6" t="s">
        <v>350</v>
      </c>
      <c r="D1531" s="6" t="s">
        <v>93</v>
      </c>
      <c r="E1531" s="6" t="s">
        <v>46</v>
      </c>
      <c r="F1531" s="6" t="s">
        <v>98</v>
      </c>
      <c r="G1531" s="6" t="s">
        <v>4008</v>
      </c>
    </row>
    <row r="1532" spans="1:7" ht="18.95" customHeight="1">
      <c r="A1532" s="6" t="s">
        <v>4009</v>
      </c>
      <c r="B1532" s="6" t="s">
        <v>4007</v>
      </c>
      <c r="C1532" s="6" t="s">
        <v>350</v>
      </c>
      <c r="D1532" s="6" t="s">
        <v>97</v>
      </c>
      <c r="E1532" s="6" t="s">
        <v>47</v>
      </c>
      <c r="F1532" s="6" t="s">
        <v>98</v>
      </c>
      <c r="G1532" s="6" t="s">
        <v>4010</v>
      </c>
    </row>
    <row r="1533" spans="1:7" ht="18.95" customHeight="1">
      <c r="A1533" s="6" t="s">
        <v>4011</v>
      </c>
      <c r="B1533" s="6" t="s">
        <v>4012</v>
      </c>
      <c r="C1533" s="6" t="s">
        <v>356</v>
      </c>
      <c r="D1533" s="6" t="s">
        <v>103</v>
      </c>
      <c r="E1533" s="6" t="s">
        <v>48</v>
      </c>
      <c r="F1533" s="6" t="s">
        <v>98</v>
      </c>
      <c r="G1533" s="6" t="s">
        <v>4013</v>
      </c>
    </row>
    <row r="1534" spans="1:7" ht="18.95" customHeight="1">
      <c r="A1534" s="6" t="s">
        <v>4014</v>
      </c>
      <c r="B1534" s="6" t="s">
        <v>4012</v>
      </c>
      <c r="C1534" s="6" t="s">
        <v>356</v>
      </c>
      <c r="D1534" s="6" t="s">
        <v>93</v>
      </c>
      <c r="E1534" s="6" t="s">
        <v>46</v>
      </c>
      <c r="F1534" s="6" t="s">
        <v>98</v>
      </c>
      <c r="G1534" s="6" t="s">
        <v>4015</v>
      </c>
    </row>
    <row r="1535" spans="1:7" ht="18.95" customHeight="1">
      <c r="A1535" s="6" t="s">
        <v>4016</v>
      </c>
      <c r="B1535" s="6" t="s">
        <v>4017</v>
      </c>
      <c r="C1535" s="6" t="s">
        <v>362</v>
      </c>
      <c r="D1535" s="6" t="s">
        <v>97</v>
      </c>
      <c r="E1535" s="6" t="s">
        <v>47</v>
      </c>
      <c r="F1535" s="6" t="s">
        <v>98</v>
      </c>
      <c r="G1535" s="6" t="s">
        <v>4018</v>
      </c>
    </row>
    <row r="1536" spans="1:7" ht="18.95" customHeight="1">
      <c r="A1536" s="6" t="s">
        <v>4019</v>
      </c>
      <c r="B1536" s="6" t="s">
        <v>4017</v>
      </c>
      <c r="C1536" s="6" t="s">
        <v>362</v>
      </c>
      <c r="D1536" s="6" t="s">
        <v>103</v>
      </c>
      <c r="E1536" s="6" t="s">
        <v>48</v>
      </c>
      <c r="F1536" s="6" t="s">
        <v>98</v>
      </c>
      <c r="G1536" s="6" t="s">
        <v>4020</v>
      </c>
    </row>
    <row r="1537" spans="1:7" ht="18.95" customHeight="1">
      <c r="A1537" s="6" t="s">
        <v>4021</v>
      </c>
      <c r="B1537" s="6" t="s">
        <v>4022</v>
      </c>
      <c r="C1537" s="6" t="s">
        <v>368</v>
      </c>
      <c r="D1537" s="6" t="s">
        <v>93</v>
      </c>
      <c r="E1537" s="6" t="s">
        <v>46</v>
      </c>
      <c r="F1537" s="6" t="s">
        <v>98</v>
      </c>
      <c r="G1537" s="6" t="s">
        <v>4023</v>
      </c>
    </row>
    <row r="1538" spans="1:7" ht="18.95" customHeight="1">
      <c r="A1538" s="6" t="s">
        <v>4024</v>
      </c>
      <c r="B1538" s="6" t="s">
        <v>4022</v>
      </c>
      <c r="C1538" s="6" t="s">
        <v>368</v>
      </c>
      <c r="D1538" s="6" t="s">
        <v>97</v>
      </c>
      <c r="E1538" s="6" t="s">
        <v>47</v>
      </c>
      <c r="F1538" s="6" t="s">
        <v>98</v>
      </c>
      <c r="G1538" s="6" t="s">
        <v>4025</v>
      </c>
    </row>
    <row r="1539" spans="1:7" ht="18.95" customHeight="1">
      <c r="A1539" s="6" t="s">
        <v>4026</v>
      </c>
      <c r="B1539" s="6" t="s">
        <v>4027</v>
      </c>
      <c r="C1539" s="6" t="s">
        <v>374</v>
      </c>
      <c r="D1539" s="6" t="s">
        <v>103</v>
      </c>
      <c r="E1539" s="6" t="s">
        <v>48</v>
      </c>
      <c r="F1539" s="6" t="s">
        <v>98</v>
      </c>
      <c r="G1539" s="6" t="s">
        <v>4028</v>
      </c>
    </row>
    <row r="1540" spans="1:7" ht="18.95" customHeight="1">
      <c r="A1540" s="6" t="s">
        <v>4029</v>
      </c>
      <c r="B1540" s="6" t="s">
        <v>4027</v>
      </c>
      <c r="C1540" s="6" t="s">
        <v>374</v>
      </c>
      <c r="D1540" s="6" t="s">
        <v>93</v>
      </c>
      <c r="E1540" s="6" t="s">
        <v>46</v>
      </c>
      <c r="F1540" s="6" t="s">
        <v>98</v>
      </c>
      <c r="G1540" s="6" t="s">
        <v>4030</v>
      </c>
    </row>
    <row r="1541" spans="1:7" ht="18.95" customHeight="1">
      <c r="A1541" s="6" t="s">
        <v>4031</v>
      </c>
      <c r="B1541" s="6" t="s">
        <v>4032</v>
      </c>
      <c r="C1541" s="6" t="s">
        <v>380</v>
      </c>
      <c r="D1541" s="6" t="s">
        <v>97</v>
      </c>
      <c r="E1541" s="6" t="s">
        <v>47</v>
      </c>
      <c r="F1541" s="6" t="s">
        <v>98</v>
      </c>
      <c r="G1541" s="6" t="s">
        <v>4033</v>
      </c>
    </row>
    <row r="1542" spans="1:7" ht="18.95" customHeight="1">
      <c r="A1542" s="6" t="s">
        <v>4034</v>
      </c>
      <c r="B1542" s="6" t="s">
        <v>4032</v>
      </c>
      <c r="C1542" s="6" t="s">
        <v>380</v>
      </c>
      <c r="D1542" s="6" t="s">
        <v>103</v>
      </c>
      <c r="E1542" s="6" t="s">
        <v>48</v>
      </c>
      <c r="F1542" s="6" t="s">
        <v>98</v>
      </c>
      <c r="G1542" s="6" t="s">
        <v>4035</v>
      </c>
    </row>
    <row r="1543" spans="1:7" ht="18.95" customHeight="1">
      <c r="A1543" s="6" t="s">
        <v>4036</v>
      </c>
      <c r="B1543" s="6" t="s">
        <v>4037</v>
      </c>
      <c r="C1543" s="6" t="s">
        <v>386</v>
      </c>
      <c r="D1543" s="6" t="s">
        <v>93</v>
      </c>
      <c r="E1543" s="6" t="s">
        <v>46</v>
      </c>
      <c r="F1543" s="6" t="s">
        <v>98</v>
      </c>
      <c r="G1543" s="6" t="s">
        <v>4038</v>
      </c>
    </row>
    <row r="1544" spans="1:7" ht="18.95" customHeight="1">
      <c r="A1544" s="6" t="s">
        <v>4039</v>
      </c>
      <c r="B1544" s="6" t="s">
        <v>4037</v>
      </c>
      <c r="C1544" s="6" t="s">
        <v>386</v>
      </c>
      <c r="D1544" s="6" t="s">
        <v>97</v>
      </c>
      <c r="E1544" s="6" t="s">
        <v>47</v>
      </c>
      <c r="F1544" s="6" t="s">
        <v>98</v>
      </c>
      <c r="G1544" s="6" t="s">
        <v>4040</v>
      </c>
    </row>
    <row r="1545" spans="1:7" ht="18.95" customHeight="1">
      <c r="A1545" s="6" t="s">
        <v>4041</v>
      </c>
      <c r="B1545" s="6" t="s">
        <v>4042</v>
      </c>
      <c r="C1545" s="6" t="s">
        <v>392</v>
      </c>
      <c r="D1545" s="6" t="s">
        <v>103</v>
      </c>
      <c r="E1545" s="6" t="s">
        <v>48</v>
      </c>
      <c r="F1545" s="6" t="s">
        <v>98</v>
      </c>
      <c r="G1545" s="6" t="s">
        <v>4043</v>
      </c>
    </row>
    <row r="1546" spans="1:7" ht="18.95" customHeight="1">
      <c r="A1546" s="6" t="s">
        <v>4044</v>
      </c>
      <c r="B1546" s="6" t="s">
        <v>4042</v>
      </c>
      <c r="C1546" s="6" t="s">
        <v>392</v>
      </c>
      <c r="D1546" s="6" t="s">
        <v>93</v>
      </c>
      <c r="E1546" s="6" t="s">
        <v>46</v>
      </c>
      <c r="F1546" s="6" t="s">
        <v>98</v>
      </c>
      <c r="G1546" s="6" t="s">
        <v>4045</v>
      </c>
    </row>
    <row r="1547" spans="1:7" ht="18.95" customHeight="1">
      <c r="A1547" s="6" t="s">
        <v>4046</v>
      </c>
      <c r="B1547" s="6" t="s">
        <v>4047</v>
      </c>
      <c r="C1547" s="6" t="s">
        <v>4048</v>
      </c>
      <c r="D1547" s="6" t="s">
        <v>97</v>
      </c>
      <c r="E1547" s="6" t="s">
        <v>47</v>
      </c>
      <c r="F1547" s="6" t="s">
        <v>98</v>
      </c>
      <c r="G1547" s="6" t="s">
        <v>4049</v>
      </c>
    </row>
    <row r="1548" spans="1:7" ht="18.95" customHeight="1">
      <c r="A1548" s="6" t="s">
        <v>4050</v>
      </c>
      <c r="B1548" s="6" t="s">
        <v>4047</v>
      </c>
      <c r="C1548" s="6" t="s">
        <v>398</v>
      </c>
      <c r="D1548" s="6" t="s">
        <v>103</v>
      </c>
      <c r="E1548" s="6" t="s">
        <v>48</v>
      </c>
      <c r="F1548" s="6" t="s">
        <v>94</v>
      </c>
      <c r="G1548" s="6" t="s">
        <v>4051</v>
      </c>
    </row>
    <row r="1549" spans="1:7" ht="18.95" customHeight="1">
      <c r="A1549" s="6" t="s">
        <v>4052</v>
      </c>
      <c r="B1549" s="6" t="s">
        <v>4053</v>
      </c>
      <c r="C1549" s="6" t="s">
        <v>404</v>
      </c>
      <c r="D1549" s="6" t="s">
        <v>93</v>
      </c>
      <c r="E1549" s="6" t="s">
        <v>46</v>
      </c>
      <c r="F1549" s="6" t="s">
        <v>98</v>
      </c>
      <c r="G1549" s="6" t="s">
        <v>4054</v>
      </c>
    </row>
    <row r="1550" spans="1:7" ht="18.95" customHeight="1">
      <c r="A1550" s="6" t="s">
        <v>4055</v>
      </c>
      <c r="B1550" s="6" t="s">
        <v>4053</v>
      </c>
      <c r="C1550" s="6" t="s">
        <v>404</v>
      </c>
      <c r="D1550" s="6" t="s">
        <v>97</v>
      </c>
      <c r="E1550" s="6" t="s">
        <v>47</v>
      </c>
      <c r="F1550" s="6" t="s">
        <v>98</v>
      </c>
      <c r="G1550" s="6" t="s">
        <v>4056</v>
      </c>
    </row>
    <row r="1551" spans="1:7" ht="18.95" customHeight="1">
      <c r="A1551" s="6" t="s">
        <v>4057</v>
      </c>
      <c r="B1551" s="6" t="s">
        <v>4058</v>
      </c>
      <c r="C1551" s="6" t="s">
        <v>410</v>
      </c>
      <c r="D1551" s="6" t="s">
        <v>103</v>
      </c>
      <c r="E1551" s="6" t="s">
        <v>48</v>
      </c>
      <c r="F1551" s="6" t="s">
        <v>98</v>
      </c>
      <c r="G1551" s="6" t="s">
        <v>4059</v>
      </c>
    </row>
    <row r="1552" spans="1:7" ht="18.95" customHeight="1">
      <c r="A1552" s="6" t="s">
        <v>4060</v>
      </c>
      <c r="B1552" s="6" t="s">
        <v>4058</v>
      </c>
      <c r="C1552" s="6" t="s">
        <v>410</v>
      </c>
      <c r="D1552" s="6" t="s">
        <v>93</v>
      </c>
      <c r="E1552" s="6" t="s">
        <v>46</v>
      </c>
      <c r="F1552" s="6" t="s">
        <v>98</v>
      </c>
      <c r="G1552" s="6" t="s">
        <v>4061</v>
      </c>
    </row>
    <row r="1553" spans="1:7" ht="18.95" customHeight="1">
      <c r="A1553" s="6" t="s">
        <v>4062</v>
      </c>
      <c r="B1553" s="6" t="s">
        <v>4063</v>
      </c>
      <c r="C1553" s="6" t="s">
        <v>416</v>
      </c>
      <c r="D1553" s="6" t="s">
        <v>97</v>
      </c>
      <c r="E1553" s="6" t="s">
        <v>47</v>
      </c>
      <c r="F1553" s="6" t="s">
        <v>98</v>
      </c>
      <c r="G1553" s="6" t="s">
        <v>4064</v>
      </c>
    </row>
    <row r="1554" spans="1:7" ht="18.95" customHeight="1">
      <c r="A1554" s="6" t="s">
        <v>4065</v>
      </c>
      <c r="B1554" s="6" t="s">
        <v>4063</v>
      </c>
      <c r="C1554" s="6" t="s">
        <v>416</v>
      </c>
      <c r="D1554" s="6" t="s">
        <v>103</v>
      </c>
      <c r="E1554" s="6" t="s">
        <v>48</v>
      </c>
      <c r="F1554" s="6" t="s">
        <v>98</v>
      </c>
      <c r="G1554" s="6" t="s">
        <v>4066</v>
      </c>
    </row>
    <row r="1555" spans="1:7" ht="18.95" customHeight="1">
      <c r="A1555" s="6" t="s">
        <v>4067</v>
      </c>
      <c r="B1555" s="6" t="s">
        <v>4068</v>
      </c>
      <c r="C1555" s="6" t="s">
        <v>422</v>
      </c>
      <c r="D1555" s="6" t="s">
        <v>93</v>
      </c>
      <c r="E1555" s="6" t="s">
        <v>46</v>
      </c>
      <c r="F1555" s="6" t="s">
        <v>98</v>
      </c>
      <c r="G1555" s="6" t="s">
        <v>4069</v>
      </c>
    </row>
    <row r="1556" spans="1:7" ht="18.95" customHeight="1">
      <c r="A1556" s="6" t="s">
        <v>4070</v>
      </c>
      <c r="B1556" s="6" t="s">
        <v>4068</v>
      </c>
      <c r="C1556" s="6" t="s">
        <v>422</v>
      </c>
      <c r="D1556" s="6" t="s">
        <v>97</v>
      </c>
      <c r="E1556" s="6" t="s">
        <v>47</v>
      </c>
      <c r="F1556" s="6" t="s">
        <v>98</v>
      </c>
      <c r="G1556" s="6" t="s">
        <v>4071</v>
      </c>
    </row>
    <row r="1557" spans="1:7" ht="18.95" customHeight="1">
      <c r="A1557" s="6" t="s">
        <v>4072</v>
      </c>
      <c r="B1557" s="6" t="s">
        <v>4073</v>
      </c>
      <c r="C1557" s="6" t="s">
        <v>428</v>
      </c>
      <c r="D1557" s="6" t="s">
        <v>103</v>
      </c>
      <c r="E1557" s="6" t="s">
        <v>48</v>
      </c>
      <c r="F1557" s="6" t="s">
        <v>98</v>
      </c>
      <c r="G1557" s="6" t="s">
        <v>4074</v>
      </c>
    </row>
    <row r="1558" spans="1:7" ht="18.95" customHeight="1">
      <c r="A1558" s="6" t="s">
        <v>4075</v>
      </c>
      <c r="B1558" s="6" t="s">
        <v>4073</v>
      </c>
      <c r="C1558" s="6" t="s">
        <v>428</v>
      </c>
      <c r="D1558" s="6" t="s">
        <v>93</v>
      </c>
      <c r="E1558" s="6" t="s">
        <v>46</v>
      </c>
      <c r="F1558" s="6" t="s">
        <v>98</v>
      </c>
      <c r="G1558" s="6" t="s">
        <v>4076</v>
      </c>
    </row>
    <row r="1559" spans="1:7" ht="18.95" customHeight="1">
      <c r="A1559" s="6" t="s">
        <v>4077</v>
      </c>
      <c r="B1559" s="6" t="s">
        <v>4078</v>
      </c>
      <c r="C1559" s="6" t="s">
        <v>434</v>
      </c>
      <c r="D1559" s="6" t="s">
        <v>97</v>
      </c>
      <c r="E1559" s="6" t="s">
        <v>47</v>
      </c>
      <c r="F1559" s="6" t="s">
        <v>98</v>
      </c>
      <c r="G1559" s="6" t="s">
        <v>4079</v>
      </c>
    </row>
    <row r="1560" spans="1:7" ht="18.95" customHeight="1">
      <c r="A1560" s="6" t="s">
        <v>4080</v>
      </c>
      <c r="B1560" s="6" t="s">
        <v>4078</v>
      </c>
      <c r="C1560" s="6" t="s">
        <v>434</v>
      </c>
      <c r="D1560" s="6" t="s">
        <v>103</v>
      </c>
      <c r="E1560" s="6" t="s">
        <v>48</v>
      </c>
      <c r="F1560" s="6" t="s">
        <v>98</v>
      </c>
      <c r="G1560" s="6" t="s">
        <v>4081</v>
      </c>
    </row>
    <row r="1561" spans="1:7" ht="18.95" customHeight="1">
      <c r="A1561" s="6" t="s">
        <v>4082</v>
      </c>
      <c r="B1561" s="6" t="s">
        <v>4083</v>
      </c>
      <c r="C1561" s="6" t="s">
        <v>440</v>
      </c>
      <c r="D1561" s="6" t="s">
        <v>93</v>
      </c>
      <c r="E1561" s="6" t="s">
        <v>46</v>
      </c>
      <c r="F1561" s="6" t="s">
        <v>98</v>
      </c>
      <c r="G1561" s="6" t="s">
        <v>4084</v>
      </c>
    </row>
    <row r="1562" spans="1:7" ht="18.95" customHeight="1">
      <c r="A1562" s="6" t="s">
        <v>4085</v>
      </c>
      <c r="B1562" s="6" t="s">
        <v>4083</v>
      </c>
      <c r="C1562" s="6" t="s">
        <v>440</v>
      </c>
      <c r="D1562" s="6" t="s">
        <v>97</v>
      </c>
      <c r="E1562" s="6" t="s">
        <v>47</v>
      </c>
      <c r="F1562" s="6" t="s">
        <v>98</v>
      </c>
      <c r="G1562" s="6" t="s">
        <v>4086</v>
      </c>
    </row>
    <row r="1563" spans="1:7" ht="18.95" customHeight="1">
      <c r="A1563" s="6" t="s">
        <v>4087</v>
      </c>
      <c r="B1563" s="6" t="s">
        <v>4088</v>
      </c>
      <c r="C1563" s="6" t="s">
        <v>446</v>
      </c>
      <c r="D1563" s="6" t="s">
        <v>103</v>
      </c>
      <c r="E1563" s="6" t="s">
        <v>48</v>
      </c>
      <c r="F1563" s="6" t="s">
        <v>98</v>
      </c>
      <c r="G1563" s="6" t="s">
        <v>4089</v>
      </c>
    </row>
    <row r="1564" spans="1:7" ht="18.95" customHeight="1">
      <c r="A1564" s="6" t="s">
        <v>4090</v>
      </c>
      <c r="B1564" s="6" t="s">
        <v>4088</v>
      </c>
      <c r="C1564" s="6" t="s">
        <v>446</v>
      </c>
      <c r="D1564" s="6" t="s">
        <v>93</v>
      </c>
      <c r="E1564" s="6" t="s">
        <v>46</v>
      </c>
      <c r="F1564" s="6" t="s">
        <v>98</v>
      </c>
      <c r="G1564" s="6" t="s">
        <v>4091</v>
      </c>
    </row>
    <row r="1565" spans="1:7" ht="18.95" customHeight="1">
      <c r="A1565" s="6" t="s">
        <v>4092</v>
      </c>
      <c r="B1565" s="6" t="s">
        <v>4093</v>
      </c>
      <c r="C1565" s="6" t="s">
        <v>452</v>
      </c>
      <c r="D1565" s="6" t="s">
        <v>97</v>
      </c>
      <c r="E1565" s="6" t="s">
        <v>47</v>
      </c>
      <c r="F1565" s="6" t="s">
        <v>98</v>
      </c>
      <c r="G1565" s="6" t="s">
        <v>4094</v>
      </c>
    </row>
    <row r="1566" spans="1:7" ht="18.95" customHeight="1">
      <c r="A1566" s="6" t="s">
        <v>4095</v>
      </c>
      <c r="B1566" s="6" t="s">
        <v>4093</v>
      </c>
      <c r="C1566" s="6" t="s">
        <v>452</v>
      </c>
      <c r="D1566" s="6" t="s">
        <v>103</v>
      </c>
      <c r="E1566" s="6" t="s">
        <v>48</v>
      </c>
      <c r="F1566" s="6" t="s">
        <v>98</v>
      </c>
      <c r="G1566" s="6" t="s">
        <v>4096</v>
      </c>
    </row>
    <row r="1567" spans="1:7" ht="18.95" customHeight="1">
      <c r="A1567" s="6" t="s">
        <v>4097</v>
      </c>
      <c r="B1567" s="6" t="s">
        <v>4098</v>
      </c>
      <c r="C1567" s="6" t="s">
        <v>458</v>
      </c>
      <c r="D1567" s="6" t="s">
        <v>93</v>
      </c>
      <c r="E1567" s="6" t="s">
        <v>46</v>
      </c>
      <c r="F1567" s="6" t="s">
        <v>98</v>
      </c>
      <c r="G1567" s="6" t="s">
        <v>4099</v>
      </c>
    </row>
    <row r="1568" spans="1:7" ht="18.95" customHeight="1">
      <c r="A1568" s="6" t="s">
        <v>4100</v>
      </c>
      <c r="B1568" s="6" t="s">
        <v>4098</v>
      </c>
      <c r="C1568" s="6" t="s">
        <v>458</v>
      </c>
      <c r="D1568" s="6" t="s">
        <v>97</v>
      </c>
      <c r="E1568" s="6" t="s">
        <v>47</v>
      </c>
      <c r="F1568" s="6" t="s">
        <v>98</v>
      </c>
      <c r="G1568" s="6" t="s">
        <v>4101</v>
      </c>
    </row>
    <row r="1569" spans="1:7" ht="18.95" customHeight="1">
      <c r="A1569" s="6" t="s">
        <v>4102</v>
      </c>
      <c r="B1569" s="6" t="s">
        <v>4103</v>
      </c>
      <c r="C1569" s="6" t="s">
        <v>464</v>
      </c>
      <c r="D1569" s="6" t="s">
        <v>103</v>
      </c>
      <c r="E1569" s="6" t="s">
        <v>48</v>
      </c>
      <c r="F1569" s="6" t="s">
        <v>98</v>
      </c>
      <c r="G1569" s="6" t="s">
        <v>4104</v>
      </c>
    </row>
    <row r="1570" spans="1:7" ht="18.95" customHeight="1">
      <c r="A1570" s="6" t="s">
        <v>4105</v>
      </c>
      <c r="B1570" s="6" t="s">
        <v>4103</v>
      </c>
      <c r="C1570" s="6" t="s">
        <v>464</v>
      </c>
      <c r="D1570" s="6" t="s">
        <v>93</v>
      </c>
      <c r="E1570" s="6" t="s">
        <v>46</v>
      </c>
      <c r="F1570" s="6" t="s">
        <v>98</v>
      </c>
      <c r="G1570" s="6" t="s">
        <v>4106</v>
      </c>
    </row>
    <row r="1571" spans="1:7" ht="18.95" customHeight="1">
      <c r="A1571" s="6" t="s">
        <v>4107</v>
      </c>
      <c r="B1571" s="6" t="s">
        <v>4108</v>
      </c>
      <c r="C1571" s="6" t="s">
        <v>470</v>
      </c>
      <c r="D1571" s="6" t="s">
        <v>97</v>
      </c>
      <c r="E1571" s="6" t="s">
        <v>47</v>
      </c>
      <c r="F1571" s="6" t="s">
        <v>94</v>
      </c>
      <c r="G1571" s="6" t="s">
        <v>4109</v>
      </c>
    </row>
    <row r="1572" spans="1:7" ht="18.95" customHeight="1">
      <c r="A1572" s="6" t="s">
        <v>4110</v>
      </c>
      <c r="B1572" s="6" t="s">
        <v>4108</v>
      </c>
      <c r="C1572" s="6" t="s">
        <v>470</v>
      </c>
      <c r="D1572" s="6" t="s">
        <v>103</v>
      </c>
      <c r="E1572" s="6" t="s">
        <v>48</v>
      </c>
      <c r="F1572" s="6" t="s">
        <v>98</v>
      </c>
      <c r="G1572" s="6" t="s">
        <v>4111</v>
      </c>
    </row>
    <row r="1573" spans="1:7" ht="18.95" customHeight="1">
      <c r="A1573" s="6" t="s">
        <v>4112</v>
      </c>
      <c r="B1573" s="6" t="s">
        <v>4113</v>
      </c>
      <c r="C1573" s="6" t="s">
        <v>476</v>
      </c>
      <c r="D1573" s="6" t="s">
        <v>93</v>
      </c>
      <c r="E1573" s="6" t="s">
        <v>46</v>
      </c>
      <c r="F1573" s="6" t="s">
        <v>98</v>
      </c>
      <c r="G1573" s="6" t="s">
        <v>4114</v>
      </c>
    </row>
    <row r="1574" spans="1:7" ht="18.95" customHeight="1">
      <c r="A1574" s="6" t="s">
        <v>4115</v>
      </c>
      <c r="B1574" s="6" t="s">
        <v>4113</v>
      </c>
      <c r="C1574" s="6" t="s">
        <v>476</v>
      </c>
      <c r="D1574" s="6" t="s">
        <v>97</v>
      </c>
      <c r="E1574" s="6" t="s">
        <v>47</v>
      </c>
      <c r="F1574" s="6" t="s">
        <v>98</v>
      </c>
      <c r="G1574" s="6" t="s">
        <v>4116</v>
      </c>
    </row>
    <row r="1575" spans="1:7" ht="18.95" customHeight="1">
      <c r="A1575" s="6" t="s">
        <v>4117</v>
      </c>
      <c r="B1575" s="6" t="s">
        <v>4118</v>
      </c>
      <c r="C1575" s="6" t="s">
        <v>482</v>
      </c>
      <c r="D1575" s="6" t="s">
        <v>103</v>
      </c>
      <c r="E1575" s="6" t="s">
        <v>48</v>
      </c>
      <c r="F1575" s="6" t="s">
        <v>98</v>
      </c>
      <c r="G1575" s="6" t="s">
        <v>4119</v>
      </c>
    </row>
    <row r="1576" spans="1:7" ht="18.95" customHeight="1">
      <c r="A1576" s="6" t="s">
        <v>4120</v>
      </c>
      <c r="B1576" s="6" t="s">
        <v>4118</v>
      </c>
      <c r="C1576" s="6" t="s">
        <v>482</v>
      </c>
      <c r="D1576" s="6" t="s">
        <v>93</v>
      </c>
      <c r="E1576" s="6" t="s">
        <v>46</v>
      </c>
      <c r="F1576" s="6" t="s">
        <v>98</v>
      </c>
      <c r="G1576" s="6" t="s">
        <v>4121</v>
      </c>
    </row>
    <row r="1577" spans="1:7" ht="18.95" customHeight="1">
      <c r="A1577" s="6" t="s">
        <v>4122</v>
      </c>
      <c r="B1577" s="6" t="s">
        <v>4123</v>
      </c>
      <c r="C1577" s="6" t="s">
        <v>488</v>
      </c>
      <c r="D1577" s="6" t="s">
        <v>97</v>
      </c>
      <c r="E1577" s="6" t="s">
        <v>47</v>
      </c>
      <c r="F1577" s="6" t="s">
        <v>98</v>
      </c>
      <c r="G1577" s="6" t="s">
        <v>4124</v>
      </c>
    </row>
    <row r="1578" spans="1:7" ht="18.95" customHeight="1">
      <c r="A1578" s="6" t="s">
        <v>4125</v>
      </c>
      <c r="B1578" s="6" t="s">
        <v>4123</v>
      </c>
      <c r="C1578" s="6" t="s">
        <v>488</v>
      </c>
      <c r="D1578" s="6" t="s">
        <v>103</v>
      </c>
      <c r="E1578" s="6" t="s">
        <v>48</v>
      </c>
      <c r="F1578" s="6" t="s">
        <v>98</v>
      </c>
      <c r="G1578" s="6" t="s">
        <v>4126</v>
      </c>
    </row>
    <row r="1579" spans="1:7" ht="18.95" customHeight="1">
      <c r="A1579" s="6" t="s">
        <v>4127</v>
      </c>
      <c r="B1579" s="6" t="s">
        <v>4128</v>
      </c>
      <c r="C1579" s="6" t="s">
        <v>494</v>
      </c>
      <c r="D1579" s="6" t="s">
        <v>93</v>
      </c>
      <c r="E1579" s="6" t="s">
        <v>46</v>
      </c>
      <c r="F1579" s="6" t="s">
        <v>98</v>
      </c>
      <c r="G1579" s="6" t="s">
        <v>4129</v>
      </c>
    </row>
    <row r="1580" spans="1:7" ht="18.95" customHeight="1">
      <c r="A1580" s="6" t="s">
        <v>4130</v>
      </c>
      <c r="B1580" s="6" t="s">
        <v>4128</v>
      </c>
      <c r="C1580" s="6" t="s">
        <v>494</v>
      </c>
      <c r="D1580" s="6" t="s">
        <v>97</v>
      </c>
      <c r="E1580" s="6" t="s">
        <v>47</v>
      </c>
      <c r="F1580" s="6" t="s">
        <v>98</v>
      </c>
      <c r="G1580" s="6" t="s">
        <v>4131</v>
      </c>
    </row>
    <row r="1581" spans="1:7" ht="18.95" customHeight="1">
      <c r="A1581" s="6" t="s">
        <v>4132</v>
      </c>
      <c r="B1581" s="6" t="s">
        <v>4133</v>
      </c>
      <c r="C1581" s="6" t="s">
        <v>500</v>
      </c>
      <c r="D1581" s="6" t="s">
        <v>103</v>
      </c>
      <c r="E1581" s="6" t="s">
        <v>48</v>
      </c>
      <c r="F1581" s="6" t="s">
        <v>98</v>
      </c>
      <c r="G1581" s="6" t="s">
        <v>4134</v>
      </c>
    </row>
    <row r="1582" spans="1:7" ht="18.95" customHeight="1">
      <c r="A1582" s="6" t="s">
        <v>4135</v>
      </c>
      <c r="B1582" s="6" t="s">
        <v>4133</v>
      </c>
      <c r="C1582" s="6" t="s">
        <v>500</v>
      </c>
      <c r="D1582" s="6" t="s">
        <v>93</v>
      </c>
      <c r="E1582" s="6" t="s">
        <v>46</v>
      </c>
      <c r="F1582" s="6" t="s">
        <v>98</v>
      </c>
      <c r="G1582" s="6" t="s">
        <v>4136</v>
      </c>
    </row>
    <row r="1583" spans="1:7" ht="18.95" customHeight="1">
      <c r="A1583" s="6" t="s">
        <v>4137</v>
      </c>
      <c r="B1583" s="6" t="s">
        <v>4138</v>
      </c>
      <c r="C1583" s="6" t="s">
        <v>506</v>
      </c>
      <c r="D1583" s="6" t="s">
        <v>97</v>
      </c>
      <c r="E1583" s="6" t="s">
        <v>47</v>
      </c>
      <c r="F1583" s="6" t="s">
        <v>98</v>
      </c>
      <c r="G1583" s="6" t="s">
        <v>4139</v>
      </c>
    </row>
    <row r="1584" spans="1:7" ht="18.95" customHeight="1">
      <c r="A1584" s="6" t="s">
        <v>4140</v>
      </c>
      <c r="B1584" s="6" t="s">
        <v>4138</v>
      </c>
      <c r="C1584" s="6" t="s">
        <v>506</v>
      </c>
      <c r="D1584" s="6" t="s">
        <v>103</v>
      </c>
      <c r="E1584" s="6" t="s">
        <v>48</v>
      </c>
      <c r="F1584" s="6" t="s">
        <v>98</v>
      </c>
      <c r="G1584" s="6" t="s">
        <v>4141</v>
      </c>
    </row>
    <row r="1585" spans="1:7" ht="18.95" customHeight="1">
      <c r="A1585" s="6" t="s">
        <v>4142</v>
      </c>
      <c r="B1585" s="6" t="s">
        <v>4143</v>
      </c>
      <c r="C1585" s="6" t="s">
        <v>512</v>
      </c>
      <c r="D1585" s="6" t="s">
        <v>93</v>
      </c>
      <c r="E1585" s="6" t="s">
        <v>46</v>
      </c>
      <c r="F1585" s="6" t="s">
        <v>98</v>
      </c>
      <c r="G1585" s="6" t="s">
        <v>4144</v>
      </c>
    </row>
    <row r="1586" spans="1:7" ht="18.95" customHeight="1">
      <c r="A1586" s="6" t="s">
        <v>4145</v>
      </c>
      <c r="B1586" s="6" t="s">
        <v>4143</v>
      </c>
      <c r="C1586" s="6" t="s">
        <v>512</v>
      </c>
      <c r="D1586" s="6" t="s">
        <v>97</v>
      </c>
      <c r="E1586" s="6" t="s">
        <v>47</v>
      </c>
      <c r="F1586" s="6" t="s">
        <v>98</v>
      </c>
      <c r="G1586" s="6" t="s">
        <v>4146</v>
      </c>
    </row>
    <row r="1587" spans="1:7" ht="18.95" customHeight="1">
      <c r="A1587" s="6" t="s">
        <v>4147</v>
      </c>
      <c r="B1587" s="6" t="s">
        <v>4148</v>
      </c>
      <c r="C1587" s="6" t="s">
        <v>518</v>
      </c>
      <c r="D1587" s="6" t="s">
        <v>103</v>
      </c>
      <c r="E1587" s="6" t="s">
        <v>48</v>
      </c>
      <c r="F1587" s="6" t="s">
        <v>98</v>
      </c>
      <c r="G1587" s="6" t="s">
        <v>4149</v>
      </c>
    </row>
    <row r="1588" spans="1:7" ht="18.95" customHeight="1">
      <c r="A1588" s="6" t="s">
        <v>4150</v>
      </c>
      <c r="B1588" s="6" t="s">
        <v>4148</v>
      </c>
      <c r="C1588" s="6" t="s">
        <v>518</v>
      </c>
      <c r="D1588" s="6" t="s">
        <v>93</v>
      </c>
      <c r="E1588" s="6" t="s">
        <v>46</v>
      </c>
      <c r="F1588" s="6" t="s">
        <v>98</v>
      </c>
      <c r="G1588" s="6" t="s">
        <v>4151</v>
      </c>
    </row>
    <row r="1589" spans="1:7" ht="18.95" customHeight="1">
      <c r="A1589" s="6" t="s">
        <v>4152</v>
      </c>
      <c r="B1589" s="6" t="s">
        <v>4153</v>
      </c>
      <c r="C1589" s="6" t="s">
        <v>524</v>
      </c>
      <c r="D1589" s="6" t="s">
        <v>97</v>
      </c>
      <c r="E1589" s="6" t="s">
        <v>47</v>
      </c>
      <c r="F1589" s="6" t="s">
        <v>98</v>
      </c>
      <c r="G1589" s="6" t="s">
        <v>4154</v>
      </c>
    </row>
    <row r="1590" spans="1:7" ht="18.95" customHeight="1">
      <c r="A1590" s="6" t="s">
        <v>4155</v>
      </c>
      <c r="B1590" s="6" t="s">
        <v>4153</v>
      </c>
      <c r="C1590" s="6" t="s">
        <v>524</v>
      </c>
      <c r="D1590" s="6" t="s">
        <v>103</v>
      </c>
      <c r="E1590" s="6" t="s">
        <v>48</v>
      </c>
      <c r="F1590" s="6" t="s">
        <v>98</v>
      </c>
      <c r="G1590" s="6" t="s">
        <v>4156</v>
      </c>
    </row>
    <row r="1591" spans="1:7" ht="18.95" customHeight="1">
      <c r="A1591" s="6" t="s">
        <v>4157</v>
      </c>
      <c r="B1591" s="6" t="s">
        <v>4158</v>
      </c>
      <c r="C1591" s="6" t="s">
        <v>530</v>
      </c>
      <c r="D1591" s="6" t="s">
        <v>93</v>
      </c>
      <c r="E1591" s="6" t="s">
        <v>46</v>
      </c>
      <c r="F1591" s="6" t="s">
        <v>98</v>
      </c>
      <c r="G1591" s="6" t="s">
        <v>4159</v>
      </c>
    </row>
    <row r="1592" spans="1:7" ht="18.95" customHeight="1">
      <c r="A1592" s="6" t="s">
        <v>4160</v>
      </c>
      <c r="B1592" s="6" t="s">
        <v>4158</v>
      </c>
      <c r="C1592" s="6" t="s">
        <v>530</v>
      </c>
      <c r="D1592" s="6" t="s">
        <v>97</v>
      </c>
      <c r="E1592" s="6" t="s">
        <v>47</v>
      </c>
      <c r="F1592" s="6" t="s">
        <v>98</v>
      </c>
      <c r="G1592" s="6" t="s">
        <v>4161</v>
      </c>
    </row>
    <row r="1593" spans="1:7" ht="18.95" customHeight="1">
      <c r="A1593" s="6" t="s">
        <v>4162</v>
      </c>
      <c r="B1593" s="6" t="s">
        <v>4163</v>
      </c>
      <c r="C1593" s="6" t="s">
        <v>536</v>
      </c>
      <c r="D1593" s="6" t="s">
        <v>103</v>
      </c>
      <c r="E1593" s="6" t="s">
        <v>48</v>
      </c>
      <c r="F1593" s="6" t="s">
        <v>98</v>
      </c>
      <c r="G1593" s="6" t="s">
        <v>4164</v>
      </c>
    </row>
    <row r="1594" spans="1:7" ht="18.95" customHeight="1">
      <c r="A1594" s="6" t="s">
        <v>4165</v>
      </c>
      <c r="B1594" s="6" t="s">
        <v>4163</v>
      </c>
      <c r="C1594" s="6" t="s">
        <v>536</v>
      </c>
      <c r="D1594" s="6" t="s">
        <v>93</v>
      </c>
      <c r="E1594" s="6" t="s">
        <v>46</v>
      </c>
      <c r="F1594" s="6" t="s">
        <v>94</v>
      </c>
      <c r="G1594" s="6" t="s">
        <v>4166</v>
      </c>
    </row>
    <row r="1595" spans="1:7" ht="18.95" customHeight="1">
      <c r="A1595" s="6" t="s">
        <v>4167</v>
      </c>
      <c r="B1595" s="6" t="s">
        <v>4168</v>
      </c>
      <c r="C1595" s="6" t="s">
        <v>542</v>
      </c>
      <c r="D1595" s="6" t="s">
        <v>97</v>
      </c>
      <c r="E1595" s="6" t="s">
        <v>47</v>
      </c>
      <c r="F1595" s="6" t="s">
        <v>98</v>
      </c>
      <c r="G1595" s="6" t="s">
        <v>4169</v>
      </c>
    </row>
    <row r="1596" spans="1:7" ht="18.95" customHeight="1">
      <c r="A1596" s="6" t="s">
        <v>4170</v>
      </c>
      <c r="B1596" s="6" t="s">
        <v>4168</v>
      </c>
      <c r="C1596" s="6" t="s">
        <v>542</v>
      </c>
      <c r="D1596" s="6" t="s">
        <v>103</v>
      </c>
      <c r="E1596" s="6" t="s">
        <v>48</v>
      </c>
      <c r="F1596" s="6" t="s">
        <v>98</v>
      </c>
      <c r="G1596" s="6" t="s">
        <v>4171</v>
      </c>
    </row>
    <row r="1597" spans="1:7" ht="18.95" customHeight="1">
      <c r="A1597" s="6" t="s">
        <v>4172</v>
      </c>
      <c r="B1597" s="6" t="s">
        <v>4173</v>
      </c>
      <c r="C1597" s="6" t="s">
        <v>548</v>
      </c>
      <c r="D1597" s="6" t="s">
        <v>93</v>
      </c>
      <c r="E1597" s="6" t="s">
        <v>46</v>
      </c>
      <c r="F1597" s="6" t="s">
        <v>98</v>
      </c>
      <c r="G1597" s="6" t="s">
        <v>4174</v>
      </c>
    </row>
    <row r="1598" spans="1:7" ht="18.95" customHeight="1">
      <c r="A1598" s="6" t="s">
        <v>4175</v>
      </c>
      <c r="B1598" s="6" t="s">
        <v>4173</v>
      </c>
      <c r="C1598" s="6" t="s">
        <v>548</v>
      </c>
      <c r="D1598" s="6" t="s">
        <v>97</v>
      </c>
      <c r="E1598" s="6" t="s">
        <v>47</v>
      </c>
      <c r="F1598" s="6" t="s">
        <v>98</v>
      </c>
      <c r="G1598" s="6" t="s">
        <v>4176</v>
      </c>
    </row>
    <row r="1599" spans="1:7" ht="18.95" customHeight="1">
      <c r="A1599" s="6" t="s">
        <v>4177</v>
      </c>
      <c r="B1599" s="6" t="s">
        <v>4178</v>
      </c>
      <c r="C1599" s="6" t="s">
        <v>554</v>
      </c>
      <c r="D1599" s="6" t="s">
        <v>103</v>
      </c>
      <c r="E1599" s="6" t="s">
        <v>48</v>
      </c>
      <c r="F1599" s="6" t="s">
        <v>98</v>
      </c>
      <c r="G1599" s="6" t="s">
        <v>4179</v>
      </c>
    </row>
    <row r="1600" spans="1:7" ht="18.95" customHeight="1">
      <c r="A1600" s="6" t="s">
        <v>4180</v>
      </c>
      <c r="B1600" s="6" t="s">
        <v>4178</v>
      </c>
      <c r="C1600" s="6" t="s">
        <v>554</v>
      </c>
      <c r="D1600" s="6" t="s">
        <v>93</v>
      </c>
      <c r="E1600" s="6" t="s">
        <v>46</v>
      </c>
      <c r="F1600" s="6" t="s">
        <v>98</v>
      </c>
      <c r="G1600" s="6" t="s">
        <v>4181</v>
      </c>
    </row>
    <row r="1601" spans="1:7" ht="18.95" customHeight="1">
      <c r="A1601" s="6" t="s">
        <v>4182</v>
      </c>
      <c r="B1601" s="6" t="s">
        <v>4183</v>
      </c>
      <c r="C1601" s="6" t="s">
        <v>560</v>
      </c>
      <c r="D1601" s="6" t="s">
        <v>97</v>
      </c>
      <c r="E1601" s="6" t="s">
        <v>47</v>
      </c>
      <c r="F1601" s="6" t="s">
        <v>98</v>
      </c>
      <c r="G1601" s="6" t="s">
        <v>4184</v>
      </c>
    </row>
    <row r="1602" spans="1:7" ht="18.95" customHeight="1">
      <c r="A1602" s="6" t="s">
        <v>4185</v>
      </c>
      <c r="B1602" s="6" t="s">
        <v>4183</v>
      </c>
      <c r="C1602" s="6" t="s">
        <v>560</v>
      </c>
      <c r="D1602" s="6" t="s">
        <v>103</v>
      </c>
      <c r="E1602" s="6" t="s">
        <v>48</v>
      </c>
      <c r="F1602" s="6" t="s">
        <v>98</v>
      </c>
      <c r="G1602" s="6" t="s">
        <v>4186</v>
      </c>
    </row>
    <row r="1603" spans="1:7" ht="18.95" customHeight="1">
      <c r="A1603" s="6" t="s">
        <v>4187</v>
      </c>
      <c r="B1603" s="6" t="s">
        <v>4188</v>
      </c>
      <c r="C1603" s="6" t="s">
        <v>566</v>
      </c>
      <c r="D1603" s="6" t="s">
        <v>93</v>
      </c>
      <c r="E1603" s="6" t="s">
        <v>46</v>
      </c>
      <c r="F1603" s="6" t="s">
        <v>98</v>
      </c>
      <c r="G1603" s="6" t="s">
        <v>4189</v>
      </c>
    </row>
    <row r="1604" spans="1:7" ht="18.95" customHeight="1">
      <c r="A1604" s="6" t="s">
        <v>4190</v>
      </c>
      <c r="B1604" s="6" t="s">
        <v>4188</v>
      </c>
      <c r="C1604" s="6" t="s">
        <v>566</v>
      </c>
      <c r="D1604" s="6" t="s">
        <v>97</v>
      </c>
      <c r="E1604" s="6" t="s">
        <v>47</v>
      </c>
      <c r="F1604" s="6" t="s">
        <v>98</v>
      </c>
      <c r="G1604" s="6" t="s">
        <v>4191</v>
      </c>
    </row>
    <row r="1605" spans="1:7" ht="18.95" customHeight="1">
      <c r="A1605" s="6" t="s">
        <v>4192</v>
      </c>
      <c r="B1605" s="6" t="s">
        <v>4193</v>
      </c>
      <c r="C1605" s="6" t="s">
        <v>572</v>
      </c>
      <c r="D1605" s="6" t="s">
        <v>103</v>
      </c>
      <c r="E1605" s="6" t="s">
        <v>48</v>
      </c>
      <c r="F1605" s="6" t="s">
        <v>98</v>
      </c>
      <c r="G1605" s="6" t="s">
        <v>4194</v>
      </c>
    </row>
    <row r="1606" spans="1:7" ht="18.95" customHeight="1">
      <c r="A1606" s="6" t="s">
        <v>4195</v>
      </c>
      <c r="B1606" s="6" t="s">
        <v>4193</v>
      </c>
      <c r="C1606" s="6" t="s">
        <v>572</v>
      </c>
      <c r="D1606" s="6" t="s">
        <v>93</v>
      </c>
      <c r="E1606" s="6" t="s">
        <v>46</v>
      </c>
      <c r="F1606" s="6" t="s">
        <v>98</v>
      </c>
      <c r="G1606" s="6" t="s">
        <v>4196</v>
      </c>
    </row>
    <row r="1607" spans="1:7" ht="18.95" customHeight="1">
      <c r="A1607" s="6" t="s">
        <v>4197</v>
      </c>
      <c r="B1607" s="6" t="s">
        <v>4198</v>
      </c>
      <c r="C1607" s="6" t="s">
        <v>578</v>
      </c>
      <c r="D1607" s="6" t="s">
        <v>97</v>
      </c>
      <c r="E1607" s="6" t="s">
        <v>47</v>
      </c>
      <c r="F1607" s="6" t="s">
        <v>98</v>
      </c>
      <c r="G1607" s="6" t="s">
        <v>4199</v>
      </c>
    </row>
    <row r="1608" spans="1:7" ht="18.95" customHeight="1">
      <c r="A1608" s="6" t="s">
        <v>4200</v>
      </c>
      <c r="B1608" s="6" t="s">
        <v>4198</v>
      </c>
      <c r="C1608" s="6" t="s">
        <v>578</v>
      </c>
      <c r="D1608" s="6" t="s">
        <v>103</v>
      </c>
      <c r="E1608" s="6" t="s">
        <v>48</v>
      </c>
      <c r="F1608" s="6" t="s">
        <v>98</v>
      </c>
      <c r="G1608" s="6" t="s">
        <v>4201</v>
      </c>
    </row>
    <row r="1609" spans="1:7" ht="18.95" customHeight="1">
      <c r="A1609" s="6" t="s">
        <v>4202</v>
      </c>
      <c r="B1609" s="6" t="s">
        <v>4203</v>
      </c>
      <c r="C1609" s="6" t="s">
        <v>584</v>
      </c>
      <c r="D1609" s="6" t="s">
        <v>93</v>
      </c>
      <c r="E1609" s="6" t="s">
        <v>46</v>
      </c>
      <c r="F1609" s="6" t="s">
        <v>98</v>
      </c>
      <c r="G1609" s="6" t="s">
        <v>4204</v>
      </c>
    </row>
    <row r="1610" spans="1:7" ht="18.95" customHeight="1">
      <c r="A1610" s="6" t="s">
        <v>4205</v>
      </c>
      <c r="B1610" s="6" t="s">
        <v>4203</v>
      </c>
      <c r="C1610" s="6" t="s">
        <v>584</v>
      </c>
      <c r="D1610" s="6" t="s">
        <v>97</v>
      </c>
      <c r="E1610" s="6" t="s">
        <v>47</v>
      </c>
      <c r="F1610" s="6" t="s">
        <v>98</v>
      </c>
      <c r="G1610" s="6" t="s">
        <v>4206</v>
      </c>
    </row>
    <row r="1611" spans="1:7" ht="18.95" customHeight="1">
      <c r="A1611" s="6" t="s">
        <v>4207</v>
      </c>
      <c r="B1611" s="6" t="s">
        <v>4208</v>
      </c>
      <c r="C1611" s="6" t="s">
        <v>590</v>
      </c>
      <c r="D1611" s="6" t="s">
        <v>103</v>
      </c>
      <c r="E1611" s="6" t="s">
        <v>48</v>
      </c>
      <c r="F1611" s="6" t="s">
        <v>98</v>
      </c>
      <c r="G1611" s="6" t="s">
        <v>4209</v>
      </c>
    </row>
    <row r="1612" spans="1:7" ht="18.95" customHeight="1">
      <c r="A1612" s="6" t="s">
        <v>4210</v>
      </c>
      <c r="B1612" s="6" t="s">
        <v>4208</v>
      </c>
      <c r="C1612" s="6" t="s">
        <v>590</v>
      </c>
      <c r="D1612" s="6" t="s">
        <v>93</v>
      </c>
      <c r="E1612" s="6" t="s">
        <v>46</v>
      </c>
      <c r="F1612" s="6" t="s">
        <v>98</v>
      </c>
      <c r="G1612" s="6" t="s">
        <v>4211</v>
      </c>
    </row>
    <row r="1613" spans="1:7" ht="18.95" customHeight="1">
      <c r="A1613" s="6" t="s">
        <v>4212</v>
      </c>
      <c r="B1613" s="6" t="s">
        <v>4213</v>
      </c>
      <c r="C1613" s="6" t="s">
        <v>596</v>
      </c>
      <c r="D1613" s="6" t="s">
        <v>97</v>
      </c>
      <c r="E1613" s="6" t="s">
        <v>47</v>
      </c>
      <c r="F1613" s="6" t="s">
        <v>98</v>
      </c>
      <c r="G1613" s="6" t="s">
        <v>4214</v>
      </c>
    </row>
    <row r="1614" spans="1:7" ht="18.95" customHeight="1">
      <c r="A1614" s="6" t="s">
        <v>4215</v>
      </c>
      <c r="B1614" s="6" t="s">
        <v>4213</v>
      </c>
      <c r="C1614" s="6" t="s">
        <v>596</v>
      </c>
      <c r="D1614" s="6" t="s">
        <v>103</v>
      </c>
      <c r="E1614" s="6" t="s">
        <v>48</v>
      </c>
      <c r="F1614" s="6" t="s">
        <v>98</v>
      </c>
      <c r="G1614" s="6" t="s">
        <v>4216</v>
      </c>
    </row>
    <row r="1615" spans="1:7" ht="18.95" customHeight="1">
      <c r="A1615" s="6" t="s">
        <v>4217</v>
      </c>
      <c r="B1615" s="6" t="s">
        <v>4218</v>
      </c>
      <c r="C1615" s="6" t="s">
        <v>602</v>
      </c>
      <c r="D1615" s="6" t="s">
        <v>93</v>
      </c>
      <c r="E1615" s="6" t="s">
        <v>46</v>
      </c>
      <c r="F1615" s="6" t="s">
        <v>98</v>
      </c>
      <c r="G1615" s="6" t="s">
        <v>4219</v>
      </c>
    </row>
    <row r="1616" spans="1:7" ht="18.95" customHeight="1">
      <c r="A1616" s="6" t="s">
        <v>4220</v>
      </c>
      <c r="B1616" s="6" t="s">
        <v>4218</v>
      </c>
      <c r="C1616" s="6" t="s">
        <v>602</v>
      </c>
      <c r="D1616" s="6" t="s">
        <v>97</v>
      </c>
      <c r="E1616" s="6" t="s">
        <v>47</v>
      </c>
      <c r="F1616" s="6" t="s">
        <v>98</v>
      </c>
      <c r="G1616" s="6" t="s">
        <v>4221</v>
      </c>
    </row>
    <row r="1617" spans="1:7" ht="18.95" customHeight="1">
      <c r="A1617" s="6" t="s">
        <v>4222</v>
      </c>
      <c r="B1617" s="6" t="s">
        <v>4223</v>
      </c>
      <c r="C1617" s="6" t="s">
        <v>611</v>
      </c>
      <c r="D1617" s="6" t="s">
        <v>103</v>
      </c>
      <c r="E1617" s="6" t="s">
        <v>48</v>
      </c>
      <c r="F1617" s="6" t="s">
        <v>94</v>
      </c>
      <c r="G1617" s="6" t="s">
        <v>4224</v>
      </c>
    </row>
    <row r="1618" spans="1:7" ht="18.95" customHeight="1">
      <c r="A1618" s="6" t="s">
        <v>4225</v>
      </c>
      <c r="B1618" s="6" t="s">
        <v>4223</v>
      </c>
      <c r="C1618" s="6" t="s">
        <v>611</v>
      </c>
      <c r="D1618" s="6" t="s">
        <v>93</v>
      </c>
      <c r="E1618" s="6" t="s">
        <v>46</v>
      </c>
      <c r="F1618" s="6" t="s">
        <v>98</v>
      </c>
      <c r="G1618" s="6" t="s">
        <v>4226</v>
      </c>
    </row>
    <row r="1619" spans="1:7" ht="18.95" customHeight="1">
      <c r="A1619" s="6" t="s">
        <v>4227</v>
      </c>
      <c r="B1619" s="6" t="s">
        <v>4228</v>
      </c>
      <c r="C1619" s="6" t="s">
        <v>615</v>
      </c>
      <c r="D1619" s="6" t="s">
        <v>97</v>
      </c>
      <c r="E1619" s="6" t="s">
        <v>47</v>
      </c>
      <c r="F1619" s="6" t="s">
        <v>98</v>
      </c>
      <c r="G1619" s="6" t="s">
        <v>4229</v>
      </c>
    </row>
    <row r="1620" spans="1:7" ht="18.95" customHeight="1">
      <c r="A1620" s="6" t="s">
        <v>4230</v>
      </c>
      <c r="B1620" s="6" t="s">
        <v>4228</v>
      </c>
      <c r="C1620" s="6" t="s">
        <v>615</v>
      </c>
      <c r="D1620" s="6" t="s">
        <v>103</v>
      </c>
      <c r="E1620" s="6" t="s">
        <v>48</v>
      </c>
      <c r="F1620" s="6" t="s">
        <v>98</v>
      </c>
      <c r="G1620" s="6" t="s">
        <v>4231</v>
      </c>
    </row>
    <row r="1621" spans="1:7" ht="18.95" customHeight="1">
      <c r="A1621" s="6" t="s">
        <v>4232</v>
      </c>
      <c r="B1621" s="6" t="s">
        <v>4233</v>
      </c>
      <c r="C1621" s="6" t="s">
        <v>621</v>
      </c>
      <c r="D1621" s="6" t="s">
        <v>93</v>
      </c>
      <c r="E1621" s="6" t="s">
        <v>46</v>
      </c>
      <c r="F1621" s="6" t="s">
        <v>98</v>
      </c>
      <c r="G1621" s="6" t="s">
        <v>4234</v>
      </c>
    </row>
    <row r="1622" spans="1:7" ht="18.95" customHeight="1">
      <c r="A1622" s="6" t="s">
        <v>4235</v>
      </c>
      <c r="B1622" s="6" t="s">
        <v>4233</v>
      </c>
      <c r="C1622" s="6" t="s">
        <v>621</v>
      </c>
      <c r="D1622" s="6" t="s">
        <v>97</v>
      </c>
      <c r="E1622" s="6" t="s">
        <v>47</v>
      </c>
      <c r="F1622" s="6" t="s">
        <v>98</v>
      </c>
      <c r="G1622" s="6" t="s">
        <v>4236</v>
      </c>
    </row>
    <row r="1623" spans="1:7" ht="18.95" customHeight="1">
      <c r="A1623" s="6" t="s">
        <v>4237</v>
      </c>
      <c r="B1623" s="6" t="s">
        <v>4238</v>
      </c>
      <c r="C1623" s="6" t="s">
        <v>627</v>
      </c>
      <c r="D1623" s="6" t="s">
        <v>103</v>
      </c>
      <c r="E1623" s="6" t="s">
        <v>48</v>
      </c>
      <c r="F1623" s="6" t="s">
        <v>98</v>
      </c>
      <c r="G1623" s="6" t="s">
        <v>4239</v>
      </c>
    </row>
    <row r="1624" spans="1:7" ht="18.95" customHeight="1">
      <c r="A1624" s="6" t="s">
        <v>4240</v>
      </c>
      <c r="B1624" s="6" t="s">
        <v>4238</v>
      </c>
      <c r="C1624" s="6" t="s">
        <v>627</v>
      </c>
      <c r="D1624" s="6" t="s">
        <v>93</v>
      </c>
      <c r="E1624" s="6" t="s">
        <v>46</v>
      </c>
      <c r="F1624" s="6" t="s">
        <v>98</v>
      </c>
      <c r="G1624" s="6" t="s">
        <v>4241</v>
      </c>
    </row>
    <row r="1625" spans="1:7" ht="18.95" customHeight="1">
      <c r="A1625" s="6" t="s">
        <v>4242</v>
      </c>
      <c r="B1625" s="6" t="s">
        <v>4243</v>
      </c>
      <c r="C1625" s="6" t="s">
        <v>633</v>
      </c>
      <c r="D1625" s="6" t="s">
        <v>97</v>
      </c>
      <c r="E1625" s="6" t="s">
        <v>47</v>
      </c>
      <c r="F1625" s="6" t="s">
        <v>98</v>
      </c>
      <c r="G1625" s="6" t="s">
        <v>4244</v>
      </c>
    </row>
    <row r="1626" spans="1:7" ht="18.95" customHeight="1">
      <c r="A1626" s="6" t="s">
        <v>4245</v>
      </c>
      <c r="B1626" s="6" t="s">
        <v>4243</v>
      </c>
      <c r="C1626" s="6" t="s">
        <v>633</v>
      </c>
      <c r="D1626" s="6" t="s">
        <v>103</v>
      </c>
      <c r="E1626" s="6" t="s">
        <v>48</v>
      </c>
      <c r="F1626" s="6" t="s">
        <v>98</v>
      </c>
      <c r="G1626" s="6" t="s">
        <v>4246</v>
      </c>
    </row>
    <row r="1627" spans="1:7" ht="18.95" customHeight="1">
      <c r="A1627" s="6" t="s">
        <v>4247</v>
      </c>
      <c r="B1627" s="6" t="s">
        <v>4248</v>
      </c>
      <c r="C1627" s="6" t="s">
        <v>92</v>
      </c>
      <c r="D1627" s="6" t="s">
        <v>93</v>
      </c>
      <c r="E1627" s="6" t="s">
        <v>46</v>
      </c>
      <c r="F1627" s="6" t="s">
        <v>98</v>
      </c>
      <c r="G1627" s="6" t="s">
        <v>4249</v>
      </c>
    </row>
    <row r="1628" spans="1:7" ht="18.95" customHeight="1">
      <c r="A1628" s="6" t="s">
        <v>4250</v>
      </c>
      <c r="B1628" s="6" t="s">
        <v>4248</v>
      </c>
      <c r="C1628" s="6" t="s">
        <v>92</v>
      </c>
      <c r="D1628" s="6" t="s">
        <v>97</v>
      </c>
      <c r="E1628" s="6" t="s">
        <v>47</v>
      </c>
      <c r="F1628" s="6" t="s">
        <v>98</v>
      </c>
      <c r="G1628" s="6" t="s">
        <v>4251</v>
      </c>
    </row>
    <row r="1629" spans="1:7" ht="18.95" customHeight="1">
      <c r="A1629" s="6" t="s">
        <v>4252</v>
      </c>
      <c r="B1629" s="6" t="s">
        <v>4253</v>
      </c>
      <c r="C1629" s="6" t="s">
        <v>102</v>
      </c>
      <c r="D1629" s="6" t="s">
        <v>103</v>
      </c>
      <c r="E1629" s="6" t="s">
        <v>48</v>
      </c>
      <c r="F1629" s="6" t="s">
        <v>98</v>
      </c>
      <c r="G1629" s="6" t="s">
        <v>4254</v>
      </c>
    </row>
    <row r="1630" spans="1:7" ht="18.95" customHeight="1">
      <c r="A1630" s="6" t="s">
        <v>4255</v>
      </c>
      <c r="B1630" s="6" t="s">
        <v>4253</v>
      </c>
      <c r="C1630" s="6" t="s">
        <v>102</v>
      </c>
      <c r="D1630" s="6" t="s">
        <v>93</v>
      </c>
      <c r="E1630" s="6" t="s">
        <v>46</v>
      </c>
      <c r="F1630" s="6" t="s">
        <v>98</v>
      </c>
      <c r="G1630" s="6" t="s">
        <v>4256</v>
      </c>
    </row>
    <row r="1631" spans="1:7" ht="18.95" customHeight="1">
      <c r="A1631" s="6" t="s">
        <v>4257</v>
      </c>
      <c r="B1631" s="6" t="s">
        <v>4258</v>
      </c>
      <c r="C1631" s="6" t="s">
        <v>109</v>
      </c>
      <c r="D1631" s="6" t="s">
        <v>97</v>
      </c>
      <c r="E1631" s="6" t="s">
        <v>47</v>
      </c>
      <c r="F1631" s="6" t="s">
        <v>98</v>
      </c>
      <c r="G1631" s="6" t="s">
        <v>4259</v>
      </c>
    </row>
    <row r="1632" spans="1:7" ht="18.95" customHeight="1">
      <c r="A1632" s="6" t="s">
        <v>4260</v>
      </c>
      <c r="B1632" s="6" t="s">
        <v>4258</v>
      </c>
      <c r="C1632" s="6" t="s">
        <v>109</v>
      </c>
      <c r="D1632" s="6" t="s">
        <v>103</v>
      </c>
      <c r="E1632" s="6" t="s">
        <v>48</v>
      </c>
      <c r="F1632" s="6" t="s">
        <v>98</v>
      </c>
      <c r="G1632" s="6" t="s">
        <v>4261</v>
      </c>
    </row>
    <row r="1633" spans="1:7" ht="18.95" customHeight="1">
      <c r="A1633" s="6" t="s">
        <v>4262</v>
      </c>
      <c r="B1633" s="6" t="s">
        <v>4263</v>
      </c>
      <c r="C1633" s="6" t="s">
        <v>115</v>
      </c>
      <c r="D1633" s="6" t="s">
        <v>93</v>
      </c>
      <c r="E1633" s="6" t="s">
        <v>46</v>
      </c>
      <c r="F1633" s="6" t="s">
        <v>98</v>
      </c>
      <c r="G1633" s="6" t="s">
        <v>4264</v>
      </c>
    </row>
    <row r="1634" spans="1:7" ht="18.95" customHeight="1">
      <c r="A1634" s="6" t="s">
        <v>4265</v>
      </c>
      <c r="B1634" s="6" t="s">
        <v>4263</v>
      </c>
      <c r="C1634" s="6" t="s">
        <v>115</v>
      </c>
      <c r="D1634" s="6" t="s">
        <v>97</v>
      </c>
      <c r="E1634" s="6" t="s">
        <v>47</v>
      </c>
      <c r="F1634" s="6" t="s">
        <v>98</v>
      </c>
      <c r="G1634" s="6" t="s">
        <v>1085</v>
      </c>
    </row>
    <row r="1635" spans="1:7" ht="18.95" customHeight="1">
      <c r="A1635" s="6" t="s">
        <v>4266</v>
      </c>
      <c r="B1635" s="6" t="s">
        <v>4267</v>
      </c>
      <c r="C1635" s="6" t="s">
        <v>121</v>
      </c>
      <c r="D1635" s="6" t="s">
        <v>103</v>
      </c>
      <c r="E1635" s="6" t="s">
        <v>48</v>
      </c>
      <c r="F1635" s="6" t="s">
        <v>98</v>
      </c>
      <c r="G1635" s="6" t="s">
        <v>4268</v>
      </c>
    </row>
    <row r="1636" spans="1:7" ht="18.95" customHeight="1">
      <c r="A1636" s="6" t="s">
        <v>4269</v>
      </c>
      <c r="B1636" s="6" t="s">
        <v>4267</v>
      </c>
      <c r="C1636" s="6" t="s">
        <v>121</v>
      </c>
      <c r="D1636" s="6" t="s">
        <v>93</v>
      </c>
      <c r="E1636" s="6" t="s">
        <v>46</v>
      </c>
      <c r="F1636" s="6" t="s">
        <v>98</v>
      </c>
      <c r="G1636" s="6" t="s">
        <v>4270</v>
      </c>
    </row>
    <row r="1637" spans="1:7" ht="18.95" customHeight="1">
      <c r="A1637" s="6" t="s">
        <v>4271</v>
      </c>
      <c r="B1637" s="6" t="s">
        <v>4272</v>
      </c>
      <c r="C1637" s="6" t="s">
        <v>127</v>
      </c>
      <c r="D1637" s="6" t="s">
        <v>97</v>
      </c>
      <c r="E1637" s="6" t="s">
        <v>47</v>
      </c>
      <c r="F1637" s="6" t="s">
        <v>98</v>
      </c>
      <c r="G1637" s="6" t="s">
        <v>4273</v>
      </c>
    </row>
    <row r="1638" spans="1:7" ht="18.95" customHeight="1">
      <c r="A1638" s="6" t="s">
        <v>4274</v>
      </c>
      <c r="B1638" s="6" t="s">
        <v>4272</v>
      </c>
      <c r="C1638" s="6" t="s">
        <v>127</v>
      </c>
      <c r="D1638" s="6" t="s">
        <v>103</v>
      </c>
      <c r="E1638" s="6" t="s">
        <v>48</v>
      </c>
      <c r="F1638" s="6" t="s">
        <v>98</v>
      </c>
      <c r="G1638" s="6" t="s">
        <v>4275</v>
      </c>
    </row>
    <row r="1639" spans="1:7" ht="18.95" customHeight="1">
      <c r="A1639" s="6" t="s">
        <v>4276</v>
      </c>
      <c r="B1639" s="6" t="s">
        <v>4277</v>
      </c>
      <c r="C1639" s="6" t="s">
        <v>133</v>
      </c>
      <c r="D1639" s="6" t="s">
        <v>93</v>
      </c>
      <c r="E1639" s="6" t="s">
        <v>46</v>
      </c>
      <c r="F1639" s="6" t="s">
        <v>98</v>
      </c>
      <c r="G1639" s="6" t="s">
        <v>4278</v>
      </c>
    </row>
    <row r="1640" spans="1:7" ht="18.95" customHeight="1">
      <c r="A1640" s="6" t="s">
        <v>4279</v>
      </c>
      <c r="B1640" s="6" t="s">
        <v>4277</v>
      </c>
      <c r="C1640" s="6" t="s">
        <v>133</v>
      </c>
      <c r="D1640" s="6" t="s">
        <v>97</v>
      </c>
      <c r="E1640" s="6" t="s">
        <v>47</v>
      </c>
      <c r="F1640" s="6" t="s">
        <v>94</v>
      </c>
      <c r="G1640" s="6" t="s">
        <v>4280</v>
      </c>
    </row>
    <row r="1641" spans="1:7" ht="18.95" customHeight="1">
      <c r="A1641" s="6" t="s">
        <v>4281</v>
      </c>
      <c r="B1641" s="6" t="s">
        <v>4282</v>
      </c>
      <c r="C1641" s="6" t="s">
        <v>139</v>
      </c>
      <c r="D1641" s="6" t="s">
        <v>103</v>
      </c>
      <c r="E1641" s="6" t="s">
        <v>48</v>
      </c>
      <c r="F1641" s="6" t="s">
        <v>98</v>
      </c>
      <c r="G1641" s="6" t="s">
        <v>160</v>
      </c>
    </row>
    <row r="1642" spans="1:7" ht="18.95" customHeight="1">
      <c r="A1642" s="6" t="s">
        <v>4283</v>
      </c>
      <c r="B1642" s="6" t="s">
        <v>4282</v>
      </c>
      <c r="C1642" s="6" t="s">
        <v>139</v>
      </c>
      <c r="D1642" s="6" t="s">
        <v>93</v>
      </c>
      <c r="E1642" s="6" t="s">
        <v>46</v>
      </c>
      <c r="F1642" s="6" t="s">
        <v>98</v>
      </c>
      <c r="G1642" s="6" t="s">
        <v>4284</v>
      </c>
    </row>
    <row r="1643" spans="1:7" ht="18.95" customHeight="1">
      <c r="A1643" s="6" t="s">
        <v>4285</v>
      </c>
      <c r="B1643" s="6" t="s">
        <v>4286</v>
      </c>
      <c r="C1643" s="6" t="s">
        <v>145</v>
      </c>
      <c r="D1643" s="6" t="s">
        <v>97</v>
      </c>
      <c r="E1643" s="6" t="s">
        <v>47</v>
      </c>
      <c r="F1643" s="6" t="s">
        <v>98</v>
      </c>
      <c r="G1643" s="6" t="s">
        <v>4287</v>
      </c>
    </row>
    <row r="1644" spans="1:7" ht="18.95" customHeight="1">
      <c r="A1644" s="6" t="s">
        <v>4288</v>
      </c>
      <c r="B1644" s="6" t="s">
        <v>4286</v>
      </c>
      <c r="C1644" s="6" t="s">
        <v>145</v>
      </c>
      <c r="D1644" s="6" t="s">
        <v>103</v>
      </c>
      <c r="E1644" s="6" t="s">
        <v>48</v>
      </c>
      <c r="F1644" s="6" t="s">
        <v>98</v>
      </c>
      <c r="G1644" s="6" t="s">
        <v>1147</v>
      </c>
    </row>
    <row r="1645" spans="1:7" ht="18.95" customHeight="1">
      <c r="A1645" s="6" t="s">
        <v>4289</v>
      </c>
      <c r="B1645" s="6" t="s">
        <v>4290</v>
      </c>
      <c r="C1645" s="6" t="s">
        <v>151</v>
      </c>
      <c r="D1645" s="6" t="s">
        <v>93</v>
      </c>
      <c r="E1645" s="6" t="s">
        <v>46</v>
      </c>
      <c r="F1645" s="6" t="s">
        <v>98</v>
      </c>
      <c r="G1645" s="6" t="s">
        <v>4291</v>
      </c>
    </row>
    <row r="1646" spans="1:7" ht="18.95" customHeight="1">
      <c r="A1646" s="6" t="s">
        <v>4292</v>
      </c>
      <c r="B1646" s="6" t="s">
        <v>4290</v>
      </c>
      <c r="C1646" s="6" t="s">
        <v>151</v>
      </c>
      <c r="D1646" s="6" t="s">
        <v>97</v>
      </c>
      <c r="E1646" s="6" t="s">
        <v>47</v>
      </c>
      <c r="F1646" s="6" t="s">
        <v>98</v>
      </c>
      <c r="G1646" s="6" t="s">
        <v>4293</v>
      </c>
    </row>
    <row r="1647" spans="1:7" ht="18.95" customHeight="1">
      <c r="A1647" s="6" t="s">
        <v>4294</v>
      </c>
      <c r="B1647" s="6" t="s">
        <v>4295</v>
      </c>
      <c r="C1647" s="6" t="s">
        <v>157</v>
      </c>
      <c r="D1647" s="6" t="s">
        <v>103</v>
      </c>
      <c r="E1647" s="6" t="s">
        <v>48</v>
      </c>
      <c r="F1647" s="6" t="s">
        <v>98</v>
      </c>
      <c r="G1647" s="6" t="s">
        <v>4296</v>
      </c>
    </row>
    <row r="1648" spans="1:7" ht="18.95" customHeight="1">
      <c r="A1648" s="6" t="s">
        <v>4297</v>
      </c>
      <c r="B1648" s="6" t="s">
        <v>4295</v>
      </c>
      <c r="C1648" s="6" t="s">
        <v>157</v>
      </c>
      <c r="D1648" s="6" t="s">
        <v>93</v>
      </c>
      <c r="E1648" s="6" t="s">
        <v>46</v>
      </c>
      <c r="F1648" s="6" t="s">
        <v>98</v>
      </c>
      <c r="G1648" s="6" t="s">
        <v>4298</v>
      </c>
    </row>
    <row r="1649" spans="1:7" ht="18.95" customHeight="1">
      <c r="A1649" s="6" t="s">
        <v>4299</v>
      </c>
      <c r="B1649" s="6" t="s">
        <v>4300</v>
      </c>
      <c r="C1649" s="6" t="s">
        <v>163</v>
      </c>
      <c r="D1649" s="6" t="s">
        <v>97</v>
      </c>
      <c r="E1649" s="6" t="s">
        <v>47</v>
      </c>
      <c r="F1649" s="6" t="s">
        <v>98</v>
      </c>
      <c r="G1649" s="6" t="s">
        <v>4301</v>
      </c>
    </row>
    <row r="1650" spans="1:7" ht="18.95" customHeight="1">
      <c r="A1650" s="6" t="s">
        <v>4302</v>
      </c>
      <c r="B1650" s="6" t="s">
        <v>4300</v>
      </c>
      <c r="C1650" s="6" t="s">
        <v>163</v>
      </c>
      <c r="D1650" s="6" t="s">
        <v>103</v>
      </c>
      <c r="E1650" s="6" t="s">
        <v>48</v>
      </c>
      <c r="F1650" s="6" t="s">
        <v>98</v>
      </c>
      <c r="G1650" s="6" t="s">
        <v>4303</v>
      </c>
    </row>
    <row r="1651" spans="1:7" ht="18.95" customHeight="1">
      <c r="A1651" s="6" t="s">
        <v>4304</v>
      </c>
      <c r="B1651" s="6" t="s">
        <v>4305</v>
      </c>
      <c r="C1651" s="6" t="s">
        <v>169</v>
      </c>
      <c r="D1651" s="6" t="s">
        <v>93</v>
      </c>
      <c r="E1651" s="6" t="s">
        <v>46</v>
      </c>
      <c r="F1651" s="6" t="s">
        <v>98</v>
      </c>
      <c r="G1651" s="6" t="s">
        <v>4306</v>
      </c>
    </row>
    <row r="1652" spans="1:7" ht="18.95" customHeight="1">
      <c r="A1652" s="6" t="s">
        <v>4307</v>
      </c>
      <c r="B1652" s="6" t="s">
        <v>4305</v>
      </c>
      <c r="C1652" s="6" t="s">
        <v>169</v>
      </c>
      <c r="D1652" s="6" t="s">
        <v>97</v>
      </c>
      <c r="E1652" s="6" t="s">
        <v>47</v>
      </c>
      <c r="F1652" s="6" t="s">
        <v>98</v>
      </c>
      <c r="G1652" s="6" t="s">
        <v>4308</v>
      </c>
    </row>
    <row r="1653" spans="1:7" ht="18.95" customHeight="1">
      <c r="A1653" s="6" t="s">
        <v>4309</v>
      </c>
      <c r="B1653" s="6" t="s">
        <v>4310</v>
      </c>
      <c r="C1653" s="6" t="s">
        <v>175</v>
      </c>
      <c r="D1653" s="6" t="s">
        <v>103</v>
      </c>
      <c r="E1653" s="6" t="s">
        <v>48</v>
      </c>
      <c r="F1653" s="6" t="s">
        <v>98</v>
      </c>
      <c r="G1653" s="6" t="s">
        <v>4311</v>
      </c>
    </row>
    <row r="1654" spans="1:7" ht="18.95" customHeight="1">
      <c r="A1654" s="6" t="s">
        <v>4312</v>
      </c>
      <c r="B1654" s="6" t="s">
        <v>4310</v>
      </c>
      <c r="C1654" s="6" t="s">
        <v>175</v>
      </c>
      <c r="D1654" s="6" t="s">
        <v>93</v>
      </c>
      <c r="E1654" s="6" t="s">
        <v>46</v>
      </c>
      <c r="F1654" s="6" t="s">
        <v>98</v>
      </c>
      <c r="G1654" s="6" t="s">
        <v>1210</v>
      </c>
    </row>
    <row r="1655" spans="1:7" ht="18.95" customHeight="1">
      <c r="A1655" s="6" t="s">
        <v>4313</v>
      </c>
      <c r="B1655" s="6" t="s">
        <v>4314</v>
      </c>
      <c r="C1655" s="6" t="s">
        <v>181</v>
      </c>
      <c r="D1655" s="6" t="s">
        <v>97</v>
      </c>
      <c r="E1655" s="6" t="s">
        <v>47</v>
      </c>
      <c r="F1655" s="6" t="s">
        <v>98</v>
      </c>
      <c r="G1655" s="6" t="s">
        <v>4315</v>
      </c>
    </row>
    <row r="1656" spans="1:7" ht="18.95" customHeight="1">
      <c r="A1656" s="6" t="s">
        <v>4316</v>
      </c>
      <c r="B1656" s="6" t="s">
        <v>4314</v>
      </c>
      <c r="C1656" s="6" t="s">
        <v>181</v>
      </c>
      <c r="D1656" s="6" t="s">
        <v>103</v>
      </c>
      <c r="E1656" s="6" t="s">
        <v>48</v>
      </c>
      <c r="F1656" s="6" t="s">
        <v>98</v>
      </c>
      <c r="G1656" s="6" t="s">
        <v>221</v>
      </c>
    </row>
    <row r="1657" spans="1:7" ht="18.95" customHeight="1">
      <c r="A1657" s="6" t="s">
        <v>4317</v>
      </c>
      <c r="B1657" s="6" t="s">
        <v>4318</v>
      </c>
      <c r="C1657" s="6" t="s">
        <v>187</v>
      </c>
      <c r="D1657" s="6" t="s">
        <v>93</v>
      </c>
      <c r="E1657" s="6" t="s">
        <v>46</v>
      </c>
      <c r="F1657" s="6" t="s">
        <v>98</v>
      </c>
      <c r="G1657" s="6" t="s">
        <v>4319</v>
      </c>
    </row>
    <row r="1658" spans="1:7" ht="18.95" customHeight="1">
      <c r="A1658" s="6" t="s">
        <v>4320</v>
      </c>
      <c r="B1658" s="6" t="s">
        <v>4318</v>
      </c>
      <c r="C1658" s="6" t="s">
        <v>187</v>
      </c>
      <c r="D1658" s="6" t="s">
        <v>97</v>
      </c>
      <c r="E1658" s="6" t="s">
        <v>47</v>
      </c>
      <c r="F1658" s="6" t="s">
        <v>98</v>
      </c>
      <c r="G1658" s="6" t="s">
        <v>4321</v>
      </c>
    </row>
    <row r="1659" spans="1:7" ht="18.95" customHeight="1">
      <c r="A1659" s="6" t="s">
        <v>4322</v>
      </c>
      <c r="B1659" s="6" t="s">
        <v>4323</v>
      </c>
      <c r="C1659" s="6" t="s">
        <v>193</v>
      </c>
      <c r="D1659" s="6" t="s">
        <v>103</v>
      </c>
      <c r="E1659" s="6" t="s">
        <v>48</v>
      </c>
      <c r="F1659" s="6" t="s">
        <v>98</v>
      </c>
      <c r="G1659" s="6" t="s">
        <v>4324</v>
      </c>
    </row>
    <row r="1660" spans="1:7" ht="18.95" customHeight="1">
      <c r="A1660" s="6" t="s">
        <v>4325</v>
      </c>
      <c r="B1660" s="6" t="s">
        <v>4323</v>
      </c>
      <c r="C1660" s="6" t="s">
        <v>193</v>
      </c>
      <c r="D1660" s="6" t="s">
        <v>93</v>
      </c>
      <c r="E1660" s="6" t="s">
        <v>46</v>
      </c>
      <c r="F1660" s="6" t="s">
        <v>98</v>
      </c>
      <c r="G1660" s="6" t="s">
        <v>4326</v>
      </c>
    </row>
    <row r="1661" spans="1:7" ht="18.95" customHeight="1">
      <c r="A1661" s="6" t="s">
        <v>4327</v>
      </c>
      <c r="B1661" s="6" t="s">
        <v>4328</v>
      </c>
      <c r="C1661" s="6" t="s">
        <v>200</v>
      </c>
      <c r="D1661" s="6" t="s">
        <v>97</v>
      </c>
      <c r="E1661" s="6" t="s">
        <v>47</v>
      </c>
      <c r="F1661" s="6" t="s">
        <v>98</v>
      </c>
      <c r="G1661" s="6" t="s">
        <v>4329</v>
      </c>
    </row>
    <row r="1662" spans="1:7" ht="18.95" customHeight="1">
      <c r="A1662" s="6" t="s">
        <v>4330</v>
      </c>
      <c r="B1662" s="6" t="s">
        <v>4328</v>
      </c>
      <c r="C1662" s="6" t="s">
        <v>200</v>
      </c>
      <c r="D1662" s="6" t="s">
        <v>103</v>
      </c>
      <c r="E1662" s="6" t="s">
        <v>48</v>
      </c>
      <c r="F1662" s="6" t="s">
        <v>98</v>
      </c>
      <c r="G1662" s="6" t="s">
        <v>4331</v>
      </c>
    </row>
    <row r="1663" spans="1:7" ht="18.95" customHeight="1">
      <c r="A1663" s="6" t="s">
        <v>4332</v>
      </c>
      <c r="B1663" s="6" t="s">
        <v>4333</v>
      </c>
      <c r="C1663" s="6" t="s">
        <v>206</v>
      </c>
      <c r="D1663" s="6" t="s">
        <v>93</v>
      </c>
      <c r="E1663" s="6" t="s">
        <v>46</v>
      </c>
      <c r="F1663" s="6" t="s">
        <v>94</v>
      </c>
      <c r="G1663" s="6" t="s">
        <v>4334</v>
      </c>
    </row>
    <row r="1664" spans="1:7" ht="18.95" customHeight="1">
      <c r="A1664" s="6" t="s">
        <v>4335</v>
      </c>
      <c r="B1664" s="6" t="s">
        <v>4333</v>
      </c>
      <c r="C1664" s="6" t="s">
        <v>206</v>
      </c>
      <c r="D1664" s="6" t="s">
        <v>97</v>
      </c>
      <c r="E1664" s="6" t="s">
        <v>47</v>
      </c>
      <c r="F1664" s="6" t="s">
        <v>98</v>
      </c>
      <c r="G1664" s="6" t="s">
        <v>1272</v>
      </c>
    </row>
    <row r="1665" spans="1:7" ht="18.95" customHeight="1">
      <c r="A1665" s="6" t="s">
        <v>4336</v>
      </c>
      <c r="B1665" s="6" t="s">
        <v>4337</v>
      </c>
      <c r="C1665" s="6" t="s">
        <v>212</v>
      </c>
      <c r="D1665" s="6" t="s">
        <v>103</v>
      </c>
      <c r="E1665" s="6" t="s">
        <v>48</v>
      </c>
      <c r="F1665" s="6" t="s">
        <v>98</v>
      </c>
      <c r="G1665" s="6" t="s">
        <v>4338</v>
      </c>
    </row>
    <row r="1666" spans="1:7" ht="18.95" customHeight="1">
      <c r="A1666" s="6" t="s">
        <v>4339</v>
      </c>
      <c r="B1666" s="6" t="s">
        <v>4337</v>
      </c>
      <c r="C1666" s="6" t="s">
        <v>212</v>
      </c>
      <c r="D1666" s="6" t="s">
        <v>93</v>
      </c>
      <c r="E1666" s="6" t="s">
        <v>46</v>
      </c>
      <c r="F1666" s="6" t="s">
        <v>98</v>
      </c>
      <c r="G1666" s="6" t="s">
        <v>4340</v>
      </c>
    </row>
    <row r="1667" spans="1:7" ht="18.95" customHeight="1">
      <c r="A1667" s="6" t="s">
        <v>4341</v>
      </c>
      <c r="B1667" s="6" t="s">
        <v>4342</v>
      </c>
      <c r="C1667" s="6" t="s">
        <v>218</v>
      </c>
      <c r="D1667" s="6" t="s">
        <v>97</v>
      </c>
      <c r="E1667" s="6" t="s">
        <v>47</v>
      </c>
      <c r="F1667" s="6" t="s">
        <v>98</v>
      </c>
      <c r="G1667" s="6" t="s">
        <v>4343</v>
      </c>
    </row>
    <row r="1668" spans="1:7" ht="18.95" customHeight="1">
      <c r="A1668" s="6" t="s">
        <v>4344</v>
      </c>
      <c r="B1668" s="6" t="s">
        <v>4342</v>
      </c>
      <c r="C1668" s="6" t="s">
        <v>218</v>
      </c>
      <c r="D1668" s="6" t="s">
        <v>103</v>
      </c>
      <c r="E1668" s="6" t="s">
        <v>48</v>
      </c>
      <c r="F1668" s="6" t="s">
        <v>98</v>
      </c>
      <c r="G1668" s="6" t="s">
        <v>4345</v>
      </c>
    </row>
    <row r="1669" spans="1:7" ht="18.95" customHeight="1">
      <c r="A1669" s="6" t="s">
        <v>4346</v>
      </c>
      <c r="B1669" s="6" t="s">
        <v>4347</v>
      </c>
      <c r="C1669" s="6" t="s">
        <v>224</v>
      </c>
      <c r="D1669" s="6" t="s">
        <v>93</v>
      </c>
      <c r="E1669" s="6" t="s">
        <v>46</v>
      </c>
      <c r="F1669" s="6" t="s">
        <v>98</v>
      </c>
      <c r="G1669" s="6" t="s">
        <v>4348</v>
      </c>
    </row>
    <row r="1670" spans="1:7" ht="18.95" customHeight="1">
      <c r="A1670" s="6" t="s">
        <v>4349</v>
      </c>
      <c r="B1670" s="6" t="s">
        <v>4347</v>
      </c>
      <c r="C1670" s="6" t="s">
        <v>224</v>
      </c>
      <c r="D1670" s="6" t="s">
        <v>97</v>
      </c>
      <c r="E1670" s="6" t="s">
        <v>47</v>
      </c>
      <c r="F1670" s="6" t="s">
        <v>98</v>
      </c>
      <c r="G1670" s="6" t="s">
        <v>4350</v>
      </c>
    </row>
    <row r="1671" spans="1:7" ht="18.95" customHeight="1">
      <c r="A1671" s="6" t="s">
        <v>4351</v>
      </c>
      <c r="B1671" s="6" t="s">
        <v>4352</v>
      </c>
      <c r="C1671" s="6" t="s">
        <v>230</v>
      </c>
      <c r="D1671" s="6" t="s">
        <v>103</v>
      </c>
      <c r="E1671" s="6" t="s">
        <v>48</v>
      </c>
      <c r="F1671" s="6" t="s">
        <v>98</v>
      </c>
      <c r="G1671" s="6" t="s">
        <v>281</v>
      </c>
    </row>
    <row r="1672" spans="1:7" ht="18.95" customHeight="1">
      <c r="A1672" s="6" t="s">
        <v>4353</v>
      </c>
      <c r="B1672" s="6" t="s">
        <v>4352</v>
      </c>
      <c r="C1672" s="6" t="s">
        <v>230</v>
      </c>
      <c r="D1672" s="6" t="s">
        <v>93</v>
      </c>
      <c r="E1672" s="6" t="s">
        <v>46</v>
      </c>
      <c r="F1672" s="6" t="s">
        <v>98</v>
      </c>
      <c r="G1672" s="6" t="s">
        <v>4354</v>
      </c>
    </row>
    <row r="1673" spans="1:7" ht="18.95" customHeight="1">
      <c r="A1673" s="6" t="s">
        <v>4355</v>
      </c>
      <c r="B1673" s="6" t="s">
        <v>4356</v>
      </c>
      <c r="C1673" s="6" t="s">
        <v>236</v>
      </c>
      <c r="D1673" s="6" t="s">
        <v>97</v>
      </c>
      <c r="E1673" s="6" t="s">
        <v>47</v>
      </c>
      <c r="F1673" s="6" t="s">
        <v>98</v>
      </c>
      <c r="G1673" s="6" t="s">
        <v>4357</v>
      </c>
    </row>
    <row r="1674" spans="1:7" ht="18.95" customHeight="1">
      <c r="A1674" s="6" t="s">
        <v>4358</v>
      </c>
      <c r="B1674" s="6" t="s">
        <v>4356</v>
      </c>
      <c r="C1674" s="6" t="s">
        <v>236</v>
      </c>
      <c r="D1674" s="6" t="s">
        <v>103</v>
      </c>
      <c r="E1674" s="6" t="s">
        <v>48</v>
      </c>
      <c r="F1674" s="6" t="s">
        <v>98</v>
      </c>
      <c r="G1674" s="6" t="s">
        <v>1336</v>
      </c>
    </row>
    <row r="1675" spans="1:7" ht="18.95" customHeight="1">
      <c r="A1675" s="6" t="s">
        <v>4359</v>
      </c>
      <c r="B1675" s="6" t="s">
        <v>4360</v>
      </c>
      <c r="C1675" s="6" t="s">
        <v>242</v>
      </c>
      <c r="D1675" s="6" t="s">
        <v>93</v>
      </c>
      <c r="E1675" s="6" t="s">
        <v>46</v>
      </c>
      <c r="F1675" s="6" t="s">
        <v>98</v>
      </c>
      <c r="G1675" s="6" t="s">
        <v>4361</v>
      </c>
    </row>
    <row r="1676" spans="1:7" ht="18.95" customHeight="1">
      <c r="A1676" s="6" t="s">
        <v>4362</v>
      </c>
      <c r="B1676" s="6" t="s">
        <v>4360</v>
      </c>
      <c r="C1676" s="6" t="s">
        <v>242</v>
      </c>
      <c r="D1676" s="6" t="s">
        <v>97</v>
      </c>
      <c r="E1676" s="6" t="s">
        <v>47</v>
      </c>
      <c r="F1676" s="6" t="s">
        <v>98</v>
      </c>
      <c r="G1676" s="6" t="s">
        <v>4363</v>
      </c>
    </row>
    <row r="1677" spans="1:7" ht="18.95" customHeight="1">
      <c r="A1677" s="6" t="s">
        <v>4364</v>
      </c>
      <c r="B1677" s="6" t="s">
        <v>4365</v>
      </c>
      <c r="C1677" s="6" t="s">
        <v>248</v>
      </c>
      <c r="D1677" s="6" t="s">
        <v>103</v>
      </c>
      <c r="E1677" s="6" t="s">
        <v>48</v>
      </c>
      <c r="F1677" s="6" t="s">
        <v>98</v>
      </c>
      <c r="G1677" s="6" t="s">
        <v>4366</v>
      </c>
    </row>
    <row r="1678" spans="1:7" ht="18.95" customHeight="1">
      <c r="A1678" s="6" t="s">
        <v>4367</v>
      </c>
      <c r="B1678" s="6" t="s">
        <v>4365</v>
      </c>
      <c r="C1678" s="6" t="s">
        <v>248</v>
      </c>
      <c r="D1678" s="6" t="s">
        <v>93</v>
      </c>
      <c r="E1678" s="6" t="s">
        <v>46</v>
      </c>
      <c r="F1678" s="6" t="s">
        <v>98</v>
      </c>
      <c r="G1678" s="6" t="s">
        <v>4368</v>
      </c>
    </row>
    <row r="1679" spans="1:7" ht="18.95" customHeight="1">
      <c r="A1679" s="6" t="s">
        <v>4369</v>
      </c>
      <c r="B1679" s="6" t="s">
        <v>4370</v>
      </c>
      <c r="C1679" s="6" t="s">
        <v>254</v>
      </c>
      <c r="D1679" s="6" t="s">
        <v>97</v>
      </c>
      <c r="E1679" s="6" t="s">
        <v>47</v>
      </c>
      <c r="F1679" s="6" t="s">
        <v>98</v>
      </c>
      <c r="G1679" s="6" t="s">
        <v>4371</v>
      </c>
    </row>
    <row r="1680" spans="1:7" ht="18.95" customHeight="1">
      <c r="A1680" s="6" t="s">
        <v>4372</v>
      </c>
      <c r="B1680" s="6" t="s">
        <v>4370</v>
      </c>
      <c r="C1680" s="6" t="s">
        <v>254</v>
      </c>
      <c r="D1680" s="6" t="s">
        <v>103</v>
      </c>
      <c r="E1680" s="6" t="s">
        <v>48</v>
      </c>
      <c r="F1680" s="6" t="s">
        <v>98</v>
      </c>
      <c r="G1680" s="6" t="s">
        <v>4373</v>
      </c>
    </row>
    <row r="1681" spans="1:7" ht="18.95" customHeight="1">
      <c r="A1681" s="6" t="s">
        <v>4374</v>
      </c>
      <c r="B1681" s="6" t="s">
        <v>4375</v>
      </c>
      <c r="C1681" s="6" t="s">
        <v>260</v>
      </c>
      <c r="D1681" s="6" t="s">
        <v>93</v>
      </c>
      <c r="E1681" s="6" t="s">
        <v>46</v>
      </c>
      <c r="F1681" s="6" t="s">
        <v>98</v>
      </c>
      <c r="G1681" s="6" t="s">
        <v>4376</v>
      </c>
    </row>
    <row r="1682" spans="1:7" ht="18.95" customHeight="1">
      <c r="A1682" s="6" t="s">
        <v>4377</v>
      </c>
      <c r="B1682" s="6" t="s">
        <v>4375</v>
      </c>
      <c r="C1682" s="6" t="s">
        <v>260</v>
      </c>
      <c r="D1682" s="6" t="s">
        <v>97</v>
      </c>
      <c r="E1682" s="6" t="s">
        <v>47</v>
      </c>
      <c r="F1682" s="6" t="s">
        <v>98</v>
      </c>
      <c r="G1682" s="6" t="s">
        <v>4378</v>
      </c>
    </row>
    <row r="1683" spans="1:7" ht="18.95" customHeight="1">
      <c r="A1683" s="6" t="s">
        <v>4379</v>
      </c>
      <c r="B1683" s="6" t="s">
        <v>4380</v>
      </c>
      <c r="C1683" s="6" t="s">
        <v>266</v>
      </c>
      <c r="D1683" s="6" t="s">
        <v>103</v>
      </c>
      <c r="E1683" s="6" t="s">
        <v>48</v>
      </c>
      <c r="F1683" s="6" t="s">
        <v>98</v>
      </c>
      <c r="G1683" s="6" t="s">
        <v>4381</v>
      </c>
    </row>
    <row r="1684" spans="1:7" ht="18.95" customHeight="1">
      <c r="A1684" s="6" t="s">
        <v>4382</v>
      </c>
      <c r="B1684" s="6" t="s">
        <v>4380</v>
      </c>
      <c r="C1684" s="6" t="s">
        <v>266</v>
      </c>
      <c r="D1684" s="6" t="s">
        <v>93</v>
      </c>
      <c r="E1684" s="6" t="s">
        <v>46</v>
      </c>
      <c r="F1684" s="6" t="s">
        <v>98</v>
      </c>
      <c r="G1684" s="6" t="s">
        <v>4383</v>
      </c>
    </row>
    <row r="1685" spans="1:7" ht="18.95" customHeight="1">
      <c r="A1685" s="6" t="s">
        <v>4384</v>
      </c>
      <c r="B1685" s="6" t="s">
        <v>4385</v>
      </c>
      <c r="C1685" s="6" t="s">
        <v>272</v>
      </c>
      <c r="D1685" s="6" t="s">
        <v>97</v>
      </c>
      <c r="E1685" s="6" t="s">
        <v>47</v>
      </c>
      <c r="F1685" s="6" t="s">
        <v>98</v>
      </c>
      <c r="G1685" s="6" t="s">
        <v>4386</v>
      </c>
    </row>
    <row r="1686" spans="1:7" ht="18.95" customHeight="1">
      <c r="A1686" s="6" t="s">
        <v>4387</v>
      </c>
      <c r="B1686" s="6" t="s">
        <v>4385</v>
      </c>
      <c r="C1686" s="6" t="s">
        <v>272</v>
      </c>
      <c r="D1686" s="6" t="s">
        <v>103</v>
      </c>
      <c r="E1686" s="6" t="s">
        <v>48</v>
      </c>
      <c r="F1686" s="6" t="s">
        <v>94</v>
      </c>
      <c r="G1686" s="6" t="s">
        <v>4388</v>
      </c>
    </row>
    <row r="1687" spans="1:7" ht="18.95" customHeight="1">
      <c r="A1687" s="6" t="s">
        <v>4389</v>
      </c>
      <c r="B1687" s="6" t="s">
        <v>4390</v>
      </c>
      <c r="C1687" s="6" t="s">
        <v>278</v>
      </c>
      <c r="D1687" s="6" t="s">
        <v>93</v>
      </c>
      <c r="E1687" s="6" t="s">
        <v>46</v>
      </c>
      <c r="F1687" s="6" t="s">
        <v>98</v>
      </c>
      <c r="G1687" s="6" t="s">
        <v>4391</v>
      </c>
    </row>
    <row r="1688" spans="1:7" ht="18.95" customHeight="1">
      <c r="A1688" s="6" t="s">
        <v>4392</v>
      </c>
      <c r="B1688" s="6" t="s">
        <v>4390</v>
      </c>
      <c r="C1688" s="6" t="s">
        <v>278</v>
      </c>
      <c r="D1688" s="6" t="s">
        <v>97</v>
      </c>
      <c r="E1688" s="6" t="s">
        <v>47</v>
      </c>
      <c r="F1688" s="6" t="s">
        <v>98</v>
      </c>
      <c r="G1688" s="6" t="s">
        <v>4393</v>
      </c>
    </row>
    <row r="1689" spans="1:7" ht="18.95" customHeight="1">
      <c r="A1689" s="6" t="s">
        <v>4394</v>
      </c>
      <c r="B1689" s="6" t="s">
        <v>4395</v>
      </c>
      <c r="C1689" s="6" t="s">
        <v>284</v>
      </c>
      <c r="D1689" s="6" t="s">
        <v>103</v>
      </c>
      <c r="E1689" s="6" t="s">
        <v>48</v>
      </c>
      <c r="F1689" s="6" t="s">
        <v>98</v>
      </c>
      <c r="G1689" s="6" t="s">
        <v>4396</v>
      </c>
    </row>
    <row r="1690" spans="1:7" ht="18.95" customHeight="1">
      <c r="A1690" s="6" t="s">
        <v>4397</v>
      </c>
      <c r="B1690" s="6" t="s">
        <v>4395</v>
      </c>
      <c r="C1690" s="6" t="s">
        <v>284</v>
      </c>
      <c r="D1690" s="6" t="s">
        <v>93</v>
      </c>
      <c r="E1690" s="6" t="s">
        <v>46</v>
      </c>
      <c r="F1690" s="6" t="s">
        <v>98</v>
      </c>
      <c r="G1690" s="6" t="s">
        <v>4398</v>
      </c>
    </row>
    <row r="1691" spans="1:7" ht="18.95" customHeight="1">
      <c r="A1691" s="6" t="s">
        <v>4399</v>
      </c>
      <c r="B1691" s="6" t="s">
        <v>4400</v>
      </c>
      <c r="C1691" s="6" t="s">
        <v>290</v>
      </c>
      <c r="D1691" s="6" t="s">
        <v>97</v>
      </c>
      <c r="E1691" s="6" t="s">
        <v>47</v>
      </c>
      <c r="F1691" s="6" t="s">
        <v>98</v>
      </c>
      <c r="G1691" s="6" t="s">
        <v>4401</v>
      </c>
    </row>
    <row r="1692" spans="1:7" ht="18.95" customHeight="1">
      <c r="A1692" s="6" t="s">
        <v>4402</v>
      </c>
      <c r="B1692" s="6" t="s">
        <v>4400</v>
      </c>
      <c r="C1692" s="6" t="s">
        <v>290</v>
      </c>
      <c r="D1692" s="6" t="s">
        <v>103</v>
      </c>
      <c r="E1692" s="6" t="s">
        <v>48</v>
      </c>
      <c r="F1692" s="6" t="s">
        <v>98</v>
      </c>
      <c r="G1692" s="6" t="s">
        <v>4403</v>
      </c>
    </row>
    <row r="1693" spans="1:7" ht="18.95" customHeight="1">
      <c r="A1693" s="6" t="s">
        <v>4404</v>
      </c>
      <c r="B1693" s="6" t="s">
        <v>4405</v>
      </c>
      <c r="C1693" s="6" t="s">
        <v>296</v>
      </c>
      <c r="D1693" s="6" t="s">
        <v>93</v>
      </c>
      <c r="E1693" s="6" t="s">
        <v>46</v>
      </c>
      <c r="F1693" s="6" t="s">
        <v>98</v>
      </c>
      <c r="G1693" s="6" t="s">
        <v>4406</v>
      </c>
    </row>
    <row r="1694" spans="1:7" ht="18.95" customHeight="1">
      <c r="A1694" s="6" t="s">
        <v>4407</v>
      </c>
      <c r="B1694" s="6" t="s">
        <v>4405</v>
      </c>
      <c r="C1694" s="6" t="s">
        <v>296</v>
      </c>
      <c r="D1694" s="6" t="s">
        <v>97</v>
      </c>
      <c r="E1694" s="6" t="s">
        <v>47</v>
      </c>
      <c r="F1694" s="6" t="s">
        <v>98</v>
      </c>
      <c r="G1694" s="6" t="s">
        <v>1461</v>
      </c>
    </row>
    <row r="1695" spans="1:7" ht="18.95" customHeight="1">
      <c r="A1695" s="6" t="s">
        <v>4408</v>
      </c>
      <c r="B1695" s="6" t="s">
        <v>4409</v>
      </c>
      <c r="C1695" s="6" t="s">
        <v>302</v>
      </c>
      <c r="D1695" s="6" t="s">
        <v>103</v>
      </c>
      <c r="E1695" s="6" t="s">
        <v>48</v>
      </c>
      <c r="F1695" s="6" t="s">
        <v>98</v>
      </c>
      <c r="G1695" s="6" t="s">
        <v>4410</v>
      </c>
    </row>
    <row r="1696" spans="1:7" ht="18.95" customHeight="1">
      <c r="A1696" s="6" t="s">
        <v>4411</v>
      </c>
      <c r="B1696" s="6" t="s">
        <v>4409</v>
      </c>
      <c r="C1696" s="6" t="s">
        <v>302</v>
      </c>
      <c r="D1696" s="6" t="s">
        <v>93</v>
      </c>
      <c r="E1696" s="6" t="s">
        <v>46</v>
      </c>
      <c r="F1696" s="6" t="s">
        <v>98</v>
      </c>
      <c r="G1696" s="6" t="s">
        <v>4412</v>
      </c>
    </row>
    <row r="1697" spans="1:7" ht="18.95" customHeight="1">
      <c r="A1697" s="6" t="s">
        <v>4413</v>
      </c>
      <c r="B1697" s="6" t="s">
        <v>4414</v>
      </c>
      <c r="C1697" s="6" t="s">
        <v>308</v>
      </c>
      <c r="D1697" s="6" t="s">
        <v>97</v>
      </c>
      <c r="E1697" s="6" t="s">
        <v>47</v>
      </c>
      <c r="F1697" s="6" t="s">
        <v>98</v>
      </c>
      <c r="G1697" s="6" t="s">
        <v>4415</v>
      </c>
    </row>
    <row r="1698" spans="1:7" ht="18.95" customHeight="1">
      <c r="A1698" s="6" t="s">
        <v>4416</v>
      </c>
      <c r="B1698" s="6" t="s">
        <v>4414</v>
      </c>
      <c r="C1698" s="6" t="s">
        <v>308</v>
      </c>
      <c r="D1698" s="6" t="s">
        <v>103</v>
      </c>
      <c r="E1698" s="6" t="s">
        <v>48</v>
      </c>
      <c r="F1698" s="6" t="s">
        <v>98</v>
      </c>
      <c r="G1698" s="6" t="s">
        <v>4417</v>
      </c>
    </row>
    <row r="1699" spans="1:7" ht="18.95" customHeight="1">
      <c r="A1699" s="6" t="s">
        <v>4418</v>
      </c>
      <c r="B1699" s="6" t="s">
        <v>4419</v>
      </c>
      <c r="C1699" s="6" t="s">
        <v>314</v>
      </c>
      <c r="D1699" s="6" t="s">
        <v>93</v>
      </c>
      <c r="E1699" s="6" t="s">
        <v>46</v>
      </c>
      <c r="F1699" s="6" t="s">
        <v>98</v>
      </c>
      <c r="G1699" s="6" t="s">
        <v>4420</v>
      </c>
    </row>
    <row r="1700" spans="1:7" ht="18.95" customHeight="1">
      <c r="A1700" s="6" t="s">
        <v>4421</v>
      </c>
      <c r="B1700" s="6" t="s">
        <v>4419</v>
      </c>
      <c r="C1700" s="6" t="s">
        <v>314</v>
      </c>
      <c r="D1700" s="6" t="s">
        <v>97</v>
      </c>
      <c r="E1700" s="6" t="s">
        <v>47</v>
      </c>
      <c r="F1700" s="6" t="s">
        <v>98</v>
      </c>
      <c r="G1700" s="6" t="s">
        <v>4422</v>
      </c>
    </row>
    <row r="1701" spans="1:7" ht="18.95" customHeight="1">
      <c r="A1701" s="6" t="s">
        <v>4423</v>
      </c>
      <c r="B1701" s="6" t="s">
        <v>4424</v>
      </c>
      <c r="C1701" s="6" t="s">
        <v>320</v>
      </c>
      <c r="D1701" s="6" t="s">
        <v>103</v>
      </c>
      <c r="E1701" s="6" t="s">
        <v>48</v>
      </c>
      <c r="F1701" s="6" t="s">
        <v>98</v>
      </c>
      <c r="G1701" s="6" t="s">
        <v>401</v>
      </c>
    </row>
    <row r="1702" spans="1:7" ht="18.95" customHeight="1">
      <c r="A1702" s="6" t="s">
        <v>4425</v>
      </c>
      <c r="B1702" s="6" t="s">
        <v>4424</v>
      </c>
      <c r="C1702" s="6" t="s">
        <v>320</v>
      </c>
      <c r="D1702" s="6" t="s">
        <v>93</v>
      </c>
      <c r="E1702" s="6" t="s">
        <v>46</v>
      </c>
      <c r="F1702" s="6" t="s">
        <v>98</v>
      </c>
      <c r="G1702" s="6" t="s">
        <v>4426</v>
      </c>
    </row>
    <row r="1703" spans="1:7" ht="18.95" customHeight="1">
      <c r="A1703" s="6" t="s">
        <v>4427</v>
      </c>
      <c r="B1703" s="6" t="s">
        <v>4428</v>
      </c>
      <c r="C1703" s="6" t="s">
        <v>326</v>
      </c>
      <c r="D1703" s="6" t="s">
        <v>97</v>
      </c>
      <c r="E1703" s="6" t="s">
        <v>47</v>
      </c>
      <c r="F1703" s="6" t="s">
        <v>98</v>
      </c>
      <c r="G1703" s="6" t="s">
        <v>4429</v>
      </c>
    </row>
    <row r="1704" spans="1:7" ht="18.95" customHeight="1">
      <c r="A1704" s="6" t="s">
        <v>4430</v>
      </c>
      <c r="B1704" s="6" t="s">
        <v>4428</v>
      </c>
      <c r="C1704" s="6" t="s">
        <v>326</v>
      </c>
      <c r="D1704" s="6" t="s">
        <v>103</v>
      </c>
      <c r="E1704" s="6" t="s">
        <v>48</v>
      </c>
      <c r="F1704" s="6" t="s">
        <v>98</v>
      </c>
      <c r="G1704" s="6" t="s">
        <v>1523</v>
      </c>
    </row>
    <row r="1705" spans="1:7" ht="18.95" customHeight="1">
      <c r="A1705" s="6" t="s">
        <v>4431</v>
      </c>
      <c r="B1705" s="6" t="s">
        <v>4432</v>
      </c>
      <c r="C1705" s="6" t="s">
        <v>332</v>
      </c>
      <c r="D1705" s="6" t="s">
        <v>93</v>
      </c>
      <c r="E1705" s="6" t="s">
        <v>46</v>
      </c>
      <c r="F1705" s="6" t="s">
        <v>98</v>
      </c>
      <c r="G1705" s="6" t="s">
        <v>4433</v>
      </c>
    </row>
    <row r="1706" spans="1:7" ht="18.95" customHeight="1">
      <c r="A1706" s="6" t="s">
        <v>4434</v>
      </c>
      <c r="B1706" s="6" t="s">
        <v>4432</v>
      </c>
      <c r="C1706" s="6" t="s">
        <v>332</v>
      </c>
      <c r="D1706" s="6" t="s">
        <v>97</v>
      </c>
      <c r="E1706" s="6" t="s">
        <v>47</v>
      </c>
      <c r="F1706" s="6" t="s">
        <v>98</v>
      </c>
      <c r="G1706" s="6" t="s">
        <v>4435</v>
      </c>
    </row>
    <row r="1707" spans="1:7" ht="18.95" customHeight="1">
      <c r="A1707" s="6" t="s">
        <v>4436</v>
      </c>
      <c r="B1707" s="6" t="s">
        <v>4437</v>
      </c>
      <c r="C1707" s="6" t="s">
        <v>338</v>
      </c>
      <c r="D1707" s="6" t="s">
        <v>103</v>
      </c>
      <c r="E1707" s="6" t="s">
        <v>48</v>
      </c>
      <c r="F1707" s="6" t="s">
        <v>98</v>
      </c>
      <c r="G1707" s="6" t="s">
        <v>4438</v>
      </c>
    </row>
    <row r="1708" spans="1:7" ht="18.95" customHeight="1">
      <c r="A1708" s="6" t="s">
        <v>4439</v>
      </c>
      <c r="B1708" s="6" t="s">
        <v>4437</v>
      </c>
      <c r="C1708" s="6" t="s">
        <v>338</v>
      </c>
      <c r="D1708" s="6" t="s">
        <v>93</v>
      </c>
      <c r="E1708" s="6" t="s">
        <v>46</v>
      </c>
      <c r="F1708" s="6" t="s">
        <v>98</v>
      </c>
      <c r="G1708" s="6" t="s">
        <v>4440</v>
      </c>
    </row>
    <row r="1709" spans="1:7" ht="18.95" customHeight="1">
      <c r="A1709" s="6" t="s">
        <v>4441</v>
      </c>
      <c r="B1709" s="6" t="s">
        <v>4442</v>
      </c>
      <c r="C1709" s="6" t="s">
        <v>344</v>
      </c>
      <c r="D1709" s="6" t="s">
        <v>97</v>
      </c>
      <c r="E1709" s="6" t="s">
        <v>47</v>
      </c>
      <c r="F1709" s="6" t="s">
        <v>94</v>
      </c>
      <c r="G1709" s="6" t="s">
        <v>4443</v>
      </c>
    </row>
    <row r="1710" spans="1:7" ht="18.95" customHeight="1">
      <c r="A1710" s="6" t="s">
        <v>4444</v>
      </c>
      <c r="B1710" s="6" t="s">
        <v>4442</v>
      </c>
      <c r="C1710" s="6" t="s">
        <v>344</v>
      </c>
      <c r="D1710" s="6" t="s">
        <v>103</v>
      </c>
      <c r="E1710" s="6" t="s">
        <v>48</v>
      </c>
      <c r="F1710" s="6" t="s">
        <v>98</v>
      </c>
      <c r="G1710" s="6" t="s">
        <v>4445</v>
      </c>
    </row>
    <row r="1711" spans="1:7" ht="18.95" customHeight="1">
      <c r="A1711" s="6" t="s">
        <v>4446</v>
      </c>
      <c r="B1711" s="6" t="s">
        <v>4447</v>
      </c>
      <c r="C1711" s="6" t="s">
        <v>350</v>
      </c>
      <c r="D1711" s="6" t="s">
        <v>93</v>
      </c>
      <c r="E1711" s="6" t="s">
        <v>46</v>
      </c>
      <c r="F1711" s="6" t="s">
        <v>98</v>
      </c>
      <c r="G1711" s="6" t="s">
        <v>4448</v>
      </c>
    </row>
    <row r="1712" spans="1:7" ht="18.95" customHeight="1">
      <c r="A1712" s="6" t="s">
        <v>4449</v>
      </c>
      <c r="B1712" s="6" t="s">
        <v>4447</v>
      </c>
      <c r="C1712" s="6" t="s">
        <v>350</v>
      </c>
      <c r="D1712" s="6" t="s">
        <v>97</v>
      </c>
      <c r="E1712" s="6" t="s">
        <v>47</v>
      </c>
      <c r="F1712" s="6" t="s">
        <v>98</v>
      </c>
      <c r="G1712" s="6" t="s">
        <v>4450</v>
      </c>
    </row>
    <row r="1713" spans="1:7" ht="18.95" customHeight="1">
      <c r="A1713" s="6" t="s">
        <v>4451</v>
      </c>
      <c r="B1713" s="6" t="s">
        <v>4452</v>
      </c>
      <c r="C1713" s="6" t="s">
        <v>356</v>
      </c>
      <c r="D1713" s="6" t="s">
        <v>103</v>
      </c>
      <c r="E1713" s="6" t="s">
        <v>48</v>
      </c>
      <c r="F1713" s="6" t="s">
        <v>98</v>
      </c>
      <c r="G1713" s="6" t="s">
        <v>4453</v>
      </c>
    </row>
    <row r="1714" spans="1:7" ht="18.95" customHeight="1">
      <c r="A1714" s="6" t="s">
        <v>4454</v>
      </c>
      <c r="B1714" s="6" t="s">
        <v>4452</v>
      </c>
      <c r="C1714" s="6" t="s">
        <v>356</v>
      </c>
      <c r="D1714" s="6" t="s">
        <v>93</v>
      </c>
      <c r="E1714" s="6" t="s">
        <v>46</v>
      </c>
      <c r="F1714" s="6" t="s">
        <v>98</v>
      </c>
      <c r="G1714" s="6" t="s">
        <v>1586</v>
      </c>
    </row>
    <row r="1715" spans="1:7" ht="18.95" customHeight="1">
      <c r="A1715" s="6" t="s">
        <v>4455</v>
      </c>
      <c r="B1715" s="6" t="s">
        <v>4456</v>
      </c>
      <c r="C1715" s="6" t="s">
        <v>362</v>
      </c>
      <c r="D1715" s="6" t="s">
        <v>97</v>
      </c>
      <c r="E1715" s="6" t="s">
        <v>47</v>
      </c>
      <c r="F1715" s="6" t="s">
        <v>98</v>
      </c>
      <c r="G1715" s="6" t="s">
        <v>4457</v>
      </c>
    </row>
    <row r="1716" spans="1:7" ht="18.95" customHeight="1">
      <c r="A1716" s="6" t="s">
        <v>4458</v>
      </c>
      <c r="B1716" s="6" t="s">
        <v>4456</v>
      </c>
      <c r="C1716" s="6" t="s">
        <v>362</v>
      </c>
      <c r="D1716" s="6" t="s">
        <v>103</v>
      </c>
      <c r="E1716" s="6" t="s">
        <v>48</v>
      </c>
      <c r="F1716" s="6" t="s">
        <v>98</v>
      </c>
      <c r="G1716" s="6" t="s">
        <v>461</v>
      </c>
    </row>
    <row r="1717" spans="1:7" ht="18.95" customHeight="1">
      <c r="A1717" s="6" t="s">
        <v>4459</v>
      </c>
      <c r="B1717" s="6" t="s">
        <v>4460</v>
      </c>
      <c r="C1717" s="6" t="s">
        <v>368</v>
      </c>
      <c r="D1717" s="6" t="s">
        <v>93</v>
      </c>
      <c r="E1717" s="6" t="s">
        <v>46</v>
      </c>
      <c r="F1717" s="6" t="s">
        <v>98</v>
      </c>
      <c r="G1717" s="6" t="s">
        <v>4461</v>
      </c>
    </row>
    <row r="1718" spans="1:7" ht="18.95" customHeight="1">
      <c r="A1718" s="6" t="s">
        <v>4462</v>
      </c>
      <c r="B1718" s="6" t="s">
        <v>4460</v>
      </c>
      <c r="C1718" s="6" t="s">
        <v>368</v>
      </c>
      <c r="D1718" s="6" t="s">
        <v>97</v>
      </c>
      <c r="E1718" s="6" t="s">
        <v>47</v>
      </c>
      <c r="F1718" s="6" t="s">
        <v>98</v>
      </c>
      <c r="G1718" s="6" t="s">
        <v>4463</v>
      </c>
    </row>
    <row r="1719" spans="1:7" ht="18.95" customHeight="1">
      <c r="A1719" s="6" t="s">
        <v>4464</v>
      </c>
      <c r="B1719" s="6" t="s">
        <v>4465</v>
      </c>
      <c r="C1719" s="6" t="s">
        <v>374</v>
      </c>
      <c r="D1719" s="6" t="s">
        <v>103</v>
      </c>
      <c r="E1719" s="6" t="s">
        <v>48</v>
      </c>
      <c r="F1719" s="6" t="s">
        <v>98</v>
      </c>
      <c r="G1719" s="6" t="s">
        <v>4466</v>
      </c>
    </row>
    <row r="1720" spans="1:7" ht="18.95" customHeight="1">
      <c r="A1720" s="6" t="s">
        <v>4467</v>
      </c>
      <c r="B1720" s="6" t="s">
        <v>4465</v>
      </c>
      <c r="C1720" s="6" t="s">
        <v>374</v>
      </c>
      <c r="D1720" s="6" t="s">
        <v>93</v>
      </c>
      <c r="E1720" s="6" t="s">
        <v>46</v>
      </c>
      <c r="F1720" s="6" t="s">
        <v>98</v>
      </c>
      <c r="G1720" s="6" t="s">
        <v>4468</v>
      </c>
    </row>
    <row r="1721" spans="1:7" ht="18.95" customHeight="1">
      <c r="A1721" s="6" t="s">
        <v>4469</v>
      </c>
      <c r="B1721" s="6" t="s">
        <v>4470</v>
      </c>
      <c r="C1721" s="6" t="s">
        <v>380</v>
      </c>
      <c r="D1721" s="6" t="s">
        <v>97</v>
      </c>
      <c r="E1721" s="6" t="s">
        <v>47</v>
      </c>
      <c r="F1721" s="6" t="s">
        <v>98</v>
      </c>
      <c r="G1721" s="6" t="s">
        <v>4471</v>
      </c>
    </row>
    <row r="1722" spans="1:7" ht="18.95" customHeight="1">
      <c r="A1722" s="6" t="s">
        <v>4472</v>
      </c>
      <c r="B1722" s="6" t="s">
        <v>4470</v>
      </c>
      <c r="C1722" s="6" t="s">
        <v>380</v>
      </c>
      <c r="D1722" s="6" t="s">
        <v>103</v>
      </c>
      <c r="E1722" s="6" t="s">
        <v>48</v>
      </c>
      <c r="F1722" s="6" t="s">
        <v>98</v>
      </c>
      <c r="G1722" s="6" t="s">
        <v>4473</v>
      </c>
    </row>
    <row r="1723" spans="1:7" ht="18.95" customHeight="1">
      <c r="A1723" s="6" t="s">
        <v>4474</v>
      </c>
      <c r="B1723" s="6" t="s">
        <v>4475</v>
      </c>
      <c r="C1723" s="6" t="s">
        <v>386</v>
      </c>
      <c r="D1723" s="6" t="s">
        <v>93</v>
      </c>
      <c r="E1723" s="6" t="s">
        <v>46</v>
      </c>
      <c r="F1723" s="6" t="s">
        <v>98</v>
      </c>
      <c r="G1723" s="6" t="s">
        <v>4476</v>
      </c>
    </row>
    <row r="1724" spans="1:7" ht="18.95" customHeight="1">
      <c r="A1724" s="6" t="s">
        <v>4477</v>
      </c>
      <c r="B1724" s="6" t="s">
        <v>4475</v>
      </c>
      <c r="C1724" s="6" t="s">
        <v>386</v>
      </c>
      <c r="D1724" s="6" t="s">
        <v>97</v>
      </c>
      <c r="E1724" s="6" t="s">
        <v>47</v>
      </c>
      <c r="F1724" s="6" t="s">
        <v>98</v>
      </c>
      <c r="G1724" s="6" t="s">
        <v>1649</v>
      </c>
    </row>
    <row r="1725" spans="1:7" ht="18.95" customHeight="1">
      <c r="A1725" s="6" t="s">
        <v>4478</v>
      </c>
      <c r="B1725" s="6" t="s">
        <v>4479</v>
      </c>
      <c r="C1725" s="6" t="s">
        <v>392</v>
      </c>
      <c r="D1725" s="6" t="s">
        <v>103</v>
      </c>
      <c r="E1725" s="6" t="s">
        <v>48</v>
      </c>
      <c r="F1725" s="6" t="s">
        <v>98</v>
      </c>
      <c r="G1725" s="6" t="s">
        <v>4480</v>
      </c>
    </row>
    <row r="1726" spans="1:7" ht="18.95" customHeight="1">
      <c r="A1726" s="6" t="s">
        <v>4481</v>
      </c>
      <c r="B1726" s="6" t="s">
        <v>4479</v>
      </c>
      <c r="C1726" s="6" t="s">
        <v>392</v>
      </c>
      <c r="D1726" s="6" t="s">
        <v>93</v>
      </c>
      <c r="E1726" s="6" t="s">
        <v>46</v>
      </c>
      <c r="F1726" s="6" t="s">
        <v>98</v>
      </c>
      <c r="G1726" s="6" t="s">
        <v>4482</v>
      </c>
    </row>
    <row r="1727" spans="1:7" ht="18.95" customHeight="1">
      <c r="A1727" s="6" t="s">
        <v>4483</v>
      </c>
      <c r="B1727" s="6" t="s">
        <v>4484</v>
      </c>
      <c r="C1727" s="6" t="s">
        <v>398</v>
      </c>
      <c r="D1727" s="6" t="s">
        <v>97</v>
      </c>
      <c r="E1727" s="6" t="s">
        <v>47</v>
      </c>
      <c r="F1727" s="6" t="s">
        <v>98</v>
      </c>
      <c r="G1727" s="6" t="s">
        <v>4485</v>
      </c>
    </row>
    <row r="1728" spans="1:7" ht="18.95" customHeight="1">
      <c r="A1728" s="6" t="s">
        <v>4486</v>
      </c>
      <c r="B1728" s="6" t="s">
        <v>4484</v>
      </c>
      <c r="C1728" s="6" t="s">
        <v>398</v>
      </c>
      <c r="D1728" s="6" t="s">
        <v>103</v>
      </c>
      <c r="E1728" s="6" t="s">
        <v>48</v>
      </c>
      <c r="F1728" s="6" t="s">
        <v>98</v>
      </c>
      <c r="G1728" s="6" t="s">
        <v>4487</v>
      </c>
    </row>
    <row r="1729" spans="1:7" ht="18.95" customHeight="1">
      <c r="A1729" s="6" t="s">
        <v>4488</v>
      </c>
      <c r="B1729" s="6" t="s">
        <v>4489</v>
      </c>
      <c r="C1729" s="6" t="s">
        <v>404</v>
      </c>
      <c r="D1729" s="6" t="s">
        <v>93</v>
      </c>
      <c r="E1729" s="6" t="s">
        <v>46</v>
      </c>
      <c r="F1729" s="6" t="s">
        <v>98</v>
      </c>
      <c r="G1729" s="6" t="s">
        <v>4490</v>
      </c>
    </row>
    <row r="1730" spans="1:7" ht="18.95" customHeight="1">
      <c r="A1730" s="6" t="s">
        <v>4491</v>
      </c>
      <c r="B1730" s="6" t="s">
        <v>4489</v>
      </c>
      <c r="C1730" s="6" t="s">
        <v>404</v>
      </c>
      <c r="D1730" s="6" t="s">
        <v>97</v>
      </c>
      <c r="E1730" s="6" t="s">
        <v>47</v>
      </c>
      <c r="F1730" s="6" t="s">
        <v>98</v>
      </c>
      <c r="G1730" s="6" t="s">
        <v>4492</v>
      </c>
    </row>
    <row r="1731" spans="1:7" ht="18.95" customHeight="1">
      <c r="A1731" s="6" t="s">
        <v>4493</v>
      </c>
      <c r="B1731" s="6" t="s">
        <v>4494</v>
      </c>
      <c r="C1731" s="6" t="s">
        <v>410</v>
      </c>
      <c r="D1731" s="6" t="s">
        <v>103</v>
      </c>
      <c r="E1731" s="6" t="s">
        <v>48</v>
      </c>
      <c r="F1731" s="6" t="s">
        <v>98</v>
      </c>
      <c r="G1731" s="6" t="s">
        <v>521</v>
      </c>
    </row>
    <row r="1732" spans="1:7" ht="18.95" customHeight="1">
      <c r="A1732" s="6" t="s">
        <v>4495</v>
      </c>
      <c r="B1732" s="6" t="s">
        <v>4494</v>
      </c>
      <c r="C1732" s="6" t="s">
        <v>410</v>
      </c>
      <c r="D1732" s="6" t="s">
        <v>93</v>
      </c>
      <c r="E1732" s="6" t="s">
        <v>46</v>
      </c>
      <c r="F1732" s="6" t="s">
        <v>94</v>
      </c>
      <c r="G1732" s="6" t="s">
        <v>4496</v>
      </c>
    </row>
    <row r="1733" spans="1:7" ht="18.95" customHeight="1">
      <c r="A1733" s="6" t="s">
        <v>4497</v>
      </c>
      <c r="B1733" s="6" t="s">
        <v>4498</v>
      </c>
      <c r="C1733" s="6" t="s">
        <v>416</v>
      </c>
      <c r="D1733" s="6" t="s">
        <v>97</v>
      </c>
      <c r="E1733" s="6" t="s">
        <v>47</v>
      </c>
      <c r="F1733" s="6" t="s">
        <v>98</v>
      </c>
      <c r="G1733" s="6" t="s">
        <v>4499</v>
      </c>
    </row>
    <row r="1734" spans="1:7" ht="18.95" customHeight="1">
      <c r="A1734" s="6" t="s">
        <v>4500</v>
      </c>
      <c r="B1734" s="6" t="s">
        <v>4498</v>
      </c>
      <c r="C1734" s="6" t="s">
        <v>416</v>
      </c>
      <c r="D1734" s="6" t="s">
        <v>103</v>
      </c>
      <c r="E1734" s="6" t="s">
        <v>48</v>
      </c>
      <c r="F1734" s="6" t="s">
        <v>98</v>
      </c>
      <c r="G1734" s="6" t="s">
        <v>1712</v>
      </c>
    </row>
    <row r="1735" spans="1:7" ht="18.95" customHeight="1">
      <c r="A1735" s="6" t="s">
        <v>4501</v>
      </c>
      <c r="B1735" s="6" t="s">
        <v>4502</v>
      </c>
      <c r="C1735" s="6" t="s">
        <v>422</v>
      </c>
      <c r="D1735" s="6" t="s">
        <v>93</v>
      </c>
      <c r="E1735" s="6" t="s">
        <v>46</v>
      </c>
      <c r="F1735" s="6" t="s">
        <v>98</v>
      </c>
      <c r="G1735" s="6" t="s">
        <v>4503</v>
      </c>
    </row>
    <row r="1736" spans="1:7" ht="18.95" customHeight="1">
      <c r="A1736" s="6" t="s">
        <v>4504</v>
      </c>
      <c r="B1736" s="6" t="s">
        <v>4502</v>
      </c>
      <c r="C1736" s="6" t="s">
        <v>422</v>
      </c>
      <c r="D1736" s="6" t="s">
        <v>97</v>
      </c>
      <c r="E1736" s="6" t="s">
        <v>47</v>
      </c>
      <c r="F1736" s="6" t="s">
        <v>98</v>
      </c>
      <c r="G1736" s="6" t="s">
        <v>4505</v>
      </c>
    </row>
    <row r="1737" spans="1:7" ht="18.95" customHeight="1">
      <c r="A1737" s="6" t="s">
        <v>4506</v>
      </c>
      <c r="B1737" s="6" t="s">
        <v>4507</v>
      </c>
      <c r="C1737" s="6" t="s">
        <v>428</v>
      </c>
      <c r="D1737" s="6" t="s">
        <v>103</v>
      </c>
      <c r="E1737" s="6" t="s">
        <v>48</v>
      </c>
      <c r="F1737" s="6" t="s">
        <v>98</v>
      </c>
      <c r="G1737" s="6" t="s">
        <v>4508</v>
      </c>
    </row>
    <row r="1738" spans="1:7" ht="18.95" customHeight="1">
      <c r="A1738" s="6" t="s">
        <v>4509</v>
      </c>
      <c r="B1738" s="6" t="s">
        <v>4507</v>
      </c>
      <c r="C1738" s="6" t="s">
        <v>428</v>
      </c>
      <c r="D1738" s="6" t="s">
        <v>93</v>
      </c>
      <c r="E1738" s="6" t="s">
        <v>46</v>
      </c>
      <c r="F1738" s="6" t="s">
        <v>98</v>
      </c>
      <c r="G1738" s="6" t="s">
        <v>4510</v>
      </c>
    </row>
    <row r="1739" spans="1:7" ht="18.95" customHeight="1">
      <c r="A1739" s="6" t="s">
        <v>4511</v>
      </c>
      <c r="B1739" s="6" t="s">
        <v>4512</v>
      </c>
      <c r="C1739" s="6" t="s">
        <v>434</v>
      </c>
      <c r="D1739" s="6" t="s">
        <v>97</v>
      </c>
      <c r="E1739" s="6" t="s">
        <v>47</v>
      </c>
      <c r="F1739" s="6" t="s">
        <v>98</v>
      </c>
      <c r="G1739" s="6" t="s">
        <v>4513</v>
      </c>
    </row>
    <row r="1740" spans="1:7" ht="18.95" customHeight="1">
      <c r="A1740" s="6" t="s">
        <v>4514</v>
      </c>
      <c r="B1740" s="6" t="s">
        <v>4512</v>
      </c>
      <c r="C1740" s="6" t="s">
        <v>434</v>
      </c>
      <c r="D1740" s="6" t="s">
        <v>103</v>
      </c>
      <c r="E1740" s="6" t="s">
        <v>48</v>
      </c>
      <c r="F1740" s="6" t="s">
        <v>98</v>
      </c>
      <c r="G1740" s="6" t="s">
        <v>4515</v>
      </c>
    </row>
    <row r="1741" spans="1:7" ht="18.95" customHeight="1">
      <c r="A1741" s="6" t="s">
        <v>4516</v>
      </c>
      <c r="B1741" s="6" t="s">
        <v>4517</v>
      </c>
      <c r="C1741" s="6" t="s">
        <v>440</v>
      </c>
      <c r="D1741" s="6" t="s">
        <v>93</v>
      </c>
      <c r="E1741" s="6" t="s">
        <v>46</v>
      </c>
      <c r="F1741" s="6" t="s">
        <v>98</v>
      </c>
      <c r="G1741" s="6" t="s">
        <v>4518</v>
      </c>
    </row>
    <row r="1742" spans="1:7" ht="18.95" customHeight="1">
      <c r="A1742" s="6" t="s">
        <v>4519</v>
      </c>
      <c r="B1742" s="6" t="s">
        <v>4517</v>
      </c>
      <c r="C1742" s="6" t="s">
        <v>440</v>
      </c>
      <c r="D1742" s="6" t="s">
        <v>97</v>
      </c>
      <c r="E1742" s="6" t="s">
        <v>47</v>
      </c>
      <c r="F1742" s="6" t="s">
        <v>98</v>
      </c>
      <c r="G1742" s="6" t="s">
        <v>4520</v>
      </c>
    </row>
    <row r="1743" spans="1:7" ht="18.95" customHeight="1">
      <c r="A1743" s="6" t="s">
        <v>4521</v>
      </c>
      <c r="B1743" s="6" t="s">
        <v>4522</v>
      </c>
      <c r="C1743" s="6" t="s">
        <v>446</v>
      </c>
      <c r="D1743" s="6" t="s">
        <v>103</v>
      </c>
      <c r="E1743" s="6" t="s">
        <v>48</v>
      </c>
      <c r="F1743" s="6" t="s">
        <v>98</v>
      </c>
      <c r="G1743" s="6" t="s">
        <v>4523</v>
      </c>
    </row>
    <row r="1744" spans="1:7" ht="18.95" customHeight="1">
      <c r="A1744" s="6" t="s">
        <v>4524</v>
      </c>
      <c r="B1744" s="6" t="s">
        <v>4522</v>
      </c>
      <c r="C1744" s="6" t="s">
        <v>446</v>
      </c>
      <c r="D1744" s="6" t="s">
        <v>93</v>
      </c>
      <c r="E1744" s="6" t="s">
        <v>46</v>
      </c>
      <c r="F1744" s="6" t="s">
        <v>98</v>
      </c>
      <c r="G1744" s="6" t="s">
        <v>1774</v>
      </c>
    </row>
    <row r="1745" spans="1:7" ht="18.95" customHeight="1">
      <c r="A1745" s="6" t="s">
        <v>4525</v>
      </c>
      <c r="B1745" s="6" t="s">
        <v>4526</v>
      </c>
      <c r="C1745" s="6" t="s">
        <v>452</v>
      </c>
      <c r="D1745" s="6" t="s">
        <v>97</v>
      </c>
      <c r="E1745" s="6" t="s">
        <v>47</v>
      </c>
      <c r="F1745" s="6" t="s">
        <v>98</v>
      </c>
      <c r="G1745" s="6" t="s">
        <v>4527</v>
      </c>
    </row>
    <row r="1746" spans="1:7" ht="18.95" customHeight="1">
      <c r="A1746" s="6" t="s">
        <v>4528</v>
      </c>
      <c r="B1746" s="6" t="s">
        <v>4526</v>
      </c>
      <c r="C1746" s="6" t="s">
        <v>452</v>
      </c>
      <c r="D1746" s="6" t="s">
        <v>103</v>
      </c>
      <c r="E1746" s="6" t="s">
        <v>48</v>
      </c>
      <c r="F1746" s="6" t="s">
        <v>98</v>
      </c>
      <c r="G1746" s="6" t="s">
        <v>4529</v>
      </c>
    </row>
    <row r="1747" spans="1:7" ht="18.95" customHeight="1">
      <c r="A1747" s="6" t="s">
        <v>4530</v>
      </c>
      <c r="B1747" s="6" t="s">
        <v>4531</v>
      </c>
      <c r="C1747" s="6" t="s">
        <v>458</v>
      </c>
      <c r="D1747" s="6" t="s">
        <v>93</v>
      </c>
      <c r="E1747" s="6" t="s">
        <v>46</v>
      </c>
      <c r="F1747" s="6" t="s">
        <v>98</v>
      </c>
      <c r="G1747" s="6" t="s">
        <v>4532</v>
      </c>
    </row>
    <row r="1748" spans="1:7" ht="18.95" customHeight="1">
      <c r="A1748" s="6" t="s">
        <v>4533</v>
      </c>
      <c r="B1748" s="6" t="s">
        <v>4531</v>
      </c>
      <c r="C1748" s="6" t="s">
        <v>458</v>
      </c>
      <c r="D1748" s="6" t="s">
        <v>97</v>
      </c>
      <c r="E1748" s="6" t="s">
        <v>47</v>
      </c>
      <c r="F1748" s="6" t="s">
        <v>98</v>
      </c>
      <c r="G1748" s="6" t="s">
        <v>4534</v>
      </c>
    </row>
    <row r="1749" spans="1:7" ht="18.95" customHeight="1">
      <c r="A1749" s="6" t="s">
        <v>4535</v>
      </c>
      <c r="B1749" s="6" t="s">
        <v>4536</v>
      </c>
      <c r="C1749" s="6" t="s">
        <v>464</v>
      </c>
      <c r="D1749" s="6" t="s">
        <v>103</v>
      </c>
      <c r="E1749" s="6" t="s">
        <v>48</v>
      </c>
      <c r="F1749" s="6" t="s">
        <v>98</v>
      </c>
      <c r="G1749" s="6" t="s">
        <v>4537</v>
      </c>
    </row>
    <row r="1750" spans="1:7" ht="18.95" customHeight="1">
      <c r="A1750" s="6" t="s">
        <v>4538</v>
      </c>
      <c r="B1750" s="6" t="s">
        <v>4536</v>
      </c>
      <c r="C1750" s="6" t="s">
        <v>464</v>
      </c>
      <c r="D1750" s="6" t="s">
        <v>93</v>
      </c>
      <c r="E1750" s="6" t="s">
        <v>46</v>
      </c>
      <c r="F1750" s="6" t="s">
        <v>98</v>
      </c>
      <c r="G1750" s="6" t="s">
        <v>4539</v>
      </c>
    </row>
    <row r="1751" spans="1:7" ht="18.95" customHeight="1">
      <c r="A1751" s="6" t="s">
        <v>4540</v>
      </c>
      <c r="B1751" s="6" t="s">
        <v>4541</v>
      </c>
      <c r="C1751" s="6" t="s">
        <v>470</v>
      </c>
      <c r="D1751" s="6" t="s">
        <v>97</v>
      </c>
      <c r="E1751" s="6" t="s">
        <v>47</v>
      </c>
      <c r="F1751" s="6" t="s">
        <v>98</v>
      </c>
      <c r="G1751" s="6" t="s">
        <v>4542</v>
      </c>
    </row>
    <row r="1752" spans="1:7" ht="18.95" customHeight="1">
      <c r="A1752" s="6" t="s">
        <v>4543</v>
      </c>
      <c r="B1752" s="6" t="s">
        <v>4541</v>
      </c>
      <c r="C1752" s="6" t="s">
        <v>470</v>
      </c>
      <c r="D1752" s="6" t="s">
        <v>103</v>
      </c>
      <c r="E1752" s="6" t="s">
        <v>48</v>
      </c>
      <c r="F1752" s="6" t="s">
        <v>98</v>
      </c>
      <c r="G1752" s="6" t="s">
        <v>4544</v>
      </c>
    </row>
    <row r="1753" spans="1:7" ht="18.95" customHeight="1">
      <c r="A1753" s="6" t="s">
        <v>4545</v>
      </c>
      <c r="B1753" s="6" t="s">
        <v>4546</v>
      </c>
      <c r="C1753" s="6" t="s">
        <v>476</v>
      </c>
      <c r="D1753" s="6" t="s">
        <v>93</v>
      </c>
      <c r="E1753" s="6" t="s">
        <v>46</v>
      </c>
      <c r="F1753" s="6" t="s">
        <v>98</v>
      </c>
      <c r="G1753" s="6" t="s">
        <v>4547</v>
      </c>
    </row>
    <row r="1754" spans="1:7" ht="18.95" customHeight="1">
      <c r="A1754" s="6" t="s">
        <v>4548</v>
      </c>
      <c r="B1754" s="6" t="s">
        <v>4546</v>
      </c>
      <c r="C1754" s="6" t="s">
        <v>476</v>
      </c>
      <c r="D1754" s="6" t="s">
        <v>97</v>
      </c>
      <c r="E1754" s="6" t="s">
        <v>47</v>
      </c>
      <c r="F1754" s="6" t="s">
        <v>98</v>
      </c>
      <c r="G1754" s="6" t="s">
        <v>4549</v>
      </c>
    </row>
    <row r="1755" spans="1:7" ht="18.95" customHeight="1">
      <c r="A1755" s="6" t="s">
        <v>4550</v>
      </c>
      <c r="B1755" s="6" t="s">
        <v>4551</v>
      </c>
      <c r="C1755" s="6" t="s">
        <v>482</v>
      </c>
      <c r="D1755" s="6" t="s">
        <v>103</v>
      </c>
      <c r="E1755" s="6" t="s">
        <v>48</v>
      </c>
      <c r="F1755" s="6" t="s">
        <v>94</v>
      </c>
      <c r="G1755" s="6" t="s">
        <v>4552</v>
      </c>
    </row>
    <row r="1756" spans="1:7" ht="18.95" customHeight="1">
      <c r="A1756" s="6" t="s">
        <v>4553</v>
      </c>
      <c r="B1756" s="6" t="s">
        <v>4551</v>
      </c>
      <c r="C1756" s="6" t="s">
        <v>482</v>
      </c>
      <c r="D1756" s="6" t="s">
        <v>93</v>
      </c>
      <c r="E1756" s="6" t="s">
        <v>46</v>
      </c>
      <c r="F1756" s="6" t="s">
        <v>98</v>
      </c>
      <c r="G1756" s="6" t="s">
        <v>4554</v>
      </c>
    </row>
    <row r="1757" spans="1:7" ht="18.95" customHeight="1">
      <c r="A1757" s="6" t="s">
        <v>4555</v>
      </c>
      <c r="B1757" s="6" t="s">
        <v>4556</v>
      </c>
      <c r="C1757" s="6" t="s">
        <v>488</v>
      </c>
      <c r="D1757" s="6" t="s">
        <v>97</v>
      </c>
      <c r="E1757" s="6" t="s">
        <v>47</v>
      </c>
      <c r="F1757" s="6" t="s">
        <v>98</v>
      </c>
      <c r="G1757" s="6" t="s">
        <v>4557</v>
      </c>
    </row>
    <row r="1758" spans="1:7" ht="18.95" customHeight="1">
      <c r="A1758" s="6" t="s">
        <v>4558</v>
      </c>
      <c r="B1758" s="6" t="s">
        <v>4556</v>
      </c>
      <c r="C1758" s="6" t="s">
        <v>488</v>
      </c>
      <c r="D1758" s="6" t="s">
        <v>103</v>
      </c>
      <c r="E1758" s="6" t="s">
        <v>48</v>
      </c>
      <c r="F1758" s="6" t="s">
        <v>98</v>
      </c>
      <c r="G1758" s="6" t="s">
        <v>4559</v>
      </c>
    </row>
    <row r="1759" spans="1:7" ht="18.95" customHeight="1">
      <c r="A1759" s="6" t="s">
        <v>4560</v>
      </c>
      <c r="B1759" s="6" t="s">
        <v>4561</v>
      </c>
      <c r="C1759" s="6" t="s">
        <v>494</v>
      </c>
      <c r="D1759" s="6" t="s">
        <v>93</v>
      </c>
      <c r="E1759" s="6" t="s">
        <v>46</v>
      </c>
      <c r="F1759" s="6" t="s">
        <v>98</v>
      </c>
      <c r="G1759" s="6" t="s">
        <v>4562</v>
      </c>
    </row>
    <row r="1760" spans="1:7" ht="18.95" customHeight="1">
      <c r="A1760" s="6" t="s">
        <v>4563</v>
      </c>
      <c r="B1760" s="6" t="s">
        <v>4561</v>
      </c>
      <c r="C1760" s="6" t="s">
        <v>494</v>
      </c>
      <c r="D1760" s="6" t="s">
        <v>97</v>
      </c>
      <c r="E1760" s="6" t="s">
        <v>47</v>
      </c>
      <c r="F1760" s="6" t="s">
        <v>98</v>
      </c>
      <c r="G1760" s="6" t="s">
        <v>4564</v>
      </c>
    </row>
    <row r="1761" spans="1:7" ht="18.95" customHeight="1">
      <c r="A1761" s="6" t="s">
        <v>4565</v>
      </c>
      <c r="B1761" s="6" t="s">
        <v>4566</v>
      </c>
      <c r="C1761" s="6" t="s">
        <v>500</v>
      </c>
      <c r="D1761" s="6" t="s">
        <v>103</v>
      </c>
      <c r="E1761" s="6" t="s">
        <v>48</v>
      </c>
      <c r="F1761" s="6" t="s">
        <v>98</v>
      </c>
      <c r="G1761" s="6" t="s">
        <v>641</v>
      </c>
    </row>
    <row r="1762" spans="1:7" ht="18.95" customHeight="1">
      <c r="A1762" s="6" t="s">
        <v>4567</v>
      </c>
      <c r="B1762" s="6" t="s">
        <v>4566</v>
      </c>
      <c r="C1762" s="6" t="s">
        <v>500</v>
      </c>
      <c r="D1762" s="6" t="s">
        <v>93</v>
      </c>
      <c r="E1762" s="6" t="s">
        <v>46</v>
      </c>
      <c r="F1762" s="6" t="s">
        <v>98</v>
      </c>
      <c r="G1762" s="6" t="s">
        <v>4568</v>
      </c>
    </row>
    <row r="1763" spans="1:7" ht="18.95" customHeight="1">
      <c r="A1763" s="6" t="s">
        <v>4569</v>
      </c>
      <c r="B1763" s="6" t="s">
        <v>4570</v>
      </c>
      <c r="C1763" s="6" t="s">
        <v>506</v>
      </c>
      <c r="D1763" s="6" t="s">
        <v>97</v>
      </c>
      <c r="E1763" s="6" t="s">
        <v>47</v>
      </c>
      <c r="F1763" s="6" t="s">
        <v>98</v>
      </c>
      <c r="G1763" s="6" t="s">
        <v>4571</v>
      </c>
    </row>
    <row r="1764" spans="1:7" ht="18.95" customHeight="1">
      <c r="A1764" s="6" t="s">
        <v>4572</v>
      </c>
      <c r="B1764" s="6" t="s">
        <v>4570</v>
      </c>
      <c r="C1764" s="6" t="s">
        <v>506</v>
      </c>
      <c r="D1764" s="6" t="s">
        <v>103</v>
      </c>
      <c r="E1764" s="6" t="s">
        <v>48</v>
      </c>
      <c r="F1764" s="6" t="s">
        <v>98</v>
      </c>
      <c r="G1764" s="6" t="s">
        <v>4573</v>
      </c>
    </row>
    <row r="1765" spans="1:7" ht="18.95" customHeight="1">
      <c r="A1765" s="6" t="s">
        <v>4574</v>
      </c>
      <c r="B1765" s="6" t="s">
        <v>4575</v>
      </c>
      <c r="C1765" s="6" t="s">
        <v>512</v>
      </c>
      <c r="D1765" s="6" t="s">
        <v>93</v>
      </c>
      <c r="E1765" s="6" t="s">
        <v>46</v>
      </c>
      <c r="F1765" s="6" t="s">
        <v>98</v>
      </c>
      <c r="G1765" s="6" t="s">
        <v>4576</v>
      </c>
    </row>
    <row r="1766" spans="1:7" ht="18.95" customHeight="1">
      <c r="A1766" s="6" t="s">
        <v>4577</v>
      </c>
      <c r="B1766" s="6" t="s">
        <v>4575</v>
      </c>
      <c r="C1766" s="6" t="s">
        <v>512</v>
      </c>
      <c r="D1766" s="6" t="s">
        <v>97</v>
      </c>
      <c r="E1766" s="6" t="s">
        <v>47</v>
      </c>
      <c r="F1766" s="6" t="s">
        <v>98</v>
      </c>
      <c r="G1766" s="6" t="s">
        <v>4578</v>
      </c>
    </row>
    <row r="1767" spans="1:7" ht="18.95" customHeight="1">
      <c r="A1767" s="6" t="s">
        <v>4579</v>
      </c>
      <c r="B1767" s="6" t="s">
        <v>4580</v>
      </c>
      <c r="C1767" s="6" t="s">
        <v>518</v>
      </c>
      <c r="D1767" s="6" t="s">
        <v>103</v>
      </c>
      <c r="E1767" s="6" t="s">
        <v>48</v>
      </c>
      <c r="F1767" s="6" t="s">
        <v>98</v>
      </c>
      <c r="G1767" s="6" t="s">
        <v>4581</v>
      </c>
    </row>
    <row r="1768" spans="1:7" ht="18.95" customHeight="1">
      <c r="A1768" s="6" t="s">
        <v>4582</v>
      </c>
      <c r="B1768" s="6" t="s">
        <v>4580</v>
      </c>
      <c r="C1768" s="6" t="s">
        <v>518</v>
      </c>
      <c r="D1768" s="6" t="s">
        <v>93</v>
      </c>
      <c r="E1768" s="6" t="s">
        <v>46</v>
      </c>
      <c r="F1768" s="6" t="s">
        <v>98</v>
      </c>
      <c r="G1768" s="6" t="s">
        <v>4583</v>
      </c>
    </row>
    <row r="1769" spans="1:7" ht="18.95" customHeight="1">
      <c r="A1769" s="6" t="s">
        <v>4584</v>
      </c>
      <c r="B1769" s="6" t="s">
        <v>4585</v>
      </c>
      <c r="C1769" s="6" t="s">
        <v>524</v>
      </c>
      <c r="D1769" s="6" t="s">
        <v>97</v>
      </c>
      <c r="E1769" s="6" t="s">
        <v>47</v>
      </c>
      <c r="F1769" s="6" t="s">
        <v>98</v>
      </c>
      <c r="G1769" s="6" t="s">
        <v>4586</v>
      </c>
    </row>
    <row r="1770" spans="1:7" ht="18.95" customHeight="1">
      <c r="A1770" s="6" t="s">
        <v>4587</v>
      </c>
      <c r="B1770" s="6" t="s">
        <v>4585</v>
      </c>
      <c r="C1770" s="6" t="s">
        <v>524</v>
      </c>
      <c r="D1770" s="6" t="s">
        <v>103</v>
      </c>
      <c r="E1770" s="6" t="s">
        <v>48</v>
      </c>
      <c r="F1770" s="6" t="s">
        <v>98</v>
      </c>
      <c r="G1770" s="6" t="s">
        <v>4588</v>
      </c>
    </row>
    <row r="1771" spans="1:7" ht="18.95" customHeight="1">
      <c r="A1771" s="6" t="s">
        <v>4589</v>
      </c>
      <c r="B1771" s="6" t="s">
        <v>4590</v>
      </c>
      <c r="C1771" s="6" t="s">
        <v>530</v>
      </c>
      <c r="D1771" s="6" t="s">
        <v>93</v>
      </c>
      <c r="E1771" s="6" t="s">
        <v>46</v>
      </c>
      <c r="F1771" s="6" t="s">
        <v>98</v>
      </c>
      <c r="G1771" s="6" t="s">
        <v>4591</v>
      </c>
    </row>
    <row r="1772" spans="1:7" ht="18.95" customHeight="1">
      <c r="A1772" s="6" t="s">
        <v>4592</v>
      </c>
      <c r="B1772" s="6" t="s">
        <v>4590</v>
      </c>
      <c r="C1772" s="6" t="s">
        <v>530</v>
      </c>
      <c r="D1772" s="6" t="s">
        <v>97</v>
      </c>
      <c r="E1772" s="6" t="s">
        <v>47</v>
      </c>
      <c r="F1772" s="6" t="s">
        <v>98</v>
      </c>
      <c r="G1772" s="6" t="s">
        <v>4593</v>
      </c>
    </row>
    <row r="1773" spans="1:7" ht="18.95" customHeight="1">
      <c r="A1773" s="6" t="s">
        <v>4594</v>
      </c>
      <c r="B1773" s="6" t="s">
        <v>4595</v>
      </c>
      <c r="C1773" s="6" t="s">
        <v>536</v>
      </c>
      <c r="D1773" s="6" t="s">
        <v>103</v>
      </c>
      <c r="E1773" s="6" t="s">
        <v>48</v>
      </c>
      <c r="F1773" s="6" t="s">
        <v>98</v>
      </c>
      <c r="G1773" s="6" t="s">
        <v>4596</v>
      </c>
    </row>
    <row r="1774" spans="1:7" ht="18.95" customHeight="1">
      <c r="A1774" s="6" t="s">
        <v>4597</v>
      </c>
      <c r="B1774" s="6" t="s">
        <v>4595</v>
      </c>
      <c r="C1774" s="6" t="s">
        <v>536</v>
      </c>
      <c r="D1774" s="6" t="s">
        <v>93</v>
      </c>
      <c r="E1774" s="6" t="s">
        <v>46</v>
      </c>
      <c r="F1774" s="6" t="s">
        <v>98</v>
      </c>
      <c r="G1774" s="6" t="s">
        <v>4598</v>
      </c>
    </row>
    <row r="1775" spans="1:7" ht="18.95" customHeight="1">
      <c r="A1775" s="6" t="s">
        <v>4599</v>
      </c>
      <c r="B1775" s="6" t="s">
        <v>4600</v>
      </c>
      <c r="C1775" s="6" t="s">
        <v>542</v>
      </c>
      <c r="D1775" s="6" t="s">
        <v>97</v>
      </c>
      <c r="E1775" s="6" t="s">
        <v>47</v>
      </c>
      <c r="F1775" s="6" t="s">
        <v>98</v>
      </c>
      <c r="G1775" s="6" t="s">
        <v>4601</v>
      </c>
    </row>
    <row r="1776" spans="1:7" ht="18.95" customHeight="1">
      <c r="A1776" s="6" t="s">
        <v>4602</v>
      </c>
      <c r="B1776" s="6" t="s">
        <v>4600</v>
      </c>
      <c r="C1776" s="6" t="s">
        <v>542</v>
      </c>
      <c r="D1776" s="6" t="s">
        <v>103</v>
      </c>
      <c r="E1776" s="6" t="s">
        <v>48</v>
      </c>
      <c r="F1776" s="6" t="s">
        <v>98</v>
      </c>
      <c r="G1776" s="6" t="s">
        <v>691</v>
      </c>
    </row>
    <row r="1777" spans="1:7" ht="18.95" customHeight="1">
      <c r="A1777" s="6" t="s">
        <v>4603</v>
      </c>
      <c r="B1777" s="6" t="s">
        <v>4604</v>
      </c>
      <c r="C1777" s="6" t="s">
        <v>548</v>
      </c>
      <c r="D1777" s="6" t="s">
        <v>93</v>
      </c>
      <c r="E1777" s="6" t="s">
        <v>46</v>
      </c>
      <c r="F1777" s="6" t="s">
        <v>98</v>
      </c>
      <c r="G1777" s="6" t="s">
        <v>4605</v>
      </c>
    </row>
    <row r="1778" spans="1:7" ht="18.95" customHeight="1">
      <c r="A1778" s="6" t="s">
        <v>4606</v>
      </c>
      <c r="B1778" s="6" t="s">
        <v>4604</v>
      </c>
      <c r="C1778" s="6" t="s">
        <v>548</v>
      </c>
      <c r="D1778" s="6" t="s">
        <v>97</v>
      </c>
      <c r="E1778" s="6" t="s">
        <v>47</v>
      </c>
      <c r="F1778" s="6" t="s">
        <v>94</v>
      </c>
      <c r="G1778" s="6" t="s">
        <v>4607</v>
      </c>
    </row>
    <row r="1779" spans="1:7" ht="18.95" customHeight="1">
      <c r="A1779" s="6" t="s">
        <v>4608</v>
      </c>
      <c r="B1779" s="6" t="s">
        <v>4609</v>
      </c>
      <c r="C1779" s="6" t="s">
        <v>554</v>
      </c>
      <c r="D1779" s="6" t="s">
        <v>103</v>
      </c>
      <c r="E1779" s="6" t="s">
        <v>48</v>
      </c>
      <c r="F1779" s="6" t="s">
        <v>98</v>
      </c>
      <c r="G1779" s="6" t="s">
        <v>4610</v>
      </c>
    </row>
    <row r="1780" spans="1:7" ht="18.95" customHeight="1">
      <c r="A1780" s="6" t="s">
        <v>4611</v>
      </c>
      <c r="B1780" s="6" t="s">
        <v>4609</v>
      </c>
      <c r="C1780" s="6" t="s">
        <v>554</v>
      </c>
      <c r="D1780" s="6" t="s">
        <v>93</v>
      </c>
      <c r="E1780" s="6" t="s">
        <v>46</v>
      </c>
      <c r="F1780" s="6" t="s">
        <v>98</v>
      </c>
      <c r="G1780" s="6" t="s">
        <v>4612</v>
      </c>
    </row>
    <row r="1781" spans="1:7" ht="18.95" customHeight="1">
      <c r="A1781" s="6" t="s">
        <v>4613</v>
      </c>
      <c r="B1781" s="6" t="s">
        <v>4614</v>
      </c>
      <c r="C1781" s="6" t="s">
        <v>560</v>
      </c>
      <c r="D1781" s="6" t="s">
        <v>97</v>
      </c>
      <c r="E1781" s="6" t="s">
        <v>47</v>
      </c>
      <c r="F1781" s="6" t="s">
        <v>98</v>
      </c>
      <c r="G1781" s="6" t="s">
        <v>4615</v>
      </c>
    </row>
    <row r="1782" spans="1:7" ht="18.95" customHeight="1">
      <c r="A1782" s="6" t="s">
        <v>4616</v>
      </c>
      <c r="B1782" s="6" t="s">
        <v>4614</v>
      </c>
      <c r="C1782" s="6" t="s">
        <v>560</v>
      </c>
      <c r="D1782" s="6" t="s">
        <v>103</v>
      </c>
      <c r="E1782" s="6" t="s">
        <v>48</v>
      </c>
      <c r="F1782" s="6" t="s">
        <v>98</v>
      </c>
      <c r="G1782" s="6" t="s">
        <v>4617</v>
      </c>
    </row>
    <row r="1783" spans="1:7" ht="18.95" customHeight="1">
      <c r="A1783" s="6" t="s">
        <v>4618</v>
      </c>
      <c r="B1783" s="6" t="s">
        <v>4619</v>
      </c>
      <c r="C1783" s="6" t="s">
        <v>566</v>
      </c>
      <c r="D1783" s="6" t="s">
        <v>93</v>
      </c>
      <c r="E1783" s="6" t="s">
        <v>46</v>
      </c>
      <c r="F1783" s="6" t="s">
        <v>98</v>
      </c>
      <c r="G1783" s="6" t="s">
        <v>4620</v>
      </c>
    </row>
    <row r="1784" spans="1:7" ht="18.95" customHeight="1">
      <c r="A1784" s="6" t="s">
        <v>4621</v>
      </c>
      <c r="B1784" s="6" t="s">
        <v>4619</v>
      </c>
      <c r="C1784" s="6" t="s">
        <v>566</v>
      </c>
      <c r="D1784" s="6" t="s">
        <v>97</v>
      </c>
      <c r="E1784" s="6" t="s">
        <v>47</v>
      </c>
      <c r="F1784" s="6" t="s">
        <v>98</v>
      </c>
      <c r="G1784" s="6" t="s">
        <v>4622</v>
      </c>
    </row>
    <row r="1785" spans="1:7" ht="18.95" customHeight="1">
      <c r="A1785" s="6" t="s">
        <v>4623</v>
      </c>
      <c r="B1785" s="6" t="s">
        <v>4624</v>
      </c>
      <c r="C1785" s="6" t="s">
        <v>572</v>
      </c>
      <c r="D1785" s="6" t="s">
        <v>103</v>
      </c>
      <c r="E1785" s="6" t="s">
        <v>48</v>
      </c>
      <c r="F1785" s="6" t="s">
        <v>98</v>
      </c>
      <c r="G1785" s="6" t="s">
        <v>4625</v>
      </c>
    </row>
    <row r="1786" spans="1:7" ht="18.95" customHeight="1">
      <c r="A1786" s="6" t="s">
        <v>4626</v>
      </c>
      <c r="B1786" s="6" t="s">
        <v>4624</v>
      </c>
      <c r="C1786" s="6" t="s">
        <v>572</v>
      </c>
      <c r="D1786" s="6" t="s">
        <v>93</v>
      </c>
      <c r="E1786" s="6" t="s">
        <v>46</v>
      </c>
      <c r="F1786" s="6" t="s">
        <v>98</v>
      </c>
      <c r="G1786" s="6" t="s">
        <v>4627</v>
      </c>
    </row>
    <row r="1787" spans="1:7" ht="18.95" customHeight="1">
      <c r="A1787" s="6" t="s">
        <v>4628</v>
      </c>
      <c r="B1787" s="6" t="s">
        <v>4629</v>
      </c>
      <c r="C1787" s="6" t="s">
        <v>578</v>
      </c>
      <c r="D1787" s="6" t="s">
        <v>97</v>
      </c>
      <c r="E1787" s="6" t="s">
        <v>47</v>
      </c>
      <c r="F1787" s="6" t="s">
        <v>98</v>
      </c>
      <c r="G1787" s="6" t="s">
        <v>4630</v>
      </c>
    </row>
    <row r="1788" spans="1:7" ht="18.95" customHeight="1">
      <c r="A1788" s="6" t="s">
        <v>4631</v>
      </c>
      <c r="B1788" s="6" t="s">
        <v>4629</v>
      </c>
      <c r="C1788" s="6" t="s">
        <v>578</v>
      </c>
      <c r="D1788" s="6" t="s">
        <v>103</v>
      </c>
      <c r="E1788" s="6" t="s">
        <v>48</v>
      </c>
      <c r="F1788" s="6" t="s">
        <v>98</v>
      </c>
      <c r="G1788" s="6" t="s">
        <v>4632</v>
      </c>
    </row>
    <row r="1789" spans="1:7" ht="18.95" customHeight="1">
      <c r="A1789" s="6" t="s">
        <v>4633</v>
      </c>
      <c r="B1789" s="6" t="s">
        <v>4634</v>
      </c>
      <c r="C1789" s="6" t="s">
        <v>584</v>
      </c>
      <c r="D1789" s="6" t="s">
        <v>93</v>
      </c>
      <c r="E1789" s="6" t="s">
        <v>46</v>
      </c>
      <c r="F1789" s="6" t="s">
        <v>98</v>
      </c>
      <c r="G1789" s="6" t="s">
        <v>4635</v>
      </c>
    </row>
    <row r="1790" spans="1:7" ht="18.95" customHeight="1">
      <c r="A1790" s="6" t="s">
        <v>4636</v>
      </c>
      <c r="B1790" s="6" t="s">
        <v>4634</v>
      </c>
      <c r="C1790" s="6" t="s">
        <v>584</v>
      </c>
      <c r="D1790" s="6" t="s">
        <v>97</v>
      </c>
      <c r="E1790" s="6" t="s">
        <v>47</v>
      </c>
      <c r="F1790" s="6" t="s">
        <v>98</v>
      </c>
      <c r="G1790" s="6" t="s">
        <v>4637</v>
      </c>
    </row>
    <row r="1791" spans="1:7" ht="18.95" customHeight="1">
      <c r="A1791" s="6" t="s">
        <v>4638</v>
      </c>
      <c r="B1791" s="6" t="s">
        <v>4639</v>
      </c>
      <c r="C1791" s="6" t="s">
        <v>590</v>
      </c>
      <c r="D1791" s="6" t="s">
        <v>103</v>
      </c>
      <c r="E1791" s="6" t="s">
        <v>48</v>
      </c>
      <c r="F1791" s="6" t="s">
        <v>98</v>
      </c>
      <c r="G1791" s="6" t="s">
        <v>741</v>
      </c>
    </row>
    <row r="1792" spans="1:7" ht="18.95" customHeight="1">
      <c r="A1792" s="6" t="s">
        <v>4640</v>
      </c>
      <c r="B1792" s="6" t="s">
        <v>4639</v>
      </c>
      <c r="C1792" s="6" t="s">
        <v>590</v>
      </c>
      <c r="D1792" s="6" t="s">
        <v>93</v>
      </c>
      <c r="E1792" s="6" t="s">
        <v>46</v>
      </c>
      <c r="F1792" s="6" t="s">
        <v>98</v>
      </c>
      <c r="G1792" s="6" t="s">
        <v>4641</v>
      </c>
    </row>
    <row r="1793" spans="1:7" ht="18.95" customHeight="1">
      <c r="A1793" s="6" t="s">
        <v>4642</v>
      </c>
      <c r="B1793" s="6" t="s">
        <v>4643</v>
      </c>
      <c r="C1793" s="6" t="s">
        <v>596</v>
      </c>
      <c r="D1793" s="6" t="s">
        <v>97</v>
      </c>
      <c r="E1793" s="6" t="s">
        <v>47</v>
      </c>
      <c r="F1793" s="6" t="s">
        <v>98</v>
      </c>
      <c r="G1793" s="6" t="s">
        <v>4644</v>
      </c>
    </row>
    <row r="1794" spans="1:7" ht="18.95" customHeight="1">
      <c r="A1794" s="6" t="s">
        <v>4645</v>
      </c>
      <c r="B1794" s="6" t="s">
        <v>4643</v>
      </c>
      <c r="C1794" s="6" t="s">
        <v>596</v>
      </c>
      <c r="D1794" s="6" t="s">
        <v>103</v>
      </c>
      <c r="E1794" s="6" t="s">
        <v>48</v>
      </c>
      <c r="F1794" s="6" t="s">
        <v>98</v>
      </c>
      <c r="G1794" s="6" t="s">
        <v>4646</v>
      </c>
    </row>
    <row r="1795" spans="1:7" ht="18.95" customHeight="1">
      <c r="A1795" s="6" t="s">
        <v>4647</v>
      </c>
      <c r="B1795" s="6" t="s">
        <v>4648</v>
      </c>
      <c r="C1795" s="6" t="s">
        <v>602</v>
      </c>
      <c r="D1795" s="6" t="s">
        <v>93</v>
      </c>
      <c r="E1795" s="6" t="s">
        <v>46</v>
      </c>
      <c r="F1795" s="6" t="s">
        <v>98</v>
      </c>
      <c r="G1795" s="6" t="s">
        <v>4649</v>
      </c>
    </row>
    <row r="1796" spans="1:7" ht="18.95" customHeight="1">
      <c r="A1796" s="6" t="s">
        <v>4650</v>
      </c>
      <c r="B1796" s="6" t="s">
        <v>4648</v>
      </c>
      <c r="C1796" s="6" t="s">
        <v>602</v>
      </c>
      <c r="D1796" s="6" t="s">
        <v>97</v>
      </c>
      <c r="E1796" s="6" t="s">
        <v>47</v>
      </c>
      <c r="F1796" s="6" t="s">
        <v>98</v>
      </c>
      <c r="G1796" s="6" t="s">
        <v>4651</v>
      </c>
    </row>
    <row r="1797" spans="1:7" ht="18.95" customHeight="1">
      <c r="A1797" s="6" t="s">
        <v>4652</v>
      </c>
      <c r="B1797" s="6" t="s">
        <v>4653</v>
      </c>
      <c r="C1797" s="6" t="s">
        <v>611</v>
      </c>
      <c r="D1797" s="6" t="s">
        <v>103</v>
      </c>
      <c r="E1797" s="6" t="s">
        <v>48</v>
      </c>
      <c r="F1797" s="6" t="s">
        <v>98</v>
      </c>
      <c r="G1797" s="6" t="s">
        <v>4654</v>
      </c>
    </row>
    <row r="1798" spans="1:7" ht="18.95" customHeight="1">
      <c r="A1798" s="6" t="s">
        <v>4655</v>
      </c>
      <c r="B1798" s="6" t="s">
        <v>4653</v>
      </c>
      <c r="C1798" s="6" t="s">
        <v>611</v>
      </c>
      <c r="D1798" s="6" t="s">
        <v>93</v>
      </c>
      <c r="E1798" s="6" t="s">
        <v>46</v>
      </c>
      <c r="F1798" s="6" t="s">
        <v>98</v>
      </c>
      <c r="G1798" s="6" t="s">
        <v>4656</v>
      </c>
    </row>
    <row r="1799" spans="1:7" ht="18.95" customHeight="1">
      <c r="A1799" s="6" t="s">
        <v>4657</v>
      </c>
      <c r="B1799" s="6" t="s">
        <v>4658</v>
      </c>
      <c r="C1799" s="6" t="s">
        <v>615</v>
      </c>
      <c r="D1799" s="6" t="s">
        <v>97</v>
      </c>
      <c r="E1799" s="6" t="s">
        <v>47</v>
      </c>
      <c r="F1799" s="6" t="s">
        <v>98</v>
      </c>
      <c r="G1799" s="6" t="s">
        <v>4659</v>
      </c>
    </row>
    <row r="1800" spans="1:7" ht="18.95" customHeight="1">
      <c r="A1800" s="6" t="s">
        <v>4660</v>
      </c>
      <c r="B1800" s="6" t="s">
        <v>4658</v>
      </c>
      <c r="C1800" s="6" t="s">
        <v>615</v>
      </c>
      <c r="D1800" s="6" t="s">
        <v>103</v>
      </c>
      <c r="E1800" s="6" t="s">
        <v>48</v>
      </c>
      <c r="F1800" s="6" t="s">
        <v>98</v>
      </c>
      <c r="G1800" s="6" t="s">
        <v>4661</v>
      </c>
    </row>
    <row r="1801" spans="1:7" ht="18.95" customHeight="1">
      <c r="A1801" s="6" t="s">
        <v>4662</v>
      </c>
      <c r="B1801" s="6" t="s">
        <v>4663</v>
      </c>
      <c r="C1801" s="6" t="s">
        <v>621</v>
      </c>
      <c r="D1801" s="6" t="s">
        <v>93</v>
      </c>
      <c r="E1801" s="6" t="s">
        <v>46</v>
      </c>
      <c r="F1801" s="6" t="s">
        <v>94</v>
      </c>
      <c r="G1801" s="6" t="s">
        <v>4664</v>
      </c>
    </row>
    <row r="1802" spans="1:7" ht="18.95" customHeight="1">
      <c r="A1802" s="6" t="s">
        <v>4665</v>
      </c>
      <c r="B1802" s="6" t="s">
        <v>4663</v>
      </c>
      <c r="C1802" s="6" t="s">
        <v>621</v>
      </c>
      <c r="D1802" s="6" t="s">
        <v>97</v>
      </c>
      <c r="E1802" s="6" t="s">
        <v>47</v>
      </c>
      <c r="F1802" s="6" t="s">
        <v>98</v>
      </c>
      <c r="G1802" s="6" t="s">
        <v>4666</v>
      </c>
    </row>
    <row r="1803" spans="1:7" ht="18.95" customHeight="1">
      <c r="A1803" s="6" t="s">
        <v>4667</v>
      </c>
      <c r="B1803" s="6" t="s">
        <v>4668</v>
      </c>
      <c r="C1803" s="6" t="s">
        <v>627</v>
      </c>
      <c r="D1803" s="6" t="s">
        <v>103</v>
      </c>
      <c r="E1803" s="6" t="s">
        <v>48</v>
      </c>
      <c r="F1803" s="6" t="s">
        <v>98</v>
      </c>
      <c r="G1803" s="6" t="s">
        <v>4669</v>
      </c>
    </row>
    <row r="1804" spans="1:7" ht="18.95" customHeight="1">
      <c r="A1804" s="6" t="s">
        <v>4670</v>
      </c>
      <c r="B1804" s="6" t="s">
        <v>4668</v>
      </c>
      <c r="C1804" s="6" t="s">
        <v>627</v>
      </c>
      <c r="D1804" s="6" t="s">
        <v>93</v>
      </c>
      <c r="E1804" s="6" t="s">
        <v>46</v>
      </c>
      <c r="F1804" s="6" t="s">
        <v>98</v>
      </c>
      <c r="G1804" s="6" t="s">
        <v>4671</v>
      </c>
    </row>
    <row r="1805" spans="1:7" ht="18.95" customHeight="1">
      <c r="A1805" s="6" t="s">
        <v>4672</v>
      </c>
      <c r="B1805" s="6" t="s">
        <v>4673</v>
      </c>
      <c r="C1805" s="6" t="s">
        <v>633</v>
      </c>
      <c r="D1805" s="6" t="s">
        <v>97</v>
      </c>
      <c r="E1805" s="6" t="s">
        <v>47</v>
      </c>
      <c r="F1805" s="6" t="s">
        <v>98</v>
      </c>
      <c r="G1805" s="6" t="s">
        <v>4674</v>
      </c>
    </row>
    <row r="1806" spans="1:7" ht="18.95" customHeight="1">
      <c r="A1806" s="6" t="s">
        <v>4675</v>
      </c>
      <c r="B1806" s="6" t="s">
        <v>4673</v>
      </c>
      <c r="C1806" s="6" t="s">
        <v>633</v>
      </c>
      <c r="D1806" s="6" t="s">
        <v>103</v>
      </c>
      <c r="E1806" s="6" t="s">
        <v>48</v>
      </c>
      <c r="F1806" s="6" t="s">
        <v>98</v>
      </c>
      <c r="G1806" s="6" t="s">
        <v>791</v>
      </c>
    </row>
    <row r="1807" spans="1:7" ht="18.95" customHeight="1">
      <c r="A1807" s="6" t="s">
        <v>4676</v>
      </c>
      <c r="B1807" s="6" t="s">
        <v>4677</v>
      </c>
      <c r="C1807" s="6" t="s">
        <v>92</v>
      </c>
      <c r="D1807" s="6" t="s">
        <v>93</v>
      </c>
      <c r="E1807" s="6" t="s">
        <v>46</v>
      </c>
      <c r="F1807" s="6" t="s">
        <v>98</v>
      </c>
      <c r="G1807" s="6" t="s">
        <v>4678</v>
      </c>
    </row>
    <row r="1808" spans="1:7" ht="18.95" customHeight="1">
      <c r="A1808" s="6" t="s">
        <v>4679</v>
      </c>
      <c r="B1808" s="6" t="s">
        <v>4677</v>
      </c>
      <c r="C1808" s="6" t="s">
        <v>92</v>
      </c>
      <c r="D1808" s="6" t="s">
        <v>97</v>
      </c>
      <c r="E1808" s="6" t="s">
        <v>47</v>
      </c>
      <c r="F1808" s="6" t="s">
        <v>98</v>
      </c>
      <c r="G1808" s="6" t="s">
        <v>4680</v>
      </c>
    </row>
    <row r="1809" spans="1:7" ht="18.95" customHeight="1">
      <c r="A1809" s="6" t="s">
        <v>4681</v>
      </c>
      <c r="B1809" s="6" t="s">
        <v>4682</v>
      </c>
      <c r="C1809" s="6" t="s">
        <v>102</v>
      </c>
      <c r="D1809" s="6" t="s">
        <v>103</v>
      </c>
      <c r="E1809" s="6" t="s">
        <v>48</v>
      </c>
      <c r="F1809" s="6" t="s">
        <v>98</v>
      </c>
      <c r="G1809" s="6" t="s">
        <v>4683</v>
      </c>
    </row>
    <row r="1810" spans="1:7" ht="18.95" customHeight="1">
      <c r="A1810" s="6" t="s">
        <v>4684</v>
      </c>
      <c r="B1810" s="6" t="s">
        <v>4682</v>
      </c>
      <c r="C1810" s="6" t="s">
        <v>102</v>
      </c>
      <c r="D1810" s="6" t="s">
        <v>93</v>
      </c>
      <c r="E1810" s="6" t="s">
        <v>46</v>
      </c>
      <c r="F1810" s="6" t="s">
        <v>98</v>
      </c>
      <c r="G1810" s="6" t="s">
        <v>4685</v>
      </c>
    </row>
    <row r="1811" spans="1:7" ht="18.95" customHeight="1">
      <c r="A1811" s="6" t="s">
        <v>4686</v>
      </c>
      <c r="B1811" s="6" t="s">
        <v>4687</v>
      </c>
      <c r="C1811" s="6" t="s">
        <v>109</v>
      </c>
      <c r="D1811" s="6" t="s">
        <v>97</v>
      </c>
      <c r="E1811" s="6" t="s">
        <v>47</v>
      </c>
      <c r="F1811" s="6" t="s">
        <v>98</v>
      </c>
      <c r="G1811" s="6" t="s">
        <v>4688</v>
      </c>
    </row>
    <row r="1812" spans="1:7" ht="18.95" customHeight="1">
      <c r="A1812" s="6" t="s">
        <v>4689</v>
      </c>
      <c r="B1812" s="6" t="s">
        <v>4687</v>
      </c>
      <c r="C1812" s="6" t="s">
        <v>109</v>
      </c>
      <c r="D1812" s="6" t="s">
        <v>103</v>
      </c>
      <c r="E1812" s="6" t="s">
        <v>48</v>
      </c>
      <c r="F1812" s="6" t="s">
        <v>98</v>
      </c>
      <c r="G1812" s="6" t="s">
        <v>4690</v>
      </c>
    </row>
    <row r="1813" spans="1:7" ht="18.95" customHeight="1">
      <c r="A1813" s="6" t="s">
        <v>4691</v>
      </c>
      <c r="B1813" s="6" t="s">
        <v>4692</v>
      </c>
      <c r="C1813" s="6" t="s">
        <v>115</v>
      </c>
      <c r="D1813" s="6" t="s">
        <v>93</v>
      </c>
      <c r="E1813" s="6" t="s">
        <v>46</v>
      </c>
      <c r="F1813" s="6" t="s">
        <v>98</v>
      </c>
      <c r="G1813" s="6" t="s">
        <v>4693</v>
      </c>
    </row>
    <row r="1814" spans="1:7" ht="18.95" customHeight="1">
      <c r="A1814" s="6" t="s">
        <v>4694</v>
      </c>
      <c r="B1814" s="6" t="s">
        <v>4692</v>
      </c>
      <c r="C1814" s="6" t="s">
        <v>115</v>
      </c>
      <c r="D1814" s="6" t="s">
        <v>97</v>
      </c>
      <c r="E1814" s="6" t="s">
        <v>47</v>
      </c>
      <c r="F1814" s="6" t="s">
        <v>98</v>
      </c>
      <c r="G1814" s="6" t="s">
        <v>4695</v>
      </c>
    </row>
    <row r="1815" spans="1:7" ht="18.95" customHeight="1">
      <c r="A1815" s="6" t="s">
        <v>4696</v>
      </c>
      <c r="B1815" s="6" t="s">
        <v>4697</v>
      </c>
      <c r="C1815" s="6" t="s">
        <v>121</v>
      </c>
      <c r="D1815" s="6" t="s">
        <v>103</v>
      </c>
      <c r="E1815" s="6" t="s">
        <v>48</v>
      </c>
      <c r="F1815" s="6" t="s">
        <v>98</v>
      </c>
      <c r="G1815" s="6" t="s">
        <v>4698</v>
      </c>
    </row>
    <row r="1816" spans="1:7" ht="18.95" customHeight="1">
      <c r="A1816" s="6" t="s">
        <v>4699</v>
      </c>
      <c r="B1816" s="6" t="s">
        <v>4697</v>
      </c>
      <c r="C1816" s="6" t="s">
        <v>121</v>
      </c>
      <c r="D1816" s="6" t="s">
        <v>93</v>
      </c>
      <c r="E1816" s="6" t="s">
        <v>46</v>
      </c>
      <c r="F1816" s="6" t="s">
        <v>98</v>
      </c>
      <c r="G1816" s="6" t="s">
        <v>4700</v>
      </c>
    </row>
    <row r="1817" spans="1:7" ht="18.95" customHeight="1">
      <c r="A1817" s="6" t="s">
        <v>4701</v>
      </c>
      <c r="B1817" s="6" t="s">
        <v>4702</v>
      </c>
      <c r="C1817" s="6" t="s">
        <v>127</v>
      </c>
      <c r="D1817" s="6" t="s">
        <v>97</v>
      </c>
      <c r="E1817" s="6" t="s">
        <v>47</v>
      </c>
      <c r="F1817" s="6" t="s">
        <v>98</v>
      </c>
      <c r="G1817" s="6" t="s">
        <v>4703</v>
      </c>
    </row>
    <row r="1818" spans="1:7" ht="18.95" customHeight="1">
      <c r="A1818" s="6" t="s">
        <v>4704</v>
      </c>
      <c r="B1818" s="6" t="s">
        <v>4702</v>
      </c>
      <c r="C1818" s="6" t="s">
        <v>127</v>
      </c>
      <c r="D1818" s="6" t="s">
        <v>103</v>
      </c>
      <c r="E1818" s="6" t="s">
        <v>48</v>
      </c>
      <c r="F1818" s="6" t="s">
        <v>98</v>
      </c>
      <c r="G1818" s="6" t="s">
        <v>4705</v>
      </c>
    </row>
    <row r="1819" spans="1:7" ht="18.95" customHeight="1">
      <c r="A1819" s="6" t="s">
        <v>4706</v>
      </c>
      <c r="B1819" s="6" t="s">
        <v>4707</v>
      </c>
      <c r="C1819" s="6" t="s">
        <v>133</v>
      </c>
      <c r="D1819" s="6" t="s">
        <v>93</v>
      </c>
      <c r="E1819" s="6" t="s">
        <v>46</v>
      </c>
      <c r="F1819" s="6" t="s">
        <v>98</v>
      </c>
      <c r="G1819" s="6" t="s">
        <v>4708</v>
      </c>
    </row>
    <row r="1820" spans="1:7" ht="18.95" customHeight="1">
      <c r="A1820" s="6" t="s">
        <v>4709</v>
      </c>
      <c r="B1820" s="6" t="s">
        <v>4707</v>
      </c>
      <c r="C1820" s="6" t="s">
        <v>133</v>
      </c>
      <c r="D1820" s="6" t="s">
        <v>97</v>
      </c>
      <c r="E1820" s="6" t="s">
        <v>47</v>
      </c>
      <c r="F1820" s="6" t="s">
        <v>98</v>
      </c>
      <c r="G1820" s="6" t="s">
        <v>4710</v>
      </c>
    </row>
    <row r="1821" spans="1:7" ht="18.95" customHeight="1">
      <c r="A1821" s="6" t="s">
        <v>4711</v>
      </c>
      <c r="B1821" s="6" t="s">
        <v>4712</v>
      </c>
      <c r="C1821" s="6" t="s">
        <v>139</v>
      </c>
      <c r="D1821" s="6" t="s">
        <v>103</v>
      </c>
      <c r="E1821" s="6" t="s">
        <v>48</v>
      </c>
      <c r="F1821" s="6" t="s">
        <v>98</v>
      </c>
      <c r="G1821" s="6" t="s">
        <v>841</v>
      </c>
    </row>
    <row r="1822" spans="1:7" ht="18.95" customHeight="1">
      <c r="A1822" s="6" t="s">
        <v>4713</v>
      </c>
      <c r="B1822" s="6" t="s">
        <v>4712</v>
      </c>
      <c r="C1822" s="6" t="s">
        <v>139</v>
      </c>
      <c r="D1822" s="6" t="s">
        <v>93</v>
      </c>
      <c r="E1822" s="6" t="s">
        <v>46</v>
      </c>
      <c r="F1822" s="6" t="s">
        <v>98</v>
      </c>
      <c r="G1822" s="6" t="s">
        <v>4714</v>
      </c>
    </row>
    <row r="1823" spans="1:7" ht="18.95" customHeight="1">
      <c r="A1823" s="6" t="s">
        <v>4715</v>
      </c>
      <c r="B1823" s="6" t="s">
        <v>4716</v>
      </c>
      <c r="C1823" s="6" t="s">
        <v>145</v>
      </c>
      <c r="D1823" s="6" t="s">
        <v>97</v>
      </c>
      <c r="E1823" s="6" t="s">
        <v>47</v>
      </c>
      <c r="F1823" s="6" t="s">
        <v>98</v>
      </c>
      <c r="G1823" s="6" t="s">
        <v>4717</v>
      </c>
    </row>
    <row r="1824" spans="1:7" ht="18.95" customHeight="1">
      <c r="A1824" s="6" t="s">
        <v>4718</v>
      </c>
      <c r="B1824" s="6" t="s">
        <v>4716</v>
      </c>
      <c r="C1824" s="6" t="s">
        <v>145</v>
      </c>
      <c r="D1824" s="6" t="s">
        <v>103</v>
      </c>
      <c r="E1824" s="6" t="s">
        <v>48</v>
      </c>
      <c r="F1824" s="6" t="s">
        <v>94</v>
      </c>
      <c r="G1824" s="6" t="s">
        <v>4719</v>
      </c>
    </row>
    <row r="1825" spans="1:7" ht="18.95" customHeight="1">
      <c r="A1825" s="6" t="s">
        <v>4720</v>
      </c>
      <c r="B1825" s="6" t="s">
        <v>4721</v>
      </c>
      <c r="C1825" s="6" t="s">
        <v>151</v>
      </c>
      <c r="D1825" s="6" t="s">
        <v>93</v>
      </c>
      <c r="E1825" s="6" t="s">
        <v>46</v>
      </c>
      <c r="F1825" s="6" t="s">
        <v>98</v>
      </c>
      <c r="G1825" s="6" t="s">
        <v>4722</v>
      </c>
    </row>
    <row r="1826" spans="1:7" ht="18.95" customHeight="1">
      <c r="A1826" s="6" t="s">
        <v>4723</v>
      </c>
      <c r="B1826" s="6" t="s">
        <v>4721</v>
      </c>
      <c r="C1826" s="6" t="s">
        <v>151</v>
      </c>
      <c r="D1826" s="6" t="s">
        <v>97</v>
      </c>
      <c r="E1826" s="6" t="s">
        <v>47</v>
      </c>
      <c r="F1826" s="6" t="s">
        <v>98</v>
      </c>
      <c r="G1826" s="6" t="s">
        <v>4724</v>
      </c>
    </row>
    <row r="1827" spans="1:7" ht="18.95" customHeight="1">
      <c r="A1827" s="6" t="s">
        <v>4725</v>
      </c>
      <c r="B1827" s="6" t="s">
        <v>4726</v>
      </c>
      <c r="C1827" s="6" t="s">
        <v>157</v>
      </c>
      <c r="D1827" s="6" t="s">
        <v>103</v>
      </c>
      <c r="E1827" s="6" t="s">
        <v>48</v>
      </c>
      <c r="F1827" s="6" t="s">
        <v>98</v>
      </c>
      <c r="G1827" s="6" t="s">
        <v>4727</v>
      </c>
    </row>
    <row r="1828" spans="1:7" ht="18.95" customHeight="1">
      <c r="A1828" s="6" t="s">
        <v>4728</v>
      </c>
      <c r="B1828" s="6" t="s">
        <v>4726</v>
      </c>
      <c r="C1828" s="6" t="s">
        <v>157</v>
      </c>
      <c r="D1828" s="6" t="s">
        <v>93</v>
      </c>
      <c r="E1828" s="6" t="s">
        <v>46</v>
      </c>
      <c r="F1828" s="6" t="s">
        <v>98</v>
      </c>
      <c r="G1828" s="6" t="s">
        <v>4729</v>
      </c>
    </row>
    <row r="1829" spans="1:7" ht="18.95" customHeight="1">
      <c r="A1829" s="6" t="s">
        <v>4730</v>
      </c>
      <c r="B1829" s="6" t="s">
        <v>4731</v>
      </c>
      <c r="C1829" s="6" t="s">
        <v>163</v>
      </c>
      <c r="D1829" s="6" t="s">
        <v>97</v>
      </c>
      <c r="E1829" s="6" t="s">
        <v>47</v>
      </c>
      <c r="F1829" s="6" t="s">
        <v>98</v>
      </c>
      <c r="G1829" s="6" t="s">
        <v>4732</v>
      </c>
    </row>
    <row r="1830" spans="1:7" ht="18.95" customHeight="1">
      <c r="A1830" s="6" t="s">
        <v>4733</v>
      </c>
      <c r="B1830" s="6" t="s">
        <v>4731</v>
      </c>
      <c r="C1830" s="6" t="s">
        <v>163</v>
      </c>
      <c r="D1830" s="6" t="s">
        <v>103</v>
      </c>
      <c r="E1830" s="6" t="s">
        <v>48</v>
      </c>
      <c r="F1830" s="6" t="s">
        <v>98</v>
      </c>
      <c r="G1830" s="6" t="s">
        <v>4734</v>
      </c>
    </row>
    <row r="1831" spans="1:7" ht="18.95" customHeight="1">
      <c r="A1831" s="6" t="s">
        <v>4735</v>
      </c>
      <c r="B1831" s="6" t="s">
        <v>4736</v>
      </c>
      <c r="C1831" s="6" t="s">
        <v>169</v>
      </c>
      <c r="D1831" s="6" t="s">
        <v>93</v>
      </c>
      <c r="E1831" s="6" t="s">
        <v>46</v>
      </c>
      <c r="F1831" s="6" t="s">
        <v>98</v>
      </c>
      <c r="G1831" s="6" t="s">
        <v>4737</v>
      </c>
    </row>
    <row r="1832" spans="1:7" ht="18.95" customHeight="1">
      <c r="A1832" s="6" t="s">
        <v>4738</v>
      </c>
      <c r="B1832" s="6" t="s">
        <v>4736</v>
      </c>
      <c r="C1832" s="6" t="s">
        <v>169</v>
      </c>
      <c r="D1832" s="6" t="s">
        <v>97</v>
      </c>
      <c r="E1832" s="6" t="s">
        <v>47</v>
      </c>
      <c r="F1832" s="6" t="s">
        <v>98</v>
      </c>
      <c r="G1832" s="6" t="s">
        <v>4739</v>
      </c>
    </row>
    <row r="1833" spans="1:7" ht="18.95" customHeight="1">
      <c r="A1833" s="6" t="s">
        <v>4740</v>
      </c>
      <c r="B1833" s="6" t="s">
        <v>4741</v>
      </c>
      <c r="C1833" s="6" t="s">
        <v>175</v>
      </c>
      <c r="D1833" s="6" t="s">
        <v>103</v>
      </c>
      <c r="E1833" s="6" t="s">
        <v>48</v>
      </c>
      <c r="F1833" s="6" t="s">
        <v>98</v>
      </c>
      <c r="G1833" s="6" t="s">
        <v>4742</v>
      </c>
    </row>
    <row r="1834" spans="1:7" ht="18.95" customHeight="1">
      <c r="A1834" s="6" t="s">
        <v>4743</v>
      </c>
      <c r="B1834" s="6" t="s">
        <v>4741</v>
      </c>
      <c r="C1834" s="6" t="s">
        <v>175</v>
      </c>
      <c r="D1834" s="6" t="s">
        <v>93</v>
      </c>
      <c r="E1834" s="6" t="s">
        <v>46</v>
      </c>
      <c r="F1834" s="6" t="s">
        <v>98</v>
      </c>
      <c r="G1834" s="6" t="s">
        <v>4744</v>
      </c>
    </row>
    <row r="1835" spans="1:7" ht="18.95" customHeight="1">
      <c r="A1835" s="6" t="s">
        <v>4745</v>
      </c>
      <c r="B1835" s="6" t="s">
        <v>4746</v>
      </c>
      <c r="C1835" s="6" t="s">
        <v>181</v>
      </c>
      <c r="D1835" s="6" t="s">
        <v>97</v>
      </c>
      <c r="E1835" s="6" t="s">
        <v>47</v>
      </c>
      <c r="F1835" s="6" t="s">
        <v>98</v>
      </c>
      <c r="G1835" s="6" t="s">
        <v>4747</v>
      </c>
    </row>
    <row r="1836" spans="1:7" ht="18.95" customHeight="1">
      <c r="A1836" s="6" t="s">
        <v>4748</v>
      </c>
      <c r="B1836" s="6" t="s">
        <v>4746</v>
      </c>
      <c r="C1836" s="6" t="s">
        <v>181</v>
      </c>
      <c r="D1836" s="6" t="s">
        <v>103</v>
      </c>
      <c r="E1836" s="6" t="s">
        <v>48</v>
      </c>
      <c r="F1836" s="6" t="s">
        <v>98</v>
      </c>
      <c r="G1836" s="6" t="s">
        <v>891</v>
      </c>
    </row>
    <row r="1837" spans="1:7" ht="18.95" customHeight="1">
      <c r="A1837" s="6" t="s">
        <v>4749</v>
      </c>
      <c r="B1837" s="6" t="s">
        <v>4750</v>
      </c>
      <c r="C1837" s="6" t="s">
        <v>187</v>
      </c>
      <c r="D1837" s="6" t="s">
        <v>93</v>
      </c>
      <c r="E1837" s="6" t="s">
        <v>46</v>
      </c>
      <c r="F1837" s="6" t="s">
        <v>98</v>
      </c>
      <c r="G1837" s="6" t="s">
        <v>4751</v>
      </c>
    </row>
    <row r="1838" spans="1:7" ht="18.95" customHeight="1">
      <c r="A1838" s="6" t="s">
        <v>4752</v>
      </c>
      <c r="B1838" s="6" t="s">
        <v>4750</v>
      </c>
      <c r="C1838" s="6" t="s">
        <v>187</v>
      </c>
      <c r="D1838" s="6" t="s">
        <v>97</v>
      </c>
      <c r="E1838" s="6" t="s">
        <v>47</v>
      </c>
      <c r="F1838" s="6" t="s">
        <v>98</v>
      </c>
      <c r="G1838" s="6" t="s">
        <v>4753</v>
      </c>
    </row>
    <row r="1839" spans="1:7" ht="18.95" customHeight="1">
      <c r="A1839" s="6" t="s">
        <v>4754</v>
      </c>
      <c r="B1839" s="6" t="s">
        <v>4755</v>
      </c>
      <c r="C1839" s="6" t="s">
        <v>193</v>
      </c>
      <c r="D1839" s="6" t="s">
        <v>103</v>
      </c>
      <c r="E1839" s="6" t="s">
        <v>48</v>
      </c>
      <c r="F1839" s="6" t="s">
        <v>98</v>
      </c>
      <c r="G1839" s="6" t="s">
        <v>4756</v>
      </c>
    </row>
    <row r="1840" spans="1:7" ht="18.95" customHeight="1">
      <c r="A1840" s="6" t="s">
        <v>4757</v>
      </c>
      <c r="B1840" s="6" t="s">
        <v>4755</v>
      </c>
      <c r="C1840" s="6" t="s">
        <v>193</v>
      </c>
      <c r="D1840" s="6" t="s">
        <v>93</v>
      </c>
      <c r="E1840" s="6" t="s">
        <v>46</v>
      </c>
      <c r="F1840" s="6" t="s">
        <v>98</v>
      </c>
      <c r="G1840" s="6" t="s">
        <v>4758</v>
      </c>
    </row>
    <row r="1841" spans="1:7" ht="18.95" customHeight="1">
      <c r="A1841" s="6" t="s">
        <v>4759</v>
      </c>
      <c r="B1841" s="6" t="s">
        <v>4760</v>
      </c>
      <c r="C1841" s="6" t="s">
        <v>200</v>
      </c>
      <c r="D1841" s="6" t="s">
        <v>97</v>
      </c>
      <c r="E1841" s="6" t="s">
        <v>47</v>
      </c>
      <c r="F1841" s="6" t="s">
        <v>98</v>
      </c>
      <c r="G1841" s="6" t="s">
        <v>4761</v>
      </c>
    </row>
    <row r="1842" spans="1:7" ht="18.95" customHeight="1">
      <c r="A1842" s="6" t="s">
        <v>4762</v>
      </c>
      <c r="B1842" s="6" t="s">
        <v>4760</v>
      </c>
      <c r="C1842" s="6" t="s">
        <v>200</v>
      </c>
      <c r="D1842" s="6" t="s">
        <v>103</v>
      </c>
      <c r="E1842" s="6" t="s">
        <v>48</v>
      </c>
      <c r="F1842" s="6" t="s">
        <v>98</v>
      </c>
      <c r="G1842" s="6" t="s">
        <v>4763</v>
      </c>
    </row>
    <row r="1843" spans="1:7" ht="18.95" customHeight="1">
      <c r="A1843" s="6" t="s">
        <v>4764</v>
      </c>
      <c r="B1843" s="6" t="s">
        <v>4765</v>
      </c>
      <c r="C1843" s="6" t="s">
        <v>206</v>
      </c>
      <c r="D1843" s="6" t="s">
        <v>93</v>
      </c>
      <c r="E1843" s="6" t="s">
        <v>46</v>
      </c>
      <c r="F1843" s="6" t="s">
        <v>98</v>
      </c>
      <c r="G1843" s="6" t="s">
        <v>4766</v>
      </c>
    </row>
    <row r="1844" spans="1:7" ht="18.95" customHeight="1">
      <c r="A1844" s="6" t="s">
        <v>4767</v>
      </c>
      <c r="B1844" s="6" t="s">
        <v>4765</v>
      </c>
      <c r="C1844" s="6" t="s">
        <v>206</v>
      </c>
      <c r="D1844" s="6" t="s">
        <v>97</v>
      </c>
      <c r="E1844" s="6" t="s">
        <v>47</v>
      </c>
      <c r="F1844" s="6" t="s">
        <v>98</v>
      </c>
      <c r="G1844" s="6" t="s">
        <v>4768</v>
      </c>
    </row>
    <row r="1845" spans="1:7" ht="18.95" customHeight="1">
      <c r="A1845" s="6" t="s">
        <v>4769</v>
      </c>
      <c r="B1845" s="6" t="s">
        <v>4770</v>
      </c>
      <c r="C1845" s="6" t="s">
        <v>212</v>
      </c>
      <c r="D1845" s="6" t="s">
        <v>103</v>
      </c>
      <c r="E1845" s="6" t="s">
        <v>48</v>
      </c>
      <c r="F1845" s="6" t="s">
        <v>98</v>
      </c>
      <c r="G1845" s="6" t="s">
        <v>4771</v>
      </c>
    </row>
    <row r="1846" spans="1:7" ht="18.95" customHeight="1">
      <c r="A1846" s="6" t="s">
        <v>4772</v>
      </c>
      <c r="B1846" s="6" t="s">
        <v>4770</v>
      </c>
      <c r="C1846" s="6" t="s">
        <v>212</v>
      </c>
      <c r="D1846" s="6" t="s">
        <v>93</v>
      </c>
      <c r="E1846" s="6" t="s">
        <v>46</v>
      </c>
      <c r="F1846" s="6" t="s">
        <v>98</v>
      </c>
      <c r="G1846" s="6" t="s">
        <v>4773</v>
      </c>
    </row>
    <row r="1847" spans="1:7" ht="18.95" customHeight="1">
      <c r="A1847" s="6" t="s">
        <v>4774</v>
      </c>
      <c r="B1847" s="6" t="s">
        <v>4775</v>
      </c>
      <c r="C1847" s="6" t="s">
        <v>218</v>
      </c>
      <c r="D1847" s="6" t="s">
        <v>97</v>
      </c>
      <c r="E1847" s="6" t="s">
        <v>47</v>
      </c>
      <c r="F1847" s="6" t="s">
        <v>94</v>
      </c>
      <c r="G1847" s="6" t="s">
        <v>4776</v>
      </c>
    </row>
    <row r="1848" spans="1:7" ht="18.95" customHeight="1">
      <c r="A1848" s="6" t="s">
        <v>4777</v>
      </c>
      <c r="B1848" s="6" t="s">
        <v>4775</v>
      </c>
      <c r="C1848" s="6" t="s">
        <v>218</v>
      </c>
      <c r="D1848" s="6" t="s">
        <v>103</v>
      </c>
      <c r="E1848" s="6" t="s">
        <v>48</v>
      </c>
      <c r="F1848" s="6" t="s">
        <v>98</v>
      </c>
      <c r="G1848" s="6" t="s">
        <v>4778</v>
      </c>
    </row>
    <row r="1849" spans="1:7" ht="18.95" customHeight="1">
      <c r="A1849" s="6" t="s">
        <v>4779</v>
      </c>
      <c r="B1849" s="6" t="s">
        <v>4780</v>
      </c>
      <c r="C1849" s="6" t="s">
        <v>224</v>
      </c>
      <c r="D1849" s="6" t="s">
        <v>93</v>
      </c>
      <c r="E1849" s="6" t="s">
        <v>46</v>
      </c>
      <c r="F1849" s="6" t="s">
        <v>98</v>
      </c>
      <c r="G1849" s="6" t="s">
        <v>4781</v>
      </c>
    </row>
    <row r="1850" spans="1:7" ht="18.95" customHeight="1">
      <c r="A1850" s="6" t="s">
        <v>4782</v>
      </c>
      <c r="B1850" s="6" t="s">
        <v>4780</v>
      </c>
      <c r="C1850" s="6" t="s">
        <v>224</v>
      </c>
      <c r="D1850" s="6" t="s">
        <v>97</v>
      </c>
      <c r="E1850" s="6" t="s">
        <v>47</v>
      </c>
      <c r="F1850" s="6" t="s">
        <v>98</v>
      </c>
      <c r="G1850" s="6" t="s">
        <v>4783</v>
      </c>
    </row>
    <row r="1851" spans="1:7" ht="18.95" customHeight="1">
      <c r="A1851" s="6" t="s">
        <v>4784</v>
      </c>
      <c r="B1851" s="6" t="s">
        <v>4785</v>
      </c>
      <c r="C1851" s="6" t="s">
        <v>230</v>
      </c>
      <c r="D1851" s="6" t="s">
        <v>103</v>
      </c>
      <c r="E1851" s="6" t="s">
        <v>48</v>
      </c>
      <c r="F1851" s="6" t="s">
        <v>98</v>
      </c>
      <c r="G1851" s="6" t="s">
        <v>941</v>
      </c>
    </row>
    <row r="1852" spans="1:7" ht="18.95" customHeight="1">
      <c r="A1852" s="6" t="s">
        <v>4786</v>
      </c>
      <c r="B1852" s="6" t="s">
        <v>4785</v>
      </c>
      <c r="C1852" s="6" t="s">
        <v>230</v>
      </c>
      <c r="D1852" s="6" t="s">
        <v>93</v>
      </c>
      <c r="E1852" s="6" t="s">
        <v>46</v>
      </c>
      <c r="F1852" s="6" t="s">
        <v>98</v>
      </c>
      <c r="G1852" s="6" t="s">
        <v>4787</v>
      </c>
    </row>
    <row r="1853" spans="1:7" ht="18.95" customHeight="1">
      <c r="A1853" s="6" t="s">
        <v>4788</v>
      </c>
      <c r="B1853" s="6" t="s">
        <v>4789</v>
      </c>
      <c r="C1853" s="6" t="s">
        <v>236</v>
      </c>
      <c r="D1853" s="6" t="s">
        <v>97</v>
      </c>
      <c r="E1853" s="6" t="s">
        <v>47</v>
      </c>
      <c r="F1853" s="6" t="s">
        <v>98</v>
      </c>
      <c r="G1853" s="6" t="s">
        <v>4790</v>
      </c>
    </row>
    <row r="1854" spans="1:7" ht="18.95" customHeight="1">
      <c r="A1854" s="6" t="s">
        <v>4791</v>
      </c>
      <c r="B1854" s="6" t="s">
        <v>4789</v>
      </c>
      <c r="C1854" s="6" t="s">
        <v>236</v>
      </c>
      <c r="D1854" s="6" t="s">
        <v>103</v>
      </c>
      <c r="E1854" s="6" t="s">
        <v>48</v>
      </c>
      <c r="F1854" s="6" t="s">
        <v>98</v>
      </c>
      <c r="G1854" s="6" t="s">
        <v>4792</v>
      </c>
    </row>
    <row r="1855" spans="1:7" ht="18.95" customHeight="1">
      <c r="A1855" s="6" t="s">
        <v>4793</v>
      </c>
      <c r="B1855" s="6" t="s">
        <v>4794</v>
      </c>
      <c r="C1855" s="6" t="s">
        <v>242</v>
      </c>
      <c r="D1855" s="6" t="s">
        <v>93</v>
      </c>
      <c r="E1855" s="6" t="s">
        <v>46</v>
      </c>
      <c r="F1855" s="6" t="s">
        <v>98</v>
      </c>
      <c r="G1855" s="6" t="s">
        <v>4795</v>
      </c>
    </row>
    <row r="1856" spans="1:7" ht="18.95" customHeight="1">
      <c r="A1856" s="6" t="s">
        <v>4796</v>
      </c>
      <c r="B1856" s="6" t="s">
        <v>4794</v>
      </c>
      <c r="C1856" s="6" t="s">
        <v>242</v>
      </c>
      <c r="D1856" s="6" t="s">
        <v>97</v>
      </c>
      <c r="E1856" s="6" t="s">
        <v>47</v>
      </c>
      <c r="F1856" s="6" t="s">
        <v>98</v>
      </c>
      <c r="G1856" s="6" t="s">
        <v>4797</v>
      </c>
    </row>
    <row r="1857" spans="1:7" ht="18.95" customHeight="1">
      <c r="A1857" s="6" t="s">
        <v>4798</v>
      </c>
      <c r="B1857" s="6" t="s">
        <v>4799</v>
      </c>
      <c r="C1857" s="6" t="s">
        <v>248</v>
      </c>
      <c r="D1857" s="6" t="s">
        <v>103</v>
      </c>
      <c r="E1857" s="6" t="s">
        <v>48</v>
      </c>
      <c r="F1857" s="6" t="s">
        <v>98</v>
      </c>
      <c r="G1857" s="6" t="s">
        <v>4800</v>
      </c>
    </row>
    <row r="1858" spans="1:7" ht="18.95" customHeight="1">
      <c r="A1858" s="6" t="s">
        <v>4801</v>
      </c>
      <c r="B1858" s="6" t="s">
        <v>4799</v>
      </c>
      <c r="C1858" s="6" t="s">
        <v>248</v>
      </c>
      <c r="D1858" s="6" t="s">
        <v>93</v>
      </c>
      <c r="E1858" s="6" t="s">
        <v>46</v>
      </c>
      <c r="F1858" s="6" t="s">
        <v>98</v>
      </c>
      <c r="G1858" s="6" t="s">
        <v>4802</v>
      </c>
    </row>
    <row r="1859" spans="1:7" ht="18.95" customHeight="1">
      <c r="A1859" s="6" t="s">
        <v>4803</v>
      </c>
      <c r="B1859" s="6" t="s">
        <v>4804</v>
      </c>
      <c r="C1859" s="6" t="s">
        <v>254</v>
      </c>
      <c r="D1859" s="6" t="s">
        <v>97</v>
      </c>
      <c r="E1859" s="6" t="s">
        <v>47</v>
      </c>
      <c r="F1859" s="6" t="s">
        <v>98</v>
      </c>
      <c r="G1859" s="6" t="s">
        <v>4805</v>
      </c>
    </row>
    <row r="1860" spans="1:7" ht="18.95" customHeight="1">
      <c r="A1860" s="6" t="s">
        <v>4806</v>
      </c>
      <c r="B1860" s="6" t="s">
        <v>4804</v>
      </c>
      <c r="C1860" s="6" t="s">
        <v>254</v>
      </c>
      <c r="D1860" s="6" t="s">
        <v>103</v>
      </c>
      <c r="E1860" s="6" t="s">
        <v>48</v>
      </c>
      <c r="F1860" s="6" t="s">
        <v>98</v>
      </c>
      <c r="G1860" s="6" t="s">
        <v>4807</v>
      </c>
    </row>
    <row r="1861" spans="1:7" ht="18.95" customHeight="1">
      <c r="A1861" s="6" t="s">
        <v>4808</v>
      </c>
      <c r="B1861" s="6" t="s">
        <v>4809</v>
      </c>
      <c r="C1861" s="6" t="s">
        <v>260</v>
      </c>
      <c r="D1861" s="6" t="s">
        <v>93</v>
      </c>
      <c r="E1861" s="6" t="s">
        <v>46</v>
      </c>
      <c r="F1861" s="6" t="s">
        <v>98</v>
      </c>
      <c r="G1861" s="6" t="s">
        <v>4810</v>
      </c>
    </row>
    <row r="1862" spans="1:7" ht="18.95" customHeight="1">
      <c r="A1862" s="6" t="s">
        <v>4811</v>
      </c>
      <c r="B1862" s="6" t="s">
        <v>4809</v>
      </c>
      <c r="C1862" s="6" t="s">
        <v>260</v>
      </c>
      <c r="D1862" s="6" t="s">
        <v>97</v>
      </c>
      <c r="E1862" s="6" t="s">
        <v>47</v>
      </c>
      <c r="F1862" s="6" t="s">
        <v>98</v>
      </c>
      <c r="G1862" s="6" t="s">
        <v>4812</v>
      </c>
    </row>
    <row r="1863" spans="1:7" ht="18.95" customHeight="1">
      <c r="A1863" s="6" t="s">
        <v>4813</v>
      </c>
      <c r="B1863" s="6" t="s">
        <v>4814</v>
      </c>
      <c r="C1863" s="6" t="s">
        <v>266</v>
      </c>
      <c r="D1863" s="6" t="s">
        <v>103</v>
      </c>
      <c r="E1863" s="6" t="s">
        <v>48</v>
      </c>
      <c r="F1863" s="6" t="s">
        <v>98</v>
      </c>
      <c r="G1863" s="6" t="s">
        <v>4815</v>
      </c>
    </row>
    <row r="1864" spans="1:7" ht="18.95" customHeight="1">
      <c r="A1864" s="6" t="s">
        <v>4816</v>
      </c>
      <c r="B1864" s="6" t="s">
        <v>4814</v>
      </c>
      <c r="C1864" s="6" t="s">
        <v>266</v>
      </c>
      <c r="D1864" s="6" t="s">
        <v>93</v>
      </c>
      <c r="E1864" s="6" t="s">
        <v>46</v>
      </c>
      <c r="F1864" s="6" t="s">
        <v>98</v>
      </c>
      <c r="G1864" s="6" t="s">
        <v>4817</v>
      </c>
    </row>
    <row r="1865" spans="1:7" ht="18.95" customHeight="1">
      <c r="A1865" s="6" t="s">
        <v>4818</v>
      </c>
      <c r="B1865" s="6" t="s">
        <v>4819</v>
      </c>
      <c r="C1865" s="6" t="s">
        <v>272</v>
      </c>
      <c r="D1865" s="6" t="s">
        <v>97</v>
      </c>
      <c r="E1865" s="6" t="s">
        <v>47</v>
      </c>
      <c r="F1865" s="6" t="s">
        <v>98</v>
      </c>
      <c r="G1865" s="6" t="s">
        <v>4820</v>
      </c>
    </row>
    <row r="1866" spans="1:7" ht="18.95" customHeight="1">
      <c r="A1866" s="6" t="s">
        <v>4821</v>
      </c>
      <c r="B1866" s="6" t="s">
        <v>4819</v>
      </c>
      <c r="C1866" s="6" t="s">
        <v>272</v>
      </c>
      <c r="D1866" s="6" t="s">
        <v>103</v>
      </c>
      <c r="E1866" s="6" t="s">
        <v>48</v>
      </c>
      <c r="F1866" s="6" t="s">
        <v>98</v>
      </c>
      <c r="G1866" s="6" t="s">
        <v>992</v>
      </c>
    </row>
    <row r="1867" spans="1:7" ht="18.95" customHeight="1">
      <c r="A1867" s="6" t="s">
        <v>4822</v>
      </c>
      <c r="B1867" s="6" t="s">
        <v>4823</v>
      </c>
      <c r="C1867" s="6" t="s">
        <v>278</v>
      </c>
      <c r="D1867" s="6" t="s">
        <v>93</v>
      </c>
      <c r="E1867" s="6" t="s">
        <v>46</v>
      </c>
      <c r="F1867" s="6" t="s">
        <v>98</v>
      </c>
      <c r="G1867" s="6" t="s">
        <v>4824</v>
      </c>
    </row>
    <row r="1868" spans="1:7" ht="18.95" customHeight="1">
      <c r="A1868" s="6" t="s">
        <v>4825</v>
      </c>
      <c r="B1868" s="6" t="s">
        <v>4823</v>
      </c>
      <c r="C1868" s="6" t="s">
        <v>278</v>
      </c>
      <c r="D1868" s="6" t="s">
        <v>97</v>
      </c>
      <c r="E1868" s="6" t="s">
        <v>47</v>
      </c>
      <c r="F1868" s="6" t="s">
        <v>98</v>
      </c>
      <c r="G1868" s="6" t="s">
        <v>4826</v>
      </c>
    </row>
    <row r="1869" spans="1:7" ht="18.95" customHeight="1">
      <c r="A1869" s="6" t="s">
        <v>4827</v>
      </c>
      <c r="B1869" s="6" t="s">
        <v>4828</v>
      </c>
      <c r="C1869" s="6" t="s">
        <v>284</v>
      </c>
      <c r="D1869" s="6" t="s">
        <v>103</v>
      </c>
      <c r="E1869" s="6" t="s">
        <v>48</v>
      </c>
      <c r="F1869" s="6" t="s">
        <v>98</v>
      </c>
      <c r="G1869" s="6" t="s">
        <v>4829</v>
      </c>
    </row>
    <row r="1870" spans="1:7" ht="18.95" customHeight="1">
      <c r="A1870" s="6" t="s">
        <v>4830</v>
      </c>
      <c r="B1870" s="6" t="s">
        <v>4828</v>
      </c>
      <c r="C1870" s="6" t="s">
        <v>284</v>
      </c>
      <c r="D1870" s="6" t="s">
        <v>93</v>
      </c>
      <c r="E1870" s="6" t="s">
        <v>46</v>
      </c>
      <c r="F1870" s="6" t="s">
        <v>94</v>
      </c>
      <c r="G1870" s="6" t="s">
        <v>4831</v>
      </c>
    </row>
    <row r="1871" spans="1:7" ht="18.95" customHeight="1">
      <c r="A1871" s="6" t="s">
        <v>4832</v>
      </c>
      <c r="B1871" s="6" t="s">
        <v>4833</v>
      </c>
      <c r="C1871" s="6" t="s">
        <v>290</v>
      </c>
      <c r="D1871" s="6" t="s">
        <v>97</v>
      </c>
      <c r="E1871" s="6" t="s">
        <v>47</v>
      </c>
      <c r="F1871" s="6" t="s">
        <v>98</v>
      </c>
      <c r="G1871" s="6" t="s">
        <v>4834</v>
      </c>
    </row>
    <row r="1872" spans="1:7" ht="18.95" customHeight="1">
      <c r="A1872" s="6" t="s">
        <v>4835</v>
      </c>
      <c r="B1872" s="6" t="s">
        <v>4833</v>
      </c>
      <c r="C1872" s="6" t="s">
        <v>290</v>
      </c>
      <c r="D1872" s="6" t="s">
        <v>103</v>
      </c>
      <c r="E1872" s="6" t="s">
        <v>48</v>
      </c>
      <c r="F1872" s="6" t="s">
        <v>98</v>
      </c>
      <c r="G1872" s="6" t="s">
        <v>4836</v>
      </c>
    </row>
    <row r="1873" spans="1:7" ht="18.95" customHeight="1">
      <c r="A1873" s="6" t="s">
        <v>4837</v>
      </c>
      <c r="B1873" s="6" t="s">
        <v>4838</v>
      </c>
      <c r="C1873" s="6" t="s">
        <v>296</v>
      </c>
      <c r="D1873" s="6" t="s">
        <v>93</v>
      </c>
      <c r="E1873" s="6" t="s">
        <v>46</v>
      </c>
      <c r="F1873" s="6" t="s">
        <v>98</v>
      </c>
      <c r="G1873" s="6" t="s">
        <v>4839</v>
      </c>
    </row>
    <row r="1874" spans="1:7" ht="18.95" customHeight="1">
      <c r="A1874" s="6" t="s">
        <v>4840</v>
      </c>
      <c r="B1874" s="6" t="s">
        <v>4838</v>
      </c>
      <c r="C1874" s="6" t="s">
        <v>296</v>
      </c>
      <c r="D1874" s="6" t="s">
        <v>97</v>
      </c>
      <c r="E1874" s="6" t="s">
        <v>47</v>
      </c>
      <c r="F1874" s="6" t="s">
        <v>98</v>
      </c>
      <c r="G1874" s="6" t="s">
        <v>4841</v>
      </c>
    </row>
    <row r="1875" spans="1:7" ht="18.95" customHeight="1">
      <c r="A1875" s="6" t="s">
        <v>4842</v>
      </c>
      <c r="B1875" s="6" t="s">
        <v>4843</v>
      </c>
      <c r="C1875" s="6" t="s">
        <v>302</v>
      </c>
      <c r="D1875" s="6" t="s">
        <v>103</v>
      </c>
      <c r="E1875" s="6" t="s">
        <v>48</v>
      </c>
      <c r="F1875" s="6" t="s">
        <v>98</v>
      </c>
      <c r="G1875" s="6" t="s">
        <v>4844</v>
      </c>
    </row>
    <row r="1876" spans="1:7" ht="18.95" customHeight="1">
      <c r="A1876" s="6" t="s">
        <v>4845</v>
      </c>
      <c r="B1876" s="6" t="s">
        <v>4843</v>
      </c>
      <c r="C1876" s="6" t="s">
        <v>302</v>
      </c>
      <c r="D1876" s="6" t="s">
        <v>93</v>
      </c>
      <c r="E1876" s="6" t="s">
        <v>46</v>
      </c>
      <c r="F1876" s="6" t="s">
        <v>98</v>
      </c>
      <c r="G1876" s="6" t="s">
        <v>4846</v>
      </c>
    </row>
    <row r="1877" spans="1:7" ht="18.95" customHeight="1">
      <c r="A1877" s="6" t="s">
        <v>4847</v>
      </c>
      <c r="B1877" s="6" t="s">
        <v>4848</v>
      </c>
      <c r="C1877" s="6" t="s">
        <v>308</v>
      </c>
      <c r="D1877" s="6" t="s">
        <v>97</v>
      </c>
      <c r="E1877" s="6" t="s">
        <v>47</v>
      </c>
      <c r="F1877" s="6" t="s">
        <v>98</v>
      </c>
      <c r="G1877" s="6" t="s">
        <v>4849</v>
      </c>
    </row>
    <row r="1878" spans="1:7" ht="18.95" customHeight="1">
      <c r="A1878" s="6" t="s">
        <v>4850</v>
      </c>
      <c r="B1878" s="6" t="s">
        <v>4848</v>
      </c>
      <c r="C1878" s="6" t="s">
        <v>308</v>
      </c>
      <c r="D1878" s="6" t="s">
        <v>103</v>
      </c>
      <c r="E1878" s="6" t="s">
        <v>48</v>
      </c>
      <c r="F1878" s="6" t="s">
        <v>98</v>
      </c>
      <c r="G1878" s="6" t="s">
        <v>4851</v>
      </c>
    </row>
    <row r="1879" spans="1:7" ht="18.95" customHeight="1">
      <c r="A1879" s="6" t="s">
        <v>4852</v>
      </c>
      <c r="B1879" s="6" t="s">
        <v>4853</v>
      </c>
      <c r="C1879" s="6" t="s">
        <v>314</v>
      </c>
      <c r="D1879" s="6" t="s">
        <v>93</v>
      </c>
      <c r="E1879" s="6" t="s">
        <v>46</v>
      </c>
      <c r="F1879" s="6" t="s">
        <v>98</v>
      </c>
      <c r="G1879" s="6" t="s">
        <v>4854</v>
      </c>
    </row>
    <row r="1880" spans="1:7" ht="18.95" customHeight="1">
      <c r="A1880" s="6" t="s">
        <v>4855</v>
      </c>
      <c r="B1880" s="6" t="s">
        <v>4853</v>
      </c>
      <c r="C1880" s="6" t="s">
        <v>314</v>
      </c>
      <c r="D1880" s="6" t="s">
        <v>97</v>
      </c>
      <c r="E1880" s="6" t="s">
        <v>47</v>
      </c>
      <c r="F1880" s="6" t="s">
        <v>98</v>
      </c>
      <c r="G1880" s="6" t="s">
        <v>4856</v>
      </c>
    </row>
    <row r="1881" spans="1:7" ht="18.95" customHeight="1">
      <c r="A1881" s="6" t="s">
        <v>4857</v>
      </c>
      <c r="B1881" s="6" t="s">
        <v>4858</v>
      </c>
      <c r="C1881" s="6" t="s">
        <v>320</v>
      </c>
      <c r="D1881" s="6" t="s">
        <v>103</v>
      </c>
      <c r="E1881" s="6" t="s">
        <v>48</v>
      </c>
      <c r="F1881" s="6" t="s">
        <v>98</v>
      </c>
      <c r="G1881" s="6" t="s">
        <v>4859</v>
      </c>
    </row>
    <row r="1882" spans="1:7" ht="18.95" customHeight="1">
      <c r="A1882" s="6" t="s">
        <v>4860</v>
      </c>
      <c r="B1882" s="6" t="s">
        <v>4858</v>
      </c>
      <c r="C1882" s="6" t="s">
        <v>320</v>
      </c>
      <c r="D1882" s="6" t="s">
        <v>93</v>
      </c>
      <c r="E1882" s="6" t="s">
        <v>46</v>
      </c>
      <c r="F1882" s="6" t="s">
        <v>98</v>
      </c>
      <c r="G1882" s="6" t="s">
        <v>4861</v>
      </c>
    </row>
    <row r="1883" spans="1:7" ht="18.95" customHeight="1">
      <c r="A1883" s="6" t="s">
        <v>4862</v>
      </c>
      <c r="B1883" s="6" t="s">
        <v>4863</v>
      </c>
      <c r="C1883" s="6" t="s">
        <v>326</v>
      </c>
      <c r="D1883" s="6" t="s">
        <v>97</v>
      </c>
      <c r="E1883" s="6" t="s">
        <v>47</v>
      </c>
      <c r="F1883" s="6" t="s">
        <v>98</v>
      </c>
      <c r="G1883" s="6" t="s">
        <v>4864</v>
      </c>
    </row>
    <row r="1884" spans="1:7" ht="18.95" customHeight="1">
      <c r="A1884" s="6" t="s">
        <v>4865</v>
      </c>
      <c r="B1884" s="6" t="s">
        <v>4863</v>
      </c>
      <c r="C1884" s="6" t="s">
        <v>326</v>
      </c>
      <c r="D1884" s="6" t="s">
        <v>103</v>
      </c>
      <c r="E1884" s="6" t="s">
        <v>48</v>
      </c>
      <c r="F1884" s="6" t="s">
        <v>98</v>
      </c>
      <c r="G1884" s="6" t="s">
        <v>4866</v>
      </c>
    </row>
    <row r="1885" spans="1:7" ht="18.95" customHeight="1">
      <c r="A1885" s="6" t="s">
        <v>4867</v>
      </c>
      <c r="B1885" s="6" t="s">
        <v>4868</v>
      </c>
      <c r="C1885" s="6" t="s">
        <v>332</v>
      </c>
      <c r="D1885" s="6" t="s">
        <v>93</v>
      </c>
      <c r="E1885" s="6" t="s">
        <v>46</v>
      </c>
      <c r="F1885" s="6" t="s">
        <v>98</v>
      </c>
      <c r="G1885" s="6" t="s">
        <v>4869</v>
      </c>
    </row>
    <row r="1886" spans="1:7" ht="18.95" customHeight="1">
      <c r="A1886" s="6" t="s">
        <v>4870</v>
      </c>
      <c r="B1886" s="6" t="s">
        <v>4868</v>
      </c>
      <c r="C1886" s="6" t="s">
        <v>332</v>
      </c>
      <c r="D1886" s="6" t="s">
        <v>97</v>
      </c>
      <c r="E1886" s="6" t="s">
        <v>47</v>
      </c>
      <c r="F1886" s="6" t="s">
        <v>98</v>
      </c>
      <c r="G1886" s="6" t="s">
        <v>4871</v>
      </c>
    </row>
    <row r="1887" spans="1:7" ht="18.95" customHeight="1">
      <c r="A1887" s="6" t="s">
        <v>4872</v>
      </c>
      <c r="B1887" s="6" t="s">
        <v>4873</v>
      </c>
      <c r="C1887" s="6" t="s">
        <v>338</v>
      </c>
      <c r="D1887" s="6" t="s">
        <v>103</v>
      </c>
      <c r="E1887" s="6" t="s">
        <v>48</v>
      </c>
      <c r="F1887" s="6" t="s">
        <v>98</v>
      </c>
      <c r="G1887" s="6" t="s">
        <v>4874</v>
      </c>
    </row>
    <row r="1888" spans="1:7" ht="18.95" customHeight="1">
      <c r="A1888" s="6" t="s">
        <v>4875</v>
      </c>
      <c r="B1888" s="6" t="s">
        <v>4873</v>
      </c>
      <c r="C1888" s="6" t="s">
        <v>338</v>
      </c>
      <c r="D1888" s="6" t="s">
        <v>93</v>
      </c>
      <c r="E1888" s="6" t="s">
        <v>46</v>
      </c>
      <c r="F1888" s="6" t="s">
        <v>98</v>
      </c>
      <c r="G1888" s="6" t="s">
        <v>4876</v>
      </c>
    </row>
    <row r="1889" spans="1:7" ht="18.95" customHeight="1">
      <c r="A1889" s="6" t="s">
        <v>4877</v>
      </c>
      <c r="B1889" s="6" t="s">
        <v>4878</v>
      </c>
      <c r="C1889" s="6" t="s">
        <v>344</v>
      </c>
      <c r="D1889" s="6" t="s">
        <v>97</v>
      </c>
      <c r="E1889" s="6" t="s">
        <v>47</v>
      </c>
      <c r="F1889" s="6" t="s">
        <v>98</v>
      </c>
      <c r="G1889" s="6" t="s">
        <v>4879</v>
      </c>
    </row>
    <row r="1890" spans="1:7" ht="18.95" customHeight="1">
      <c r="A1890" s="6" t="s">
        <v>4880</v>
      </c>
      <c r="B1890" s="6" t="s">
        <v>4878</v>
      </c>
      <c r="C1890" s="6" t="s">
        <v>344</v>
      </c>
      <c r="D1890" s="6" t="s">
        <v>103</v>
      </c>
      <c r="E1890" s="6" t="s">
        <v>48</v>
      </c>
      <c r="F1890" s="6" t="s">
        <v>98</v>
      </c>
      <c r="G1890" s="6" t="s">
        <v>4881</v>
      </c>
    </row>
    <row r="1891" spans="1:7" ht="18.95" customHeight="1">
      <c r="A1891" s="6" t="s">
        <v>4882</v>
      </c>
      <c r="B1891" s="6" t="s">
        <v>4883</v>
      </c>
      <c r="C1891" s="6" t="s">
        <v>350</v>
      </c>
      <c r="D1891" s="6" t="s">
        <v>93</v>
      </c>
      <c r="E1891" s="6" t="s">
        <v>46</v>
      </c>
      <c r="F1891" s="6" t="s">
        <v>98</v>
      </c>
      <c r="G1891" s="6" t="s">
        <v>4884</v>
      </c>
    </row>
    <row r="1892" spans="1:7" ht="18.95" customHeight="1">
      <c r="A1892" s="6" t="s">
        <v>4885</v>
      </c>
      <c r="B1892" s="6" t="s">
        <v>4883</v>
      </c>
      <c r="C1892" s="6" t="s">
        <v>350</v>
      </c>
      <c r="D1892" s="6" t="s">
        <v>97</v>
      </c>
      <c r="E1892" s="6" t="s">
        <v>47</v>
      </c>
      <c r="F1892" s="6" t="s">
        <v>98</v>
      </c>
      <c r="G1892" s="6" t="s">
        <v>4886</v>
      </c>
    </row>
    <row r="1893" spans="1:7" ht="18.95" customHeight="1">
      <c r="A1893" s="6" t="s">
        <v>4887</v>
      </c>
      <c r="B1893" s="6" t="s">
        <v>4888</v>
      </c>
      <c r="C1893" s="6" t="s">
        <v>356</v>
      </c>
      <c r="D1893" s="6" t="s">
        <v>103</v>
      </c>
      <c r="E1893" s="6" t="s">
        <v>48</v>
      </c>
      <c r="F1893" s="6" t="s">
        <v>94</v>
      </c>
      <c r="G1893" s="6" t="s">
        <v>4889</v>
      </c>
    </row>
    <row r="1894" spans="1:7" ht="18.95" customHeight="1">
      <c r="A1894" s="6" t="s">
        <v>4890</v>
      </c>
      <c r="B1894" s="6" t="s">
        <v>4888</v>
      </c>
      <c r="C1894" s="6" t="s">
        <v>356</v>
      </c>
      <c r="D1894" s="6" t="s">
        <v>93</v>
      </c>
      <c r="E1894" s="6" t="s">
        <v>46</v>
      </c>
      <c r="F1894" s="6" t="s">
        <v>98</v>
      </c>
      <c r="G1894" s="6" t="s">
        <v>4891</v>
      </c>
    </row>
    <row r="1895" spans="1:7" ht="18.95" customHeight="1">
      <c r="A1895" s="6" t="s">
        <v>4892</v>
      </c>
      <c r="B1895" s="6" t="s">
        <v>4893</v>
      </c>
      <c r="C1895" s="6" t="s">
        <v>362</v>
      </c>
      <c r="D1895" s="6" t="s">
        <v>97</v>
      </c>
      <c r="E1895" s="6" t="s">
        <v>47</v>
      </c>
      <c r="F1895" s="6" t="s">
        <v>98</v>
      </c>
      <c r="G1895" s="6" t="s">
        <v>4894</v>
      </c>
    </row>
    <row r="1896" spans="1:7" ht="18.95" customHeight="1">
      <c r="A1896" s="6" t="s">
        <v>4895</v>
      </c>
      <c r="B1896" s="6" t="s">
        <v>4893</v>
      </c>
      <c r="C1896" s="6" t="s">
        <v>362</v>
      </c>
      <c r="D1896" s="6" t="s">
        <v>103</v>
      </c>
      <c r="E1896" s="6" t="s">
        <v>48</v>
      </c>
      <c r="F1896" s="6" t="s">
        <v>98</v>
      </c>
      <c r="G1896" s="6" t="s">
        <v>4896</v>
      </c>
    </row>
    <row r="1897" spans="1:7" ht="18.95" customHeight="1">
      <c r="A1897" s="6" t="s">
        <v>4897</v>
      </c>
      <c r="B1897" s="6" t="s">
        <v>4898</v>
      </c>
      <c r="C1897" s="6" t="s">
        <v>368</v>
      </c>
      <c r="D1897" s="6" t="s">
        <v>93</v>
      </c>
      <c r="E1897" s="6" t="s">
        <v>46</v>
      </c>
      <c r="F1897" s="6" t="s">
        <v>98</v>
      </c>
      <c r="G1897" s="6" t="s">
        <v>4899</v>
      </c>
    </row>
    <row r="1898" spans="1:7" ht="18.95" customHeight="1">
      <c r="A1898" s="6" t="s">
        <v>4900</v>
      </c>
      <c r="B1898" s="6" t="s">
        <v>4898</v>
      </c>
      <c r="C1898" s="6" t="s">
        <v>368</v>
      </c>
      <c r="D1898" s="6" t="s">
        <v>97</v>
      </c>
      <c r="E1898" s="6" t="s">
        <v>47</v>
      </c>
      <c r="F1898" s="6" t="s">
        <v>98</v>
      </c>
      <c r="G1898" s="6" t="s">
        <v>4901</v>
      </c>
    </row>
    <row r="1899" spans="1:7" ht="18.95" customHeight="1">
      <c r="A1899" s="6" t="s">
        <v>4902</v>
      </c>
      <c r="B1899" s="6" t="s">
        <v>4903</v>
      </c>
      <c r="C1899" s="6" t="s">
        <v>374</v>
      </c>
      <c r="D1899" s="6" t="s">
        <v>103</v>
      </c>
      <c r="E1899" s="6" t="s">
        <v>48</v>
      </c>
      <c r="F1899" s="6" t="s">
        <v>98</v>
      </c>
      <c r="G1899" s="6" t="s">
        <v>4904</v>
      </c>
    </row>
    <row r="1900" spans="1:7" ht="18.95" customHeight="1">
      <c r="A1900" s="6" t="s">
        <v>4905</v>
      </c>
      <c r="B1900" s="6" t="s">
        <v>4903</v>
      </c>
      <c r="C1900" s="6" t="s">
        <v>374</v>
      </c>
      <c r="D1900" s="6" t="s">
        <v>93</v>
      </c>
      <c r="E1900" s="6" t="s">
        <v>46</v>
      </c>
      <c r="F1900" s="6" t="s">
        <v>98</v>
      </c>
      <c r="G1900" s="6" t="s">
        <v>4906</v>
      </c>
    </row>
    <row r="1901" spans="1:7" ht="18.95" customHeight="1">
      <c r="A1901" s="6" t="s">
        <v>4907</v>
      </c>
      <c r="B1901" s="6" t="s">
        <v>4908</v>
      </c>
      <c r="C1901" s="6" t="s">
        <v>380</v>
      </c>
      <c r="D1901" s="6" t="s">
        <v>97</v>
      </c>
      <c r="E1901" s="6" t="s">
        <v>47</v>
      </c>
      <c r="F1901" s="6" t="s">
        <v>98</v>
      </c>
      <c r="G1901" s="6" t="s">
        <v>4909</v>
      </c>
    </row>
    <row r="1902" spans="1:7" ht="18.95" customHeight="1">
      <c r="A1902" s="6" t="s">
        <v>4910</v>
      </c>
      <c r="B1902" s="6" t="s">
        <v>4908</v>
      </c>
      <c r="C1902" s="6" t="s">
        <v>380</v>
      </c>
      <c r="D1902" s="6" t="s">
        <v>103</v>
      </c>
      <c r="E1902" s="6" t="s">
        <v>48</v>
      </c>
      <c r="F1902" s="6" t="s">
        <v>98</v>
      </c>
      <c r="G1902" s="6" t="s">
        <v>4911</v>
      </c>
    </row>
    <row r="1903" spans="1:7" ht="18.95" customHeight="1">
      <c r="A1903" s="6" t="s">
        <v>4912</v>
      </c>
      <c r="B1903" s="6" t="s">
        <v>4913</v>
      </c>
      <c r="C1903" s="6" t="s">
        <v>386</v>
      </c>
      <c r="D1903" s="6" t="s">
        <v>93</v>
      </c>
      <c r="E1903" s="6" t="s">
        <v>46</v>
      </c>
      <c r="F1903" s="6" t="s">
        <v>98</v>
      </c>
      <c r="G1903" s="6" t="s">
        <v>4914</v>
      </c>
    </row>
    <row r="1904" spans="1:7" ht="18.95" customHeight="1">
      <c r="A1904" s="6" t="s">
        <v>4915</v>
      </c>
      <c r="B1904" s="6" t="s">
        <v>4913</v>
      </c>
      <c r="C1904" s="6" t="s">
        <v>386</v>
      </c>
      <c r="D1904" s="6" t="s">
        <v>97</v>
      </c>
      <c r="E1904" s="6" t="s">
        <v>47</v>
      </c>
      <c r="F1904" s="6" t="s">
        <v>98</v>
      </c>
      <c r="G1904" s="6" t="s">
        <v>4916</v>
      </c>
    </row>
    <row r="1905" spans="1:7" ht="18.95" customHeight="1">
      <c r="A1905" s="6" t="s">
        <v>4917</v>
      </c>
      <c r="B1905" s="6" t="s">
        <v>4918</v>
      </c>
      <c r="C1905" s="6" t="s">
        <v>392</v>
      </c>
      <c r="D1905" s="6" t="s">
        <v>103</v>
      </c>
      <c r="E1905" s="6" t="s">
        <v>48</v>
      </c>
      <c r="F1905" s="6" t="s">
        <v>98</v>
      </c>
      <c r="G1905" s="6" t="s">
        <v>4919</v>
      </c>
    </row>
    <row r="1906" spans="1:7" ht="18.95" customHeight="1">
      <c r="A1906" s="6" t="s">
        <v>4920</v>
      </c>
      <c r="B1906" s="6" t="s">
        <v>4918</v>
      </c>
      <c r="C1906" s="6" t="s">
        <v>392</v>
      </c>
      <c r="D1906" s="6" t="s">
        <v>93</v>
      </c>
      <c r="E1906" s="6" t="s">
        <v>46</v>
      </c>
      <c r="F1906" s="6" t="s">
        <v>98</v>
      </c>
      <c r="G1906" s="6" t="s">
        <v>4921</v>
      </c>
    </row>
    <row r="1907" spans="1:7" ht="18.95" customHeight="1">
      <c r="A1907" s="6" t="s">
        <v>4922</v>
      </c>
      <c r="B1907" s="6" t="s">
        <v>4923</v>
      </c>
      <c r="C1907" s="6" t="s">
        <v>398</v>
      </c>
      <c r="D1907" s="6" t="s">
        <v>97</v>
      </c>
      <c r="E1907" s="6" t="s">
        <v>47</v>
      </c>
      <c r="F1907" s="6" t="s">
        <v>98</v>
      </c>
      <c r="G1907" s="6" t="s">
        <v>4924</v>
      </c>
    </row>
    <row r="1908" spans="1:7" ht="18.95" customHeight="1">
      <c r="A1908" s="6" t="s">
        <v>4925</v>
      </c>
      <c r="B1908" s="6" t="s">
        <v>4923</v>
      </c>
      <c r="C1908" s="6" t="s">
        <v>398</v>
      </c>
      <c r="D1908" s="6" t="s">
        <v>103</v>
      </c>
      <c r="E1908" s="6" t="s">
        <v>48</v>
      </c>
      <c r="F1908" s="6" t="s">
        <v>98</v>
      </c>
      <c r="G1908" s="6" t="s">
        <v>4926</v>
      </c>
    </row>
    <row r="1909" spans="1:7" ht="18.95" customHeight="1">
      <c r="A1909" s="6" t="s">
        <v>4927</v>
      </c>
      <c r="B1909" s="6" t="s">
        <v>4928</v>
      </c>
      <c r="C1909" s="6" t="s">
        <v>404</v>
      </c>
      <c r="D1909" s="6" t="s">
        <v>93</v>
      </c>
      <c r="E1909" s="6" t="s">
        <v>46</v>
      </c>
      <c r="F1909" s="6" t="s">
        <v>98</v>
      </c>
      <c r="G1909" s="6" t="s">
        <v>4929</v>
      </c>
    </row>
    <row r="1910" spans="1:7" ht="18.95" customHeight="1">
      <c r="A1910" s="6" t="s">
        <v>4930</v>
      </c>
      <c r="B1910" s="6" t="s">
        <v>4928</v>
      </c>
      <c r="C1910" s="6" t="s">
        <v>404</v>
      </c>
      <c r="D1910" s="6" t="s">
        <v>97</v>
      </c>
      <c r="E1910" s="6" t="s">
        <v>47</v>
      </c>
      <c r="F1910" s="6" t="s">
        <v>98</v>
      </c>
      <c r="G1910" s="6" t="s">
        <v>4931</v>
      </c>
    </row>
    <row r="1911" spans="1:7" ht="18.95" customHeight="1">
      <c r="A1911" s="6" t="s">
        <v>4932</v>
      </c>
      <c r="B1911" s="6" t="s">
        <v>4933</v>
      </c>
      <c r="C1911" s="6" t="s">
        <v>410</v>
      </c>
      <c r="D1911" s="6" t="s">
        <v>103</v>
      </c>
      <c r="E1911" s="6" t="s">
        <v>48</v>
      </c>
      <c r="F1911" s="6" t="s">
        <v>98</v>
      </c>
      <c r="G1911" s="6" t="s">
        <v>4934</v>
      </c>
    </row>
    <row r="1912" spans="1:7" ht="18.95" customHeight="1">
      <c r="A1912" s="6" t="s">
        <v>4935</v>
      </c>
      <c r="B1912" s="6" t="s">
        <v>4933</v>
      </c>
      <c r="C1912" s="6" t="s">
        <v>410</v>
      </c>
      <c r="D1912" s="6" t="s">
        <v>93</v>
      </c>
      <c r="E1912" s="6" t="s">
        <v>46</v>
      </c>
      <c r="F1912" s="6" t="s">
        <v>98</v>
      </c>
      <c r="G1912" s="6" t="s">
        <v>4936</v>
      </c>
    </row>
    <row r="1913" spans="1:7" ht="18.95" customHeight="1">
      <c r="A1913" s="6" t="s">
        <v>4937</v>
      </c>
      <c r="B1913" s="6" t="s">
        <v>4938</v>
      </c>
      <c r="C1913" s="6" t="s">
        <v>416</v>
      </c>
      <c r="D1913" s="6" t="s">
        <v>97</v>
      </c>
      <c r="E1913" s="6" t="s">
        <v>47</v>
      </c>
      <c r="F1913" s="6" t="s">
        <v>98</v>
      </c>
      <c r="G1913" s="6" t="s">
        <v>4939</v>
      </c>
    </row>
    <row r="1914" spans="1:7" ht="18.95" customHeight="1">
      <c r="A1914" s="6" t="s">
        <v>4940</v>
      </c>
      <c r="B1914" s="6" t="s">
        <v>4938</v>
      </c>
      <c r="C1914" s="6" t="s">
        <v>416</v>
      </c>
      <c r="D1914" s="6" t="s">
        <v>103</v>
      </c>
      <c r="E1914" s="6" t="s">
        <v>48</v>
      </c>
      <c r="F1914" s="6" t="s">
        <v>98</v>
      </c>
      <c r="G1914" s="6" t="s">
        <v>4941</v>
      </c>
    </row>
    <row r="1915" spans="1:7" ht="18.95" customHeight="1">
      <c r="A1915" s="6" t="s">
        <v>4942</v>
      </c>
      <c r="B1915" s="6" t="s">
        <v>4943</v>
      </c>
      <c r="C1915" s="6" t="s">
        <v>422</v>
      </c>
      <c r="D1915" s="6" t="s">
        <v>93</v>
      </c>
      <c r="E1915" s="6" t="s">
        <v>46</v>
      </c>
      <c r="F1915" s="6" t="s">
        <v>98</v>
      </c>
      <c r="G1915" s="6" t="s">
        <v>4944</v>
      </c>
    </row>
    <row r="1916" spans="1:7" ht="18.95" customHeight="1">
      <c r="A1916" s="6" t="s">
        <v>4945</v>
      </c>
      <c r="B1916" s="6" t="s">
        <v>4943</v>
      </c>
      <c r="C1916" s="6" t="s">
        <v>422</v>
      </c>
      <c r="D1916" s="6" t="s">
        <v>97</v>
      </c>
      <c r="E1916" s="6" t="s">
        <v>47</v>
      </c>
      <c r="F1916" s="6" t="s">
        <v>94</v>
      </c>
      <c r="G1916" s="6" t="s">
        <v>4946</v>
      </c>
    </row>
    <row r="1917" spans="1:7" ht="18.95" customHeight="1">
      <c r="A1917" s="6" t="s">
        <v>4947</v>
      </c>
      <c r="B1917" s="6" t="s">
        <v>4948</v>
      </c>
      <c r="C1917" s="6" t="s">
        <v>428</v>
      </c>
      <c r="D1917" s="6" t="s">
        <v>103</v>
      </c>
      <c r="E1917" s="6" t="s">
        <v>48</v>
      </c>
      <c r="F1917" s="6" t="s">
        <v>98</v>
      </c>
      <c r="G1917" s="6" t="s">
        <v>4949</v>
      </c>
    </row>
    <row r="1918" spans="1:7" ht="18.95" customHeight="1">
      <c r="A1918" s="6" t="s">
        <v>4950</v>
      </c>
      <c r="B1918" s="6" t="s">
        <v>4948</v>
      </c>
      <c r="C1918" s="6" t="s">
        <v>428</v>
      </c>
      <c r="D1918" s="6" t="s">
        <v>93</v>
      </c>
      <c r="E1918" s="6" t="s">
        <v>46</v>
      </c>
      <c r="F1918" s="6" t="s">
        <v>98</v>
      </c>
      <c r="G1918" s="6" t="s">
        <v>4951</v>
      </c>
    </row>
    <row r="1919" spans="1:7" ht="18.95" customHeight="1">
      <c r="A1919" s="6" t="s">
        <v>4952</v>
      </c>
      <c r="B1919" s="6" t="s">
        <v>4953</v>
      </c>
      <c r="C1919" s="6" t="s">
        <v>434</v>
      </c>
      <c r="D1919" s="6" t="s">
        <v>97</v>
      </c>
      <c r="E1919" s="6" t="s">
        <v>47</v>
      </c>
      <c r="F1919" s="6" t="s">
        <v>98</v>
      </c>
      <c r="G1919" s="6" t="s">
        <v>4954</v>
      </c>
    </row>
    <row r="1920" spans="1:7" ht="18.95" customHeight="1">
      <c r="A1920" s="6" t="s">
        <v>4955</v>
      </c>
      <c r="B1920" s="6" t="s">
        <v>4953</v>
      </c>
      <c r="C1920" s="6" t="s">
        <v>434</v>
      </c>
      <c r="D1920" s="6" t="s">
        <v>103</v>
      </c>
      <c r="E1920" s="6" t="s">
        <v>48</v>
      </c>
      <c r="F1920" s="6" t="s">
        <v>98</v>
      </c>
      <c r="G1920" s="6" t="s">
        <v>4956</v>
      </c>
    </row>
    <row r="1921" spans="1:7" ht="18.95" customHeight="1">
      <c r="A1921" s="6" t="s">
        <v>4957</v>
      </c>
      <c r="B1921" s="6" t="s">
        <v>4958</v>
      </c>
      <c r="C1921" s="6" t="s">
        <v>440</v>
      </c>
      <c r="D1921" s="6" t="s">
        <v>93</v>
      </c>
      <c r="E1921" s="6" t="s">
        <v>46</v>
      </c>
      <c r="F1921" s="6" t="s">
        <v>98</v>
      </c>
      <c r="G1921" s="6" t="s">
        <v>4959</v>
      </c>
    </row>
    <row r="1922" spans="1:7" ht="18.95" customHeight="1">
      <c r="A1922" s="6" t="s">
        <v>4960</v>
      </c>
      <c r="B1922" s="6" t="s">
        <v>4958</v>
      </c>
      <c r="C1922" s="6" t="s">
        <v>440</v>
      </c>
      <c r="D1922" s="6" t="s">
        <v>97</v>
      </c>
      <c r="E1922" s="6" t="s">
        <v>47</v>
      </c>
      <c r="F1922" s="6" t="s">
        <v>98</v>
      </c>
      <c r="G1922" s="6" t="s">
        <v>4961</v>
      </c>
    </row>
    <row r="1923" spans="1:7" ht="18.95" customHeight="1">
      <c r="A1923" s="6" t="s">
        <v>4962</v>
      </c>
      <c r="B1923" s="6" t="s">
        <v>4963</v>
      </c>
      <c r="C1923" s="6" t="s">
        <v>446</v>
      </c>
      <c r="D1923" s="6" t="s">
        <v>103</v>
      </c>
      <c r="E1923" s="6" t="s">
        <v>48</v>
      </c>
      <c r="F1923" s="6" t="s">
        <v>98</v>
      </c>
      <c r="G1923" s="6" t="s">
        <v>4964</v>
      </c>
    </row>
    <row r="1924" spans="1:7" ht="18.95" customHeight="1">
      <c r="A1924" s="6" t="s">
        <v>4965</v>
      </c>
      <c r="B1924" s="6" t="s">
        <v>4963</v>
      </c>
      <c r="C1924" s="6" t="s">
        <v>446</v>
      </c>
      <c r="D1924" s="6" t="s">
        <v>93</v>
      </c>
      <c r="E1924" s="6" t="s">
        <v>46</v>
      </c>
      <c r="F1924" s="6" t="s">
        <v>98</v>
      </c>
      <c r="G1924" s="6" t="s">
        <v>4966</v>
      </c>
    </row>
    <row r="1925" spans="1:7" ht="18.95" customHeight="1">
      <c r="A1925" s="6" t="s">
        <v>4967</v>
      </c>
      <c r="B1925" s="6" t="s">
        <v>4968</v>
      </c>
      <c r="C1925" s="6" t="s">
        <v>452</v>
      </c>
      <c r="D1925" s="6" t="s">
        <v>97</v>
      </c>
      <c r="E1925" s="6" t="s">
        <v>47</v>
      </c>
      <c r="F1925" s="6" t="s">
        <v>98</v>
      </c>
      <c r="G1925" s="6" t="s">
        <v>4969</v>
      </c>
    </row>
    <row r="1926" spans="1:7" ht="18.95" customHeight="1">
      <c r="A1926" s="6" t="s">
        <v>4970</v>
      </c>
      <c r="B1926" s="6" t="s">
        <v>4968</v>
      </c>
      <c r="C1926" s="6" t="s">
        <v>452</v>
      </c>
      <c r="D1926" s="6" t="s">
        <v>103</v>
      </c>
      <c r="E1926" s="6" t="s">
        <v>48</v>
      </c>
      <c r="F1926" s="6" t="s">
        <v>98</v>
      </c>
      <c r="G1926" s="6" t="s">
        <v>4971</v>
      </c>
    </row>
    <row r="1927" spans="1:7" ht="18.95" customHeight="1">
      <c r="A1927" s="6" t="s">
        <v>4972</v>
      </c>
      <c r="B1927" s="6" t="s">
        <v>4973</v>
      </c>
      <c r="C1927" s="6" t="s">
        <v>458</v>
      </c>
      <c r="D1927" s="6" t="s">
        <v>93</v>
      </c>
      <c r="E1927" s="6" t="s">
        <v>46</v>
      </c>
      <c r="F1927" s="6" t="s">
        <v>98</v>
      </c>
      <c r="G1927" s="6" t="s">
        <v>4974</v>
      </c>
    </row>
    <row r="1928" spans="1:7" ht="18.95" customHeight="1">
      <c r="A1928" s="6" t="s">
        <v>4975</v>
      </c>
      <c r="B1928" s="6" t="s">
        <v>4973</v>
      </c>
      <c r="C1928" s="6" t="s">
        <v>458</v>
      </c>
      <c r="D1928" s="6" t="s">
        <v>97</v>
      </c>
      <c r="E1928" s="6" t="s">
        <v>47</v>
      </c>
      <c r="F1928" s="6" t="s">
        <v>98</v>
      </c>
      <c r="G1928" s="6" t="s">
        <v>4976</v>
      </c>
    </row>
    <row r="1929" spans="1:7" ht="18.95" customHeight="1">
      <c r="A1929" s="6" t="s">
        <v>4977</v>
      </c>
      <c r="B1929" s="6" t="s">
        <v>4978</v>
      </c>
      <c r="C1929" s="6" t="s">
        <v>464</v>
      </c>
      <c r="D1929" s="6" t="s">
        <v>103</v>
      </c>
      <c r="E1929" s="6" t="s">
        <v>48</v>
      </c>
      <c r="F1929" s="6" t="s">
        <v>98</v>
      </c>
      <c r="G1929" s="6" t="s">
        <v>4979</v>
      </c>
    </row>
    <row r="1930" spans="1:7" ht="18.95" customHeight="1">
      <c r="A1930" s="6" t="s">
        <v>4980</v>
      </c>
      <c r="B1930" s="6" t="s">
        <v>4978</v>
      </c>
      <c r="C1930" s="6" t="s">
        <v>464</v>
      </c>
      <c r="D1930" s="6" t="s">
        <v>93</v>
      </c>
      <c r="E1930" s="6" t="s">
        <v>46</v>
      </c>
      <c r="F1930" s="6" t="s">
        <v>98</v>
      </c>
      <c r="G1930" s="6" t="s">
        <v>4981</v>
      </c>
    </row>
    <row r="1931" spans="1:7" ht="18.95" customHeight="1">
      <c r="A1931" s="6" t="s">
        <v>4982</v>
      </c>
      <c r="B1931" s="6" t="s">
        <v>4983</v>
      </c>
      <c r="C1931" s="6" t="s">
        <v>470</v>
      </c>
      <c r="D1931" s="6" t="s">
        <v>97</v>
      </c>
      <c r="E1931" s="6" t="s">
        <v>47</v>
      </c>
      <c r="F1931" s="6" t="s">
        <v>98</v>
      </c>
      <c r="G1931" s="6" t="s">
        <v>4984</v>
      </c>
    </row>
    <row r="1932" spans="1:7" ht="18.95" customHeight="1">
      <c r="A1932" s="6" t="s">
        <v>4985</v>
      </c>
      <c r="B1932" s="6" t="s">
        <v>4983</v>
      </c>
      <c r="C1932" s="6" t="s">
        <v>470</v>
      </c>
      <c r="D1932" s="6" t="s">
        <v>103</v>
      </c>
      <c r="E1932" s="6" t="s">
        <v>48</v>
      </c>
      <c r="F1932" s="6" t="s">
        <v>98</v>
      </c>
      <c r="G1932" s="6" t="s">
        <v>4986</v>
      </c>
    </row>
    <row r="1933" spans="1:7" ht="18.95" customHeight="1">
      <c r="A1933" s="6" t="s">
        <v>4987</v>
      </c>
      <c r="B1933" s="6" t="s">
        <v>4988</v>
      </c>
      <c r="C1933" s="6" t="s">
        <v>476</v>
      </c>
      <c r="D1933" s="6" t="s">
        <v>93</v>
      </c>
      <c r="E1933" s="6" t="s">
        <v>46</v>
      </c>
      <c r="F1933" s="6" t="s">
        <v>98</v>
      </c>
      <c r="G1933" s="6" t="s">
        <v>4989</v>
      </c>
    </row>
    <row r="1934" spans="1:7" ht="18.95" customHeight="1">
      <c r="A1934" s="6" t="s">
        <v>4990</v>
      </c>
      <c r="B1934" s="6" t="s">
        <v>4988</v>
      </c>
      <c r="C1934" s="6" t="s">
        <v>476</v>
      </c>
      <c r="D1934" s="6" t="s">
        <v>97</v>
      </c>
      <c r="E1934" s="6" t="s">
        <v>47</v>
      </c>
      <c r="F1934" s="6" t="s">
        <v>98</v>
      </c>
      <c r="G1934" s="6" t="s">
        <v>4991</v>
      </c>
    </row>
    <row r="1935" spans="1:7" ht="18.95" customHeight="1">
      <c r="A1935" s="6" t="s">
        <v>4992</v>
      </c>
      <c r="B1935" s="6" t="s">
        <v>4993</v>
      </c>
      <c r="C1935" s="6" t="s">
        <v>482</v>
      </c>
      <c r="D1935" s="6" t="s">
        <v>103</v>
      </c>
      <c r="E1935" s="6" t="s">
        <v>48</v>
      </c>
      <c r="F1935" s="6" t="s">
        <v>98</v>
      </c>
      <c r="G1935" s="6" t="s">
        <v>4994</v>
      </c>
    </row>
    <row r="1936" spans="1:7" ht="18.95" customHeight="1">
      <c r="A1936" s="6" t="s">
        <v>4995</v>
      </c>
      <c r="B1936" s="6" t="s">
        <v>4993</v>
      </c>
      <c r="C1936" s="6" t="s">
        <v>482</v>
      </c>
      <c r="D1936" s="6" t="s">
        <v>93</v>
      </c>
      <c r="E1936" s="6" t="s">
        <v>46</v>
      </c>
      <c r="F1936" s="6" t="s">
        <v>98</v>
      </c>
      <c r="G1936" s="6" t="s">
        <v>4996</v>
      </c>
    </row>
    <row r="1937" spans="1:7" ht="18.95" customHeight="1">
      <c r="A1937" s="6" t="s">
        <v>4997</v>
      </c>
      <c r="B1937" s="6" t="s">
        <v>4998</v>
      </c>
      <c r="C1937" s="6" t="s">
        <v>488</v>
      </c>
      <c r="D1937" s="6" t="s">
        <v>97</v>
      </c>
      <c r="E1937" s="6" t="s">
        <v>47</v>
      </c>
      <c r="F1937" s="6" t="s">
        <v>98</v>
      </c>
      <c r="G1937" s="6" t="s">
        <v>4999</v>
      </c>
    </row>
    <row r="1938" spans="1:7" ht="18.95" customHeight="1">
      <c r="A1938" s="6" t="s">
        <v>5000</v>
      </c>
      <c r="B1938" s="6" t="s">
        <v>4998</v>
      </c>
      <c r="C1938" s="6" t="s">
        <v>488</v>
      </c>
      <c r="D1938" s="6" t="s">
        <v>103</v>
      </c>
      <c r="E1938" s="6" t="s">
        <v>48</v>
      </c>
      <c r="F1938" s="6" t="s">
        <v>98</v>
      </c>
      <c r="G1938" s="6" t="s">
        <v>5001</v>
      </c>
    </row>
    <row r="1939" spans="1:7" ht="18.95" customHeight="1">
      <c r="A1939" s="6" t="s">
        <v>5002</v>
      </c>
      <c r="B1939" s="6" t="s">
        <v>5003</v>
      </c>
      <c r="C1939" s="6" t="s">
        <v>494</v>
      </c>
      <c r="D1939" s="6" t="s">
        <v>93</v>
      </c>
      <c r="E1939" s="6" t="s">
        <v>46</v>
      </c>
      <c r="F1939" s="6" t="s">
        <v>94</v>
      </c>
      <c r="G1939" s="6" t="s">
        <v>5004</v>
      </c>
    </row>
    <row r="1940" spans="1:7" ht="18.95" customHeight="1">
      <c r="A1940" s="6" t="s">
        <v>5005</v>
      </c>
      <c r="B1940" s="6" t="s">
        <v>5003</v>
      </c>
      <c r="C1940" s="6" t="s">
        <v>494</v>
      </c>
      <c r="D1940" s="6" t="s">
        <v>97</v>
      </c>
      <c r="E1940" s="6" t="s">
        <v>47</v>
      </c>
      <c r="F1940" s="6" t="s">
        <v>98</v>
      </c>
      <c r="G1940" s="6" t="s">
        <v>5006</v>
      </c>
    </row>
    <row r="1941" spans="1:7" ht="18.95" customHeight="1">
      <c r="A1941" s="6" t="s">
        <v>5007</v>
      </c>
      <c r="B1941" s="6" t="s">
        <v>5008</v>
      </c>
      <c r="C1941" s="6" t="s">
        <v>500</v>
      </c>
      <c r="D1941" s="6" t="s">
        <v>103</v>
      </c>
      <c r="E1941" s="6" t="s">
        <v>48</v>
      </c>
      <c r="F1941" s="6" t="s">
        <v>98</v>
      </c>
      <c r="G1941" s="6" t="s">
        <v>5009</v>
      </c>
    </row>
    <row r="1942" spans="1:7" ht="18.95" customHeight="1">
      <c r="A1942" s="6" t="s">
        <v>5010</v>
      </c>
      <c r="B1942" s="6" t="s">
        <v>5008</v>
      </c>
      <c r="C1942" s="6" t="s">
        <v>500</v>
      </c>
      <c r="D1942" s="6" t="s">
        <v>93</v>
      </c>
      <c r="E1942" s="6" t="s">
        <v>46</v>
      </c>
      <c r="F1942" s="6" t="s">
        <v>98</v>
      </c>
      <c r="G1942" s="6" t="s">
        <v>5011</v>
      </c>
    </row>
    <row r="1943" spans="1:7" ht="18.95" customHeight="1">
      <c r="A1943" s="6" t="s">
        <v>5012</v>
      </c>
      <c r="B1943" s="6" t="s">
        <v>5013</v>
      </c>
      <c r="C1943" s="6" t="s">
        <v>506</v>
      </c>
      <c r="D1943" s="6" t="s">
        <v>97</v>
      </c>
      <c r="E1943" s="6" t="s">
        <v>47</v>
      </c>
      <c r="F1943" s="6" t="s">
        <v>98</v>
      </c>
      <c r="G1943" s="6" t="s">
        <v>5014</v>
      </c>
    </row>
    <row r="1944" spans="1:7" ht="18.95" customHeight="1">
      <c r="A1944" s="6" t="s">
        <v>5015</v>
      </c>
      <c r="B1944" s="6" t="s">
        <v>5013</v>
      </c>
      <c r="C1944" s="6" t="s">
        <v>506</v>
      </c>
      <c r="D1944" s="6" t="s">
        <v>103</v>
      </c>
      <c r="E1944" s="6" t="s">
        <v>48</v>
      </c>
      <c r="F1944" s="6" t="s">
        <v>98</v>
      </c>
      <c r="G1944" s="6" t="s">
        <v>5016</v>
      </c>
    </row>
    <row r="1945" spans="1:7" ht="18.95" customHeight="1">
      <c r="A1945" s="6" t="s">
        <v>5017</v>
      </c>
      <c r="B1945" s="6" t="s">
        <v>5018</v>
      </c>
      <c r="C1945" s="6" t="s">
        <v>512</v>
      </c>
      <c r="D1945" s="6" t="s">
        <v>93</v>
      </c>
      <c r="E1945" s="6" t="s">
        <v>46</v>
      </c>
      <c r="F1945" s="6" t="s">
        <v>98</v>
      </c>
      <c r="G1945" s="6" t="s">
        <v>5019</v>
      </c>
    </row>
    <row r="1946" spans="1:7" ht="18.95" customHeight="1">
      <c r="A1946" s="6" t="s">
        <v>5020</v>
      </c>
      <c r="B1946" s="6" t="s">
        <v>5018</v>
      </c>
      <c r="C1946" s="6" t="s">
        <v>512</v>
      </c>
      <c r="D1946" s="6" t="s">
        <v>97</v>
      </c>
      <c r="E1946" s="6" t="s">
        <v>47</v>
      </c>
      <c r="F1946" s="6" t="s">
        <v>98</v>
      </c>
      <c r="G1946" s="6" t="s">
        <v>5021</v>
      </c>
    </row>
    <row r="1947" spans="1:7" ht="18.95" customHeight="1">
      <c r="A1947" s="6" t="s">
        <v>5022</v>
      </c>
      <c r="B1947" s="6" t="s">
        <v>5023</v>
      </c>
      <c r="C1947" s="6" t="s">
        <v>518</v>
      </c>
      <c r="D1947" s="6" t="s">
        <v>103</v>
      </c>
      <c r="E1947" s="6" t="s">
        <v>48</v>
      </c>
      <c r="F1947" s="6" t="s">
        <v>98</v>
      </c>
      <c r="G1947" s="6" t="s">
        <v>5024</v>
      </c>
    </row>
    <row r="1948" spans="1:7" ht="18.95" customHeight="1">
      <c r="A1948" s="6" t="s">
        <v>5025</v>
      </c>
      <c r="B1948" s="6" t="s">
        <v>5023</v>
      </c>
      <c r="C1948" s="6" t="s">
        <v>518</v>
      </c>
      <c r="D1948" s="6" t="s">
        <v>93</v>
      </c>
      <c r="E1948" s="6" t="s">
        <v>46</v>
      </c>
      <c r="F1948" s="6" t="s">
        <v>98</v>
      </c>
      <c r="G1948" s="6" t="s">
        <v>5026</v>
      </c>
    </row>
    <row r="1949" spans="1:7" ht="18.95" customHeight="1">
      <c r="A1949" s="6" t="s">
        <v>5027</v>
      </c>
      <c r="B1949" s="6" t="s">
        <v>5028</v>
      </c>
      <c r="C1949" s="6" t="s">
        <v>524</v>
      </c>
      <c r="D1949" s="6" t="s">
        <v>97</v>
      </c>
      <c r="E1949" s="6" t="s">
        <v>47</v>
      </c>
      <c r="F1949" s="6" t="s">
        <v>98</v>
      </c>
      <c r="G1949" s="6" t="s">
        <v>5029</v>
      </c>
    </row>
    <row r="1950" spans="1:7" ht="18.95" customHeight="1">
      <c r="A1950" s="6" t="s">
        <v>5030</v>
      </c>
      <c r="B1950" s="6" t="s">
        <v>5028</v>
      </c>
      <c r="C1950" s="6" t="s">
        <v>524</v>
      </c>
      <c r="D1950" s="6" t="s">
        <v>103</v>
      </c>
      <c r="E1950" s="6" t="s">
        <v>48</v>
      </c>
      <c r="F1950" s="6" t="s">
        <v>98</v>
      </c>
      <c r="G1950" s="6" t="s">
        <v>5031</v>
      </c>
    </row>
    <row r="1951" spans="1:7" ht="18.95" customHeight="1">
      <c r="A1951" s="6" t="s">
        <v>5032</v>
      </c>
      <c r="B1951" s="6" t="s">
        <v>5033</v>
      </c>
      <c r="C1951" s="6" t="s">
        <v>530</v>
      </c>
      <c r="D1951" s="6" t="s">
        <v>93</v>
      </c>
      <c r="E1951" s="6" t="s">
        <v>46</v>
      </c>
      <c r="F1951" s="6" t="s">
        <v>98</v>
      </c>
      <c r="G1951" s="6" t="s">
        <v>5034</v>
      </c>
    </row>
    <row r="1952" spans="1:7" ht="18.95" customHeight="1">
      <c r="A1952" s="6" t="s">
        <v>5035</v>
      </c>
      <c r="B1952" s="6" t="s">
        <v>5033</v>
      </c>
      <c r="C1952" s="6" t="s">
        <v>530</v>
      </c>
      <c r="D1952" s="6" t="s">
        <v>97</v>
      </c>
      <c r="E1952" s="6" t="s">
        <v>47</v>
      </c>
      <c r="F1952" s="6" t="s">
        <v>98</v>
      </c>
      <c r="G1952" s="6" t="s">
        <v>5036</v>
      </c>
    </row>
    <row r="1953" spans="1:7" ht="18.95" customHeight="1">
      <c r="A1953" s="6" t="s">
        <v>5037</v>
      </c>
      <c r="B1953" s="6" t="s">
        <v>5038</v>
      </c>
      <c r="C1953" s="6" t="s">
        <v>536</v>
      </c>
      <c r="D1953" s="6" t="s">
        <v>103</v>
      </c>
      <c r="E1953" s="6" t="s">
        <v>48</v>
      </c>
      <c r="F1953" s="6" t="s">
        <v>98</v>
      </c>
      <c r="G1953" s="6" t="s">
        <v>5039</v>
      </c>
    </row>
    <row r="1954" spans="1:7" ht="18.95" customHeight="1">
      <c r="A1954" s="6" t="s">
        <v>5040</v>
      </c>
      <c r="B1954" s="6" t="s">
        <v>5038</v>
      </c>
      <c r="C1954" s="6" t="s">
        <v>536</v>
      </c>
      <c r="D1954" s="6" t="s">
        <v>93</v>
      </c>
      <c r="E1954" s="6" t="s">
        <v>46</v>
      </c>
      <c r="F1954" s="6" t="s">
        <v>98</v>
      </c>
      <c r="G1954" s="6" t="s">
        <v>5041</v>
      </c>
    </row>
    <row r="1955" spans="1:7" ht="18.95" customHeight="1">
      <c r="A1955" s="6" t="s">
        <v>5042</v>
      </c>
      <c r="B1955" s="6" t="s">
        <v>5043</v>
      </c>
      <c r="C1955" s="6" t="s">
        <v>542</v>
      </c>
      <c r="D1955" s="6" t="s">
        <v>97</v>
      </c>
      <c r="E1955" s="6" t="s">
        <v>47</v>
      </c>
      <c r="F1955" s="6" t="s">
        <v>98</v>
      </c>
      <c r="G1955" s="6" t="s">
        <v>5044</v>
      </c>
    </row>
    <row r="1956" spans="1:7" ht="18.95" customHeight="1">
      <c r="A1956" s="6" t="s">
        <v>5045</v>
      </c>
      <c r="B1956" s="6" t="s">
        <v>5043</v>
      </c>
      <c r="C1956" s="6" t="s">
        <v>542</v>
      </c>
      <c r="D1956" s="6" t="s">
        <v>103</v>
      </c>
      <c r="E1956" s="6" t="s">
        <v>48</v>
      </c>
      <c r="F1956" s="6" t="s">
        <v>98</v>
      </c>
      <c r="G1956" s="6" t="s">
        <v>5046</v>
      </c>
    </row>
    <row r="1957" spans="1:7" ht="18.95" customHeight="1">
      <c r="A1957" s="6" t="s">
        <v>5047</v>
      </c>
      <c r="B1957" s="6" t="s">
        <v>5048</v>
      </c>
      <c r="C1957" s="6" t="s">
        <v>548</v>
      </c>
      <c r="D1957" s="6" t="s">
        <v>93</v>
      </c>
      <c r="E1957" s="6" t="s">
        <v>46</v>
      </c>
      <c r="F1957" s="6" t="s">
        <v>98</v>
      </c>
      <c r="G1957" s="6" t="s">
        <v>5049</v>
      </c>
    </row>
    <row r="1958" spans="1:7" ht="18.95" customHeight="1">
      <c r="A1958" s="6" t="s">
        <v>5050</v>
      </c>
      <c r="B1958" s="6" t="s">
        <v>5048</v>
      </c>
      <c r="C1958" s="6" t="s">
        <v>548</v>
      </c>
      <c r="D1958" s="6" t="s">
        <v>97</v>
      </c>
      <c r="E1958" s="6" t="s">
        <v>47</v>
      </c>
      <c r="F1958" s="6" t="s">
        <v>98</v>
      </c>
      <c r="G1958" s="6" t="s">
        <v>5051</v>
      </c>
    </row>
    <row r="1959" spans="1:7" ht="18.95" customHeight="1">
      <c r="A1959" s="6" t="s">
        <v>5052</v>
      </c>
      <c r="B1959" s="6" t="s">
        <v>5053</v>
      </c>
      <c r="C1959" s="6" t="s">
        <v>554</v>
      </c>
      <c r="D1959" s="6" t="s">
        <v>103</v>
      </c>
      <c r="E1959" s="6" t="s">
        <v>48</v>
      </c>
      <c r="F1959" s="6" t="s">
        <v>98</v>
      </c>
      <c r="G1959" s="6" t="s">
        <v>5054</v>
      </c>
    </row>
    <row r="1960" spans="1:7" ht="18.95" customHeight="1">
      <c r="A1960" s="6" t="s">
        <v>5055</v>
      </c>
      <c r="B1960" s="6" t="s">
        <v>5053</v>
      </c>
      <c r="C1960" s="6" t="s">
        <v>554</v>
      </c>
      <c r="D1960" s="6" t="s">
        <v>93</v>
      </c>
      <c r="E1960" s="6" t="s">
        <v>46</v>
      </c>
      <c r="F1960" s="6" t="s">
        <v>98</v>
      </c>
      <c r="G1960" s="6" t="s">
        <v>5056</v>
      </c>
    </row>
    <row r="1961" spans="1:7" ht="18.95" customHeight="1">
      <c r="A1961" s="6" t="s">
        <v>5057</v>
      </c>
      <c r="B1961" s="6" t="s">
        <v>5058</v>
      </c>
      <c r="C1961" s="6" t="s">
        <v>560</v>
      </c>
      <c r="D1961" s="6" t="s">
        <v>97</v>
      </c>
      <c r="E1961" s="6" t="s">
        <v>47</v>
      </c>
      <c r="F1961" s="6" t="s">
        <v>98</v>
      </c>
      <c r="G1961" s="6" t="s">
        <v>5059</v>
      </c>
    </row>
    <row r="1962" spans="1:7" ht="18.95" customHeight="1">
      <c r="A1962" s="6" t="s">
        <v>5060</v>
      </c>
      <c r="B1962" s="6" t="s">
        <v>5058</v>
      </c>
      <c r="C1962" s="6" t="s">
        <v>560</v>
      </c>
      <c r="D1962" s="6" t="s">
        <v>103</v>
      </c>
      <c r="E1962" s="6" t="s">
        <v>48</v>
      </c>
      <c r="F1962" s="6" t="s">
        <v>94</v>
      </c>
      <c r="G1962" s="6" t="s">
        <v>5061</v>
      </c>
    </row>
    <row r="1963" spans="1:7" ht="18.95" customHeight="1">
      <c r="A1963" s="6" t="s">
        <v>5062</v>
      </c>
      <c r="B1963" s="6" t="s">
        <v>5063</v>
      </c>
      <c r="C1963" s="6" t="s">
        <v>566</v>
      </c>
      <c r="D1963" s="6" t="s">
        <v>93</v>
      </c>
      <c r="E1963" s="6" t="s">
        <v>46</v>
      </c>
      <c r="F1963" s="6" t="s">
        <v>98</v>
      </c>
      <c r="G1963" s="6" t="s">
        <v>5064</v>
      </c>
    </row>
    <row r="1964" spans="1:7" ht="18.95" customHeight="1">
      <c r="A1964" s="6" t="s">
        <v>5065</v>
      </c>
      <c r="B1964" s="6" t="s">
        <v>5063</v>
      </c>
      <c r="C1964" s="6" t="s">
        <v>566</v>
      </c>
      <c r="D1964" s="6" t="s">
        <v>97</v>
      </c>
      <c r="E1964" s="6" t="s">
        <v>47</v>
      </c>
      <c r="F1964" s="6" t="s">
        <v>98</v>
      </c>
      <c r="G1964" s="6" t="s">
        <v>5066</v>
      </c>
    </row>
    <row r="1965" spans="1:7" ht="18.95" customHeight="1">
      <c r="A1965" s="6" t="s">
        <v>5067</v>
      </c>
      <c r="B1965" s="6" t="s">
        <v>5068</v>
      </c>
      <c r="C1965" s="6" t="s">
        <v>572</v>
      </c>
      <c r="D1965" s="6" t="s">
        <v>103</v>
      </c>
      <c r="E1965" s="6" t="s">
        <v>48</v>
      </c>
      <c r="F1965" s="6" t="s">
        <v>98</v>
      </c>
      <c r="G1965" s="6" t="s">
        <v>5069</v>
      </c>
    </row>
    <row r="1966" spans="1:7" ht="18.95" customHeight="1">
      <c r="A1966" s="6" t="s">
        <v>5070</v>
      </c>
      <c r="B1966" s="6" t="s">
        <v>5068</v>
      </c>
      <c r="C1966" s="6" t="s">
        <v>572</v>
      </c>
      <c r="D1966" s="6" t="s">
        <v>93</v>
      </c>
      <c r="E1966" s="6" t="s">
        <v>46</v>
      </c>
      <c r="F1966" s="6" t="s">
        <v>98</v>
      </c>
      <c r="G1966" s="6" t="s">
        <v>5071</v>
      </c>
    </row>
    <row r="1967" spans="1:7" ht="18.95" customHeight="1">
      <c r="A1967" s="6" t="s">
        <v>5072</v>
      </c>
      <c r="B1967" s="6" t="s">
        <v>5073</v>
      </c>
      <c r="C1967" s="6" t="s">
        <v>578</v>
      </c>
      <c r="D1967" s="6" t="s">
        <v>97</v>
      </c>
      <c r="E1967" s="6" t="s">
        <v>47</v>
      </c>
      <c r="F1967" s="6" t="s">
        <v>98</v>
      </c>
      <c r="G1967" s="6" t="s">
        <v>5074</v>
      </c>
    </row>
    <row r="1968" spans="1:7" ht="18.95" customHeight="1">
      <c r="A1968" s="6" t="s">
        <v>5075</v>
      </c>
      <c r="B1968" s="6" t="s">
        <v>5073</v>
      </c>
      <c r="C1968" s="6" t="s">
        <v>578</v>
      </c>
      <c r="D1968" s="6" t="s">
        <v>103</v>
      </c>
      <c r="E1968" s="6" t="s">
        <v>48</v>
      </c>
      <c r="F1968" s="6" t="s">
        <v>98</v>
      </c>
      <c r="G1968" s="6" t="s">
        <v>5076</v>
      </c>
    </row>
    <row r="1969" spans="1:7" ht="18.95" customHeight="1">
      <c r="A1969" s="6" t="s">
        <v>5077</v>
      </c>
      <c r="B1969" s="6" t="s">
        <v>5078</v>
      </c>
      <c r="C1969" s="6" t="s">
        <v>584</v>
      </c>
      <c r="D1969" s="6" t="s">
        <v>93</v>
      </c>
      <c r="E1969" s="6" t="s">
        <v>46</v>
      </c>
      <c r="F1969" s="6" t="s">
        <v>98</v>
      </c>
      <c r="G1969" s="6" t="s">
        <v>5079</v>
      </c>
    </row>
    <row r="1970" spans="1:7" ht="18.95" customHeight="1">
      <c r="A1970" s="6" t="s">
        <v>5080</v>
      </c>
      <c r="B1970" s="6" t="s">
        <v>5078</v>
      </c>
      <c r="C1970" s="6" t="s">
        <v>584</v>
      </c>
      <c r="D1970" s="6" t="s">
        <v>97</v>
      </c>
      <c r="E1970" s="6" t="s">
        <v>47</v>
      </c>
      <c r="F1970" s="6" t="s">
        <v>98</v>
      </c>
      <c r="G1970" s="6" t="s">
        <v>5081</v>
      </c>
    </row>
    <row r="1971" spans="1:7" ht="18.95" customHeight="1">
      <c r="A1971" s="6" t="s">
        <v>5082</v>
      </c>
      <c r="B1971" s="6" t="s">
        <v>5083</v>
      </c>
      <c r="C1971" s="6" t="s">
        <v>590</v>
      </c>
      <c r="D1971" s="6" t="s">
        <v>103</v>
      </c>
      <c r="E1971" s="6" t="s">
        <v>48</v>
      </c>
      <c r="F1971" s="6" t="s">
        <v>98</v>
      </c>
      <c r="G1971" s="6" t="s">
        <v>5084</v>
      </c>
    </row>
    <row r="1972" spans="1:7" ht="18.95" customHeight="1">
      <c r="A1972" s="6" t="s">
        <v>5085</v>
      </c>
      <c r="B1972" s="6" t="s">
        <v>5083</v>
      </c>
      <c r="C1972" s="6" t="s">
        <v>590</v>
      </c>
      <c r="D1972" s="6" t="s">
        <v>93</v>
      </c>
      <c r="E1972" s="6" t="s">
        <v>46</v>
      </c>
      <c r="F1972" s="6" t="s">
        <v>98</v>
      </c>
      <c r="G1972" s="6" t="s">
        <v>5086</v>
      </c>
    </row>
    <row r="1973" spans="1:7" ht="18.95" customHeight="1">
      <c r="A1973" s="6" t="s">
        <v>5087</v>
      </c>
      <c r="B1973" s="6" t="s">
        <v>5088</v>
      </c>
      <c r="C1973" s="6" t="s">
        <v>596</v>
      </c>
      <c r="D1973" s="6" t="s">
        <v>97</v>
      </c>
      <c r="E1973" s="6" t="s">
        <v>47</v>
      </c>
      <c r="F1973" s="6" t="s">
        <v>98</v>
      </c>
      <c r="G1973" s="6" t="s">
        <v>5089</v>
      </c>
    </row>
    <row r="1974" spans="1:7" ht="18.95" customHeight="1">
      <c r="A1974" s="6" t="s">
        <v>5090</v>
      </c>
      <c r="B1974" s="6" t="s">
        <v>5088</v>
      </c>
      <c r="C1974" s="6" t="s">
        <v>596</v>
      </c>
      <c r="D1974" s="6" t="s">
        <v>103</v>
      </c>
      <c r="E1974" s="6" t="s">
        <v>48</v>
      </c>
      <c r="F1974" s="6" t="s">
        <v>98</v>
      </c>
      <c r="G1974" s="6" t="s">
        <v>5091</v>
      </c>
    </row>
    <row r="1975" spans="1:7" ht="18.95" customHeight="1">
      <c r="A1975" s="6" t="s">
        <v>5092</v>
      </c>
      <c r="B1975" s="6" t="s">
        <v>5093</v>
      </c>
      <c r="C1975" s="6" t="s">
        <v>602</v>
      </c>
      <c r="D1975" s="6" t="s">
        <v>93</v>
      </c>
      <c r="E1975" s="6" t="s">
        <v>46</v>
      </c>
      <c r="F1975" s="6" t="s">
        <v>98</v>
      </c>
      <c r="G1975" s="6" t="s">
        <v>5094</v>
      </c>
    </row>
    <row r="1976" spans="1:7" ht="18.95" customHeight="1">
      <c r="A1976" s="6" t="s">
        <v>5095</v>
      </c>
      <c r="B1976" s="6" t="s">
        <v>5093</v>
      </c>
      <c r="C1976" s="6" t="s">
        <v>602</v>
      </c>
      <c r="D1976" s="6" t="s">
        <v>97</v>
      </c>
      <c r="E1976" s="6" t="s">
        <v>47</v>
      </c>
      <c r="F1976" s="6" t="s">
        <v>98</v>
      </c>
      <c r="G1976" s="6" t="s">
        <v>5096</v>
      </c>
    </row>
    <row r="1977" spans="1:7" ht="18.95" customHeight="1">
      <c r="A1977" s="6" t="s">
        <v>5097</v>
      </c>
      <c r="B1977" s="6" t="s">
        <v>5098</v>
      </c>
      <c r="C1977" s="6" t="s">
        <v>611</v>
      </c>
      <c r="D1977" s="6" t="s">
        <v>103</v>
      </c>
      <c r="E1977" s="6" t="s">
        <v>48</v>
      </c>
      <c r="F1977" s="6" t="s">
        <v>98</v>
      </c>
      <c r="G1977" s="6" t="s">
        <v>5099</v>
      </c>
    </row>
    <row r="1978" spans="1:7" ht="18.95" customHeight="1">
      <c r="A1978" s="6" t="s">
        <v>5100</v>
      </c>
      <c r="B1978" s="6" t="s">
        <v>5098</v>
      </c>
      <c r="C1978" s="6" t="s">
        <v>611</v>
      </c>
      <c r="D1978" s="6" t="s">
        <v>93</v>
      </c>
      <c r="E1978" s="6" t="s">
        <v>46</v>
      </c>
      <c r="F1978" s="6" t="s">
        <v>98</v>
      </c>
      <c r="G1978" s="6" t="s">
        <v>5101</v>
      </c>
    </row>
    <row r="1979" spans="1:7" ht="18.95" customHeight="1">
      <c r="A1979" s="6" t="s">
        <v>5102</v>
      </c>
      <c r="B1979" s="6" t="s">
        <v>5103</v>
      </c>
      <c r="C1979" s="6" t="s">
        <v>615</v>
      </c>
      <c r="D1979" s="6" t="s">
        <v>97</v>
      </c>
      <c r="E1979" s="6" t="s">
        <v>47</v>
      </c>
      <c r="F1979" s="6" t="s">
        <v>98</v>
      </c>
      <c r="G1979" s="6" t="s">
        <v>5104</v>
      </c>
    </row>
    <row r="1980" spans="1:7" ht="18.95" customHeight="1">
      <c r="A1980" s="6" t="s">
        <v>5105</v>
      </c>
      <c r="B1980" s="6" t="s">
        <v>5103</v>
      </c>
      <c r="C1980" s="6" t="s">
        <v>615</v>
      </c>
      <c r="D1980" s="6" t="s">
        <v>103</v>
      </c>
      <c r="E1980" s="6" t="s">
        <v>48</v>
      </c>
      <c r="F1980" s="6" t="s">
        <v>98</v>
      </c>
      <c r="G1980" s="6" t="s">
        <v>5106</v>
      </c>
    </row>
    <row r="1981" spans="1:7" ht="18.95" customHeight="1">
      <c r="A1981" s="6" t="s">
        <v>5107</v>
      </c>
      <c r="B1981" s="6" t="s">
        <v>5108</v>
      </c>
      <c r="C1981" s="6" t="s">
        <v>621</v>
      </c>
      <c r="D1981" s="6" t="s">
        <v>93</v>
      </c>
      <c r="E1981" s="6" t="s">
        <v>46</v>
      </c>
      <c r="F1981" s="6" t="s">
        <v>98</v>
      </c>
      <c r="G1981" s="6" t="s">
        <v>5109</v>
      </c>
    </row>
    <row r="1982" spans="1:7" ht="18.95" customHeight="1">
      <c r="A1982" s="6" t="s">
        <v>5110</v>
      </c>
      <c r="B1982" s="6" t="s">
        <v>5108</v>
      </c>
      <c r="C1982" s="6" t="s">
        <v>621</v>
      </c>
      <c r="D1982" s="6" t="s">
        <v>97</v>
      </c>
      <c r="E1982" s="6" t="s">
        <v>47</v>
      </c>
      <c r="F1982" s="6" t="s">
        <v>98</v>
      </c>
      <c r="G1982" s="6" t="s">
        <v>5111</v>
      </c>
    </row>
    <row r="1983" spans="1:7" ht="18.95" customHeight="1">
      <c r="A1983" s="6" t="s">
        <v>5112</v>
      </c>
      <c r="B1983" s="6" t="s">
        <v>5113</v>
      </c>
      <c r="C1983" s="6" t="s">
        <v>627</v>
      </c>
      <c r="D1983" s="6" t="s">
        <v>103</v>
      </c>
      <c r="E1983" s="6" t="s">
        <v>48</v>
      </c>
      <c r="F1983" s="6" t="s">
        <v>98</v>
      </c>
      <c r="G1983" s="6" t="s">
        <v>5114</v>
      </c>
    </row>
    <row r="1984" spans="1:7" ht="18.95" customHeight="1">
      <c r="A1984" s="6" t="s">
        <v>5115</v>
      </c>
      <c r="B1984" s="6" t="s">
        <v>5113</v>
      </c>
      <c r="C1984" s="6"/>
      <c r="D1984" s="6" t="s">
        <v>93</v>
      </c>
      <c r="E1984" s="6" t="s">
        <v>46</v>
      </c>
      <c r="F1984" s="6" t="s">
        <v>98</v>
      </c>
      <c r="G1984" s="6" t="s">
        <v>5116</v>
      </c>
    </row>
    <row r="1985" spans="1:7" ht="18.95" customHeight="1">
      <c r="A1985" s="6" t="s">
        <v>5117</v>
      </c>
      <c r="B1985" s="6" t="s">
        <v>5118</v>
      </c>
      <c r="C1985" s="6"/>
      <c r="D1985" s="6" t="s">
        <v>97</v>
      </c>
      <c r="E1985" s="6" t="s">
        <v>47</v>
      </c>
      <c r="F1985" s="6" t="s">
        <v>94</v>
      </c>
      <c r="G1985" s="6" t="s">
        <v>5119</v>
      </c>
    </row>
    <row r="1986" spans="1:7" ht="18.95" customHeight="1">
      <c r="A1986" s="6" t="s">
        <v>5120</v>
      </c>
      <c r="B1986" s="6" t="s">
        <v>5118</v>
      </c>
      <c r="C1986" s="6" t="s">
        <v>633</v>
      </c>
      <c r="D1986" s="6" t="s">
        <v>103</v>
      </c>
      <c r="E1986" s="6" t="s">
        <v>48</v>
      </c>
      <c r="F1986" s="6" t="s">
        <v>98</v>
      </c>
      <c r="G1986" s="6" t="s">
        <v>5121</v>
      </c>
    </row>
    <row r="1987" spans="1:7" ht="18.95" customHeight="1">
      <c r="A1987" s="6" t="s">
        <v>129</v>
      </c>
      <c r="B1987" s="6" t="s">
        <v>126</v>
      </c>
      <c r="C1987" s="6" t="s">
        <v>127</v>
      </c>
      <c r="D1987" s="6" t="s">
        <v>103</v>
      </c>
      <c r="E1987" s="6" t="s">
        <v>48</v>
      </c>
      <c r="F1987" s="6" t="s">
        <v>98</v>
      </c>
      <c r="G1987" s="6" t="s">
        <v>130</v>
      </c>
    </row>
    <row r="1988" spans="1:7" ht="18.95" customHeight="1">
      <c r="A1988" s="6" t="s">
        <v>390</v>
      </c>
      <c r="B1988" s="6" t="s">
        <v>391</v>
      </c>
      <c r="C1988" s="6" t="s">
        <v>392</v>
      </c>
      <c r="D1988" s="6" t="s">
        <v>103</v>
      </c>
      <c r="E1988" s="6" t="s">
        <v>48</v>
      </c>
      <c r="F1988" s="6" t="s">
        <v>98</v>
      </c>
      <c r="G1988" s="6" t="s">
        <v>393</v>
      </c>
    </row>
    <row r="1989" spans="1:7" ht="18.95" customHeight="1">
      <c r="A1989" s="6" t="s">
        <v>650</v>
      </c>
      <c r="B1989" s="6" t="s">
        <v>648</v>
      </c>
      <c r="C1989" s="6" t="s">
        <v>109</v>
      </c>
      <c r="D1989" s="6" t="s">
        <v>103</v>
      </c>
      <c r="E1989" s="6" t="s">
        <v>48</v>
      </c>
      <c r="F1989" s="6" t="s">
        <v>98</v>
      </c>
      <c r="G1989" s="6" t="s">
        <v>651</v>
      </c>
    </row>
    <row r="1990" spans="1:7" ht="18.95" customHeight="1">
      <c r="A1990" s="6" t="s">
        <v>867</v>
      </c>
      <c r="B1990" s="6" t="s">
        <v>868</v>
      </c>
      <c r="C1990" s="6" t="s">
        <v>374</v>
      </c>
      <c r="D1990" s="6" t="s">
        <v>103</v>
      </c>
      <c r="E1990" s="6" t="s">
        <v>48</v>
      </c>
      <c r="F1990" s="6" t="s">
        <v>98</v>
      </c>
      <c r="G1990" s="6" t="s">
        <v>869</v>
      </c>
    </row>
    <row r="1991" spans="1:7" ht="18.95" customHeight="1">
      <c r="A1991" s="6" t="s">
        <v>1086</v>
      </c>
      <c r="B1991" s="6" t="s">
        <v>1084</v>
      </c>
      <c r="C1991" s="6" t="s">
        <v>633</v>
      </c>
      <c r="D1991" s="6" t="s">
        <v>103</v>
      </c>
      <c r="E1991" s="6" t="s">
        <v>5191</v>
      </c>
      <c r="F1991" s="6" t="s">
        <v>98</v>
      </c>
      <c r="G1991" s="6" t="s">
        <v>1087</v>
      </c>
    </row>
    <row r="1992" spans="1:7" ht="18.95" customHeight="1">
      <c r="A1992" s="6" t="s">
        <v>1304</v>
      </c>
      <c r="B1992" s="6" t="s">
        <v>1305</v>
      </c>
      <c r="C1992" s="6" t="s">
        <v>356</v>
      </c>
      <c r="D1992" s="6" t="s">
        <v>103</v>
      </c>
      <c r="E1992" s="6" t="s">
        <v>48</v>
      </c>
      <c r="F1992" s="6" t="s">
        <v>98</v>
      </c>
      <c r="G1992" s="6" t="s">
        <v>1306</v>
      </c>
    </row>
    <row r="1993" spans="1:7" ht="18.95" customHeight="1">
      <c r="A1993" s="6" t="s">
        <v>1522</v>
      </c>
      <c r="B1993" s="6" t="s">
        <v>1520</v>
      </c>
      <c r="C1993" s="6" t="s">
        <v>615</v>
      </c>
      <c r="D1993" s="6" t="s">
        <v>103</v>
      </c>
      <c r="E1993" s="6" t="s">
        <v>48</v>
      </c>
      <c r="F1993" s="6" t="s">
        <v>98</v>
      </c>
      <c r="G1993" s="6" t="s">
        <v>1523</v>
      </c>
    </row>
    <row r="1994" spans="1:7" ht="18.95" customHeight="1">
      <c r="A1994" s="6" t="s">
        <v>1740</v>
      </c>
      <c r="B1994" s="6" t="s">
        <v>1741</v>
      </c>
      <c r="C1994" s="6" t="s">
        <v>338</v>
      </c>
      <c r="D1994" s="6" t="s">
        <v>103</v>
      </c>
      <c r="E1994" s="6" t="s">
        <v>48</v>
      </c>
      <c r="F1994" s="6" t="s">
        <v>98</v>
      </c>
      <c r="G1994" s="6" t="s">
        <v>1742</v>
      </c>
    </row>
    <row r="1995" spans="1:7" ht="18.95" customHeight="1">
      <c r="A1995" s="6" t="s">
        <v>1958</v>
      </c>
      <c r="B1995" s="6" t="s">
        <v>1956</v>
      </c>
      <c r="C1995" s="6" t="s">
        <v>596</v>
      </c>
      <c r="D1995" s="6" t="s">
        <v>103</v>
      </c>
      <c r="E1995" s="6" t="s">
        <v>48</v>
      </c>
      <c r="F1995" s="6" t="s">
        <v>98</v>
      </c>
      <c r="G1995" s="6" t="s">
        <v>1959</v>
      </c>
    </row>
    <row r="1996" spans="1:7" ht="18.95" customHeight="1">
      <c r="A1996" s="6" t="s">
        <v>2176</v>
      </c>
      <c r="B1996" s="6" t="s">
        <v>2177</v>
      </c>
      <c r="C1996" s="6" t="s">
        <v>320</v>
      </c>
      <c r="D1996" s="6" t="s">
        <v>103</v>
      </c>
      <c r="E1996" s="6" t="s">
        <v>48</v>
      </c>
      <c r="F1996" s="6" t="s">
        <v>98</v>
      </c>
      <c r="G1996" s="6" t="s">
        <v>2178</v>
      </c>
    </row>
    <row r="1997" spans="1:7" ht="18.95" customHeight="1">
      <c r="A1997" s="6" t="s">
        <v>2395</v>
      </c>
      <c r="B1997" s="6" t="s">
        <v>2393</v>
      </c>
      <c r="C1997" s="6" t="s">
        <v>578</v>
      </c>
      <c r="D1997" s="6" t="s">
        <v>103</v>
      </c>
      <c r="E1997" s="6" t="s">
        <v>48</v>
      </c>
      <c r="F1997" s="6" t="s">
        <v>98</v>
      </c>
      <c r="G1997" s="6" t="s">
        <v>2396</v>
      </c>
    </row>
    <row r="1998" spans="1:7" ht="18.95" customHeight="1">
      <c r="A1998" s="6" t="s">
        <v>2612</v>
      </c>
      <c r="B1998" s="6" t="s">
        <v>2613</v>
      </c>
      <c r="C1998" s="6" t="s">
        <v>302</v>
      </c>
      <c r="D1998" s="6" t="s">
        <v>103</v>
      </c>
      <c r="E1998" s="6" t="s">
        <v>48</v>
      </c>
      <c r="F1998" s="6" t="s">
        <v>98</v>
      </c>
      <c r="G1998" s="6" t="s">
        <v>2614</v>
      </c>
    </row>
    <row r="1999" spans="1:7" ht="18.95" customHeight="1">
      <c r="A1999" s="6" t="s">
        <v>2831</v>
      </c>
      <c r="B1999" s="6" t="s">
        <v>2829</v>
      </c>
      <c r="C1999" s="6" t="s">
        <v>560</v>
      </c>
      <c r="D1999" s="6" t="s">
        <v>103</v>
      </c>
      <c r="E1999" s="6" t="s">
        <v>48</v>
      </c>
      <c r="F1999" s="6" t="s">
        <v>98</v>
      </c>
      <c r="G1999" s="6" t="s">
        <v>2832</v>
      </c>
    </row>
    <row r="2000" spans="1:7" ht="18.95" customHeight="1">
      <c r="A2000" s="6" t="s">
        <v>3049</v>
      </c>
      <c r="B2000" s="6" t="s">
        <v>3050</v>
      </c>
      <c r="C2000" s="6" t="s">
        <v>284</v>
      </c>
      <c r="D2000" s="6" t="s">
        <v>103</v>
      </c>
      <c r="E2000" s="6" t="s">
        <v>48</v>
      </c>
      <c r="F2000" s="6" t="s">
        <v>98</v>
      </c>
      <c r="G2000" s="6" t="s">
        <v>3051</v>
      </c>
    </row>
    <row r="2001" spans="1:7" ht="18.95" customHeight="1">
      <c r="A2001" s="6" t="s">
        <v>3267</v>
      </c>
      <c r="B2001" s="6" t="s">
        <v>3265</v>
      </c>
      <c r="C2001" s="6" t="s">
        <v>542</v>
      </c>
      <c r="D2001" s="6" t="s">
        <v>103</v>
      </c>
      <c r="E2001" s="6" t="s">
        <v>48</v>
      </c>
      <c r="F2001" s="6" t="s">
        <v>98</v>
      </c>
      <c r="G2001" s="6" t="s">
        <v>3268</v>
      </c>
    </row>
    <row r="2002" spans="1:7" ht="18.95" customHeight="1">
      <c r="A2002" s="6" t="s">
        <v>3485</v>
      </c>
      <c r="B2002" s="6" t="s">
        <v>3486</v>
      </c>
      <c r="C2002" s="6" t="s">
        <v>266</v>
      </c>
      <c r="D2002" s="6" t="s">
        <v>103</v>
      </c>
      <c r="E2002" s="6" t="s">
        <v>48</v>
      </c>
      <c r="F2002" s="6" t="s">
        <v>98</v>
      </c>
      <c r="G2002" s="6" t="s">
        <v>3487</v>
      </c>
    </row>
    <row r="2003" spans="1:7" ht="18.95" customHeight="1">
      <c r="A2003" s="6" t="s">
        <v>3703</v>
      </c>
      <c r="B2003" s="6" t="s">
        <v>3701</v>
      </c>
      <c r="C2003" s="6" t="s">
        <v>3704</v>
      </c>
      <c r="D2003" s="6" t="s">
        <v>103</v>
      </c>
      <c r="E2003" s="6" t="s">
        <v>48</v>
      </c>
      <c r="F2003" s="6" t="s">
        <v>94</v>
      </c>
      <c r="G2003" s="6" t="s">
        <v>3705</v>
      </c>
    </row>
    <row r="2004" spans="1:7" ht="18.95" customHeight="1">
      <c r="A2004" s="6" t="s">
        <v>3921</v>
      </c>
      <c r="B2004" s="6" t="s">
        <v>3922</v>
      </c>
      <c r="C2004" s="6" t="s">
        <v>248</v>
      </c>
      <c r="D2004" s="6" t="s">
        <v>103</v>
      </c>
      <c r="E2004" s="6" t="s">
        <v>48</v>
      </c>
      <c r="F2004" s="6" t="s">
        <v>98</v>
      </c>
      <c r="G2004" s="6" t="s">
        <v>3923</v>
      </c>
    </row>
    <row r="2005" spans="1:7" ht="18.95" customHeight="1">
      <c r="A2005" s="6" t="s">
        <v>4140</v>
      </c>
      <c r="B2005" s="6" t="s">
        <v>4138</v>
      </c>
      <c r="C2005" s="6" t="s">
        <v>506</v>
      </c>
      <c r="D2005" s="6" t="s">
        <v>103</v>
      </c>
      <c r="E2005" s="6" t="s">
        <v>48</v>
      </c>
      <c r="F2005" s="6" t="s">
        <v>98</v>
      </c>
      <c r="G2005" s="6" t="s">
        <v>4141</v>
      </c>
    </row>
    <row r="2006" spans="1:7" ht="18.95" customHeight="1">
      <c r="A2006" s="6" t="s">
        <v>4351</v>
      </c>
      <c r="B2006" s="6" t="s">
        <v>4352</v>
      </c>
      <c r="C2006" s="6" t="s">
        <v>230</v>
      </c>
      <c r="D2006" s="6" t="s">
        <v>103</v>
      </c>
      <c r="E2006" s="6" t="s">
        <v>48</v>
      </c>
      <c r="F2006" s="6" t="s">
        <v>98</v>
      </c>
      <c r="G2006" s="6" t="s">
        <v>281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006"/>
  <sheetViews>
    <sheetView showGridLines="0" workbookViewId="0">
      <pane ySplit="6" topLeftCell="A7" activePane="bottomLeft" state="frozen"/>
      <selection pane="bottomLeft"/>
    </sheetView>
  </sheetViews>
  <sheetFormatPr defaultRowHeight="14.25"/>
  <cols>
    <col min="1" max="2" width="18" customWidth="1"/>
    <col min="3" max="3" width="19" customWidth="1"/>
    <col min="4" max="6" width="17" customWidth="1"/>
    <col min="7" max="7" width="19" customWidth="1"/>
    <col min="9" max="14" width="18" customWidth="1"/>
    <col min="15" max="15" width="24" customWidth="1"/>
    <col min="16" max="16" width="17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3" t="s">
        <v>5122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5123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1" customHeight="1">
      <c r="A6" s="5" t="s">
        <v>83</v>
      </c>
      <c r="B6" s="5" t="s">
        <v>84</v>
      </c>
      <c r="C6" s="5" t="s">
        <v>85</v>
      </c>
      <c r="D6" s="5" t="s">
        <v>86</v>
      </c>
      <c r="E6" s="5" t="s">
        <v>87</v>
      </c>
      <c r="F6" s="5" t="s">
        <v>88</v>
      </c>
      <c r="G6" s="5" t="s">
        <v>89</v>
      </c>
      <c r="H6" s="20" t="s">
        <v>5124</v>
      </c>
      <c r="I6" s="5" t="s">
        <v>5125</v>
      </c>
      <c r="J6" s="5" t="s">
        <v>5126</v>
      </c>
      <c r="K6" s="5" t="s">
        <v>5127</v>
      </c>
      <c r="L6" s="5" t="s">
        <v>67</v>
      </c>
      <c r="M6" s="5" t="s">
        <v>5128</v>
      </c>
      <c r="N6" s="5" t="s">
        <v>5129</v>
      </c>
      <c r="O6" s="5" t="s">
        <v>5130</v>
      </c>
      <c r="P6" s="5" t="s">
        <v>75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95" customHeight="1">
      <c r="A7" s="7" t="s">
        <v>90</v>
      </c>
      <c r="B7" s="7" t="s">
        <v>91</v>
      </c>
      <c r="C7" s="7" t="s">
        <v>92</v>
      </c>
      <c r="D7" s="7" t="s">
        <v>93</v>
      </c>
      <c r="E7" s="7" t="s">
        <v>46</v>
      </c>
      <c r="F7" s="7" t="s">
        <v>94</v>
      </c>
      <c r="G7" s="7" t="s">
        <v>95</v>
      </c>
      <c r="H7" s="1"/>
      <c r="I7" s="1">
        <f t="shared" ref="I7:I70" si="0">IF(AND(A7="",B7="",C7="",D7="",E7="",F7="",G7=""),0,1)</f>
        <v>1</v>
      </c>
      <c r="J7" s="1" t="str">
        <f>'Source build'!A7</f>
        <v>L00001</v>
      </c>
      <c r="K7" s="1">
        <f>7</f>
        <v>7</v>
      </c>
      <c r="L7" s="10">
        <f t="shared" ref="L7:L70" si="1">IFERROR(IF(ABS(VALUE(G7)*100-ROUND(VALUE(G7)*100,0))&lt;0.0000001,ROUND(VALUE(G7)*100,0),0),0)</f>
        <v>-499</v>
      </c>
      <c r="M7" s="1">
        <f t="shared" ref="M7:M70" si="2">--IF(I7=0,TRUE,IF(TRIM(G7)="",FALSE,IFERROR(AND(ISNUMBER(VALUE(G7)),ABS(VALUE(G7)*100-ROUND(VALUE(G7)*100,0))&lt;0.0000001,OR(ISNUMBER(G7),EXACT(G7,TEXT(VALUE(G7),"0.00"))),OR(AND(EXACT(F7,"sale"),VALUE(G7)&gt;0),AND(EXACT(F7,"refund"),VALUE(G7)&lt;0))),FALSE)))</f>
        <v>1</v>
      </c>
      <c r="N7" s="1">
        <f t="shared" ref="N7:N70" si="3">IF(I7=1,IF(EXACT(A7,J7),1,0),0)</f>
        <v>1</v>
      </c>
      <c r="O7" s="1" t="str">
        <f>IF(I7=0,"UNUSED",IF(A7="","MISSING ID",IF(K7=0,"UNEXPECTED ID",IF(N7&lt;&gt;1,"ID / ORDER DIFFERENCE",IF('Source build'!U7&lt;&gt;"INCLUDED","EXCLUDED SOURCE",IF(NOT(M7),"INVALID AMOUNT",IF('Source build'!Y7&lt;&gt;0,"CHANGED FIELDS","MATCH")))))))</f>
        <v>MATCH</v>
      </c>
      <c r="P7" s="1" t="str">
        <f t="shared" ref="P7:P70" si="4">IF(I7=1,LEFT(C7,7),"")</f>
        <v>2026-01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95" customHeight="1">
      <c r="A8" s="7" t="s">
        <v>96</v>
      </c>
      <c r="B8" s="7" t="s">
        <v>91</v>
      </c>
      <c r="C8" s="7" t="s">
        <v>92</v>
      </c>
      <c r="D8" s="7" t="s">
        <v>97</v>
      </c>
      <c r="E8" s="7" t="s">
        <v>47</v>
      </c>
      <c r="F8" s="7" t="s">
        <v>98</v>
      </c>
      <c r="G8" s="7" t="s">
        <v>99</v>
      </c>
      <c r="H8" s="1"/>
      <c r="I8" s="1">
        <f t="shared" si="0"/>
        <v>1</v>
      </c>
      <c r="J8" s="1" t="str">
        <f>'Source build'!A8</f>
        <v>L00002</v>
      </c>
      <c r="K8" s="1">
        <f>8</f>
        <v>8</v>
      </c>
      <c r="L8" s="10">
        <f t="shared" si="1"/>
        <v>1608</v>
      </c>
      <c r="M8" s="1">
        <f t="shared" si="2"/>
        <v>1</v>
      </c>
      <c r="N8" s="1">
        <f t="shared" si="3"/>
        <v>1</v>
      </c>
      <c r="O8" s="1" t="str">
        <f>IF(I8=0,"UNUSED",IF(A8="","MISSING ID",IF(K8=0,"UNEXPECTED ID",IF(N8&lt;&gt;1,"ID / ORDER DIFFERENCE",IF('Source build'!U8&lt;&gt;"INCLUDED","EXCLUDED SOURCE",IF(NOT(M8),"INVALID AMOUNT",IF('Source build'!Y8&lt;&gt;0,"CHANGED FIELDS","MATCH")))))))</f>
        <v>MATCH</v>
      </c>
      <c r="P8" s="1" t="str">
        <f t="shared" si="4"/>
        <v>2026-01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95" customHeight="1">
      <c r="A9" s="7" t="s">
        <v>100</v>
      </c>
      <c r="B9" s="7" t="s">
        <v>101</v>
      </c>
      <c r="C9" s="7" t="s">
        <v>102</v>
      </c>
      <c r="D9" s="7" t="s">
        <v>103</v>
      </c>
      <c r="E9" s="7" t="s">
        <v>48</v>
      </c>
      <c r="F9" s="7" t="s">
        <v>98</v>
      </c>
      <c r="G9" s="7" t="s">
        <v>104</v>
      </c>
      <c r="H9" s="1"/>
      <c r="I9" s="1">
        <f t="shared" si="0"/>
        <v>1</v>
      </c>
      <c r="J9" s="1" t="str">
        <f>'Source build'!A9</f>
        <v>L00003</v>
      </c>
      <c r="K9" s="1">
        <f>9</f>
        <v>9</v>
      </c>
      <c r="L9" s="10">
        <f t="shared" si="1"/>
        <v>2865</v>
      </c>
      <c r="M9" s="1">
        <f t="shared" si="2"/>
        <v>1</v>
      </c>
      <c r="N9" s="1">
        <f t="shared" si="3"/>
        <v>1</v>
      </c>
      <c r="O9" s="1" t="str">
        <f>IF(I9=0,"UNUSED",IF(A9="","MISSING ID",IF(K9=0,"UNEXPECTED ID",IF(N9&lt;&gt;1,"ID / ORDER DIFFERENCE",IF('Source build'!U9&lt;&gt;"INCLUDED","EXCLUDED SOURCE",IF(NOT(M9),"INVALID AMOUNT",IF('Source build'!Y9&lt;&gt;0,"CHANGED FIELDS","MATCH")))))))</f>
        <v>MATCH</v>
      </c>
      <c r="P9" s="1" t="str">
        <f t="shared" si="4"/>
        <v>2026-01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95" customHeight="1">
      <c r="A10" s="7" t="s">
        <v>105</v>
      </c>
      <c r="B10" s="7" t="s">
        <v>101</v>
      </c>
      <c r="C10" s="7" t="s">
        <v>102</v>
      </c>
      <c r="D10" s="7" t="s">
        <v>93</v>
      </c>
      <c r="E10" s="7" t="s">
        <v>46</v>
      </c>
      <c r="F10" s="7" t="s">
        <v>98</v>
      </c>
      <c r="G10" s="7" t="s">
        <v>106</v>
      </c>
      <c r="H10" s="1"/>
      <c r="I10" s="1">
        <f t="shared" si="0"/>
        <v>1</v>
      </c>
      <c r="J10" s="1" t="str">
        <f>'Source build'!A10</f>
        <v>L00004</v>
      </c>
      <c r="K10" s="1">
        <f>10</f>
        <v>10</v>
      </c>
      <c r="L10" s="10">
        <f t="shared" si="1"/>
        <v>1220</v>
      </c>
      <c r="M10" s="1">
        <f t="shared" si="2"/>
        <v>1</v>
      </c>
      <c r="N10" s="1">
        <f t="shared" si="3"/>
        <v>1</v>
      </c>
      <c r="O10" s="1" t="str">
        <f>IF(I10=0,"UNUSED",IF(A10="","MISSING ID",IF(K10=0,"UNEXPECTED ID",IF(N10&lt;&gt;1,"ID / ORDER DIFFERENCE",IF('Source build'!U10&lt;&gt;"INCLUDED","EXCLUDED SOURCE",IF(NOT(M10),"INVALID AMOUNT",IF('Source build'!Y10&lt;&gt;0,"CHANGED FIELDS","MATCH")))))))</f>
        <v>MATCH</v>
      </c>
      <c r="P10" s="1" t="str">
        <f t="shared" si="4"/>
        <v>2026-01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95" customHeight="1">
      <c r="A11" s="7" t="s">
        <v>107</v>
      </c>
      <c r="B11" s="7" t="s">
        <v>108</v>
      </c>
      <c r="C11" s="7" t="s">
        <v>109</v>
      </c>
      <c r="D11" s="7" t="s">
        <v>97</v>
      </c>
      <c r="E11" s="7" t="s">
        <v>47</v>
      </c>
      <c r="F11" s="7" t="s">
        <v>98</v>
      </c>
      <c r="G11" s="7" t="s">
        <v>110</v>
      </c>
      <c r="H11" s="1"/>
      <c r="I11" s="1">
        <f t="shared" si="0"/>
        <v>1</v>
      </c>
      <c r="J11" s="1" t="str">
        <f>'Source build'!A11</f>
        <v>L00005</v>
      </c>
      <c r="K11" s="1">
        <f>11</f>
        <v>11</v>
      </c>
      <c r="L11" s="10">
        <f t="shared" si="1"/>
        <v>2588</v>
      </c>
      <c r="M11" s="1">
        <f t="shared" si="2"/>
        <v>1</v>
      </c>
      <c r="N11" s="1">
        <f t="shared" si="3"/>
        <v>1</v>
      </c>
      <c r="O11" s="1" t="str">
        <f>IF(I11=0,"UNUSED",IF(A11="","MISSING ID",IF(K11=0,"UNEXPECTED ID",IF(N11&lt;&gt;1,"ID / ORDER DIFFERENCE",IF('Source build'!U11&lt;&gt;"INCLUDED","EXCLUDED SOURCE",IF(NOT(M11),"INVALID AMOUNT",IF('Source build'!Y11&lt;&gt;0,"CHANGED FIELDS","MATCH")))))))</f>
        <v>MATCH</v>
      </c>
      <c r="P11" s="1" t="str">
        <f t="shared" si="4"/>
        <v>2026-01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95" customHeight="1">
      <c r="A12" s="7" t="s">
        <v>111</v>
      </c>
      <c r="B12" s="7" t="s">
        <v>108</v>
      </c>
      <c r="C12" s="7" t="s">
        <v>109</v>
      </c>
      <c r="D12" s="7" t="s">
        <v>103</v>
      </c>
      <c r="E12" s="7" t="s">
        <v>48</v>
      </c>
      <c r="F12" s="7" t="s">
        <v>98</v>
      </c>
      <c r="G12" s="7" t="s">
        <v>112</v>
      </c>
      <c r="H12" s="1"/>
      <c r="I12" s="1">
        <f t="shared" si="0"/>
        <v>1</v>
      </c>
      <c r="J12" s="1" t="str">
        <f>'Source build'!A12</f>
        <v>L00006</v>
      </c>
      <c r="K12" s="1">
        <f>12</f>
        <v>12</v>
      </c>
      <c r="L12" s="10">
        <f t="shared" si="1"/>
        <v>684</v>
      </c>
      <c r="M12" s="1">
        <f t="shared" si="2"/>
        <v>1</v>
      </c>
      <c r="N12" s="1">
        <f t="shared" si="3"/>
        <v>1</v>
      </c>
      <c r="O12" s="1" t="str">
        <f>IF(I12=0,"UNUSED",IF(A12="","MISSING ID",IF(K12=0,"UNEXPECTED ID",IF(N12&lt;&gt;1,"ID / ORDER DIFFERENCE",IF('Source build'!U12&lt;&gt;"INCLUDED","EXCLUDED SOURCE",IF(NOT(M12),"INVALID AMOUNT",IF('Source build'!Y12&lt;&gt;0,"CHANGED FIELDS","MATCH")))))))</f>
        <v>MATCH</v>
      </c>
      <c r="P12" s="1" t="str">
        <f t="shared" si="4"/>
        <v>2026-01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95" customHeight="1">
      <c r="A13" s="7" t="s">
        <v>113</v>
      </c>
      <c r="B13" s="7" t="s">
        <v>114</v>
      </c>
      <c r="C13" s="7" t="s">
        <v>115</v>
      </c>
      <c r="D13" s="7" t="s">
        <v>93</v>
      </c>
      <c r="E13" s="7" t="s">
        <v>46</v>
      </c>
      <c r="F13" s="7" t="s">
        <v>98</v>
      </c>
      <c r="G13" s="7" t="s">
        <v>116</v>
      </c>
      <c r="H13" s="1"/>
      <c r="I13" s="1">
        <f t="shared" si="0"/>
        <v>1</v>
      </c>
      <c r="J13" s="1" t="str">
        <f>'Source build'!A13</f>
        <v>L00007</v>
      </c>
      <c r="K13" s="1">
        <f>13</f>
        <v>13</v>
      </c>
      <c r="L13" s="10">
        <f t="shared" si="1"/>
        <v>2163</v>
      </c>
      <c r="M13" s="1">
        <f t="shared" si="2"/>
        <v>1</v>
      </c>
      <c r="N13" s="1">
        <f t="shared" si="3"/>
        <v>1</v>
      </c>
      <c r="O13" s="1" t="str">
        <f>IF(I13=0,"UNUSED",IF(A13="","MISSING ID",IF(K13=0,"UNEXPECTED ID",IF(N13&lt;&gt;1,"ID / ORDER DIFFERENCE",IF('Source build'!U13&lt;&gt;"INCLUDED","EXCLUDED SOURCE",IF(NOT(M13),"INVALID AMOUNT",IF('Source build'!Y13&lt;&gt;0,"CHANGED FIELDS","MATCH")))))))</f>
        <v>MATCH</v>
      </c>
      <c r="P13" s="1" t="str">
        <f t="shared" si="4"/>
        <v>2026-01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95" customHeight="1">
      <c r="A14" s="7" t="s">
        <v>117</v>
      </c>
      <c r="B14" s="7" t="s">
        <v>114</v>
      </c>
      <c r="C14" s="7" t="s">
        <v>115</v>
      </c>
      <c r="D14" s="7" t="s">
        <v>97</v>
      </c>
      <c r="E14" s="7" t="s">
        <v>47</v>
      </c>
      <c r="F14" s="7" t="s">
        <v>98</v>
      </c>
      <c r="G14" s="7" t="s">
        <v>118</v>
      </c>
      <c r="H14" s="1"/>
      <c r="I14" s="1">
        <f t="shared" si="0"/>
        <v>1</v>
      </c>
      <c r="J14" s="1" t="str">
        <f>'Source build'!A14</f>
        <v>L00008</v>
      </c>
      <c r="K14" s="1">
        <f>14</f>
        <v>14</v>
      </c>
      <c r="L14" s="10">
        <f t="shared" si="1"/>
        <v>3790</v>
      </c>
      <c r="M14" s="1">
        <f t="shared" si="2"/>
        <v>1</v>
      </c>
      <c r="N14" s="1">
        <f t="shared" si="3"/>
        <v>1</v>
      </c>
      <c r="O14" s="1" t="str">
        <f>IF(I14=0,"UNUSED",IF(A14="","MISSING ID",IF(K14=0,"UNEXPECTED ID",IF(N14&lt;&gt;1,"ID / ORDER DIFFERENCE",IF('Source build'!U14&lt;&gt;"INCLUDED","EXCLUDED SOURCE",IF(NOT(M14),"INVALID AMOUNT",IF('Source build'!Y14&lt;&gt;0,"CHANGED FIELDS","MATCH")))))))</f>
        <v>MATCH</v>
      </c>
      <c r="P14" s="1" t="str">
        <f t="shared" si="4"/>
        <v>2026-01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95" customHeight="1">
      <c r="A15" s="7" t="s">
        <v>119</v>
      </c>
      <c r="B15" s="7" t="s">
        <v>120</v>
      </c>
      <c r="C15" s="7" t="s">
        <v>121</v>
      </c>
      <c r="D15" s="7" t="s">
        <v>103</v>
      </c>
      <c r="E15" s="7" t="s">
        <v>48</v>
      </c>
      <c r="F15" s="7" t="s">
        <v>98</v>
      </c>
      <c r="G15" s="7" t="s">
        <v>122</v>
      </c>
      <c r="H15" s="1"/>
      <c r="I15" s="1">
        <f t="shared" si="0"/>
        <v>1</v>
      </c>
      <c r="J15" s="1" t="str">
        <f>'Source build'!A15</f>
        <v>L00009</v>
      </c>
      <c r="K15" s="1">
        <f>15</f>
        <v>15</v>
      </c>
      <c r="L15" s="10">
        <f t="shared" si="1"/>
        <v>1590</v>
      </c>
      <c r="M15" s="1">
        <f t="shared" si="2"/>
        <v>1</v>
      </c>
      <c r="N15" s="1">
        <f t="shared" si="3"/>
        <v>1</v>
      </c>
      <c r="O15" s="1" t="str">
        <f>IF(I15=0,"UNUSED",IF(A15="","MISSING ID",IF(K15=0,"UNEXPECTED ID",IF(N15&lt;&gt;1,"ID / ORDER DIFFERENCE",IF('Source build'!U15&lt;&gt;"INCLUDED","EXCLUDED SOURCE",IF(NOT(M15),"INVALID AMOUNT",IF('Source build'!Y15&lt;&gt;0,"CHANGED FIELDS","MATCH")))))))</f>
        <v>MATCH</v>
      </c>
      <c r="P15" s="1" t="str">
        <f t="shared" si="4"/>
        <v>2026-01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95" customHeight="1">
      <c r="A16" s="7" t="s">
        <v>123</v>
      </c>
      <c r="B16" s="7" t="s">
        <v>120</v>
      </c>
      <c r="C16" s="7" t="s">
        <v>121</v>
      </c>
      <c r="D16" s="7" t="s">
        <v>93</v>
      </c>
      <c r="E16" s="7" t="s">
        <v>46</v>
      </c>
      <c r="F16" s="7" t="s">
        <v>98</v>
      </c>
      <c r="G16" s="7" t="s">
        <v>124</v>
      </c>
      <c r="H16" s="1"/>
      <c r="I16" s="1">
        <f t="shared" si="0"/>
        <v>1</v>
      </c>
      <c r="J16" s="1" t="str">
        <f>'Source build'!A16</f>
        <v>L00010</v>
      </c>
      <c r="K16" s="1">
        <f>16</f>
        <v>16</v>
      </c>
      <c r="L16" s="10">
        <f t="shared" si="1"/>
        <v>3328</v>
      </c>
      <c r="M16" s="1">
        <f t="shared" si="2"/>
        <v>1</v>
      </c>
      <c r="N16" s="1">
        <f t="shared" si="3"/>
        <v>1</v>
      </c>
      <c r="O16" s="1" t="str">
        <f>IF(I16=0,"UNUSED",IF(A16="","MISSING ID",IF(K16=0,"UNEXPECTED ID",IF(N16&lt;&gt;1,"ID / ORDER DIFFERENCE",IF('Source build'!U16&lt;&gt;"INCLUDED","EXCLUDED SOURCE",IF(NOT(M16),"INVALID AMOUNT",IF('Source build'!Y16&lt;&gt;0,"CHANGED FIELDS","MATCH")))))))</f>
        <v>MATCH</v>
      </c>
      <c r="P16" s="1" t="str">
        <f t="shared" si="4"/>
        <v>2026-01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95" customHeight="1">
      <c r="A17" s="7" t="s">
        <v>125</v>
      </c>
      <c r="B17" s="7" t="s">
        <v>126</v>
      </c>
      <c r="C17" s="7" t="s">
        <v>127</v>
      </c>
      <c r="D17" s="7" t="s">
        <v>97</v>
      </c>
      <c r="E17" s="7" t="s">
        <v>47</v>
      </c>
      <c r="F17" s="7" t="s">
        <v>98</v>
      </c>
      <c r="G17" s="7" t="s">
        <v>128</v>
      </c>
      <c r="H17" s="1"/>
      <c r="I17" s="1">
        <f t="shared" si="0"/>
        <v>1</v>
      </c>
      <c r="J17" s="1" t="str">
        <f>'Source build'!A17</f>
        <v>L00011</v>
      </c>
      <c r="K17" s="1">
        <f>17</f>
        <v>17</v>
      </c>
      <c r="L17" s="10">
        <f t="shared" si="1"/>
        <v>869</v>
      </c>
      <c r="M17" s="1">
        <f t="shared" si="2"/>
        <v>1</v>
      </c>
      <c r="N17" s="1">
        <f t="shared" si="3"/>
        <v>1</v>
      </c>
      <c r="O17" s="1" t="str">
        <f>IF(I17=0,"UNUSED",IF(A17="","MISSING ID",IF(K17=0,"UNEXPECTED ID",IF(N17&lt;&gt;1,"ID / ORDER DIFFERENCE",IF('Source build'!U17&lt;&gt;"INCLUDED","EXCLUDED SOURCE",IF(NOT(M17),"INVALID AMOUNT",IF('Source build'!Y17&lt;&gt;0,"CHANGED FIELDS","MATCH")))))))</f>
        <v>MATCH</v>
      </c>
      <c r="P17" s="1" t="str">
        <f t="shared" si="4"/>
        <v>2026-02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95" customHeight="1">
      <c r="A18" s="7" t="s">
        <v>129</v>
      </c>
      <c r="B18" s="7" t="s">
        <v>126</v>
      </c>
      <c r="C18" s="7" t="s">
        <v>127</v>
      </c>
      <c r="D18" s="7" t="s">
        <v>103</v>
      </c>
      <c r="E18" s="7" t="s">
        <v>48</v>
      </c>
      <c r="F18" s="7" t="s">
        <v>98</v>
      </c>
      <c r="G18" s="7" t="s">
        <v>130</v>
      </c>
      <c r="H18" s="1"/>
      <c r="I18" s="1">
        <f t="shared" si="0"/>
        <v>1</v>
      </c>
      <c r="J18" s="1" t="str">
        <f>'Source build'!A18</f>
        <v>L00012</v>
      </c>
      <c r="K18" s="1">
        <f>18</f>
        <v>18</v>
      </c>
      <c r="L18" s="10">
        <f t="shared" si="1"/>
        <v>2718</v>
      </c>
      <c r="M18" s="1">
        <f t="shared" si="2"/>
        <v>1</v>
      </c>
      <c r="N18" s="1">
        <f t="shared" si="3"/>
        <v>1</v>
      </c>
      <c r="O18" s="1" t="str">
        <f>IF(I18=0,"UNUSED",IF(A18="","MISSING ID",IF(K18=0,"UNEXPECTED ID",IF(N18&lt;&gt;1,"ID / ORDER DIFFERENCE",IF('Source build'!U18&lt;&gt;"INCLUDED","EXCLUDED SOURCE",IF(NOT(M18),"INVALID AMOUNT",IF('Source build'!Y18&lt;&gt;0,"CHANGED FIELDS","MATCH")))))))</f>
        <v>MATCH</v>
      </c>
      <c r="P18" s="1" t="str">
        <f t="shared" si="4"/>
        <v>2026-02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95" customHeight="1">
      <c r="A19" s="7" t="s">
        <v>131</v>
      </c>
      <c r="B19" s="7" t="s">
        <v>132</v>
      </c>
      <c r="C19" s="7" t="s">
        <v>133</v>
      </c>
      <c r="D19" s="7" t="s">
        <v>93</v>
      </c>
      <c r="E19" s="7" t="s">
        <v>46</v>
      </c>
      <c r="F19" s="7" t="s">
        <v>98</v>
      </c>
      <c r="G19" s="7" t="s">
        <v>134</v>
      </c>
      <c r="H19" s="1"/>
      <c r="I19" s="1">
        <f t="shared" si="0"/>
        <v>1</v>
      </c>
      <c r="J19" s="1" t="str">
        <f>'Source build'!A19</f>
        <v>L00013</v>
      </c>
      <c r="K19" s="1">
        <f>19</f>
        <v>19</v>
      </c>
      <c r="L19" s="10">
        <f t="shared" si="1"/>
        <v>4715</v>
      </c>
      <c r="M19" s="1">
        <f t="shared" si="2"/>
        <v>1</v>
      </c>
      <c r="N19" s="1">
        <f t="shared" si="3"/>
        <v>1</v>
      </c>
      <c r="O19" s="1" t="str">
        <f>IF(I19=0,"UNUSED",IF(A19="","MISSING ID",IF(K19=0,"UNEXPECTED ID",IF(N19&lt;&gt;1,"ID / ORDER DIFFERENCE",IF('Source build'!U19&lt;&gt;"INCLUDED","EXCLUDED SOURCE",IF(NOT(M19),"INVALID AMOUNT",IF('Source build'!Y19&lt;&gt;0,"CHANGED FIELDS","MATCH")))))))</f>
        <v>MATCH</v>
      </c>
      <c r="P19" s="1" t="str">
        <f t="shared" si="4"/>
        <v>2026-02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95" customHeight="1">
      <c r="A20" s="7" t="s">
        <v>135</v>
      </c>
      <c r="B20" s="7" t="s">
        <v>132</v>
      </c>
      <c r="C20" s="7" t="s">
        <v>133</v>
      </c>
      <c r="D20" s="7" t="s">
        <v>97</v>
      </c>
      <c r="E20" s="7" t="s">
        <v>47</v>
      </c>
      <c r="F20" s="7" t="s">
        <v>98</v>
      </c>
      <c r="G20" s="7" t="s">
        <v>136</v>
      </c>
      <c r="H20" s="1"/>
      <c r="I20" s="1">
        <f t="shared" si="0"/>
        <v>1</v>
      </c>
      <c r="J20" s="1" t="str">
        <f>'Source build'!A20</f>
        <v>L00014</v>
      </c>
      <c r="K20" s="1">
        <f>20</f>
        <v>20</v>
      </c>
      <c r="L20" s="10">
        <f t="shared" si="1"/>
        <v>1960</v>
      </c>
      <c r="M20" s="1">
        <f t="shared" si="2"/>
        <v>1</v>
      </c>
      <c r="N20" s="1">
        <f t="shared" si="3"/>
        <v>1</v>
      </c>
      <c r="O20" s="1" t="str">
        <f>IF(I20=0,"UNUSED",IF(A20="","MISSING ID",IF(K20=0,"UNEXPECTED ID",IF(N20&lt;&gt;1,"ID / ORDER DIFFERENCE",IF('Source build'!U20&lt;&gt;"INCLUDED","EXCLUDED SOURCE",IF(NOT(M20),"INVALID AMOUNT",IF('Source build'!Y20&lt;&gt;0,"CHANGED FIELDS","MATCH")))))))</f>
        <v>MATCH</v>
      </c>
      <c r="P20" s="1" t="str">
        <f t="shared" si="4"/>
        <v>2026-02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95" customHeight="1">
      <c r="A21" s="7" t="s">
        <v>137</v>
      </c>
      <c r="B21" s="7" t="s">
        <v>138</v>
      </c>
      <c r="C21" s="7" t="s">
        <v>139</v>
      </c>
      <c r="D21" s="7" t="s">
        <v>103</v>
      </c>
      <c r="E21" s="7" t="s">
        <v>48</v>
      </c>
      <c r="F21" s="7" t="s">
        <v>98</v>
      </c>
      <c r="G21" s="7" t="s">
        <v>140</v>
      </c>
      <c r="H21" s="1"/>
      <c r="I21" s="1">
        <f t="shared" si="0"/>
        <v>1</v>
      </c>
      <c r="J21" s="1" t="str">
        <f>'Source build'!A21</f>
        <v>L00015</v>
      </c>
      <c r="K21" s="1">
        <f>21</f>
        <v>21</v>
      </c>
      <c r="L21" s="10">
        <f t="shared" si="1"/>
        <v>4068</v>
      </c>
      <c r="M21" s="1">
        <f t="shared" si="2"/>
        <v>1</v>
      </c>
      <c r="N21" s="1">
        <f t="shared" si="3"/>
        <v>1</v>
      </c>
      <c r="O21" s="1" t="str">
        <f>IF(I21=0,"UNUSED",IF(A21="","MISSING ID",IF(K21=0,"UNEXPECTED ID",IF(N21&lt;&gt;1,"ID / ORDER DIFFERENCE",IF('Source build'!U21&lt;&gt;"INCLUDED","EXCLUDED SOURCE",IF(NOT(M21),"INVALID AMOUNT",IF('Source build'!Y21&lt;&gt;0,"CHANGED FIELDS","MATCH")))))))</f>
        <v>MATCH</v>
      </c>
      <c r="P21" s="1" t="str">
        <f t="shared" si="4"/>
        <v>2026-02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95" customHeight="1">
      <c r="A22" s="7" t="s">
        <v>141</v>
      </c>
      <c r="B22" s="7" t="s">
        <v>138</v>
      </c>
      <c r="C22" s="7" t="s">
        <v>139</v>
      </c>
      <c r="D22" s="7" t="s">
        <v>93</v>
      </c>
      <c r="E22" s="7" t="s">
        <v>46</v>
      </c>
      <c r="F22" s="7" t="s">
        <v>98</v>
      </c>
      <c r="G22" s="7" t="s">
        <v>142</v>
      </c>
      <c r="H22" s="1"/>
      <c r="I22" s="1">
        <f t="shared" si="0"/>
        <v>1</v>
      </c>
      <c r="J22" s="1" t="str">
        <f>'Source build'!A22</f>
        <v>L00016</v>
      </c>
      <c r="K22" s="1">
        <f>22</f>
        <v>22</v>
      </c>
      <c r="L22" s="10">
        <f t="shared" si="1"/>
        <v>1054</v>
      </c>
      <c r="M22" s="1">
        <f t="shared" si="2"/>
        <v>1</v>
      </c>
      <c r="N22" s="1">
        <f t="shared" si="3"/>
        <v>1</v>
      </c>
      <c r="O22" s="1" t="str">
        <f>IF(I22=0,"UNUSED",IF(A22="","MISSING ID",IF(K22=0,"UNEXPECTED ID",IF(N22&lt;&gt;1,"ID / ORDER DIFFERENCE",IF('Source build'!U22&lt;&gt;"INCLUDED","EXCLUDED SOURCE",IF(NOT(M22),"INVALID AMOUNT",IF('Source build'!Y22&lt;&gt;0,"CHANGED FIELDS","MATCH")))))))</f>
        <v>MATCH</v>
      </c>
      <c r="P22" s="1" t="str">
        <f t="shared" si="4"/>
        <v>2026-02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95" customHeight="1">
      <c r="A23" s="7" t="s">
        <v>143</v>
      </c>
      <c r="B23" s="7" t="s">
        <v>144</v>
      </c>
      <c r="C23" s="7" t="s">
        <v>145</v>
      </c>
      <c r="D23" s="7" t="s">
        <v>97</v>
      </c>
      <c r="E23" s="7" t="s">
        <v>47</v>
      </c>
      <c r="F23" s="7" t="s">
        <v>98</v>
      </c>
      <c r="G23" s="7" t="s">
        <v>146</v>
      </c>
      <c r="H23" s="1"/>
      <c r="I23" s="1">
        <f t="shared" si="0"/>
        <v>1</v>
      </c>
      <c r="J23" s="1" t="str">
        <f>'Source build'!A23</f>
        <v>L00017</v>
      </c>
      <c r="K23" s="1">
        <f>23</f>
        <v>23</v>
      </c>
      <c r="L23" s="10">
        <f t="shared" si="1"/>
        <v>3273</v>
      </c>
      <c r="M23" s="1">
        <f t="shared" si="2"/>
        <v>1</v>
      </c>
      <c r="N23" s="1">
        <f t="shared" si="3"/>
        <v>1</v>
      </c>
      <c r="O23" s="1" t="str">
        <f>IF(I23=0,"UNUSED",IF(A23="","MISSING ID",IF(K23=0,"UNEXPECTED ID",IF(N23&lt;&gt;1,"ID / ORDER DIFFERENCE",IF('Source build'!U23&lt;&gt;"INCLUDED","EXCLUDED SOURCE",IF(NOT(M23),"INVALID AMOUNT",IF('Source build'!Y23&lt;&gt;0,"CHANGED FIELDS","MATCH")))))))</f>
        <v>MATCH</v>
      </c>
      <c r="P23" s="1" t="str">
        <f t="shared" si="4"/>
        <v>2026-02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95" customHeight="1">
      <c r="A24" s="7" t="s">
        <v>147</v>
      </c>
      <c r="B24" s="7" t="s">
        <v>144</v>
      </c>
      <c r="C24" s="7" t="s">
        <v>145</v>
      </c>
      <c r="D24" s="7" t="s">
        <v>103</v>
      </c>
      <c r="E24" s="7" t="s">
        <v>48</v>
      </c>
      <c r="F24" s="7" t="s">
        <v>98</v>
      </c>
      <c r="G24" s="7" t="s">
        <v>148</v>
      </c>
      <c r="H24" s="1"/>
      <c r="I24" s="1">
        <f t="shared" si="0"/>
        <v>1</v>
      </c>
      <c r="J24" s="1" t="str">
        <f>'Source build'!A24</f>
        <v>L00018</v>
      </c>
      <c r="K24" s="1">
        <f>24</f>
        <v>24</v>
      </c>
      <c r="L24" s="10">
        <f t="shared" si="1"/>
        <v>5640</v>
      </c>
      <c r="M24" s="1">
        <f t="shared" si="2"/>
        <v>1</v>
      </c>
      <c r="N24" s="1">
        <f t="shared" si="3"/>
        <v>1</v>
      </c>
      <c r="O24" s="1" t="str">
        <f>IF(I24=0,"UNUSED",IF(A24="","MISSING ID",IF(K24=0,"UNEXPECTED ID",IF(N24&lt;&gt;1,"ID / ORDER DIFFERENCE",IF('Source build'!U24&lt;&gt;"INCLUDED","EXCLUDED SOURCE",IF(NOT(M24),"INVALID AMOUNT",IF('Source build'!Y24&lt;&gt;0,"CHANGED FIELDS","MATCH")))))))</f>
        <v>MATCH</v>
      </c>
      <c r="P24" s="1" t="str">
        <f t="shared" si="4"/>
        <v>2026-02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95" customHeight="1">
      <c r="A25" s="7" t="s">
        <v>149</v>
      </c>
      <c r="B25" s="7" t="s">
        <v>150</v>
      </c>
      <c r="C25" s="7" t="s">
        <v>151</v>
      </c>
      <c r="D25" s="7" t="s">
        <v>93</v>
      </c>
      <c r="E25" s="7" t="s">
        <v>46</v>
      </c>
      <c r="F25" s="7" t="s">
        <v>98</v>
      </c>
      <c r="G25" s="7" t="s">
        <v>152</v>
      </c>
      <c r="H25" s="1"/>
      <c r="I25" s="1">
        <f t="shared" si="0"/>
        <v>1</v>
      </c>
      <c r="J25" s="1" t="str">
        <f>'Source build'!A25</f>
        <v>L00019</v>
      </c>
      <c r="K25" s="1">
        <f>25</f>
        <v>25</v>
      </c>
      <c r="L25" s="10">
        <f t="shared" si="1"/>
        <v>2330</v>
      </c>
      <c r="M25" s="1">
        <f t="shared" si="2"/>
        <v>1</v>
      </c>
      <c r="N25" s="1">
        <f t="shared" si="3"/>
        <v>1</v>
      </c>
      <c r="O25" s="1" t="str">
        <f>IF(I25=0,"UNUSED",IF(A25="","MISSING ID",IF(K25=0,"UNEXPECTED ID",IF(N25&lt;&gt;1,"ID / ORDER DIFFERENCE",IF('Source build'!U25&lt;&gt;"INCLUDED","EXCLUDED SOURCE",IF(NOT(M25),"INVALID AMOUNT",IF('Source build'!Y25&lt;&gt;0,"CHANGED FIELDS","MATCH")))))))</f>
        <v>MATCH</v>
      </c>
      <c r="P25" s="1" t="str">
        <f t="shared" si="4"/>
        <v>2026-03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95" customHeight="1">
      <c r="A26" s="7" t="s">
        <v>153</v>
      </c>
      <c r="B26" s="7" t="s">
        <v>150</v>
      </c>
      <c r="C26" s="7" t="s">
        <v>151</v>
      </c>
      <c r="D26" s="7" t="s">
        <v>97</v>
      </c>
      <c r="E26" s="7" t="s">
        <v>47</v>
      </c>
      <c r="F26" s="7" t="s">
        <v>98</v>
      </c>
      <c r="G26" s="7" t="s">
        <v>154</v>
      </c>
      <c r="H26" s="1"/>
      <c r="I26" s="1">
        <f t="shared" si="0"/>
        <v>1</v>
      </c>
      <c r="J26" s="1" t="str">
        <f>'Source build'!A26</f>
        <v>L00020</v>
      </c>
      <c r="K26" s="1">
        <f>26</f>
        <v>26</v>
      </c>
      <c r="L26" s="10">
        <f t="shared" si="1"/>
        <v>4808</v>
      </c>
      <c r="M26" s="1">
        <f t="shared" si="2"/>
        <v>1</v>
      </c>
      <c r="N26" s="1">
        <f t="shared" si="3"/>
        <v>1</v>
      </c>
      <c r="O26" s="1" t="str">
        <f>IF(I26=0,"UNUSED",IF(A26="","MISSING ID",IF(K26=0,"UNEXPECTED ID",IF(N26&lt;&gt;1,"ID / ORDER DIFFERENCE",IF('Source build'!U26&lt;&gt;"INCLUDED","EXCLUDED SOURCE",IF(NOT(M26),"INVALID AMOUNT",IF('Source build'!Y26&lt;&gt;0,"CHANGED FIELDS","MATCH")))))))</f>
        <v>MATCH</v>
      </c>
      <c r="P26" s="1" t="str">
        <f t="shared" si="4"/>
        <v>2026-03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95" customHeight="1">
      <c r="A27" s="7" t="s">
        <v>155</v>
      </c>
      <c r="B27" s="7" t="s">
        <v>156</v>
      </c>
      <c r="C27" s="7" t="s">
        <v>157</v>
      </c>
      <c r="D27" s="7" t="s">
        <v>103</v>
      </c>
      <c r="E27" s="7" t="s">
        <v>48</v>
      </c>
      <c r="F27" s="7" t="s">
        <v>98</v>
      </c>
      <c r="G27" s="7" t="s">
        <v>158</v>
      </c>
      <c r="H27" s="1"/>
      <c r="I27" s="1">
        <f t="shared" si="0"/>
        <v>1</v>
      </c>
      <c r="J27" s="1" t="str">
        <f>'Source build'!A27</f>
        <v>L00021</v>
      </c>
      <c r="K27" s="1">
        <f>27</f>
        <v>27</v>
      </c>
      <c r="L27" s="10">
        <f t="shared" si="1"/>
        <v>1239</v>
      </c>
      <c r="M27" s="1">
        <f t="shared" si="2"/>
        <v>1</v>
      </c>
      <c r="N27" s="1">
        <f t="shared" si="3"/>
        <v>1</v>
      </c>
      <c r="O27" s="1" t="str">
        <f>IF(I27=0,"UNUSED",IF(A27="","MISSING ID",IF(K27=0,"UNEXPECTED ID",IF(N27&lt;&gt;1,"ID / ORDER DIFFERENCE",IF('Source build'!U27&lt;&gt;"INCLUDED","EXCLUDED SOURCE",IF(NOT(M27),"INVALID AMOUNT",IF('Source build'!Y27&lt;&gt;0,"CHANGED FIELDS","MATCH")))))))</f>
        <v>MATCH</v>
      </c>
      <c r="P27" s="1" t="str">
        <f t="shared" si="4"/>
        <v>2026-03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95" customHeight="1">
      <c r="A28" s="7" t="s">
        <v>159</v>
      </c>
      <c r="B28" s="7" t="s">
        <v>156</v>
      </c>
      <c r="C28" s="7" t="s">
        <v>157</v>
      </c>
      <c r="D28" s="7" t="s">
        <v>93</v>
      </c>
      <c r="E28" s="7" t="s">
        <v>46</v>
      </c>
      <c r="F28" s="7" t="s">
        <v>98</v>
      </c>
      <c r="G28" s="7" t="s">
        <v>160</v>
      </c>
      <c r="H28" s="1"/>
      <c r="I28" s="1">
        <f t="shared" si="0"/>
        <v>1</v>
      </c>
      <c r="J28" s="1" t="str">
        <f>'Source build'!A28</f>
        <v>L00022</v>
      </c>
      <c r="K28" s="1">
        <f>28</f>
        <v>28</v>
      </c>
      <c r="L28" s="10">
        <f t="shared" si="1"/>
        <v>3828</v>
      </c>
      <c r="M28" s="1">
        <f t="shared" si="2"/>
        <v>1</v>
      </c>
      <c r="N28" s="1">
        <f t="shared" si="3"/>
        <v>1</v>
      </c>
      <c r="O28" s="1" t="str">
        <f>IF(I28=0,"UNUSED",IF(A28="","MISSING ID",IF(K28=0,"UNEXPECTED ID",IF(N28&lt;&gt;1,"ID / ORDER DIFFERENCE",IF('Source build'!U28&lt;&gt;"INCLUDED","EXCLUDED SOURCE",IF(NOT(M28),"INVALID AMOUNT",IF('Source build'!Y28&lt;&gt;0,"CHANGED FIELDS","MATCH")))))))</f>
        <v>MATCH</v>
      </c>
      <c r="P28" s="1" t="str">
        <f t="shared" si="4"/>
        <v>2026-03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95" customHeight="1">
      <c r="A29" s="7" t="s">
        <v>161</v>
      </c>
      <c r="B29" s="7" t="s">
        <v>162</v>
      </c>
      <c r="C29" s="7" t="s">
        <v>163</v>
      </c>
      <c r="D29" s="7" t="s">
        <v>97</v>
      </c>
      <c r="E29" s="7" t="s">
        <v>47</v>
      </c>
      <c r="F29" s="7" t="s">
        <v>98</v>
      </c>
      <c r="G29" s="7" t="s">
        <v>5131</v>
      </c>
      <c r="H29" s="1"/>
      <c r="I29" s="1">
        <f t="shared" si="0"/>
        <v>1</v>
      </c>
      <c r="J29" s="1" t="str">
        <f>'Source build'!A29</f>
        <v>L00023</v>
      </c>
      <c r="K29" s="1">
        <f>29</f>
        <v>29</v>
      </c>
      <c r="L29" s="10">
        <f t="shared" si="1"/>
        <v>6565</v>
      </c>
      <c r="M29" s="1">
        <f t="shared" si="2"/>
        <v>1</v>
      </c>
      <c r="N29" s="1">
        <f t="shared" si="3"/>
        <v>1</v>
      </c>
      <c r="O29" s="1" t="str">
        <f>IF(I29=0,"UNUSED",IF(A29="","MISSING ID",IF(K29=0,"UNEXPECTED ID",IF(N29&lt;&gt;1,"ID / ORDER DIFFERENCE",IF('Source build'!U29&lt;&gt;"INCLUDED","EXCLUDED SOURCE",IF(NOT(M29),"INVALID AMOUNT",IF('Source build'!Y29&lt;&gt;0,"CHANGED FIELDS","MATCH")))))))</f>
        <v>MATCH</v>
      </c>
      <c r="P29" s="1" t="str">
        <f t="shared" si="4"/>
        <v>2026-03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95" customHeight="1">
      <c r="A30" s="7" t="s">
        <v>165</v>
      </c>
      <c r="B30" s="7" t="s">
        <v>162</v>
      </c>
      <c r="C30" s="7" t="s">
        <v>163</v>
      </c>
      <c r="D30" s="7" t="s">
        <v>103</v>
      </c>
      <c r="E30" s="7" t="s">
        <v>48</v>
      </c>
      <c r="F30" s="7" t="s">
        <v>94</v>
      </c>
      <c r="G30" s="7" t="s">
        <v>166</v>
      </c>
      <c r="H30" s="1"/>
      <c r="I30" s="1">
        <f t="shared" si="0"/>
        <v>1</v>
      </c>
      <c r="J30" s="1" t="str">
        <f>'Source build'!A30</f>
        <v>L00024</v>
      </c>
      <c r="K30" s="1">
        <f>30</f>
        <v>30</v>
      </c>
      <c r="L30" s="10">
        <f t="shared" si="1"/>
        <v>-2700</v>
      </c>
      <c r="M30" s="1">
        <f t="shared" si="2"/>
        <v>1</v>
      </c>
      <c r="N30" s="1">
        <f t="shared" si="3"/>
        <v>1</v>
      </c>
      <c r="O30" s="1" t="str">
        <f>IF(I30=0,"UNUSED",IF(A30="","MISSING ID",IF(K30=0,"UNEXPECTED ID",IF(N30&lt;&gt;1,"ID / ORDER DIFFERENCE",IF('Source build'!U30&lt;&gt;"INCLUDED","EXCLUDED SOURCE",IF(NOT(M30),"INVALID AMOUNT",IF('Source build'!Y30&lt;&gt;0,"CHANGED FIELDS","MATCH")))))))</f>
        <v>MATCH</v>
      </c>
      <c r="P30" s="1" t="str">
        <f t="shared" si="4"/>
        <v>2026-03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95" customHeight="1">
      <c r="A31" s="7" t="s">
        <v>167</v>
      </c>
      <c r="B31" s="7" t="s">
        <v>168</v>
      </c>
      <c r="C31" s="7" t="s">
        <v>169</v>
      </c>
      <c r="D31" s="7" t="s">
        <v>93</v>
      </c>
      <c r="E31" s="7" t="s">
        <v>46</v>
      </c>
      <c r="F31" s="7" t="s">
        <v>98</v>
      </c>
      <c r="G31" s="7" t="s">
        <v>170</v>
      </c>
      <c r="H31" s="1"/>
      <c r="I31" s="1">
        <f t="shared" si="0"/>
        <v>1</v>
      </c>
      <c r="J31" s="1" t="str">
        <f>'Source build'!A31</f>
        <v>L00025</v>
      </c>
      <c r="K31" s="1">
        <f>31</f>
        <v>31</v>
      </c>
      <c r="L31" s="10">
        <f t="shared" si="1"/>
        <v>5548</v>
      </c>
      <c r="M31" s="1">
        <f t="shared" si="2"/>
        <v>1</v>
      </c>
      <c r="N31" s="1">
        <f t="shared" si="3"/>
        <v>1</v>
      </c>
      <c r="O31" s="1" t="str">
        <f>IF(I31=0,"UNUSED",IF(A31="","MISSING ID",IF(K31=0,"UNEXPECTED ID",IF(N31&lt;&gt;1,"ID / ORDER DIFFERENCE",IF('Source build'!U31&lt;&gt;"INCLUDED","EXCLUDED SOURCE",IF(NOT(M31),"INVALID AMOUNT",IF('Source build'!Y31&lt;&gt;0,"CHANGED FIELDS","MATCH")))))))</f>
        <v>MATCH</v>
      </c>
      <c r="P31" s="1" t="str">
        <f t="shared" si="4"/>
        <v>2026-03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95" customHeight="1">
      <c r="A32" s="7" t="s">
        <v>171</v>
      </c>
      <c r="B32" s="7" t="s">
        <v>168</v>
      </c>
      <c r="C32" s="7" t="s">
        <v>169</v>
      </c>
      <c r="D32" s="7" t="s">
        <v>97</v>
      </c>
      <c r="E32" s="7" t="s">
        <v>47</v>
      </c>
      <c r="F32" s="7" t="s">
        <v>98</v>
      </c>
      <c r="G32" s="7" t="s">
        <v>172</v>
      </c>
      <c r="H32" s="1"/>
      <c r="I32" s="1">
        <f t="shared" si="0"/>
        <v>1</v>
      </c>
      <c r="J32" s="1" t="str">
        <f>'Source build'!A32</f>
        <v>L00026</v>
      </c>
      <c r="K32" s="1">
        <f>32</f>
        <v>32</v>
      </c>
      <c r="L32" s="10">
        <f t="shared" si="1"/>
        <v>1424</v>
      </c>
      <c r="M32" s="1">
        <f t="shared" si="2"/>
        <v>1</v>
      </c>
      <c r="N32" s="1">
        <f t="shared" si="3"/>
        <v>1</v>
      </c>
      <c r="O32" s="1" t="str">
        <f>IF(I32=0,"UNUSED",IF(A32="","MISSING ID",IF(K32=0,"UNEXPECTED ID",IF(N32&lt;&gt;1,"ID / ORDER DIFFERENCE",IF('Source build'!U32&lt;&gt;"INCLUDED","EXCLUDED SOURCE",IF(NOT(M32),"INVALID AMOUNT",IF('Source build'!Y32&lt;&gt;0,"CHANGED FIELDS","MATCH")))))))</f>
        <v>MATCH</v>
      </c>
      <c r="P32" s="1" t="str">
        <f t="shared" si="4"/>
        <v>2026-03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95" customHeight="1">
      <c r="A33" s="7" t="s">
        <v>173</v>
      </c>
      <c r="B33" s="7" t="s">
        <v>174</v>
      </c>
      <c r="C33" s="7" t="s">
        <v>175</v>
      </c>
      <c r="D33" s="7" t="s">
        <v>103</v>
      </c>
      <c r="E33" s="7" t="s">
        <v>48</v>
      </c>
      <c r="F33" s="7" t="s">
        <v>98</v>
      </c>
      <c r="G33" s="7" t="s">
        <v>176</v>
      </c>
      <c r="H33" s="1"/>
      <c r="I33" s="1">
        <f t="shared" si="0"/>
        <v>1</v>
      </c>
      <c r="J33" s="1" t="str">
        <f>'Source build'!A33</f>
        <v>L00027</v>
      </c>
      <c r="K33" s="1">
        <f>33</f>
        <v>33</v>
      </c>
      <c r="L33" s="10">
        <f t="shared" si="1"/>
        <v>4383</v>
      </c>
      <c r="M33" s="1">
        <f t="shared" si="2"/>
        <v>1</v>
      </c>
      <c r="N33" s="1">
        <f t="shared" si="3"/>
        <v>1</v>
      </c>
      <c r="O33" s="1" t="str">
        <f>IF(I33=0,"UNUSED",IF(A33="","MISSING ID",IF(K33=0,"UNEXPECTED ID",IF(N33&lt;&gt;1,"ID / ORDER DIFFERENCE",IF('Source build'!U33&lt;&gt;"INCLUDED","EXCLUDED SOURCE",IF(NOT(M33),"INVALID AMOUNT",IF('Source build'!Y33&lt;&gt;0,"CHANGED FIELDS","MATCH")))))))</f>
        <v>MATCH</v>
      </c>
      <c r="P33" s="1" t="str">
        <f t="shared" si="4"/>
        <v>2026-01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95" customHeight="1">
      <c r="A34" s="7" t="s">
        <v>177</v>
      </c>
      <c r="B34" s="7" t="s">
        <v>174</v>
      </c>
      <c r="C34" s="7" t="s">
        <v>175</v>
      </c>
      <c r="D34" s="7" t="s">
        <v>93</v>
      </c>
      <c r="E34" s="7" t="s">
        <v>46</v>
      </c>
      <c r="F34" s="7" t="s">
        <v>98</v>
      </c>
      <c r="G34" s="7" t="s">
        <v>178</v>
      </c>
      <c r="H34" s="1"/>
      <c r="I34" s="1">
        <f t="shared" si="0"/>
        <v>1</v>
      </c>
      <c r="J34" s="1" t="str">
        <f>'Source build'!A34</f>
        <v>L00028</v>
      </c>
      <c r="K34" s="1">
        <f>34</f>
        <v>34</v>
      </c>
      <c r="L34" s="10">
        <f t="shared" si="1"/>
        <v>7490</v>
      </c>
      <c r="M34" s="1">
        <f t="shared" si="2"/>
        <v>1</v>
      </c>
      <c r="N34" s="1">
        <f t="shared" si="3"/>
        <v>1</v>
      </c>
      <c r="O34" s="1" t="str">
        <f>IF(I34=0,"UNUSED",IF(A34="","MISSING ID",IF(K34=0,"UNEXPECTED ID",IF(N34&lt;&gt;1,"ID / ORDER DIFFERENCE",IF('Source build'!U34&lt;&gt;"INCLUDED","EXCLUDED SOURCE",IF(NOT(M34),"INVALID AMOUNT",IF('Source build'!Y34&lt;&gt;0,"CHANGED FIELDS","MATCH")))))))</f>
        <v>MATCH</v>
      </c>
      <c r="P34" s="1" t="str">
        <f t="shared" si="4"/>
        <v>2026-01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95" customHeight="1">
      <c r="A35" s="7" t="s">
        <v>179</v>
      </c>
      <c r="B35" s="7" t="s">
        <v>180</v>
      </c>
      <c r="C35" s="7" t="s">
        <v>181</v>
      </c>
      <c r="D35" s="7" t="s">
        <v>97</v>
      </c>
      <c r="E35" s="7" t="s">
        <v>47</v>
      </c>
      <c r="F35" s="7" t="s">
        <v>98</v>
      </c>
      <c r="G35" s="7" t="s">
        <v>182</v>
      </c>
      <c r="H35" s="1"/>
      <c r="I35" s="1">
        <f t="shared" si="0"/>
        <v>1</v>
      </c>
      <c r="J35" s="1" t="str">
        <f>'Source build'!A35</f>
        <v>L00029</v>
      </c>
      <c r="K35" s="1">
        <f>35</f>
        <v>35</v>
      </c>
      <c r="L35" s="10">
        <f t="shared" si="1"/>
        <v>3070</v>
      </c>
      <c r="M35" s="1">
        <f t="shared" si="2"/>
        <v>1</v>
      </c>
      <c r="N35" s="1">
        <f t="shared" si="3"/>
        <v>1</v>
      </c>
      <c r="O35" s="1" t="str">
        <f>IF(I35=0,"UNUSED",IF(A35="","MISSING ID",IF(K35=0,"UNEXPECTED ID",IF(N35&lt;&gt;1,"ID / ORDER DIFFERENCE",IF('Source build'!U35&lt;&gt;"INCLUDED","EXCLUDED SOURCE",IF(NOT(M35),"INVALID AMOUNT",IF('Source build'!Y35&lt;&gt;0,"CHANGED FIELDS","MATCH")))))))</f>
        <v>MATCH</v>
      </c>
      <c r="P35" s="1" t="str">
        <f t="shared" si="4"/>
        <v>2026-01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95" customHeight="1">
      <c r="A36" s="7" t="s">
        <v>183</v>
      </c>
      <c r="B36" s="7" t="s">
        <v>180</v>
      </c>
      <c r="C36" s="7" t="s">
        <v>181</v>
      </c>
      <c r="D36" s="7" t="s">
        <v>103</v>
      </c>
      <c r="E36" s="7" t="s">
        <v>48</v>
      </c>
      <c r="F36" s="7" t="s">
        <v>98</v>
      </c>
      <c r="G36" s="7" t="s">
        <v>184</v>
      </c>
      <c r="I36" s="1">
        <f t="shared" si="0"/>
        <v>1</v>
      </c>
      <c r="J36" s="1" t="str">
        <f>'Source build'!A36</f>
        <v>L00030</v>
      </c>
      <c r="K36" s="1">
        <f>36</f>
        <v>36</v>
      </c>
      <c r="L36" s="10">
        <f t="shared" si="1"/>
        <v>6288</v>
      </c>
      <c r="M36" s="1">
        <f t="shared" si="2"/>
        <v>1</v>
      </c>
      <c r="N36" s="1">
        <f t="shared" si="3"/>
        <v>1</v>
      </c>
      <c r="O36" s="1" t="str">
        <f>IF(I36=0,"UNUSED",IF(A36="","MISSING ID",IF(K36=0,"UNEXPECTED ID",IF(N36&lt;&gt;1,"ID / ORDER DIFFERENCE",IF('Source build'!U36&lt;&gt;"INCLUDED","EXCLUDED SOURCE",IF(NOT(M36),"INVALID AMOUNT",IF('Source build'!Y36&lt;&gt;0,"CHANGED FIELDS","MATCH")))))))</f>
        <v>MATCH</v>
      </c>
      <c r="P36" s="1" t="str">
        <f t="shared" si="4"/>
        <v>2026-01</v>
      </c>
    </row>
    <row r="37" spans="1:26" ht="18.95" customHeight="1">
      <c r="A37" s="7" t="s">
        <v>185</v>
      </c>
      <c r="B37" s="7" t="s">
        <v>186</v>
      </c>
      <c r="C37" s="7" t="s">
        <v>187</v>
      </c>
      <c r="D37" s="7" t="s">
        <v>93</v>
      </c>
      <c r="E37" s="7" t="s">
        <v>46</v>
      </c>
      <c r="F37" s="7" t="s">
        <v>98</v>
      </c>
      <c r="G37" s="7" t="s">
        <v>188</v>
      </c>
      <c r="I37" s="1">
        <f t="shared" si="0"/>
        <v>1</v>
      </c>
      <c r="J37" s="1" t="str">
        <f>'Source build'!A37</f>
        <v>L00031</v>
      </c>
      <c r="K37" s="1">
        <f>37</f>
        <v>37</v>
      </c>
      <c r="L37" s="10">
        <f t="shared" si="1"/>
        <v>1609</v>
      </c>
      <c r="M37" s="1">
        <f t="shared" si="2"/>
        <v>1</v>
      </c>
      <c r="N37" s="1">
        <f t="shared" si="3"/>
        <v>1</v>
      </c>
      <c r="O37" s="1" t="str">
        <f>IF(I37=0,"UNUSED",IF(A37="","MISSING ID",IF(K37=0,"UNEXPECTED ID",IF(N37&lt;&gt;1,"ID / ORDER DIFFERENCE",IF('Source build'!U37&lt;&gt;"INCLUDED","EXCLUDED SOURCE",IF(NOT(M37),"INVALID AMOUNT",IF('Source build'!Y37&lt;&gt;0,"CHANGED FIELDS","MATCH")))))))</f>
        <v>MATCH</v>
      </c>
      <c r="P37" s="1" t="str">
        <f t="shared" si="4"/>
        <v>2026-01</v>
      </c>
    </row>
    <row r="38" spans="1:26" ht="18.95" customHeight="1">
      <c r="A38" s="7" t="s">
        <v>189</v>
      </c>
      <c r="B38" s="7" t="s">
        <v>186</v>
      </c>
      <c r="C38" s="7" t="s">
        <v>187</v>
      </c>
      <c r="D38" s="7" t="s">
        <v>97</v>
      </c>
      <c r="E38" s="7" t="s">
        <v>47</v>
      </c>
      <c r="F38" s="7" t="s">
        <v>98</v>
      </c>
      <c r="G38" s="7" t="s">
        <v>190</v>
      </c>
      <c r="I38" s="1">
        <f t="shared" si="0"/>
        <v>1</v>
      </c>
      <c r="J38" s="1" t="str">
        <f>'Source build'!A38</f>
        <v>L00032</v>
      </c>
      <c r="K38" s="1">
        <f>38</f>
        <v>38</v>
      </c>
      <c r="L38" s="10">
        <f t="shared" si="1"/>
        <v>4938</v>
      </c>
      <c r="M38" s="1">
        <f t="shared" si="2"/>
        <v>1</v>
      </c>
      <c r="N38" s="1">
        <f t="shared" si="3"/>
        <v>1</v>
      </c>
      <c r="O38" s="1" t="str">
        <f>IF(I38=0,"UNUSED",IF(A38="","MISSING ID",IF(K38=0,"UNEXPECTED ID",IF(N38&lt;&gt;1,"ID / ORDER DIFFERENCE",IF('Source build'!U38&lt;&gt;"INCLUDED","EXCLUDED SOURCE",IF(NOT(M38),"INVALID AMOUNT",IF('Source build'!Y38&lt;&gt;0,"CHANGED FIELDS","MATCH")))))))</f>
        <v>MATCH</v>
      </c>
      <c r="P38" s="1" t="str">
        <f t="shared" si="4"/>
        <v>2026-01</v>
      </c>
    </row>
    <row r="39" spans="1:26" ht="18.95" customHeight="1">
      <c r="A39" s="7" t="s">
        <v>191</v>
      </c>
      <c r="B39" s="7" t="s">
        <v>192</v>
      </c>
      <c r="C39" s="7" t="s">
        <v>193</v>
      </c>
      <c r="D39" s="7" t="s">
        <v>103</v>
      </c>
      <c r="E39" s="7" t="s">
        <v>48</v>
      </c>
      <c r="F39" s="7" t="s">
        <v>98</v>
      </c>
      <c r="G39" s="7" t="s">
        <v>194</v>
      </c>
      <c r="I39" s="1">
        <f t="shared" si="0"/>
        <v>1</v>
      </c>
      <c r="J39" s="1" t="str">
        <f>'Source build'!A39</f>
        <v>L00033</v>
      </c>
      <c r="K39" s="1">
        <f>39</f>
        <v>39</v>
      </c>
      <c r="L39" s="10">
        <f t="shared" si="1"/>
        <v>8415</v>
      </c>
      <c r="M39" s="1">
        <f t="shared" si="2"/>
        <v>1</v>
      </c>
      <c r="N39" s="1">
        <f t="shared" si="3"/>
        <v>1</v>
      </c>
      <c r="O39" s="1" t="str">
        <f>IF(I39=0,"UNUSED",IF(A39="","MISSING ID",IF(K39=0,"UNEXPECTED ID",IF(N39&lt;&gt;1,"ID / ORDER DIFFERENCE",IF('Source build'!U39&lt;&gt;"INCLUDED","EXCLUDED SOURCE",IF(NOT(M39),"INVALID AMOUNT",IF('Source build'!Y39&lt;&gt;0,"CHANGED FIELDS","MATCH")))))))</f>
        <v>MATCH</v>
      </c>
      <c r="P39" s="1" t="str">
        <f t="shared" si="4"/>
        <v>2026-01</v>
      </c>
    </row>
    <row r="40" spans="1:26" ht="18.95" customHeight="1">
      <c r="A40" s="7" t="s">
        <v>195</v>
      </c>
      <c r="B40" s="7" t="s">
        <v>192</v>
      </c>
      <c r="C40" s="7" t="s">
        <v>193</v>
      </c>
      <c r="D40" s="7" t="s">
        <v>93</v>
      </c>
      <c r="E40" s="7" t="s">
        <v>46</v>
      </c>
      <c r="F40" s="7" t="s">
        <v>98</v>
      </c>
      <c r="G40" s="7" t="s">
        <v>197</v>
      </c>
      <c r="I40" s="1">
        <f t="shared" si="0"/>
        <v>1</v>
      </c>
      <c r="J40" s="1" t="str">
        <f>'Source build'!A40</f>
        <v>L00034</v>
      </c>
      <c r="K40" s="1">
        <f>40</f>
        <v>40</v>
      </c>
      <c r="L40" s="10">
        <f t="shared" si="1"/>
        <v>3440</v>
      </c>
      <c r="M40" s="1">
        <f t="shared" si="2"/>
        <v>1</v>
      </c>
      <c r="N40" s="1">
        <f t="shared" si="3"/>
        <v>1</v>
      </c>
      <c r="O40" s="1" t="str">
        <f>IF(I40=0,"UNUSED",IF(A40="","MISSING ID",IF(K40=0,"UNEXPECTED ID",IF(N40&lt;&gt;1,"ID / ORDER DIFFERENCE",IF('Source build'!U40&lt;&gt;"INCLUDED","EXCLUDED SOURCE",IF(NOT(M40),"INVALID AMOUNT",IF('Source build'!Y40&lt;&gt;0,"CHANGED FIELDS","MATCH")))))))</f>
        <v>MATCH</v>
      </c>
      <c r="P40" s="1" t="str">
        <f t="shared" si="4"/>
        <v>2026-01</v>
      </c>
    </row>
    <row r="41" spans="1:26" ht="18.95" customHeight="1">
      <c r="A41" s="7" t="s">
        <v>198</v>
      </c>
      <c r="B41" s="7" t="s">
        <v>199</v>
      </c>
      <c r="C41" s="7" t="s">
        <v>200</v>
      </c>
      <c r="D41" s="7" t="s">
        <v>97</v>
      </c>
      <c r="E41" s="7" t="s">
        <v>47</v>
      </c>
      <c r="F41" s="7" t="s">
        <v>98</v>
      </c>
      <c r="G41" s="7" t="s">
        <v>201</v>
      </c>
      <c r="I41" s="1">
        <f t="shared" si="0"/>
        <v>1</v>
      </c>
      <c r="J41" s="1" t="str">
        <f>'Source build'!A41</f>
        <v>L00035</v>
      </c>
      <c r="K41" s="1">
        <f>41</f>
        <v>41</v>
      </c>
      <c r="L41" s="10">
        <f t="shared" si="1"/>
        <v>7028</v>
      </c>
      <c r="M41" s="1">
        <f t="shared" si="2"/>
        <v>1</v>
      </c>
      <c r="N41" s="1">
        <f t="shared" si="3"/>
        <v>1</v>
      </c>
      <c r="O41" s="1" t="str">
        <f>IF(I41=0,"UNUSED",IF(A41="","MISSING ID",IF(K41=0,"UNEXPECTED ID",IF(N41&lt;&gt;1,"ID / ORDER DIFFERENCE",IF('Source build'!U41&lt;&gt;"INCLUDED","EXCLUDED SOURCE",IF(NOT(M41),"INVALID AMOUNT",IF('Source build'!Y41&lt;&gt;0,"CHANGED FIELDS","MATCH")))))))</f>
        <v>MATCH</v>
      </c>
      <c r="P41" s="1" t="str">
        <f t="shared" si="4"/>
        <v>2026-01</v>
      </c>
    </row>
    <row r="42" spans="1:26" ht="18.95" customHeight="1">
      <c r="A42" s="7" t="s">
        <v>202</v>
      </c>
      <c r="B42" s="7" t="s">
        <v>199</v>
      </c>
      <c r="C42" s="7" t="s">
        <v>200</v>
      </c>
      <c r="D42" s="7" t="s">
        <v>103</v>
      </c>
      <c r="E42" s="7" t="s">
        <v>48</v>
      </c>
      <c r="F42" s="7" t="s">
        <v>98</v>
      </c>
      <c r="G42" s="7" t="s">
        <v>203</v>
      </c>
      <c r="I42" s="1">
        <f t="shared" si="0"/>
        <v>1</v>
      </c>
      <c r="J42" s="1" t="str">
        <f>'Source build'!A42</f>
        <v>L00036</v>
      </c>
      <c r="K42" s="1">
        <f>42</f>
        <v>42</v>
      </c>
      <c r="L42" s="10">
        <f t="shared" si="1"/>
        <v>1794</v>
      </c>
      <c r="M42" s="1">
        <f t="shared" si="2"/>
        <v>1</v>
      </c>
      <c r="N42" s="1">
        <f t="shared" si="3"/>
        <v>1</v>
      </c>
      <c r="O42" s="1" t="str">
        <f>IF(I42=0,"UNUSED",IF(A42="","MISSING ID",IF(K42=0,"UNEXPECTED ID",IF(N42&lt;&gt;1,"ID / ORDER DIFFERENCE",IF('Source build'!U42&lt;&gt;"INCLUDED","EXCLUDED SOURCE",IF(NOT(M42),"INVALID AMOUNT",IF('Source build'!Y42&lt;&gt;0,"CHANGED FIELDS","MATCH")))))))</f>
        <v>MATCH</v>
      </c>
      <c r="P42" s="1" t="str">
        <f t="shared" si="4"/>
        <v>2026-01</v>
      </c>
    </row>
    <row r="43" spans="1:26" ht="18.95" customHeight="1">
      <c r="A43" s="7" t="s">
        <v>204</v>
      </c>
      <c r="B43" s="7" t="s">
        <v>205</v>
      </c>
      <c r="C43" s="7" t="s">
        <v>206</v>
      </c>
      <c r="D43" s="7" t="s">
        <v>93</v>
      </c>
      <c r="E43" s="7" t="s">
        <v>46</v>
      </c>
      <c r="F43" s="7" t="s">
        <v>98</v>
      </c>
      <c r="G43" s="7" t="s">
        <v>207</v>
      </c>
      <c r="I43" s="1">
        <f t="shared" si="0"/>
        <v>1</v>
      </c>
      <c r="J43" s="1" t="str">
        <f>'Source build'!A43</f>
        <v>L00037</v>
      </c>
      <c r="K43" s="1">
        <f>43</f>
        <v>43</v>
      </c>
      <c r="L43" s="10">
        <f t="shared" si="1"/>
        <v>5493</v>
      </c>
      <c r="M43" s="1">
        <f t="shared" si="2"/>
        <v>1</v>
      </c>
      <c r="N43" s="1">
        <f t="shared" si="3"/>
        <v>1</v>
      </c>
      <c r="O43" s="1" t="str">
        <f>IF(I43=0,"UNUSED",IF(A43="","MISSING ID",IF(K43=0,"UNEXPECTED ID",IF(N43&lt;&gt;1,"ID / ORDER DIFFERENCE",IF('Source build'!U43&lt;&gt;"INCLUDED","EXCLUDED SOURCE",IF(NOT(M43),"INVALID AMOUNT",IF('Source build'!Y43&lt;&gt;0,"CHANGED FIELDS","MATCH")))))))</f>
        <v>MATCH</v>
      </c>
      <c r="P43" s="1" t="str">
        <f t="shared" si="4"/>
        <v>2026-02</v>
      </c>
    </row>
    <row r="44" spans="1:26" ht="18.95" customHeight="1">
      <c r="A44" s="7" t="s">
        <v>208</v>
      </c>
      <c r="B44" s="7" t="s">
        <v>205</v>
      </c>
      <c r="C44" s="7" t="s">
        <v>206</v>
      </c>
      <c r="D44" s="7" t="s">
        <v>97</v>
      </c>
      <c r="E44" s="7" t="s">
        <v>47</v>
      </c>
      <c r="F44" s="7" t="s">
        <v>98</v>
      </c>
      <c r="G44" s="7" t="s">
        <v>209</v>
      </c>
      <c r="I44" s="1">
        <f t="shared" si="0"/>
        <v>1</v>
      </c>
      <c r="J44" s="1" t="str">
        <f>'Source build'!A44</f>
        <v>L00038</v>
      </c>
      <c r="K44" s="1">
        <f>44</f>
        <v>44</v>
      </c>
      <c r="L44" s="10">
        <f t="shared" si="1"/>
        <v>9340</v>
      </c>
      <c r="M44" s="1">
        <f t="shared" si="2"/>
        <v>1</v>
      </c>
      <c r="N44" s="1">
        <f t="shared" si="3"/>
        <v>1</v>
      </c>
      <c r="O44" s="1" t="str">
        <f>IF(I44=0,"UNUSED",IF(A44="","MISSING ID",IF(K44=0,"UNEXPECTED ID",IF(N44&lt;&gt;1,"ID / ORDER DIFFERENCE",IF('Source build'!U44&lt;&gt;"INCLUDED","EXCLUDED SOURCE",IF(NOT(M44),"INVALID AMOUNT",IF('Source build'!Y44&lt;&gt;0,"CHANGED FIELDS","MATCH")))))))</f>
        <v>MATCH</v>
      </c>
      <c r="P44" s="1" t="str">
        <f t="shared" si="4"/>
        <v>2026-02</v>
      </c>
    </row>
    <row r="45" spans="1:26" ht="18.95" customHeight="1">
      <c r="A45" s="7" t="s">
        <v>210</v>
      </c>
      <c r="B45" s="7" t="s">
        <v>211</v>
      </c>
      <c r="C45" s="7" t="s">
        <v>212</v>
      </c>
      <c r="D45" s="7" t="s">
        <v>103</v>
      </c>
      <c r="E45" s="7" t="s">
        <v>48</v>
      </c>
      <c r="F45" s="7" t="s">
        <v>98</v>
      </c>
      <c r="G45" s="7" t="s">
        <v>213</v>
      </c>
      <c r="I45" s="1">
        <f t="shared" si="0"/>
        <v>1</v>
      </c>
      <c r="J45" s="1" t="str">
        <f>'Source build'!A45</f>
        <v>L00039</v>
      </c>
      <c r="K45" s="1">
        <f>45</f>
        <v>45</v>
      </c>
      <c r="L45" s="10">
        <f t="shared" si="1"/>
        <v>3810</v>
      </c>
      <c r="M45" s="1">
        <f t="shared" si="2"/>
        <v>1</v>
      </c>
      <c r="N45" s="1">
        <f t="shared" si="3"/>
        <v>1</v>
      </c>
      <c r="O45" s="1" t="str">
        <f>IF(I45=0,"UNUSED",IF(A45="","MISSING ID",IF(K45=0,"UNEXPECTED ID",IF(N45&lt;&gt;1,"ID / ORDER DIFFERENCE",IF('Source build'!U45&lt;&gt;"INCLUDED","EXCLUDED SOURCE",IF(NOT(M45),"INVALID AMOUNT",IF('Source build'!Y45&lt;&gt;0,"CHANGED FIELDS","MATCH")))))))</f>
        <v>MATCH</v>
      </c>
      <c r="P45" s="1" t="str">
        <f t="shared" si="4"/>
        <v>2026-02</v>
      </c>
    </row>
    <row r="46" spans="1:26" ht="18.95" customHeight="1">
      <c r="A46" s="7" t="s">
        <v>214</v>
      </c>
      <c r="B46" s="7" t="s">
        <v>211</v>
      </c>
      <c r="C46" s="7" t="s">
        <v>212</v>
      </c>
      <c r="D46" s="7" t="s">
        <v>93</v>
      </c>
      <c r="E46" s="7" t="s">
        <v>46</v>
      </c>
      <c r="F46" s="7" t="s">
        <v>98</v>
      </c>
      <c r="G46" s="7" t="s">
        <v>215</v>
      </c>
      <c r="I46" s="1">
        <f t="shared" si="0"/>
        <v>1</v>
      </c>
      <c r="J46" s="1" t="str">
        <f>'Source build'!A46</f>
        <v>L00040</v>
      </c>
      <c r="K46" s="1">
        <f>46</f>
        <v>46</v>
      </c>
      <c r="L46" s="10">
        <f t="shared" si="1"/>
        <v>7768</v>
      </c>
      <c r="M46" s="1">
        <f t="shared" si="2"/>
        <v>1</v>
      </c>
      <c r="N46" s="1">
        <f t="shared" si="3"/>
        <v>1</v>
      </c>
      <c r="O46" s="1" t="str">
        <f>IF(I46=0,"UNUSED",IF(A46="","MISSING ID",IF(K46=0,"UNEXPECTED ID",IF(N46&lt;&gt;1,"ID / ORDER DIFFERENCE",IF('Source build'!U46&lt;&gt;"INCLUDED","EXCLUDED SOURCE",IF(NOT(M46),"INVALID AMOUNT",IF('Source build'!Y46&lt;&gt;0,"CHANGED FIELDS","MATCH")))))))</f>
        <v>MATCH</v>
      </c>
      <c r="P46" s="1" t="str">
        <f t="shared" si="4"/>
        <v>2026-02</v>
      </c>
    </row>
    <row r="47" spans="1:26" ht="18.95" customHeight="1">
      <c r="A47" s="7" t="s">
        <v>216</v>
      </c>
      <c r="B47" s="7" t="s">
        <v>217</v>
      </c>
      <c r="C47" s="7" t="s">
        <v>218</v>
      </c>
      <c r="D47" s="7" t="s">
        <v>97</v>
      </c>
      <c r="E47" s="7" t="s">
        <v>47</v>
      </c>
      <c r="F47" s="7" t="s">
        <v>98</v>
      </c>
      <c r="G47" s="7" t="s">
        <v>219</v>
      </c>
      <c r="I47" s="1">
        <f t="shared" si="0"/>
        <v>1</v>
      </c>
      <c r="J47" s="1" t="str">
        <f>'Source build'!A47</f>
        <v>L00041</v>
      </c>
      <c r="K47" s="1">
        <f>47</f>
        <v>47</v>
      </c>
      <c r="L47" s="10">
        <f t="shared" si="1"/>
        <v>1979</v>
      </c>
      <c r="M47" s="1">
        <f t="shared" si="2"/>
        <v>1</v>
      </c>
      <c r="N47" s="1">
        <f t="shared" si="3"/>
        <v>1</v>
      </c>
      <c r="O47" s="1" t="str">
        <f>IF(I47=0,"UNUSED",IF(A47="","MISSING ID",IF(K47=0,"UNEXPECTED ID",IF(N47&lt;&gt;1,"ID / ORDER DIFFERENCE",IF('Source build'!U47&lt;&gt;"INCLUDED","EXCLUDED SOURCE",IF(NOT(M47),"INVALID AMOUNT",IF('Source build'!Y47&lt;&gt;0,"CHANGED FIELDS","MATCH")))))))</f>
        <v>MATCH</v>
      </c>
      <c r="P47" s="1" t="str">
        <f t="shared" si="4"/>
        <v>2026-02</v>
      </c>
    </row>
    <row r="48" spans="1:26" ht="18.95" customHeight="1">
      <c r="A48" s="7" t="s">
        <v>220</v>
      </c>
      <c r="B48" s="7" t="s">
        <v>217</v>
      </c>
      <c r="C48" s="7" t="s">
        <v>218</v>
      </c>
      <c r="D48" s="7" t="s">
        <v>103</v>
      </c>
      <c r="E48" s="7" t="s">
        <v>48</v>
      </c>
      <c r="F48" s="7" t="s">
        <v>98</v>
      </c>
      <c r="G48" s="7" t="s">
        <v>221</v>
      </c>
      <c r="I48" s="1">
        <f t="shared" si="0"/>
        <v>1</v>
      </c>
      <c r="J48" s="1" t="str">
        <f>'Source build'!A48</f>
        <v>L00042</v>
      </c>
      <c r="K48" s="1">
        <f>48</f>
        <v>48</v>
      </c>
      <c r="L48" s="10">
        <f t="shared" si="1"/>
        <v>6048</v>
      </c>
      <c r="M48" s="1">
        <f t="shared" si="2"/>
        <v>1</v>
      </c>
      <c r="N48" s="1">
        <f t="shared" si="3"/>
        <v>1</v>
      </c>
      <c r="O48" s="1" t="str">
        <f>IF(I48=0,"UNUSED",IF(A48="","MISSING ID",IF(K48=0,"UNEXPECTED ID",IF(N48&lt;&gt;1,"ID / ORDER DIFFERENCE",IF('Source build'!U48&lt;&gt;"INCLUDED","EXCLUDED SOURCE",IF(NOT(M48),"INVALID AMOUNT",IF('Source build'!Y48&lt;&gt;0,"CHANGED FIELDS","MATCH")))))))</f>
        <v>MATCH</v>
      </c>
      <c r="P48" s="1" t="str">
        <f t="shared" si="4"/>
        <v>2026-02</v>
      </c>
    </row>
    <row r="49" spans="1:16" ht="18.95" customHeight="1">
      <c r="A49" s="7" t="s">
        <v>222</v>
      </c>
      <c r="B49" s="7" t="s">
        <v>223</v>
      </c>
      <c r="C49" s="7" t="s">
        <v>224</v>
      </c>
      <c r="D49" s="7" t="s">
        <v>93</v>
      </c>
      <c r="E49" s="7" t="s">
        <v>46</v>
      </c>
      <c r="F49" s="7" t="s">
        <v>98</v>
      </c>
      <c r="G49" s="7" t="s">
        <v>225</v>
      </c>
      <c r="I49" s="1">
        <f t="shared" si="0"/>
        <v>1</v>
      </c>
      <c r="J49" s="1" t="str">
        <f>'Source build'!A49</f>
        <v>L00043</v>
      </c>
      <c r="K49" s="1">
        <f>49</f>
        <v>49</v>
      </c>
      <c r="L49" s="10">
        <f t="shared" si="1"/>
        <v>10265</v>
      </c>
      <c r="M49" s="1">
        <f t="shared" si="2"/>
        <v>1</v>
      </c>
      <c r="N49" s="1">
        <f t="shared" si="3"/>
        <v>1</v>
      </c>
      <c r="O49" s="1" t="str">
        <f>IF(I49=0,"UNUSED",IF(A49="","MISSING ID",IF(K49=0,"UNEXPECTED ID",IF(N49&lt;&gt;1,"ID / ORDER DIFFERENCE",IF('Source build'!U49&lt;&gt;"INCLUDED","EXCLUDED SOURCE",IF(NOT(M49),"INVALID AMOUNT",IF('Source build'!Y49&lt;&gt;0,"CHANGED FIELDS","MATCH")))))))</f>
        <v>MATCH</v>
      </c>
      <c r="P49" s="1" t="str">
        <f t="shared" si="4"/>
        <v>2026-02</v>
      </c>
    </row>
    <row r="50" spans="1:16" ht="18.95" customHeight="1">
      <c r="A50" s="7" t="s">
        <v>226</v>
      </c>
      <c r="B50" s="7" t="s">
        <v>223</v>
      </c>
      <c r="C50" s="7" t="s">
        <v>224</v>
      </c>
      <c r="D50" s="7" t="s">
        <v>97</v>
      </c>
      <c r="E50" s="7" t="s">
        <v>47</v>
      </c>
      <c r="F50" s="7" t="s">
        <v>98</v>
      </c>
      <c r="G50" s="7" t="s">
        <v>227</v>
      </c>
      <c r="I50" s="1">
        <f t="shared" si="0"/>
        <v>1</v>
      </c>
      <c r="J50" s="1" t="str">
        <f>'Source build'!A50</f>
        <v>L00044</v>
      </c>
      <c r="K50" s="1">
        <f>50</f>
        <v>50</v>
      </c>
      <c r="L50" s="10">
        <f t="shared" si="1"/>
        <v>4180</v>
      </c>
      <c r="M50" s="1">
        <f t="shared" si="2"/>
        <v>1</v>
      </c>
      <c r="N50" s="1">
        <f t="shared" si="3"/>
        <v>1</v>
      </c>
      <c r="O50" s="1" t="str">
        <f>IF(I50=0,"UNUSED",IF(A50="","MISSING ID",IF(K50=0,"UNEXPECTED ID",IF(N50&lt;&gt;1,"ID / ORDER DIFFERENCE",IF('Source build'!U50&lt;&gt;"INCLUDED","EXCLUDED SOURCE",IF(NOT(M50),"INVALID AMOUNT",IF('Source build'!Y50&lt;&gt;0,"CHANGED FIELDS","MATCH")))))))</f>
        <v>MATCH</v>
      </c>
      <c r="P50" s="1" t="str">
        <f t="shared" si="4"/>
        <v>2026-02</v>
      </c>
    </row>
    <row r="51" spans="1:16" ht="18.95" customHeight="1">
      <c r="A51" s="7" t="s">
        <v>228</v>
      </c>
      <c r="B51" s="7" t="s">
        <v>229</v>
      </c>
      <c r="C51" s="7" t="s">
        <v>230</v>
      </c>
      <c r="D51" s="7" t="s">
        <v>103</v>
      </c>
      <c r="E51" s="7" t="s">
        <v>48</v>
      </c>
      <c r="F51" s="7" t="s">
        <v>98</v>
      </c>
      <c r="G51" s="7" t="s">
        <v>231</v>
      </c>
      <c r="I51" s="1">
        <f t="shared" si="0"/>
        <v>1</v>
      </c>
      <c r="J51" s="1" t="str">
        <f>'Source build'!A51</f>
        <v>L00045</v>
      </c>
      <c r="K51" s="1">
        <f>51</f>
        <v>51</v>
      </c>
      <c r="L51" s="10">
        <f t="shared" si="1"/>
        <v>8508</v>
      </c>
      <c r="M51" s="1">
        <f t="shared" si="2"/>
        <v>1</v>
      </c>
      <c r="N51" s="1">
        <f t="shared" si="3"/>
        <v>1</v>
      </c>
      <c r="O51" s="1" t="str">
        <f>IF(I51=0,"UNUSED",IF(A51="","MISSING ID",IF(K51=0,"UNEXPECTED ID",IF(N51&lt;&gt;1,"ID / ORDER DIFFERENCE",IF('Source build'!U51&lt;&gt;"INCLUDED","EXCLUDED SOURCE",IF(NOT(M51),"INVALID AMOUNT",IF('Source build'!Y51&lt;&gt;0,"CHANGED FIELDS","MATCH")))))))</f>
        <v>MATCH</v>
      </c>
      <c r="P51" s="1" t="str">
        <f t="shared" si="4"/>
        <v>2026-03</v>
      </c>
    </row>
    <row r="52" spans="1:16" ht="18.95" customHeight="1">
      <c r="A52" s="7" t="s">
        <v>232</v>
      </c>
      <c r="B52" s="7" t="s">
        <v>229</v>
      </c>
      <c r="C52" s="7" t="s">
        <v>230</v>
      </c>
      <c r="D52" s="7" t="s">
        <v>93</v>
      </c>
      <c r="E52" s="7" t="s">
        <v>46</v>
      </c>
      <c r="F52" s="7" t="s">
        <v>98</v>
      </c>
      <c r="G52" s="7" t="s">
        <v>233</v>
      </c>
      <c r="I52" s="1">
        <f t="shared" si="0"/>
        <v>1</v>
      </c>
      <c r="J52" s="1" t="str">
        <f>'Source build'!A52</f>
        <v>L00046</v>
      </c>
      <c r="K52" s="1">
        <f>52</f>
        <v>52</v>
      </c>
      <c r="L52" s="10">
        <f t="shared" si="1"/>
        <v>2164</v>
      </c>
      <c r="M52" s="1">
        <f t="shared" si="2"/>
        <v>1</v>
      </c>
      <c r="N52" s="1">
        <f t="shared" si="3"/>
        <v>1</v>
      </c>
      <c r="O52" s="1" t="str">
        <f>IF(I52=0,"UNUSED",IF(A52="","MISSING ID",IF(K52=0,"UNEXPECTED ID",IF(N52&lt;&gt;1,"ID / ORDER DIFFERENCE",IF('Source build'!U52&lt;&gt;"INCLUDED","EXCLUDED SOURCE",IF(NOT(M52),"INVALID AMOUNT",IF('Source build'!Y52&lt;&gt;0,"CHANGED FIELDS","MATCH")))))))</f>
        <v>MATCH</v>
      </c>
      <c r="P52" s="1" t="str">
        <f t="shared" si="4"/>
        <v>2026-03</v>
      </c>
    </row>
    <row r="53" spans="1:16" ht="18.95" customHeight="1">
      <c r="A53" s="7" t="s">
        <v>234</v>
      </c>
      <c r="B53" s="7" t="s">
        <v>235</v>
      </c>
      <c r="C53" s="7" t="s">
        <v>236</v>
      </c>
      <c r="D53" s="7" t="s">
        <v>97</v>
      </c>
      <c r="E53" s="7" t="s">
        <v>47</v>
      </c>
      <c r="F53" s="7" t="s">
        <v>94</v>
      </c>
      <c r="G53" s="7" t="s">
        <v>237</v>
      </c>
      <c r="I53" s="1">
        <f t="shared" si="0"/>
        <v>1</v>
      </c>
      <c r="J53" s="1" t="str">
        <f>'Source build'!A53</f>
        <v>L00047</v>
      </c>
      <c r="K53" s="1">
        <f>53</f>
        <v>53</v>
      </c>
      <c r="L53" s="10">
        <f t="shared" si="1"/>
        <v>-6603</v>
      </c>
      <c r="M53" s="1">
        <f t="shared" si="2"/>
        <v>1</v>
      </c>
      <c r="N53" s="1">
        <f t="shared" si="3"/>
        <v>1</v>
      </c>
      <c r="O53" s="1" t="str">
        <f>IF(I53=0,"UNUSED",IF(A53="","MISSING ID",IF(K53=0,"UNEXPECTED ID",IF(N53&lt;&gt;1,"ID / ORDER DIFFERENCE",IF('Source build'!U53&lt;&gt;"INCLUDED","EXCLUDED SOURCE",IF(NOT(M53),"INVALID AMOUNT",IF('Source build'!Y53&lt;&gt;0,"CHANGED FIELDS","MATCH")))))))</f>
        <v>MATCH</v>
      </c>
      <c r="P53" s="1" t="str">
        <f t="shared" si="4"/>
        <v>2026-03</v>
      </c>
    </row>
    <row r="54" spans="1:16" ht="18.95" customHeight="1">
      <c r="A54" s="7" t="s">
        <v>238</v>
      </c>
      <c r="B54" s="7" t="s">
        <v>235</v>
      </c>
      <c r="C54" s="7" t="s">
        <v>236</v>
      </c>
      <c r="D54" s="7" t="s">
        <v>103</v>
      </c>
      <c r="E54" s="7" t="s">
        <v>48</v>
      </c>
      <c r="F54" s="7" t="s">
        <v>98</v>
      </c>
      <c r="G54" s="7" t="s">
        <v>239</v>
      </c>
      <c r="I54" s="1">
        <f t="shared" si="0"/>
        <v>1</v>
      </c>
      <c r="J54" s="1" t="str">
        <f>'Source build'!A54</f>
        <v>L00048</v>
      </c>
      <c r="K54" s="1">
        <f>54</f>
        <v>54</v>
      </c>
      <c r="L54" s="10">
        <f t="shared" si="1"/>
        <v>11190</v>
      </c>
      <c r="M54" s="1">
        <f t="shared" si="2"/>
        <v>1</v>
      </c>
      <c r="N54" s="1">
        <f t="shared" si="3"/>
        <v>1</v>
      </c>
      <c r="O54" s="1" t="str">
        <f>IF(I54=0,"UNUSED",IF(A54="","MISSING ID",IF(K54=0,"UNEXPECTED ID",IF(N54&lt;&gt;1,"ID / ORDER DIFFERENCE",IF('Source build'!U54&lt;&gt;"INCLUDED","EXCLUDED SOURCE",IF(NOT(M54),"INVALID AMOUNT",IF('Source build'!Y54&lt;&gt;0,"CHANGED FIELDS","MATCH")))))))</f>
        <v>MATCH</v>
      </c>
      <c r="P54" s="1" t="str">
        <f t="shared" si="4"/>
        <v>2026-03</v>
      </c>
    </row>
    <row r="55" spans="1:16" ht="18.95" customHeight="1">
      <c r="A55" s="7" t="s">
        <v>240</v>
      </c>
      <c r="B55" s="7" t="s">
        <v>241</v>
      </c>
      <c r="C55" s="7" t="s">
        <v>242</v>
      </c>
      <c r="D55" s="7" t="s">
        <v>93</v>
      </c>
      <c r="E55" s="7" t="s">
        <v>46</v>
      </c>
      <c r="F55" s="7" t="s">
        <v>98</v>
      </c>
      <c r="G55" s="7" t="s">
        <v>243</v>
      </c>
      <c r="I55" s="1">
        <f t="shared" si="0"/>
        <v>1</v>
      </c>
      <c r="J55" s="1" t="str">
        <f>'Source build'!A55</f>
        <v>L00049</v>
      </c>
      <c r="K55" s="1">
        <f>55</f>
        <v>55</v>
      </c>
      <c r="L55" s="10">
        <f t="shared" si="1"/>
        <v>4550</v>
      </c>
      <c r="M55" s="1">
        <f t="shared" si="2"/>
        <v>1</v>
      </c>
      <c r="N55" s="1">
        <f t="shared" si="3"/>
        <v>1</v>
      </c>
      <c r="O55" s="1" t="str">
        <f>IF(I55=0,"UNUSED",IF(A55="","MISSING ID",IF(K55=0,"UNEXPECTED ID",IF(N55&lt;&gt;1,"ID / ORDER DIFFERENCE",IF('Source build'!U55&lt;&gt;"INCLUDED","EXCLUDED SOURCE",IF(NOT(M55),"INVALID AMOUNT",IF('Source build'!Y55&lt;&gt;0,"CHANGED FIELDS","MATCH")))))))</f>
        <v>MATCH</v>
      </c>
      <c r="P55" s="1" t="str">
        <f t="shared" si="4"/>
        <v>2026-03</v>
      </c>
    </row>
    <row r="56" spans="1:16" ht="18.95" customHeight="1">
      <c r="A56" s="7" t="s">
        <v>244</v>
      </c>
      <c r="B56" s="7" t="s">
        <v>241</v>
      </c>
      <c r="C56" s="7" t="s">
        <v>242</v>
      </c>
      <c r="D56" s="7" t="s">
        <v>97</v>
      </c>
      <c r="E56" s="7" t="s">
        <v>47</v>
      </c>
      <c r="F56" s="7" t="s">
        <v>98</v>
      </c>
      <c r="G56" s="7" t="s">
        <v>245</v>
      </c>
      <c r="I56" s="1">
        <f t="shared" si="0"/>
        <v>1</v>
      </c>
      <c r="J56" s="1" t="str">
        <f>'Source build'!A56</f>
        <v>L00050</v>
      </c>
      <c r="K56" s="1">
        <f>56</f>
        <v>56</v>
      </c>
      <c r="L56" s="10">
        <f t="shared" si="1"/>
        <v>9248</v>
      </c>
      <c r="M56" s="1">
        <f t="shared" si="2"/>
        <v>1</v>
      </c>
      <c r="N56" s="1">
        <f t="shared" si="3"/>
        <v>1</v>
      </c>
      <c r="O56" s="1" t="str">
        <f>IF(I56=0,"UNUSED",IF(A56="","MISSING ID",IF(K56=0,"UNEXPECTED ID",IF(N56&lt;&gt;1,"ID / ORDER DIFFERENCE",IF('Source build'!U56&lt;&gt;"INCLUDED","EXCLUDED SOURCE",IF(NOT(M56),"INVALID AMOUNT",IF('Source build'!Y56&lt;&gt;0,"CHANGED FIELDS","MATCH")))))))</f>
        <v>MATCH</v>
      </c>
      <c r="P56" s="1" t="str">
        <f t="shared" si="4"/>
        <v>2026-03</v>
      </c>
    </row>
    <row r="57" spans="1:16" ht="18.95" customHeight="1">
      <c r="A57" s="7" t="s">
        <v>246</v>
      </c>
      <c r="B57" s="7" t="s">
        <v>247</v>
      </c>
      <c r="C57" s="7" t="s">
        <v>248</v>
      </c>
      <c r="D57" s="7" t="s">
        <v>103</v>
      </c>
      <c r="E57" s="7" t="s">
        <v>48</v>
      </c>
      <c r="F57" s="7" t="s">
        <v>98</v>
      </c>
      <c r="G57" s="7" t="s">
        <v>249</v>
      </c>
      <c r="I57" s="1">
        <f t="shared" si="0"/>
        <v>1</v>
      </c>
      <c r="J57" s="1" t="str">
        <f>'Source build'!A57</f>
        <v>L00051</v>
      </c>
      <c r="K57" s="1">
        <f>57</f>
        <v>57</v>
      </c>
      <c r="L57" s="10">
        <f t="shared" si="1"/>
        <v>2349</v>
      </c>
      <c r="M57" s="1">
        <f t="shared" si="2"/>
        <v>1</v>
      </c>
      <c r="N57" s="1">
        <f t="shared" si="3"/>
        <v>1</v>
      </c>
      <c r="O57" s="1" t="str">
        <f>IF(I57=0,"UNUSED",IF(A57="","MISSING ID",IF(K57=0,"UNEXPECTED ID",IF(N57&lt;&gt;1,"ID / ORDER DIFFERENCE",IF('Source build'!U57&lt;&gt;"INCLUDED","EXCLUDED SOURCE",IF(NOT(M57),"INVALID AMOUNT",IF('Source build'!Y57&lt;&gt;0,"CHANGED FIELDS","MATCH")))))))</f>
        <v>MATCH</v>
      </c>
      <c r="P57" s="1" t="str">
        <f t="shared" si="4"/>
        <v>2026-03</v>
      </c>
    </row>
    <row r="58" spans="1:16" ht="18.95" customHeight="1">
      <c r="A58" s="7" t="s">
        <v>250</v>
      </c>
      <c r="B58" s="7" t="s">
        <v>247</v>
      </c>
      <c r="C58" s="7" t="s">
        <v>248</v>
      </c>
      <c r="D58" s="7" t="s">
        <v>93</v>
      </c>
      <c r="E58" s="7" t="s">
        <v>46</v>
      </c>
      <c r="F58" s="7" t="s">
        <v>98</v>
      </c>
      <c r="G58" s="7" t="s">
        <v>251</v>
      </c>
      <c r="I58" s="1">
        <f t="shared" si="0"/>
        <v>1</v>
      </c>
      <c r="J58" s="1" t="str">
        <f>'Source build'!A58</f>
        <v>L00052</v>
      </c>
      <c r="K58" s="1">
        <f>58</f>
        <v>58</v>
      </c>
      <c r="L58" s="10">
        <f t="shared" si="1"/>
        <v>7158</v>
      </c>
      <c r="M58" s="1">
        <f t="shared" si="2"/>
        <v>1</v>
      </c>
      <c r="N58" s="1">
        <f t="shared" si="3"/>
        <v>1</v>
      </c>
      <c r="O58" s="1" t="str">
        <f>IF(I58=0,"UNUSED",IF(A58="","MISSING ID",IF(K58=0,"UNEXPECTED ID",IF(N58&lt;&gt;1,"ID / ORDER DIFFERENCE",IF('Source build'!U58&lt;&gt;"INCLUDED","EXCLUDED SOURCE",IF(NOT(M58),"INVALID AMOUNT",IF('Source build'!Y58&lt;&gt;0,"CHANGED FIELDS","MATCH")))))))</f>
        <v>MATCH</v>
      </c>
      <c r="P58" s="1" t="str">
        <f t="shared" si="4"/>
        <v>2026-03</v>
      </c>
    </row>
    <row r="59" spans="1:16" ht="18.95" customHeight="1">
      <c r="A59" s="7" t="s">
        <v>252</v>
      </c>
      <c r="B59" s="7" t="s">
        <v>253</v>
      </c>
      <c r="C59" s="7" t="s">
        <v>254</v>
      </c>
      <c r="D59" s="7" t="s">
        <v>97</v>
      </c>
      <c r="E59" s="7" t="s">
        <v>47</v>
      </c>
      <c r="F59" s="7" t="s">
        <v>98</v>
      </c>
      <c r="G59" s="7" t="s">
        <v>255</v>
      </c>
      <c r="I59" s="1">
        <f t="shared" si="0"/>
        <v>1</v>
      </c>
      <c r="J59" s="1" t="str">
        <f>'Source build'!A59</f>
        <v>L00053</v>
      </c>
      <c r="K59" s="1">
        <f>59</f>
        <v>59</v>
      </c>
      <c r="L59" s="10">
        <f t="shared" si="1"/>
        <v>12115</v>
      </c>
      <c r="M59" s="1">
        <f t="shared" si="2"/>
        <v>1</v>
      </c>
      <c r="N59" s="1">
        <f t="shared" si="3"/>
        <v>1</v>
      </c>
      <c r="O59" s="1" t="str">
        <f>IF(I59=0,"UNUSED",IF(A59="","MISSING ID",IF(K59=0,"UNEXPECTED ID",IF(N59&lt;&gt;1,"ID / ORDER DIFFERENCE",IF('Source build'!U59&lt;&gt;"INCLUDED","EXCLUDED SOURCE",IF(NOT(M59),"INVALID AMOUNT",IF('Source build'!Y59&lt;&gt;0,"CHANGED FIELDS","MATCH")))))))</f>
        <v>MATCH</v>
      </c>
      <c r="P59" s="1" t="str">
        <f t="shared" si="4"/>
        <v>2026-01</v>
      </c>
    </row>
    <row r="60" spans="1:16" ht="18.95" customHeight="1">
      <c r="A60" s="7" t="s">
        <v>256</v>
      </c>
      <c r="B60" s="7" t="s">
        <v>253</v>
      </c>
      <c r="C60" s="7" t="s">
        <v>254</v>
      </c>
      <c r="D60" s="7" t="s">
        <v>103</v>
      </c>
      <c r="E60" s="7" t="s">
        <v>48</v>
      </c>
      <c r="F60" s="7" t="s">
        <v>98</v>
      </c>
      <c r="G60" s="7" t="s">
        <v>257</v>
      </c>
      <c r="I60" s="1">
        <f t="shared" si="0"/>
        <v>1</v>
      </c>
      <c r="J60" s="1" t="str">
        <f>'Source build'!A60</f>
        <v>L00054</v>
      </c>
      <c r="K60" s="1">
        <f>60</f>
        <v>60</v>
      </c>
      <c r="L60" s="10">
        <f t="shared" si="1"/>
        <v>4920</v>
      </c>
      <c r="M60" s="1">
        <f t="shared" si="2"/>
        <v>1</v>
      </c>
      <c r="N60" s="1">
        <f t="shared" si="3"/>
        <v>1</v>
      </c>
      <c r="O60" s="1" t="str">
        <f>IF(I60=0,"UNUSED",IF(A60="","MISSING ID",IF(K60=0,"UNEXPECTED ID",IF(N60&lt;&gt;1,"ID / ORDER DIFFERENCE",IF('Source build'!U60&lt;&gt;"INCLUDED","EXCLUDED SOURCE",IF(NOT(M60),"INVALID AMOUNT",IF('Source build'!Y60&lt;&gt;0,"CHANGED FIELDS","MATCH")))))))</f>
        <v>MATCH</v>
      </c>
      <c r="P60" s="1" t="str">
        <f t="shared" si="4"/>
        <v>2026-01</v>
      </c>
    </row>
    <row r="61" spans="1:16" ht="18.95" customHeight="1">
      <c r="A61" s="7" t="s">
        <v>258</v>
      </c>
      <c r="B61" s="7" t="s">
        <v>259</v>
      </c>
      <c r="C61" s="7" t="s">
        <v>260</v>
      </c>
      <c r="D61" s="7" t="s">
        <v>93</v>
      </c>
      <c r="E61" s="7" t="s">
        <v>46</v>
      </c>
      <c r="F61" s="7" t="s">
        <v>98</v>
      </c>
      <c r="G61" s="7" t="s">
        <v>261</v>
      </c>
      <c r="I61" s="1">
        <f t="shared" si="0"/>
        <v>1</v>
      </c>
      <c r="J61" s="1" t="str">
        <f>'Source build'!A61</f>
        <v>L00055</v>
      </c>
      <c r="K61" s="1">
        <f>61</f>
        <v>61</v>
      </c>
      <c r="L61" s="10">
        <f t="shared" si="1"/>
        <v>9988</v>
      </c>
      <c r="M61" s="1">
        <f t="shared" si="2"/>
        <v>1</v>
      </c>
      <c r="N61" s="1">
        <f t="shared" si="3"/>
        <v>1</v>
      </c>
      <c r="O61" s="1" t="str">
        <f>IF(I61=0,"UNUSED",IF(A61="","MISSING ID",IF(K61=0,"UNEXPECTED ID",IF(N61&lt;&gt;1,"ID / ORDER DIFFERENCE",IF('Source build'!U61&lt;&gt;"INCLUDED","EXCLUDED SOURCE",IF(NOT(M61),"INVALID AMOUNT",IF('Source build'!Y61&lt;&gt;0,"CHANGED FIELDS","MATCH")))))))</f>
        <v>MATCH</v>
      </c>
      <c r="P61" s="1" t="str">
        <f t="shared" si="4"/>
        <v>2026-01</v>
      </c>
    </row>
    <row r="62" spans="1:16" ht="18.95" customHeight="1">
      <c r="A62" s="7" t="s">
        <v>262</v>
      </c>
      <c r="B62" s="7" t="s">
        <v>259</v>
      </c>
      <c r="C62" s="7" t="s">
        <v>260</v>
      </c>
      <c r="D62" s="7" t="s">
        <v>97</v>
      </c>
      <c r="E62" s="7" t="s">
        <v>47</v>
      </c>
      <c r="F62" s="7" t="s">
        <v>98</v>
      </c>
      <c r="G62" s="7" t="s">
        <v>263</v>
      </c>
      <c r="I62" s="1">
        <f t="shared" si="0"/>
        <v>1</v>
      </c>
      <c r="J62" s="1" t="str">
        <f>'Source build'!A62</f>
        <v>L00056</v>
      </c>
      <c r="K62" s="1">
        <f>62</f>
        <v>62</v>
      </c>
      <c r="L62" s="10">
        <f t="shared" si="1"/>
        <v>2534</v>
      </c>
      <c r="M62" s="1">
        <f t="shared" si="2"/>
        <v>1</v>
      </c>
      <c r="N62" s="1">
        <f t="shared" si="3"/>
        <v>1</v>
      </c>
      <c r="O62" s="1" t="str">
        <f>IF(I62=0,"UNUSED",IF(A62="","MISSING ID",IF(K62=0,"UNEXPECTED ID",IF(N62&lt;&gt;1,"ID / ORDER DIFFERENCE",IF('Source build'!U62&lt;&gt;"INCLUDED","EXCLUDED SOURCE",IF(NOT(M62),"INVALID AMOUNT",IF('Source build'!Y62&lt;&gt;0,"CHANGED FIELDS","MATCH")))))))</f>
        <v>MATCH</v>
      </c>
      <c r="P62" s="1" t="str">
        <f t="shared" si="4"/>
        <v>2026-01</v>
      </c>
    </row>
    <row r="63" spans="1:16" ht="18.95" customHeight="1">
      <c r="A63" s="7" t="s">
        <v>264</v>
      </c>
      <c r="B63" s="7" t="s">
        <v>265</v>
      </c>
      <c r="C63" s="7" t="s">
        <v>266</v>
      </c>
      <c r="D63" s="7" t="s">
        <v>103</v>
      </c>
      <c r="E63" s="7" t="s">
        <v>48</v>
      </c>
      <c r="F63" s="7" t="s">
        <v>98</v>
      </c>
      <c r="G63" s="7" t="s">
        <v>267</v>
      </c>
      <c r="I63" s="1">
        <f t="shared" si="0"/>
        <v>1</v>
      </c>
      <c r="J63" s="1" t="str">
        <f>'Source build'!A63</f>
        <v>L00057</v>
      </c>
      <c r="K63" s="1">
        <f>63</f>
        <v>63</v>
      </c>
      <c r="L63" s="10">
        <f t="shared" si="1"/>
        <v>7713</v>
      </c>
      <c r="M63" s="1">
        <f t="shared" si="2"/>
        <v>1</v>
      </c>
      <c r="N63" s="1">
        <f t="shared" si="3"/>
        <v>1</v>
      </c>
      <c r="O63" s="1" t="str">
        <f>IF(I63=0,"UNUSED",IF(A63="","MISSING ID",IF(K63=0,"UNEXPECTED ID",IF(N63&lt;&gt;1,"ID / ORDER DIFFERENCE",IF('Source build'!U63&lt;&gt;"INCLUDED","EXCLUDED SOURCE",IF(NOT(M63),"INVALID AMOUNT",IF('Source build'!Y63&lt;&gt;0,"CHANGED FIELDS","MATCH")))))))</f>
        <v>MATCH</v>
      </c>
      <c r="P63" s="1" t="str">
        <f t="shared" si="4"/>
        <v>2026-01</v>
      </c>
    </row>
    <row r="64" spans="1:16" ht="18.95" customHeight="1">
      <c r="A64" s="7" t="s">
        <v>268</v>
      </c>
      <c r="B64" s="7" t="s">
        <v>265</v>
      </c>
      <c r="C64" s="7" t="s">
        <v>266</v>
      </c>
      <c r="D64" s="7" t="s">
        <v>93</v>
      </c>
      <c r="E64" s="7" t="s">
        <v>46</v>
      </c>
      <c r="F64" s="7" t="s">
        <v>98</v>
      </c>
      <c r="G64" s="7" t="s">
        <v>269</v>
      </c>
      <c r="I64" s="1">
        <f t="shared" si="0"/>
        <v>1</v>
      </c>
      <c r="J64" s="1" t="str">
        <f>'Source build'!A64</f>
        <v>L00058</v>
      </c>
      <c r="K64" s="1">
        <f>64</f>
        <v>64</v>
      </c>
      <c r="L64" s="10">
        <f t="shared" si="1"/>
        <v>13040</v>
      </c>
      <c r="M64" s="1">
        <f t="shared" si="2"/>
        <v>1</v>
      </c>
      <c r="N64" s="1">
        <f t="shared" si="3"/>
        <v>1</v>
      </c>
      <c r="O64" s="1" t="str">
        <f>IF(I64=0,"UNUSED",IF(A64="","MISSING ID",IF(K64=0,"UNEXPECTED ID",IF(N64&lt;&gt;1,"ID / ORDER DIFFERENCE",IF('Source build'!U64&lt;&gt;"INCLUDED","EXCLUDED SOURCE",IF(NOT(M64),"INVALID AMOUNT",IF('Source build'!Y64&lt;&gt;0,"CHANGED FIELDS","MATCH")))))))</f>
        <v>MATCH</v>
      </c>
      <c r="P64" s="1" t="str">
        <f t="shared" si="4"/>
        <v>2026-01</v>
      </c>
    </row>
    <row r="65" spans="1:16" ht="18.95" customHeight="1">
      <c r="A65" s="7" t="s">
        <v>270</v>
      </c>
      <c r="B65" s="7" t="s">
        <v>271</v>
      </c>
      <c r="C65" s="7" t="s">
        <v>272</v>
      </c>
      <c r="D65" s="7" t="s">
        <v>97</v>
      </c>
      <c r="E65" s="7" t="s">
        <v>47</v>
      </c>
      <c r="F65" s="7" t="s">
        <v>98</v>
      </c>
      <c r="G65" s="7" t="s">
        <v>273</v>
      </c>
      <c r="I65" s="1">
        <f t="shared" si="0"/>
        <v>1</v>
      </c>
      <c r="J65" s="1" t="str">
        <f>'Source build'!A65</f>
        <v>L00059</v>
      </c>
      <c r="K65" s="1">
        <f>65</f>
        <v>65</v>
      </c>
      <c r="L65" s="10">
        <f t="shared" si="1"/>
        <v>5290</v>
      </c>
      <c r="M65" s="1">
        <f t="shared" si="2"/>
        <v>1</v>
      </c>
      <c r="N65" s="1">
        <f t="shared" si="3"/>
        <v>1</v>
      </c>
      <c r="O65" s="1" t="str">
        <f>IF(I65=0,"UNUSED",IF(A65="","MISSING ID",IF(K65=0,"UNEXPECTED ID",IF(N65&lt;&gt;1,"ID / ORDER DIFFERENCE",IF('Source build'!U65&lt;&gt;"INCLUDED","EXCLUDED SOURCE",IF(NOT(M65),"INVALID AMOUNT",IF('Source build'!Y65&lt;&gt;0,"CHANGED FIELDS","MATCH")))))))</f>
        <v>MATCH</v>
      </c>
      <c r="P65" s="1" t="str">
        <f t="shared" si="4"/>
        <v>2026-01</v>
      </c>
    </row>
    <row r="66" spans="1:16" ht="18.95" customHeight="1">
      <c r="A66" s="7" t="s">
        <v>274</v>
      </c>
      <c r="B66" s="7" t="s">
        <v>271</v>
      </c>
      <c r="C66" s="7" t="s">
        <v>272</v>
      </c>
      <c r="D66" s="7" t="s">
        <v>103</v>
      </c>
      <c r="E66" s="7" t="s">
        <v>48</v>
      </c>
      <c r="F66" s="7" t="s">
        <v>98</v>
      </c>
      <c r="G66" s="7" t="s">
        <v>275</v>
      </c>
      <c r="I66" s="1">
        <f t="shared" si="0"/>
        <v>1</v>
      </c>
      <c r="J66" s="1" t="str">
        <f>'Source build'!A66</f>
        <v>L00060</v>
      </c>
      <c r="K66" s="1">
        <f>66</f>
        <v>66</v>
      </c>
      <c r="L66" s="10">
        <f t="shared" si="1"/>
        <v>10728</v>
      </c>
      <c r="M66" s="1">
        <f t="shared" si="2"/>
        <v>1</v>
      </c>
      <c r="N66" s="1">
        <f t="shared" si="3"/>
        <v>1</v>
      </c>
      <c r="O66" s="1" t="str">
        <f>IF(I66=0,"UNUSED",IF(A66="","MISSING ID",IF(K66=0,"UNEXPECTED ID",IF(N66&lt;&gt;1,"ID / ORDER DIFFERENCE",IF('Source build'!U66&lt;&gt;"INCLUDED","EXCLUDED SOURCE",IF(NOT(M66),"INVALID AMOUNT",IF('Source build'!Y66&lt;&gt;0,"CHANGED FIELDS","MATCH")))))))</f>
        <v>MATCH</v>
      </c>
      <c r="P66" s="1" t="str">
        <f t="shared" si="4"/>
        <v>2026-01</v>
      </c>
    </row>
    <row r="67" spans="1:16" ht="18.95" customHeight="1">
      <c r="A67" s="7" t="s">
        <v>276</v>
      </c>
      <c r="B67" s="7" t="s">
        <v>277</v>
      </c>
      <c r="C67" s="7" t="s">
        <v>278</v>
      </c>
      <c r="D67" s="7" t="s">
        <v>93</v>
      </c>
      <c r="E67" s="7" t="s">
        <v>46</v>
      </c>
      <c r="F67" s="7" t="s">
        <v>98</v>
      </c>
      <c r="G67" s="7" t="s">
        <v>279</v>
      </c>
      <c r="I67" s="1">
        <f t="shared" si="0"/>
        <v>1</v>
      </c>
      <c r="J67" s="1" t="str">
        <f>'Source build'!A67</f>
        <v>L00061</v>
      </c>
      <c r="K67" s="1">
        <f>67</f>
        <v>67</v>
      </c>
      <c r="L67" s="10">
        <f t="shared" si="1"/>
        <v>2719</v>
      </c>
      <c r="M67" s="1">
        <f t="shared" si="2"/>
        <v>1</v>
      </c>
      <c r="N67" s="1">
        <f t="shared" si="3"/>
        <v>1</v>
      </c>
      <c r="O67" s="1" t="str">
        <f>IF(I67=0,"UNUSED",IF(A67="","MISSING ID",IF(K67=0,"UNEXPECTED ID",IF(N67&lt;&gt;1,"ID / ORDER DIFFERENCE",IF('Source build'!U67&lt;&gt;"INCLUDED","EXCLUDED SOURCE",IF(NOT(M67),"INVALID AMOUNT",IF('Source build'!Y67&lt;&gt;0,"CHANGED FIELDS","MATCH")))))))</f>
        <v>MATCH</v>
      </c>
      <c r="P67" s="1" t="str">
        <f t="shared" si="4"/>
        <v>2026-01</v>
      </c>
    </row>
    <row r="68" spans="1:16" ht="18.95" customHeight="1">
      <c r="A68" s="7" t="s">
        <v>280</v>
      </c>
      <c r="B68" s="7" t="s">
        <v>277</v>
      </c>
      <c r="C68" s="7" t="s">
        <v>278</v>
      </c>
      <c r="D68" s="7" t="s">
        <v>97</v>
      </c>
      <c r="E68" s="7" t="s">
        <v>47</v>
      </c>
      <c r="F68" s="7" t="s">
        <v>98</v>
      </c>
      <c r="G68" s="7" t="s">
        <v>281</v>
      </c>
      <c r="I68" s="1">
        <f t="shared" si="0"/>
        <v>1</v>
      </c>
      <c r="J68" s="1" t="str">
        <f>'Source build'!A68</f>
        <v>L00062</v>
      </c>
      <c r="K68" s="1">
        <f>68</f>
        <v>68</v>
      </c>
      <c r="L68" s="10">
        <f t="shared" si="1"/>
        <v>8268</v>
      </c>
      <c r="M68" s="1">
        <f t="shared" si="2"/>
        <v>1</v>
      </c>
      <c r="N68" s="1">
        <f t="shared" si="3"/>
        <v>1</v>
      </c>
      <c r="O68" s="1" t="str">
        <f>IF(I68=0,"UNUSED",IF(A68="","MISSING ID",IF(K68=0,"UNEXPECTED ID",IF(N68&lt;&gt;1,"ID / ORDER DIFFERENCE",IF('Source build'!U68&lt;&gt;"INCLUDED","EXCLUDED SOURCE",IF(NOT(M68),"INVALID AMOUNT",IF('Source build'!Y68&lt;&gt;0,"CHANGED FIELDS","MATCH")))))))</f>
        <v>MATCH</v>
      </c>
      <c r="P68" s="1" t="str">
        <f t="shared" si="4"/>
        <v>2026-01</v>
      </c>
    </row>
    <row r="69" spans="1:16" ht="18.95" customHeight="1">
      <c r="A69" s="7" t="s">
        <v>282</v>
      </c>
      <c r="B69" s="7" t="s">
        <v>283</v>
      </c>
      <c r="C69" s="7" t="s">
        <v>284</v>
      </c>
      <c r="D69" s="7" t="s">
        <v>103</v>
      </c>
      <c r="E69" s="7" t="s">
        <v>48</v>
      </c>
      <c r="F69" s="7" t="s">
        <v>98</v>
      </c>
      <c r="G69" s="7" t="s">
        <v>285</v>
      </c>
      <c r="I69" s="1">
        <f t="shared" si="0"/>
        <v>1</v>
      </c>
      <c r="J69" s="1" t="str">
        <f>'Source build'!A69</f>
        <v>L00063</v>
      </c>
      <c r="K69" s="1">
        <f>69</f>
        <v>69</v>
      </c>
      <c r="L69" s="10">
        <f t="shared" si="1"/>
        <v>13965</v>
      </c>
      <c r="M69" s="1">
        <f t="shared" si="2"/>
        <v>1</v>
      </c>
      <c r="N69" s="1">
        <f t="shared" si="3"/>
        <v>1</v>
      </c>
      <c r="O69" s="1" t="str">
        <f>IF(I69=0,"UNUSED",IF(A69="","MISSING ID",IF(K69=0,"UNEXPECTED ID",IF(N69&lt;&gt;1,"ID / ORDER DIFFERENCE",IF('Source build'!U69&lt;&gt;"INCLUDED","EXCLUDED SOURCE",IF(NOT(M69),"INVALID AMOUNT",IF('Source build'!Y69&lt;&gt;0,"CHANGED FIELDS","MATCH")))))))</f>
        <v>MATCH</v>
      </c>
      <c r="P69" s="1" t="str">
        <f t="shared" si="4"/>
        <v>2026-02</v>
      </c>
    </row>
    <row r="70" spans="1:16" ht="18.95" customHeight="1">
      <c r="A70" s="7" t="s">
        <v>286</v>
      </c>
      <c r="B70" s="7" t="s">
        <v>283</v>
      </c>
      <c r="C70" s="7" t="s">
        <v>284</v>
      </c>
      <c r="D70" s="7" t="s">
        <v>93</v>
      </c>
      <c r="E70" s="7" t="s">
        <v>46</v>
      </c>
      <c r="F70" s="7" t="s">
        <v>98</v>
      </c>
      <c r="G70" s="7" t="s">
        <v>287</v>
      </c>
      <c r="I70" s="1">
        <f t="shared" si="0"/>
        <v>1</v>
      </c>
      <c r="J70" s="1" t="str">
        <f>'Source build'!A70</f>
        <v>L00064</v>
      </c>
      <c r="K70" s="1">
        <f>70</f>
        <v>70</v>
      </c>
      <c r="L70" s="10">
        <f t="shared" si="1"/>
        <v>5660</v>
      </c>
      <c r="M70" s="1">
        <f t="shared" si="2"/>
        <v>1</v>
      </c>
      <c r="N70" s="1">
        <f t="shared" si="3"/>
        <v>1</v>
      </c>
      <c r="O70" s="1" t="str">
        <f>IF(I70=0,"UNUSED",IF(A70="","MISSING ID",IF(K70=0,"UNEXPECTED ID",IF(N70&lt;&gt;1,"ID / ORDER DIFFERENCE",IF('Source build'!U70&lt;&gt;"INCLUDED","EXCLUDED SOURCE",IF(NOT(M70),"INVALID AMOUNT",IF('Source build'!Y70&lt;&gt;0,"CHANGED FIELDS","MATCH")))))))</f>
        <v>MATCH</v>
      </c>
      <c r="P70" s="1" t="str">
        <f t="shared" si="4"/>
        <v>2026-02</v>
      </c>
    </row>
    <row r="71" spans="1:16" ht="18.95" customHeight="1">
      <c r="A71" s="7" t="s">
        <v>288</v>
      </c>
      <c r="B71" s="7" t="s">
        <v>289</v>
      </c>
      <c r="C71" s="7" t="s">
        <v>290</v>
      </c>
      <c r="D71" s="7" t="s">
        <v>97</v>
      </c>
      <c r="E71" s="7" t="s">
        <v>47</v>
      </c>
      <c r="F71" s="7" t="s">
        <v>98</v>
      </c>
      <c r="G71" s="7" t="s">
        <v>291</v>
      </c>
      <c r="I71" s="1">
        <f t="shared" ref="I71:I134" si="5">IF(AND(A71="",B71="",C71="",D71="",E71="",F71="",G71=""),0,1)</f>
        <v>1</v>
      </c>
      <c r="J71" s="1" t="str">
        <f>'Source build'!A71</f>
        <v>L00065</v>
      </c>
      <c r="K71" s="1">
        <f>71</f>
        <v>71</v>
      </c>
      <c r="L71" s="10">
        <f t="shared" ref="L71:L134" si="6">IFERROR(IF(ABS(VALUE(G71)*100-ROUND(VALUE(G71)*100,0))&lt;0.0000001,ROUND(VALUE(G71)*100,0),0),0)</f>
        <v>11468</v>
      </c>
      <c r="M71" s="1">
        <f t="shared" ref="M71:M134" si="7">--IF(I71=0,TRUE,IF(TRIM(G71)="",FALSE,IFERROR(AND(ISNUMBER(VALUE(G71)),ABS(VALUE(G71)*100-ROUND(VALUE(G71)*100,0))&lt;0.0000001,OR(ISNUMBER(G71),EXACT(G71,TEXT(VALUE(G71),"0.00"))),OR(AND(EXACT(F71,"sale"),VALUE(G71)&gt;0),AND(EXACT(F71,"refund"),VALUE(G71)&lt;0))),FALSE)))</f>
        <v>1</v>
      </c>
      <c r="N71" s="1">
        <f t="shared" ref="N71:N134" si="8">IF(I71=1,IF(EXACT(A71,J71),1,0),0)</f>
        <v>1</v>
      </c>
      <c r="O71" s="1" t="str">
        <f>IF(I71=0,"UNUSED",IF(A71="","MISSING ID",IF(K71=0,"UNEXPECTED ID",IF(N71&lt;&gt;1,"ID / ORDER DIFFERENCE",IF('Source build'!U71&lt;&gt;"INCLUDED","EXCLUDED SOURCE",IF(NOT(M71),"INVALID AMOUNT",IF('Source build'!Y71&lt;&gt;0,"CHANGED FIELDS","MATCH")))))))</f>
        <v>MATCH</v>
      </c>
      <c r="P71" s="1" t="str">
        <f t="shared" ref="P71:P134" si="9">IF(I71=1,LEFT(C71,7),"")</f>
        <v>2026-02</v>
      </c>
    </row>
    <row r="72" spans="1:16" ht="18.95" customHeight="1">
      <c r="A72" s="7" t="s">
        <v>292</v>
      </c>
      <c r="B72" s="7" t="s">
        <v>289</v>
      </c>
      <c r="C72" s="7" t="s">
        <v>290</v>
      </c>
      <c r="D72" s="7" t="s">
        <v>103</v>
      </c>
      <c r="E72" s="7" t="s">
        <v>48</v>
      </c>
      <c r="F72" s="7" t="s">
        <v>98</v>
      </c>
      <c r="G72" s="7" t="s">
        <v>293</v>
      </c>
      <c r="I72" s="1">
        <f t="shared" si="5"/>
        <v>1</v>
      </c>
      <c r="J72" s="1" t="str">
        <f>'Source build'!A72</f>
        <v>L00066</v>
      </c>
      <c r="K72" s="1">
        <f>72</f>
        <v>72</v>
      </c>
      <c r="L72" s="10">
        <f t="shared" si="6"/>
        <v>2904</v>
      </c>
      <c r="M72" s="1">
        <f t="shared" si="7"/>
        <v>1</v>
      </c>
      <c r="N72" s="1">
        <f t="shared" si="8"/>
        <v>1</v>
      </c>
      <c r="O72" s="1" t="str">
        <f>IF(I72=0,"UNUSED",IF(A72="","MISSING ID",IF(K72=0,"UNEXPECTED ID",IF(N72&lt;&gt;1,"ID / ORDER DIFFERENCE",IF('Source build'!U72&lt;&gt;"INCLUDED","EXCLUDED SOURCE",IF(NOT(M72),"INVALID AMOUNT",IF('Source build'!Y72&lt;&gt;0,"CHANGED FIELDS","MATCH")))))))</f>
        <v>MATCH</v>
      </c>
      <c r="P72" s="1" t="str">
        <f t="shared" si="9"/>
        <v>2026-02</v>
      </c>
    </row>
    <row r="73" spans="1:16" ht="18.95" customHeight="1">
      <c r="A73" s="7" t="s">
        <v>294</v>
      </c>
      <c r="B73" s="7" t="s">
        <v>295</v>
      </c>
      <c r="C73" s="7" t="s">
        <v>296</v>
      </c>
      <c r="D73" s="7" t="s">
        <v>93</v>
      </c>
      <c r="E73" s="7" t="s">
        <v>46</v>
      </c>
      <c r="F73" s="7" t="s">
        <v>98</v>
      </c>
      <c r="G73" s="7" t="s">
        <v>297</v>
      </c>
      <c r="I73" s="1">
        <f t="shared" si="5"/>
        <v>1</v>
      </c>
      <c r="J73" s="1" t="str">
        <f>'Source build'!A73</f>
        <v>L00067</v>
      </c>
      <c r="K73" s="1">
        <f>73</f>
        <v>73</v>
      </c>
      <c r="L73" s="10">
        <f t="shared" si="6"/>
        <v>8823</v>
      </c>
      <c r="M73" s="1">
        <f t="shared" si="7"/>
        <v>1</v>
      </c>
      <c r="N73" s="1">
        <f t="shared" si="8"/>
        <v>1</v>
      </c>
      <c r="O73" s="1" t="str">
        <f>IF(I73=0,"UNUSED",IF(A73="","MISSING ID",IF(K73=0,"UNEXPECTED ID",IF(N73&lt;&gt;1,"ID / ORDER DIFFERENCE",IF('Source build'!U73&lt;&gt;"INCLUDED","EXCLUDED SOURCE",IF(NOT(M73),"INVALID AMOUNT",IF('Source build'!Y73&lt;&gt;0,"CHANGED FIELDS","MATCH")))))))</f>
        <v>MATCH</v>
      </c>
      <c r="P73" s="1" t="str">
        <f t="shared" si="9"/>
        <v>2026-02</v>
      </c>
    </row>
    <row r="74" spans="1:16" ht="18.95" customHeight="1">
      <c r="A74" s="7" t="s">
        <v>298</v>
      </c>
      <c r="B74" s="7" t="s">
        <v>295</v>
      </c>
      <c r="C74" s="7" t="s">
        <v>296</v>
      </c>
      <c r="D74" s="7" t="s">
        <v>97</v>
      </c>
      <c r="E74" s="7" t="s">
        <v>47</v>
      </c>
      <c r="F74" s="7" t="s">
        <v>98</v>
      </c>
      <c r="G74" s="7" t="s">
        <v>299</v>
      </c>
      <c r="I74" s="1">
        <f t="shared" si="5"/>
        <v>1</v>
      </c>
      <c r="J74" s="1" t="str">
        <f>'Source build'!A74</f>
        <v>L00068</v>
      </c>
      <c r="K74" s="1">
        <f>74</f>
        <v>74</v>
      </c>
      <c r="L74" s="10">
        <f t="shared" si="6"/>
        <v>14890</v>
      </c>
      <c r="M74" s="1">
        <f t="shared" si="7"/>
        <v>1</v>
      </c>
      <c r="N74" s="1">
        <f t="shared" si="8"/>
        <v>1</v>
      </c>
      <c r="O74" s="1" t="str">
        <f>IF(I74=0,"UNUSED",IF(A74="","MISSING ID",IF(K74=0,"UNEXPECTED ID",IF(N74&lt;&gt;1,"ID / ORDER DIFFERENCE",IF('Source build'!U74&lt;&gt;"INCLUDED","EXCLUDED SOURCE",IF(NOT(M74),"INVALID AMOUNT",IF('Source build'!Y74&lt;&gt;0,"CHANGED FIELDS","MATCH")))))))</f>
        <v>MATCH</v>
      </c>
      <c r="P74" s="1" t="str">
        <f t="shared" si="9"/>
        <v>2026-02</v>
      </c>
    </row>
    <row r="75" spans="1:16" ht="18.95" customHeight="1">
      <c r="A75" s="7" t="s">
        <v>300</v>
      </c>
      <c r="B75" s="7" t="s">
        <v>301</v>
      </c>
      <c r="C75" s="7" t="s">
        <v>302</v>
      </c>
      <c r="D75" s="7" t="s">
        <v>103</v>
      </c>
      <c r="E75" s="7" t="s">
        <v>48</v>
      </c>
      <c r="F75" s="7" t="s">
        <v>98</v>
      </c>
      <c r="G75" s="7" t="s">
        <v>303</v>
      </c>
      <c r="I75" s="1">
        <f t="shared" si="5"/>
        <v>1</v>
      </c>
      <c r="J75" s="1" t="str">
        <f>'Source build'!A75</f>
        <v>L00069</v>
      </c>
      <c r="K75" s="1">
        <f>75</f>
        <v>75</v>
      </c>
      <c r="L75" s="10">
        <f t="shared" si="6"/>
        <v>6030</v>
      </c>
      <c r="M75" s="1">
        <f t="shared" si="7"/>
        <v>1</v>
      </c>
      <c r="N75" s="1">
        <f t="shared" si="8"/>
        <v>1</v>
      </c>
      <c r="O75" s="1" t="str">
        <f>IF(I75=0,"UNUSED",IF(A75="","MISSING ID",IF(K75=0,"UNEXPECTED ID",IF(N75&lt;&gt;1,"ID / ORDER DIFFERENCE",IF('Source build'!U75&lt;&gt;"INCLUDED","EXCLUDED SOURCE",IF(NOT(M75),"INVALID AMOUNT",IF('Source build'!Y75&lt;&gt;0,"CHANGED FIELDS","MATCH")))))))</f>
        <v>MATCH</v>
      </c>
      <c r="P75" s="1" t="str">
        <f t="shared" si="9"/>
        <v>2026-02</v>
      </c>
    </row>
    <row r="76" spans="1:16" ht="18.95" customHeight="1">
      <c r="A76" s="7" t="s">
        <v>304</v>
      </c>
      <c r="B76" s="7" t="s">
        <v>301</v>
      </c>
      <c r="C76" s="7" t="s">
        <v>302</v>
      </c>
      <c r="D76" s="7" t="s">
        <v>93</v>
      </c>
      <c r="E76" s="7" t="s">
        <v>46</v>
      </c>
      <c r="F76" s="7" t="s">
        <v>94</v>
      </c>
      <c r="G76" s="7" t="s">
        <v>305</v>
      </c>
      <c r="I76" s="1">
        <f t="shared" si="5"/>
        <v>1</v>
      </c>
      <c r="J76" s="1" t="str">
        <f>'Source build'!A76</f>
        <v>L00070</v>
      </c>
      <c r="K76" s="1">
        <f>76</f>
        <v>76</v>
      </c>
      <c r="L76" s="10">
        <f t="shared" si="6"/>
        <v>-12208</v>
      </c>
      <c r="M76" s="1">
        <f t="shared" si="7"/>
        <v>1</v>
      </c>
      <c r="N76" s="1">
        <f t="shared" si="8"/>
        <v>1</v>
      </c>
      <c r="O76" s="1" t="str">
        <f>IF(I76=0,"UNUSED",IF(A76="","MISSING ID",IF(K76=0,"UNEXPECTED ID",IF(N76&lt;&gt;1,"ID / ORDER DIFFERENCE",IF('Source build'!U76&lt;&gt;"INCLUDED","EXCLUDED SOURCE",IF(NOT(M76),"INVALID AMOUNT",IF('Source build'!Y76&lt;&gt;0,"CHANGED FIELDS","MATCH")))))))</f>
        <v>MATCH</v>
      </c>
      <c r="P76" s="1" t="str">
        <f t="shared" si="9"/>
        <v>2026-02</v>
      </c>
    </row>
    <row r="77" spans="1:16" ht="18.95" customHeight="1">
      <c r="A77" s="7" t="s">
        <v>306</v>
      </c>
      <c r="B77" s="7" t="s">
        <v>307</v>
      </c>
      <c r="C77" s="7" t="s">
        <v>308</v>
      </c>
      <c r="D77" s="7" t="s">
        <v>97</v>
      </c>
      <c r="E77" s="7" t="s">
        <v>47</v>
      </c>
      <c r="F77" s="7" t="s">
        <v>98</v>
      </c>
      <c r="G77" s="7" t="s">
        <v>309</v>
      </c>
      <c r="I77" s="1">
        <f t="shared" si="5"/>
        <v>1</v>
      </c>
      <c r="J77" s="1" t="str">
        <f>'Source build'!A77</f>
        <v>L00071</v>
      </c>
      <c r="K77" s="1">
        <f>77</f>
        <v>77</v>
      </c>
      <c r="L77" s="10">
        <f t="shared" si="6"/>
        <v>3089</v>
      </c>
      <c r="M77" s="1">
        <f t="shared" si="7"/>
        <v>1</v>
      </c>
      <c r="N77" s="1">
        <f t="shared" si="8"/>
        <v>1</v>
      </c>
      <c r="O77" s="1" t="str">
        <f>IF(I77=0,"UNUSED",IF(A77="","MISSING ID",IF(K77=0,"UNEXPECTED ID",IF(N77&lt;&gt;1,"ID / ORDER DIFFERENCE",IF('Source build'!U77&lt;&gt;"INCLUDED","EXCLUDED SOURCE",IF(NOT(M77),"INVALID AMOUNT",IF('Source build'!Y77&lt;&gt;0,"CHANGED FIELDS","MATCH")))))))</f>
        <v>MATCH</v>
      </c>
      <c r="P77" s="1" t="str">
        <f t="shared" si="9"/>
        <v>2026-03</v>
      </c>
    </row>
    <row r="78" spans="1:16" ht="18.95" customHeight="1">
      <c r="A78" s="7" t="s">
        <v>310</v>
      </c>
      <c r="B78" s="7" t="s">
        <v>307</v>
      </c>
      <c r="C78" s="7" t="s">
        <v>308</v>
      </c>
      <c r="D78" s="7" t="s">
        <v>103</v>
      </c>
      <c r="E78" s="7" t="s">
        <v>48</v>
      </c>
      <c r="F78" s="7" t="s">
        <v>98</v>
      </c>
      <c r="G78" s="7" t="s">
        <v>311</v>
      </c>
      <c r="I78" s="1">
        <f t="shared" si="5"/>
        <v>1</v>
      </c>
      <c r="J78" s="1" t="str">
        <f>'Source build'!A78</f>
        <v>L00072</v>
      </c>
      <c r="K78" s="1">
        <f>78</f>
        <v>78</v>
      </c>
      <c r="L78" s="10">
        <f t="shared" si="6"/>
        <v>9378</v>
      </c>
      <c r="M78" s="1">
        <f t="shared" si="7"/>
        <v>1</v>
      </c>
      <c r="N78" s="1">
        <f t="shared" si="8"/>
        <v>1</v>
      </c>
      <c r="O78" s="1" t="str">
        <f>IF(I78=0,"UNUSED",IF(A78="","MISSING ID",IF(K78=0,"UNEXPECTED ID",IF(N78&lt;&gt;1,"ID / ORDER DIFFERENCE",IF('Source build'!U78&lt;&gt;"INCLUDED","EXCLUDED SOURCE",IF(NOT(M78),"INVALID AMOUNT",IF('Source build'!Y78&lt;&gt;0,"CHANGED FIELDS","MATCH")))))))</f>
        <v>MATCH</v>
      </c>
      <c r="P78" s="1" t="str">
        <f t="shared" si="9"/>
        <v>2026-03</v>
      </c>
    </row>
    <row r="79" spans="1:16" ht="18.95" customHeight="1">
      <c r="A79" s="7" t="s">
        <v>312</v>
      </c>
      <c r="B79" s="7" t="s">
        <v>313</v>
      </c>
      <c r="C79" s="7" t="s">
        <v>314</v>
      </c>
      <c r="D79" s="7" t="s">
        <v>93</v>
      </c>
      <c r="E79" s="7" t="s">
        <v>46</v>
      </c>
      <c r="F79" s="7" t="s">
        <v>98</v>
      </c>
      <c r="G79" s="7" t="s">
        <v>315</v>
      </c>
      <c r="I79" s="1">
        <f t="shared" si="5"/>
        <v>1</v>
      </c>
      <c r="J79" s="1" t="str">
        <f>'Source build'!A79</f>
        <v>L00073</v>
      </c>
      <c r="K79" s="1">
        <f>79</f>
        <v>79</v>
      </c>
      <c r="L79" s="10">
        <f t="shared" si="6"/>
        <v>15815</v>
      </c>
      <c r="M79" s="1">
        <f t="shared" si="7"/>
        <v>1</v>
      </c>
      <c r="N79" s="1">
        <f t="shared" si="8"/>
        <v>1</v>
      </c>
      <c r="O79" s="1" t="str">
        <f>IF(I79=0,"UNUSED",IF(A79="","MISSING ID",IF(K79=0,"UNEXPECTED ID",IF(N79&lt;&gt;1,"ID / ORDER DIFFERENCE",IF('Source build'!U79&lt;&gt;"INCLUDED","EXCLUDED SOURCE",IF(NOT(M79),"INVALID AMOUNT",IF('Source build'!Y79&lt;&gt;0,"CHANGED FIELDS","MATCH")))))))</f>
        <v>MATCH</v>
      </c>
      <c r="P79" s="1" t="str">
        <f t="shared" si="9"/>
        <v>2026-03</v>
      </c>
    </row>
    <row r="80" spans="1:16" ht="18.95" customHeight="1">
      <c r="A80" s="7" t="s">
        <v>316</v>
      </c>
      <c r="B80" s="7" t="s">
        <v>313</v>
      </c>
      <c r="C80" s="7" t="s">
        <v>314</v>
      </c>
      <c r="D80" s="7" t="s">
        <v>97</v>
      </c>
      <c r="E80" s="7" t="s">
        <v>47</v>
      </c>
      <c r="F80" s="7" t="s">
        <v>98</v>
      </c>
      <c r="G80" s="7" t="s">
        <v>317</v>
      </c>
      <c r="I80" s="1">
        <f t="shared" si="5"/>
        <v>1</v>
      </c>
      <c r="J80" s="1" t="str">
        <f>'Source build'!A80</f>
        <v>L00074</v>
      </c>
      <c r="K80" s="1">
        <f>80</f>
        <v>80</v>
      </c>
      <c r="L80" s="10">
        <f t="shared" si="6"/>
        <v>6400</v>
      </c>
      <c r="M80" s="1">
        <f t="shared" si="7"/>
        <v>1</v>
      </c>
      <c r="N80" s="1">
        <f t="shared" si="8"/>
        <v>1</v>
      </c>
      <c r="O80" s="1" t="str">
        <f>IF(I80=0,"UNUSED",IF(A80="","MISSING ID",IF(K80=0,"UNEXPECTED ID",IF(N80&lt;&gt;1,"ID / ORDER DIFFERENCE",IF('Source build'!U80&lt;&gt;"INCLUDED","EXCLUDED SOURCE",IF(NOT(M80),"INVALID AMOUNT",IF('Source build'!Y80&lt;&gt;0,"CHANGED FIELDS","MATCH")))))))</f>
        <v>MATCH</v>
      </c>
      <c r="P80" s="1" t="str">
        <f t="shared" si="9"/>
        <v>2026-03</v>
      </c>
    </row>
    <row r="81" spans="1:16" ht="18.95" customHeight="1">
      <c r="A81" s="7" t="s">
        <v>318</v>
      </c>
      <c r="B81" s="7" t="s">
        <v>319</v>
      </c>
      <c r="C81" s="7" t="s">
        <v>320</v>
      </c>
      <c r="D81" s="7" t="s">
        <v>103</v>
      </c>
      <c r="E81" s="7" t="s">
        <v>48</v>
      </c>
      <c r="F81" s="7" t="s">
        <v>98</v>
      </c>
      <c r="G81" s="7" t="s">
        <v>321</v>
      </c>
      <c r="I81" s="1">
        <f t="shared" si="5"/>
        <v>1</v>
      </c>
      <c r="J81" s="1" t="str">
        <f>'Source build'!A81</f>
        <v>L00075</v>
      </c>
      <c r="K81" s="1">
        <f>81</f>
        <v>81</v>
      </c>
      <c r="L81" s="10">
        <f t="shared" si="6"/>
        <v>12948</v>
      </c>
      <c r="M81" s="1">
        <f t="shared" si="7"/>
        <v>1</v>
      </c>
      <c r="N81" s="1">
        <f t="shared" si="8"/>
        <v>1</v>
      </c>
      <c r="O81" s="1" t="str">
        <f>IF(I81=0,"UNUSED",IF(A81="","MISSING ID",IF(K81=0,"UNEXPECTED ID",IF(N81&lt;&gt;1,"ID / ORDER DIFFERENCE",IF('Source build'!U81&lt;&gt;"INCLUDED","EXCLUDED SOURCE",IF(NOT(M81),"INVALID AMOUNT",IF('Source build'!Y81&lt;&gt;0,"CHANGED FIELDS","MATCH")))))))</f>
        <v>MATCH</v>
      </c>
      <c r="P81" s="1" t="str">
        <f t="shared" si="9"/>
        <v>2026-03</v>
      </c>
    </row>
    <row r="82" spans="1:16" ht="18.95" customHeight="1">
      <c r="A82" s="7" t="s">
        <v>322</v>
      </c>
      <c r="B82" s="7" t="s">
        <v>319</v>
      </c>
      <c r="C82" s="7" t="s">
        <v>320</v>
      </c>
      <c r="D82" s="7" t="s">
        <v>93</v>
      </c>
      <c r="E82" s="7" t="s">
        <v>46</v>
      </c>
      <c r="F82" s="7" t="s">
        <v>98</v>
      </c>
      <c r="G82" s="7" t="s">
        <v>323</v>
      </c>
      <c r="I82" s="1">
        <f t="shared" si="5"/>
        <v>1</v>
      </c>
      <c r="J82" s="1" t="str">
        <f>'Source build'!A82</f>
        <v>L00076</v>
      </c>
      <c r="K82" s="1">
        <f>82</f>
        <v>82</v>
      </c>
      <c r="L82" s="10">
        <f t="shared" si="6"/>
        <v>3274</v>
      </c>
      <c r="M82" s="1">
        <f t="shared" si="7"/>
        <v>1</v>
      </c>
      <c r="N82" s="1">
        <f t="shared" si="8"/>
        <v>1</v>
      </c>
      <c r="O82" s="1" t="str">
        <f>IF(I82=0,"UNUSED",IF(A82="","MISSING ID",IF(K82=0,"UNEXPECTED ID",IF(N82&lt;&gt;1,"ID / ORDER DIFFERENCE",IF('Source build'!U82&lt;&gt;"INCLUDED","EXCLUDED SOURCE",IF(NOT(M82),"INVALID AMOUNT",IF('Source build'!Y82&lt;&gt;0,"CHANGED FIELDS","MATCH")))))))</f>
        <v>MATCH</v>
      </c>
      <c r="P82" s="1" t="str">
        <f t="shared" si="9"/>
        <v>2026-03</v>
      </c>
    </row>
    <row r="83" spans="1:16" ht="18.95" customHeight="1">
      <c r="A83" s="7" t="s">
        <v>324</v>
      </c>
      <c r="B83" s="7" t="s">
        <v>325</v>
      </c>
      <c r="C83" s="7" t="s">
        <v>326</v>
      </c>
      <c r="D83" s="7" t="s">
        <v>97</v>
      </c>
      <c r="E83" s="7" t="s">
        <v>47</v>
      </c>
      <c r="F83" s="7" t="s">
        <v>98</v>
      </c>
      <c r="G83" s="7" t="s">
        <v>327</v>
      </c>
      <c r="I83" s="1">
        <f t="shared" si="5"/>
        <v>1</v>
      </c>
      <c r="J83" s="1" t="str">
        <f>'Source build'!A83</f>
        <v>L00077</v>
      </c>
      <c r="K83" s="1">
        <f>83</f>
        <v>83</v>
      </c>
      <c r="L83" s="10">
        <f t="shared" si="6"/>
        <v>9933</v>
      </c>
      <c r="M83" s="1">
        <f t="shared" si="7"/>
        <v>1</v>
      </c>
      <c r="N83" s="1">
        <f t="shared" si="8"/>
        <v>1</v>
      </c>
      <c r="O83" s="1" t="str">
        <f>IF(I83=0,"UNUSED",IF(A83="","MISSING ID",IF(K83=0,"UNEXPECTED ID",IF(N83&lt;&gt;1,"ID / ORDER DIFFERENCE",IF('Source build'!U83&lt;&gt;"INCLUDED","EXCLUDED SOURCE",IF(NOT(M83),"INVALID AMOUNT",IF('Source build'!Y83&lt;&gt;0,"CHANGED FIELDS","MATCH")))))))</f>
        <v>MATCH</v>
      </c>
      <c r="P83" s="1" t="str">
        <f t="shared" si="9"/>
        <v>2026-03</v>
      </c>
    </row>
    <row r="84" spans="1:16" ht="18.95" customHeight="1">
      <c r="A84" s="7" t="s">
        <v>328</v>
      </c>
      <c r="B84" s="7" t="s">
        <v>325</v>
      </c>
      <c r="C84" s="7" t="s">
        <v>326</v>
      </c>
      <c r="D84" s="7" t="s">
        <v>103</v>
      </c>
      <c r="E84" s="7" t="s">
        <v>48</v>
      </c>
      <c r="F84" s="7" t="s">
        <v>98</v>
      </c>
      <c r="G84" s="7" t="s">
        <v>329</v>
      </c>
      <c r="I84" s="1">
        <f t="shared" si="5"/>
        <v>1</v>
      </c>
      <c r="J84" s="1" t="str">
        <f>'Source build'!A84</f>
        <v>L00078</v>
      </c>
      <c r="K84" s="1">
        <f>84</f>
        <v>84</v>
      </c>
      <c r="L84" s="10">
        <f t="shared" si="6"/>
        <v>16740</v>
      </c>
      <c r="M84" s="1">
        <f t="shared" si="7"/>
        <v>1</v>
      </c>
      <c r="N84" s="1">
        <f t="shared" si="8"/>
        <v>1</v>
      </c>
      <c r="O84" s="1" t="str">
        <f>IF(I84=0,"UNUSED",IF(A84="","MISSING ID",IF(K84=0,"UNEXPECTED ID",IF(N84&lt;&gt;1,"ID / ORDER DIFFERENCE",IF('Source build'!U84&lt;&gt;"INCLUDED","EXCLUDED SOURCE",IF(NOT(M84),"INVALID AMOUNT",IF('Source build'!Y84&lt;&gt;0,"CHANGED FIELDS","MATCH")))))))</f>
        <v>MATCH</v>
      </c>
      <c r="P84" s="1" t="str">
        <f t="shared" si="9"/>
        <v>2026-03</v>
      </c>
    </row>
    <row r="85" spans="1:16" ht="18.95" customHeight="1">
      <c r="A85" s="7" t="s">
        <v>330</v>
      </c>
      <c r="B85" s="7" t="s">
        <v>331</v>
      </c>
      <c r="C85" s="7" t="s">
        <v>332</v>
      </c>
      <c r="D85" s="7" t="s">
        <v>93</v>
      </c>
      <c r="E85" s="7" t="s">
        <v>46</v>
      </c>
      <c r="F85" s="7" t="s">
        <v>98</v>
      </c>
      <c r="G85" s="7" t="s">
        <v>333</v>
      </c>
      <c r="I85" s="1">
        <f t="shared" si="5"/>
        <v>1</v>
      </c>
      <c r="J85" s="1" t="str">
        <f>'Source build'!A85</f>
        <v>L00079</v>
      </c>
      <c r="K85" s="1">
        <f>85</f>
        <v>85</v>
      </c>
      <c r="L85" s="10">
        <f t="shared" si="6"/>
        <v>6770</v>
      </c>
      <c r="M85" s="1">
        <f t="shared" si="7"/>
        <v>1</v>
      </c>
      <c r="N85" s="1">
        <f t="shared" si="8"/>
        <v>1</v>
      </c>
      <c r="O85" s="1" t="str">
        <f>IF(I85=0,"UNUSED",IF(A85="","MISSING ID",IF(K85=0,"UNEXPECTED ID",IF(N85&lt;&gt;1,"ID / ORDER DIFFERENCE",IF('Source build'!U85&lt;&gt;"INCLUDED","EXCLUDED SOURCE",IF(NOT(M85),"INVALID AMOUNT",IF('Source build'!Y85&lt;&gt;0,"CHANGED FIELDS","MATCH")))))))</f>
        <v>MATCH</v>
      </c>
      <c r="P85" s="1" t="str">
        <f t="shared" si="9"/>
        <v>2026-01</v>
      </c>
    </row>
    <row r="86" spans="1:16" ht="18.95" customHeight="1">
      <c r="A86" s="7" t="s">
        <v>334</v>
      </c>
      <c r="B86" s="7" t="s">
        <v>331</v>
      </c>
      <c r="C86" s="7" t="s">
        <v>332</v>
      </c>
      <c r="D86" s="7" t="s">
        <v>97</v>
      </c>
      <c r="E86" s="7" t="s">
        <v>47</v>
      </c>
      <c r="F86" s="7" t="s">
        <v>98</v>
      </c>
      <c r="G86" s="7" t="s">
        <v>335</v>
      </c>
      <c r="I86" s="1">
        <f t="shared" si="5"/>
        <v>1</v>
      </c>
      <c r="J86" s="1" t="str">
        <f>'Source build'!A86</f>
        <v>L00080</v>
      </c>
      <c r="K86" s="1">
        <f>86</f>
        <v>86</v>
      </c>
      <c r="L86" s="10">
        <f t="shared" si="6"/>
        <v>13688</v>
      </c>
      <c r="M86" s="1">
        <f t="shared" si="7"/>
        <v>1</v>
      </c>
      <c r="N86" s="1">
        <f t="shared" si="8"/>
        <v>1</v>
      </c>
      <c r="O86" s="1" t="str">
        <f>IF(I86=0,"UNUSED",IF(A86="","MISSING ID",IF(K86=0,"UNEXPECTED ID",IF(N86&lt;&gt;1,"ID / ORDER DIFFERENCE",IF('Source build'!U86&lt;&gt;"INCLUDED","EXCLUDED SOURCE",IF(NOT(M86),"INVALID AMOUNT",IF('Source build'!Y86&lt;&gt;0,"CHANGED FIELDS","MATCH")))))))</f>
        <v>MATCH</v>
      </c>
      <c r="P86" s="1" t="str">
        <f t="shared" si="9"/>
        <v>2026-01</v>
      </c>
    </row>
    <row r="87" spans="1:16" ht="18.95" customHeight="1">
      <c r="A87" s="7" t="s">
        <v>336</v>
      </c>
      <c r="B87" s="7" t="s">
        <v>337</v>
      </c>
      <c r="C87" s="7" t="s">
        <v>338</v>
      </c>
      <c r="D87" s="7" t="s">
        <v>103</v>
      </c>
      <c r="E87" s="7" t="s">
        <v>48</v>
      </c>
      <c r="F87" s="7" t="s">
        <v>98</v>
      </c>
      <c r="G87" s="7" t="s">
        <v>339</v>
      </c>
      <c r="I87" s="1">
        <f t="shared" si="5"/>
        <v>1</v>
      </c>
      <c r="J87" s="1" t="str">
        <f>'Source build'!A87</f>
        <v>L00081</v>
      </c>
      <c r="K87" s="1">
        <f>87</f>
        <v>87</v>
      </c>
      <c r="L87" s="10">
        <f t="shared" si="6"/>
        <v>3459</v>
      </c>
      <c r="M87" s="1">
        <f t="shared" si="7"/>
        <v>1</v>
      </c>
      <c r="N87" s="1">
        <f t="shared" si="8"/>
        <v>1</v>
      </c>
      <c r="O87" s="1" t="str">
        <f>IF(I87=0,"UNUSED",IF(A87="","MISSING ID",IF(K87=0,"UNEXPECTED ID",IF(N87&lt;&gt;1,"ID / ORDER DIFFERENCE",IF('Source build'!U87&lt;&gt;"INCLUDED","EXCLUDED SOURCE",IF(NOT(M87),"INVALID AMOUNT",IF('Source build'!Y87&lt;&gt;0,"CHANGED FIELDS","MATCH")))))))</f>
        <v>MATCH</v>
      </c>
      <c r="P87" s="1" t="str">
        <f t="shared" si="9"/>
        <v>2026-01</v>
      </c>
    </row>
    <row r="88" spans="1:16" ht="18.95" customHeight="1">
      <c r="A88" s="7" t="s">
        <v>340</v>
      </c>
      <c r="B88" s="7" t="s">
        <v>337</v>
      </c>
      <c r="C88" s="7" t="s">
        <v>338</v>
      </c>
      <c r="D88" s="7" t="s">
        <v>93</v>
      </c>
      <c r="E88" s="7" t="s">
        <v>46</v>
      </c>
      <c r="F88" s="7" t="s">
        <v>98</v>
      </c>
      <c r="G88" s="7" t="s">
        <v>341</v>
      </c>
      <c r="I88" s="1">
        <f t="shared" si="5"/>
        <v>1</v>
      </c>
      <c r="J88" s="1" t="str">
        <f>'Source build'!A88</f>
        <v>L00082</v>
      </c>
      <c r="K88" s="1">
        <f>88</f>
        <v>88</v>
      </c>
      <c r="L88" s="10">
        <f t="shared" si="6"/>
        <v>10488</v>
      </c>
      <c r="M88" s="1">
        <f t="shared" si="7"/>
        <v>1</v>
      </c>
      <c r="N88" s="1">
        <f t="shared" si="8"/>
        <v>1</v>
      </c>
      <c r="O88" s="1" t="str">
        <f>IF(I88=0,"UNUSED",IF(A88="","MISSING ID",IF(K88=0,"UNEXPECTED ID",IF(N88&lt;&gt;1,"ID / ORDER DIFFERENCE",IF('Source build'!U88&lt;&gt;"INCLUDED","EXCLUDED SOURCE",IF(NOT(M88),"INVALID AMOUNT",IF('Source build'!Y88&lt;&gt;0,"CHANGED FIELDS","MATCH")))))))</f>
        <v>MATCH</v>
      </c>
      <c r="P88" s="1" t="str">
        <f t="shared" si="9"/>
        <v>2026-01</v>
      </c>
    </row>
    <row r="89" spans="1:16" ht="18.95" customHeight="1">
      <c r="A89" s="7" t="s">
        <v>342</v>
      </c>
      <c r="B89" s="7" t="s">
        <v>343</v>
      </c>
      <c r="C89" s="7" t="s">
        <v>344</v>
      </c>
      <c r="D89" s="7" t="s">
        <v>97</v>
      </c>
      <c r="E89" s="7" t="s">
        <v>47</v>
      </c>
      <c r="F89" s="7" t="s">
        <v>98</v>
      </c>
      <c r="G89" s="7" t="s">
        <v>345</v>
      </c>
      <c r="I89" s="1">
        <f t="shared" si="5"/>
        <v>1</v>
      </c>
      <c r="J89" s="1" t="str">
        <f>'Source build'!A89</f>
        <v>L00083</v>
      </c>
      <c r="K89" s="1">
        <f>89</f>
        <v>89</v>
      </c>
      <c r="L89" s="10">
        <f t="shared" si="6"/>
        <v>17665</v>
      </c>
      <c r="M89" s="1">
        <f t="shared" si="7"/>
        <v>1</v>
      </c>
      <c r="N89" s="1">
        <f t="shared" si="8"/>
        <v>1</v>
      </c>
      <c r="O89" s="1" t="str">
        <f>IF(I89=0,"UNUSED",IF(A89="","MISSING ID",IF(K89=0,"UNEXPECTED ID",IF(N89&lt;&gt;1,"ID / ORDER DIFFERENCE",IF('Source build'!U89&lt;&gt;"INCLUDED","EXCLUDED SOURCE",IF(NOT(M89),"INVALID AMOUNT",IF('Source build'!Y89&lt;&gt;0,"CHANGED FIELDS","MATCH")))))))</f>
        <v>MATCH</v>
      </c>
      <c r="P89" s="1" t="str">
        <f t="shared" si="9"/>
        <v>2026-01</v>
      </c>
    </row>
    <row r="90" spans="1:16" ht="18.95" customHeight="1">
      <c r="A90" s="7" t="s">
        <v>346</v>
      </c>
      <c r="B90" s="7" t="s">
        <v>343</v>
      </c>
      <c r="C90" s="7" t="s">
        <v>344</v>
      </c>
      <c r="D90" s="7" t="s">
        <v>103</v>
      </c>
      <c r="E90" s="7" t="s">
        <v>48</v>
      </c>
      <c r="F90" s="7" t="s">
        <v>98</v>
      </c>
      <c r="G90" s="7" t="s">
        <v>347</v>
      </c>
      <c r="I90" s="1">
        <f t="shared" si="5"/>
        <v>1</v>
      </c>
      <c r="J90" s="1" t="str">
        <f>'Source build'!A90</f>
        <v>L00084</v>
      </c>
      <c r="K90" s="1">
        <f>90</f>
        <v>90</v>
      </c>
      <c r="L90" s="10">
        <f t="shared" si="6"/>
        <v>7140</v>
      </c>
      <c r="M90" s="1">
        <f t="shared" si="7"/>
        <v>1</v>
      </c>
      <c r="N90" s="1">
        <f t="shared" si="8"/>
        <v>1</v>
      </c>
      <c r="O90" s="1" t="str">
        <f>IF(I90=0,"UNUSED",IF(A90="","MISSING ID",IF(K90=0,"UNEXPECTED ID",IF(N90&lt;&gt;1,"ID / ORDER DIFFERENCE",IF('Source build'!U90&lt;&gt;"INCLUDED","EXCLUDED SOURCE",IF(NOT(M90),"INVALID AMOUNT",IF('Source build'!Y90&lt;&gt;0,"CHANGED FIELDS","MATCH")))))))</f>
        <v>MATCH</v>
      </c>
      <c r="P90" s="1" t="str">
        <f t="shared" si="9"/>
        <v>2026-01</v>
      </c>
    </row>
    <row r="91" spans="1:16" ht="18.95" customHeight="1">
      <c r="A91" s="7" t="s">
        <v>348</v>
      </c>
      <c r="B91" s="7" t="s">
        <v>349</v>
      </c>
      <c r="C91" s="7" t="s">
        <v>350</v>
      </c>
      <c r="D91" s="7" t="s">
        <v>93</v>
      </c>
      <c r="E91" s="7" t="s">
        <v>46</v>
      </c>
      <c r="F91" s="7" t="s">
        <v>98</v>
      </c>
      <c r="G91" s="7" t="s">
        <v>351</v>
      </c>
      <c r="I91" s="1">
        <f t="shared" si="5"/>
        <v>1</v>
      </c>
      <c r="J91" s="1" t="str">
        <f>'Source build'!A91</f>
        <v>L00085</v>
      </c>
      <c r="K91" s="1">
        <f>91</f>
        <v>91</v>
      </c>
      <c r="L91" s="10">
        <f t="shared" si="6"/>
        <v>14428</v>
      </c>
      <c r="M91" s="1">
        <f t="shared" si="7"/>
        <v>1</v>
      </c>
      <c r="N91" s="1">
        <f t="shared" si="8"/>
        <v>1</v>
      </c>
      <c r="O91" s="1" t="str">
        <f>IF(I91=0,"UNUSED",IF(A91="","MISSING ID",IF(K91=0,"UNEXPECTED ID",IF(N91&lt;&gt;1,"ID / ORDER DIFFERENCE",IF('Source build'!U91&lt;&gt;"INCLUDED","EXCLUDED SOURCE",IF(NOT(M91),"INVALID AMOUNT",IF('Source build'!Y91&lt;&gt;0,"CHANGED FIELDS","MATCH")))))))</f>
        <v>MATCH</v>
      </c>
      <c r="P91" s="1" t="str">
        <f t="shared" si="9"/>
        <v>2026-01</v>
      </c>
    </row>
    <row r="92" spans="1:16" ht="18.95" customHeight="1">
      <c r="A92" s="7" t="s">
        <v>352</v>
      </c>
      <c r="B92" s="7" t="s">
        <v>349</v>
      </c>
      <c r="C92" s="7" t="s">
        <v>350</v>
      </c>
      <c r="D92" s="7" t="s">
        <v>97</v>
      </c>
      <c r="E92" s="7" t="s">
        <v>47</v>
      </c>
      <c r="F92" s="7" t="s">
        <v>98</v>
      </c>
      <c r="G92" s="7" t="s">
        <v>353</v>
      </c>
      <c r="I92" s="1">
        <f t="shared" si="5"/>
        <v>1</v>
      </c>
      <c r="J92" s="1" t="str">
        <f>'Source build'!A92</f>
        <v>L00086</v>
      </c>
      <c r="K92" s="1">
        <f>92</f>
        <v>92</v>
      </c>
      <c r="L92" s="10">
        <f t="shared" si="6"/>
        <v>3644</v>
      </c>
      <c r="M92" s="1">
        <f t="shared" si="7"/>
        <v>1</v>
      </c>
      <c r="N92" s="1">
        <f t="shared" si="8"/>
        <v>1</v>
      </c>
      <c r="O92" s="1" t="str">
        <f>IF(I92=0,"UNUSED",IF(A92="","MISSING ID",IF(K92=0,"UNEXPECTED ID",IF(N92&lt;&gt;1,"ID / ORDER DIFFERENCE",IF('Source build'!U92&lt;&gt;"INCLUDED","EXCLUDED SOURCE",IF(NOT(M92),"INVALID AMOUNT",IF('Source build'!Y92&lt;&gt;0,"CHANGED FIELDS","MATCH")))))))</f>
        <v>MATCH</v>
      </c>
      <c r="P92" s="1" t="str">
        <f t="shared" si="9"/>
        <v>2026-01</v>
      </c>
    </row>
    <row r="93" spans="1:16" ht="18.95" customHeight="1">
      <c r="A93" s="7" t="s">
        <v>354</v>
      </c>
      <c r="B93" s="7" t="s">
        <v>355</v>
      </c>
      <c r="C93" s="7" t="s">
        <v>356</v>
      </c>
      <c r="D93" s="7" t="s">
        <v>103</v>
      </c>
      <c r="E93" s="7" t="s">
        <v>48</v>
      </c>
      <c r="F93" s="7" t="s">
        <v>98</v>
      </c>
      <c r="G93" s="7" t="s">
        <v>357</v>
      </c>
      <c r="I93" s="1">
        <f t="shared" si="5"/>
        <v>1</v>
      </c>
      <c r="J93" s="1" t="str">
        <f>'Source build'!A93</f>
        <v>L00087</v>
      </c>
      <c r="K93" s="1">
        <f>93</f>
        <v>93</v>
      </c>
      <c r="L93" s="10">
        <f t="shared" si="6"/>
        <v>11043</v>
      </c>
      <c r="M93" s="1">
        <f t="shared" si="7"/>
        <v>1</v>
      </c>
      <c r="N93" s="1">
        <f t="shared" si="8"/>
        <v>1</v>
      </c>
      <c r="O93" s="1" t="str">
        <f>IF(I93=0,"UNUSED",IF(A93="","MISSING ID",IF(K93=0,"UNEXPECTED ID",IF(N93&lt;&gt;1,"ID / ORDER DIFFERENCE",IF('Source build'!U93&lt;&gt;"INCLUDED","EXCLUDED SOURCE",IF(NOT(M93),"INVALID AMOUNT",IF('Source build'!Y93&lt;&gt;0,"CHANGED FIELDS","MATCH")))))))</f>
        <v>MATCH</v>
      </c>
      <c r="P93" s="1" t="str">
        <f t="shared" si="9"/>
        <v>2026-02</v>
      </c>
    </row>
    <row r="94" spans="1:16" ht="18.95" customHeight="1">
      <c r="A94" s="7" t="s">
        <v>358</v>
      </c>
      <c r="B94" s="7" t="s">
        <v>355</v>
      </c>
      <c r="C94" s="7" t="s">
        <v>356</v>
      </c>
      <c r="D94" s="7" t="s">
        <v>93</v>
      </c>
      <c r="E94" s="7" t="s">
        <v>46</v>
      </c>
      <c r="F94" s="7" t="s">
        <v>98</v>
      </c>
      <c r="G94" s="7" t="s">
        <v>359</v>
      </c>
      <c r="I94" s="1">
        <f t="shared" si="5"/>
        <v>1</v>
      </c>
      <c r="J94" s="1" t="str">
        <f>'Source build'!A94</f>
        <v>L00088</v>
      </c>
      <c r="K94" s="1">
        <f>94</f>
        <v>94</v>
      </c>
      <c r="L94" s="10">
        <f t="shared" si="6"/>
        <v>18590</v>
      </c>
      <c r="M94" s="1">
        <f t="shared" si="7"/>
        <v>1</v>
      </c>
      <c r="N94" s="1">
        <f t="shared" si="8"/>
        <v>1</v>
      </c>
      <c r="O94" s="1" t="str">
        <f>IF(I94=0,"UNUSED",IF(A94="","MISSING ID",IF(K94=0,"UNEXPECTED ID",IF(N94&lt;&gt;1,"ID / ORDER DIFFERENCE",IF('Source build'!U94&lt;&gt;"INCLUDED","EXCLUDED SOURCE",IF(NOT(M94),"INVALID AMOUNT",IF('Source build'!Y94&lt;&gt;0,"CHANGED FIELDS","MATCH")))))))</f>
        <v>MATCH</v>
      </c>
      <c r="P94" s="1" t="str">
        <f t="shared" si="9"/>
        <v>2026-02</v>
      </c>
    </row>
    <row r="95" spans="1:16" ht="18.95" customHeight="1">
      <c r="A95" s="7" t="s">
        <v>360</v>
      </c>
      <c r="B95" s="7" t="s">
        <v>361</v>
      </c>
      <c r="C95" s="7" t="s">
        <v>362</v>
      </c>
      <c r="D95" s="7" t="s">
        <v>97</v>
      </c>
      <c r="E95" s="7" t="s">
        <v>47</v>
      </c>
      <c r="F95" s="7" t="s">
        <v>98</v>
      </c>
      <c r="G95" s="7" t="s">
        <v>363</v>
      </c>
      <c r="I95" s="1">
        <f t="shared" si="5"/>
        <v>1</v>
      </c>
      <c r="J95" s="1" t="str">
        <f>'Source build'!A95</f>
        <v>L00089</v>
      </c>
      <c r="K95" s="1">
        <f>95</f>
        <v>95</v>
      </c>
      <c r="L95" s="10">
        <f t="shared" si="6"/>
        <v>7510</v>
      </c>
      <c r="M95" s="1">
        <f t="shared" si="7"/>
        <v>1</v>
      </c>
      <c r="N95" s="1">
        <f t="shared" si="8"/>
        <v>1</v>
      </c>
      <c r="O95" s="1" t="str">
        <f>IF(I95=0,"UNUSED",IF(A95="","MISSING ID",IF(K95=0,"UNEXPECTED ID",IF(N95&lt;&gt;1,"ID / ORDER DIFFERENCE",IF('Source build'!U95&lt;&gt;"INCLUDED","EXCLUDED SOURCE",IF(NOT(M95),"INVALID AMOUNT",IF('Source build'!Y95&lt;&gt;0,"CHANGED FIELDS","MATCH")))))))</f>
        <v>MATCH</v>
      </c>
      <c r="P95" s="1" t="str">
        <f t="shared" si="9"/>
        <v>2026-02</v>
      </c>
    </row>
    <row r="96" spans="1:16" ht="18.95" customHeight="1">
      <c r="A96" s="7" t="s">
        <v>364</v>
      </c>
      <c r="B96" s="7" t="s">
        <v>361</v>
      </c>
      <c r="C96" s="7" t="s">
        <v>362</v>
      </c>
      <c r="D96" s="7" t="s">
        <v>103</v>
      </c>
      <c r="E96" s="7" t="s">
        <v>48</v>
      </c>
      <c r="F96" s="7" t="s">
        <v>98</v>
      </c>
      <c r="G96" s="7" t="s">
        <v>365</v>
      </c>
      <c r="I96" s="1">
        <f t="shared" si="5"/>
        <v>1</v>
      </c>
      <c r="J96" s="1" t="str">
        <f>'Source build'!A96</f>
        <v>L00090</v>
      </c>
      <c r="K96" s="1">
        <f>96</f>
        <v>96</v>
      </c>
      <c r="L96" s="10">
        <f t="shared" si="6"/>
        <v>15168</v>
      </c>
      <c r="M96" s="1">
        <f t="shared" si="7"/>
        <v>1</v>
      </c>
      <c r="N96" s="1">
        <f t="shared" si="8"/>
        <v>1</v>
      </c>
      <c r="O96" s="1" t="str">
        <f>IF(I96=0,"UNUSED",IF(A96="","MISSING ID",IF(K96=0,"UNEXPECTED ID",IF(N96&lt;&gt;1,"ID / ORDER DIFFERENCE",IF('Source build'!U96&lt;&gt;"INCLUDED","EXCLUDED SOURCE",IF(NOT(M96),"INVALID AMOUNT",IF('Source build'!Y96&lt;&gt;0,"CHANGED FIELDS","MATCH")))))))</f>
        <v>MATCH</v>
      </c>
      <c r="P96" s="1" t="str">
        <f t="shared" si="9"/>
        <v>2026-02</v>
      </c>
    </row>
    <row r="97" spans="1:16" ht="18.95" customHeight="1">
      <c r="A97" s="7" t="s">
        <v>366</v>
      </c>
      <c r="B97" s="7" t="s">
        <v>367</v>
      </c>
      <c r="C97" s="7" t="s">
        <v>368</v>
      </c>
      <c r="D97" s="7" t="s">
        <v>93</v>
      </c>
      <c r="E97" s="7" t="s">
        <v>46</v>
      </c>
      <c r="F97" s="7" t="s">
        <v>98</v>
      </c>
      <c r="G97" s="7" t="s">
        <v>369</v>
      </c>
      <c r="I97" s="1">
        <f t="shared" si="5"/>
        <v>1</v>
      </c>
      <c r="J97" s="1" t="str">
        <f>'Source build'!A97</f>
        <v>L00091</v>
      </c>
      <c r="K97" s="1">
        <f>97</f>
        <v>97</v>
      </c>
      <c r="L97" s="10">
        <f t="shared" si="6"/>
        <v>3829</v>
      </c>
      <c r="M97" s="1">
        <f t="shared" si="7"/>
        <v>1</v>
      </c>
      <c r="N97" s="1">
        <f t="shared" si="8"/>
        <v>1</v>
      </c>
      <c r="O97" s="1" t="str">
        <f>IF(I97=0,"UNUSED",IF(A97="","MISSING ID",IF(K97=0,"UNEXPECTED ID",IF(N97&lt;&gt;1,"ID / ORDER DIFFERENCE",IF('Source build'!U97&lt;&gt;"INCLUDED","EXCLUDED SOURCE",IF(NOT(M97),"INVALID AMOUNT",IF('Source build'!Y97&lt;&gt;0,"CHANGED FIELDS","MATCH")))))))</f>
        <v>MATCH</v>
      </c>
      <c r="P97" s="1" t="str">
        <f t="shared" si="9"/>
        <v>2026-02</v>
      </c>
    </row>
    <row r="98" spans="1:16" ht="18.95" customHeight="1">
      <c r="A98" s="7" t="s">
        <v>370</v>
      </c>
      <c r="B98" s="7" t="s">
        <v>367</v>
      </c>
      <c r="C98" s="7" t="s">
        <v>368</v>
      </c>
      <c r="D98" s="7" t="s">
        <v>97</v>
      </c>
      <c r="E98" s="7" t="s">
        <v>47</v>
      </c>
      <c r="F98" s="7" t="s">
        <v>98</v>
      </c>
      <c r="G98" s="7" t="s">
        <v>371</v>
      </c>
      <c r="I98" s="1">
        <f t="shared" si="5"/>
        <v>1</v>
      </c>
      <c r="J98" s="1" t="str">
        <f>'Source build'!A98</f>
        <v>L00092</v>
      </c>
      <c r="K98" s="1">
        <f>98</f>
        <v>98</v>
      </c>
      <c r="L98" s="10">
        <f t="shared" si="6"/>
        <v>11598</v>
      </c>
      <c r="M98" s="1">
        <f t="shared" si="7"/>
        <v>1</v>
      </c>
      <c r="N98" s="1">
        <f t="shared" si="8"/>
        <v>1</v>
      </c>
      <c r="O98" s="1" t="str">
        <f>IF(I98=0,"UNUSED",IF(A98="","MISSING ID",IF(K98=0,"UNEXPECTED ID",IF(N98&lt;&gt;1,"ID / ORDER DIFFERENCE",IF('Source build'!U98&lt;&gt;"INCLUDED","EXCLUDED SOURCE",IF(NOT(M98),"INVALID AMOUNT",IF('Source build'!Y98&lt;&gt;0,"CHANGED FIELDS","MATCH")))))))</f>
        <v>MATCH</v>
      </c>
      <c r="P98" s="1" t="str">
        <f t="shared" si="9"/>
        <v>2026-02</v>
      </c>
    </row>
    <row r="99" spans="1:16" ht="18.95" customHeight="1">
      <c r="A99" s="7" t="s">
        <v>372</v>
      </c>
      <c r="B99" s="7" t="s">
        <v>373</v>
      </c>
      <c r="C99" s="7" t="s">
        <v>374</v>
      </c>
      <c r="D99" s="7" t="s">
        <v>103</v>
      </c>
      <c r="E99" s="7" t="s">
        <v>48</v>
      </c>
      <c r="F99" s="7" t="s">
        <v>94</v>
      </c>
      <c r="G99" s="7" t="s">
        <v>375</v>
      </c>
      <c r="I99" s="1">
        <f t="shared" si="5"/>
        <v>1</v>
      </c>
      <c r="J99" s="1" t="str">
        <f>'Source build'!A99</f>
        <v>L00093</v>
      </c>
      <c r="K99" s="1">
        <f>99</f>
        <v>99</v>
      </c>
      <c r="L99" s="10">
        <f t="shared" si="6"/>
        <v>-19515</v>
      </c>
      <c r="M99" s="1">
        <f t="shared" si="7"/>
        <v>1</v>
      </c>
      <c r="N99" s="1">
        <f t="shared" si="8"/>
        <v>1</v>
      </c>
      <c r="O99" s="1" t="str">
        <f>IF(I99=0,"UNUSED",IF(A99="","MISSING ID",IF(K99=0,"UNEXPECTED ID",IF(N99&lt;&gt;1,"ID / ORDER DIFFERENCE",IF('Source build'!U99&lt;&gt;"INCLUDED","EXCLUDED SOURCE",IF(NOT(M99),"INVALID AMOUNT",IF('Source build'!Y99&lt;&gt;0,"CHANGED FIELDS","MATCH")))))))</f>
        <v>MATCH</v>
      </c>
      <c r="P99" s="1" t="str">
        <f t="shared" si="9"/>
        <v>2026-02</v>
      </c>
    </row>
    <row r="100" spans="1:16" ht="18.95" customHeight="1">
      <c r="A100" s="7" t="s">
        <v>376</v>
      </c>
      <c r="B100" s="7" t="s">
        <v>373</v>
      </c>
      <c r="C100" s="7" t="s">
        <v>374</v>
      </c>
      <c r="D100" s="7" t="s">
        <v>93</v>
      </c>
      <c r="E100" s="7" t="s">
        <v>46</v>
      </c>
      <c r="F100" s="7" t="s">
        <v>98</v>
      </c>
      <c r="G100" s="7" t="s">
        <v>377</v>
      </c>
      <c r="I100" s="1">
        <f t="shared" si="5"/>
        <v>1</v>
      </c>
      <c r="J100" s="1" t="str">
        <f>'Source build'!A100</f>
        <v>L00094</v>
      </c>
      <c r="K100" s="1">
        <f>100</f>
        <v>100</v>
      </c>
      <c r="L100" s="10">
        <f t="shared" si="6"/>
        <v>7880</v>
      </c>
      <c r="M100" s="1">
        <f t="shared" si="7"/>
        <v>1</v>
      </c>
      <c r="N100" s="1">
        <f t="shared" si="8"/>
        <v>1</v>
      </c>
      <c r="O100" s="1" t="str">
        <f>IF(I100=0,"UNUSED",IF(A100="","MISSING ID",IF(K100=0,"UNEXPECTED ID",IF(N100&lt;&gt;1,"ID / ORDER DIFFERENCE",IF('Source build'!U100&lt;&gt;"INCLUDED","EXCLUDED SOURCE",IF(NOT(M100),"INVALID AMOUNT",IF('Source build'!Y100&lt;&gt;0,"CHANGED FIELDS","MATCH")))))))</f>
        <v>MATCH</v>
      </c>
      <c r="P100" s="1" t="str">
        <f t="shared" si="9"/>
        <v>2026-02</v>
      </c>
    </row>
    <row r="101" spans="1:16" ht="18.95" customHeight="1">
      <c r="A101" s="7" t="s">
        <v>378</v>
      </c>
      <c r="B101" s="7" t="s">
        <v>379</v>
      </c>
      <c r="C101" s="7" t="s">
        <v>380</v>
      </c>
      <c r="D101" s="7" t="s">
        <v>97</v>
      </c>
      <c r="E101" s="7" t="s">
        <v>47</v>
      </c>
      <c r="F101" s="7" t="s">
        <v>98</v>
      </c>
      <c r="G101" s="7" t="s">
        <v>381</v>
      </c>
      <c r="I101" s="1">
        <f t="shared" si="5"/>
        <v>1</v>
      </c>
      <c r="J101" s="1" t="str">
        <f>'Source build'!A101</f>
        <v>L00095</v>
      </c>
      <c r="K101" s="1">
        <f>101</f>
        <v>101</v>
      </c>
      <c r="L101" s="10">
        <f t="shared" si="6"/>
        <v>15908</v>
      </c>
      <c r="M101" s="1">
        <f t="shared" si="7"/>
        <v>1</v>
      </c>
      <c r="N101" s="1">
        <f t="shared" si="8"/>
        <v>1</v>
      </c>
      <c r="O101" s="1" t="str">
        <f>IF(I101=0,"UNUSED",IF(A101="","MISSING ID",IF(K101=0,"UNEXPECTED ID",IF(N101&lt;&gt;1,"ID / ORDER DIFFERENCE",IF('Source build'!U101&lt;&gt;"INCLUDED","EXCLUDED SOURCE",IF(NOT(M101),"INVALID AMOUNT",IF('Source build'!Y101&lt;&gt;0,"CHANGED FIELDS","MATCH")))))))</f>
        <v>MATCH</v>
      </c>
      <c r="P101" s="1" t="str">
        <f t="shared" si="9"/>
        <v>2026-03</v>
      </c>
    </row>
    <row r="102" spans="1:16" ht="18.95" customHeight="1">
      <c r="A102" s="7" t="s">
        <v>382</v>
      </c>
      <c r="B102" s="7" t="s">
        <v>379</v>
      </c>
      <c r="C102" s="7" t="s">
        <v>380</v>
      </c>
      <c r="D102" s="7" t="s">
        <v>103</v>
      </c>
      <c r="E102" s="7" t="s">
        <v>48</v>
      </c>
      <c r="F102" s="7" t="s">
        <v>98</v>
      </c>
      <c r="G102" s="7" t="s">
        <v>383</v>
      </c>
      <c r="I102" s="1">
        <f t="shared" si="5"/>
        <v>1</v>
      </c>
      <c r="J102" s="1" t="str">
        <f>'Source build'!A102</f>
        <v>L00096</v>
      </c>
      <c r="K102" s="1">
        <f>102</f>
        <v>102</v>
      </c>
      <c r="L102" s="10">
        <f t="shared" si="6"/>
        <v>4014</v>
      </c>
      <c r="M102" s="1">
        <f t="shared" si="7"/>
        <v>1</v>
      </c>
      <c r="N102" s="1">
        <f t="shared" si="8"/>
        <v>1</v>
      </c>
      <c r="O102" s="1" t="str">
        <f>IF(I102=0,"UNUSED",IF(A102="","MISSING ID",IF(K102=0,"UNEXPECTED ID",IF(N102&lt;&gt;1,"ID / ORDER DIFFERENCE",IF('Source build'!U102&lt;&gt;"INCLUDED","EXCLUDED SOURCE",IF(NOT(M102),"INVALID AMOUNT",IF('Source build'!Y102&lt;&gt;0,"CHANGED FIELDS","MATCH")))))))</f>
        <v>MATCH</v>
      </c>
      <c r="P102" s="1" t="str">
        <f t="shared" si="9"/>
        <v>2026-03</v>
      </c>
    </row>
    <row r="103" spans="1:16" ht="18.95" customHeight="1">
      <c r="A103" s="7" t="s">
        <v>384</v>
      </c>
      <c r="B103" s="7" t="s">
        <v>385</v>
      </c>
      <c r="C103" s="7" t="s">
        <v>386</v>
      </c>
      <c r="D103" s="7" t="s">
        <v>93</v>
      </c>
      <c r="E103" s="7" t="s">
        <v>46</v>
      </c>
      <c r="F103" s="7" t="s">
        <v>98</v>
      </c>
      <c r="G103" s="7" t="s">
        <v>387</v>
      </c>
      <c r="I103" s="1">
        <f t="shared" si="5"/>
        <v>1</v>
      </c>
      <c r="J103" s="1" t="str">
        <f>'Source build'!A103</f>
        <v>L00097</v>
      </c>
      <c r="K103" s="1">
        <f>103</f>
        <v>103</v>
      </c>
      <c r="L103" s="10">
        <f t="shared" si="6"/>
        <v>12153</v>
      </c>
      <c r="M103" s="1">
        <f t="shared" si="7"/>
        <v>1</v>
      </c>
      <c r="N103" s="1">
        <f t="shared" si="8"/>
        <v>1</v>
      </c>
      <c r="O103" s="1" t="str">
        <f>IF(I103=0,"UNUSED",IF(A103="","MISSING ID",IF(K103=0,"UNEXPECTED ID",IF(N103&lt;&gt;1,"ID / ORDER DIFFERENCE",IF('Source build'!U103&lt;&gt;"INCLUDED","EXCLUDED SOURCE",IF(NOT(M103),"INVALID AMOUNT",IF('Source build'!Y103&lt;&gt;0,"CHANGED FIELDS","MATCH")))))))</f>
        <v>MATCH</v>
      </c>
      <c r="P103" s="1" t="str">
        <f t="shared" si="9"/>
        <v>2026-03</v>
      </c>
    </row>
    <row r="104" spans="1:16" ht="18.95" customHeight="1">
      <c r="A104" s="7" t="s">
        <v>388</v>
      </c>
      <c r="B104" s="7" t="s">
        <v>385</v>
      </c>
      <c r="C104" s="7" t="s">
        <v>386</v>
      </c>
      <c r="D104" s="7" t="s">
        <v>97</v>
      </c>
      <c r="E104" s="7" t="s">
        <v>47</v>
      </c>
      <c r="F104" s="7" t="s">
        <v>98</v>
      </c>
      <c r="G104" s="7" t="s">
        <v>389</v>
      </c>
      <c r="I104" s="1">
        <f t="shared" si="5"/>
        <v>1</v>
      </c>
      <c r="J104" s="1" t="str">
        <f>'Source build'!A104</f>
        <v>L00098</v>
      </c>
      <c r="K104" s="1">
        <f>104</f>
        <v>104</v>
      </c>
      <c r="L104" s="10">
        <f t="shared" si="6"/>
        <v>20440</v>
      </c>
      <c r="M104" s="1">
        <f t="shared" si="7"/>
        <v>1</v>
      </c>
      <c r="N104" s="1">
        <f t="shared" si="8"/>
        <v>1</v>
      </c>
      <c r="O104" s="1" t="str">
        <f>IF(I104=0,"UNUSED",IF(A104="","MISSING ID",IF(K104=0,"UNEXPECTED ID",IF(N104&lt;&gt;1,"ID / ORDER DIFFERENCE",IF('Source build'!U104&lt;&gt;"INCLUDED","EXCLUDED SOURCE",IF(NOT(M104),"INVALID AMOUNT",IF('Source build'!Y104&lt;&gt;0,"CHANGED FIELDS","MATCH")))))))</f>
        <v>MATCH</v>
      </c>
      <c r="P104" s="1" t="str">
        <f t="shared" si="9"/>
        <v>2026-03</v>
      </c>
    </row>
    <row r="105" spans="1:16" ht="18.95" customHeight="1">
      <c r="A105" s="7" t="s">
        <v>390</v>
      </c>
      <c r="B105" s="7" t="s">
        <v>391</v>
      </c>
      <c r="C105" s="7" t="s">
        <v>392</v>
      </c>
      <c r="D105" s="7" t="s">
        <v>103</v>
      </c>
      <c r="E105" s="7" t="s">
        <v>48</v>
      </c>
      <c r="F105" s="7" t="s">
        <v>98</v>
      </c>
      <c r="G105" s="7" t="s">
        <v>393</v>
      </c>
      <c r="I105" s="1">
        <f t="shared" si="5"/>
        <v>1</v>
      </c>
      <c r="J105" s="1" t="str">
        <f>'Source build'!A105</f>
        <v>L00099</v>
      </c>
      <c r="K105" s="1">
        <f>105</f>
        <v>105</v>
      </c>
      <c r="L105" s="10">
        <f t="shared" si="6"/>
        <v>8250</v>
      </c>
      <c r="M105" s="1">
        <f t="shared" si="7"/>
        <v>1</v>
      </c>
      <c r="N105" s="1">
        <f t="shared" si="8"/>
        <v>1</v>
      </c>
      <c r="O105" s="1" t="str">
        <f>IF(I105=0,"UNUSED",IF(A105="","MISSING ID",IF(K105=0,"UNEXPECTED ID",IF(N105&lt;&gt;1,"ID / ORDER DIFFERENCE",IF('Source build'!U105&lt;&gt;"INCLUDED","EXCLUDED SOURCE",IF(NOT(M105),"INVALID AMOUNT",IF('Source build'!Y105&lt;&gt;0,"CHANGED FIELDS","MATCH")))))))</f>
        <v>MATCH</v>
      </c>
      <c r="P105" s="1" t="str">
        <f t="shared" si="9"/>
        <v>2026-03</v>
      </c>
    </row>
    <row r="106" spans="1:16" ht="18.95" customHeight="1">
      <c r="A106" s="7" t="s">
        <v>394</v>
      </c>
      <c r="B106" s="7" t="s">
        <v>391</v>
      </c>
      <c r="C106" s="7" t="s">
        <v>392</v>
      </c>
      <c r="D106" s="7" t="s">
        <v>93</v>
      </c>
      <c r="E106" s="7" t="s">
        <v>46</v>
      </c>
      <c r="F106" s="7" t="s">
        <v>98</v>
      </c>
      <c r="G106" s="7" t="s">
        <v>395</v>
      </c>
      <c r="I106" s="1">
        <f t="shared" si="5"/>
        <v>1</v>
      </c>
      <c r="J106" s="1" t="str">
        <f>'Source build'!A106</f>
        <v>L00100</v>
      </c>
      <c r="K106" s="1">
        <f>106</f>
        <v>106</v>
      </c>
      <c r="L106" s="10">
        <f t="shared" si="6"/>
        <v>16648</v>
      </c>
      <c r="M106" s="1">
        <f t="shared" si="7"/>
        <v>1</v>
      </c>
      <c r="N106" s="1">
        <f t="shared" si="8"/>
        <v>1</v>
      </c>
      <c r="O106" s="1" t="str">
        <f>IF(I106=0,"UNUSED",IF(A106="","MISSING ID",IF(K106=0,"UNEXPECTED ID",IF(N106&lt;&gt;1,"ID / ORDER DIFFERENCE",IF('Source build'!U106&lt;&gt;"INCLUDED","EXCLUDED SOURCE",IF(NOT(M106),"INVALID AMOUNT",IF('Source build'!Y106&lt;&gt;0,"CHANGED FIELDS","MATCH")))))))</f>
        <v>MATCH</v>
      </c>
      <c r="P106" s="1" t="str">
        <f t="shared" si="9"/>
        <v>2026-03</v>
      </c>
    </row>
    <row r="107" spans="1:16" ht="18.95" customHeight="1">
      <c r="A107" s="7" t="s">
        <v>396</v>
      </c>
      <c r="B107" s="7" t="s">
        <v>397</v>
      </c>
      <c r="C107" s="7" t="s">
        <v>398</v>
      </c>
      <c r="D107" s="7" t="s">
        <v>97</v>
      </c>
      <c r="E107" s="7" t="s">
        <v>47</v>
      </c>
      <c r="F107" s="7" t="s">
        <v>98</v>
      </c>
      <c r="G107" s="7" t="s">
        <v>399</v>
      </c>
      <c r="I107" s="1">
        <f t="shared" si="5"/>
        <v>1</v>
      </c>
      <c r="J107" s="1" t="str">
        <f>'Source build'!A107</f>
        <v>L00101</v>
      </c>
      <c r="K107" s="1">
        <f>107</f>
        <v>107</v>
      </c>
      <c r="L107" s="10">
        <f t="shared" si="6"/>
        <v>4199</v>
      </c>
      <c r="M107" s="1">
        <f t="shared" si="7"/>
        <v>1</v>
      </c>
      <c r="N107" s="1">
        <f t="shared" si="8"/>
        <v>1</v>
      </c>
      <c r="O107" s="1" t="str">
        <f>IF(I107=0,"UNUSED",IF(A107="","MISSING ID",IF(K107=0,"UNEXPECTED ID",IF(N107&lt;&gt;1,"ID / ORDER DIFFERENCE",IF('Source build'!U107&lt;&gt;"INCLUDED","EXCLUDED SOURCE",IF(NOT(M107),"INVALID AMOUNT",IF('Source build'!Y107&lt;&gt;0,"CHANGED FIELDS","MATCH")))))))</f>
        <v>MATCH</v>
      </c>
      <c r="P107" s="1" t="str">
        <f t="shared" si="9"/>
        <v>2026-03</v>
      </c>
    </row>
    <row r="108" spans="1:16" ht="18.95" customHeight="1">
      <c r="A108" s="7" t="s">
        <v>400</v>
      </c>
      <c r="B108" s="7" t="s">
        <v>397</v>
      </c>
      <c r="C108" s="7" t="s">
        <v>398</v>
      </c>
      <c r="D108" s="7" t="s">
        <v>103</v>
      </c>
      <c r="E108" s="7" t="s">
        <v>48</v>
      </c>
      <c r="F108" s="7" t="s">
        <v>98</v>
      </c>
      <c r="G108" s="7" t="s">
        <v>401</v>
      </c>
      <c r="I108" s="1">
        <f t="shared" si="5"/>
        <v>1</v>
      </c>
      <c r="J108" s="1" t="str">
        <f>'Source build'!A108</f>
        <v>L00102</v>
      </c>
      <c r="K108" s="1">
        <f>108</f>
        <v>108</v>
      </c>
      <c r="L108" s="10">
        <f t="shared" si="6"/>
        <v>12708</v>
      </c>
      <c r="M108" s="1">
        <f t="shared" si="7"/>
        <v>1</v>
      </c>
      <c r="N108" s="1">
        <f t="shared" si="8"/>
        <v>1</v>
      </c>
      <c r="O108" s="1" t="str">
        <f>IF(I108=0,"UNUSED",IF(A108="","MISSING ID",IF(K108=0,"UNEXPECTED ID",IF(N108&lt;&gt;1,"ID / ORDER DIFFERENCE",IF('Source build'!U108&lt;&gt;"INCLUDED","EXCLUDED SOURCE",IF(NOT(M108),"INVALID AMOUNT",IF('Source build'!Y108&lt;&gt;0,"CHANGED FIELDS","MATCH")))))))</f>
        <v>MATCH</v>
      </c>
      <c r="P108" s="1" t="str">
        <f t="shared" si="9"/>
        <v>2026-03</v>
      </c>
    </row>
    <row r="109" spans="1:16" ht="18.95" customHeight="1">
      <c r="A109" s="7" t="s">
        <v>402</v>
      </c>
      <c r="B109" s="7" t="s">
        <v>403</v>
      </c>
      <c r="C109" s="7" t="s">
        <v>404</v>
      </c>
      <c r="D109" s="7" t="s">
        <v>93</v>
      </c>
      <c r="E109" s="7" t="s">
        <v>46</v>
      </c>
      <c r="F109" s="7" t="s">
        <v>98</v>
      </c>
      <c r="G109" s="7" t="s">
        <v>405</v>
      </c>
      <c r="I109" s="1">
        <f t="shared" si="5"/>
        <v>1</v>
      </c>
      <c r="J109" s="1" t="str">
        <f>'Source build'!A109</f>
        <v>L00103</v>
      </c>
      <c r="K109" s="1">
        <f>109</f>
        <v>109</v>
      </c>
      <c r="L109" s="10">
        <f t="shared" si="6"/>
        <v>21365</v>
      </c>
      <c r="M109" s="1">
        <f t="shared" si="7"/>
        <v>1</v>
      </c>
      <c r="N109" s="1">
        <f t="shared" si="8"/>
        <v>1</v>
      </c>
      <c r="O109" s="1" t="str">
        <f>IF(I109=0,"UNUSED",IF(A109="","MISSING ID",IF(K109=0,"UNEXPECTED ID",IF(N109&lt;&gt;1,"ID / ORDER DIFFERENCE",IF('Source build'!U109&lt;&gt;"INCLUDED","EXCLUDED SOURCE",IF(NOT(M109),"INVALID AMOUNT",IF('Source build'!Y109&lt;&gt;0,"CHANGED FIELDS","MATCH")))))))</f>
        <v>MATCH</v>
      </c>
      <c r="P109" s="1" t="str">
        <f t="shared" si="9"/>
        <v>2026-03</v>
      </c>
    </row>
    <row r="110" spans="1:16" ht="18.95" customHeight="1">
      <c r="A110" s="7" t="s">
        <v>406</v>
      </c>
      <c r="B110" s="7" t="s">
        <v>403</v>
      </c>
      <c r="C110" s="7" t="s">
        <v>404</v>
      </c>
      <c r="D110" s="7" t="s">
        <v>97</v>
      </c>
      <c r="E110" s="7" t="s">
        <v>47</v>
      </c>
      <c r="F110" s="7" t="s">
        <v>98</v>
      </c>
      <c r="G110" s="7" t="s">
        <v>407</v>
      </c>
      <c r="I110" s="1">
        <f t="shared" si="5"/>
        <v>1</v>
      </c>
      <c r="J110" s="1" t="str">
        <f>'Source build'!A110</f>
        <v>L00104</v>
      </c>
      <c r="K110" s="1">
        <f>110</f>
        <v>110</v>
      </c>
      <c r="L110" s="10">
        <f t="shared" si="6"/>
        <v>8620</v>
      </c>
      <c r="M110" s="1">
        <f t="shared" si="7"/>
        <v>1</v>
      </c>
      <c r="N110" s="1">
        <f t="shared" si="8"/>
        <v>1</v>
      </c>
      <c r="O110" s="1" t="str">
        <f>IF(I110=0,"UNUSED",IF(A110="","MISSING ID",IF(K110=0,"UNEXPECTED ID",IF(N110&lt;&gt;1,"ID / ORDER DIFFERENCE",IF('Source build'!U110&lt;&gt;"INCLUDED","EXCLUDED SOURCE",IF(NOT(M110),"INVALID AMOUNT",IF('Source build'!Y110&lt;&gt;0,"CHANGED FIELDS","MATCH")))))))</f>
        <v>MATCH</v>
      </c>
      <c r="P110" s="1" t="str">
        <f t="shared" si="9"/>
        <v>2026-03</v>
      </c>
    </row>
    <row r="111" spans="1:16" ht="18.95" customHeight="1">
      <c r="A111" s="7" t="s">
        <v>408</v>
      </c>
      <c r="B111" s="7" t="s">
        <v>409</v>
      </c>
      <c r="C111" s="7" t="s">
        <v>410</v>
      </c>
      <c r="D111" s="7" t="s">
        <v>103</v>
      </c>
      <c r="E111" s="7" t="s">
        <v>48</v>
      </c>
      <c r="F111" s="7" t="s">
        <v>98</v>
      </c>
      <c r="G111" s="7" t="s">
        <v>411</v>
      </c>
      <c r="I111" s="1">
        <f t="shared" si="5"/>
        <v>1</v>
      </c>
      <c r="J111" s="1" t="str">
        <f>'Source build'!A111</f>
        <v>L00105</v>
      </c>
      <c r="K111" s="1">
        <f>111</f>
        <v>111</v>
      </c>
      <c r="L111" s="10">
        <f t="shared" si="6"/>
        <v>17388</v>
      </c>
      <c r="M111" s="1">
        <f t="shared" si="7"/>
        <v>1</v>
      </c>
      <c r="N111" s="1">
        <f t="shared" si="8"/>
        <v>1</v>
      </c>
      <c r="O111" s="1" t="str">
        <f>IF(I111=0,"UNUSED",IF(A111="","MISSING ID",IF(K111=0,"UNEXPECTED ID",IF(N111&lt;&gt;1,"ID / ORDER DIFFERENCE",IF('Source build'!U111&lt;&gt;"INCLUDED","EXCLUDED SOURCE",IF(NOT(M111),"INVALID AMOUNT",IF('Source build'!Y111&lt;&gt;0,"CHANGED FIELDS","MATCH")))))))</f>
        <v>MATCH</v>
      </c>
      <c r="P111" s="1" t="str">
        <f t="shared" si="9"/>
        <v>2026-01</v>
      </c>
    </row>
    <row r="112" spans="1:16" ht="18.95" customHeight="1">
      <c r="A112" s="7" t="s">
        <v>412</v>
      </c>
      <c r="B112" s="7" t="s">
        <v>409</v>
      </c>
      <c r="C112" s="7" t="s">
        <v>410</v>
      </c>
      <c r="D112" s="7" t="s">
        <v>93</v>
      </c>
      <c r="E112" s="7" t="s">
        <v>46</v>
      </c>
      <c r="F112" s="7" t="s">
        <v>98</v>
      </c>
      <c r="G112" s="7" t="s">
        <v>413</v>
      </c>
      <c r="I112" s="1">
        <f t="shared" si="5"/>
        <v>1</v>
      </c>
      <c r="J112" s="1" t="str">
        <f>'Source build'!A112</f>
        <v>L00106</v>
      </c>
      <c r="K112" s="1">
        <f>112</f>
        <v>112</v>
      </c>
      <c r="L112" s="10">
        <f t="shared" si="6"/>
        <v>4384</v>
      </c>
      <c r="M112" s="1">
        <f t="shared" si="7"/>
        <v>1</v>
      </c>
      <c r="N112" s="1">
        <f t="shared" si="8"/>
        <v>1</v>
      </c>
      <c r="O112" s="1" t="str">
        <f>IF(I112=0,"UNUSED",IF(A112="","MISSING ID",IF(K112=0,"UNEXPECTED ID",IF(N112&lt;&gt;1,"ID / ORDER DIFFERENCE",IF('Source build'!U112&lt;&gt;"INCLUDED","EXCLUDED SOURCE",IF(NOT(M112),"INVALID AMOUNT",IF('Source build'!Y112&lt;&gt;0,"CHANGED FIELDS","MATCH")))))))</f>
        <v>MATCH</v>
      </c>
      <c r="P112" s="1" t="str">
        <f t="shared" si="9"/>
        <v>2026-01</v>
      </c>
    </row>
    <row r="113" spans="1:16" ht="18.95" customHeight="1">
      <c r="A113" s="7" t="s">
        <v>414</v>
      </c>
      <c r="B113" s="7" t="s">
        <v>415</v>
      </c>
      <c r="C113" s="7" t="s">
        <v>416</v>
      </c>
      <c r="D113" s="7" t="s">
        <v>97</v>
      </c>
      <c r="E113" s="7" t="s">
        <v>47</v>
      </c>
      <c r="F113" s="7" t="s">
        <v>98</v>
      </c>
      <c r="G113" s="7" t="s">
        <v>417</v>
      </c>
      <c r="I113" s="1">
        <f t="shared" si="5"/>
        <v>1</v>
      </c>
      <c r="J113" s="1" t="str">
        <f>'Source build'!A113</f>
        <v>L00107</v>
      </c>
      <c r="K113" s="1">
        <f>113</f>
        <v>113</v>
      </c>
      <c r="L113" s="10">
        <f t="shared" si="6"/>
        <v>13263</v>
      </c>
      <c r="M113" s="1">
        <f t="shared" si="7"/>
        <v>1</v>
      </c>
      <c r="N113" s="1">
        <f t="shared" si="8"/>
        <v>1</v>
      </c>
      <c r="O113" s="1" t="str">
        <f>IF(I113=0,"UNUSED",IF(A113="","MISSING ID",IF(K113=0,"UNEXPECTED ID",IF(N113&lt;&gt;1,"ID / ORDER DIFFERENCE",IF('Source build'!U113&lt;&gt;"INCLUDED","EXCLUDED SOURCE",IF(NOT(M113),"INVALID AMOUNT",IF('Source build'!Y113&lt;&gt;0,"CHANGED FIELDS","MATCH")))))))</f>
        <v>MATCH</v>
      </c>
      <c r="P113" s="1" t="str">
        <f t="shared" si="9"/>
        <v>2026-01</v>
      </c>
    </row>
    <row r="114" spans="1:16" ht="18.95" customHeight="1">
      <c r="A114" s="7" t="s">
        <v>418</v>
      </c>
      <c r="B114" s="7" t="s">
        <v>415</v>
      </c>
      <c r="C114" s="7" t="s">
        <v>416</v>
      </c>
      <c r="D114" s="7" t="s">
        <v>103</v>
      </c>
      <c r="E114" s="7" t="s">
        <v>48</v>
      </c>
      <c r="F114" s="7" t="s">
        <v>98</v>
      </c>
      <c r="G114" s="7" t="s">
        <v>419</v>
      </c>
      <c r="I114" s="1">
        <f t="shared" si="5"/>
        <v>1</v>
      </c>
      <c r="J114" s="1" t="str">
        <f>'Source build'!A114</f>
        <v>L00108</v>
      </c>
      <c r="K114" s="1">
        <f>114</f>
        <v>114</v>
      </c>
      <c r="L114" s="10">
        <f t="shared" si="6"/>
        <v>22290</v>
      </c>
      <c r="M114" s="1">
        <f t="shared" si="7"/>
        <v>1</v>
      </c>
      <c r="N114" s="1">
        <f t="shared" si="8"/>
        <v>1</v>
      </c>
      <c r="O114" s="1" t="str">
        <f>IF(I114=0,"UNUSED",IF(A114="","MISSING ID",IF(K114=0,"UNEXPECTED ID",IF(N114&lt;&gt;1,"ID / ORDER DIFFERENCE",IF('Source build'!U114&lt;&gt;"INCLUDED","EXCLUDED SOURCE",IF(NOT(M114),"INVALID AMOUNT",IF('Source build'!Y114&lt;&gt;0,"CHANGED FIELDS","MATCH")))))))</f>
        <v>MATCH</v>
      </c>
      <c r="P114" s="1" t="str">
        <f t="shared" si="9"/>
        <v>2026-01</v>
      </c>
    </row>
    <row r="115" spans="1:16" ht="18.95" customHeight="1">
      <c r="A115" s="7" t="s">
        <v>420</v>
      </c>
      <c r="B115" s="7" t="s">
        <v>421</v>
      </c>
      <c r="C115" s="7" t="s">
        <v>422</v>
      </c>
      <c r="D115" s="7" t="s">
        <v>93</v>
      </c>
      <c r="E115" s="7" t="s">
        <v>46</v>
      </c>
      <c r="F115" s="7" t="s">
        <v>98</v>
      </c>
      <c r="G115" s="7" t="s">
        <v>423</v>
      </c>
      <c r="I115" s="1">
        <f t="shared" si="5"/>
        <v>1</v>
      </c>
      <c r="J115" s="1" t="str">
        <f>'Source build'!A115</f>
        <v>L00109</v>
      </c>
      <c r="K115" s="1">
        <f>115</f>
        <v>115</v>
      </c>
      <c r="L115" s="10">
        <f t="shared" si="6"/>
        <v>8990</v>
      </c>
      <c r="M115" s="1">
        <f t="shared" si="7"/>
        <v>1</v>
      </c>
      <c r="N115" s="1">
        <f t="shared" si="8"/>
        <v>1</v>
      </c>
      <c r="O115" s="1" t="str">
        <f>IF(I115=0,"UNUSED",IF(A115="","MISSING ID",IF(K115=0,"UNEXPECTED ID",IF(N115&lt;&gt;1,"ID / ORDER DIFFERENCE",IF('Source build'!U115&lt;&gt;"INCLUDED","EXCLUDED SOURCE",IF(NOT(M115),"INVALID AMOUNT",IF('Source build'!Y115&lt;&gt;0,"CHANGED FIELDS","MATCH")))))))</f>
        <v>MATCH</v>
      </c>
      <c r="P115" s="1" t="str">
        <f t="shared" si="9"/>
        <v>2026-01</v>
      </c>
    </row>
    <row r="116" spans="1:16" ht="18.95" customHeight="1">
      <c r="A116" s="7" t="s">
        <v>424</v>
      </c>
      <c r="B116" s="7" t="s">
        <v>421</v>
      </c>
      <c r="C116" s="7" t="s">
        <v>422</v>
      </c>
      <c r="D116" s="7" t="s">
        <v>97</v>
      </c>
      <c r="E116" s="7" t="s">
        <v>47</v>
      </c>
      <c r="F116" s="7" t="s">
        <v>98</v>
      </c>
      <c r="G116" s="7" t="s">
        <v>425</v>
      </c>
      <c r="I116" s="1">
        <f t="shared" si="5"/>
        <v>1</v>
      </c>
      <c r="J116" s="1" t="str">
        <f>'Source build'!A116</f>
        <v>L00110</v>
      </c>
      <c r="K116" s="1">
        <f>116</f>
        <v>116</v>
      </c>
      <c r="L116" s="10">
        <f t="shared" si="6"/>
        <v>18128</v>
      </c>
      <c r="M116" s="1">
        <f t="shared" si="7"/>
        <v>1</v>
      </c>
      <c r="N116" s="1">
        <f t="shared" si="8"/>
        <v>1</v>
      </c>
      <c r="O116" s="1" t="str">
        <f>IF(I116=0,"UNUSED",IF(A116="","MISSING ID",IF(K116=0,"UNEXPECTED ID",IF(N116&lt;&gt;1,"ID / ORDER DIFFERENCE",IF('Source build'!U116&lt;&gt;"INCLUDED","EXCLUDED SOURCE",IF(NOT(M116),"INVALID AMOUNT",IF('Source build'!Y116&lt;&gt;0,"CHANGED FIELDS","MATCH")))))))</f>
        <v>MATCH</v>
      </c>
      <c r="P116" s="1" t="str">
        <f t="shared" si="9"/>
        <v>2026-01</v>
      </c>
    </row>
    <row r="117" spans="1:16" ht="18.95" customHeight="1">
      <c r="A117" s="7" t="s">
        <v>426</v>
      </c>
      <c r="B117" s="7" t="s">
        <v>427</v>
      </c>
      <c r="C117" s="7" t="s">
        <v>428</v>
      </c>
      <c r="D117" s="7" t="s">
        <v>103</v>
      </c>
      <c r="E117" s="7" t="s">
        <v>48</v>
      </c>
      <c r="F117" s="7" t="s">
        <v>98</v>
      </c>
      <c r="G117" s="7" t="s">
        <v>429</v>
      </c>
      <c r="I117" s="1">
        <f t="shared" si="5"/>
        <v>1</v>
      </c>
      <c r="J117" s="1" t="str">
        <f>'Source build'!A117</f>
        <v>L00111</v>
      </c>
      <c r="K117" s="1">
        <f>117</f>
        <v>117</v>
      </c>
      <c r="L117" s="10">
        <f t="shared" si="6"/>
        <v>4569</v>
      </c>
      <c r="M117" s="1">
        <f t="shared" si="7"/>
        <v>1</v>
      </c>
      <c r="N117" s="1">
        <f t="shared" si="8"/>
        <v>1</v>
      </c>
      <c r="O117" s="1" t="str">
        <f>IF(I117=0,"UNUSED",IF(A117="","MISSING ID",IF(K117=0,"UNEXPECTED ID",IF(N117&lt;&gt;1,"ID / ORDER DIFFERENCE",IF('Source build'!U117&lt;&gt;"INCLUDED","EXCLUDED SOURCE",IF(NOT(M117),"INVALID AMOUNT",IF('Source build'!Y117&lt;&gt;0,"CHANGED FIELDS","MATCH")))))))</f>
        <v>MATCH</v>
      </c>
      <c r="P117" s="1" t="str">
        <f t="shared" si="9"/>
        <v>2026-01</v>
      </c>
    </row>
    <row r="118" spans="1:16" ht="18.95" customHeight="1">
      <c r="A118" s="7" t="s">
        <v>430</v>
      </c>
      <c r="B118" s="7" t="s">
        <v>427</v>
      </c>
      <c r="C118" s="7" t="s">
        <v>428</v>
      </c>
      <c r="D118" s="7" t="s">
        <v>93</v>
      </c>
      <c r="E118" s="7" t="s">
        <v>46</v>
      </c>
      <c r="F118" s="7" t="s">
        <v>98</v>
      </c>
      <c r="G118" s="7" t="s">
        <v>431</v>
      </c>
      <c r="I118" s="1">
        <f t="shared" si="5"/>
        <v>1</v>
      </c>
      <c r="J118" s="1" t="str">
        <f>'Source build'!A118</f>
        <v>L00112</v>
      </c>
      <c r="K118" s="1">
        <f>118</f>
        <v>118</v>
      </c>
      <c r="L118" s="10">
        <f t="shared" si="6"/>
        <v>13818</v>
      </c>
      <c r="M118" s="1">
        <f t="shared" si="7"/>
        <v>1</v>
      </c>
      <c r="N118" s="1">
        <f t="shared" si="8"/>
        <v>1</v>
      </c>
      <c r="O118" s="1" t="str">
        <f>IF(I118=0,"UNUSED",IF(A118="","MISSING ID",IF(K118=0,"UNEXPECTED ID",IF(N118&lt;&gt;1,"ID / ORDER DIFFERENCE",IF('Source build'!U118&lt;&gt;"INCLUDED","EXCLUDED SOURCE",IF(NOT(M118),"INVALID AMOUNT",IF('Source build'!Y118&lt;&gt;0,"CHANGED FIELDS","MATCH")))))))</f>
        <v>MATCH</v>
      </c>
      <c r="P118" s="1" t="str">
        <f t="shared" si="9"/>
        <v>2026-01</v>
      </c>
    </row>
    <row r="119" spans="1:16" ht="18.95" customHeight="1">
      <c r="A119" s="7" t="s">
        <v>432</v>
      </c>
      <c r="B119" s="7" t="s">
        <v>433</v>
      </c>
      <c r="C119" s="7" t="s">
        <v>434</v>
      </c>
      <c r="D119" s="7" t="s">
        <v>97</v>
      </c>
      <c r="E119" s="7" t="s">
        <v>47</v>
      </c>
      <c r="F119" s="7" t="s">
        <v>98</v>
      </c>
      <c r="G119" s="7" t="s">
        <v>435</v>
      </c>
      <c r="I119" s="1">
        <f t="shared" si="5"/>
        <v>1</v>
      </c>
      <c r="J119" s="1" t="str">
        <f>'Source build'!A119</f>
        <v>L00113</v>
      </c>
      <c r="K119" s="1">
        <f>119</f>
        <v>119</v>
      </c>
      <c r="L119" s="10">
        <f t="shared" si="6"/>
        <v>23215</v>
      </c>
      <c r="M119" s="1">
        <f t="shared" si="7"/>
        <v>1</v>
      </c>
      <c r="N119" s="1">
        <f t="shared" si="8"/>
        <v>1</v>
      </c>
      <c r="O119" s="1" t="str">
        <f>IF(I119=0,"UNUSED",IF(A119="","MISSING ID",IF(K119=0,"UNEXPECTED ID",IF(N119&lt;&gt;1,"ID / ORDER DIFFERENCE",IF('Source build'!U119&lt;&gt;"INCLUDED","EXCLUDED SOURCE",IF(NOT(M119),"INVALID AMOUNT",IF('Source build'!Y119&lt;&gt;0,"CHANGED FIELDS","MATCH")))))))</f>
        <v>MATCH</v>
      </c>
      <c r="P119" s="1" t="str">
        <f t="shared" si="9"/>
        <v>2026-02</v>
      </c>
    </row>
    <row r="120" spans="1:16" ht="18.95" customHeight="1">
      <c r="A120" s="7" t="s">
        <v>436</v>
      </c>
      <c r="B120" s="7" t="s">
        <v>433</v>
      </c>
      <c r="C120" s="7" t="s">
        <v>434</v>
      </c>
      <c r="D120" s="7" t="s">
        <v>103</v>
      </c>
      <c r="E120" s="7" t="s">
        <v>48</v>
      </c>
      <c r="F120" s="7" t="s">
        <v>98</v>
      </c>
      <c r="G120" s="7" t="s">
        <v>437</v>
      </c>
      <c r="I120" s="1">
        <f t="shared" si="5"/>
        <v>1</v>
      </c>
      <c r="J120" s="1" t="str">
        <f>'Source build'!A120</f>
        <v>L00114</v>
      </c>
      <c r="K120" s="1">
        <f>120</f>
        <v>120</v>
      </c>
      <c r="L120" s="10">
        <f t="shared" si="6"/>
        <v>9360</v>
      </c>
      <c r="M120" s="1">
        <f t="shared" si="7"/>
        <v>1</v>
      </c>
      <c r="N120" s="1">
        <f t="shared" si="8"/>
        <v>1</v>
      </c>
      <c r="O120" s="1" t="str">
        <f>IF(I120=0,"UNUSED",IF(A120="","MISSING ID",IF(K120=0,"UNEXPECTED ID",IF(N120&lt;&gt;1,"ID / ORDER DIFFERENCE",IF('Source build'!U120&lt;&gt;"INCLUDED","EXCLUDED SOURCE",IF(NOT(M120),"INVALID AMOUNT",IF('Source build'!Y120&lt;&gt;0,"CHANGED FIELDS","MATCH")))))))</f>
        <v>MATCH</v>
      </c>
      <c r="P120" s="1" t="str">
        <f t="shared" si="9"/>
        <v>2026-02</v>
      </c>
    </row>
    <row r="121" spans="1:16" ht="18.95" customHeight="1">
      <c r="A121" s="7" t="s">
        <v>438</v>
      </c>
      <c r="B121" s="7" t="s">
        <v>439</v>
      </c>
      <c r="C121" s="7" t="s">
        <v>440</v>
      </c>
      <c r="D121" s="7" t="s">
        <v>93</v>
      </c>
      <c r="E121" s="7" t="s">
        <v>46</v>
      </c>
      <c r="F121" s="7" t="s">
        <v>98</v>
      </c>
      <c r="G121" s="7" t="s">
        <v>441</v>
      </c>
      <c r="I121" s="1">
        <f t="shared" si="5"/>
        <v>1</v>
      </c>
      <c r="J121" s="1" t="str">
        <f>'Source build'!A121</f>
        <v>L00115</v>
      </c>
      <c r="K121" s="1">
        <f>121</f>
        <v>121</v>
      </c>
      <c r="L121" s="10">
        <f t="shared" si="6"/>
        <v>18868</v>
      </c>
      <c r="M121" s="1">
        <f t="shared" si="7"/>
        <v>1</v>
      </c>
      <c r="N121" s="1">
        <f t="shared" si="8"/>
        <v>1</v>
      </c>
      <c r="O121" s="1" t="str">
        <f>IF(I121=0,"UNUSED",IF(A121="","MISSING ID",IF(K121=0,"UNEXPECTED ID",IF(N121&lt;&gt;1,"ID / ORDER DIFFERENCE",IF('Source build'!U121&lt;&gt;"INCLUDED","EXCLUDED SOURCE",IF(NOT(M121),"INVALID AMOUNT",IF('Source build'!Y121&lt;&gt;0,"CHANGED FIELDS","MATCH")))))))</f>
        <v>MATCH</v>
      </c>
      <c r="P121" s="1" t="str">
        <f t="shared" si="9"/>
        <v>2026-02</v>
      </c>
    </row>
    <row r="122" spans="1:16" ht="18.95" customHeight="1">
      <c r="A122" s="7" t="s">
        <v>442</v>
      </c>
      <c r="B122" s="7" t="s">
        <v>439</v>
      </c>
      <c r="C122" s="7" t="s">
        <v>440</v>
      </c>
      <c r="D122" s="7" t="s">
        <v>97</v>
      </c>
      <c r="E122" s="7" t="s">
        <v>47</v>
      </c>
      <c r="F122" s="7" t="s">
        <v>94</v>
      </c>
      <c r="G122" s="7" t="s">
        <v>443</v>
      </c>
      <c r="I122" s="1">
        <f t="shared" si="5"/>
        <v>1</v>
      </c>
      <c r="J122" s="1" t="str">
        <f>'Source build'!A122</f>
        <v>L00116</v>
      </c>
      <c r="K122" s="1">
        <f>122</f>
        <v>122</v>
      </c>
      <c r="L122" s="10">
        <f t="shared" si="6"/>
        <v>-4754</v>
      </c>
      <c r="M122" s="1">
        <f t="shared" si="7"/>
        <v>1</v>
      </c>
      <c r="N122" s="1">
        <f t="shared" si="8"/>
        <v>1</v>
      </c>
      <c r="O122" s="1" t="str">
        <f>IF(I122=0,"UNUSED",IF(A122="","MISSING ID",IF(K122=0,"UNEXPECTED ID",IF(N122&lt;&gt;1,"ID / ORDER DIFFERENCE",IF('Source build'!U122&lt;&gt;"INCLUDED","EXCLUDED SOURCE",IF(NOT(M122),"INVALID AMOUNT",IF('Source build'!Y122&lt;&gt;0,"CHANGED FIELDS","MATCH")))))))</f>
        <v>MATCH</v>
      </c>
      <c r="P122" s="1" t="str">
        <f t="shared" si="9"/>
        <v>2026-02</v>
      </c>
    </row>
    <row r="123" spans="1:16" ht="18.95" customHeight="1">
      <c r="A123" s="7" t="s">
        <v>444</v>
      </c>
      <c r="B123" s="7" t="s">
        <v>445</v>
      </c>
      <c r="C123" s="7" t="s">
        <v>446</v>
      </c>
      <c r="D123" s="7" t="s">
        <v>103</v>
      </c>
      <c r="E123" s="7" t="s">
        <v>48</v>
      </c>
      <c r="F123" s="7" t="s">
        <v>98</v>
      </c>
      <c r="G123" s="7" t="s">
        <v>447</v>
      </c>
      <c r="I123" s="1">
        <f t="shared" si="5"/>
        <v>1</v>
      </c>
      <c r="J123" s="1" t="str">
        <f>'Source build'!A123</f>
        <v>L00117</v>
      </c>
      <c r="K123" s="1">
        <f>123</f>
        <v>123</v>
      </c>
      <c r="L123" s="10">
        <f t="shared" si="6"/>
        <v>14373</v>
      </c>
      <c r="M123" s="1">
        <f t="shared" si="7"/>
        <v>1</v>
      </c>
      <c r="N123" s="1">
        <f t="shared" si="8"/>
        <v>1</v>
      </c>
      <c r="O123" s="1" t="str">
        <f>IF(I123=0,"UNUSED",IF(A123="","MISSING ID",IF(K123=0,"UNEXPECTED ID",IF(N123&lt;&gt;1,"ID / ORDER DIFFERENCE",IF('Source build'!U123&lt;&gt;"INCLUDED","EXCLUDED SOURCE",IF(NOT(M123),"INVALID AMOUNT",IF('Source build'!Y123&lt;&gt;0,"CHANGED FIELDS","MATCH")))))))</f>
        <v>MATCH</v>
      </c>
      <c r="P123" s="1" t="str">
        <f t="shared" si="9"/>
        <v>2026-02</v>
      </c>
    </row>
    <row r="124" spans="1:16" ht="18.95" customHeight="1">
      <c r="A124" s="7" t="s">
        <v>448</v>
      </c>
      <c r="B124" s="7" t="s">
        <v>445</v>
      </c>
      <c r="C124" s="7" t="s">
        <v>446</v>
      </c>
      <c r="D124" s="7" t="s">
        <v>93</v>
      </c>
      <c r="E124" s="7" t="s">
        <v>46</v>
      </c>
      <c r="F124" s="7" t="s">
        <v>98</v>
      </c>
      <c r="G124" s="7" t="s">
        <v>449</v>
      </c>
      <c r="I124" s="1">
        <f t="shared" si="5"/>
        <v>1</v>
      </c>
      <c r="J124" s="1" t="str">
        <f>'Source build'!A124</f>
        <v>L00118</v>
      </c>
      <c r="K124" s="1">
        <f>124</f>
        <v>124</v>
      </c>
      <c r="L124" s="10">
        <f t="shared" si="6"/>
        <v>24140</v>
      </c>
      <c r="M124" s="1">
        <f t="shared" si="7"/>
        <v>1</v>
      </c>
      <c r="N124" s="1">
        <f t="shared" si="8"/>
        <v>1</v>
      </c>
      <c r="O124" s="1" t="str">
        <f>IF(I124=0,"UNUSED",IF(A124="","MISSING ID",IF(K124=0,"UNEXPECTED ID",IF(N124&lt;&gt;1,"ID / ORDER DIFFERENCE",IF('Source build'!U124&lt;&gt;"INCLUDED","EXCLUDED SOURCE",IF(NOT(M124),"INVALID AMOUNT",IF('Source build'!Y124&lt;&gt;0,"CHANGED FIELDS","MATCH")))))))</f>
        <v>MATCH</v>
      </c>
      <c r="P124" s="1" t="str">
        <f t="shared" si="9"/>
        <v>2026-02</v>
      </c>
    </row>
    <row r="125" spans="1:16" ht="18.95" customHeight="1">
      <c r="A125" s="7" t="s">
        <v>450</v>
      </c>
      <c r="B125" s="7" t="s">
        <v>451</v>
      </c>
      <c r="C125" s="7" t="s">
        <v>452</v>
      </c>
      <c r="D125" s="7" t="s">
        <v>97</v>
      </c>
      <c r="E125" s="7" t="s">
        <v>47</v>
      </c>
      <c r="F125" s="7" t="s">
        <v>98</v>
      </c>
      <c r="G125" s="7" t="s">
        <v>453</v>
      </c>
      <c r="I125" s="1">
        <f t="shared" si="5"/>
        <v>1</v>
      </c>
      <c r="J125" s="1" t="str">
        <f>'Source build'!A125</f>
        <v>L00119</v>
      </c>
      <c r="K125" s="1">
        <f>125</f>
        <v>125</v>
      </c>
      <c r="L125" s="10">
        <f t="shared" si="6"/>
        <v>9730</v>
      </c>
      <c r="M125" s="1">
        <f t="shared" si="7"/>
        <v>1</v>
      </c>
      <c r="N125" s="1">
        <f t="shared" si="8"/>
        <v>1</v>
      </c>
      <c r="O125" s="1" t="str">
        <f>IF(I125=0,"UNUSED",IF(A125="","MISSING ID",IF(K125=0,"UNEXPECTED ID",IF(N125&lt;&gt;1,"ID / ORDER DIFFERENCE",IF('Source build'!U125&lt;&gt;"INCLUDED","EXCLUDED SOURCE",IF(NOT(M125),"INVALID AMOUNT",IF('Source build'!Y125&lt;&gt;0,"CHANGED FIELDS","MATCH")))))))</f>
        <v>MATCH</v>
      </c>
      <c r="P125" s="1" t="str">
        <f t="shared" si="9"/>
        <v>2026-02</v>
      </c>
    </row>
    <row r="126" spans="1:16" ht="18.95" customHeight="1">
      <c r="A126" s="7" t="s">
        <v>454</v>
      </c>
      <c r="B126" s="7" t="s">
        <v>451</v>
      </c>
      <c r="C126" s="7" t="s">
        <v>452</v>
      </c>
      <c r="D126" s="7" t="s">
        <v>103</v>
      </c>
      <c r="E126" s="7" t="s">
        <v>48</v>
      </c>
      <c r="F126" s="7" t="s">
        <v>98</v>
      </c>
      <c r="G126" s="7" t="s">
        <v>455</v>
      </c>
      <c r="I126" s="1">
        <f t="shared" si="5"/>
        <v>1</v>
      </c>
      <c r="J126" s="1" t="str">
        <f>'Source build'!A126</f>
        <v>L00120</v>
      </c>
      <c r="K126" s="1">
        <f>126</f>
        <v>126</v>
      </c>
      <c r="L126" s="10">
        <f t="shared" si="6"/>
        <v>19608</v>
      </c>
      <c r="M126" s="1">
        <f t="shared" si="7"/>
        <v>1</v>
      </c>
      <c r="N126" s="1">
        <f t="shared" si="8"/>
        <v>1</v>
      </c>
      <c r="O126" s="1" t="str">
        <f>IF(I126=0,"UNUSED",IF(A126="","MISSING ID",IF(K126=0,"UNEXPECTED ID",IF(N126&lt;&gt;1,"ID / ORDER DIFFERENCE",IF('Source build'!U126&lt;&gt;"INCLUDED","EXCLUDED SOURCE",IF(NOT(M126),"INVALID AMOUNT",IF('Source build'!Y126&lt;&gt;0,"CHANGED FIELDS","MATCH")))))))</f>
        <v>MATCH</v>
      </c>
      <c r="P126" s="1" t="str">
        <f t="shared" si="9"/>
        <v>2026-02</v>
      </c>
    </row>
    <row r="127" spans="1:16" ht="18.95" customHeight="1">
      <c r="A127" s="7" t="s">
        <v>456</v>
      </c>
      <c r="B127" s="7" t="s">
        <v>457</v>
      </c>
      <c r="C127" s="7" t="s">
        <v>458</v>
      </c>
      <c r="D127" s="7" t="s">
        <v>93</v>
      </c>
      <c r="E127" s="7" t="s">
        <v>46</v>
      </c>
      <c r="F127" s="7" t="s">
        <v>98</v>
      </c>
      <c r="G127" s="7" t="s">
        <v>459</v>
      </c>
      <c r="I127" s="1">
        <f t="shared" si="5"/>
        <v>1</v>
      </c>
      <c r="J127" s="1" t="str">
        <f>'Source build'!A127</f>
        <v>L00121</v>
      </c>
      <c r="K127" s="1">
        <f>127</f>
        <v>127</v>
      </c>
      <c r="L127" s="10">
        <f t="shared" si="6"/>
        <v>4939</v>
      </c>
      <c r="M127" s="1">
        <f t="shared" si="7"/>
        <v>1</v>
      </c>
      <c r="N127" s="1">
        <f t="shared" si="8"/>
        <v>1</v>
      </c>
      <c r="O127" s="1" t="str">
        <f>IF(I127=0,"UNUSED",IF(A127="","MISSING ID",IF(K127=0,"UNEXPECTED ID",IF(N127&lt;&gt;1,"ID / ORDER DIFFERENCE",IF('Source build'!U127&lt;&gt;"INCLUDED","EXCLUDED SOURCE",IF(NOT(M127),"INVALID AMOUNT",IF('Source build'!Y127&lt;&gt;0,"CHANGED FIELDS","MATCH")))))))</f>
        <v>MATCH</v>
      </c>
      <c r="P127" s="1" t="str">
        <f t="shared" si="9"/>
        <v>2026-03</v>
      </c>
    </row>
    <row r="128" spans="1:16" ht="18.95" customHeight="1">
      <c r="A128" s="7" t="s">
        <v>460</v>
      </c>
      <c r="B128" s="7" t="s">
        <v>457</v>
      </c>
      <c r="C128" s="7" t="s">
        <v>458</v>
      </c>
      <c r="D128" s="7" t="s">
        <v>97</v>
      </c>
      <c r="E128" s="7" t="s">
        <v>47</v>
      </c>
      <c r="F128" s="7" t="s">
        <v>98</v>
      </c>
      <c r="G128" s="7" t="s">
        <v>461</v>
      </c>
      <c r="I128" s="1">
        <f t="shared" si="5"/>
        <v>1</v>
      </c>
      <c r="J128" s="1" t="str">
        <f>'Source build'!A128</f>
        <v>L00122</v>
      </c>
      <c r="K128" s="1">
        <f>128</f>
        <v>128</v>
      </c>
      <c r="L128" s="10">
        <f t="shared" si="6"/>
        <v>14928</v>
      </c>
      <c r="M128" s="1">
        <f t="shared" si="7"/>
        <v>1</v>
      </c>
      <c r="N128" s="1">
        <f t="shared" si="8"/>
        <v>1</v>
      </c>
      <c r="O128" s="1" t="str">
        <f>IF(I128=0,"UNUSED",IF(A128="","MISSING ID",IF(K128=0,"UNEXPECTED ID",IF(N128&lt;&gt;1,"ID / ORDER DIFFERENCE",IF('Source build'!U128&lt;&gt;"INCLUDED","EXCLUDED SOURCE",IF(NOT(M128),"INVALID AMOUNT",IF('Source build'!Y128&lt;&gt;0,"CHANGED FIELDS","MATCH")))))))</f>
        <v>MATCH</v>
      </c>
      <c r="P128" s="1" t="str">
        <f t="shared" si="9"/>
        <v>2026-03</v>
      </c>
    </row>
    <row r="129" spans="1:16" ht="18.95" customHeight="1">
      <c r="A129" s="7" t="s">
        <v>462</v>
      </c>
      <c r="B129" s="7" t="s">
        <v>463</v>
      </c>
      <c r="C129" s="7" t="s">
        <v>464</v>
      </c>
      <c r="D129" s="7" t="s">
        <v>103</v>
      </c>
      <c r="E129" s="7" t="s">
        <v>48</v>
      </c>
      <c r="F129" s="7" t="s">
        <v>98</v>
      </c>
      <c r="G129" s="7" t="s">
        <v>465</v>
      </c>
      <c r="I129" s="1">
        <f t="shared" si="5"/>
        <v>1</v>
      </c>
      <c r="J129" s="1" t="str">
        <f>'Source build'!A129</f>
        <v>L00123</v>
      </c>
      <c r="K129" s="1">
        <f>129</f>
        <v>129</v>
      </c>
      <c r="L129" s="10">
        <f t="shared" si="6"/>
        <v>25065</v>
      </c>
      <c r="M129" s="1">
        <f t="shared" si="7"/>
        <v>1</v>
      </c>
      <c r="N129" s="1">
        <f t="shared" si="8"/>
        <v>1</v>
      </c>
      <c r="O129" s="1" t="str">
        <f>IF(I129=0,"UNUSED",IF(A129="","MISSING ID",IF(K129=0,"UNEXPECTED ID",IF(N129&lt;&gt;1,"ID / ORDER DIFFERENCE",IF('Source build'!U129&lt;&gt;"INCLUDED","EXCLUDED SOURCE",IF(NOT(M129),"INVALID AMOUNT",IF('Source build'!Y129&lt;&gt;0,"CHANGED FIELDS","MATCH")))))))</f>
        <v>MATCH</v>
      </c>
      <c r="P129" s="1" t="str">
        <f t="shared" si="9"/>
        <v>2026-03</v>
      </c>
    </row>
    <row r="130" spans="1:16" ht="18.95" customHeight="1">
      <c r="A130" s="7" t="s">
        <v>466</v>
      </c>
      <c r="B130" s="7" t="s">
        <v>463</v>
      </c>
      <c r="C130" s="7" t="s">
        <v>464</v>
      </c>
      <c r="D130" s="7" t="s">
        <v>93</v>
      </c>
      <c r="E130" s="7" t="s">
        <v>46</v>
      </c>
      <c r="F130" s="7" t="s">
        <v>98</v>
      </c>
      <c r="G130" s="7" t="s">
        <v>467</v>
      </c>
      <c r="I130" s="1">
        <f t="shared" si="5"/>
        <v>1</v>
      </c>
      <c r="J130" s="1" t="str">
        <f>'Source build'!A130</f>
        <v>L00124</v>
      </c>
      <c r="K130" s="1">
        <f>130</f>
        <v>130</v>
      </c>
      <c r="L130" s="10">
        <f t="shared" si="6"/>
        <v>10100</v>
      </c>
      <c r="M130" s="1">
        <f t="shared" si="7"/>
        <v>1</v>
      </c>
      <c r="N130" s="1">
        <f t="shared" si="8"/>
        <v>1</v>
      </c>
      <c r="O130" s="1" t="str">
        <f>IF(I130=0,"UNUSED",IF(A130="","MISSING ID",IF(K130=0,"UNEXPECTED ID",IF(N130&lt;&gt;1,"ID / ORDER DIFFERENCE",IF('Source build'!U130&lt;&gt;"INCLUDED","EXCLUDED SOURCE",IF(NOT(M130),"INVALID AMOUNT",IF('Source build'!Y130&lt;&gt;0,"CHANGED FIELDS","MATCH")))))))</f>
        <v>MATCH</v>
      </c>
      <c r="P130" s="1" t="str">
        <f t="shared" si="9"/>
        <v>2026-03</v>
      </c>
    </row>
    <row r="131" spans="1:16" ht="18.95" customHeight="1">
      <c r="A131" s="7" t="s">
        <v>468</v>
      </c>
      <c r="B131" s="7" t="s">
        <v>469</v>
      </c>
      <c r="C131" s="7" t="s">
        <v>470</v>
      </c>
      <c r="D131" s="7" t="s">
        <v>97</v>
      </c>
      <c r="E131" s="7" t="s">
        <v>47</v>
      </c>
      <c r="F131" s="7" t="s">
        <v>98</v>
      </c>
      <c r="G131" s="7" t="s">
        <v>471</v>
      </c>
      <c r="I131" s="1">
        <f t="shared" si="5"/>
        <v>1</v>
      </c>
      <c r="J131" s="1" t="str">
        <f>'Source build'!A131</f>
        <v>L00125</v>
      </c>
      <c r="K131" s="1">
        <f>131</f>
        <v>131</v>
      </c>
      <c r="L131" s="10">
        <f t="shared" si="6"/>
        <v>20348</v>
      </c>
      <c r="M131" s="1">
        <f t="shared" si="7"/>
        <v>1</v>
      </c>
      <c r="N131" s="1">
        <f t="shared" si="8"/>
        <v>1</v>
      </c>
      <c r="O131" s="1" t="str">
        <f>IF(I131=0,"UNUSED",IF(A131="","MISSING ID",IF(K131=0,"UNEXPECTED ID",IF(N131&lt;&gt;1,"ID / ORDER DIFFERENCE",IF('Source build'!U131&lt;&gt;"INCLUDED","EXCLUDED SOURCE",IF(NOT(M131),"INVALID AMOUNT",IF('Source build'!Y131&lt;&gt;0,"CHANGED FIELDS","MATCH")))))))</f>
        <v>MATCH</v>
      </c>
      <c r="P131" s="1" t="str">
        <f t="shared" si="9"/>
        <v>2026-03</v>
      </c>
    </row>
    <row r="132" spans="1:16" ht="18.95" customHeight="1">
      <c r="A132" s="7" t="s">
        <v>472</v>
      </c>
      <c r="B132" s="7" t="s">
        <v>469</v>
      </c>
      <c r="C132" s="7" t="s">
        <v>470</v>
      </c>
      <c r="D132" s="7" t="s">
        <v>103</v>
      </c>
      <c r="E132" s="7" t="s">
        <v>48</v>
      </c>
      <c r="F132" s="7" t="s">
        <v>98</v>
      </c>
      <c r="G132" s="7" t="s">
        <v>5132</v>
      </c>
      <c r="I132" s="1">
        <f t="shared" si="5"/>
        <v>1</v>
      </c>
      <c r="J132" s="1" t="str">
        <f>'Source build'!A132</f>
        <v>L00126</v>
      </c>
      <c r="K132" s="1">
        <f>132</f>
        <v>132</v>
      </c>
      <c r="L132" s="10">
        <f t="shared" si="6"/>
        <v>5124</v>
      </c>
      <c r="M132" s="1">
        <f t="shared" si="7"/>
        <v>1</v>
      </c>
      <c r="N132" s="1">
        <f t="shared" si="8"/>
        <v>1</v>
      </c>
      <c r="O132" s="1" t="str">
        <f>IF(I132=0,"UNUSED",IF(A132="","MISSING ID",IF(K132=0,"UNEXPECTED ID",IF(N132&lt;&gt;1,"ID / ORDER DIFFERENCE",IF('Source build'!U132&lt;&gt;"INCLUDED","EXCLUDED SOURCE",IF(NOT(M132),"INVALID AMOUNT",IF('Source build'!Y132&lt;&gt;0,"CHANGED FIELDS","MATCH")))))))</f>
        <v>MATCH</v>
      </c>
      <c r="P132" s="1" t="str">
        <f t="shared" si="9"/>
        <v>2026-03</v>
      </c>
    </row>
    <row r="133" spans="1:16" ht="18.95" customHeight="1">
      <c r="A133" s="7" t="s">
        <v>474</v>
      </c>
      <c r="B133" s="7" t="s">
        <v>475</v>
      </c>
      <c r="C133" s="7" t="s">
        <v>476</v>
      </c>
      <c r="D133" s="7" t="s">
        <v>93</v>
      </c>
      <c r="E133" s="7" t="s">
        <v>46</v>
      </c>
      <c r="F133" s="7" t="s">
        <v>98</v>
      </c>
      <c r="G133" s="7" t="s">
        <v>477</v>
      </c>
      <c r="I133" s="1">
        <f t="shared" si="5"/>
        <v>1</v>
      </c>
      <c r="J133" s="1" t="str">
        <f>'Source build'!A133</f>
        <v>L00127</v>
      </c>
      <c r="K133" s="1">
        <f>133</f>
        <v>133</v>
      </c>
      <c r="L133" s="10">
        <f t="shared" si="6"/>
        <v>15483</v>
      </c>
      <c r="M133" s="1">
        <f t="shared" si="7"/>
        <v>1</v>
      </c>
      <c r="N133" s="1">
        <f t="shared" si="8"/>
        <v>1</v>
      </c>
      <c r="O133" s="1" t="str">
        <f>IF(I133=0,"UNUSED",IF(A133="","MISSING ID",IF(K133=0,"UNEXPECTED ID",IF(N133&lt;&gt;1,"ID / ORDER DIFFERENCE",IF('Source build'!U133&lt;&gt;"INCLUDED","EXCLUDED SOURCE",IF(NOT(M133),"INVALID AMOUNT",IF('Source build'!Y133&lt;&gt;0,"CHANGED FIELDS","MATCH")))))))</f>
        <v>MATCH</v>
      </c>
      <c r="P133" s="1" t="str">
        <f t="shared" si="9"/>
        <v>2026-03</v>
      </c>
    </row>
    <row r="134" spans="1:16" ht="18.95" customHeight="1">
      <c r="A134" s="7" t="s">
        <v>478</v>
      </c>
      <c r="B134" s="7" t="s">
        <v>475</v>
      </c>
      <c r="C134" s="7" t="s">
        <v>476</v>
      </c>
      <c r="D134" s="7" t="s">
        <v>97</v>
      </c>
      <c r="E134" s="7" t="s">
        <v>47</v>
      </c>
      <c r="F134" s="7" t="s">
        <v>98</v>
      </c>
      <c r="G134" s="7" t="s">
        <v>479</v>
      </c>
      <c r="I134" s="1">
        <f t="shared" si="5"/>
        <v>1</v>
      </c>
      <c r="J134" s="1" t="str">
        <f>'Source build'!A134</f>
        <v>L00128</v>
      </c>
      <c r="K134" s="1">
        <f>134</f>
        <v>134</v>
      </c>
      <c r="L134" s="10">
        <f t="shared" si="6"/>
        <v>25990</v>
      </c>
      <c r="M134" s="1">
        <f t="shared" si="7"/>
        <v>1</v>
      </c>
      <c r="N134" s="1">
        <f t="shared" si="8"/>
        <v>1</v>
      </c>
      <c r="O134" s="1" t="str">
        <f>IF(I134=0,"UNUSED",IF(A134="","MISSING ID",IF(K134=0,"UNEXPECTED ID",IF(N134&lt;&gt;1,"ID / ORDER DIFFERENCE",IF('Source build'!U134&lt;&gt;"INCLUDED","EXCLUDED SOURCE",IF(NOT(M134),"INVALID AMOUNT",IF('Source build'!Y134&lt;&gt;0,"CHANGED FIELDS","MATCH")))))))</f>
        <v>MATCH</v>
      </c>
      <c r="P134" s="1" t="str">
        <f t="shared" si="9"/>
        <v>2026-03</v>
      </c>
    </row>
    <row r="135" spans="1:16" ht="18.95" customHeight="1">
      <c r="A135" s="7" t="s">
        <v>480</v>
      </c>
      <c r="B135" s="7" t="s">
        <v>481</v>
      </c>
      <c r="C135" s="7" t="s">
        <v>482</v>
      </c>
      <c r="D135" s="7" t="s">
        <v>103</v>
      </c>
      <c r="E135" s="7" t="s">
        <v>48</v>
      </c>
      <c r="F135" s="7" t="s">
        <v>98</v>
      </c>
      <c r="G135" s="7" t="s">
        <v>483</v>
      </c>
      <c r="I135" s="1">
        <f t="shared" ref="I135:I198" si="10">IF(AND(A135="",B135="",C135="",D135="",E135="",F135="",G135=""),0,1)</f>
        <v>1</v>
      </c>
      <c r="J135" s="1" t="str">
        <f>'Source build'!A135</f>
        <v>L00129</v>
      </c>
      <c r="K135" s="1">
        <f>135</f>
        <v>135</v>
      </c>
      <c r="L135" s="10">
        <f t="shared" ref="L135:L198" si="11">IFERROR(IF(ABS(VALUE(G135)*100-ROUND(VALUE(G135)*100,0))&lt;0.0000001,ROUND(VALUE(G135)*100,0),0),0)</f>
        <v>10470</v>
      </c>
      <c r="M135" s="1">
        <f t="shared" ref="M135:M198" si="12">--IF(I135=0,TRUE,IF(TRIM(G135)="",FALSE,IFERROR(AND(ISNUMBER(VALUE(G135)),ABS(VALUE(G135)*100-ROUND(VALUE(G135)*100,0))&lt;0.0000001,OR(ISNUMBER(G135),EXACT(G135,TEXT(VALUE(G135),"0.00"))),OR(AND(EXACT(F135,"sale"),VALUE(G135)&gt;0),AND(EXACT(F135,"refund"),VALUE(G135)&lt;0))),FALSE)))</f>
        <v>1</v>
      </c>
      <c r="N135" s="1">
        <f t="shared" ref="N135:N198" si="13">IF(I135=1,IF(EXACT(A135,J135),1,0),0)</f>
        <v>1</v>
      </c>
      <c r="O135" s="1" t="str">
        <f>IF(I135=0,"UNUSED",IF(A135="","MISSING ID",IF(K135=0,"UNEXPECTED ID",IF(N135&lt;&gt;1,"ID / ORDER DIFFERENCE",IF('Source build'!U135&lt;&gt;"INCLUDED","EXCLUDED SOURCE",IF(NOT(M135),"INVALID AMOUNT",IF('Source build'!Y135&lt;&gt;0,"CHANGED FIELDS","MATCH")))))))</f>
        <v>MATCH</v>
      </c>
      <c r="P135" s="1" t="str">
        <f t="shared" ref="P135:P198" si="14">IF(I135=1,LEFT(C135,7),"")</f>
        <v>2026-03</v>
      </c>
    </row>
    <row r="136" spans="1:16" ht="18.95" customHeight="1">
      <c r="A136" s="7" t="s">
        <v>484</v>
      </c>
      <c r="B136" s="7" t="s">
        <v>481</v>
      </c>
      <c r="C136" s="7" t="s">
        <v>482</v>
      </c>
      <c r="D136" s="7" t="s">
        <v>93</v>
      </c>
      <c r="E136" s="7" t="s">
        <v>46</v>
      </c>
      <c r="F136" s="7" t="s">
        <v>98</v>
      </c>
      <c r="G136" s="7" t="s">
        <v>485</v>
      </c>
      <c r="I136" s="1">
        <f t="shared" si="10"/>
        <v>1</v>
      </c>
      <c r="J136" s="1" t="str">
        <f>'Source build'!A136</f>
        <v>L00130</v>
      </c>
      <c r="K136" s="1">
        <f>136</f>
        <v>136</v>
      </c>
      <c r="L136" s="10">
        <f t="shared" si="11"/>
        <v>21088</v>
      </c>
      <c r="M136" s="1">
        <f t="shared" si="12"/>
        <v>1</v>
      </c>
      <c r="N136" s="1">
        <f t="shared" si="13"/>
        <v>1</v>
      </c>
      <c r="O136" s="1" t="str">
        <f>IF(I136=0,"UNUSED",IF(A136="","MISSING ID",IF(K136=0,"UNEXPECTED ID",IF(N136&lt;&gt;1,"ID / ORDER DIFFERENCE",IF('Source build'!U136&lt;&gt;"INCLUDED","EXCLUDED SOURCE",IF(NOT(M136),"INVALID AMOUNT",IF('Source build'!Y136&lt;&gt;0,"CHANGED FIELDS","MATCH")))))))</f>
        <v>MATCH</v>
      </c>
      <c r="P136" s="1" t="str">
        <f t="shared" si="14"/>
        <v>2026-03</v>
      </c>
    </row>
    <row r="137" spans="1:16" ht="18.95" customHeight="1">
      <c r="A137" s="7" t="s">
        <v>486</v>
      </c>
      <c r="B137" s="7" t="s">
        <v>487</v>
      </c>
      <c r="C137" s="7" t="s">
        <v>488</v>
      </c>
      <c r="D137" s="7" t="s">
        <v>97</v>
      </c>
      <c r="E137" s="7" t="s">
        <v>47</v>
      </c>
      <c r="F137" s="7" t="s">
        <v>98</v>
      </c>
      <c r="G137" s="7" t="s">
        <v>489</v>
      </c>
      <c r="I137" s="1">
        <f t="shared" si="10"/>
        <v>1</v>
      </c>
      <c r="J137" s="1" t="str">
        <f>'Source build'!A137</f>
        <v>L00131</v>
      </c>
      <c r="K137" s="1">
        <f>137</f>
        <v>137</v>
      </c>
      <c r="L137" s="10">
        <f t="shared" si="11"/>
        <v>5309</v>
      </c>
      <c r="M137" s="1">
        <f t="shared" si="12"/>
        <v>1</v>
      </c>
      <c r="N137" s="1">
        <f t="shared" si="13"/>
        <v>1</v>
      </c>
      <c r="O137" s="1" t="str">
        <f>IF(I137=0,"UNUSED",IF(A137="","MISSING ID",IF(K137=0,"UNEXPECTED ID",IF(N137&lt;&gt;1,"ID / ORDER DIFFERENCE",IF('Source build'!U137&lt;&gt;"INCLUDED","EXCLUDED SOURCE",IF(NOT(M137),"INVALID AMOUNT",IF('Source build'!Y137&lt;&gt;0,"CHANGED FIELDS","MATCH")))))))</f>
        <v>MATCH</v>
      </c>
      <c r="P137" s="1" t="str">
        <f t="shared" si="14"/>
        <v>2026-01</v>
      </c>
    </row>
    <row r="138" spans="1:16" ht="18.95" customHeight="1">
      <c r="A138" s="7" t="s">
        <v>490</v>
      </c>
      <c r="B138" s="7" t="s">
        <v>487</v>
      </c>
      <c r="C138" s="7" t="s">
        <v>488</v>
      </c>
      <c r="D138" s="7" t="s">
        <v>103</v>
      </c>
      <c r="E138" s="7" t="s">
        <v>48</v>
      </c>
      <c r="F138" s="7" t="s">
        <v>98</v>
      </c>
      <c r="G138" s="7" t="s">
        <v>491</v>
      </c>
      <c r="I138" s="1">
        <f t="shared" si="10"/>
        <v>1</v>
      </c>
      <c r="J138" s="1" t="str">
        <f>'Source build'!A138</f>
        <v>L00132</v>
      </c>
      <c r="K138" s="1">
        <f>138</f>
        <v>138</v>
      </c>
      <c r="L138" s="10">
        <f t="shared" si="11"/>
        <v>16038</v>
      </c>
      <c r="M138" s="1">
        <f t="shared" si="12"/>
        <v>1</v>
      </c>
      <c r="N138" s="1">
        <f t="shared" si="13"/>
        <v>1</v>
      </c>
      <c r="O138" s="1" t="str">
        <f>IF(I138=0,"UNUSED",IF(A138="","MISSING ID",IF(K138=0,"UNEXPECTED ID",IF(N138&lt;&gt;1,"ID / ORDER DIFFERENCE",IF('Source build'!U138&lt;&gt;"INCLUDED","EXCLUDED SOURCE",IF(NOT(M138),"INVALID AMOUNT",IF('Source build'!Y138&lt;&gt;0,"CHANGED FIELDS","MATCH")))))))</f>
        <v>MATCH</v>
      </c>
      <c r="P138" s="1" t="str">
        <f t="shared" si="14"/>
        <v>2026-01</v>
      </c>
    </row>
    <row r="139" spans="1:16" ht="18.95" customHeight="1">
      <c r="A139" s="7" t="s">
        <v>492</v>
      </c>
      <c r="B139" s="7" t="s">
        <v>493</v>
      </c>
      <c r="C139" s="7" t="s">
        <v>494</v>
      </c>
      <c r="D139" s="7" t="s">
        <v>93</v>
      </c>
      <c r="E139" s="7" t="s">
        <v>46</v>
      </c>
      <c r="F139" s="7" t="s">
        <v>98</v>
      </c>
      <c r="G139" s="7" t="s">
        <v>495</v>
      </c>
      <c r="I139" s="1">
        <f t="shared" si="10"/>
        <v>1</v>
      </c>
      <c r="J139" s="1" t="str">
        <f>'Source build'!A139</f>
        <v>L00133</v>
      </c>
      <c r="K139" s="1">
        <f>139</f>
        <v>139</v>
      </c>
      <c r="L139" s="10">
        <f t="shared" si="11"/>
        <v>26915</v>
      </c>
      <c r="M139" s="1">
        <f t="shared" si="12"/>
        <v>1</v>
      </c>
      <c r="N139" s="1">
        <f t="shared" si="13"/>
        <v>1</v>
      </c>
      <c r="O139" s="1" t="str">
        <f>IF(I139=0,"UNUSED",IF(A139="","MISSING ID",IF(K139=0,"UNEXPECTED ID",IF(N139&lt;&gt;1,"ID / ORDER DIFFERENCE",IF('Source build'!U139&lt;&gt;"INCLUDED","EXCLUDED SOURCE",IF(NOT(M139),"INVALID AMOUNT",IF('Source build'!Y139&lt;&gt;0,"CHANGED FIELDS","MATCH")))))))</f>
        <v>MATCH</v>
      </c>
      <c r="P139" s="1" t="str">
        <f t="shared" si="14"/>
        <v>2026-01</v>
      </c>
    </row>
    <row r="140" spans="1:16" ht="18.95" customHeight="1">
      <c r="A140" s="7" t="s">
        <v>496</v>
      </c>
      <c r="B140" s="7" t="s">
        <v>493</v>
      </c>
      <c r="C140" s="7" t="s">
        <v>494</v>
      </c>
      <c r="D140" s="7" t="s">
        <v>97</v>
      </c>
      <c r="E140" s="7" t="s">
        <v>47</v>
      </c>
      <c r="F140" s="7" t="s">
        <v>98</v>
      </c>
      <c r="G140" s="7" t="s">
        <v>497</v>
      </c>
      <c r="I140" s="1">
        <f t="shared" si="10"/>
        <v>1</v>
      </c>
      <c r="J140" s="1" t="str">
        <f>'Source build'!A140</f>
        <v>L00134</v>
      </c>
      <c r="K140" s="1">
        <f>140</f>
        <v>140</v>
      </c>
      <c r="L140" s="10">
        <f t="shared" si="11"/>
        <v>10840</v>
      </c>
      <c r="M140" s="1">
        <f t="shared" si="12"/>
        <v>1</v>
      </c>
      <c r="N140" s="1">
        <f t="shared" si="13"/>
        <v>1</v>
      </c>
      <c r="O140" s="1" t="str">
        <f>IF(I140=0,"UNUSED",IF(A140="","MISSING ID",IF(K140=0,"UNEXPECTED ID",IF(N140&lt;&gt;1,"ID / ORDER DIFFERENCE",IF('Source build'!U140&lt;&gt;"INCLUDED","EXCLUDED SOURCE",IF(NOT(M140),"INVALID AMOUNT",IF('Source build'!Y140&lt;&gt;0,"CHANGED FIELDS","MATCH")))))))</f>
        <v>MATCH</v>
      </c>
      <c r="P140" s="1" t="str">
        <f t="shared" si="14"/>
        <v>2026-01</v>
      </c>
    </row>
    <row r="141" spans="1:16" ht="18.95" customHeight="1">
      <c r="A141" s="7" t="s">
        <v>498</v>
      </c>
      <c r="B141" s="7" t="s">
        <v>499</v>
      </c>
      <c r="C141" s="7" t="s">
        <v>500</v>
      </c>
      <c r="D141" s="7" t="s">
        <v>103</v>
      </c>
      <c r="E141" s="7" t="s">
        <v>48</v>
      </c>
      <c r="F141" s="7" t="s">
        <v>98</v>
      </c>
      <c r="G141" s="7" t="s">
        <v>501</v>
      </c>
      <c r="I141" s="1">
        <f t="shared" si="10"/>
        <v>1</v>
      </c>
      <c r="J141" s="1" t="str">
        <f>'Source build'!A141</f>
        <v>L00135</v>
      </c>
      <c r="K141" s="1">
        <f>141</f>
        <v>141</v>
      </c>
      <c r="L141" s="10">
        <f t="shared" si="11"/>
        <v>21828</v>
      </c>
      <c r="M141" s="1">
        <f t="shared" si="12"/>
        <v>1</v>
      </c>
      <c r="N141" s="1">
        <f t="shared" si="13"/>
        <v>1</v>
      </c>
      <c r="O141" s="1" t="str">
        <f>IF(I141=0,"UNUSED",IF(A141="","MISSING ID",IF(K141=0,"UNEXPECTED ID",IF(N141&lt;&gt;1,"ID / ORDER DIFFERENCE",IF('Source build'!U141&lt;&gt;"INCLUDED","EXCLUDED SOURCE",IF(NOT(M141),"INVALID AMOUNT",IF('Source build'!Y141&lt;&gt;0,"CHANGED FIELDS","MATCH")))))))</f>
        <v>MATCH</v>
      </c>
      <c r="P141" s="1" t="str">
        <f t="shared" si="14"/>
        <v>2026-01</v>
      </c>
    </row>
    <row r="142" spans="1:16" ht="18.95" customHeight="1">
      <c r="A142" s="7" t="s">
        <v>502</v>
      </c>
      <c r="B142" s="7" t="s">
        <v>499</v>
      </c>
      <c r="C142" s="7" t="s">
        <v>500</v>
      </c>
      <c r="D142" s="7" t="s">
        <v>93</v>
      </c>
      <c r="E142" s="7" t="s">
        <v>46</v>
      </c>
      <c r="F142" s="7" t="s">
        <v>98</v>
      </c>
      <c r="G142" s="7" t="s">
        <v>503</v>
      </c>
      <c r="I142" s="1">
        <f t="shared" si="10"/>
        <v>1</v>
      </c>
      <c r="J142" s="1" t="str">
        <f>'Source build'!A142</f>
        <v>L00136</v>
      </c>
      <c r="K142" s="1">
        <f>142</f>
        <v>142</v>
      </c>
      <c r="L142" s="10">
        <f t="shared" si="11"/>
        <v>5494</v>
      </c>
      <c r="M142" s="1">
        <f t="shared" si="12"/>
        <v>1</v>
      </c>
      <c r="N142" s="1">
        <f t="shared" si="13"/>
        <v>1</v>
      </c>
      <c r="O142" s="1" t="str">
        <f>IF(I142=0,"UNUSED",IF(A142="","MISSING ID",IF(K142=0,"UNEXPECTED ID",IF(N142&lt;&gt;1,"ID / ORDER DIFFERENCE",IF('Source build'!U142&lt;&gt;"INCLUDED","EXCLUDED SOURCE",IF(NOT(M142),"INVALID AMOUNT",IF('Source build'!Y142&lt;&gt;0,"CHANGED FIELDS","MATCH")))))))</f>
        <v>MATCH</v>
      </c>
      <c r="P142" s="1" t="str">
        <f t="shared" si="14"/>
        <v>2026-01</v>
      </c>
    </row>
    <row r="143" spans="1:16" ht="18.95" customHeight="1">
      <c r="A143" s="7" t="s">
        <v>504</v>
      </c>
      <c r="B143" s="7" t="s">
        <v>505</v>
      </c>
      <c r="C143" s="7" t="s">
        <v>506</v>
      </c>
      <c r="D143" s="7" t="s">
        <v>97</v>
      </c>
      <c r="E143" s="7" t="s">
        <v>47</v>
      </c>
      <c r="F143" s="7" t="s">
        <v>98</v>
      </c>
      <c r="G143" s="7" t="s">
        <v>507</v>
      </c>
      <c r="I143" s="1">
        <f t="shared" si="10"/>
        <v>1</v>
      </c>
      <c r="J143" s="1" t="str">
        <f>'Source build'!A143</f>
        <v>L00137</v>
      </c>
      <c r="K143" s="1">
        <f>143</f>
        <v>143</v>
      </c>
      <c r="L143" s="10">
        <f t="shared" si="11"/>
        <v>16593</v>
      </c>
      <c r="M143" s="1">
        <f t="shared" si="12"/>
        <v>1</v>
      </c>
      <c r="N143" s="1">
        <f t="shared" si="13"/>
        <v>1</v>
      </c>
      <c r="O143" s="1" t="str">
        <f>IF(I143=0,"UNUSED",IF(A143="","MISSING ID",IF(K143=0,"UNEXPECTED ID",IF(N143&lt;&gt;1,"ID / ORDER DIFFERENCE",IF('Source build'!U143&lt;&gt;"INCLUDED","EXCLUDED SOURCE",IF(NOT(M143),"INVALID AMOUNT",IF('Source build'!Y143&lt;&gt;0,"CHANGED FIELDS","MATCH")))))))</f>
        <v>MATCH</v>
      </c>
      <c r="P143" s="1" t="str">
        <f t="shared" si="14"/>
        <v>2026-01</v>
      </c>
    </row>
    <row r="144" spans="1:16" ht="18.95" customHeight="1">
      <c r="A144" s="7" t="s">
        <v>508</v>
      </c>
      <c r="B144" s="7" t="s">
        <v>505</v>
      </c>
      <c r="C144" s="7" t="s">
        <v>506</v>
      </c>
      <c r="D144" s="7" t="s">
        <v>103</v>
      </c>
      <c r="E144" s="7" t="s">
        <v>48</v>
      </c>
      <c r="F144" s="7" t="s">
        <v>98</v>
      </c>
      <c r="G144" s="7" t="s">
        <v>509</v>
      </c>
      <c r="I144" s="1">
        <f t="shared" si="10"/>
        <v>1</v>
      </c>
      <c r="J144" s="1" t="str">
        <f>'Source build'!A144</f>
        <v>L00138</v>
      </c>
      <c r="K144" s="1">
        <f>144</f>
        <v>144</v>
      </c>
      <c r="L144" s="10">
        <f t="shared" si="11"/>
        <v>27840</v>
      </c>
      <c r="M144" s="1">
        <f t="shared" si="12"/>
        <v>1</v>
      </c>
      <c r="N144" s="1">
        <f t="shared" si="13"/>
        <v>1</v>
      </c>
      <c r="O144" s="1" t="str">
        <f>IF(I144=0,"UNUSED",IF(A144="","MISSING ID",IF(K144=0,"UNEXPECTED ID",IF(N144&lt;&gt;1,"ID / ORDER DIFFERENCE",IF('Source build'!U144&lt;&gt;"INCLUDED","EXCLUDED SOURCE",IF(NOT(M144),"INVALID AMOUNT",IF('Source build'!Y144&lt;&gt;0,"CHANGED FIELDS","MATCH")))))))</f>
        <v>MATCH</v>
      </c>
      <c r="P144" s="1" t="str">
        <f t="shared" si="14"/>
        <v>2026-01</v>
      </c>
    </row>
    <row r="145" spans="1:16" ht="18.95" customHeight="1">
      <c r="A145" s="7" t="s">
        <v>510</v>
      </c>
      <c r="B145" s="7" t="s">
        <v>511</v>
      </c>
      <c r="C145" s="7" t="s">
        <v>512</v>
      </c>
      <c r="D145" s="7" t="s">
        <v>93</v>
      </c>
      <c r="E145" s="7" t="s">
        <v>46</v>
      </c>
      <c r="F145" s="7" t="s">
        <v>94</v>
      </c>
      <c r="G145" s="7" t="s">
        <v>513</v>
      </c>
      <c r="I145" s="1">
        <f t="shared" si="10"/>
        <v>1</v>
      </c>
      <c r="J145" s="1" t="str">
        <f>'Source build'!A145</f>
        <v>L00139</v>
      </c>
      <c r="K145" s="1">
        <f>145</f>
        <v>145</v>
      </c>
      <c r="L145" s="10">
        <f t="shared" si="11"/>
        <v>-11210</v>
      </c>
      <c r="M145" s="1">
        <f t="shared" si="12"/>
        <v>1</v>
      </c>
      <c r="N145" s="1">
        <f t="shared" si="13"/>
        <v>1</v>
      </c>
      <c r="O145" s="1" t="str">
        <f>IF(I145=0,"UNUSED",IF(A145="","MISSING ID",IF(K145=0,"UNEXPECTED ID",IF(N145&lt;&gt;1,"ID / ORDER DIFFERENCE",IF('Source build'!U145&lt;&gt;"INCLUDED","EXCLUDED SOURCE",IF(NOT(M145),"INVALID AMOUNT",IF('Source build'!Y145&lt;&gt;0,"CHANGED FIELDS","MATCH")))))))</f>
        <v>MATCH</v>
      </c>
      <c r="P145" s="1" t="str">
        <f t="shared" si="14"/>
        <v>2026-02</v>
      </c>
    </row>
    <row r="146" spans="1:16" ht="18.95" customHeight="1">
      <c r="A146" s="7" t="s">
        <v>514</v>
      </c>
      <c r="B146" s="7" t="s">
        <v>511</v>
      </c>
      <c r="C146" s="7" t="s">
        <v>512</v>
      </c>
      <c r="D146" s="7" t="s">
        <v>97</v>
      </c>
      <c r="E146" s="7" t="s">
        <v>47</v>
      </c>
      <c r="F146" s="7" t="s">
        <v>98</v>
      </c>
      <c r="G146" s="7" t="s">
        <v>515</v>
      </c>
      <c r="I146" s="1">
        <f t="shared" si="10"/>
        <v>1</v>
      </c>
      <c r="J146" s="1" t="str">
        <f>'Source build'!A146</f>
        <v>L00140</v>
      </c>
      <c r="K146" s="1">
        <f>146</f>
        <v>146</v>
      </c>
      <c r="L146" s="10">
        <f t="shared" si="11"/>
        <v>22568</v>
      </c>
      <c r="M146" s="1">
        <f t="shared" si="12"/>
        <v>1</v>
      </c>
      <c r="N146" s="1">
        <f t="shared" si="13"/>
        <v>1</v>
      </c>
      <c r="O146" s="1" t="str">
        <f>IF(I146=0,"UNUSED",IF(A146="","MISSING ID",IF(K146=0,"UNEXPECTED ID",IF(N146&lt;&gt;1,"ID / ORDER DIFFERENCE",IF('Source build'!U146&lt;&gt;"INCLUDED","EXCLUDED SOURCE",IF(NOT(M146),"INVALID AMOUNT",IF('Source build'!Y146&lt;&gt;0,"CHANGED FIELDS","MATCH")))))))</f>
        <v>MATCH</v>
      </c>
      <c r="P146" s="1" t="str">
        <f t="shared" si="14"/>
        <v>2026-02</v>
      </c>
    </row>
    <row r="147" spans="1:16" ht="18.95" customHeight="1">
      <c r="A147" s="7" t="s">
        <v>516</v>
      </c>
      <c r="B147" s="7" t="s">
        <v>517</v>
      </c>
      <c r="C147" s="7" t="s">
        <v>518</v>
      </c>
      <c r="D147" s="7" t="s">
        <v>103</v>
      </c>
      <c r="E147" s="7" t="s">
        <v>48</v>
      </c>
      <c r="F147" s="7" t="s">
        <v>98</v>
      </c>
      <c r="G147" s="7" t="s">
        <v>519</v>
      </c>
      <c r="I147" s="1">
        <f t="shared" si="10"/>
        <v>1</v>
      </c>
      <c r="J147" s="1" t="str">
        <f>'Source build'!A147</f>
        <v>L00141</v>
      </c>
      <c r="K147" s="1">
        <f>147</f>
        <v>147</v>
      </c>
      <c r="L147" s="10">
        <f t="shared" si="11"/>
        <v>5679</v>
      </c>
      <c r="M147" s="1">
        <f t="shared" si="12"/>
        <v>1</v>
      </c>
      <c r="N147" s="1">
        <f t="shared" si="13"/>
        <v>1</v>
      </c>
      <c r="O147" s="1" t="str">
        <f>IF(I147=0,"UNUSED",IF(A147="","MISSING ID",IF(K147=0,"UNEXPECTED ID",IF(N147&lt;&gt;1,"ID / ORDER DIFFERENCE",IF('Source build'!U147&lt;&gt;"INCLUDED","EXCLUDED SOURCE",IF(NOT(M147),"INVALID AMOUNT",IF('Source build'!Y147&lt;&gt;0,"CHANGED FIELDS","MATCH")))))))</f>
        <v>MATCH</v>
      </c>
      <c r="P147" s="1" t="str">
        <f t="shared" si="14"/>
        <v>2026-02</v>
      </c>
    </row>
    <row r="148" spans="1:16" ht="18.95" customHeight="1">
      <c r="A148" s="7" t="s">
        <v>520</v>
      </c>
      <c r="B148" s="7" t="s">
        <v>517</v>
      </c>
      <c r="C148" s="7" t="s">
        <v>518</v>
      </c>
      <c r="D148" s="7" t="s">
        <v>93</v>
      </c>
      <c r="E148" s="7" t="s">
        <v>46</v>
      </c>
      <c r="F148" s="7" t="s">
        <v>98</v>
      </c>
      <c r="G148" s="7" t="s">
        <v>521</v>
      </c>
      <c r="I148" s="1">
        <f t="shared" si="10"/>
        <v>1</v>
      </c>
      <c r="J148" s="1" t="str">
        <f>'Source build'!A148</f>
        <v>L00142</v>
      </c>
      <c r="K148" s="1">
        <f>148</f>
        <v>148</v>
      </c>
      <c r="L148" s="10">
        <f t="shared" si="11"/>
        <v>17148</v>
      </c>
      <c r="M148" s="1">
        <f t="shared" si="12"/>
        <v>1</v>
      </c>
      <c r="N148" s="1">
        <f t="shared" si="13"/>
        <v>1</v>
      </c>
      <c r="O148" s="1" t="str">
        <f>IF(I148=0,"UNUSED",IF(A148="","MISSING ID",IF(K148=0,"UNEXPECTED ID",IF(N148&lt;&gt;1,"ID / ORDER DIFFERENCE",IF('Source build'!U148&lt;&gt;"INCLUDED","EXCLUDED SOURCE",IF(NOT(M148),"INVALID AMOUNT",IF('Source build'!Y148&lt;&gt;0,"CHANGED FIELDS","MATCH")))))))</f>
        <v>MATCH</v>
      </c>
      <c r="P148" s="1" t="str">
        <f t="shared" si="14"/>
        <v>2026-02</v>
      </c>
    </row>
    <row r="149" spans="1:16" ht="18.95" customHeight="1">
      <c r="A149" s="7" t="s">
        <v>522</v>
      </c>
      <c r="B149" s="7" t="s">
        <v>523</v>
      </c>
      <c r="C149" s="7" t="s">
        <v>524</v>
      </c>
      <c r="D149" s="7" t="s">
        <v>97</v>
      </c>
      <c r="E149" s="7" t="s">
        <v>47</v>
      </c>
      <c r="F149" s="7" t="s">
        <v>98</v>
      </c>
      <c r="G149" s="7" t="s">
        <v>525</v>
      </c>
      <c r="I149" s="1">
        <f t="shared" si="10"/>
        <v>1</v>
      </c>
      <c r="J149" s="1" t="str">
        <f>'Source build'!A149</f>
        <v>L00143</v>
      </c>
      <c r="K149" s="1">
        <f>149</f>
        <v>149</v>
      </c>
      <c r="L149" s="10">
        <f t="shared" si="11"/>
        <v>28765</v>
      </c>
      <c r="M149" s="1">
        <f t="shared" si="12"/>
        <v>1</v>
      </c>
      <c r="N149" s="1">
        <f t="shared" si="13"/>
        <v>1</v>
      </c>
      <c r="O149" s="1" t="str">
        <f>IF(I149=0,"UNUSED",IF(A149="","MISSING ID",IF(K149=0,"UNEXPECTED ID",IF(N149&lt;&gt;1,"ID / ORDER DIFFERENCE",IF('Source build'!U149&lt;&gt;"INCLUDED","EXCLUDED SOURCE",IF(NOT(M149),"INVALID AMOUNT",IF('Source build'!Y149&lt;&gt;0,"CHANGED FIELDS","MATCH")))))))</f>
        <v>MATCH</v>
      </c>
      <c r="P149" s="1" t="str">
        <f t="shared" si="14"/>
        <v>2026-02</v>
      </c>
    </row>
    <row r="150" spans="1:16" ht="18.95" customHeight="1">
      <c r="A150" s="7" t="s">
        <v>526</v>
      </c>
      <c r="B150" s="7" t="s">
        <v>523</v>
      </c>
      <c r="C150" s="7" t="s">
        <v>524</v>
      </c>
      <c r="D150" s="7" t="s">
        <v>103</v>
      </c>
      <c r="E150" s="7" t="s">
        <v>48</v>
      </c>
      <c r="F150" s="7" t="s">
        <v>98</v>
      </c>
      <c r="G150" s="7" t="s">
        <v>527</v>
      </c>
      <c r="I150" s="1">
        <f t="shared" si="10"/>
        <v>1</v>
      </c>
      <c r="J150" s="1" t="str">
        <f>'Source build'!A150</f>
        <v>L00144</v>
      </c>
      <c r="K150" s="1">
        <f>150</f>
        <v>150</v>
      </c>
      <c r="L150" s="10">
        <f t="shared" si="11"/>
        <v>11580</v>
      </c>
      <c r="M150" s="1">
        <f t="shared" si="12"/>
        <v>1</v>
      </c>
      <c r="N150" s="1">
        <f t="shared" si="13"/>
        <v>1</v>
      </c>
      <c r="O150" s="1" t="str">
        <f>IF(I150=0,"UNUSED",IF(A150="","MISSING ID",IF(K150=0,"UNEXPECTED ID",IF(N150&lt;&gt;1,"ID / ORDER DIFFERENCE",IF('Source build'!U150&lt;&gt;"INCLUDED","EXCLUDED SOURCE",IF(NOT(M150),"INVALID AMOUNT",IF('Source build'!Y150&lt;&gt;0,"CHANGED FIELDS","MATCH")))))))</f>
        <v>MATCH</v>
      </c>
      <c r="P150" s="1" t="str">
        <f t="shared" si="14"/>
        <v>2026-02</v>
      </c>
    </row>
    <row r="151" spans="1:16" ht="18.95" customHeight="1">
      <c r="A151" s="7" t="s">
        <v>528</v>
      </c>
      <c r="B151" s="7" t="s">
        <v>529</v>
      </c>
      <c r="C151" s="7" t="s">
        <v>530</v>
      </c>
      <c r="D151" s="7" t="s">
        <v>93</v>
      </c>
      <c r="E151" s="7" t="s">
        <v>46</v>
      </c>
      <c r="F151" s="7" t="s">
        <v>98</v>
      </c>
      <c r="G151" s="7" t="s">
        <v>531</v>
      </c>
      <c r="I151" s="1">
        <f t="shared" si="10"/>
        <v>1</v>
      </c>
      <c r="J151" s="1" t="str">
        <f>'Source build'!A151</f>
        <v>L00145</v>
      </c>
      <c r="K151" s="1">
        <f>151</f>
        <v>151</v>
      </c>
      <c r="L151" s="10">
        <f t="shared" si="11"/>
        <v>23308</v>
      </c>
      <c r="M151" s="1">
        <f t="shared" si="12"/>
        <v>1</v>
      </c>
      <c r="N151" s="1">
        <f t="shared" si="13"/>
        <v>1</v>
      </c>
      <c r="O151" s="1" t="str">
        <f>IF(I151=0,"UNUSED",IF(A151="","MISSING ID",IF(K151=0,"UNEXPECTED ID",IF(N151&lt;&gt;1,"ID / ORDER DIFFERENCE",IF('Source build'!U151&lt;&gt;"INCLUDED","EXCLUDED SOURCE",IF(NOT(M151),"INVALID AMOUNT",IF('Source build'!Y151&lt;&gt;0,"CHANGED FIELDS","MATCH")))))))</f>
        <v>MATCH</v>
      </c>
      <c r="P151" s="1" t="str">
        <f t="shared" si="14"/>
        <v>2026-02</v>
      </c>
    </row>
    <row r="152" spans="1:16" ht="18.95" customHeight="1">
      <c r="A152" s="7" t="s">
        <v>532</v>
      </c>
      <c r="B152" s="7" t="s">
        <v>529</v>
      </c>
      <c r="C152" s="7" t="s">
        <v>530</v>
      </c>
      <c r="D152" s="7" t="s">
        <v>97</v>
      </c>
      <c r="E152" s="7" t="s">
        <v>47</v>
      </c>
      <c r="F152" s="7" t="s">
        <v>98</v>
      </c>
      <c r="G152" s="7" t="s">
        <v>533</v>
      </c>
      <c r="I152" s="1">
        <f t="shared" si="10"/>
        <v>1</v>
      </c>
      <c r="J152" s="1" t="str">
        <f>'Source build'!A152</f>
        <v>L00146</v>
      </c>
      <c r="K152" s="1">
        <f>152</f>
        <v>152</v>
      </c>
      <c r="L152" s="10">
        <f t="shared" si="11"/>
        <v>5864</v>
      </c>
      <c r="M152" s="1">
        <f t="shared" si="12"/>
        <v>1</v>
      </c>
      <c r="N152" s="1">
        <f t="shared" si="13"/>
        <v>1</v>
      </c>
      <c r="O152" s="1" t="str">
        <f>IF(I152=0,"UNUSED",IF(A152="","MISSING ID",IF(K152=0,"UNEXPECTED ID",IF(N152&lt;&gt;1,"ID / ORDER DIFFERENCE",IF('Source build'!U152&lt;&gt;"INCLUDED","EXCLUDED SOURCE",IF(NOT(M152),"INVALID AMOUNT",IF('Source build'!Y152&lt;&gt;0,"CHANGED FIELDS","MATCH")))))))</f>
        <v>MATCH</v>
      </c>
      <c r="P152" s="1" t="str">
        <f t="shared" si="14"/>
        <v>2026-02</v>
      </c>
    </row>
    <row r="153" spans="1:16" ht="18.95" customHeight="1">
      <c r="A153" s="7" t="s">
        <v>534</v>
      </c>
      <c r="B153" s="7" t="s">
        <v>535</v>
      </c>
      <c r="C153" s="7" t="s">
        <v>536</v>
      </c>
      <c r="D153" s="7" t="s">
        <v>103</v>
      </c>
      <c r="E153" s="7" t="s">
        <v>48</v>
      </c>
      <c r="F153" s="7" t="s">
        <v>98</v>
      </c>
      <c r="G153" s="7" t="s">
        <v>537</v>
      </c>
      <c r="I153" s="1">
        <f t="shared" si="10"/>
        <v>1</v>
      </c>
      <c r="J153" s="1" t="str">
        <f>'Source build'!A153</f>
        <v>L00147</v>
      </c>
      <c r="K153" s="1">
        <f>153</f>
        <v>153</v>
      </c>
      <c r="L153" s="10">
        <f t="shared" si="11"/>
        <v>17703</v>
      </c>
      <c r="M153" s="1">
        <f t="shared" si="12"/>
        <v>1</v>
      </c>
      <c r="N153" s="1">
        <f t="shared" si="13"/>
        <v>1</v>
      </c>
      <c r="O153" s="1" t="str">
        <f>IF(I153=0,"UNUSED",IF(A153="","MISSING ID",IF(K153=0,"UNEXPECTED ID",IF(N153&lt;&gt;1,"ID / ORDER DIFFERENCE",IF('Source build'!U153&lt;&gt;"INCLUDED","EXCLUDED SOURCE",IF(NOT(M153),"INVALID AMOUNT",IF('Source build'!Y153&lt;&gt;0,"CHANGED FIELDS","MATCH")))))))</f>
        <v>MATCH</v>
      </c>
      <c r="P153" s="1" t="str">
        <f t="shared" si="14"/>
        <v>2026-03</v>
      </c>
    </row>
    <row r="154" spans="1:16" ht="18.95" customHeight="1">
      <c r="A154" s="7" t="s">
        <v>538</v>
      </c>
      <c r="B154" s="7" t="s">
        <v>535</v>
      </c>
      <c r="C154" s="7" t="s">
        <v>536</v>
      </c>
      <c r="D154" s="7" t="s">
        <v>93</v>
      </c>
      <c r="E154" s="7" t="s">
        <v>46</v>
      </c>
      <c r="F154" s="7" t="s">
        <v>98</v>
      </c>
      <c r="G154" s="7" t="s">
        <v>539</v>
      </c>
      <c r="I154" s="1">
        <f t="shared" si="10"/>
        <v>1</v>
      </c>
      <c r="J154" s="1" t="str">
        <f>'Source build'!A154</f>
        <v>L00148</v>
      </c>
      <c r="K154" s="1">
        <f>154</f>
        <v>154</v>
      </c>
      <c r="L154" s="10">
        <f t="shared" si="11"/>
        <v>29690</v>
      </c>
      <c r="M154" s="1">
        <f t="shared" si="12"/>
        <v>1</v>
      </c>
      <c r="N154" s="1">
        <f t="shared" si="13"/>
        <v>1</v>
      </c>
      <c r="O154" s="1" t="str">
        <f>IF(I154=0,"UNUSED",IF(A154="","MISSING ID",IF(K154=0,"UNEXPECTED ID",IF(N154&lt;&gt;1,"ID / ORDER DIFFERENCE",IF('Source build'!U154&lt;&gt;"INCLUDED","EXCLUDED SOURCE",IF(NOT(M154),"INVALID AMOUNT",IF('Source build'!Y154&lt;&gt;0,"CHANGED FIELDS","MATCH")))))))</f>
        <v>MATCH</v>
      </c>
      <c r="P154" s="1" t="str">
        <f t="shared" si="14"/>
        <v>2026-03</v>
      </c>
    </row>
    <row r="155" spans="1:16" ht="18.95" customHeight="1">
      <c r="A155" s="7" t="s">
        <v>540</v>
      </c>
      <c r="B155" s="7" t="s">
        <v>541</v>
      </c>
      <c r="C155" s="7" t="s">
        <v>542</v>
      </c>
      <c r="D155" s="7" t="s">
        <v>97</v>
      </c>
      <c r="E155" s="7" t="s">
        <v>47</v>
      </c>
      <c r="F155" s="7" t="s">
        <v>98</v>
      </c>
      <c r="G155" s="7" t="s">
        <v>543</v>
      </c>
      <c r="I155" s="1">
        <f t="shared" si="10"/>
        <v>1</v>
      </c>
      <c r="J155" s="1" t="str">
        <f>'Source build'!A155</f>
        <v>L00149</v>
      </c>
      <c r="K155" s="1">
        <f>155</f>
        <v>155</v>
      </c>
      <c r="L155" s="10">
        <f t="shared" si="11"/>
        <v>11950</v>
      </c>
      <c r="M155" s="1">
        <f t="shared" si="12"/>
        <v>1</v>
      </c>
      <c r="N155" s="1">
        <f t="shared" si="13"/>
        <v>1</v>
      </c>
      <c r="O155" s="1" t="str">
        <f>IF(I155=0,"UNUSED",IF(A155="","MISSING ID",IF(K155=0,"UNEXPECTED ID",IF(N155&lt;&gt;1,"ID / ORDER DIFFERENCE",IF('Source build'!U155&lt;&gt;"INCLUDED","EXCLUDED SOURCE",IF(NOT(M155),"INVALID AMOUNT",IF('Source build'!Y155&lt;&gt;0,"CHANGED FIELDS","MATCH")))))))</f>
        <v>MATCH</v>
      </c>
      <c r="P155" s="1" t="str">
        <f t="shared" si="14"/>
        <v>2026-03</v>
      </c>
    </row>
    <row r="156" spans="1:16" ht="18.95" customHeight="1">
      <c r="A156" s="7" t="s">
        <v>544</v>
      </c>
      <c r="B156" s="7" t="s">
        <v>541</v>
      </c>
      <c r="C156" s="7" t="s">
        <v>542</v>
      </c>
      <c r="D156" s="7" t="s">
        <v>103</v>
      </c>
      <c r="E156" s="7" t="s">
        <v>48</v>
      </c>
      <c r="F156" s="7" t="s">
        <v>98</v>
      </c>
      <c r="G156" s="7" t="s">
        <v>545</v>
      </c>
      <c r="I156" s="1">
        <f t="shared" si="10"/>
        <v>1</v>
      </c>
      <c r="J156" s="1" t="str">
        <f>'Source build'!A156</f>
        <v>L00150</v>
      </c>
      <c r="K156" s="1">
        <f>156</f>
        <v>156</v>
      </c>
      <c r="L156" s="10">
        <f t="shared" si="11"/>
        <v>24048</v>
      </c>
      <c r="M156" s="1">
        <f t="shared" si="12"/>
        <v>1</v>
      </c>
      <c r="N156" s="1">
        <f t="shared" si="13"/>
        <v>1</v>
      </c>
      <c r="O156" s="1" t="str">
        <f>IF(I156=0,"UNUSED",IF(A156="","MISSING ID",IF(K156=0,"UNEXPECTED ID",IF(N156&lt;&gt;1,"ID / ORDER DIFFERENCE",IF('Source build'!U156&lt;&gt;"INCLUDED","EXCLUDED SOURCE",IF(NOT(M156),"INVALID AMOUNT",IF('Source build'!Y156&lt;&gt;0,"CHANGED FIELDS","MATCH")))))))</f>
        <v>MATCH</v>
      </c>
      <c r="P156" s="1" t="str">
        <f t="shared" si="14"/>
        <v>2026-03</v>
      </c>
    </row>
    <row r="157" spans="1:16" ht="18.95" customHeight="1">
      <c r="A157" s="7" t="s">
        <v>546</v>
      </c>
      <c r="B157" s="7" t="s">
        <v>547</v>
      </c>
      <c r="C157" s="7" t="s">
        <v>548</v>
      </c>
      <c r="D157" s="7" t="s">
        <v>93</v>
      </c>
      <c r="E157" s="7" t="s">
        <v>46</v>
      </c>
      <c r="F157" s="7" t="s">
        <v>98</v>
      </c>
      <c r="G157" s="7" t="s">
        <v>549</v>
      </c>
      <c r="I157" s="1">
        <f t="shared" si="10"/>
        <v>1</v>
      </c>
      <c r="J157" s="1" t="str">
        <f>'Source build'!A157</f>
        <v>L00151</v>
      </c>
      <c r="K157" s="1">
        <f>157</f>
        <v>157</v>
      </c>
      <c r="L157" s="10">
        <f t="shared" si="11"/>
        <v>6049</v>
      </c>
      <c r="M157" s="1">
        <f t="shared" si="12"/>
        <v>1</v>
      </c>
      <c r="N157" s="1">
        <f t="shared" si="13"/>
        <v>1</v>
      </c>
      <c r="O157" s="1" t="str">
        <f>IF(I157=0,"UNUSED",IF(A157="","MISSING ID",IF(K157=0,"UNEXPECTED ID",IF(N157&lt;&gt;1,"ID / ORDER DIFFERENCE",IF('Source build'!U157&lt;&gt;"INCLUDED","EXCLUDED SOURCE",IF(NOT(M157),"INVALID AMOUNT",IF('Source build'!Y157&lt;&gt;0,"CHANGED FIELDS","MATCH")))))))</f>
        <v>MATCH</v>
      </c>
      <c r="P157" s="1" t="str">
        <f t="shared" si="14"/>
        <v>2026-03</v>
      </c>
    </row>
    <row r="158" spans="1:16" ht="18.95" customHeight="1">
      <c r="A158" s="7" t="s">
        <v>550</v>
      </c>
      <c r="B158" s="7" t="s">
        <v>547</v>
      </c>
      <c r="C158" s="7" t="s">
        <v>548</v>
      </c>
      <c r="D158" s="7" t="s">
        <v>97</v>
      </c>
      <c r="E158" s="7" t="s">
        <v>47</v>
      </c>
      <c r="F158" s="7" t="s">
        <v>98</v>
      </c>
      <c r="G158" s="7" t="s">
        <v>551</v>
      </c>
      <c r="I158" s="1">
        <f t="shared" si="10"/>
        <v>1</v>
      </c>
      <c r="J158" s="1" t="str">
        <f>'Source build'!A158</f>
        <v>L00152</v>
      </c>
      <c r="K158" s="1">
        <f>158</f>
        <v>158</v>
      </c>
      <c r="L158" s="10">
        <f t="shared" si="11"/>
        <v>18258</v>
      </c>
      <c r="M158" s="1">
        <f t="shared" si="12"/>
        <v>1</v>
      </c>
      <c r="N158" s="1">
        <f t="shared" si="13"/>
        <v>1</v>
      </c>
      <c r="O158" s="1" t="str">
        <f>IF(I158=0,"UNUSED",IF(A158="","MISSING ID",IF(K158=0,"UNEXPECTED ID",IF(N158&lt;&gt;1,"ID / ORDER DIFFERENCE",IF('Source build'!U158&lt;&gt;"INCLUDED","EXCLUDED SOURCE",IF(NOT(M158),"INVALID AMOUNT",IF('Source build'!Y158&lt;&gt;0,"CHANGED FIELDS","MATCH")))))))</f>
        <v>MATCH</v>
      </c>
      <c r="P158" s="1" t="str">
        <f t="shared" si="14"/>
        <v>2026-03</v>
      </c>
    </row>
    <row r="159" spans="1:16" ht="18.95" customHeight="1">
      <c r="A159" s="7" t="s">
        <v>552</v>
      </c>
      <c r="B159" s="7" t="s">
        <v>553</v>
      </c>
      <c r="C159" s="7" t="s">
        <v>554</v>
      </c>
      <c r="D159" s="7" t="s">
        <v>103</v>
      </c>
      <c r="E159" s="7" t="s">
        <v>48</v>
      </c>
      <c r="F159" s="7" t="s">
        <v>98</v>
      </c>
      <c r="G159" s="7" t="s">
        <v>555</v>
      </c>
      <c r="I159" s="1">
        <f t="shared" si="10"/>
        <v>1</v>
      </c>
      <c r="J159" s="1" t="str">
        <f>'Source build'!A159</f>
        <v>L00153</v>
      </c>
      <c r="K159" s="1">
        <f>159</f>
        <v>159</v>
      </c>
      <c r="L159" s="10">
        <f t="shared" si="11"/>
        <v>30615</v>
      </c>
      <c r="M159" s="1">
        <f t="shared" si="12"/>
        <v>1</v>
      </c>
      <c r="N159" s="1">
        <f t="shared" si="13"/>
        <v>1</v>
      </c>
      <c r="O159" s="1" t="str">
        <f>IF(I159=0,"UNUSED",IF(A159="","MISSING ID",IF(K159=0,"UNEXPECTED ID",IF(N159&lt;&gt;1,"ID / ORDER DIFFERENCE",IF('Source build'!U159&lt;&gt;"INCLUDED","EXCLUDED SOURCE",IF(NOT(M159),"INVALID AMOUNT",IF('Source build'!Y159&lt;&gt;0,"CHANGED FIELDS","MATCH")))))))</f>
        <v>MATCH</v>
      </c>
      <c r="P159" s="1" t="str">
        <f t="shared" si="14"/>
        <v>2026-03</v>
      </c>
    </row>
    <row r="160" spans="1:16" ht="18.95" customHeight="1">
      <c r="A160" s="7" t="s">
        <v>556</v>
      </c>
      <c r="B160" s="7" t="s">
        <v>553</v>
      </c>
      <c r="C160" s="7" t="s">
        <v>554</v>
      </c>
      <c r="D160" s="7" t="s">
        <v>93</v>
      </c>
      <c r="E160" s="7" t="s">
        <v>46</v>
      </c>
      <c r="F160" s="7" t="s">
        <v>98</v>
      </c>
      <c r="G160" s="7" t="s">
        <v>557</v>
      </c>
      <c r="I160" s="1">
        <f t="shared" si="10"/>
        <v>1</v>
      </c>
      <c r="J160" s="1" t="str">
        <f>'Source build'!A160</f>
        <v>L00154</v>
      </c>
      <c r="K160" s="1">
        <f>160</f>
        <v>160</v>
      </c>
      <c r="L160" s="10">
        <f t="shared" si="11"/>
        <v>12320</v>
      </c>
      <c r="M160" s="1">
        <f t="shared" si="12"/>
        <v>1</v>
      </c>
      <c r="N160" s="1">
        <f t="shared" si="13"/>
        <v>1</v>
      </c>
      <c r="O160" s="1" t="str">
        <f>IF(I160=0,"UNUSED",IF(A160="","MISSING ID",IF(K160=0,"UNEXPECTED ID",IF(N160&lt;&gt;1,"ID / ORDER DIFFERENCE",IF('Source build'!U160&lt;&gt;"INCLUDED","EXCLUDED SOURCE",IF(NOT(M160),"INVALID AMOUNT",IF('Source build'!Y160&lt;&gt;0,"CHANGED FIELDS","MATCH")))))))</f>
        <v>MATCH</v>
      </c>
      <c r="P160" s="1" t="str">
        <f t="shared" si="14"/>
        <v>2026-03</v>
      </c>
    </row>
    <row r="161" spans="1:16" ht="18.95" customHeight="1">
      <c r="A161" s="7" t="s">
        <v>558</v>
      </c>
      <c r="B161" s="7" t="s">
        <v>559</v>
      </c>
      <c r="C161" s="7" t="s">
        <v>560</v>
      </c>
      <c r="D161" s="7" t="s">
        <v>97</v>
      </c>
      <c r="E161" s="7" t="s">
        <v>47</v>
      </c>
      <c r="F161" s="7" t="s">
        <v>98</v>
      </c>
      <c r="G161" s="7" t="s">
        <v>561</v>
      </c>
      <c r="I161" s="1">
        <f t="shared" si="10"/>
        <v>1</v>
      </c>
      <c r="J161" s="1" t="str">
        <f>'Source build'!A161</f>
        <v>L00155</v>
      </c>
      <c r="K161" s="1">
        <f>161</f>
        <v>161</v>
      </c>
      <c r="L161" s="10">
        <f t="shared" si="11"/>
        <v>24788</v>
      </c>
      <c r="M161" s="1">
        <f t="shared" si="12"/>
        <v>1</v>
      </c>
      <c r="N161" s="1">
        <f t="shared" si="13"/>
        <v>1</v>
      </c>
      <c r="O161" s="1" t="str">
        <f>IF(I161=0,"UNUSED",IF(A161="","MISSING ID",IF(K161=0,"UNEXPECTED ID",IF(N161&lt;&gt;1,"ID / ORDER DIFFERENCE",IF('Source build'!U161&lt;&gt;"INCLUDED","EXCLUDED SOURCE",IF(NOT(M161),"INVALID AMOUNT",IF('Source build'!Y161&lt;&gt;0,"CHANGED FIELDS","MATCH")))))))</f>
        <v>MATCH</v>
      </c>
      <c r="P161" s="1" t="str">
        <f t="shared" si="14"/>
        <v>2026-03</v>
      </c>
    </row>
    <row r="162" spans="1:16" ht="18.95" customHeight="1">
      <c r="A162" s="7" t="s">
        <v>562</v>
      </c>
      <c r="B162" s="7" t="s">
        <v>559</v>
      </c>
      <c r="C162" s="7" t="s">
        <v>560</v>
      </c>
      <c r="D162" s="7" t="s">
        <v>103</v>
      </c>
      <c r="E162" s="7" t="s">
        <v>48</v>
      </c>
      <c r="F162" s="7" t="s">
        <v>98</v>
      </c>
      <c r="G162" s="7" t="s">
        <v>563</v>
      </c>
      <c r="I162" s="1">
        <f t="shared" si="10"/>
        <v>1</v>
      </c>
      <c r="J162" s="1" t="str">
        <f>'Source build'!A162</f>
        <v>L00156</v>
      </c>
      <c r="K162" s="1">
        <f>162</f>
        <v>162</v>
      </c>
      <c r="L162" s="10">
        <f t="shared" si="11"/>
        <v>6234</v>
      </c>
      <c r="M162" s="1">
        <f t="shared" si="12"/>
        <v>1</v>
      </c>
      <c r="N162" s="1">
        <f t="shared" si="13"/>
        <v>1</v>
      </c>
      <c r="O162" s="1" t="str">
        <f>IF(I162=0,"UNUSED",IF(A162="","MISSING ID",IF(K162=0,"UNEXPECTED ID",IF(N162&lt;&gt;1,"ID / ORDER DIFFERENCE",IF('Source build'!U162&lt;&gt;"INCLUDED","EXCLUDED SOURCE",IF(NOT(M162),"INVALID AMOUNT",IF('Source build'!Y162&lt;&gt;0,"CHANGED FIELDS","MATCH")))))))</f>
        <v>MATCH</v>
      </c>
      <c r="P162" s="1" t="str">
        <f t="shared" si="14"/>
        <v>2026-03</v>
      </c>
    </row>
    <row r="163" spans="1:16" ht="18.95" customHeight="1">
      <c r="A163" s="7" t="s">
        <v>564</v>
      </c>
      <c r="B163" s="7" t="s">
        <v>565</v>
      </c>
      <c r="C163" s="7" t="s">
        <v>566</v>
      </c>
      <c r="D163" s="7" t="s">
        <v>93</v>
      </c>
      <c r="E163" s="7" t="s">
        <v>46</v>
      </c>
      <c r="F163" s="7" t="s">
        <v>98</v>
      </c>
      <c r="G163" s="7" t="s">
        <v>567</v>
      </c>
      <c r="I163" s="1">
        <f t="shared" si="10"/>
        <v>1</v>
      </c>
      <c r="J163" s="1" t="str">
        <f>'Source build'!A163</f>
        <v>L00157</v>
      </c>
      <c r="K163" s="1">
        <f>163</f>
        <v>163</v>
      </c>
      <c r="L163" s="10">
        <f t="shared" si="11"/>
        <v>18813</v>
      </c>
      <c r="M163" s="1">
        <f t="shared" si="12"/>
        <v>1</v>
      </c>
      <c r="N163" s="1">
        <f t="shared" si="13"/>
        <v>1</v>
      </c>
      <c r="O163" s="1" t="str">
        <f>IF(I163=0,"UNUSED",IF(A163="","MISSING ID",IF(K163=0,"UNEXPECTED ID",IF(N163&lt;&gt;1,"ID / ORDER DIFFERENCE",IF('Source build'!U163&lt;&gt;"INCLUDED","EXCLUDED SOURCE",IF(NOT(M163),"INVALID AMOUNT",IF('Source build'!Y163&lt;&gt;0,"CHANGED FIELDS","MATCH")))))))</f>
        <v>MATCH</v>
      </c>
      <c r="P163" s="1" t="str">
        <f t="shared" si="14"/>
        <v>2026-01</v>
      </c>
    </row>
    <row r="164" spans="1:16" ht="18.95" customHeight="1">
      <c r="A164" s="7" t="s">
        <v>568</v>
      </c>
      <c r="B164" s="7" t="s">
        <v>565</v>
      </c>
      <c r="C164" s="7" t="s">
        <v>566</v>
      </c>
      <c r="D164" s="7" t="s">
        <v>97</v>
      </c>
      <c r="E164" s="7" t="s">
        <v>47</v>
      </c>
      <c r="F164" s="7" t="s">
        <v>98</v>
      </c>
      <c r="G164" s="7" t="s">
        <v>569</v>
      </c>
      <c r="I164" s="1">
        <f t="shared" si="10"/>
        <v>1</v>
      </c>
      <c r="J164" s="1" t="str">
        <f>'Source build'!A164</f>
        <v>L00158</v>
      </c>
      <c r="K164" s="1">
        <f>164</f>
        <v>164</v>
      </c>
      <c r="L164" s="10">
        <f t="shared" si="11"/>
        <v>31540</v>
      </c>
      <c r="M164" s="1">
        <f t="shared" si="12"/>
        <v>1</v>
      </c>
      <c r="N164" s="1">
        <f t="shared" si="13"/>
        <v>1</v>
      </c>
      <c r="O164" s="1" t="str">
        <f>IF(I164=0,"UNUSED",IF(A164="","MISSING ID",IF(K164=0,"UNEXPECTED ID",IF(N164&lt;&gt;1,"ID / ORDER DIFFERENCE",IF('Source build'!U164&lt;&gt;"INCLUDED","EXCLUDED SOURCE",IF(NOT(M164),"INVALID AMOUNT",IF('Source build'!Y164&lt;&gt;0,"CHANGED FIELDS","MATCH")))))))</f>
        <v>MATCH</v>
      </c>
      <c r="P164" s="1" t="str">
        <f t="shared" si="14"/>
        <v>2026-01</v>
      </c>
    </row>
    <row r="165" spans="1:16" ht="18.95" customHeight="1">
      <c r="A165" s="7" t="s">
        <v>570</v>
      </c>
      <c r="B165" s="7" t="s">
        <v>571</v>
      </c>
      <c r="C165" s="7" t="s">
        <v>572</v>
      </c>
      <c r="D165" s="7" t="s">
        <v>103</v>
      </c>
      <c r="E165" s="7" t="s">
        <v>48</v>
      </c>
      <c r="F165" s="7" t="s">
        <v>98</v>
      </c>
      <c r="G165" s="7" t="s">
        <v>573</v>
      </c>
      <c r="I165" s="1">
        <f t="shared" si="10"/>
        <v>1</v>
      </c>
      <c r="J165" s="1" t="str">
        <f>'Source build'!A165</f>
        <v>L00159</v>
      </c>
      <c r="K165" s="1">
        <f>165</f>
        <v>165</v>
      </c>
      <c r="L165" s="10">
        <f t="shared" si="11"/>
        <v>12690</v>
      </c>
      <c r="M165" s="1">
        <f t="shared" si="12"/>
        <v>1</v>
      </c>
      <c r="N165" s="1">
        <f t="shared" si="13"/>
        <v>1</v>
      </c>
      <c r="O165" s="1" t="str">
        <f>IF(I165=0,"UNUSED",IF(A165="","MISSING ID",IF(K165=0,"UNEXPECTED ID",IF(N165&lt;&gt;1,"ID / ORDER DIFFERENCE",IF('Source build'!U165&lt;&gt;"INCLUDED","EXCLUDED SOURCE",IF(NOT(M165),"INVALID AMOUNT",IF('Source build'!Y165&lt;&gt;0,"CHANGED FIELDS","MATCH")))))))</f>
        <v>MATCH</v>
      </c>
      <c r="P165" s="1" t="str">
        <f t="shared" si="14"/>
        <v>2026-01</v>
      </c>
    </row>
    <row r="166" spans="1:16" ht="18.95" customHeight="1">
      <c r="A166" s="7" t="s">
        <v>574</v>
      </c>
      <c r="B166" s="7" t="s">
        <v>571</v>
      </c>
      <c r="C166" s="7" t="s">
        <v>572</v>
      </c>
      <c r="D166" s="7" t="s">
        <v>93</v>
      </c>
      <c r="E166" s="7" t="s">
        <v>46</v>
      </c>
      <c r="F166" s="7" t="s">
        <v>98</v>
      </c>
      <c r="G166" s="7" t="s">
        <v>575</v>
      </c>
      <c r="I166" s="1">
        <f t="shared" si="10"/>
        <v>1</v>
      </c>
      <c r="J166" s="1" t="str">
        <f>'Source build'!A166</f>
        <v>L00160</v>
      </c>
      <c r="K166" s="1">
        <f>166</f>
        <v>166</v>
      </c>
      <c r="L166" s="10">
        <f t="shared" si="11"/>
        <v>25528</v>
      </c>
      <c r="M166" s="1">
        <f t="shared" si="12"/>
        <v>1</v>
      </c>
      <c r="N166" s="1">
        <f t="shared" si="13"/>
        <v>1</v>
      </c>
      <c r="O166" s="1" t="str">
        <f>IF(I166=0,"UNUSED",IF(A166="","MISSING ID",IF(K166=0,"UNEXPECTED ID",IF(N166&lt;&gt;1,"ID / ORDER DIFFERENCE",IF('Source build'!U166&lt;&gt;"INCLUDED","EXCLUDED SOURCE",IF(NOT(M166),"INVALID AMOUNT",IF('Source build'!Y166&lt;&gt;0,"CHANGED FIELDS","MATCH")))))))</f>
        <v>MATCH</v>
      </c>
      <c r="P166" s="1" t="str">
        <f t="shared" si="14"/>
        <v>2026-01</v>
      </c>
    </row>
    <row r="167" spans="1:16" ht="18.95" customHeight="1">
      <c r="A167" s="7" t="s">
        <v>576</v>
      </c>
      <c r="B167" s="7" t="s">
        <v>577</v>
      </c>
      <c r="C167" s="7" t="s">
        <v>578</v>
      </c>
      <c r="D167" s="7" t="s">
        <v>97</v>
      </c>
      <c r="E167" s="7" t="s">
        <v>47</v>
      </c>
      <c r="F167" s="7" t="s">
        <v>98</v>
      </c>
      <c r="G167" s="7" t="s">
        <v>579</v>
      </c>
      <c r="I167" s="1">
        <f t="shared" si="10"/>
        <v>1</v>
      </c>
      <c r="J167" s="1" t="str">
        <f>'Source build'!A167</f>
        <v>L00161</v>
      </c>
      <c r="K167" s="1">
        <f>167</f>
        <v>167</v>
      </c>
      <c r="L167" s="10">
        <f t="shared" si="11"/>
        <v>6419</v>
      </c>
      <c r="M167" s="1">
        <f t="shared" si="12"/>
        <v>1</v>
      </c>
      <c r="N167" s="1">
        <f t="shared" si="13"/>
        <v>1</v>
      </c>
      <c r="O167" s="1" t="str">
        <f>IF(I167=0,"UNUSED",IF(A167="","MISSING ID",IF(K167=0,"UNEXPECTED ID",IF(N167&lt;&gt;1,"ID / ORDER DIFFERENCE",IF('Source build'!U167&lt;&gt;"INCLUDED","EXCLUDED SOURCE",IF(NOT(M167),"INVALID AMOUNT",IF('Source build'!Y167&lt;&gt;0,"CHANGED FIELDS","MATCH")))))))</f>
        <v>MATCH</v>
      </c>
      <c r="P167" s="1" t="str">
        <f t="shared" si="14"/>
        <v>2026-01</v>
      </c>
    </row>
    <row r="168" spans="1:16" ht="18.95" customHeight="1">
      <c r="A168" s="7" t="s">
        <v>580</v>
      </c>
      <c r="B168" s="7" t="s">
        <v>577</v>
      </c>
      <c r="C168" s="7" t="s">
        <v>578</v>
      </c>
      <c r="D168" s="7" t="s">
        <v>103</v>
      </c>
      <c r="E168" s="7" t="s">
        <v>48</v>
      </c>
      <c r="F168" s="7" t="s">
        <v>94</v>
      </c>
      <c r="G168" s="7" t="s">
        <v>581</v>
      </c>
      <c r="I168" s="1">
        <f t="shared" si="10"/>
        <v>1</v>
      </c>
      <c r="J168" s="1" t="str">
        <f>'Source build'!A168</f>
        <v>L00162</v>
      </c>
      <c r="K168" s="1">
        <f>168</f>
        <v>168</v>
      </c>
      <c r="L168" s="10">
        <f t="shared" si="11"/>
        <v>-19368</v>
      </c>
      <c r="M168" s="1">
        <f t="shared" si="12"/>
        <v>1</v>
      </c>
      <c r="N168" s="1">
        <f t="shared" si="13"/>
        <v>1</v>
      </c>
      <c r="O168" s="1" t="str">
        <f>IF(I168=0,"UNUSED",IF(A168="","MISSING ID",IF(K168=0,"UNEXPECTED ID",IF(N168&lt;&gt;1,"ID / ORDER DIFFERENCE",IF('Source build'!U168&lt;&gt;"INCLUDED","EXCLUDED SOURCE",IF(NOT(M168),"INVALID AMOUNT",IF('Source build'!Y168&lt;&gt;0,"CHANGED FIELDS","MATCH")))))))</f>
        <v>MATCH</v>
      </c>
      <c r="P168" s="1" t="str">
        <f t="shared" si="14"/>
        <v>2026-01</v>
      </c>
    </row>
    <row r="169" spans="1:16" ht="18.95" customHeight="1">
      <c r="A169" s="7" t="s">
        <v>582</v>
      </c>
      <c r="B169" s="7" t="s">
        <v>583</v>
      </c>
      <c r="C169" s="7" t="s">
        <v>584</v>
      </c>
      <c r="D169" s="7" t="s">
        <v>93</v>
      </c>
      <c r="E169" s="7" t="s">
        <v>46</v>
      </c>
      <c r="F169" s="7" t="s">
        <v>98</v>
      </c>
      <c r="G169" s="7" t="s">
        <v>585</v>
      </c>
      <c r="I169" s="1">
        <f t="shared" si="10"/>
        <v>1</v>
      </c>
      <c r="J169" s="1" t="str">
        <f>'Source build'!A169</f>
        <v>L00163</v>
      </c>
      <c r="K169" s="1">
        <f>169</f>
        <v>169</v>
      </c>
      <c r="L169" s="10">
        <f t="shared" si="11"/>
        <v>32465</v>
      </c>
      <c r="M169" s="1">
        <f t="shared" si="12"/>
        <v>1</v>
      </c>
      <c r="N169" s="1">
        <f t="shared" si="13"/>
        <v>1</v>
      </c>
      <c r="O169" s="1" t="str">
        <f>IF(I169=0,"UNUSED",IF(A169="","MISSING ID",IF(K169=0,"UNEXPECTED ID",IF(N169&lt;&gt;1,"ID / ORDER DIFFERENCE",IF('Source build'!U169&lt;&gt;"INCLUDED","EXCLUDED SOURCE",IF(NOT(M169),"INVALID AMOUNT",IF('Source build'!Y169&lt;&gt;0,"CHANGED FIELDS","MATCH")))))))</f>
        <v>MATCH</v>
      </c>
      <c r="P169" s="1" t="str">
        <f t="shared" si="14"/>
        <v>2026-01</v>
      </c>
    </row>
    <row r="170" spans="1:16" ht="18.95" customHeight="1">
      <c r="A170" s="7" t="s">
        <v>586</v>
      </c>
      <c r="B170" s="7" t="s">
        <v>583</v>
      </c>
      <c r="C170" s="7" t="s">
        <v>584</v>
      </c>
      <c r="D170" s="7" t="s">
        <v>97</v>
      </c>
      <c r="E170" s="7" t="s">
        <v>47</v>
      </c>
      <c r="F170" s="7" t="s">
        <v>98</v>
      </c>
      <c r="G170" s="7" t="s">
        <v>587</v>
      </c>
      <c r="I170" s="1">
        <f t="shared" si="10"/>
        <v>1</v>
      </c>
      <c r="J170" s="1" t="str">
        <f>'Source build'!A170</f>
        <v>L00164</v>
      </c>
      <c r="K170" s="1">
        <f>170</f>
        <v>170</v>
      </c>
      <c r="L170" s="10">
        <f t="shared" si="11"/>
        <v>13060</v>
      </c>
      <c r="M170" s="1">
        <f t="shared" si="12"/>
        <v>1</v>
      </c>
      <c r="N170" s="1">
        <f t="shared" si="13"/>
        <v>1</v>
      </c>
      <c r="O170" s="1" t="str">
        <f>IF(I170=0,"UNUSED",IF(A170="","MISSING ID",IF(K170=0,"UNEXPECTED ID",IF(N170&lt;&gt;1,"ID / ORDER DIFFERENCE",IF('Source build'!U170&lt;&gt;"INCLUDED","EXCLUDED SOURCE",IF(NOT(M170),"INVALID AMOUNT",IF('Source build'!Y170&lt;&gt;0,"CHANGED FIELDS","MATCH")))))))</f>
        <v>MATCH</v>
      </c>
      <c r="P170" s="1" t="str">
        <f t="shared" si="14"/>
        <v>2026-01</v>
      </c>
    </row>
    <row r="171" spans="1:16" ht="18.95" customHeight="1">
      <c r="A171" s="7" t="s">
        <v>588</v>
      </c>
      <c r="B171" s="7" t="s">
        <v>589</v>
      </c>
      <c r="C171" s="7" t="s">
        <v>590</v>
      </c>
      <c r="D171" s="7" t="s">
        <v>103</v>
      </c>
      <c r="E171" s="7" t="s">
        <v>48</v>
      </c>
      <c r="F171" s="7" t="s">
        <v>98</v>
      </c>
      <c r="G171" s="7" t="s">
        <v>591</v>
      </c>
      <c r="I171" s="1">
        <f t="shared" si="10"/>
        <v>1</v>
      </c>
      <c r="J171" s="1" t="str">
        <f>'Source build'!A171</f>
        <v>L00165</v>
      </c>
      <c r="K171" s="1">
        <f>171</f>
        <v>171</v>
      </c>
      <c r="L171" s="10">
        <f t="shared" si="11"/>
        <v>26268</v>
      </c>
      <c r="M171" s="1">
        <f t="shared" si="12"/>
        <v>1</v>
      </c>
      <c r="N171" s="1">
        <f t="shared" si="13"/>
        <v>1</v>
      </c>
      <c r="O171" s="1" t="str">
        <f>IF(I171=0,"UNUSED",IF(A171="","MISSING ID",IF(K171=0,"UNEXPECTED ID",IF(N171&lt;&gt;1,"ID / ORDER DIFFERENCE",IF('Source build'!U171&lt;&gt;"INCLUDED","EXCLUDED SOURCE",IF(NOT(M171),"INVALID AMOUNT",IF('Source build'!Y171&lt;&gt;0,"CHANGED FIELDS","MATCH")))))))</f>
        <v>MATCH</v>
      </c>
      <c r="P171" s="1" t="str">
        <f t="shared" si="14"/>
        <v>2026-02</v>
      </c>
    </row>
    <row r="172" spans="1:16" ht="18.95" customHeight="1">
      <c r="A172" s="7" t="s">
        <v>592</v>
      </c>
      <c r="B172" s="7" t="s">
        <v>589</v>
      </c>
      <c r="C172" s="7" t="s">
        <v>590</v>
      </c>
      <c r="D172" s="7" t="s">
        <v>93</v>
      </c>
      <c r="E172" s="7" t="s">
        <v>46</v>
      </c>
      <c r="F172" s="7" t="s">
        <v>98</v>
      </c>
      <c r="G172" s="7" t="s">
        <v>593</v>
      </c>
      <c r="I172" s="1">
        <f t="shared" si="10"/>
        <v>1</v>
      </c>
      <c r="J172" s="1" t="str">
        <f>'Source build'!A172</f>
        <v>L00166</v>
      </c>
      <c r="K172" s="1">
        <f>172</f>
        <v>172</v>
      </c>
      <c r="L172" s="10">
        <f t="shared" si="11"/>
        <v>6604</v>
      </c>
      <c r="M172" s="1">
        <f t="shared" si="12"/>
        <v>1</v>
      </c>
      <c r="N172" s="1">
        <f t="shared" si="13"/>
        <v>1</v>
      </c>
      <c r="O172" s="1" t="str">
        <f>IF(I172=0,"UNUSED",IF(A172="","MISSING ID",IF(K172=0,"UNEXPECTED ID",IF(N172&lt;&gt;1,"ID / ORDER DIFFERENCE",IF('Source build'!U172&lt;&gt;"INCLUDED","EXCLUDED SOURCE",IF(NOT(M172),"INVALID AMOUNT",IF('Source build'!Y172&lt;&gt;0,"CHANGED FIELDS","MATCH")))))))</f>
        <v>MATCH</v>
      </c>
      <c r="P172" s="1" t="str">
        <f t="shared" si="14"/>
        <v>2026-02</v>
      </c>
    </row>
    <row r="173" spans="1:16" ht="18.95" customHeight="1">
      <c r="A173" s="7" t="s">
        <v>594</v>
      </c>
      <c r="B173" s="7" t="s">
        <v>595</v>
      </c>
      <c r="C173" s="7" t="s">
        <v>596</v>
      </c>
      <c r="D173" s="7" t="s">
        <v>97</v>
      </c>
      <c r="E173" s="7" t="s">
        <v>47</v>
      </c>
      <c r="F173" s="7" t="s">
        <v>98</v>
      </c>
      <c r="G173" s="7" t="s">
        <v>597</v>
      </c>
      <c r="I173" s="1">
        <f t="shared" si="10"/>
        <v>1</v>
      </c>
      <c r="J173" s="1" t="str">
        <f>'Source build'!A173</f>
        <v>L00167</v>
      </c>
      <c r="K173" s="1">
        <f>173</f>
        <v>173</v>
      </c>
      <c r="L173" s="10">
        <f t="shared" si="11"/>
        <v>19923</v>
      </c>
      <c r="M173" s="1">
        <f t="shared" si="12"/>
        <v>1</v>
      </c>
      <c r="N173" s="1">
        <f t="shared" si="13"/>
        <v>1</v>
      </c>
      <c r="O173" s="1" t="str">
        <f>IF(I173=0,"UNUSED",IF(A173="","MISSING ID",IF(K173=0,"UNEXPECTED ID",IF(N173&lt;&gt;1,"ID / ORDER DIFFERENCE",IF('Source build'!U173&lt;&gt;"INCLUDED","EXCLUDED SOURCE",IF(NOT(M173),"INVALID AMOUNT",IF('Source build'!Y173&lt;&gt;0,"CHANGED FIELDS","MATCH")))))))</f>
        <v>MATCH</v>
      </c>
      <c r="P173" s="1" t="str">
        <f t="shared" si="14"/>
        <v>2026-02</v>
      </c>
    </row>
    <row r="174" spans="1:16" ht="18.95" customHeight="1">
      <c r="A174" s="7" t="s">
        <v>598</v>
      </c>
      <c r="B174" s="7" t="s">
        <v>595</v>
      </c>
      <c r="C174" s="7" t="s">
        <v>596</v>
      </c>
      <c r="D174" s="7" t="s">
        <v>103</v>
      </c>
      <c r="E174" s="7" t="s">
        <v>48</v>
      </c>
      <c r="F174" s="7" t="s">
        <v>98</v>
      </c>
      <c r="G174" s="7" t="s">
        <v>599</v>
      </c>
      <c r="I174" s="1">
        <f t="shared" si="10"/>
        <v>1</v>
      </c>
      <c r="J174" s="1" t="str">
        <f>'Source build'!A174</f>
        <v>L00168</v>
      </c>
      <c r="K174" s="1">
        <f>174</f>
        <v>174</v>
      </c>
      <c r="L174" s="10">
        <f t="shared" si="11"/>
        <v>33390</v>
      </c>
      <c r="M174" s="1">
        <f t="shared" si="12"/>
        <v>1</v>
      </c>
      <c r="N174" s="1">
        <f t="shared" si="13"/>
        <v>1</v>
      </c>
      <c r="O174" s="1" t="str">
        <f>IF(I174=0,"UNUSED",IF(A174="","MISSING ID",IF(K174=0,"UNEXPECTED ID",IF(N174&lt;&gt;1,"ID / ORDER DIFFERENCE",IF('Source build'!U174&lt;&gt;"INCLUDED","EXCLUDED SOURCE",IF(NOT(M174),"INVALID AMOUNT",IF('Source build'!Y174&lt;&gt;0,"CHANGED FIELDS","MATCH")))))))</f>
        <v>MATCH</v>
      </c>
      <c r="P174" s="1" t="str">
        <f t="shared" si="14"/>
        <v>2026-02</v>
      </c>
    </row>
    <row r="175" spans="1:16" ht="18.95" customHeight="1">
      <c r="A175" s="7" t="s">
        <v>600</v>
      </c>
      <c r="B175" s="7" t="s">
        <v>601</v>
      </c>
      <c r="C175" s="7" t="s">
        <v>602</v>
      </c>
      <c r="D175" s="7" t="s">
        <v>93</v>
      </c>
      <c r="E175" s="7" t="s">
        <v>46</v>
      </c>
      <c r="F175" s="7" t="s">
        <v>98</v>
      </c>
      <c r="G175" s="7" t="s">
        <v>603</v>
      </c>
      <c r="I175" s="1">
        <f t="shared" si="10"/>
        <v>1</v>
      </c>
      <c r="J175" s="1" t="str">
        <f>'Source build'!A175</f>
        <v>L00169</v>
      </c>
      <c r="K175" s="1">
        <f>175</f>
        <v>175</v>
      </c>
      <c r="L175" s="10">
        <f t="shared" si="11"/>
        <v>13430</v>
      </c>
      <c r="M175" s="1">
        <f t="shared" si="12"/>
        <v>1</v>
      </c>
      <c r="N175" s="1">
        <f t="shared" si="13"/>
        <v>1</v>
      </c>
      <c r="O175" s="1" t="str">
        <f>IF(I175=0,"UNUSED",IF(A175="","MISSING ID",IF(K175=0,"UNEXPECTED ID",IF(N175&lt;&gt;1,"ID / ORDER DIFFERENCE",IF('Source build'!U175&lt;&gt;"INCLUDED","EXCLUDED SOURCE",IF(NOT(M175),"INVALID AMOUNT",IF('Source build'!Y175&lt;&gt;0,"CHANGED FIELDS","MATCH")))))))</f>
        <v>MATCH</v>
      </c>
      <c r="P175" s="1" t="str">
        <f t="shared" si="14"/>
        <v>2026-02</v>
      </c>
    </row>
    <row r="176" spans="1:16" ht="18.95" customHeight="1">
      <c r="A176" s="7" t="s">
        <v>604</v>
      </c>
      <c r="B176" s="7" t="s">
        <v>601</v>
      </c>
      <c r="C176" s="7" t="s">
        <v>602</v>
      </c>
      <c r="D176" s="7" t="s">
        <v>97</v>
      </c>
      <c r="E176" s="7" t="s">
        <v>47</v>
      </c>
      <c r="F176" s="7" t="s">
        <v>98</v>
      </c>
      <c r="G176" s="7" t="s">
        <v>605</v>
      </c>
      <c r="I176" s="1">
        <f t="shared" si="10"/>
        <v>1</v>
      </c>
      <c r="J176" s="1" t="str">
        <f>'Source build'!A176</f>
        <v>L00170</v>
      </c>
      <c r="K176" s="1">
        <f>176</f>
        <v>176</v>
      </c>
      <c r="L176" s="10">
        <f t="shared" si="11"/>
        <v>27008</v>
      </c>
      <c r="M176" s="1">
        <f t="shared" si="12"/>
        <v>1</v>
      </c>
      <c r="N176" s="1">
        <f t="shared" si="13"/>
        <v>1</v>
      </c>
      <c r="O176" s="1" t="str">
        <f>IF(I176=0,"UNUSED",IF(A176="","MISSING ID",IF(K176=0,"UNEXPECTED ID",IF(N176&lt;&gt;1,"ID / ORDER DIFFERENCE",IF('Source build'!U176&lt;&gt;"INCLUDED","EXCLUDED SOURCE",IF(NOT(M176),"INVALID AMOUNT",IF('Source build'!Y176&lt;&gt;0,"CHANGED FIELDS","MATCH")))))))</f>
        <v>MATCH</v>
      </c>
      <c r="P176" s="1" t="str">
        <f t="shared" si="14"/>
        <v>2026-02</v>
      </c>
    </row>
    <row r="177" spans="1:16" ht="18.95" customHeight="1">
      <c r="A177" s="7" t="s">
        <v>606</v>
      </c>
      <c r="B177" s="7" t="s">
        <v>607</v>
      </c>
      <c r="C177" s="7" t="s">
        <v>611</v>
      </c>
      <c r="D177" s="7" t="s">
        <v>103</v>
      </c>
      <c r="E177" s="7" t="s">
        <v>48</v>
      </c>
      <c r="F177" s="7" t="s">
        <v>98</v>
      </c>
      <c r="G177" s="7" t="s">
        <v>609</v>
      </c>
      <c r="I177" s="1">
        <f t="shared" si="10"/>
        <v>1</v>
      </c>
      <c r="J177" s="1" t="str">
        <f>'Source build'!A177</f>
        <v>L00171</v>
      </c>
      <c r="K177" s="1">
        <f>177</f>
        <v>177</v>
      </c>
      <c r="L177" s="10">
        <f t="shared" si="11"/>
        <v>6789</v>
      </c>
      <c r="M177" s="1">
        <f t="shared" si="12"/>
        <v>1</v>
      </c>
      <c r="N177" s="1">
        <f t="shared" si="13"/>
        <v>1</v>
      </c>
      <c r="O177" s="1" t="str">
        <f>IF(I177=0,"UNUSED",IF(A177="","MISSING ID",IF(K177=0,"UNEXPECTED ID",IF(N177&lt;&gt;1,"ID / ORDER DIFFERENCE",IF('Source build'!U177&lt;&gt;"INCLUDED","EXCLUDED SOURCE",IF(NOT(M177),"INVALID AMOUNT",IF('Source build'!Y177&lt;&gt;0,"CHANGED FIELDS","MATCH")))))))</f>
        <v>MATCH</v>
      </c>
      <c r="P177" s="1" t="str">
        <f t="shared" si="14"/>
        <v>2026-02</v>
      </c>
    </row>
    <row r="178" spans="1:16" ht="18.95" customHeight="1">
      <c r="A178" s="7" t="s">
        <v>610</v>
      </c>
      <c r="B178" s="7" t="s">
        <v>607</v>
      </c>
      <c r="C178" s="7" t="s">
        <v>611</v>
      </c>
      <c r="D178" s="7" t="s">
        <v>93</v>
      </c>
      <c r="E178" s="7" t="s">
        <v>46</v>
      </c>
      <c r="F178" s="7" t="s">
        <v>98</v>
      </c>
      <c r="G178" s="7" t="s">
        <v>612</v>
      </c>
      <c r="I178" s="1">
        <f t="shared" si="10"/>
        <v>1</v>
      </c>
      <c r="J178" s="1" t="str">
        <f>'Source build'!A178</f>
        <v>L00172</v>
      </c>
      <c r="K178" s="1">
        <f>178</f>
        <v>178</v>
      </c>
      <c r="L178" s="10">
        <f t="shared" si="11"/>
        <v>20478</v>
      </c>
      <c r="M178" s="1">
        <f t="shared" si="12"/>
        <v>1</v>
      </c>
      <c r="N178" s="1">
        <f t="shared" si="13"/>
        <v>1</v>
      </c>
      <c r="O178" s="1" t="str">
        <f>IF(I178=0,"UNUSED",IF(A178="","MISSING ID",IF(K178=0,"UNEXPECTED ID",IF(N178&lt;&gt;1,"ID / ORDER DIFFERENCE",IF('Source build'!U178&lt;&gt;"INCLUDED","EXCLUDED SOURCE",IF(NOT(M178),"INVALID AMOUNT",IF('Source build'!Y178&lt;&gt;0,"CHANGED FIELDS","MATCH")))))))</f>
        <v>MATCH</v>
      </c>
      <c r="P178" s="1" t="str">
        <f t="shared" si="14"/>
        <v>2026-02</v>
      </c>
    </row>
    <row r="179" spans="1:16" ht="18.95" customHeight="1">
      <c r="A179" s="7" t="s">
        <v>613</v>
      </c>
      <c r="B179" s="7" t="s">
        <v>614</v>
      </c>
      <c r="C179" s="7" t="s">
        <v>615</v>
      </c>
      <c r="D179" s="7" t="s">
        <v>97</v>
      </c>
      <c r="E179" s="7" t="s">
        <v>47</v>
      </c>
      <c r="F179" s="7" t="s">
        <v>98</v>
      </c>
      <c r="G179" s="7" t="s">
        <v>616</v>
      </c>
      <c r="I179" s="1">
        <f t="shared" si="10"/>
        <v>1</v>
      </c>
      <c r="J179" s="1" t="str">
        <f>'Source build'!A179</f>
        <v>L00173</v>
      </c>
      <c r="K179" s="1">
        <f>179</f>
        <v>179</v>
      </c>
      <c r="L179" s="10">
        <f t="shared" si="11"/>
        <v>34315</v>
      </c>
      <c r="M179" s="1">
        <f t="shared" si="12"/>
        <v>1</v>
      </c>
      <c r="N179" s="1">
        <f t="shared" si="13"/>
        <v>1</v>
      </c>
      <c r="O179" s="1" t="str">
        <f>IF(I179=0,"UNUSED",IF(A179="","MISSING ID",IF(K179=0,"UNEXPECTED ID",IF(N179&lt;&gt;1,"ID / ORDER DIFFERENCE",IF('Source build'!U179&lt;&gt;"INCLUDED","EXCLUDED SOURCE",IF(NOT(M179),"INVALID AMOUNT",IF('Source build'!Y179&lt;&gt;0,"CHANGED FIELDS","MATCH")))))))</f>
        <v>MATCH</v>
      </c>
      <c r="P179" s="1" t="str">
        <f t="shared" si="14"/>
        <v>2026-03</v>
      </c>
    </row>
    <row r="180" spans="1:16" ht="18.95" customHeight="1">
      <c r="A180" s="7" t="s">
        <v>617</v>
      </c>
      <c r="B180" s="7" t="s">
        <v>614</v>
      </c>
      <c r="C180" s="7" t="s">
        <v>615</v>
      </c>
      <c r="D180" s="7" t="s">
        <v>103</v>
      </c>
      <c r="E180" s="7" t="s">
        <v>48</v>
      </c>
      <c r="F180" s="7" t="s">
        <v>98</v>
      </c>
      <c r="G180" s="7" t="s">
        <v>618</v>
      </c>
      <c r="I180" s="1">
        <f t="shared" si="10"/>
        <v>1</v>
      </c>
      <c r="J180" s="1" t="str">
        <f>'Source build'!A180</f>
        <v>L00174</v>
      </c>
      <c r="K180" s="1">
        <f>180</f>
        <v>180</v>
      </c>
      <c r="L180" s="10">
        <f t="shared" si="11"/>
        <v>13800</v>
      </c>
      <c r="M180" s="1">
        <f t="shared" si="12"/>
        <v>1</v>
      </c>
      <c r="N180" s="1">
        <f t="shared" si="13"/>
        <v>1</v>
      </c>
      <c r="O180" s="1" t="str">
        <f>IF(I180=0,"UNUSED",IF(A180="","MISSING ID",IF(K180=0,"UNEXPECTED ID",IF(N180&lt;&gt;1,"ID / ORDER DIFFERENCE",IF('Source build'!U180&lt;&gt;"INCLUDED","EXCLUDED SOURCE",IF(NOT(M180),"INVALID AMOUNT",IF('Source build'!Y180&lt;&gt;0,"CHANGED FIELDS","MATCH")))))))</f>
        <v>MATCH</v>
      </c>
      <c r="P180" s="1" t="str">
        <f t="shared" si="14"/>
        <v>2026-03</v>
      </c>
    </row>
    <row r="181" spans="1:16" ht="18.95" customHeight="1">
      <c r="A181" s="7" t="s">
        <v>619</v>
      </c>
      <c r="B181" s="7" t="s">
        <v>620</v>
      </c>
      <c r="C181" s="7" t="s">
        <v>621</v>
      </c>
      <c r="D181" s="7" t="s">
        <v>93</v>
      </c>
      <c r="E181" s="7" t="s">
        <v>46</v>
      </c>
      <c r="F181" s="7" t="s">
        <v>98</v>
      </c>
      <c r="G181" s="7" t="s">
        <v>622</v>
      </c>
      <c r="I181" s="1">
        <f t="shared" si="10"/>
        <v>1</v>
      </c>
      <c r="J181" s="1" t="str">
        <f>'Source build'!A181</f>
        <v>L00175</v>
      </c>
      <c r="K181" s="1">
        <f>181</f>
        <v>181</v>
      </c>
      <c r="L181" s="10">
        <f t="shared" si="11"/>
        <v>27748</v>
      </c>
      <c r="M181" s="1">
        <f t="shared" si="12"/>
        <v>1</v>
      </c>
      <c r="N181" s="1">
        <f t="shared" si="13"/>
        <v>1</v>
      </c>
      <c r="O181" s="1" t="str">
        <f>IF(I181=0,"UNUSED",IF(A181="","MISSING ID",IF(K181=0,"UNEXPECTED ID",IF(N181&lt;&gt;1,"ID / ORDER DIFFERENCE",IF('Source build'!U181&lt;&gt;"INCLUDED","EXCLUDED SOURCE",IF(NOT(M181),"INVALID AMOUNT",IF('Source build'!Y181&lt;&gt;0,"CHANGED FIELDS","MATCH")))))))</f>
        <v>MATCH</v>
      </c>
      <c r="P181" s="1" t="str">
        <f t="shared" si="14"/>
        <v>2026-03</v>
      </c>
    </row>
    <row r="182" spans="1:16" ht="18.95" customHeight="1">
      <c r="A182" s="7" t="s">
        <v>623</v>
      </c>
      <c r="B182" s="7" t="s">
        <v>620</v>
      </c>
      <c r="C182" s="7" t="s">
        <v>621</v>
      </c>
      <c r="D182" s="7" t="s">
        <v>97</v>
      </c>
      <c r="E182" s="7" t="s">
        <v>47</v>
      </c>
      <c r="F182" s="7" t="s">
        <v>98</v>
      </c>
      <c r="G182" s="7" t="s">
        <v>624</v>
      </c>
      <c r="I182" s="1">
        <f t="shared" si="10"/>
        <v>1</v>
      </c>
      <c r="J182" s="1" t="str">
        <f>'Source build'!A182</f>
        <v>L00176</v>
      </c>
      <c r="K182" s="1">
        <f>182</f>
        <v>182</v>
      </c>
      <c r="L182" s="10">
        <f t="shared" si="11"/>
        <v>6974</v>
      </c>
      <c r="M182" s="1">
        <f t="shared" si="12"/>
        <v>1</v>
      </c>
      <c r="N182" s="1">
        <f t="shared" si="13"/>
        <v>1</v>
      </c>
      <c r="O182" s="1" t="str">
        <f>IF(I182=0,"UNUSED",IF(A182="","MISSING ID",IF(K182=0,"UNEXPECTED ID",IF(N182&lt;&gt;1,"ID / ORDER DIFFERENCE",IF('Source build'!U182&lt;&gt;"INCLUDED","EXCLUDED SOURCE",IF(NOT(M182),"INVALID AMOUNT",IF('Source build'!Y182&lt;&gt;0,"CHANGED FIELDS","MATCH")))))))</f>
        <v>MATCH</v>
      </c>
      <c r="P182" s="1" t="str">
        <f t="shared" si="14"/>
        <v>2026-03</v>
      </c>
    </row>
    <row r="183" spans="1:16" ht="18.95" customHeight="1">
      <c r="A183" s="7" t="s">
        <v>625</v>
      </c>
      <c r="B183" s="7" t="s">
        <v>626</v>
      </c>
      <c r="C183" s="7" t="s">
        <v>627</v>
      </c>
      <c r="D183" s="7" t="s">
        <v>103</v>
      </c>
      <c r="E183" s="7" t="s">
        <v>48</v>
      </c>
      <c r="F183" s="7" t="s">
        <v>98</v>
      </c>
      <c r="G183" s="7" t="s">
        <v>628</v>
      </c>
      <c r="I183" s="1">
        <f t="shared" si="10"/>
        <v>1</v>
      </c>
      <c r="J183" s="1" t="str">
        <f>'Source build'!A183</f>
        <v>L00177</v>
      </c>
      <c r="K183" s="1">
        <f>183</f>
        <v>183</v>
      </c>
      <c r="L183" s="10">
        <f t="shared" si="11"/>
        <v>21033</v>
      </c>
      <c r="M183" s="1">
        <f t="shared" si="12"/>
        <v>1</v>
      </c>
      <c r="N183" s="1">
        <f t="shared" si="13"/>
        <v>1</v>
      </c>
      <c r="O183" s="1" t="str">
        <f>IF(I183=0,"UNUSED",IF(A183="","MISSING ID",IF(K183=0,"UNEXPECTED ID",IF(N183&lt;&gt;1,"ID / ORDER DIFFERENCE",IF('Source build'!U183&lt;&gt;"INCLUDED","EXCLUDED SOURCE",IF(NOT(M183),"INVALID AMOUNT",IF('Source build'!Y183&lt;&gt;0,"CHANGED FIELDS","MATCH")))))))</f>
        <v>MATCH</v>
      </c>
      <c r="P183" s="1" t="str">
        <f t="shared" si="14"/>
        <v>2026-03</v>
      </c>
    </row>
    <row r="184" spans="1:16" ht="18.95" customHeight="1">
      <c r="A184" s="7" t="s">
        <v>629</v>
      </c>
      <c r="B184" s="7" t="s">
        <v>626</v>
      </c>
      <c r="C184" s="7" t="s">
        <v>627</v>
      </c>
      <c r="D184" s="7" t="s">
        <v>93</v>
      </c>
      <c r="E184" s="7" t="s">
        <v>46</v>
      </c>
      <c r="F184" s="7" t="s">
        <v>98</v>
      </c>
      <c r="G184" s="7" t="s">
        <v>630</v>
      </c>
      <c r="I184" s="1">
        <f t="shared" si="10"/>
        <v>1</v>
      </c>
      <c r="J184" s="1" t="str">
        <f>'Source build'!A184</f>
        <v>L00178</v>
      </c>
      <c r="K184" s="1">
        <f>184</f>
        <v>184</v>
      </c>
      <c r="L184" s="10">
        <f t="shared" si="11"/>
        <v>35240</v>
      </c>
      <c r="M184" s="1">
        <f t="shared" si="12"/>
        <v>1</v>
      </c>
      <c r="N184" s="1">
        <f t="shared" si="13"/>
        <v>1</v>
      </c>
      <c r="O184" s="1" t="str">
        <f>IF(I184=0,"UNUSED",IF(A184="","MISSING ID",IF(K184=0,"UNEXPECTED ID",IF(N184&lt;&gt;1,"ID / ORDER DIFFERENCE",IF('Source build'!U184&lt;&gt;"INCLUDED","EXCLUDED SOURCE",IF(NOT(M184),"INVALID AMOUNT",IF('Source build'!Y184&lt;&gt;0,"CHANGED FIELDS","MATCH")))))))</f>
        <v>MATCH</v>
      </c>
      <c r="P184" s="1" t="str">
        <f t="shared" si="14"/>
        <v>2026-03</v>
      </c>
    </row>
    <row r="185" spans="1:16" ht="18.95" customHeight="1">
      <c r="A185" s="7" t="s">
        <v>631</v>
      </c>
      <c r="B185" s="7" t="s">
        <v>632</v>
      </c>
      <c r="C185" s="7" t="s">
        <v>633</v>
      </c>
      <c r="D185" s="7" t="s">
        <v>97</v>
      </c>
      <c r="E185" s="7" t="s">
        <v>47</v>
      </c>
      <c r="F185" s="7" t="s">
        <v>98</v>
      </c>
      <c r="G185" s="7" t="s">
        <v>634</v>
      </c>
      <c r="I185" s="1">
        <f t="shared" si="10"/>
        <v>1</v>
      </c>
      <c r="J185" s="1" t="str">
        <f>'Source build'!A185</f>
        <v>L00179</v>
      </c>
      <c r="K185" s="1">
        <f>185</f>
        <v>185</v>
      </c>
      <c r="L185" s="10">
        <f t="shared" si="11"/>
        <v>14170</v>
      </c>
      <c r="M185" s="1">
        <f t="shared" si="12"/>
        <v>1</v>
      </c>
      <c r="N185" s="1">
        <f t="shared" si="13"/>
        <v>1</v>
      </c>
      <c r="O185" s="1" t="str">
        <f>IF(I185=0,"UNUSED",IF(A185="","MISSING ID",IF(K185=0,"UNEXPECTED ID",IF(N185&lt;&gt;1,"ID / ORDER DIFFERENCE",IF('Source build'!U185&lt;&gt;"INCLUDED","EXCLUDED SOURCE",IF(NOT(M185),"INVALID AMOUNT",IF('Source build'!Y185&lt;&gt;0,"CHANGED FIELDS","MATCH")))))))</f>
        <v>MATCH</v>
      </c>
      <c r="P185" s="1" t="str">
        <f t="shared" si="14"/>
        <v>2026-03</v>
      </c>
    </row>
    <row r="186" spans="1:16" ht="18.95" customHeight="1">
      <c r="A186" s="7" t="s">
        <v>635</v>
      </c>
      <c r="B186" s="7" t="s">
        <v>632</v>
      </c>
      <c r="C186" s="7" t="s">
        <v>633</v>
      </c>
      <c r="D186" s="7" t="s">
        <v>103</v>
      </c>
      <c r="E186" s="7" t="s">
        <v>48</v>
      </c>
      <c r="F186" s="7" t="s">
        <v>98</v>
      </c>
      <c r="G186" s="7" t="s">
        <v>636</v>
      </c>
      <c r="I186" s="1">
        <f t="shared" si="10"/>
        <v>1</v>
      </c>
      <c r="J186" s="1" t="str">
        <f>'Source build'!A186</f>
        <v>L00180</v>
      </c>
      <c r="K186" s="1">
        <f>186</f>
        <v>186</v>
      </c>
      <c r="L186" s="10">
        <f t="shared" si="11"/>
        <v>28488</v>
      </c>
      <c r="M186" s="1">
        <f t="shared" si="12"/>
        <v>1</v>
      </c>
      <c r="N186" s="1">
        <f t="shared" si="13"/>
        <v>1</v>
      </c>
      <c r="O186" s="1" t="str">
        <f>IF(I186=0,"UNUSED",IF(A186="","MISSING ID",IF(K186=0,"UNEXPECTED ID",IF(N186&lt;&gt;1,"ID / ORDER DIFFERENCE",IF('Source build'!U186&lt;&gt;"INCLUDED","EXCLUDED SOURCE",IF(NOT(M186),"INVALID AMOUNT",IF('Source build'!Y186&lt;&gt;0,"CHANGED FIELDS","MATCH")))))))</f>
        <v>MATCH</v>
      </c>
      <c r="P186" s="1" t="str">
        <f t="shared" si="14"/>
        <v>2026-03</v>
      </c>
    </row>
    <row r="187" spans="1:16" ht="18.95" customHeight="1">
      <c r="A187" s="7" t="s">
        <v>637</v>
      </c>
      <c r="B187" s="7" t="s">
        <v>638</v>
      </c>
      <c r="C187" s="7" t="s">
        <v>92</v>
      </c>
      <c r="D187" s="7" t="s">
        <v>93</v>
      </c>
      <c r="E187" s="7" t="s">
        <v>46</v>
      </c>
      <c r="F187" s="7" t="s">
        <v>98</v>
      </c>
      <c r="G187" s="7" t="s">
        <v>639</v>
      </c>
      <c r="I187" s="1">
        <f t="shared" si="10"/>
        <v>1</v>
      </c>
      <c r="J187" s="1" t="str">
        <f>'Source build'!A187</f>
        <v>L00181</v>
      </c>
      <c r="K187" s="1">
        <f>187</f>
        <v>187</v>
      </c>
      <c r="L187" s="10">
        <f t="shared" si="11"/>
        <v>7159</v>
      </c>
      <c r="M187" s="1">
        <f t="shared" si="12"/>
        <v>1</v>
      </c>
      <c r="N187" s="1">
        <f t="shared" si="13"/>
        <v>1</v>
      </c>
      <c r="O187" s="1" t="str">
        <f>IF(I187=0,"UNUSED",IF(A187="","MISSING ID",IF(K187=0,"UNEXPECTED ID",IF(N187&lt;&gt;1,"ID / ORDER DIFFERENCE",IF('Source build'!U187&lt;&gt;"INCLUDED","EXCLUDED SOURCE",IF(NOT(M187),"INVALID AMOUNT",IF('Source build'!Y187&lt;&gt;0,"CHANGED FIELDS","MATCH")))))))</f>
        <v>MATCH</v>
      </c>
      <c r="P187" s="1" t="str">
        <f t="shared" si="14"/>
        <v>2026-01</v>
      </c>
    </row>
    <row r="188" spans="1:16" ht="18.95" customHeight="1">
      <c r="A188" s="7" t="s">
        <v>640</v>
      </c>
      <c r="B188" s="7" t="s">
        <v>638</v>
      </c>
      <c r="C188" s="7" t="s">
        <v>92</v>
      </c>
      <c r="D188" s="7" t="s">
        <v>97</v>
      </c>
      <c r="E188" s="7" t="s">
        <v>47</v>
      </c>
      <c r="F188" s="7" t="s">
        <v>98</v>
      </c>
      <c r="G188" s="7" t="s">
        <v>641</v>
      </c>
      <c r="I188" s="1">
        <f t="shared" si="10"/>
        <v>1</v>
      </c>
      <c r="J188" s="1" t="str">
        <f>'Source build'!A188</f>
        <v>L00182</v>
      </c>
      <c r="K188" s="1">
        <f>188</f>
        <v>188</v>
      </c>
      <c r="L188" s="10">
        <f t="shared" si="11"/>
        <v>21588</v>
      </c>
      <c r="M188" s="1">
        <f t="shared" si="12"/>
        <v>1</v>
      </c>
      <c r="N188" s="1">
        <f t="shared" si="13"/>
        <v>1</v>
      </c>
      <c r="O188" s="1" t="str">
        <f>IF(I188=0,"UNUSED",IF(A188="","MISSING ID",IF(K188=0,"UNEXPECTED ID",IF(N188&lt;&gt;1,"ID / ORDER DIFFERENCE",IF('Source build'!U188&lt;&gt;"INCLUDED","EXCLUDED SOURCE",IF(NOT(M188),"INVALID AMOUNT",IF('Source build'!Y188&lt;&gt;0,"CHANGED FIELDS","MATCH")))))))</f>
        <v>MATCH</v>
      </c>
      <c r="P188" s="1" t="str">
        <f t="shared" si="14"/>
        <v>2026-01</v>
      </c>
    </row>
    <row r="189" spans="1:16" ht="18.95" customHeight="1">
      <c r="A189" s="7" t="s">
        <v>642</v>
      </c>
      <c r="B189" s="7" t="s">
        <v>643</v>
      </c>
      <c r="C189" s="7" t="s">
        <v>102</v>
      </c>
      <c r="D189" s="7" t="s">
        <v>103</v>
      </c>
      <c r="E189" s="7" t="s">
        <v>48</v>
      </c>
      <c r="F189" s="7" t="s">
        <v>98</v>
      </c>
      <c r="G189" s="7" t="s">
        <v>644</v>
      </c>
      <c r="I189" s="1">
        <f t="shared" si="10"/>
        <v>1</v>
      </c>
      <c r="J189" s="1" t="str">
        <f>'Source build'!A189</f>
        <v>L00183</v>
      </c>
      <c r="K189" s="1">
        <f>189</f>
        <v>189</v>
      </c>
      <c r="L189" s="10">
        <f t="shared" si="11"/>
        <v>36165</v>
      </c>
      <c r="M189" s="1">
        <f t="shared" si="12"/>
        <v>1</v>
      </c>
      <c r="N189" s="1">
        <f t="shared" si="13"/>
        <v>1</v>
      </c>
      <c r="O189" s="1" t="str">
        <f>IF(I189=0,"UNUSED",IF(A189="","MISSING ID",IF(K189=0,"UNEXPECTED ID",IF(N189&lt;&gt;1,"ID / ORDER DIFFERENCE",IF('Source build'!U189&lt;&gt;"INCLUDED","EXCLUDED SOURCE",IF(NOT(M189),"INVALID AMOUNT",IF('Source build'!Y189&lt;&gt;0,"CHANGED FIELDS","MATCH")))))))</f>
        <v>MATCH</v>
      </c>
      <c r="P189" s="1" t="str">
        <f t="shared" si="14"/>
        <v>2026-01</v>
      </c>
    </row>
    <row r="190" spans="1:16" ht="18.95" customHeight="1">
      <c r="A190" s="7" t="s">
        <v>645</v>
      </c>
      <c r="B190" s="7" t="s">
        <v>643</v>
      </c>
      <c r="C190" s="7" t="s">
        <v>102</v>
      </c>
      <c r="D190" s="7" t="s">
        <v>93</v>
      </c>
      <c r="E190" s="7" t="s">
        <v>46</v>
      </c>
      <c r="F190" s="7" t="s">
        <v>98</v>
      </c>
      <c r="G190" s="7" t="s">
        <v>646</v>
      </c>
      <c r="I190" s="1">
        <f t="shared" si="10"/>
        <v>1</v>
      </c>
      <c r="J190" s="1" t="str">
        <f>'Source build'!A190</f>
        <v>L00184</v>
      </c>
      <c r="K190" s="1">
        <f>190</f>
        <v>190</v>
      </c>
      <c r="L190" s="10">
        <f t="shared" si="11"/>
        <v>14540</v>
      </c>
      <c r="M190" s="1">
        <f t="shared" si="12"/>
        <v>1</v>
      </c>
      <c r="N190" s="1">
        <f t="shared" si="13"/>
        <v>1</v>
      </c>
      <c r="O190" s="1" t="str">
        <f>IF(I190=0,"UNUSED",IF(A190="","MISSING ID",IF(K190=0,"UNEXPECTED ID",IF(N190&lt;&gt;1,"ID / ORDER DIFFERENCE",IF('Source build'!U190&lt;&gt;"INCLUDED","EXCLUDED SOURCE",IF(NOT(M190),"INVALID AMOUNT",IF('Source build'!Y190&lt;&gt;0,"CHANGED FIELDS","MATCH")))))))</f>
        <v>MATCH</v>
      </c>
      <c r="P190" s="1" t="str">
        <f t="shared" si="14"/>
        <v>2026-01</v>
      </c>
    </row>
    <row r="191" spans="1:16" ht="18.95" customHeight="1">
      <c r="A191" s="7" t="s">
        <v>647</v>
      </c>
      <c r="B191" s="7" t="s">
        <v>648</v>
      </c>
      <c r="C191" s="7" t="s">
        <v>109</v>
      </c>
      <c r="D191" s="7" t="s">
        <v>97</v>
      </c>
      <c r="E191" s="7" t="s">
        <v>47</v>
      </c>
      <c r="F191" s="7" t="s">
        <v>94</v>
      </c>
      <c r="G191" s="7" t="s">
        <v>649</v>
      </c>
      <c r="I191" s="1">
        <f t="shared" si="10"/>
        <v>1</v>
      </c>
      <c r="J191" s="1" t="str">
        <f>'Source build'!A191</f>
        <v>L00185</v>
      </c>
      <c r="K191" s="1">
        <f>191</f>
        <v>191</v>
      </c>
      <c r="L191" s="10">
        <f t="shared" si="11"/>
        <v>-29228</v>
      </c>
      <c r="M191" s="1">
        <f t="shared" si="12"/>
        <v>1</v>
      </c>
      <c r="N191" s="1">
        <f t="shared" si="13"/>
        <v>1</v>
      </c>
      <c r="O191" s="1" t="str">
        <f>IF(I191=0,"UNUSED",IF(A191="","MISSING ID",IF(K191=0,"UNEXPECTED ID",IF(N191&lt;&gt;1,"ID / ORDER DIFFERENCE",IF('Source build'!U191&lt;&gt;"INCLUDED","EXCLUDED SOURCE",IF(NOT(M191),"INVALID AMOUNT",IF('Source build'!Y191&lt;&gt;0,"CHANGED FIELDS","MATCH")))))))</f>
        <v>MATCH</v>
      </c>
      <c r="P191" s="1" t="str">
        <f t="shared" si="14"/>
        <v>2026-01</v>
      </c>
    </row>
    <row r="192" spans="1:16" ht="18.95" customHeight="1">
      <c r="A192" s="7" t="s">
        <v>650</v>
      </c>
      <c r="B192" s="7" t="s">
        <v>648</v>
      </c>
      <c r="C192" s="7" t="s">
        <v>109</v>
      </c>
      <c r="D192" s="7" t="s">
        <v>103</v>
      </c>
      <c r="E192" s="7" t="s">
        <v>48</v>
      </c>
      <c r="F192" s="7" t="s">
        <v>98</v>
      </c>
      <c r="G192" s="7" t="s">
        <v>651</v>
      </c>
      <c r="I192" s="1">
        <f t="shared" si="10"/>
        <v>1</v>
      </c>
      <c r="J192" s="1" t="str">
        <f>'Source build'!A192</f>
        <v>L00186</v>
      </c>
      <c r="K192" s="1">
        <f>192</f>
        <v>192</v>
      </c>
      <c r="L192" s="10">
        <f t="shared" si="11"/>
        <v>7344</v>
      </c>
      <c r="M192" s="1">
        <f t="shared" si="12"/>
        <v>1</v>
      </c>
      <c r="N192" s="1">
        <f t="shared" si="13"/>
        <v>1</v>
      </c>
      <c r="O192" s="1" t="str">
        <f>IF(I192=0,"UNUSED",IF(A192="","MISSING ID",IF(K192=0,"UNEXPECTED ID",IF(N192&lt;&gt;1,"ID / ORDER DIFFERENCE",IF('Source build'!U192&lt;&gt;"INCLUDED","EXCLUDED SOURCE",IF(NOT(M192),"INVALID AMOUNT",IF('Source build'!Y192&lt;&gt;0,"CHANGED FIELDS","MATCH")))))))</f>
        <v>MATCH</v>
      </c>
      <c r="P192" s="1" t="str">
        <f t="shared" si="14"/>
        <v>2026-01</v>
      </c>
    </row>
    <row r="193" spans="1:16" ht="18.95" customHeight="1">
      <c r="A193" s="7" t="s">
        <v>652</v>
      </c>
      <c r="B193" s="7" t="s">
        <v>653</v>
      </c>
      <c r="C193" s="7" t="s">
        <v>115</v>
      </c>
      <c r="D193" s="7" t="s">
        <v>93</v>
      </c>
      <c r="E193" s="7" t="s">
        <v>46</v>
      </c>
      <c r="F193" s="7" t="s">
        <v>98</v>
      </c>
      <c r="G193" s="7" t="s">
        <v>654</v>
      </c>
      <c r="I193" s="1">
        <f t="shared" si="10"/>
        <v>1</v>
      </c>
      <c r="J193" s="1" t="str">
        <f>'Source build'!A193</f>
        <v>L00187</v>
      </c>
      <c r="K193" s="1">
        <f>193</f>
        <v>193</v>
      </c>
      <c r="L193" s="10">
        <f t="shared" si="11"/>
        <v>22143</v>
      </c>
      <c r="M193" s="1">
        <f t="shared" si="12"/>
        <v>1</v>
      </c>
      <c r="N193" s="1">
        <f t="shared" si="13"/>
        <v>1</v>
      </c>
      <c r="O193" s="1" t="str">
        <f>IF(I193=0,"UNUSED",IF(A193="","MISSING ID",IF(K193=0,"UNEXPECTED ID",IF(N193&lt;&gt;1,"ID / ORDER DIFFERENCE",IF('Source build'!U193&lt;&gt;"INCLUDED","EXCLUDED SOURCE",IF(NOT(M193),"INVALID AMOUNT",IF('Source build'!Y193&lt;&gt;0,"CHANGED FIELDS","MATCH")))))))</f>
        <v>MATCH</v>
      </c>
      <c r="P193" s="1" t="str">
        <f t="shared" si="14"/>
        <v>2026-01</v>
      </c>
    </row>
    <row r="194" spans="1:16" ht="18.95" customHeight="1">
      <c r="A194" s="7" t="s">
        <v>655</v>
      </c>
      <c r="B194" s="7" t="s">
        <v>653</v>
      </c>
      <c r="C194" s="7" t="s">
        <v>115</v>
      </c>
      <c r="D194" s="7" t="s">
        <v>97</v>
      </c>
      <c r="E194" s="7" t="s">
        <v>47</v>
      </c>
      <c r="F194" s="7" t="s">
        <v>98</v>
      </c>
      <c r="G194" s="7" t="s">
        <v>656</v>
      </c>
      <c r="I194" s="1">
        <f t="shared" si="10"/>
        <v>1</v>
      </c>
      <c r="J194" s="1" t="str">
        <f>'Source build'!A194</f>
        <v>L00188</v>
      </c>
      <c r="K194" s="1">
        <f>194</f>
        <v>194</v>
      </c>
      <c r="L194" s="10">
        <f t="shared" si="11"/>
        <v>37090</v>
      </c>
      <c r="M194" s="1">
        <f t="shared" si="12"/>
        <v>1</v>
      </c>
      <c r="N194" s="1">
        <f t="shared" si="13"/>
        <v>1</v>
      </c>
      <c r="O194" s="1" t="str">
        <f>IF(I194=0,"UNUSED",IF(A194="","MISSING ID",IF(K194=0,"UNEXPECTED ID",IF(N194&lt;&gt;1,"ID / ORDER DIFFERENCE",IF('Source build'!U194&lt;&gt;"INCLUDED","EXCLUDED SOURCE",IF(NOT(M194),"INVALID AMOUNT",IF('Source build'!Y194&lt;&gt;0,"CHANGED FIELDS","MATCH")))))))</f>
        <v>MATCH</v>
      </c>
      <c r="P194" s="1" t="str">
        <f t="shared" si="14"/>
        <v>2026-01</v>
      </c>
    </row>
    <row r="195" spans="1:16" ht="18.95" customHeight="1">
      <c r="A195" s="7" t="s">
        <v>657</v>
      </c>
      <c r="B195" s="7" t="s">
        <v>658</v>
      </c>
      <c r="C195" s="7" t="s">
        <v>121</v>
      </c>
      <c r="D195" s="7" t="s">
        <v>103</v>
      </c>
      <c r="E195" s="7" t="s">
        <v>48</v>
      </c>
      <c r="F195" s="7" t="s">
        <v>98</v>
      </c>
      <c r="G195" s="7" t="s">
        <v>659</v>
      </c>
      <c r="I195" s="1">
        <f t="shared" si="10"/>
        <v>1</v>
      </c>
      <c r="J195" s="1" t="str">
        <f>'Source build'!A195</f>
        <v>L00189</v>
      </c>
      <c r="K195" s="1">
        <f>195</f>
        <v>195</v>
      </c>
      <c r="L195" s="10">
        <f t="shared" si="11"/>
        <v>14910</v>
      </c>
      <c r="M195" s="1">
        <f t="shared" si="12"/>
        <v>1</v>
      </c>
      <c r="N195" s="1">
        <f t="shared" si="13"/>
        <v>1</v>
      </c>
      <c r="O195" s="1" t="str">
        <f>IF(I195=0,"UNUSED",IF(A195="","MISSING ID",IF(K195=0,"UNEXPECTED ID",IF(N195&lt;&gt;1,"ID / ORDER DIFFERENCE",IF('Source build'!U195&lt;&gt;"INCLUDED","EXCLUDED SOURCE",IF(NOT(M195),"INVALID AMOUNT",IF('Source build'!Y195&lt;&gt;0,"CHANGED FIELDS","MATCH")))))))</f>
        <v>MATCH</v>
      </c>
      <c r="P195" s="1" t="str">
        <f t="shared" si="14"/>
        <v>2026-01</v>
      </c>
    </row>
    <row r="196" spans="1:16" ht="18.95" customHeight="1">
      <c r="A196" s="7" t="s">
        <v>660</v>
      </c>
      <c r="B196" s="7" t="s">
        <v>658</v>
      </c>
      <c r="C196" s="7" t="s">
        <v>121</v>
      </c>
      <c r="D196" s="7" t="s">
        <v>93</v>
      </c>
      <c r="E196" s="7" t="s">
        <v>46</v>
      </c>
      <c r="F196" s="7" t="s">
        <v>98</v>
      </c>
      <c r="G196" s="7" t="s">
        <v>661</v>
      </c>
      <c r="I196" s="1">
        <f t="shared" si="10"/>
        <v>1</v>
      </c>
      <c r="J196" s="1" t="str">
        <f>'Source build'!A196</f>
        <v>L00190</v>
      </c>
      <c r="K196" s="1">
        <f>196</f>
        <v>196</v>
      </c>
      <c r="L196" s="10">
        <f t="shared" si="11"/>
        <v>29968</v>
      </c>
      <c r="M196" s="1">
        <f t="shared" si="12"/>
        <v>1</v>
      </c>
      <c r="N196" s="1">
        <f t="shared" si="13"/>
        <v>1</v>
      </c>
      <c r="O196" s="1" t="str">
        <f>IF(I196=0,"UNUSED",IF(A196="","MISSING ID",IF(K196=0,"UNEXPECTED ID",IF(N196&lt;&gt;1,"ID / ORDER DIFFERENCE",IF('Source build'!U196&lt;&gt;"INCLUDED","EXCLUDED SOURCE",IF(NOT(M196),"INVALID AMOUNT",IF('Source build'!Y196&lt;&gt;0,"CHANGED FIELDS","MATCH")))))))</f>
        <v>MATCH</v>
      </c>
      <c r="P196" s="1" t="str">
        <f t="shared" si="14"/>
        <v>2026-01</v>
      </c>
    </row>
    <row r="197" spans="1:16" ht="18.95" customHeight="1">
      <c r="A197" s="7" t="s">
        <v>662</v>
      </c>
      <c r="B197" s="7" t="s">
        <v>663</v>
      </c>
      <c r="C197" s="7" t="s">
        <v>127</v>
      </c>
      <c r="D197" s="7" t="s">
        <v>97</v>
      </c>
      <c r="E197" s="7" t="s">
        <v>47</v>
      </c>
      <c r="F197" s="7" t="s">
        <v>98</v>
      </c>
      <c r="G197" s="7" t="s">
        <v>664</v>
      </c>
      <c r="I197" s="1">
        <f t="shared" si="10"/>
        <v>1</v>
      </c>
      <c r="J197" s="1" t="str">
        <f>'Source build'!A197</f>
        <v>L00191</v>
      </c>
      <c r="K197" s="1">
        <f>197</f>
        <v>197</v>
      </c>
      <c r="L197" s="10">
        <f t="shared" si="11"/>
        <v>7529</v>
      </c>
      <c r="M197" s="1">
        <f t="shared" si="12"/>
        <v>1</v>
      </c>
      <c r="N197" s="1">
        <f t="shared" si="13"/>
        <v>1</v>
      </c>
      <c r="O197" s="1" t="str">
        <f>IF(I197=0,"UNUSED",IF(A197="","MISSING ID",IF(K197=0,"UNEXPECTED ID",IF(N197&lt;&gt;1,"ID / ORDER DIFFERENCE",IF('Source build'!U197&lt;&gt;"INCLUDED","EXCLUDED SOURCE",IF(NOT(M197),"INVALID AMOUNT",IF('Source build'!Y197&lt;&gt;0,"CHANGED FIELDS","MATCH")))))))</f>
        <v>MATCH</v>
      </c>
      <c r="P197" s="1" t="str">
        <f t="shared" si="14"/>
        <v>2026-02</v>
      </c>
    </row>
    <row r="198" spans="1:16" ht="18.95" customHeight="1">
      <c r="A198" s="7" t="s">
        <v>665</v>
      </c>
      <c r="B198" s="7" t="s">
        <v>663</v>
      </c>
      <c r="C198" s="7" t="s">
        <v>127</v>
      </c>
      <c r="D198" s="7" t="s">
        <v>103</v>
      </c>
      <c r="E198" s="7" t="s">
        <v>48</v>
      </c>
      <c r="F198" s="7" t="s">
        <v>98</v>
      </c>
      <c r="G198" s="7" t="s">
        <v>666</v>
      </c>
      <c r="I198" s="1">
        <f t="shared" si="10"/>
        <v>1</v>
      </c>
      <c r="J198" s="1" t="str">
        <f>'Source build'!A198</f>
        <v>L00192</v>
      </c>
      <c r="K198" s="1">
        <f>198</f>
        <v>198</v>
      </c>
      <c r="L198" s="10">
        <f t="shared" si="11"/>
        <v>22698</v>
      </c>
      <c r="M198" s="1">
        <f t="shared" si="12"/>
        <v>1</v>
      </c>
      <c r="N198" s="1">
        <f t="shared" si="13"/>
        <v>1</v>
      </c>
      <c r="O198" s="1" t="str">
        <f>IF(I198=0,"UNUSED",IF(A198="","MISSING ID",IF(K198=0,"UNEXPECTED ID",IF(N198&lt;&gt;1,"ID / ORDER DIFFERENCE",IF('Source build'!U198&lt;&gt;"INCLUDED","EXCLUDED SOURCE",IF(NOT(M198),"INVALID AMOUNT",IF('Source build'!Y198&lt;&gt;0,"CHANGED FIELDS","MATCH")))))))</f>
        <v>MATCH</v>
      </c>
      <c r="P198" s="1" t="str">
        <f t="shared" si="14"/>
        <v>2026-02</v>
      </c>
    </row>
    <row r="199" spans="1:16" ht="18.95" customHeight="1">
      <c r="A199" s="7" t="s">
        <v>667</v>
      </c>
      <c r="B199" s="7" t="s">
        <v>668</v>
      </c>
      <c r="C199" s="7" t="s">
        <v>133</v>
      </c>
      <c r="D199" s="7" t="s">
        <v>93</v>
      </c>
      <c r="E199" s="7" t="s">
        <v>46</v>
      </c>
      <c r="F199" s="7" t="s">
        <v>98</v>
      </c>
      <c r="G199" s="7" t="s">
        <v>669</v>
      </c>
      <c r="I199" s="1">
        <f t="shared" ref="I199:I262" si="15">IF(AND(A199="",B199="",C199="",D199="",E199="",F199="",G199=""),0,1)</f>
        <v>1</v>
      </c>
      <c r="J199" s="1" t="str">
        <f>'Source build'!A199</f>
        <v>L00193</v>
      </c>
      <c r="K199" s="1">
        <f>199</f>
        <v>199</v>
      </c>
      <c r="L199" s="10">
        <f t="shared" ref="L199:L262" si="16">IFERROR(IF(ABS(VALUE(G199)*100-ROUND(VALUE(G199)*100,0))&lt;0.0000001,ROUND(VALUE(G199)*100,0),0),0)</f>
        <v>38015</v>
      </c>
      <c r="M199" s="1">
        <f t="shared" ref="M199:M262" si="17">--IF(I199=0,TRUE,IF(TRIM(G199)="",FALSE,IFERROR(AND(ISNUMBER(VALUE(G199)),ABS(VALUE(G199)*100-ROUND(VALUE(G199)*100,0))&lt;0.0000001,OR(ISNUMBER(G199),EXACT(G199,TEXT(VALUE(G199),"0.00"))),OR(AND(EXACT(F199,"sale"),VALUE(G199)&gt;0),AND(EXACT(F199,"refund"),VALUE(G199)&lt;0))),FALSE)))</f>
        <v>1</v>
      </c>
      <c r="N199" s="1">
        <f t="shared" ref="N199:N262" si="18">IF(I199=1,IF(EXACT(A199,J199),1,0),0)</f>
        <v>1</v>
      </c>
      <c r="O199" s="1" t="str">
        <f>IF(I199=0,"UNUSED",IF(A199="","MISSING ID",IF(K199=0,"UNEXPECTED ID",IF(N199&lt;&gt;1,"ID / ORDER DIFFERENCE",IF('Source build'!U199&lt;&gt;"INCLUDED","EXCLUDED SOURCE",IF(NOT(M199),"INVALID AMOUNT",IF('Source build'!Y199&lt;&gt;0,"CHANGED FIELDS","MATCH")))))))</f>
        <v>MATCH</v>
      </c>
      <c r="P199" s="1" t="str">
        <f t="shared" ref="P199:P262" si="19">IF(I199=1,LEFT(C199,7),"")</f>
        <v>2026-02</v>
      </c>
    </row>
    <row r="200" spans="1:16" ht="18.95" customHeight="1">
      <c r="A200" s="7" t="s">
        <v>670</v>
      </c>
      <c r="B200" s="7" t="s">
        <v>668</v>
      </c>
      <c r="C200" s="7" t="s">
        <v>133</v>
      </c>
      <c r="D200" s="7" t="s">
        <v>97</v>
      </c>
      <c r="E200" s="7" t="s">
        <v>47</v>
      </c>
      <c r="F200" s="7" t="s">
        <v>98</v>
      </c>
      <c r="G200" s="7" t="s">
        <v>671</v>
      </c>
      <c r="I200" s="1">
        <f t="shared" si="15"/>
        <v>1</v>
      </c>
      <c r="J200" s="1" t="str">
        <f>'Source build'!A200</f>
        <v>L00194</v>
      </c>
      <c r="K200" s="1">
        <f>200</f>
        <v>200</v>
      </c>
      <c r="L200" s="10">
        <f t="shared" si="16"/>
        <v>15280</v>
      </c>
      <c r="M200" s="1">
        <f t="shared" si="17"/>
        <v>1</v>
      </c>
      <c r="N200" s="1">
        <f t="shared" si="18"/>
        <v>1</v>
      </c>
      <c r="O200" s="1" t="str">
        <f>IF(I200=0,"UNUSED",IF(A200="","MISSING ID",IF(K200=0,"UNEXPECTED ID",IF(N200&lt;&gt;1,"ID / ORDER DIFFERENCE",IF('Source build'!U200&lt;&gt;"INCLUDED","EXCLUDED SOURCE",IF(NOT(M200),"INVALID AMOUNT",IF('Source build'!Y200&lt;&gt;0,"CHANGED FIELDS","MATCH")))))))</f>
        <v>MATCH</v>
      </c>
      <c r="P200" s="1" t="str">
        <f t="shared" si="19"/>
        <v>2026-02</v>
      </c>
    </row>
    <row r="201" spans="1:16" ht="18.95" customHeight="1">
      <c r="A201" s="7" t="s">
        <v>672</v>
      </c>
      <c r="B201" s="7" t="s">
        <v>673</v>
      </c>
      <c r="C201" s="7" t="s">
        <v>139</v>
      </c>
      <c r="D201" s="7" t="s">
        <v>103</v>
      </c>
      <c r="E201" s="7" t="s">
        <v>48</v>
      </c>
      <c r="F201" s="7" t="s">
        <v>98</v>
      </c>
      <c r="G201" s="7" t="s">
        <v>674</v>
      </c>
      <c r="I201" s="1">
        <f t="shared" si="15"/>
        <v>1</v>
      </c>
      <c r="J201" s="1" t="str">
        <f>'Source build'!A201</f>
        <v>L00195</v>
      </c>
      <c r="K201" s="1">
        <f>201</f>
        <v>201</v>
      </c>
      <c r="L201" s="10">
        <f t="shared" si="16"/>
        <v>30708</v>
      </c>
      <c r="M201" s="1">
        <f t="shared" si="17"/>
        <v>1</v>
      </c>
      <c r="N201" s="1">
        <f t="shared" si="18"/>
        <v>1</v>
      </c>
      <c r="O201" s="1" t="str">
        <f>IF(I201=0,"UNUSED",IF(A201="","MISSING ID",IF(K201=0,"UNEXPECTED ID",IF(N201&lt;&gt;1,"ID / ORDER DIFFERENCE",IF('Source build'!U201&lt;&gt;"INCLUDED","EXCLUDED SOURCE",IF(NOT(M201),"INVALID AMOUNT",IF('Source build'!Y201&lt;&gt;0,"CHANGED FIELDS","MATCH")))))))</f>
        <v>MATCH</v>
      </c>
      <c r="P201" s="1" t="str">
        <f t="shared" si="19"/>
        <v>2026-02</v>
      </c>
    </row>
    <row r="202" spans="1:16" ht="18.95" customHeight="1">
      <c r="A202" s="7" t="s">
        <v>675</v>
      </c>
      <c r="B202" s="7" t="s">
        <v>673</v>
      </c>
      <c r="C202" s="7" t="s">
        <v>139</v>
      </c>
      <c r="D202" s="7" t="s">
        <v>93</v>
      </c>
      <c r="E202" s="7" t="s">
        <v>46</v>
      </c>
      <c r="F202" s="7" t="s">
        <v>98</v>
      </c>
      <c r="G202" s="7" t="s">
        <v>676</v>
      </c>
      <c r="I202" s="1">
        <f t="shared" si="15"/>
        <v>1</v>
      </c>
      <c r="J202" s="1" t="str">
        <f>'Source build'!A202</f>
        <v>L00196</v>
      </c>
      <c r="K202" s="1">
        <f>202</f>
        <v>202</v>
      </c>
      <c r="L202" s="10">
        <f t="shared" si="16"/>
        <v>7714</v>
      </c>
      <c r="M202" s="1">
        <f t="shared" si="17"/>
        <v>1</v>
      </c>
      <c r="N202" s="1">
        <f t="shared" si="18"/>
        <v>1</v>
      </c>
      <c r="O202" s="1" t="str">
        <f>IF(I202=0,"UNUSED",IF(A202="","MISSING ID",IF(K202=0,"UNEXPECTED ID",IF(N202&lt;&gt;1,"ID / ORDER DIFFERENCE",IF('Source build'!U202&lt;&gt;"INCLUDED","EXCLUDED SOURCE",IF(NOT(M202),"INVALID AMOUNT",IF('Source build'!Y202&lt;&gt;0,"CHANGED FIELDS","MATCH")))))))</f>
        <v>MATCH</v>
      </c>
      <c r="P202" s="1" t="str">
        <f t="shared" si="19"/>
        <v>2026-02</v>
      </c>
    </row>
    <row r="203" spans="1:16" ht="18.95" customHeight="1">
      <c r="A203" s="7" t="s">
        <v>677</v>
      </c>
      <c r="B203" s="7" t="s">
        <v>678</v>
      </c>
      <c r="C203" s="7" t="s">
        <v>145</v>
      </c>
      <c r="D203" s="7" t="s">
        <v>97</v>
      </c>
      <c r="E203" s="7" t="s">
        <v>47</v>
      </c>
      <c r="F203" s="7" t="s">
        <v>98</v>
      </c>
      <c r="G203" s="7" t="s">
        <v>679</v>
      </c>
      <c r="I203" s="1">
        <f t="shared" si="15"/>
        <v>1</v>
      </c>
      <c r="J203" s="1" t="str">
        <f>'Source build'!A203</f>
        <v>L00197</v>
      </c>
      <c r="K203" s="1">
        <f>203</f>
        <v>203</v>
      </c>
      <c r="L203" s="10">
        <f t="shared" si="16"/>
        <v>23253</v>
      </c>
      <c r="M203" s="1">
        <f t="shared" si="17"/>
        <v>1</v>
      </c>
      <c r="N203" s="1">
        <f t="shared" si="18"/>
        <v>1</v>
      </c>
      <c r="O203" s="1" t="str">
        <f>IF(I203=0,"UNUSED",IF(A203="","MISSING ID",IF(K203=0,"UNEXPECTED ID",IF(N203&lt;&gt;1,"ID / ORDER DIFFERENCE",IF('Source build'!U203&lt;&gt;"INCLUDED","EXCLUDED SOURCE",IF(NOT(M203),"INVALID AMOUNT",IF('Source build'!Y203&lt;&gt;0,"CHANGED FIELDS","MATCH")))))))</f>
        <v>MATCH</v>
      </c>
      <c r="P203" s="1" t="str">
        <f t="shared" si="19"/>
        <v>2026-02</v>
      </c>
    </row>
    <row r="204" spans="1:16" ht="18.95" customHeight="1">
      <c r="A204" s="7" t="s">
        <v>680</v>
      </c>
      <c r="B204" s="7" t="s">
        <v>678</v>
      </c>
      <c r="C204" s="7" t="s">
        <v>145</v>
      </c>
      <c r="D204" s="7" t="s">
        <v>103</v>
      </c>
      <c r="E204" s="7" t="s">
        <v>48</v>
      </c>
      <c r="F204" s="7" t="s">
        <v>98</v>
      </c>
      <c r="G204" s="7" t="s">
        <v>681</v>
      </c>
      <c r="I204" s="1">
        <f t="shared" si="15"/>
        <v>1</v>
      </c>
      <c r="J204" s="1" t="str">
        <f>'Source build'!A204</f>
        <v>L00198</v>
      </c>
      <c r="K204" s="1">
        <f>204</f>
        <v>204</v>
      </c>
      <c r="L204" s="10">
        <f t="shared" si="16"/>
        <v>38940</v>
      </c>
      <c r="M204" s="1">
        <f t="shared" si="17"/>
        <v>1</v>
      </c>
      <c r="N204" s="1">
        <f t="shared" si="18"/>
        <v>1</v>
      </c>
      <c r="O204" s="1" t="str">
        <f>IF(I204=0,"UNUSED",IF(A204="","MISSING ID",IF(K204=0,"UNEXPECTED ID",IF(N204&lt;&gt;1,"ID / ORDER DIFFERENCE",IF('Source build'!U204&lt;&gt;"INCLUDED","EXCLUDED SOURCE",IF(NOT(M204),"INVALID AMOUNT",IF('Source build'!Y204&lt;&gt;0,"CHANGED FIELDS","MATCH")))))))</f>
        <v>MATCH</v>
      </c>
      <c r="P204" s="1" t="str">
        <f t="shared" si="19"/>
        <v>2026-02</v>
      </c>
    </row>
    <row r="205" spans="1:16" ht="18.95" customHeight="1">
      <c r="A205" s="7" t="s">
        <v>682</v>
      </c>
      <c r="B205" s="7" t="s">
        <v>683</v>
      </c>
      <c r="C205" s="7" t="s">
        <v>151</v>
      </c>
      <c r="D205" s="7" t="s">
        <v>93</v>
      </c>
      <c r="E205" s="7" t="s">
        <v>46</v>
      </c>
      <c r="F205" s="7" t="s">
        <v>98</v>
      </c>
      <c r="G205" s="7" t="s">
        <v>684</v>
      </c>
      <c r="I205" s="1">
        <f t="shared" si="15"/>
        <v>1</v>
      </c>
      <c r="J205" s="1" t="str">
        <f>'Source build'!A205</f>
        <v>L00199</v>
      </c>
      <c r="K205" s="1">
        <f>205</f>
        <v>205</v>
      </c>
      <c r="L205" s="10">
        <f t="shared" si="16"/>
        <v>15650</v>
      </c>
      <c r="M205" s="1">
        <f t="shared" si="17"/>
        <v>1</v>
      </c>
      <c r="N205" s="1">
        <f t="shared" si="18"/>
        <v>1</v>
      </c>
      <c r="O205" s="1" t="str">
        <f>IF(I205=0,"UNUSED",IF(A205="","MISSING ID",IF(K205=0,"UNEXPECTED ID",IF(N205&lt;&gt;1,"ID / ORDER DIFFERENCE",IF('Source build'!U205&lt;&gt;"INCLUDED","EXCLUDED SOURCE",IF(NOT(M205),"INVALID AMOUNT",IF('Source build'!Y205&lt;&gt;0,"CHANGED FIELDS","MATCH")))))))</f>
        <v>MATCH</v>
      </c>
      <c r="P205" s="1" t="str">
        <f t="shared" si="19"/>
        <v>2026-03</v>
      </c>
    </row>
    <row r="206" spans="1:16" ht="18.95" customHeight="1">
      <c r="A206" s="7" t="s">
        <v>685</v>
      </c>
      <c r="B206" s="7" t="s">
        <v>683</v>
      </c>
      <c r="C206" s="7" t="s">
        <v>151</v>
      </c>
      <c r="D206" s="7" t="s">
        <v>97</v>
      </c>
      <c r="E206" s="7" t="s">
        <v>47</v>
      </c>
      <c r="F206" s="7" t="s">
        <v>98</v>
      </c>
      <c r="G206" s="7" t="s">
        <v>686</v>
      </c>
      <c r="I206" s="1">
        <f t="shared" si="15"/>
        <v>1</v>
      </c>
      <c r="J206" s="1" t="str">
        <f>'Source build'!A206</f>
        <v>L00200</v>
      </c>
      <c r="K206" s="1">
        <f>206</f>
        <v>206</v>
      </c>
      <c r="L206" s="10">
        <f t="shared" si="16"/>
        <v>31448</v>
      </c>
      <c r="M206" s="1">
        <f t="shared" si="17"/>
        <v>1</v>
      </c>
      <c r="N206" s="1">
        <f t="shared" si="18"/>
        <v>1</v>
      </c>
      <c r="O206" s="1" t="str">
        <f>IF(I206=0,"UNUSED",IF(A206="","MISSING ID",IF(K206=0,"UNEXPECTED ID",IF(N206&lt;&gt;1,"ID / ORDER DIFFERENCE",IF('Source build'!U206&lt;&gt;"INCLUDED","EXCLUDED SOURCE",IF(NOT(M206),"INVALID AMOUNT",IF('Source build'!Y206&lt;&gt;0,"CHANGED FIELDS","MATCH")))))))</f>
        <v>MATCH</v>
      </c>
      <c r="P206" s="1" t="str">
        <f t="shared" si="19"/>
        <v>2026-03</v>
      </c>
    </row>
    <row r="207" spans="1:16" ht="18.95" customHeight="1">
      <c r="A207" s="7" t="s">
        <v>687</v>
      </c>
      <c r="B207" s="7" t="s">
        <v>688</v>
      </c>
      <c r="C207" s="7" t="s">
        <v>157</v>
      </c>
      <c r="D207" s="7" t="s">
        <v>103</v>
      </c>
      <c r="E207" s="7" t="s">
        <v>48</v>
      </c>
      <c r="F207" s="7" t="s">
        <v>98</v>
      </c>
      <c r="G207" s="7" t="s">
        <v>689</v>
      </c>
      <c r="I207" s="1">
        <f t="shared" si="15"/>
        <v>1</v>
      </c>
      <c r="J207" s="1" t="str">
        <f>'Source build'!A207</f>
        <v>L00201</v>
      </c>
      <c r="K207" s="1">
        <f>207</f>
        <v>207</v>
      </c>
      <c r="L207" s="10">
        <f t="shared" si="16"/>
        <v>7899</v>
      </c>
      <c r="M207" s="1">
        <f t="shared" si="17"/>
        <v>1</v>
      </c>
      <c r="N207" s="1">
        <f t="shared" si="18"/>
        <v>1</v>
      </c>
      <c r="O207" s="1" t="str">
        <f>IF(I207=0,"UNUSED",IF(A207="","MISSING ID",IF(K207=0,"UNEXPECTED ID",IF(N207&lt;&gt;1,"ID / ORDER DIFFERENCE",IF('Source build'!U207&lt;&gt;"INCLUDED","EXCLUDED SOURCE",IF(NOT(M207),"INVALID AMOUNT",IF('Source build'!Y207&lt;&gt;0,"CHANGED FIELDS","MATCH")))))))</f>
        <v>MATCH</v>
      </c>
      <c r="P207" s="1" t="str">
        <f t="shared" si="19"/>
        <v>2026-03</v>
      </c>
    </row>
    <row r="208" spans="1:16" ht="18.95" customHeight="1">
      <c r="A208" s="7" t="s">
        <v>690</v>
      </c>
      <c r="B208" s="7" t="s">
        <v>688</v>
      </c>
      <c r="C208" s="7" t="s">
        <v>157</v>
      </c>
      <c r="D208" s="7" t="s">
        <v>93</v>
      </c>
      <c r="E208" s="7" t="s">
        <v>46</v>
      </c>
      <c r="F208" s="7" t="s">
        <v>98</v>
      </c>
      <c r="G208" s="7" t="s">
        <v>691</v>
      </c>
      <c r="I208" s="1">
        <f t="shared" si="15"/>
        <v>1</v>
      </c>
      <c r="J208" s="1" t="str">
        <f>'Source build'!A208</f>
        <v>L00202</v>
      </c>
      <c r="K208" s="1">
        <f>208</f>
        <v>208</v>
      </c>
      <c r="L208" s="10">
        <f t="shared" si="16"/>
        <v>23808</v>
      </c>
      <c r="M208" s="1">
        <f t="shared" si="17"/>
        <v>1</v>
      </c>
      <c r="N208" s="1">
        <f t="shared" si="18"/>
        <v>1</v>
      </c>
      <c r="O208" s="1" t="str">
        <f>IF(I208=0,"UNUSED",IF(A208="","MISSING ID",IF(K208=0,"UNEXPECTED ID",IF(N208&lt;&gt;1,"ID / ORDER DIFFERENCE",IF('Source build'!U208&lt;&gt;"INCLUDED","EXCLUDED SOURCE",IF(NOT(M208),"INVALID AMOUNT",IF('Source build'!Y208&lt;&gt;0,"CHANGED FIELDS","MATCH")))))))</f>
        <v>MATCH</v>
      </c>
      <c r="P208" s="1" t="str">
        <f t="shared" si="19"/>
        <v>2026-03</v>
      </c>
    </row>
    <row r="209" spans="1:16" ht="18.95" customHeight="1">
      <c r="A209" s="7" t="s">
        <v>692</v>
      </c>
      <c r="B209" s="7" t="s">
        <v>693</v>
      </c>
      <c r="C209" s="7" t="s">
        <v>163</v>
      </c>
      <c r="D209" s="7" t="s">
        <v>97</v>
      </c>
      <c r="E209" s="7" t="s">
        <v>47</v>
      </c>
      <c r="F209" s="7" t="s">
        <v>98</v>
      </c>
      <c r="G209" s="7" t="s">
        <v>694</v>
      </c>
      <c r="I209" s="1">
        <f t="shared" si="15"/>
        <v>1</v>
      </c>
      <c r="J209" s="1" t="str">
        <f>'Source build'!A209</f>
        <v>L00203</v>
      </c>
      <c r="K209" s="1">
        <f>209</f>
        <v>209</v>
      </c>
      <c r="L209" s="10">
        <f t="shared" si="16"/>
        <v>39865</v>
      </c>
      <c r="M209" s="1">
        <f t="shared" si="17"/>
        <v>1</v>
      </c>
      <c r="N209" s="1">
        <f t="shared" si="18"/>
        <v>1</v>
      </c>
      <c r="O209" s="1" t="str">
        <f>IF(I209=0,"UNUSED",IF(A209="","MISSING ID",IF(K209=0,"UNEXPECTED ID",IF(N209&lt;&gt;1,"ID / ORDER DIFFERENCE",IF('Source build'!U209&lt;&gt;"INCLUDED","EXCLUDED SOURCE",IF(NOT(M209),"INVALID AMOUNT",IF('Source build'!Y209&lt;&gt;0,"CHANGED FIELDS","MATCH")))))))</f>
        <v>MATCH</v>
      </c>
      <c r="P209" s="1" t="str">
        <f t="shared" si="19"/>
        <v>2026-03</v>
      </c>
    </row>
    <row r="210" spans="1:16" ht="18.95" customHeight="1">
      <c r="A210" s="7" t="s">
        <v>695</v>
      </c>
      <c r="B210" s="7" t="s">
        <v>693</v>
      </c>
      <c r="C210" s="7" t="s">
        <v>163</v>
      </c>
      <c r="D210" s="7" t="s">
        <v>103</v>
      </c>
      <c r="E210" s="7" t="s">
        <v>48</v>
      </c>
      <c r="F210" s="7" t="s">
        <v>98</v>
      </c>
      <c r="G210" s="7" t="s">
        <v>696</v>
      </c>
      <c r="I210" s="1">
        <f t="shared" si="15"/>
        <v>1</v>
      </c>
      <c r="J210" s="1" t="str">
        <f>'Source build'!A210</f>
        <v>L00204</v>
      </c>
      <c r="K210" s="1">
        <f>210</f>
        <v>210</v>
      </c>
      <c r="L210" s="10">
        <f t="shared" si="16"/>
        <v>16020</v>
      </c>
      <c r="M210" s="1">
        <f t="shared" si="17"/>
        <v>1</v>
      </c>
      <c r="N210" s="1">
        <f t="shared" si="18"/>
        <v>1</v>
      </c>
      <c r="O210" s="1" t="str">
        <f>IF(I210=0,"UNUSED",IF(A210="","MISSING ID",IF(K210=0,"UNEXPECTED ID",IF(N210&lt;&gt;1,"ID / ORDER DIFFERENCE",IF('Source build'!U210&lt;&gt;"INCLUDED","EXCLUDED SOURCE",IF(NOT(M210),"INVALID AMOUNT",IF('Source build'!Y210&lt;&gt;0,"CHANGED FIELDS","MATCH")))))))</f>
        <v>MATCH</v>
      </c>
      <c r="P210" s="1" t="str">
        <f t="shared" si="19"/>
        <v>2026-03</v>
      </c>
    </row>
    <row r="211" spans="1:16" ht="18.95" customHeight="1">
      <c r="A211" s="7" t="s">
        <v>697</v>
      </c>
      <c r="B211" s="7" t="s">
        <v>698</v>
      </c>
      <c r="C211" s="7" t="s">
        <v>169</v>
      </c>
      <c r="D211" s="7" t="s">
        <v>93</v>
      </c>
      <c r="E211" s="7" t="s">
        <v>46</v>
      </c>
      <c r="F211" s="7" t="s">
        <v>98</v>
      </c>
      <c r="G211" s="7" t="s">
        <v>699</v>
      </c>
      <c r="I211" s="1">
        <f t="shared" si="15"/>
        <v>1</v>
      </c>
      <c r="J211" s="1" t="str">
        <f>'Source build'!A211</f>
        <v>L00205</v>
      </c>
      <c r="K211" s="1">
        <f>211</f>
        <v>211</v>
      </c>
      <c r="L211" s="10">
        <f t="shared" si="16"/>
        <v>32188</v>
      </c>
      <c r="M211" s="1">
        <f t="shared" si="17"/>
        <v>1</v>
      </c>
      <c r="N211" s="1">
        <f t="shared" si="18"/>
        <v>1</v>
      </c>
      <c r="O211" s="1" t="str">
        <f>IF(I211=0,"UNUSED",IF(A211="","MISSING ID",IF(K211=0,"UNEXPECTED ID",IF(N211&lt;&gt;1,"ID / ORDER DIFFERENCE",IF('Source build'!U211&lt;&gt;"INCLUDED","EXCLUDED SOURCE",IF(NOT(M211),"INVALID AMOUNT",IF('Source build'!Y211&lt;&gt;0,"CHANGED FIELDS","MATCH")))))))</f>
        <v>MATCH</v>
      </c>
      <c r="P211" s="1" t="str">
        <f t="shared" si="19"/>
        <v>2026-03</v>
      </c>
    </row>
    <row r="212" spans="1:16" ht="18.95" customHeight="1">
      <c r="A212" s="7" t="s">
        <v>700</v>
      </c>
      <c r="B212" s="7" t="s">
        <v>698</v>
      </c>
      <c r="C212" s="7" t="s">
        <v>169</v>
      </c>
      <c r="D212" s="7" t="s">
        <v>97</v>
      </c>
      <c r="E212" s="7" t="s">
        <v>47</v>
      </c>
      <c r="F212" s="7" t="s">
        <v>98</v>
      </c>
      <c r="G212" s="7" t="s">
        <v>701</v>
      </c>
      <c r="I212" s="1">
        <f t="shared" si="15"/>
        <v>1</v>
      </c>
      <c r="J212" s="1" t="str">
        <f>'Source build'!A212</f>
        <v>L00206</v>
      </c>
      <c r="K212" s="1">
        <f>212</f>
        <v>212</v>
      </c>
      <c r="L212" s="10">
        <f t="shared" si="16"/>
        <v>8084</v>
      </c>
      <c r="M212" s="1">
        <f t="shared" si="17"/>
        <v>1</v>
      </c>
      <c r="N212" s="1">
        <f t="shared" si="18"/>
        <v>1</v>
      </c>
      <c r="O212" s="1" t="str">
        <f>IF(I212=0,"UNUSED",IF(A212="","MISSING ID",IF(K212=0,"UNEXPECTED ID",IF(N212&lt;&gt;1,"ID / ORDER DIFFERENCE",IF('Source build'!U212&lt;&gt;"INCLUDED","EXCLUDED SOURCE",IF(NOT(M212),"INVALID AMOUNT",IF('Source build'!Y212&lt;&gt;0,"CHANGED FIELDS","MATCH")))))))</f>
        <v>MATCH</v>
      </c>
      <c r="P212" s="1" t="str">
        <f t="shared" si="19"/>
        <v>2026-03</v>
      </c>
    </row>
    <row r="213" spans="1:16" ht="18.95" customHeight="1">
      <c r="A213" s="7" t="s">
        <v>702</v>
      </c>
      <c r="B213" s="7" t="s">
        <v>703</v>
      </c>
      <c r="C213" s="7" t="s">
        <v>175</v>
      </c>
      <c r="D213" s="7" t="s">
        <v>103</v>
      </c>
      <c r="E213" s="7" t="s">
        <v>48</v>
      </c>
      <c r="F213" s="7" t="s">
        <v>98</v>
      </c>
      <c r="G213" s="7" t="s">
        <v>704</v>
      </c>
      <c r="I213" s="1">
        <f t="shared" si="15"/>
        <v>1</v>
      </c>
      <c r="J213" s="1" t="str">
        <f>'Source build'!A213</f>
        <v>L00207</v>
      </c>
      <c r="K213" s="1">
        <f>213</f>
        <v>213</v>
      </c>
      <c r="L213" s="10">
        <f t="shared" si="16"/>
        <v>24363</v>
      </c>
      <c r="M213" s="1">
        <f t="shared" si="17"/>
        <v>1</v>
      </c>
      <c r="N213" s="1">
        <f t="shared" si="18"/>
        <v>1</v>
      </c>
      <c r="O213" s="1" t="str">
        <f>IF(I213=0,"UNUSED",IF(A213="","MISSING ID",IF(K213=0,"UNEXPECTED ID",IF(N213&lt;&gt;1,"ID / ORDER DIFFERENCE",IF('Source build'!U213&lt;&gt;"INCLUDED","EXCLUDED SOURCE",IF(NOT(M213),"INVALID AMOUNT",IF('Source build'!Y213&lt;&gt;0,"CHANGED FIELDS","MATCH")))))))</f>
        <v>MATCH</v>
      </c>
      <c r="P213" s="1" t="str">
        <f t="shared" si="19"/>
        <v>2026-01</v>
      </c>
    </row>
    <row r="214" spans="1:16" ht="18.95" customHeight="1">
      <c r="A214" s="7" t="s">
        <v>705</v>
      </c>
      <c r="B214" s="7" t="s">
        <v>703</v>
      </c>
      <c r="C214" s="7" t="s">
        <v>175</v>
      </c>
      <c r="D214" s="7" t="s">
        <v>93</v>
      </c>
      <c r="E214" s="7" t="s">
        <v>46</v>
      </c>
      <c r="F214" s="7" t="s">
        <v>94</v>
      </c>
      <c r="G214" s="7" t="s">
        <v>706</v>
      </c>
      <c r="I214" s="1">
        <f t="shared" si="15"/>
        <v>1</v>
      </c>
      <c r="J214" s="1" t="str">
        <f>'Source build'!A214</f>
        <v>L00208</v>
      </c>
      <c r="K214" s="1">
        <f>214</f>
        <v>214</v>
      </c>
      <c r="L214" s="10">
        <f t="shared" si="16"/>
        <v>-40790</v>
      </c>
      <c r="M214" s="1">
        <f t="shared" si="17"/>
        <v>1</v>
      </c>
      <c r="N214" s="1">
        <f t="shared" si="18"/>
        <v>1</v>
      </c>
      <c r="O214" s="1" t="str">
        <f>IF(I214=0,"UNUSED",IF(A214="","MISSING ID",IF(K214=0,"UNEXPECTED ID",IF(N214&lt;&gt;1,"ID / ORDER DIFFERENCE",IF('Source build'!U214&lt;&gt;"INCLUDED","EXCLUDED SOURCE",IF(NOT(M214),"INVALID AMOUNT",IF('Source build'!Y214&lt;&gt;0,"CHANGED FIELDS","MATCH")))))))</f>
        <v>MATCH</v>
      </c>
      <c r="P214" s="1" t="str">
        <f t="shared" si="19"/>
        <v>2026-01</v>
      </c>
    </row>
    <row r="215" spans="1:16" ht="18.95" customHeight="1">
      <c r="A215" s="7" t="s">
        <v>707</v>
      </c>
      <c r="B215" s="7" t="s">
        <v>708</v>
      </c>
      <c r="C215" s="7" t="s">
        <v>181</v>
      </c>
      <c r="D215" s="7" t="s">
        <v>97</v>
      </c>
      <c r="E215" s="7" t="s">
        <v>47</v>
      </c>
      <c r="F215" s="7" t="s">
        <v>98</v>
      </c>
      <c r="G215" s="7" t="s">
        <v>709</v>
      </c>
      <c r="I215" s="1">
        <f t="shared" si="15"/>
        <v>1</v>
      </c>
      <c r="J215" s="1" t="str">
        <f>'Source build'!A215</f>
        <v>L00209</v>
      </c>
      <c r="K215" s="1">
        <f>215</f>
        <v>215</v>
      </c>
      <c r="L215" s="10">
        <f t="shared" si="16"/>
        <v>16390</v>
      </c>
      <c r="M215" s="1">
        <f t="shared" si="17"/>
        <v>1</v>
      </c>
      <c r="N215" s="1">
        <f t="shared" si="18"/>
        <v>1</v>
      </c>
      <c r="O215" s="1" t="str">
        <f>IF(I215=0,"UNUSED",IF(A215="","MISSING ID",IF(K215=0,"UNEXPECTED ID",IF(N215&lt;&gt;1,"ID / ORDER DIFFERENCE",IF('Source build'!U215&lt;&gt;"INCLUDED","EXCLUDED SOURCE",IF(NOT(M215),"INVALID AMOUNT",IF('Source build'!Y215&lt;&gt;0,"CHANGED FIELDS","MATCH")))))))</f>
        <v>MATCH</v>
      </c>
      <c r="P215" s="1" t="str">
        <f t="shared" si="19"/>
        <v>2026-01</v>
      </c>
    </row>
    <row r="216" spans="1:16" ht="18.95" customHeight="1">
      <c r="A216" s="7" t="s">
        <v>710</v>
      </c>
      <c r="B216" s="7" t="s">
        <v>708</v>
      </c>
      <c r="C216" s="7" t="s">
        <v>181</v>
      </c>
      <c r="D216" s="7" t="s">
        <v>103</v>
      </c>
      <c r="E216" s="7" t="s">
        <v>48</v>
      </c>
      <c r="F216" s="7" t="s">
        <v>98</v>
      </c>
      <c r="G216" s="7" t="s">
        <v>711</v>
      </c>
      <c r="I216" s="1">
        <f t="shared" si="15"/>
        <v>1</v>
      </c>
      <c r="J216" s="1" t="str">
        <f>'Source build'!A216</f>
        <v>L00210</v>
      </c>
      <c r="K216" s="1">
        <f>216</f>
        <v>216</v>
      </c>
      <c r="L216" s="10">
        <f t="shared" si="16"/>
        <v>32928</v>
      </c>
      <c r="M216" s="1">
        <f t="shared" si="17"/>
        <v>1</v>
      </c>
      <c r="N216" s="1">
        <f t="shared" si="18"/>
        <v>1</v>
      </c>
      <c r="O216" s="1" t="str">
        <f>IF(I216=0,"UNUSED",IF(A216="","MISSING ID",IF(K216=0,"UNEXPECTED ID",IF(N216&lt;&gt;1,"ID / ORDER DIFFERENCE",IF('Source build'!U216&lt;&gt;"INCLUDED","EXCLUDED SOURCE",IF(NOT(M216),"INVALID AMOUNT",IF('Source build'!Y216&lt;&gt;0,"CHANGED FIELDS","MATCH")))))))</f>
        <v>MATCH</v>
      </c>
      <c r="P216" s="1" t="str">
        <f t="shared" si="19"/>
        <v>2026-01</v>
      </c>
    </row>
    <row r="217" spans="1:16" ht="18.95" customHeight="1">
      <c r="A217" s="7" t="s">
        <v>712</v>
      </c>
      <c r="B217" s="7" t="s">
        <v>713</v>
      </c>
      <c r="C217" s="7" t="s">
        <v>187</v>
      </c>
      <c r="D217" s="7" t="s">
        <v>93</v>
      </c>
      <c r="E217" s="7" t="s">
        <v>46</v>
      </c>
      <c r="F217" s="7" t="s">
        <v>98</v>
      </c>
      <c r="G217" s="7" t="s">
        <v>714</v>
      </c>
      <c r="I217" s="1">
        <f t="shared" si="15"/>
        <v>1</v>
      </c>
      <c r="J217" s="1" t="str">
        <f>'Source build'!A217</f>
        <v>L00211</v>
      </c>
      <c r="K217" s="1">
        <f>217</f>
        <v>217</v>
      </c>
      <c r="L217" s="10">
        <f t="shared" si="16"/>
        <v>8269</v>
      </c>
      <c r="M217" s="1">
        <f t="shared" si="17"/>
        <v>1</v>
      </c>
      <c r="N217" s="1">
        <f t="shared" si="18"/>
        <v>1</v>
      </c>
      <c r="O217" s="1" t="str">
        <f>IF(I217=0,"UNUSED",IF(A217="","MISSING ID",IF(K217=0,"UNEXPECTED ID",IF(N217&lt;&gt;1,"ID / ORDER DIFFERENCE",IF('Source build'!U217&lt;&gt;"INCLUDED","EXCLUDED SOURCE",IF(NOT(M217),"INVALID AMOUNT",IF('Source build'!Y217&lt;&gt;0,"CHANGED FIELDS","MATCH")))))))</f>
        <v>MATCH</v>
      </c>
      <c r="P217" s="1" t="str">
        <f t="shared" si="19"/>
        <v>2026-01</v>
      </c>
    </row>
    <row r="218" spans="1:16" ht="18.95" customHeight="1">
      <c r="A218" s="7" t="s">
        <v>715</v>
      </c>
      <c r="B218" s="7" t="s">
        <v>713</v>
      </c>
      <c r="C218" s="7" t="s">
        <v>187</v>
      </c>
      <c r="D218" s="7" t="s">
        <v>97</v>
      </c>
      <c r="E218" s="7" t="s">
        <v>47</v>
      </c>
      <c r="F218" s="7" t="s">
        <v>98</v>
      </c>
      <c r="G218" s="7" t="s">
        <v>716</v>
      </c>
      <c r="I218" s="1">
        <f t="shared" si="15"/>
        <v>1</v>
      </c>
      <c r="J218" s="1" t="str">
        <f>'Source build'!A218</f>
        <v>L00212</v>
      </c>
      <c r="K218" s="1">
        <f>218</f>
        <v>218</v>
      </c>
      <c r="L218" s="10">
        <f t="shared" si="16"/>
        <v>24918</v>
      </c>
      <c r="M218" s="1">
        <f t="shared" si="17"/>
        <v>1</v>
      </c>
      <c r="N218" s="1">
        <f t="shared" si="18"/>
        <v>1</v>
      </c>
      <c r="O218" s="1" t="str">
        <f>IF(I218=0,"UNUSED",IF(A218="","MISSING ID",IF(K218=0,"UNEXPECTED ID",IF(N218&lt;&gt;1,"ID / ORDER DIFFERENCE",IF('Source build'!U218&lt;&gt;"INCLUDED","EXCLUDED SOURCE",IF(NOT(M218),"INVALID AMOUNT",IF('Source build'!Y218&lt;&gt;0,"CHANGED FIELDS","MATCH")))))))</f>
        <v>MATCH</v>
      </c>
      <c r="P218" s="1" t="str">
        <f t="shared" si="19"/>
        <v>2026-01</v>
      </c>
    </row>
    <row r="219" spans="1:16" ht="18.95" customHeight="1">
      <c r="A219" s="7" t="s">
        <v>717</v>
      </c>
      <c r="B219" s="7" t="s">
        <v>718</v>
      </c>
      <c r="C219" s="7" t="s">
        <v>193</v>
      </c>
      <c r="D219" s="7" t="s">
        <v>103</v>
      </c>
      <c r="E219" s="7" t="s">
        <v>48</v>
      </c>
      <c r="F219" s="7" t="s">
        <v>98</v>
      </c>
      <c r="G219" s="7" t="s">
        <v>719</v>
      </c>
      <c r="I219" s="1">
        <f t="shared" si="15"/>
        <v>1</v>
      </c>
      <c r="J219" s="1" t="str">
        <f>'Source build'!A219</f>
        <v>L00213</v>
      </c>
      <c r="K219" s="1">
        <f>219</f>
        <v>219</v>
      </c>
      <c r="L219" s="10">
        <f t="shared" si="16"/>
        <v>41715</v>
      </c>
      <c r="M219" s="1">
        <f t="shared" si="17"/>
        <v>1</v>
      </c>
      <c r="N219" s="1">
        <f t="shared" si="18"/>
        <v>1</v>
      </c>
      <c r="O219" s="1" t="str">
        <f>IF(I219=0,"UNUSED",IF(A219="","MISSING ID",IF(K219=0,"UNEXPECTED ID",IF(N219&lt;&gt;1,"ID / ORDER DIFFERENCE",IF('Source build'!U219&lt;&gt;"INCLUDED","EXCLUDED SOURCE",IF(NOT(M219),"INVALID AMOUNT",IF('Source build'!Y219&lt;&gt;0,"CHANGED FIELDS","MATCH")))))))</f>
        <v>MATCH</v>
      </c>
      <c r="P219" s="1" t="str">
        <f t="shared" si="19"/>
        <v>2026-01</v>
      </c>
    </row>
    <row r="220" spans="1:16" ht="18.95" customHeight="1">
      <c r="A220" s="7" t="s">
        <v>720</v>
      </c>
      <c r="B220" s="7" t="s">
        <v>718</v>
      </c>
      <c r="C220" s="7" t="s">
        <v>193</v>
      </c>
      <c r="D220" s="7" t="s">
        <v>93</v>
      </c>
      <c r="E220" s="7" t="s">
        <v>46</v>
      </c>
      <c r="F220" s="7" t="s">
        <v>98</v>
      </c>
      <c r="G220" s="7" t="s">
        <v>721</v>
      </c>
      <c r="I220" s="1">
        <f t="shared" si="15"/>
        <v>1</v>
      </c>
      <c r="J220" s="1" t="str">
        <f>'Source build'!A220</f>
        <v>L00214</v>
      </c>
      <c r="K220" s="1">
        <f>220</f>
        <v>220</v>
      </c>
      <c r="L220" s="10">
        <f t="shared" si="16"/>
        <v>16760</v>
      </c>
      <c r="M220" s="1">
        <f t="shared" si="17"/>
        <v>1</v>
      </c>
      <c r="N220" s="1">
        <f t="shared" si="18"/>
        <v>1</v>
      </c>
      <c r="O220" s="1" t="str">
        <f>IF(I220=0,"UNUSED",IF(A220="","MISSING ID",IF(K220=0,"UNEXPECTED ID",IF(N220&lt;&gt;1,"ID / ORDER DIFFERENCE",IF('Source build'!U220&lt;&gt;"INCLUDED","EXCLUDED SOURCE",IF(NOT(M220),"INVALID AMOUNT",IF('Source build'!Y220&lt;&gt;0,"CHANGED FIELDS","MATCH")))))))</f>
        <v>MATCH</v>
      </c>
      <c r="P220" s="1" t="str">
        <f t="shared" si="19"/>
        <v>2026-01</v>
      </c>
    </row>
    <row r="221" spans="1:16" ht="18.95" customHeight="1">
      <c r="A221" s="7" t="s">
        <v>722</v>
      </c>
      <c r="B221" s="7" t="s">
        <v>723</v>
      </c>
      <c r="C221" s="7" t="s">
        <v>200</v>
      </c>
      <c r="D221" s="7" t="s">
        <v>97</v>
      </c>
      <c r="E221" s="7" t="s">
        <v>47</v>
      </c>
      <c r="F221" s="7" t="s">
        <v>98</v>
      </c>
      <c r="G221" s="7" t="s">
        <v>724</v>
      </c>
      <c r="I221" s="1">
        <f t="shared" si="15"/>
        <v>1</v>
      </c>
      <c r="J221" s="1" t="str">
        <f>'Source build'!A221</f>
        <v>L00215</v>
      </c>
      <c r="K221" s="1">
        <f>221</f>
        <v>221</v>
      </c>
      <c r="L221" s="10">
        <f t="shared" si="16"/>
        <v>33668</v>
      </c>
      <c r="M221" s="1">
        <f t="shared" si="17"/>
        <v>1</v>
      </c>
      <c r="N221" s="1">
        <f t="shared" si="18"/>
        <v>1</v>
      </c>
      <c r="O221" s="1" t="str">
        <f>IF(I221=0,"UNUSED",IF(A221="","MISSING ID",IF(K221=0,"UNEXPECTED ID",IF(N221&lt;&gt;1,"ID / ORDER DIFFERENCE",IF('Source build'!U221&lt;&gt;"INCLUDED","EXCLUDED SOURCE",IF(NOT(M221),"INVALID AMOUNT",IF('Source build'!Y221&lt;&gt;0,"CHANGED FIELDS","MATCH")))))))</f>
        <v>MATCH</v>
      </c>
      <c r="P221" s="1" t="str">
        <f t="shared" si="19"/>
        <v>2026-01</v>
      </c>
    </row>
    <row r="222" spans="1:16" ht="18.95" customHeight="1">
      <c r="A222" s="7" t="s">
        <v>725</v>
      </c>
      <c r="B222" s="7" t="s">
        <v>723</v>
      </c>
      <c r="C222" s="7" t="s">
        <v>200</v>
      </c>
      <c r="D222" s="7" t="s">
        <v>103</v>
      </c>
      <c r="E222" s="7" t="s">
        <v>48</v>
      </c>
      <c r="F222" s="7" t="s">
        <v>98</v>
      </c>
      <c r="G222" s="7" t="s">
        <v>726</v>
      </c>
      <c r="I222" s="1">
        <f t="shared" si="15"/>
        <v>1</v>
      </c>
      <c r="J222" s="1" t="str">
        <f>'Source build'!A222</f>
        <v>L00216</v>
      </c>
      <c r="K222" s="1">
        <f>222</f>
        <v>222</v>
      </c>
      <c r="L222" s="10">
        <f t="shared" si="16"/>
        <v>8454</v>
      </c>
      <c r="M222" s="1">
        <f t="shared" si="17"/>
        <v>1</v>
      </c>
      <c r="N222" s="1">
        <f t="shared" si="18"/>
        <v>1</v>
      </c>
      <c r="O222" s="1" t="str">
        <f>IF(I222=0,"UNUSED",IF(A222="","MISSING ID",IF(K222=0,"UNEXPECTED ID",IF(N222&lt;&gt;1,"ID / ORDER DIFFERENCE",IF('Source build'!U222&lt;&gt;"INCLUDED","EXCLUDED SOURCE",IF(NOT(M222),"INVALID AMOUNT",IF('Source build'!Y222&lt;&gt;0,"CHANGED FIELDS","MATCH")))))))</f>
        <v>MATCH</v>
      </c>
      <c r="P222" s="1" t="str">
        <f t="shared" si="19"/>
        <v>2026-01</v>
      </c>
    </row>
    <row r="223" spans="1:16" ht="18.95" customHeight="1">
      <c r="A223" s="7" t="s">
        <v>727</v>
      </c>
      <c r="B223" s="7" t="s">
        <v>728</v>
      </c>
      <c r="C223" s="7" t="s">
        <v>206</v>
      </c>
      <c r="D223" s="7" t="s">
        <v>93</v>
      </c>
      <c r="E223" s="7" t="s">
        <v>46</v>
      </c>
      <c r="F223" s="7" t="s">
        <v>98</v>
      </c>
      <c r="G223" s="7" t="s">
        <v>729</v>
      </c>
      <c r="I223" s="1">
        <f t="shared" si="15"/>
        <v>1</v>
      </c>
      <c r="J223" s="1" t="str">
        <f>'Source build'!A223</f>
        <v>L00217</v>
      </c>
      <c r="K223" s="1">
        <f>223</f>
        <v>223</v>
      </c>
      <c r="L223" s="10">
        <f t="shared" si="16"/>
        <v>25473</v>
      </c>
      <c r="M223" s="1">
        <f t="shared" si="17"/>
        <v>1</v>
      </c>
      <c r="N223" s="1">
        <f t="shared" si="18"/>
        <v>1</v>
      </c>
      <c r="O223" s="1" t="str">
        <f>IF(I223=0,"UNUSED",IF(A223="","MISSING ID",IF(K223=0,"UNEXPECTED ID",IF(N223&lt;&gt;1,"ID / ORDER DIFFERENCE",IF('Source build'!U223&lt;&gt;"INCLUDED","EXCLUDED SOURCE",IF(NOT(M223),"INVALID AMOUNT",IF('Source build'!Y223&lt;&gt;0,"CHANGED FIELDS","MATCH")))))))</f>
        <v>MATCH</v>
      </c>
      <c r="P223" s="1" t="str">
        <f t="shared" si="19"/>
        <v>2026-02</v>
      </c>
    </row>
    <row r="224" spans="1:16" ht="18.95" customHeight="1">
      <c r="A224" s="7" t="s">
        <v>730</v>
      </c>
      <c r="B224" s="7" t="s">
        <v>728</v>
      </c>
      <c r="C224" s="7" t="s">
        <v>206</v>
      </c>
      <c r="D224" s="7" t="s">
        <v>97</v>
      </c>
      <c r="E224" s="7" t="s">
        <v>47</v>
      </c>
      <c r="F224" s="7" t="s">
        <v>98</v>
      </c>
      <c r="G224" s="7" t="s">
        <v>731</v>
      </c>
      <c r="I224" s="1">
        <f t="shared" si="15"/>
        <v>1</v>
      </c>
      <c r="J224" s="1" t="str">
        <f>'Source build'!A224</f>
        <v>L00218</v>
      </c>
      <c r="K224" s="1">
        <f>224</f>
        <v>224</v>
      </c>
      <c r="L224" s="10">
        <f t="shared" si="16"/>
        <v>42640</v>
      </c>
      <c r="M224" s="1">
        <f t="shared" si="17"/>
        <v>1</v>
      </c>
      <c r="N224" s="1">
        <f t="shared" si="18"/>
        <v>1</v>
      </c>
      <c r="O224" s="1" t="str">
        <f>IF(I224=0,"UNUSED",IF(A224="","MISSING ID",IF(K224=0,"UNEXPECTED ID",IF(N224&lt;&gt;1,"ID / ORDER DIFFERENCE",IF('Source build'!U224&lt;&gt;"INCLUDED","EXCLUDED SOURCE",IF(NOT(M224),"INVALID AMOUNT",IF('Source build'!Y224&lt;&gt;0,"CHANGED FIELDS","MATCH")))))))</f>
        <v>MATCH</v>
      </c>
      <c r="P224" s="1" t="str">
        <f t="shared" si="19"/>
        <v>2026-02</v>
      </c>
    </row>
    <row r="225" spans="1:16" ht="18.95" customHeight="1">
      <c r="A225" s="7" t="s">
        <v>732</v>
      </c>
      <c r="B225" s="7" t="s">
        <v>733</v>
      </c>
      <c r="C225" s="7" t="s">
        <v>212</v>
      </c>
      <c r="D225" s="7" t="s">
        <v>103</v>
      </c>
      <c r="E225" s="7" t="s">
        <v>48</v>
      </c>
      <c r="F225" s="7" t="s">
        <v>98</v>
      </c>
      <c r="G225" s="7" t="s">
        <v>734</v>
      </c>
      <c r="I225" s="1">
        <f t="shared" si="15"/>
        <v>1</v>
      </c>
      <c r="J225" s="1" t="str">
        <f>'Source build'!A225</f>
        <v>L00219</v>
      </c>
      <c r="K225" s="1">
        <f>225</f>
        <v>225</v>
      </c>
      <c r="L225" s="10">
        <f t="shared" si="16"/>
        <v>17130</v>
      </c>
      <c r="M225" s="1">
        <f t="shared" si="17"/>
        <v>1</v>
      </c>
      <c r="N225" s="1">
        <f t="shared" si="18"/>
        <v>1</v>
      </c>
      <c r="O225" s="1" t="str">
        <f>IF(I225=0,"UNUSED",IF(A225="","MISSING ID",IF(K225=0,"UNEXPECTED ID",IF(N225&lt;&gt;1,"ID / ORDER DIFFERENCE",IF('Source build'!U225&lt;&gt;"INCLUDED","EXCLUDED SOURCE",IF(NOT(M225),"INVALID AMOUNT",IF('Source build'!Y225&lt;&gt;0,"CHANGED FIELDS","MATCH")))))))</f>
        <v>MATCH</v>
      </c>
      <c r="P225" s="1" t="str">
        <f t="shared" si="19"/>
        <v>2026-02</v>
      </c>
    </row>
    <row r="226" spans="1:16" ht="18.95" customHeight="1">
      <c r="A226" s="7" t="s">
        <v>735</v>
      </c>
      <c r="B226" s="7" t="s">
        <v>733</v>
      </c>
      <c r="C226" s="7" t="s">
        <v>212</v>
      </c>
      <c r="D226" s="7" t="s">
        <v>93</v>
      </c>
      <c r="E226" s="7" t="s">
        <v>46</v>
      </c>
      <c r="F226" s="7" t="s">
        <v>98</v>
      </c>
      <c r="G226" s="7" t="s">
        <v>736</v>
      </c>
      <c r="I226" s="1">
        <f t="shared" si="15"/>
        <v>1</v>
      </c>
      <c r="J226" s="1" t="str">
        <f>'Source build'!A226</f>
        <v>L00220</v>
      </c>
      <c r="K226" s="1">
        <f>226</f>
        <v>226</v>
      </c>
      <c r="L226" s="10">
        <f t="shared" si="16"/>
        <v>34408</v>
      </c>
      <c r="M226" s="1">
        <f t="shared" si="17"/>
        <v>1</v>
      </c>
      <c r="N226" s="1">
        <f t="shared" si="18"/>
        <v>1</v>
      </c>
      <c r="O226" s="1" t="str">
        <f>IF(I226=0,"UNUSED",IF(A226="","MISSING ID",IF(K226=0,"UNEXPECTED ID",IF(N226&lt;&gt;1,"ID / ORDER DIFFERENCE",IF('Source build'!U226&lt;&gt;"INCLUDED","EXCLUDED SOURCE",IF(NOT(M226),"INVALID AMOUNT",IF('Source build'!Y226&lt;&gt;0,"CHANGED FIELDS","MATCH")))))))</f>
        <v>MATCH</v>
      </c>
      <c r="P226" s="1" t="str">
        <f t="shared" si="19"/>
        <v>2026-02</v>
      </c>
    </row>
    <row r="227" spans="1:16" ht="18.95" customHeight="1">
      <c r="A227" s="7" t="s">
        <v>737</v>
      </c>
      <c r="B227" s="7" t="s">
        <v>738</v>
      </c>
      <c r="C227" s="7" t="s">
        <v>218</v>
      </c>
      <c r="D227" s="7" t="s">
        <v>97</v>
      </c>
      <c r="E227" s="7" t="s">
        <v>47</v>
      </c>
      <c r="F227" s="7" t="s">
        <v>98</v>
      </c>
      <c r="G227" s="7" t="s">
        <v>739</v>
      </c>
      <c r="I227" s="1">
        <f t="shared" si="15"/>
        <v>1</v>
      </c>
      <c r="J227" s="1" t="str">
        <f>'Source build'!A227</f>
        <v>L00221</v>
      </c>
      <c r="K227" s="1">
        <f>227</f>
        <v>227</v>
      </c>
      <c r="L227" s="10">
        <f t="shared" si="16"/>
        <v>8639</v>
      </c>
      <c r="M227" s="1">
        <f t="shared" si="17"/>
        <v>1</v>
      </c>
      <c r="N227" s="1">
        <f t="shared" si="18"/>
        <v>1</v>
      </c>
      <c r="O227" s="1" t="str">
        <f>IF(I227=0,"UNUSED",IF(A227="","MISSING ID",IF(K227=0,"UNEXPECTED ID",IF(N227&lt;&gt;1,"ID / ORDER DIFFERENCE",IF('Source build'!U227&lt;&gt;"INCLUDED","EXCLUDED SOURCE",IF(NOT(M227),"INVALID AMOUNT",IF('Source build'!Y227&lt;&gt;0,"CHANGED FIELDS","MATCH")))))))</f>
        <v>MATCH</v>
      </c>
      <c r="P227" s="1" t="str">
        <f t="shared" si="19"/>
        <v>2026-02</v>
      </c>
    </row>
    <row r="228" spans="1:16" ht="18.95" customHeight="1">
      <c r="A228" s="7" t="s">
        <v>740</v>
      </c>
      <c r="B228" s="7" t="s">
        <v>738</v>
      </c>
      <c r="C228" s="7" t="s">
        <v>218</v>
      </c>
      <c r="D228" s="7" t="s">
        <v>103</v>
      </c>
      <c r="E228" s="7" t="s">
        <v>48</v>
      </c>
      <c r="F228" s="7" t="s">
        <v>98</v>
      </c>
      <c r="G228" s="7" t="s">
        <v>741</v>
      </c>
      <c r="I228" s="1">
        <f t="shared" si="15"/>
        <v>1</v>
      </c>
      <c r="J228" s="1" t="str">
        <f>'Source build'!A228</f>
        <v>L00222</v>
      </c>
      <c r="K228" s="1">
        <f>228</f>
        <v>228</v>
      </c>
      <c r="L228" s="10">
        <f t="shared" si="16"/>
        <v>26028</v>
      </c>
      <c r="M228" s="1">
        <f t="shared" si="17"/>
        <v>1</v>
      </c>
      <c r="N228" s="1">
        <f t="shared" si="18"/>
        <v>1</v>
      </c>
      <c r="O228" s="1" t="str">
        <f>IF(I228=0,"UNUSED",IF(A228="","MISSING ID",IF(K228=0,"UNEXPECTED ID",IF(N228&lt;&gt;1,"ID / ORDER DIFFERENCE",IF('Source build'!U228&lt;&gt;"INCLUDED","EXCLUDED SOURCE",IF(NOT(M228),"INVALID AMOUNT",IF('Source build'!Y228&lt;&gt;0,"CHANGED FIELDS","MATCH")))))))</f>
        <v>MATCH</v>
      </c>
      <c r="P228" s="1" t="str">
        <f t="shared" si="19"/>
        <v>2026-02</v>
      </c>
    </row>
    <row r="229" spans="1:16" ht="18.95" customHeight="1">
      <c r="A229" s="7" t="s">
        <v>742</v>
      </c>
      <c r="B229" s="7" t="s">
        <v>743</v>
      </c>
      <c r="C229" s="7" t="s">
        <v>224</v>
      </c>
      <c r="D229" s="7" t="s">
        <v>93</v>
      </c>
      <c r="E229" s="7" t="s">
        <v>46</v>
      </c>
      <c r="F229" s="7" t="s">
        <v>98</v>
      </c>
      <c r="G229" s="7" t="s">
        <v>744</v>
      </c>
      <c r="I229" s="1">
        <f t="shared" si="15"/>
        <v>1</v>
      </c>
      <c r="J229" s="1" t="str">
        <f>'Source build'!A229</f>
        <v>L00223</v>
      </c>
      <c r="K229" s="1">
        <f>229</f>
        <v>229</v>
      </c>
      <c r="L229" s="10">
        <f t="shared" si="16"/>
        <v>43565</v>
      </c>
      <c r="M229" s="1">
        <f t="shared" si="17"/>
        <v>1</v>
      </c>
      <c r="N229" s="1">
        <f t="shared" si="18"/>
        <v>1</v>
      </c>
      <c r="O229" s="1" t="str">
        <f>IF(I229=0,"UNUSED",IF(A229="","MISSING ID",IF(K229=0,"UNEXPECTED ID",IF(N229&lt;&gt;1,"ID / ORDER DIFFERENCE",IF('Source build'!U229&lt;&gt;"INCLUDED","EXCLUDED SOURCE",IF(NOT(M229),"INVALID AMOUNT",IF('Source build'!Y229&lt;&gt;0,"CHANGED FIELDS","MATCH")))))))</f>
        <v>MATCH</v>
      </c>
      <c r="P229" s="1" t="str">
        <f t="shared" si="19"/>
        <v>2026-02</v>
      </c>
    </row>
    <row r="230" spans="1:16" ht="18.95" customHeight="1">
      <c r="A230" s="7" t="s">
        <v>745</v>
      </c>
      <c r="B230" s="7" t="s">
        <v>743</v>
      </c>
      <c r="C230" s="7" t="s">
        <v>224</v>
      </c>
      <c r="D230" s="7" t="s">
        <v>97</v>
      </c>
      <c r="E230" s="7" t="s">
        <v>47</v>
      </c>
      <c r="F230" s="7" t="s">
        <v>98</v>
      </c>
      <c r="G230" s="7" t="s">
        <v>746</v>
      </c>
      <c r="I230" s="1">
        <f t="shared" si="15"/>
        <v>1</v>
      </c>
      <c r="J230" s="1" t="str">
        <f>'Source build'!A230</f>
        <v>L00224</v>
      </c>
      <c r="K230" s="1">
        <f>230</f>
        <v>230</v>
      </c>
      <c r="L230" s="10">
        <f t="shared" si="16"/>
        <v>17500</v>
      </c>
      <c r="M230" s="1">
        <f t="shared" si="17"/>
        <v>1</v>
      </c>
      <c r="N230" s="1">
        <f t="shared" si="18"/>
        <v>1</v>
      </c>
      <c r="O230" s="1" t="str">
        <f>IF(I230=0,"UNUSED",IF(A230="","MISSING ID",IF(K230=0,"UNEXPECTED ID",IF(N230&lt;&gt;1,"ID / ORDER DIFFERENCE",IF('Source build'!U230&lt;&gt;"INCLUDED","EXCLUDED SOURCE",IF(NOT(M230),"INVALID AMOUNT",IF('Source build'!Y230&lt;&gt;0,"CHANGED FIELDS","MATCH")))))))</f>
        <v>MATCH</v>
      </c>
      <c r="P230" s="1" t="str">
        <f t="shared" si="19"/>
        <v>2026-02</v>
      </c>
    </row>
    <row r="231" spans="1:16" ht="18.95" customHeight="1">
      <c r="A231" s="7" t="s">
        <v>747</v>
      </c>
      <c r="B231" s="7" t="s">
        <v>748</v>
      </c>
      <c r="C231" s="7" t="s">
        <v>230</v>
      </c>
      <c r="D231" s="7" t="s">
        <v>103</v>
      </c>
      <c r="E231" s="7" t="s">
        <v>48</v>
      </c>
      <c r="F231" s="7" t="s">
        <v>98</v>
      </c>
      <c r="G231" s="7" t="s">
        <v>749</v>
      </c>
      <c r="I231" s="1">
        <f t="shared" si="15"/>
        <v>1</v>
      </c>
      <c r="J231" s="1" t="str">
        <f>'Source build'!A231</f>
        <v>L00225</v>
      </c>
      <c r="K231" s="1">
        <f>231</f>
        <v>231</v>
      </c>
      <c r="L231" s="10">
        <f t="shared" si="16"/>
        <v>35148</v>
      </c>
      <c r="M231" s="1">
        <f t="shared" si="17"/>
        <v>1</v>
      </c>
      <c r="N231" s="1">
        <f t="shared" si="18"/>
        <v>1</v>
      </c>
      <c r="O231" s="1" t="str">
        <f>IF(I231=0,"UNUSED",IF(A231="","MISSING ID",IF(K231=0,"UNEXPECTED ID",IF(N231&lt;&gt;1,"ID / ORDER DIFFERENCE",IF('Source build'!U231&lt;&gt;"INCLUDED","EXCLUDED SOURCE",IF(NOT(M231),"INVALID AMOUNT",IF('Source build'!Y231&lt;&gt;0,"CHANGED FIELDS","MATCH")))))))</f>
        <v>MATCH</v>
      </c>
      <c r="P231" s="1" t="str">
        <f t="shared" si="19"/>
        <v>2026-03</v>
      </c>
    </row>
    <row r="232" spans="1:16" ht="18.95" customHeight="1">
      <c r="A232" s="7" t="s">
        <v>750</v>
      </c>
      <c r="B232" s="7" t="s">
        <v>748</v>
      </c>
      <c r="C232" s="7" t="s">
        <v>230</v>
      </c>
      <c r="D232" s="7" t="s">
        <v>93</v>
      </c>
      <c r="E232" s="7" t="s">
        <v>46</v>
      </c>
      <c r="F232" s="7" t="s">
        <v>98</v>
      </c>
      <c r="G232" s="7" t="s">
        <v>751</v>
      </c>
      <c r="I232" s="1">
        <f t="shared" si="15"/>
        <v>1</v>
      </c>
      <c r="J232" s="1" t="str">
        <f>'Source build'!A232</f>
        <v>L00226</v>
      </c>
      <c r="K232" s="1">
        <f>232</f>
        <v>232</v>
      </c>
      <c r="L232" s="10">
        <f t="shared" si="16"/>
        <v>8824</v>
      </c>
      <c r="M232" s="1">
        <f t="shared" si="17"/>
        <v>1</v>
      </c>
      <c r="N232" s="1">
        <f t="shared" si="18"/>
        <v>1</v>
      </c>
      <c r="O232" s="1" t="str">
        <f>IF(I232=0,"UNUSED",IF(A232="","MISSING ID",IF(K232=0,"UNEXPECTED ID",IF(N232&lt;&gt;1,"ID / ORDER DIFFERENCE",IF('Source build'!U232&lt;&gt;"INCLUDED","EXCLUDED SOURCE",IF(NOT(M232),"INVALID AMOUNT",IF('Source build'!Y232&lt;&gt;0,"CHANGED FIELDS","MATCH")))))))</f>
        <v>MATCH</v>
      </c>
      <c r="P232" s="1" t="str">
        <f t="shared" si="19"/>
        <v>2026-03</v>
      </c>
    </row>
    <row r="233" spans="1:16" ht="18.95" customHeight="1">
      <c r="A233" s="7" t="s">
        <v>752</v>
      </c>
      <c r="B233" s="7" t="s">
        <v>753</v>
      </c>
      <c r="C233" s="7" t="s">
        <v>236</v>
      </c>
      <c r="D233" s="7" t="s">
        <v>97</v>
      </c>
      <c r="E233" s="7" t="s">
        <v>47</v>
      </c>
      <c r="F233" s="7" t="s">
        <v>98</v>
      </c>
      <c r="G233" s="7" t="s">
        <v>754</v>
      </c>
      <c r="I233" s="1">
        <f t="shared" si="15"/>
        <v>1</v>
      </c>
      <c r="J233" s="1" t="str">
        <f>'Source build'!A233</f>
        <v>L00227</v>
      </c>
      <c r="K233" s="1">
        <f>233</f>
        <v>233</v>
      </c>
      <c r="L233" s="10">
        <f t="shared" si="16"/>
        <v>26583</v>
      </c>
      <c r="M233" s="1">
        <f t="shared" si="17"/>
        <v>1</v>
      </c>
      <c r="N233" s="1">
        <f t="shared" si="18"/>
        <v>1</v>
      </c>
      <c r="O233" s="1" t="str">
        <f>IF(I233=0,"UNUSED",IF(A233="","MISSING ID",IF(K233=0,"UNEXPECTED ID",IF(N233&lt;&gt;1,"ID / ORDER DIFFERENCE",IF('Source build'!U233&lt;&gt;"INCLUDED","EXCLUDED SOURCE",IF(NOT(M233),"INVALID AMOUNT",IF('Source build'!Y233&lt;&gt;0,"CHANGED FIELDS","MATCH")))))))</f>
        <v>MATCH</v>
      </c>
      <c r="P233" s="1" t="str">
        <f t="shared" si="19"/>
        <v>2026-03</v>
      </c>
    </row>
    <row r="234" spans="1:16" ht="18.95" customHeight="1">
      <c r="A234" s="7" t="s">
        <v>755</v>
      </c>
      <c r="B234" s="7" t="s">
        <v>753</v>
      </c>
      <c r="C234" s="7" t="s">
        <v>236</v>
      </c>
      <c r="D234" s="7" t="s">
        <v>103</v>
      </c>
      <c r="E234" s="7" t="s">
        <v>48</v>
      </c>
      <c r="F234" s="7" t="s">
        <v>98</v>
      </c>
      <c r="G234" s="7" t="s">
        <v>756</v>
      </c>
      <c r="I234" s="1">
        <f t="shared" si="15"/>
        <v>1</v>
      </c>
      <c r="J234" s="1" t="str">
        <f>'Source build'!A234</f>
        <v>L00228</v>
      </c>
      <c r="K234" s="1">
        <f>234</f>
        <v>234</v>
      </c>
      <c r="L234" s="10">
        <f t="shared" si="16"/>
        <v>44490</v>
      </c>
      <c r="M234" s="1">
        <f t="shared" si="17"/>
        <v>1</v>
      </c>
      <c r="N234" s="1">
        <f t="shared" si="18"/>
        <v>1</v>
      </c>
      <c r="O234" s="1" t="str">
        <f>IF(I234=0,"UNUSED",IF(A234="","MISSING ID",IF(K234=0,"UNEXPECTED ID",IF(N234&lt;&gt;1,"ID / ORDER DIFFERENCE",IF('Source build'!U234&lt;&gt;"INCLUDED","EXCLUDED SOURCE",IF(NOT(M234),"INVALID AMOUNT",IF('Source build'!Y234&lt;&gt;0,"CHANGED FIELDS","MATCH")))))))</f>
        <v>MATCH</v>
      </c>
      <c r="P234" s="1" t="str">
        <f t="shared" si="19"/>
        <v>2026-03</v>
      </c>
    </row>
    <row r="235" spans="1:16" ht="18.95" customHeight="1">
      <c r="A235" s="7" t="s">
        <v>757</v>
      </c>
      <c r="B235" s="7" t="s">
        <v>758</v>
      </c>
      <c r="C235" s="7" t="s">
        <v>242</v>
      </c>
      <c r="D235" s="7" t="s">
        <v>93</v>
      </c>
      <c r="E235" s="7" t="s">
        <v>46</v>
      </c>
      <c r="F235" s="7" t="s">
        <v>98</v>
      </c>
      <c r="G235" s="7" t="s">
        <v>5133</v>
      </c>
      <c r="I235" s="1">
        <f t="shared" si="15"/>
        <v>1</v>
      </c>
      <c r="J235" s="1" t="str">
        <f>'Source build'!A235</f>
        <v>L00229</v>
      </c>
      <c r="K235" s="1">
        <f>235</f>
        <v>235</v>
      </c>
      <c r="L235" s="10">
        <f t="shared" si="16"/>
        <v>17870</v>
      </c>
      <c r="M235" s="1">
        <f t="shared" si="17"/>
        <v>1</v>
      </c>
      <c r="N235" s="1">
        <f t="shared" si="18"/>
        <v>1</v>
      </c>
      <c r="O235" s="1" t="str">
        <f>IF(I235=0,"UNUSED",IF(A235="","MISSING ID",IF(K235=0,"UNEXPECTED ID",IF(N235&lt;&gt;1,"ID / ORDER DIFFERENCE",IF('Source build'!U235&lt;&gt;"INCLUDED","EXCLUDED SOURCE",IF(NOT(M235),"INVALID AMOUNT",IF('Source build'!Y235&lt;&gt;0,"CHANGED FIELDS","MATCH")))))))</f>
        <v>MATCH</v>
      </c>
      <c r="P235" s="1" t="str">
        <f t="shared" si="19"/>
        <v>2026-03</v>
      </c>
    </row>
    <row r="236" spans="1:16" ht="18.95" customHeight="1">
      <c r="A236" s="7" t="s">
        <v>760</v>
      </c>
      <c r="B236" s="7" t="s">
        <v>758</v>
      </c>
      <c r="C236" s="7" t="s">
        <v>242</v>
      </c>
      <c r="D236" s="7" t="s">
        <v>97</v>
      </c>
      <c r="E236" s="7" t="s">
        <v>47</v>
      </c>
      <c r="F236" s="7" t="s">
        <v>98</v>
      </c>
      <c r="G236" s="7" t="s">
        <v>761</v>
      </c>
      <c r="I236" s="1">
        <f t="shared" si="15"/>
        <v>1</v>
      </c>
      <c r="J236" s="1" t="str">
        <f>'Source build'!A236</f>
        <v>L00230</v>
      </c>
      <c r="K236" s="1">
        <f>236</f>
        <v>236</v>
      </c>
      <c r="L236" s="10">
        <f t="shared" si="16"/>
        <v>35888</v>
      </c>
      <c r="M236" s="1">
        <f t="shared" si="17"/>
        <v>1</v>
      </c>
      <c r="N236" s="1">
        <f t="shared" si="18"/>
        <v>1</v>
      </c>
      <c r="O236" s="1" t="str">
        <f>IF(I236=0,"UNUSED",IF(A236="","MISSING ID",IF(K236=0,"UNEXPECTED ID",IF(N236&lt;&gt;1,"ID / ORDER DIFFERENCE",IF('Source build'!U236&lt;&gt;"INCLUDED","EXCLUDED SOURCE",IF(NOT(M236),"INVALID AMOUNT",IF('Source build'!Y236&lt;&gt;0,"CHANGED FIELDS","MATCH")))))))</f>
        <v>MATCH</v>
      </c>
      <c r="P236" s="1" t="str">
        <f t="shared" si="19"/>
        <v>2026-03</v>
      </c>
    </row>
    <row r="237" spans="1:16" ht="18.95" customHeight="1">
      <c r="A237" s="7" t="s">
        <v>762</v>
      </c>
      <c r="B237" s="7" t="s">
        <v>763</v>
      </c>
      <c r="C237" s="7" t="s">
        <v>248</v>
      </c>
      <c r="D237" s="7" t="s">
        <v>103</v>
      </c>
      <c r="E237" s="7" t="s">
        <v>48</v>
      </c>
      <c r="F237" s="7" t="s">
        <v>94</v>
      </c>
      <c r="G237" s="7" t="s">
        <v>764</v>
      </c>
      <c r="I237" s="1">
        <f t="shared" si="15"/>
        <v>1</v>
      </c>
      <c r="J237" s="1" t="str">
        <f>'Source build'!A237</f>
        <v>L00231</v>
      </c>
      <c r="K237" s="1">
        <f>237</f>
        <v>237</v>
      </c>
      <c r="L237" s="10">
        <f t="shared" si="16"/>
        <v>-9009</v>
      </c>
      <c r="M237" s="1">
        <f t="shared" si="17"/>
        <v>1</v>
      </c>
      <c r="N237" s="1">
        <f t="shared" si="18"/>
        <v>1</v>
      </c>
      <c r="O237" s="1" t="str">
        <f>IF(I237=0,"UNUSED",IF(A237="","MISSING ID",IF(K237=0,"UNEXPECTED ID",IF(N237&lt;&gt;1,"ID / ORDER DIFFERENCE",IF('Source build'!U237&lt;&gt;"INCLUDED","EXCLUDED SOURCE",IF(NOT(M237),"INVALID AMOUNT",IF('Source build'!Y237&lt;&gt;0,"CHANGED FIELDS","MATCH")))))))</f>
        <v>MATCH</v>
      </c>
      <c r="P237" s="1" t="str">
        <f t="shared" si="19"/>
        <v>2026-03</v>
      </c>
    </row>
    <row r="238" spans="1:16" ht="18.95" customHeight="1">
      <c r="A238" s="7" t="s">
        <v>765</v>
      </c>
      <c r="B238" s="7" t="s">
        <v>763</v>
      </c>
      <c r="C238" s="7" t="s">
        <v>248</v>
      </c>
      <c r="D238" s="7" t="s">
        <v>93</v>
      </c>
      <c r="E238" s="7" t="s">
        <v>46</v>
      </c>
      <c r="F238" s="7" t="s">
        <v>98</v>
      </c>
      <c r="G238" s="7" t="s">
        <v>766</v>
      </c>
      <c r="I238" s="1">
        <f t="shared" si="15"/>
        <v>1</v>
      </c>
      <c r="J238" s="1" t="str">
        <f>'Source build'!A238</f>
        <v>L00232</v>
      </c>
      <c r="K238" s="1">
        <f>238</f>
        <v>238</v>
      </c>
      <c r="L238" s="10">
        <f t="shared" si="16"/>
        <v>27138</v>
      </c>
      <c r="M238" s="1">
        <f t="shared" si="17"/>
        <v>1</v>
      </c>
      <c r="N238" s="1">
        <f t="shared" si="18"/>
        <v>1</v>
      </c>
      <c r="O238" s="1" t="str">
        <f>IF(I238=0,"UNUSED",IF(A238="","MISSING ID",IF(K238=0,"UNEXPECTED ID",IF(N238&lt;&gt;1,"ID / ORDER DIFFERENCE",IF('Source build'!U238&lt;&gt;"INCLUDED","EXCLUDED SOURCE",IF(NOT(M238),"INVALID AMOUNT",IF('Source build'!Y238&lt;&gt;0,"CHANGED FIELDS","MATCH")))))))</f>
        <v>MATCH</v>
      </c>
      <c r="P238" s="1" t="str">
        <f t="shared" si="19"/>
        <v>2026-03</v>
      </c>
    </row>
    <row r="239" spans="1:16" ht="18.95" customHeight="1">
      <c r="A239" s="7" t="s">
        <v>767</v>
      </c>
      <c r="B239" s="7" t="s">
        <v>768</v>
      </c>
      <c r="C239" s="7" t="s">
        <v>254</v>
      </c>
      <c r="D239" s="7" t="s">
        <v>97</v>
      </c>
      <c r="E239" s="7" t="s">
        <v>47</v>
      </c>
      <c r="F239" s="7" t="s">
        <v>98</v>
      </c>
      <c r="G239" s="7" t="s">
        <v>769</v>
      </c>
      <c r="I239" s="1">
        <f t="shared" si="15"/>
        <v>1</v>
      </c>
      <c r="J239" s="1" t="str">
        <f>'Source build'!A239</f>
        <v>L00233</v>
      </c>
      <c r="K239" s="1">
        <f>239</f>
        <v>239</v>
      </c>
      <c r="L239" s="10">
        <f t="shared" si="16"/>
        <v>45415</v>
      </c>
      <c r="M239" s="1">
        <f t="shared" si="17"/>
        <v>1</v>
      </c>
      <c r="N239" s="1">
        <f t="shared" si="18"/>
        <v>1</v>
      </c>
      <c r="O239" s="1" t="str">
        <f>IF(I239=0,"UNUSED",IF(A239="","MISSING ID",IF(K239=0,"UNEXPECTED ID",IF(N239&lt;&gt;1,"ID / ORDER DIFFERENCE",IF('Source build'!U239&lt;&gt;"INCLUDED","EXCLUDED SOURCE",IF(NOT(M239),"INVALID AMOUNT",IF('Source build'!Y239&lt;&gt;0,"CHANGED FIELDS","MATCH")))))))</f>
        <v>MATCH</v>
      </c>
      <c r="P239" s="1" t="str">
        <f t="shared" si="19"/>
        <v>2026-01</v>
      </c>
    </row>
    <row r="240" spans="1:16" ht="18.95" customHeight="1">
      <c r="A240" s="7" t="s">
        <v>770</v>
      </c>
      <c r="B240" s="7" t="s">
        <v>768</v>
      </c>
      <c r="C240" s="7" t="s">
        <v>254</v>
      </c>
      <c r="D240" s="7" t="s">
        <v>103</v>
      </c>
      <c r="E240" s="7" t="s">
        <v>48</v>
      </c>
      <c r="F240" s="7" t="s">
        <v>98</v>
      </c>
      <c r="G240" s="7" t="s">
        <v>771</v>
      </c>
      <c r="I240" s="1">
        <f t="shared" si="15"/>
        <v>1</v>
      </c>
      <c r="J240" s="1" t="str">
        <f>'Source build'!A240</f>
        <v>L00234</v>
      </c>
      <c r="K240" s="1">
        <f>240</f>
        <v>240</v>
      </c>
      <c r="L240" s="10">
        <f t="shared" si="16"/>
        <v>18240</v>
      </c>
      <c r="M240" s="1">
        <f t="shared" si="17"/>
        <v>1</v>
      </c>
      <c r="N240" s="1">
        <f t="shared" si="18"/>
        <v>1</v>
      </c>
      <c r="O240" s="1" t="str">
        <f>IF(I240=0,"UNUSED",IF(A240="","MISSING ID",IF(K240=0,"UNEXPECTED ID",IF(N240&lt;&gt;1,"ID / ORDER DIFFERENCE",IF('Source build'!U240&lt;&gt;"INCLUDED","EXCLUDED SOURCE",IF(NOT(M240),"INVALID AMOUNT",IF('Source build'!Y240&lt;&gt;0,"CHANGED FIELDS","MATCH")))))))</f>
        <v>MATCH</v>
      </c>
      <c r="P240" s="1" t="str">
        <f t="shared" si="19"/>
        <v>2026-01</v>
      </c>
    </row>
    <row r="241" spans="1:16" ht="18.95" customHeight="1">
      <c r="A241" s="7" t="s">
        <v>772</v>
      </c>
      <c r="B241" s="7" t="s">
        <v>773</v>
      </c>
      <c r="C241" s="7" t="s">
        <v>260</v>
      </c>
      <c r="D241" s="7" t="s">
        <v>93</v>
      </c>
      <c r="E241" s="7" t="s">
        <v>46</v>
      </c>
      <c r="F241" s="7" t="s">
        <v>98</v>
      </c>
      <c r="G241" s="7" t="s">
        <v>774</v>
      </c>
      <c r="I241" s="1">
        <f t="shared" si="15"/>
        <v>1</v>
      </c>
      <c r="J241" s="1" t="str">
        <f>'Source build'!A241</f>
        <v>L00235</v>
      </c>
      <c r="K241" s="1">
        <f>241</f>
        <v>241</v>
      </c>
      <c r="L241" s="10">
        <f t="shared" si="16"/>
        <v>36628</v>
      </c>
      <c r="M241" s="1">
        <f t="shared" si="17"/>
        <v>1</v>
      </c>
      <c r="N241" s="1">
        <f t="shared" si="18"/>
        <v>1</v>
      </c>
      <c r="O241" s="1" t="str">
        <f>IF(I241=0,"UNUSED",IF(A241="","MISSING ID",IF(K241=0,"UNEXPECTED ID",IF(N241&lt;&gt;1,"ID / ORDER DIFFERENCE",IF('Source build'!U241&lt;&gt;"INCLUDED","EXCLUDED SOURCE",IF(NOT(M241),"INVALID AMOUNT",IF('Source build'!Y241&lt;&gt;0,"CHANGED FIELDS","MATCH")))))))</f>
        <v>MATCH</v>
      </c>
      <c r="P241" s="1" t="str">
        <f t="shared" si="19"/>
        <v>2026-01</v>
      </c>
    </row>
    <row r="242" spans="1:16" ht="18.95" customHeight="1">
      <c r="A242" s="7" t="s">
        <v>775</v>
      </c>
      <c r="B242" s="7" t="s">
        <v>773</v>
      </c>
      <c r="C242" s="7" t="s">
        <v>260</v>
      </c>
      <c r="D242" s="7" t="s">
        <v>97</v>
      </c>
      <c r="E242" s="7" t="s">
        <v>47</v>
      </c>
      <c r="F242" s="7" t="s">
        <v>98</v>
      </c>
      <c r="G242" s="7" t="s">
        <v>776</v>
      </c>
      <c r="I242" s="1">
        <f t="shared" si="15"/>
        <v>1</v>
      </c>
      <c r="J242" s="1" t="str">
        <f>'Source build'!A242</f>
        <v>L00236</v>
      </c>
      <c r="K242" s="1">
        <f>242</f>
        <v>242</v>
      </c>
      <c r="L242" s="10">
        <f t="shared" si="16"/>
        <v>9194</v>
      </c>
      <c r="M242" s="1">
        <f t="shared" si="17"/>
        <v>1</v>
      </c>
      <c r="N242" s="1">
        <f t="shared" si="18"/>
        <v>1</v>
      </c>
      <c r="O242" s="1" t="str">
        <f>IF(I242=0,"UNUSED",IF(A242="","MISSING ID",IF(K242=0,"UNEXPECTED ID",IF(N242&lt;&gt;1,"ID / ORDER DIFFERENCE",IF('Source build'!U242&lt;&gt;"INCLUDED","EXCLUDED SOURCE",IF(NOT(M242),"INVALID AMOUNT",IF('Source build'!Y242&lt;&gt;0,"CHANGED FIELDS","MATCH")))))))</f>
        <v>MATCH</v>
      </c>
      <c r="P242" s="1" t="str">
        <f t="shared" si="19"/>
        <v>2026-01</v>
      </c>
    </row>
    <row r="243" spans="1:16" ht="18.95" customHeight="1">
      <c r="A243" s="7" t="s">
        <v>777</v>
      </c>
      <c r="B243" s="7" t="s">
        <v>778</v>
      </c>
      <c r="C243" s="7" t="s">
        <v>266</v>
      </c>
      <c r="D243" s="7" t="s">
        <v>103</v>
      </c>
      <c r="E243" s="7" t="s">
        <v>48</v>
      </c>
      <c r="F243" s="7" t="s">
        <v>98</v>
      </c>
      <c r="G243" s="7" t="s">
        <v>779</v>
      </c>
      <c r="I243" s="1">
        <f t="shared" si="15"/>
        <v>1</v>
      </c>
      <c r="J243" s="1" t="str">
        <f>'Source build'!A243</f>
        <v>L00237</v>
      </c>
      <c r="K243" s="1">
        <f>243</f>
        <v>243</v>
      </c>
      <c r="L243" s="10">
        <f t="shared" si="16"/>
        <v>27693</v>
      </c>
      <c r="M243" s="1">
        <f t="shared" si="17"/>
        <v>1</v>
      </c>
      <c r="N243" s="1">
        <f t="shared" si="18"/>
        <v>1</v>
      </c>
      <c r="O243" s="1" t="str">
        <f>IF(I243=0,"UNUSED",IF(A243="","MISSING ID",IF(K243=0,"UNEXPECTED ID",IF(N243&lt;&gt;1,"ID / ORDER DIFFERENCE",IF('Source build'!U243&lt;&gt;"INCLUDED","EXCLUDED SOURCE",IF(NOT(M243),"INVALID AMOUNT",IF('Source build'!Y243&lt;&gt;0,"CHANGED FIELDS","MATCH")))))))</f>
        <v>MATCH</v>
      </c>
      <c r="P243" s="1" t="str">
        <f t="shared" si="19"/>
        <v>2026-01</v>
      </c>
    </row>
    <row r="244" spans="1:16" ht="18.95" customHeight="1">
      <c r="A244" s="7" t="s">
        <v>780</v>
      </c>
      <c r="B244" s="7" t="s">
        <v>778</v>
      </c>
      <c r="C244" s="7" t="s">
        <v>266</v>
      </c>
      <c r="D244" s="7" t="s">
        <v>93</v>
      </c>
      <c r="E244" s="7" t="s">
        <v>46</v>
      </c>
      <c r="F244" s="7" t="s">
        <v>98</v>
      </c>
      <c r="G244" s="7" t="s">
        <v>781</v>
      </c>
      <c r="I244" s="1">
        <f t="shared" si="15"/>
        <v>1</v>
      </c>
      <c r="J244" s="1" t="str">
        <f>'Source build'!A244</f>
        <v>L00238</v>
      </c>
      <c r="K244" s="1">
        <f>244</f>
        <v>244</v>
      </c>
      <c r="L244" s="10">
        <f t="shared" si="16"/>
        <v>46340</v>
      </c>
      <c r="M244" s="1">
        <f t="shared" si="17"/>
        <v>1</v>
      </c>
      <c r="N244" s="1">
        <f t="shared" si="18"/>
        <v>1</v>
      </c>
      <c r="O244" s="1" t="str">
        <f>IF(I244=0,"UNUSED",IF(A244="","MISSING ID",IF(K244=0,"UNEXPECTED ID",IF(N244&lt;&gt;1,"ID / ORDER DIFFERENCE",IF('Source build'!U244&lt;&gt;"INCLUDED","EXCLUDED SOURCE",IF(NOT(M244),"INVALID AMOUNT",IF('Source build'!Y244&lt;&gt;0,"CHANGED FIELDS","MATCH")))))))</f>
        <v>MATCH</v>
      </c>
      <c r="P244" s="1" t="str">
        <f t="shared" si="19"/>
        <v>2026-01</v>
      </c>
    </row>
    <row r="245" spans="1:16" ht="18.95" customHeight="1">
      <c r="A245" s="7" t="s">
        <v>782</v>
      </c>
      <c r="B245" s="7" t="s">
        <v>783</v>
      </c>
      <c r="C245" s="7" t="s">
        <v>272</v>
      </c>
      <c r="D245" s="7" t="s">
        <v>97</v>
      </c>
      <c r="E245" s="7" t="s">
        <v>47</v>
      </c>
      <c r="F245" s="7" t="s">
        <v>98</v>
      </c>
      <c r="G245" s="7" t="s">
        <v>784</v>
      </c>
      <c r="I245" s="1">
        <f t="shared" si="15"/>
        <v>1</v>
      </c>
      <c r="J245" s="1" t="str">
        <f>'Source build'!A245</f>
        <v>L00239</v>
      </c>
      <c r="K245" s="1">
        <f>245</f>
        <v>245</v>
      </c>
      <c r="L245" s="10">
        <f t="shared" si="16"/>
        <v>18610</v>
      </c>
      <c r="M245" s="1">
        <f t="shared" si="17"/>
        <v>1</v>
      </c>
      <c r="N245" s="1">
        <f t="shared" si="18"/>
        <v>1</v>
      </c>
      <c r="O245" s="1" t="str">
        <f>IF(I245=0,"UNUSED",IF(A245="","MISSING ID",IF(K245=0,"UNEXPECTED ID",IF(N245&lt;&gt;1,"ID / ORDER DIFFERENCE",IF('Source build'!U245&lt;&gt;"INCLUDED","EXCLUDED SOURCE",IF(NOT(M245),"INVALID AMOUNT",IF('Source build'!Y245&lt;&gt;0,"CHANGED FIELDS","MATCH")))))))</f>
        <v>MATCH</v>
      </c>
      <c r="P245" s="1" t="str">
        <f t="shared" si="19"/>
        <v>2026-01</v>
      </c>
    </row>
    <row r="246" spans="1:16" ht="18.95" customHeight="1">
      <c r="A246" s="7" t="s">
        <v>785</v>
      </c>
      <c r="B246" s="7" t="s">
        <v>783</v>
      </c>
      <c r="C246" s="7" t="s">
        <v>272</v>
      </c>
      <c r="D246" s="7" t="s">
        <v>103</v>
      </c>
      <c r="E246" s="7" t="s">
        <v>48</v>
      </c>
      <c r="F246" s="7" t="s">
        <v>98</v>
      </c>
      <c r="G246" s="7" t="s">
        <v>786</v>
      </c>
      <c r="I246" s="1">
        <f t="shared" si="15"/>
        <v>1</v>
      </c>
      <c r="J246" s="1" t="str">
        <f>'Source build'!A246</f>
        <v>L00240</v>
      </c>
      <c r="K246" s="1">
        <f>246</f>
        <v>246</v>
      </c>
      <c r="L246" s="10">
        <f t="shared" si="16"/>
        <v>37368</v>
      </c>
      <c r="M246" s="1">
        <f t="shared" si="17"/>
        <v>1</v>
      </c>
      <c r="N246" s="1">
        <f t="shared" si="18"/>
        <v>1</v>
      </c>
      <c r="O246" s="1" t="str">
        <f>IF(I246=0,"UNUSED",IF(A246="","MISSING ID",IF(K246=0,"UNEXPECTED ID",IF(N246&lt;&gt;1,"ID / ORDER DIFFERENCE",IF('Source build'!U246&lt;&gt;"INCLUDED","EXCLUDED SOURCE",IF(NOT(M246),"INVALID AMOUNT",IF('Source build'!Y246&lt;&gt;0,"CHANGED FIELDS","MATCH")))))))</f>
        <v>MATCH</v>
      </c>
      <c r="P246" s="1" t="str">
        <f t="shared" si="19"/>
        <v>2026-01</v>
      </c>
    </row>
    <row r="247" spans="1:16" ht="18.95" customHeight="1">
      <c r="A247" s="7" t="s">
        <v>787</v>
      </c>
      <c r="B247" s="7" t="s">
        <v>788</v>
      </c>
      <c r="C247" s="7" t="s">
        <v>278</v>
      </c>
      <c r="D247" s="7" t="s">
        <v>93</v>
      </c>
      <c r="E247" s="7" t="s">
        <v>46</v>
      </c>
      <c r="F247" s="7" t="s">
        <v>98</v>
      </c>
      <c r="G247" s="7" t="s">
        <v>789</v>
      </c>
      <c r="I247" s="1">
        <f t="shared" si="15"/>
        <v>1</v>
      </c>
      <c r="J247" s="1" t="str">
        <f>'Source build'!A247</f>
        <v>L00241</v>
      </c>
      <c r="K247" s="1">
        <f>247</f>
        <v>247</v>
      </c>
      <c r="L247" s="10">
        <f t="shared" si="16"/>
        <v>9379</v>
      </c>
      <c r="M247" s="1">
        <f t="shared" si="17"/>
        <v>1</v>
      </c>
      <c r="N247" s="1">
        <f t="shared" si="18"/>
        <v>1</v>
      </c>
      <c r="O247" s="1" t="str">
        <f>IF(I247=0,"UNUSED",IF(A247="","MISSING ID",IF(K247=0,"UNEXPECTED ID",IF(N247&lt;&gt;1,"ID / ORDER DIFFERENCE",IF('Source build'!U247&lt;&gt;"INCLUDED","EXCLUDED SOURCE",IF(NOT(M247),"INVALID AMOUNT",IF('Source build'!Y247&lt;&gt;0,"CHANGED FIELDS","MATCH")))))))</f>
        <v>MATCH</v>
      </c>
      <c r="P247" s="1" t="str">
        <f t="shared" si="19"/>
        <v>2026-01</v>
      </c>
    </row>
    <row r="248" spans="1:16" ht="18.95" customHeight="1">
      <c r="A248" s="7" t="s">
        <v>790</v>
      </c>
      <c r="B248" s="7" t="s">
        <v>788</v>
      </c>
      <c r="C248" s="7" t="s">
        <v>278</v>
      </c>
      <c r="D248" s="7" t="s">
        <v>97</v>
      </c>
      <c r="E248" s="7" t="s">
        <v>47</v>
      </c>
      <c r="F248" s="7" t="s">
        <v>98</v>
      </c>
      <c r="G248" s="7" t="s">
        <v>791</v>
      </c>
      <c r="I248" s="1">
        <f t="shared" si="15"/>
        <v>1</v>
      </c>
      <c r="J248" s="1" t="str">
        <f>'Source build'!A248</f>
        <v>L00242</v>
      </c>
      <c r="K248" s="1">
        <f>248</f>
        <v>248</v>
      </c>
      <c r="L248" s="10">
        <f t="shared" si="16"/>
        <v>28248</v>
      </c>
      <c r="M248" s="1">
        <f t="shared" si="17"/>
        <v>1</v>
      </c>
      <c r="N248" s="1">
        <f t="shared" si="18"/>
        <v>1</v>
      </c>
      <c r="O248" s="1" t="str">
        <f>IF(I248=0,"UNUSED",IF(A248="","MISSING ID",IF(K248=0,"UNEXPECTED ID",IF(N248&lt;&gt;1,"ID / ORDER DIFFERENCE",IF('Source build'!U248&lt;&gt;"INCLUDED","EXCLUDED SOURCE",IF(NOT(M248),"INVALID AMOUNT",IF('Source build'!Y248&lt;&gt;0,"CHANGED FIELDS","MATCH")))))))</f>
        <v>MATCH</v>
      </c>
      <c r="P248" s="1" t="str">
        <f t="shared" si="19"/>
        <v>2026-01</v>
      </c>
    </row>
    <row r="249" spans="1:16" ht="18.95" customHeight="1">
      <c r="A249" s="7" t="s">
        <v>792</v>
      </c>
      <c r="B249" s="7" t="s">
        <v>793</v>
      </c>
      <c r="C249" s="7" t="s">
        <v>284</v>
      </c>
      <c r="D249" s="7" t="s">
        <v>103</v>
      </c>
      <c r="E249" s="7" t="s">
        <v>48</v>
      </c>
      <c r="F249" s="7" t="s">
        <v>98</v>
      </c>
      <c r="G249" s="7" t="s">
        <v>794</v>
      </c>
      <c r="I249" s="1">
        <f t="shared" si="15"/>
        <v>1</v>
      </c>
      <c r="J249" s="1" t="str">
        <f>'Source build'!A249</f>
        <v>L00243</v>
      </c>
      <c r="K249" s="1">
        <f>249</f>
        <v>249</v>
      </c>
      <c r="L249" s="10">
        <f t="shared" si="16"/>
        <v>47265</v>
      </c>
      <c r="M249" s="1">
        <f t="shared" si="17"/>
        <v>1</v>
      </c>
      <c r="N249" s="1">
        <f t="shared" si="18"/>
        <v>1</v>
      </c>
      <c r="O249" s="1" t="str">
        <f>IF(I249=0,"UNUSED",IF(A249="","MISSING ID",IF(K249=0,"UNEXPECTED ID",IF(N249&lt;&gt;1,"ID / ORDER DIFFERENCE",IF('Source build'!U249&lt;&gt;"INCLUDED","EXCLUDED SOURCE",IF(NOT(M249),"INVALID AMOUNT",IF('Source build'!Y249&lt;&gt;0,"CHANGED FIELDS","MATCH")))))))</f>
        <v>MATCH</v>
      </c>
      <c r="P249" s="1" t="str">
        <f t="shared" si="19"/>
        <v>2026-02</v>
      </c>
    </row>
    <row r="250" spans="1:16" ht="18.95" customHeight="1">
      <c r="A250" s="7" t="s">
        <v>795</v>
      </c>
      <c r="B250" s="7" t="s">
        <v>793</v>
      </c>
      <c r="C250" s="7" t="s">
        <v>284</v>
      </c>
      <c r="D250" s="7" t="s">
        <v>93</v>
      </c>
      <c r="E250" s="7" t="s">
        <v>46</v>
      </c>
      <c r="F250" s="7" t="s">
        <v>98</v>
      </c>
      <c r="G250" s="7" t="s">
        <v>796</v>
      </c>
      <c r="I250" s="1">
        <f t="shared" si="15"/>
        <v>1</v>
      </c>
      <c r="J250" s="1" t="str">
        <f>'Source build'!A250</f>
        <v>L00244</v>
      </c>
      <c r="K250" s="1">
        <f>250</f>
        <v>250</v>
      </c>
      <c r="L250" s="10">
        <f t="shared" si="16"/>
        <v>18980</v>
      </c>
      <c r="M250" s="1">
        <f t="shared" si="17"/>
        <v>1</v>
      </c>
      <c r="N250" s="1">
        <f t="shared" si="18"/>
        <v>1</v>
      </c>
      <c r="O250" s="1" t="str">
        <f>IF(I250=0,"UNUSED",IF(A250="","MISSING ID",IF(K250=0,"UNEXPECTED ID",IF(N250&lt;&gt;1,"ID / ORDER DIFFERENCE",IF('Source build'!U250&lt;&gt;"INCLUDED","EXCLUDED SOURCE",IF(NOT(M250),"INVALID AMOUNT",IF('Source build'!Y250&lt;&gt;0,"CHANGED FIELDS","MATCH")))))))</f>
        <v>MATCH</v>
      </c>
      <c r="P250" s="1" t="str">
        <f t="shared" si="19"/>
        <v>2026-02</v>
      </c>
    </row>
    <row r="251" spans="1:16" ht="18.95" customHeight="1">
      <c r="A251" s="7" t="s">
        <v>797</v>
      </c>
      <c r="B251" s="7" t="s">
        <v>798</v>
      </c>
      <c r="C251" s="7" t="s">
        <v>290</v>
      </c>
      <c r="D251" s="7" t="s">
        <v>97</v>
      </c>
      <c r="E251" s="7" t="s">
        <v>47</v>
      </c>
      <c r="F251" s="7" t="s">
        <v>98</v>
      </c>
      <c r="G251" s="7" t="s">
        <v>799</v>
      </c>
      <c r="I251" s="1">
        <f t="shared" si="15"/>
        <v>1</v>
      </c>
      <c r="J251" s="1" t="str">
        <f>'Source build'!A251</f>
        <v>L00245</v>
      </c>
      <c r="K251" s="1">
        <f>251</f>
        <v>251</v>
      </c>
      <c r="L251" s="10">
        <f t="shared" si="16"/>
        <v>38108</v>
      </c>
      <c r="M251" s="1">
        <f t="shared" si="17"/>
        <v>1</v>
      </c>
      <c r="N251" s="1">
        <f t="shared" si="18"/>
        <v>1</v>
      </c>
      <c r="O251" s="1" t="str">
        <f>IF(I251=0,"UNUSED",IF(A251="","MISSING ID",IF(K251=0,"UNEXPECTED ID",IF(N251&lt;&gt;1,"ID / ORDER DIFFERENCE",IF('Source build'!U251&lt;&gt;"INCLUDED","EXCLUDED SOURCE",IF(NOT(M251),"INVALID AMOUNT",IF('Source build'!Y251&lt;&gt;0,"CHANGED FIELDS","MATCH")))))))</f>
        <v>MATCH</v>
      </c>
      <c r="P251" s="1" t="str">
        <f t="shared" si="19"/>
        <v>2026-02</v>
      </c>
    </row>
    <row r="252" spans="1:16" ht="18.95" customHeight="1">
      <c r="A252" s="7" t="s">
        <v>800</v>
      </c>
      <c r="B252" s="7" t="s">
        <v>798</v>
      </c>
      <c r="C252" s="7" t="s">
        <v>290</v>
      </c>
      <c r="D252" s="7" t="s">
        <v>103</v>
      </c>
      <c r="E252" s="7" t="s">
        <v>48</v>
      </c>
      <c r="F252" s="7" t="s">
        <v>98</v>
      </c>
      <c r="G252" s="7" t="s">
        <v>801</v>
      </c>
      <c r="I252" s="1">
        <f t="shared" si="15"/>
        <v>1</v>
      </c>
      <c r="J252" s="1" t="str">
        <f>'Source build'!A252</f>
        <v>L00246</v>
      </c>
      <c r="K252" s="1">
        <f>252</f>
        <v>252</v>
      </c>
      <c r="L252" s="10">
        <f t="shared" si="16"/>
        <v>9564</v>
      </c>
      <c r="M252" s="1">
        <f t="shared" si="17"/>
        <v>1</v>
      </c>
      <c r="N252" s="1">
        <f t="shared" si="18"/>
        <v>1</v>
      </c>
      <c r="O252" s="1" t="str">
        <f>IF(I252=0,"UNUSED",IF(A252="","MISSING ID",IF(K252=0,"UNEXPECTED ID",IF(N252&lt;&gt;1,"ID / ORDER DIFFERENCE",IF('Source build'!U252&lt;&gt;"INCLUDED","EXCLUDED SOURCE",IF(NOT(M252),"INVALID AMOUNT",IF('Source build'!Y252&lt;&gt;0,"CHANGED FIELDS","MATCH")))))))</f>
        <v>MATCH</v>
      </c>
      <c r="P252" s="1" t="str">
        <f t="shared" si="19"/>
        <v>2026-02</v>
      </c>
    </row>
    <row r="253" spans="1:16" ht="18.95" customHeight="1">
      <c r="A253" s="7" t="s">
        <v>802</v>
      </c>
      <c r="B253" s="7" t="s">
        <v>803</v>
      </c>
      <c r="C253" s="7" t="s">
        <v>296</v>
      </c>
      <c r="D253" s="7" t="s">
        <v>93</v>
      </c>
      <c r="E253" s="7" t="s">
        <v>46</v>
      </c>
      <c r="F253" s="7" t="s">
        <v>98</v>
      </c>
      <c r="G253" s="7" t="s">
        <v>804</v>
      </c>
      <c r="I253" s="1">
        <f t="shared" si="15"/>
        <v>1</v>
      </c>
      <c r="J253" s="1" t="str">
        <f>'Source build'!A253</f>
        <v>L00247</v>
      </c>
      <c r="K253" s="1">
        <f>253</f>
        <v>253</v>
      </c>
      <c r="L253" s="10">
        <f t="shared" si="16"/>
        <v>28803</v>
      </c>
      <c r="M253" s="1">
        <f t="shared" si="17"/>
        <v>1</v>
      </c>
      <c r="N253" s="1">
        <f t="shared" si="18"/>
        <v>1</v>
      </c>
      <c r="O253" s="1" t="str">
        <f>IF(I253=0,"UNUSED",IF(A253="","MISSING ID",IF(K253=0,"UNEXPECTED ID",IF(N253&lt;&gt;1,"ID / ORDER DIFFERENCE",IF('Source build'!U253&lt;&gt;"INCLUDED","EXCLUDED SOURCE",IF(NOT(M253),"INVALID AMOUNT",IF('Source build'!Y253&lt;&gt;0,"CHANGED FIELDS","MATCH")))))))</f>
        <v>MATCH</v>
      </c>
      <c r="P253" s="1" t="str">
        <f t="shared" si="19"/>
        <v>2026-02</v>
      </c>
    </row>
    <row r="254" spans="1:16" ht="18.95" customHeight="1">
      <c r="A254" s="7" t="s">
        <v>805</v>
      </c>
      <c r="B254" s="7" t="s">
        <v>803</v>
      </c>
      <c r="C254" s="7" t="s">
        <v>296</v>
      </c>
      <c r="D254" s="7" t="s">
        <v>97</v>
      </c>
      <c r="E254" s="7" t="s">
        <v>47</v>
      </c>
      <c r="F254" s="7" t="s">
        <v>98</v>
      </c>
      <c r="G254" s="7" t="s">
        <v>806</v>
      </c>
      <c r="I254" s="1">
        <f t="shared" si="15"/>
        <v>1</v>
      </c>
      <c r="J254" s="1" t="str">
        <f>'Source build'!A254</f>
        <v>L00248</v>
      </c>
      <c r="K254" s="1">
        <f>254</f>
        <v>254</v>
      </c>
      <c r="L254" s="10">
        <f t="shared" si="16"/>
        <v>48190</v>
      </c>
      <c r="M254" s="1">
        <f t="shared" si="17"/>
        <v>1</v>
      </c>
      <c r="N254" s="1">
        <f t="shared" si="18"/>
        <v>1</v>
      </c>
      <c r="O254" s="1" t="str">
        <f>IF(I254=0,"UNUSED",IF(A254="","MISSING ID",IF(K254=0,"UNEXPECTED ID",IF(N254&lt;&gt;1,"ID / ORDER DIFFERENCE",IF('Source build'!U254&lt;&gt;"INCLUDED","EXCLUDED SOURCE",IF(NOT(M254),"INVALID AMOUNT",IF('Source build'!Y254&lt;&gt;0,"CHANGED FIELDS","MATCH")))))))</f>
        <v>MATCH</v>
      </c>
      <c r="P254" s="1" t="str">
        <f t="shared" si="19"/>
        <v>2026-02</v>
      </c>
    </row>
    <row r="255" spans="1:16" ht="18.95" customHeight="1">
      <c r="A255" s="7" t="s">
        <v>807</v>
      </c>
      <c r="B255" s="7" t="s">
        <v>808</v>
      </c>
      <c r="C255" s="7" t="s">
        <v>302</v>
      </c>
      <c r="D255" s="7" t="s">
        <v>103</v>
      </c>
      <c r="E255" s="7" t="s">
        <v>48</v>
      </c>
      <c r="F255" s="7" t="s">
        <v>98</v>
      </c>
      <c r="G255" s="7" t="s">
        <v>809</v>
      </c>
      <c r="I255" s="1">
        <f t="shared" si="15"/>
        <v>1</v>
      </c>
      <c r="J255" s="1" t="str">
        <f>'Source build'!A255</f>
        <v>L00249</v>
      </c>
      <c r="K255" s="1">
        <f>255</f>
        <v>255</v>
      </c>
      <c r="L255" s="10">
        <f t="shared" si="16"/>
        <v>19350</v>
      </c>
      <c r="M255" s="1">
        <f t="shared" si="17"/>
        <v>1</v>
      </c>
      <c r="N255" s="1">
        <f t="shared" si="18"/>
        <v>1</v>
      </c>
      <c r="O255" s="1" t="str">
        <f>IF(I255=0,"UNUSED",IF(A255="","MISSING ID",IF(K255=0,"UNEXPECTED ID",IF(N255&lt;&gt;1,"ID / ORDER DIFFERENCE",IF('Source build'!U255&lt;&gt;"INCLUDED","EXCLUDED SOURCE",IF(NOT(M255),"INVALID AMOUNT",IF('Source build'!Y255&lt;&gt;0,"CHANGED FIELDS","MATCH")))))))</f>
        <v>MATCH</v>
      </c>
      <c r="P255" s="1" t="str">
        <f t="shared" si="19"/>
        <v>2026-02</v>
      </c>
    </row>
    <row r="256" spans="1:16" ht="18.95" customHeight="1">
      <c r="A256" s="7" t="s">
        <v>810</v>
      </c>
      <c r="B256" s="7" t="s">
        <v>808</v>
      </c>
      <c r="C256" s="7" t="s">
        <v>302</v>
      </c>
      <c r="D256" s="7" t="s">
        <v>93</v>
      </c>
      <c r="E256" s="7" t="s">
        <v>46</v>
      </c>
      <c r="F256" s="7" t="s">
        <v>98</v>
      </c>
      <c r="G256" s="7" t="s">
        <v>811</v>
      </c>
      <c r="I256" s="1">
        <f t="shared" si="15"/>
        <v>1</v>
      </c>
      <c r="J256" s="1" t="str">
        <f>'Source build'!A256</f>
        <v>L00250</v>
      </c>
      <c r="K256" s="1">
        <f>256</f>
        <v>256</v>
      </c>
      <c r="L256" s="10">
        <f t="shared" si="16"/>
        <v>38848</v>
      </c>
      <c r="M256" s="1">
        <f t="shared" si="17"/>
        <v>1</v>
      </c>
      <c r="N256" s="1">
        <f t="shared" si="18"/>
        <v>1</v>
      </c>
      <c r="O256" s="1" t="str">
        <f>IF(I256=0,"UNUSED",IF(A256="","MISSING ID",IF(K256=0,"UNEXPECTED ID",IF(N256&lt;&gt;1,"ID / ORDER DIFFERENCE",IF('Source build'!U256&lt;&gt;"INCLUDED","EXCLUDED SOURCE",IF(NOT(M256),"INVALID AMOUNT",IF('Source build'!Y256&lt;&gt;0,"CHANGED FIELDS","MATCH")))))))</f>
        <v>MATCH</v>
      </c>
      <c r="P256" s="1" t="str">
        <f t="shared" si="19"/>
        <v>2026-02</v>
      </c>
    </row>
    <row r="257" spans="1:16" ht="18.95" customHeight="1">
      <c r="A257" s="7" t="s">
        <v>812</v>
      </c>
      <c r="B257" s="7" t="s">
        <v>813</v>
      </c>
      <c r="C257" s="7" t="s">
        <v>308</v>
      </c>
      <c r="D257" s="7" t="s">
        <v>97</v>
      </c>
      <c r="E257" s="7" t="s">
        <v>47</v>
      </c>
      <c r="F257" s="7" t="s">
        <v>98</v>
      </c>
      <c r="G257" s="7" t="s">
        <v>814</v>
      </c>
      <c r="I257" s="1">
        <f t="shared" si="15"/>
        <v>1</v>
      </c>
      <c r="J257" s="1" t="str">
        <f>'Source build'!A257</f>
        <v>L00251</v>
      </c>
      <c r="K257" s="1">
        <f>257</f>
        <v>257</v>
      </c>
      <c r="L257" s="10">
        <f t="shared" si="16"/>
        <v>9749</v>
      </c>
      <c r="M257" s="1">
        <f t="shared" si="17"/>
        <v>1</v>
      </c>
      <c r="N257" s="1">
        <f t="shared" si="18"/>
        <v>1</v>
      </c>
      <c r="O257" s="1" t="str">
        <f>IF(I257=0,"UNUSED",IF(A257="","MISSING ID",IF(K257=0,"UNEXPECTED ID",IF(N257&lt;&gt;1,"ID / ORDER DIFFERENCE",IF('Source build'!U257&lt;&gt;"INCLUDED","EXCLUDED SOURCE",IF(NOT(M257),"INVALID AMOUNT",IF('Source build'!Y257&lt;&gt;0,"CHANGED FIELDS","MATCH")))))))</f>
        <v>MATCH</v>
      </c>
      <c r="P257" s="1" t="str">
        <f t="shared" si="19"/>
        <v>2026-03</v>
      </c>
    </row>
    <row r="258" spans="1:16" ht="18.95" customHeight="1">
      <c r="A258" s="7" t="s">
        <v>815</v>
      </c>
      <c r="B258" s="7" t="s">
        <v>813</v>
      </c>
      <c r="C258" s="7" t="s">
        <v>308</v>
      </c>
      <c r="D258" s="7" t="s">
        <v>103</v>
      </c>
      <c r="E258" s="7" t="s">
        <v>48</v>
      </c>
      <c r="F258" s="7" t="s">
        <v>98</v>
      </c>
      <c r="G258" s="7" t="s">
        <v>816</v>
      </c>
      <c r="I258" s="1">
        <f t="shared" si="15"/>
        <v>1</v>
      </c>
      <c r="J258" s="1" t="str">
        <f>'Source build'!A258</f>
        <v>L00252</v>
      </c>
      <c r="K258" s="1">
        <f>258</f>
        <v>258</v>
      </c>
      <c r="L258" s="10">
        <f t="shared" si="16"/>
        <v>29358</v>
      </c>
      <c r="M258" s="1">
        <f t="shared" si="17"/>
        <v>1</v>
      </c>
      <c r="N258" s="1">
        <f t="shared" si="18"/>
        <v>1</v>
      </c>
      <c r="O258" s="1" t="str">
        <f>IF(I258=0,"UNUSED",IF(A258="","MISSING ID",IF(K258=0,"UNEXPECTED ID",IF(N258&lt;&gt;1,"ID / ORDER DIFFERENCE",IF('Source build'!U258&lt;&gt;"INCLUDED","EXCLUDED SOURCE",IF(NOT(M258),"INVALID AMOUNT",IF('Source build'!Y258&lt;&gt;0,"CHANGED FIELDS","MATCH")))))))</f>
        <v>MATCH</v>
      </c>
      <c r="P258" s="1" t="str">
        <f t="shared" si="19"/>
        <v>2026-03</v>
      </c>
    </row>
    <row r="259" spans="1:16" ht="18.95" customHeight="1">
      <c r="A259" s="7" t="s">
        <v>817</v>
      </c>
      <c r="B259" s="7" t="s">
        <v>818</v>
      </c>
      <c r="C259" s="7" t="s">
        <v>314</v>
      </c>
      <c r="D259" s="7" t="s">
        <v>93</v>
      </c>
      <c r="E259" s="7" t="s">
        <v>46</v>
      </c>
      <c r="F259" s="7" t="s">
        <v>98</v>
      </c>
      <c r="G259" s="7" t="s">
        <v>819</v>
      </c>
      <c r="I259" s="1">
        <f t="shared" si="15"/>
        <v>1</v>
      </c>
      <c r="J259" s="1" t="str">
        <f>'Source build'!A259</f>
        <v>L00253</v>
      </c>
      <c r="K259" s="1">
        <f>259</f>
        <v>259</v>
      </c>
      <c r="L259" s="10">
        <f t="shared" si="16"/>
        <v>49115</v>
      </c>
      <c r="M259" s="1">
        <f t="shared" si="17"/>
        <v>1</v>
      </c>
      <c r="N259" s="1">
        <f t="shared" si="18"/>
        <v>1</v>
      </c>
      <c r="O259" s="1" t="str">
        <f>IF(I259=0,"UNUSED",IF(A259="","MISSING ID",IF(K259=0,"UNEXPECTED ID",IF(N259&lt;&gt;1,"ID / ORDER DIFFERENCE",IF('Source build'!U259&lt;&gt;"INCLUDED","EXCLUDED SOURCE",IF(NOT(M259),"INVALID AMOUNT",IF('Source build'!Y259&lt;&gt;0,"CHANGED FIELDS","MATCH")))))))</f>
        <v>MATCH</v>
      </c>
      <c r="P259" s="1" t="str">
        <f t="shared" si="19"/>
        <v>2026-03</v>
      </c>
    </row>
    <row r="260" spans="1:16" ht="18.95" customHeight="1">
      <c r="A260" s="7" t="s">
        <v>820</v>
      </c>
      <c r="B260" s="7" t="s">
        <v>818</v>
      </c>
      <c r="C260" s="7" t="s">
        <v>314</v>
      </c>
      <c r="D260" s="7" t="s">
        <v>97</v>
      </c>
      <c r="E260" s="7" t="s">
        <v>47</v>
      </c>
      <c r="F260" s="7" t="s">
        <v>94</v>
      </c>
      <c r="G260" s="7" t="s">
        <v>821</v>
      </c>
      <c r="I260" s="1">
        <f t="shared" si="15"/>
        <v>1</v>
      </c>
      <c r="J260" s="1" t="str">
        <f>'Source build'!A260</f>
        <v>L00254</v>
      </c>
      <c r="K260" s="1">
        <f>260</f>
        <v>260</v>
      </c>
      <c r="L260" s="10">
        <f t="shared" si="16"/>
        <v>-19720</v>
      </c>
      <c r="M260" s="1">
        <f t="shared" si="17"/>
        <v>1</v>
      </c>
      <c r="N260" s="1">
        <f t="shared" si="18"/>
        <v>1</v>
      </c>
      <c r="O260" s="1" t="str">
        <f>IF(I260=0,"UNUSED",IF(A260="","MISSING ID",IF(K260=0,"UNEXPECTED ID",IF(N260&lt;&gt;1,"ID / ORDER DIFFERENCE",IF('Source build'!U260&lt;&gt;"INCLUDED","EXCLUDED SOURCE",IF(NOT(M260),"INVALID AMOUNT",IF('Source build'!Y260&lt;&gt;0,"CHANGED FIELDS","MATCH")))))))</f>
        <v>MATCH</v>
      </c>
      <c r="P260" s="1" t="str">
        <f t="shared" si="19"/>
        <v>2026-03</v>
      </c>
    </row>
    <row r="261" spans="1:16" ht="18.95" customHeight="1">
      <c r="A261" s="7" t="s">
        <v>822</v>
      </c>
      <c r="B261" s="7" t="s">
        <v>823</v>
      </c>
      <c r="C261" s="7" t="s">
        <v>320</v>
      </c>
      <c r="D261" s="7" t="s">
        <v>103</v>
      </c>
      <c r="E261" s="7" t="s">
        <v>48</v>
      </c>
      <c r="F261" s="7" t="s">
        <v>98</v>
      </c>
      <c r="G261" s="7" t="s">
        <v>824</v>
      </c>
      <c r="I261" s="1">
        <f t="shared" si="15"/>
        <v>1</v>
      </c>
      <c r="J261" s="1" t="str">
        <f>'Source build'!A261</f>
        <v>L00255</v>
      </c>
      <c r="K261" s="1">
        <f>261</f>
        <v>261</v>
      </c>
      <c r="L261" s="10">
        <f t="shared" si="16"/>
        <v>39588</v>
      </c>
      <c r="M261" s="1">
        <f t="shared" si="17"/>
        <v>1</v>
      </c>
      <c r="N261" s="1">
        <f t="shared" si="18"/>
        <v>1</v>
      </c>
      <c r="O261" s="1" t="str">
        <f>IF(I261=0,"UNUSED",IF(A261="","MISSING ID",IF(K261=0,"UNEXPECTED ID",IF(N261&lt;&gt;1,"ID / ORDER DIFFERENCE",IF('Source build'!U261&lt;&gt;"INCLUDED","EXCLUDED SOURCE",IF(NOT(M261),"INVALID AMOUNT",IF('Source build'!Y261&lt;&gt;0,"CHANGED FIELDS","MATCH")))))))</f>
        <v>MATCH</v>
      </c>
      <c r="P261" s="1" t="str">
        <f t="shared" si="19"/>
        <v>2026-03</v>
      </c>
    </row>
    <row r="262" spans="1:16" ht="18.95" customHeight="1">
      <c r="A262" s="7" t="s">
        <v>825</v>
      </c>
      <c r="B262" s="7" t="s">
        <v>823</v>
      </c>
      <c r="C262" s="7" t="s">
        <v>320</v>
      </c>
      <c r="D262" s="7" t="s">
        <v>93</v>
      </c>
      <c r="E262" s="7" t="s">
        <v>46</v>
      </c>
      <c r="F262" s="7" t="s">
        <v>98</v>
      </c>
      <c r="G262" s="7" t="s">
        <v>826</v>
      </c>
      <c r="I262" s="1">
        <f t="shared" si="15"/>
        <v>1</v>
      </c>
      <c r="J262" s="1" t="str">
        <f>'Source build'!A262</f>
        <v>L00256</v>
      </c>
      <c r="K262" s="1">
        <f>262</f>
        <v>262</v>
      </c>
      <c r="L262" s="10">
        <f t="shared" si="16"/>
        <v>9934</v>
      </c>
      <c r="M262" s="1">
        <f t="shared" si="17"/>
        <v>1</v>
      </c>
      <c r="N262" s="1">
        <f t="shared" si="18"/>
        <v>1</v>
      </c>
      <c r="O262" s="1" t="str">
        <f>IF(I262=0,"UNUSED",IF(A262="","MISSING ID",IF(K262=0,"UNEXPECTED ID",IF(N262&lt;&gt;1,"ID / ORDER DIFFERENCE",IF('Source build'!U262&lt;&gt;"INCLUDED","EXCLUDED SOURCE",IF(NOT(M262),"INVALID AMOUNT",IF('Source build'!Y262&lt;&gt;0,"CHANGED FIELDS","MATCH")))))))</f>
        <v>MATCH</v>
      </c>
      <c r="P262" s="1" t="str">
        <f t="shared" si="19"/>
        <v>2026-03</v>
      </c>
    </row>
    <row r="263" spans="1:16" ht="18.95" customHeight="1">
      <c r="A263" s="7" t="s">
        <v>827</v>
      </c>
      <c r="B263" s="7" t="s">
        <v>828</v>
      </c>
      <c r="C263" s="7" t="s">
        <v>326</v>
      </c>
      <c r="D263" s="7" t="s">
        <v>97</v>
      </c>
      <c r="E263" s="7" t="s">
        <v>47</v>
      </c>
      <c r="F263" s="7" t="s">
        <v>98</v>
      </c>
      <c r="G263" s="7" t="s">
        <v>829</v>
      </c>
      <c r="I263" s="1">
        <f t="shared" ref="I263:I326" si="20">IF(AND(A263="",B263="",C263="",D263="",E263="",F263="",G263=""),0,1)</f>
        <v>1</v>
      </c>
      <c r="J263" s="1" t="str">
        <f>'Source build'!A263</f>
        <v>L00257</v>
      </c>
      <c r="K263" s="1">
        <f>263</f>
        <v>263</v>
      </c>
      <c r="L263" s="10">
        <f t="shared" ref="L263:L326" si="21">IFERROR(IF(ABS(VALUE(G263)*100-ROUND(VALUE(G263)*100,0))&lt;0.0000001,ROUND(VALUE(G263)*100,0),0),0)</f>
        <v>29913</v>
      </c>
      <c r="M263" s="1">
        <f t="shared" ref="M263:M326" si="22">--IF(I263=0,TRUE,IF(TRIM(G263)="",FALSE,IFERROR(AND(ISNUMBER(VALUE(G263)),ABS(VALUE(G263)*100-ROUND(VALUE(G263)*100,0))&lt;0.0000001,OR(ISNUMBER(G263),EXACT(G263,TEXT(VALUE(G263),"0.00"))),OR(AND(EXACT(F263,"sale"),VALUE(G263)&gt;0),AND(EXACT(F263,"refund"),VALUE(G263)&lt;0))),FALSE)))</f>
        <v>1</v>
      </c>
      <c r="N263" s="1">
        <f t="shared" ref="N263:N326" si="23">IF(I263=1,IF(EXACT(A263,J263),1,0),0)</f>
        <v>1</v>
      </c>
      <c r="O263" s="1" t="str">
        <f>IF(I263=0,"UNUSED",IF(A263="","MISSING ID",IF(K263=0,"UNEXPECTED ID",IF(N263&lt;&gt;1,"ID / ORDER DIFFERENCE",IF('Source build'!U263&lt;&gt;"INCLUDED","EXCLUDED SOURCE",IF(NOT(M263),"INVALID AMOUNT",IF('Source build'!Y263&lt;&gt;0,"CHANGED FIELDS","MATCH")))))))</f>
        <v>MATCH</v>
      </c>
      <c r="P263" s="1" t="str">
        <f t="shared" ref="P263:P326" si="24">IF(I263=1,LEFT(C263,7),"")</f>
        <v>2026-03</v>
      </c>
    </row>
    <row r="264" spans="1:16" ht="18.95" customHeight="1">
      <c r="A264" s="7" t="s">
        <v>830</v>
      </c>
      <c r="B264" s="7" t="s">
        <v>828</v>
      </c>
      <c r="C264" s="7" t="s">
        <v>326</v>
      </c>
      <c r="D264" s="7" t="s">
        <v>103</v>
      </c>
      <c r="E264" s="7" t="s">
        <v>48</v>
      </c>
      <c r="F264" s="7" t="s">
        <v>98</v>
      </c>
      <c r="G264" s="7" t="s">
        <v>831</v>
      </c>
      <c r="I264" s="1">
        <f t="shared" si="20"/>
        <v>1</v>
      </c>
      <c r="J264" s="1" t="str">
        <f>'Source build'!A264</f>
        <v>L00258</v>
      </c>
      <c r="K264" s="1">
        <f>264</f>
        <v>264</v>
      </c>
      <c r="L264" s="10">
        <f t="shared" si="21"/>
        <v>50040</v>
      </c>
      <c r="M264" s="1">
        <f t="shared" si="22"/>
        <v>1</v>
      </c>
      <c r="N264" s="1">
        <f t="shared" si="23"/>
        <v>1</v>
      </c>
      <c r="O264" s="1" t="str">
        <f>IF(I264=0,"UNUSED",IF(A264="","MISSING ID",IF(K264=0,"UNEXPECTED ID",IF(N264&lt;&gt;1,"ID / ORDER DIFFERENCE",IF('Source build'!U264&lt;&gt;"INCLUDED","EXCLUDED SOURCE",IF(NOT(M264),"INVALID AMOUNT",IF('Source build'!Y264&lt;&gt;0,"CHANGED FIELDS","MATCH")))))))</f>
        <v>MATCH</v>
      </c>
      <c r="P264" s="1" t="str">
        <f t="shared" si="24"/>
        <v>2026-03</v>
      </c>
    </row>
    <row r="265" spans="1:16" ht="18.95" customHeight="1">
      <c r="A265" s="7" t="s">
        <v>832</v>
      </c>
      <c r="B265" s="7" t="s">
        <v>833</v>
      </c>
      <c r="C265" s="7" t="s">
        <v>332</v>
      </c>
      <c r="D265" s="7" t="s">
        <v>93</v>
      </c>
      <c r="E265" s="7" t="s">
        <v>46</v>
      </c>
      <c r="F265" s="7" t="s">
        <v>98</v>
      </c>
      <c r="G265" s="7" t="s">
        <v>834</v>
      </c>
      <c r="I265" s="1">
        <f t="shared" si="20"/>
        <v>1</v>
      </c>
      <c r="J265" s="1" t="str">
        <f>'Source build'!A265</f>
        <v>L00259</v>
      </c>
      <c r="K265" s="1">
        <f>265</f>
        <v>265</v>
      </c>
      <c r="L265" s="10">
        <f t="shared" si="21"/>
        <v>20090</v>
      </c>
      <c r="M265" s="1">
        <f t="shared" si="22"/>
        <v>1</v>
      </c>
      <c r="N265" s="1">
        <f t="shared" si="23"/>
        <v>1</v>
      </c>
      <c r="O265" s="1" t="str">
        <f>IF(I265=0,"UNUSED",IF(A265="","MISSING ID",IF(K265=0,"UNEXPECTED ID",IF(N265&lt;&gt;1,"ID / ORDER DIFFERENCE",IF('Source build'!U265&lt;&gt;"INCLUDED","EXCLUDED SOURCE",IF(NOT(M265),"INVALID AMOUNT",IF('Source build'!Y265&lt;&gt;0,"CHANGED FIELDS","MATCH")))))))</f>
        <v>MATCH</v>
      </c>
      <c r="P265" s="1" t="str">
        <f t="shared" si="24"/>
        <v>2026-01</v>
      </c>
    </row>
    <row r="266" spans="1:16" ht="18.95" customHeight="1">
      <c r="A266" s="7" t="s">
        <v>835</v>
      </c>
      <c r="B266" s="7" t="s">
        <v>833</v>
      </c>
      <c r="C266" s="7" t="s">
        <v>332</v>
      </c>
      <c r="D266" s="7" t="s">
        <v>97</v>
      </c>
      <c r="E266" s="7" t="s">
        <v>47</v>
      </c>
      <c r="F266" s="7" t="s">
        <v>98</v>
      </c>
      <c r="G266" s="7" t="s">
        <v>836</v>
      </c>
      <c r="I266" s="1">
        <f t="shared" si="20"/>
        <v>1</v>
      </c>
      <c r="J266" s="1" t="str">
        <f>'Source build'!A266</f>
        <v>L00260</v>
      </c>
      <c r="K266" s="1">
        <f>266</f>
        <v>266</v>
      </c>
      <c r="L266" s="10">
        <f t="shared" si="21"/>
        <v>40328</v>
      </c>
      <c r="M266" s="1">
        <f t="shared" si="22"/>
        <v>1</v>
      </c>
      <c r="N266" s="1">
        <f t="shared" si="23"/>
        <v>1</v>
      </c>
      <c r="O266" s="1" t="str">
        <f>IF(I266=0,"UNUSED",IF(A266="","MISSING ID",IF(K266=0,"UNEXPECTED ID",IF(N266&lt;&gt;1,"ID / ORDER DIFFERENCE",IF('Source build'!U266&lt;&gt;"INCLUDED","EXCLUDED SOURCE",IF(NOT(M266),"INVALID AMOUNT",IF('Source build'!Y266&lt;&gt;0,"CHANGED FIELDS","MATCH")))))))</f>
        <v>MATCH</v>
      </c>
      <c r="P266" s="1" t="str">
        <f t="shared" si="24"/>
        <v>2026-01</v>
      </c>
    </row>
    <row r="267" spans="1:16" ht="18.95" customHeight="1">
      <c r="A267" s="7" t="s">
        <v>837</v>
      </c>
      <c r="B267" s="7" t="s">
        <v>838</v>
      </c>
      <c r="C267" s="7" t="s">
        <v>338</v>
      </c>
      <c r="D267" s="7" t="s">
        <v>103</v>
      </c>
      <c r="E267" s="7" t="s">
        <v>48</v>
      </c>
      <c r="F267" s="7" t="s">
        <v>98</v>
      </c>
      <c r="G267" s="7" t="s">
        <v>839</v>
      </c>
      <c r="I267" s="1">
        <f t="shared" si="20"/>
        <v>1</v>
      </c>
      <c r="J267" s="1" t="str">
        <f>'Source build'!A267</f>
        <v>L00261</v>
      </c>
      <c r="K267" s="1">
        <f>267</f>
        <v>267</v>
      </c>
      <c r="L267" s="10">
        <f t="shared" si="21"/>
        <v>10119</v>
      </c>
      <c r="M267" s="1">
        <f t="shared" si="22"/>
        <v>1</v>
      </c>
      <c r="N267" s="1">
        <f t="shared" si="23"/>
        <v>1</v>
      </c>
      <c r="O267" s="1" t="str">
        <f>IF(I267=0,"UNUSED",IF(A267="","MISSING ID",IF(K267=0,"UNEXPECTED ID",IF(N267&lt;&gt;1,"ID / ORDER DIFFERENCE",IF('Source build'!U267&lt;&gt;"INCLUDED","EXCLUDED SOURCE",IF(NOT(M267),"INVALID AMOUNT",IF('Source build'!Y267&lt;&gt;0,"CHANGED FIELDS","MATCH")))))))</f>
        <v>MATCH</v>
      </c>
      <c r="P267" s="1" t="str">
        <f t="shared" si="24"/>
        <v>2026-01</v>
      </c>
    </row>
    <row r="268" spans="1:16" ht="18.95" customHeight="1">
      <c r="A268" s="7" t="s">
        <v>840</v>
      </c>
      <c r="B268" s="7" t="s">
        <v>838</v>
      </c>
      <c r="C268" s="7" t="s">
        <v>338</v>
      </c>
      <c r="D268" s="7" t="s">
        <v>93</v>
      </c>
      <c r="E268" s="7" t="s">
        <v>46</v>
      </c>
      <c r="F268" s="7" t="s">
        <v>98</v>
      </c>
      <c r="G268" s="7" t="s">
        <v>841</v>
      </c>
      <c r="I268" s="1">
        <f t="shared" si="20"/>
        <v>1</v>
      </c>
      <c r="J268" s="1" t="str">
        <f>'Source build'!A268</f>
        <v>L00262</v>
      </c>
      <c r="K268" s="1">
        <f>268</f>
        <v>268</v>
      </c>
      <c r="L268" s="10">
        <f t="shared" si="21"/>
        <v>30468</v>
      </c>
      <c r="M268" s="1">
        <f t="shared" si="22"/>
        <v>1</v>
      </c>
      <c r="N268" s="1">
        <f t="shared" si="23"/>
        <v>1</v>
      </c>
      <c r="O268" s="1" t="str">
        <f>IF(I268=0,"UNUSED",IF(A268="","MISSING ID",IF(K268=0,"UNEXPECTED ID",IF(N268&lt;&gt;1,"ID / ORDER DIFFERENCE",IF('Source build'!U268&lt;&gt;"INCLUDED","EXCLUDED SOURCE",IF(NOT(M268),"INVALID AMOUNT",IF('Source build'!Y268&lt;&gt;0,"CHANGED FIELDS","MATCH")))))))</f>
        <v>MATCH</v>
      </c>
      <c r="P268" s="1" t="str">
        <f t="shared" si="24"/>
        <v>2026-01</v>
      </c>
    </row>
    <row r="269" spans="1:16" ht="18.95" customHeight="1">
      <c r="A269" s="7" t="s">
        <v>842</v>
      </c>
      <c r="B269" s="7" t="s">
        <v>843</v>
      </c>
      <c r="C269" s="7" t="s">
        <v>344</v>
      </c>
      <c r="D269" s="7" t="s">
        <v>97</v>
      </c>
      <c r="E269" s="7" t="s">
        <v>47</v>
      </c>
      <c r="F269" s="7" t="s">
        <v>98</v>
      </c>
      <c r="G269" s="7" t="s">
        <v>844</v>
      </c>
      <c r="I269" s="1">
        <f t="shared" si="20"/>
        <v>1</v>
      </c>
      <c r="J269" s="1" t="str">
        <f>'Source build'!A269</f>
        <v>L00263</v>
      </c>
      <c r="K269" s="1">
        <f>269</f>
        <v>269</v>
      </c>
      <c r="L269" s="10">
        <f t="shared" si="21"/>
        <v>50965</v>
      </c>
      <c r="M269" s="1">
        <f t="shared" si="22"/>
        <v>1</v>
      </c>
      <c r="N269" s="1">
        <f t="shared" si="23"/>
        <v>1</v>
      </c>
      <c r="O269" s="1" t="str">
        <f>IF(I269=0,"UNUSED",IF(A269="","MISSING ID",IF(K269=0,"UNEXPECTED ID",IF(N269&lt;&gt;1,"ID / ORDER DIFFERENCE",IF('Source build'!U269&lt;&gt;"INCLUDED","EXCLUDED SOURCE",IF(NOT(M269),"INVALID AMOUNT",IF('Source build'!Y269&lt;&gt;0,"CHANGED FIELDS","MATCH")))))))</f>
        <v>MATCH</v>
      </c>
      <c r="P269" s="1" t="str">
        <f t="shared" si="24"/>
        <v>2026-01</v>
      </c>
    </row>
    <row r="270" spans="1:16" ht="18.95" customHeight="1">
      <c r="A270" s="7" t="s">
        <v>845</v>
      </c>
      <c r="B270" s="7" t="s">
        <v>843</v>
      </c>
      <c r="C270" s="7" t="s">
        <v>344</v>
      </c>
      <c r="D270" s="7" t="s">
        <v>103</v>
      </c>
      <c r="E270" s="7" t="s">
        <v>48</v>
      </c>
      <c r="F270" s="7" t="s">
        <v>98</v>
      </c>
      <c r="G270" s="7" t="s">
        <v>846</v>
      </c>
      <c r="I270" s="1">
        <f t="shared" si="20"/>
        <v>1</v>
      </c>
      <c r="J270" s="1" t="str">
        <f>'Source build'!A270</f>
        <v>L00264</v>
      </c>
      <c r="K270" s="1">
        <f>270</f>
        <v>270</v>
      </c>
      <c r="L270" s="10">
        <f t="shared" si="21"/>
        <v>20460</v>
      </c>
      <c r="M270" s="1">
        <f t="shared" si="22"/>
        <v>1</v>
      </c>
      <c r="N270" s="1">
        <f t="shared" si="23"/>
        <v>1</v>
      </c>
      <c r="O270" s="1" t="str">
        <f>IF(I270=0,"UNUSED",IF(A270="","MISSING ID",IF(K270=0,"UNEXPECTED ID",IF(N270&lt;&gt;1,"ID / ORDER DIFFERENCE",IF('Source build'!U270&lt;&gt;"INCLUDED","EXCLUDED SOURCE",IF(NOT(M270),"INVALID AMOUNT",IF('Source build'!Y270&lt;&gt;0,"CHANGED FIELDS","MATCH")))))))</f>
        <v>MATCH</v>
      </c>
      <c r="P270" s="1" t="str">
        <f t="shared" si="24"/>
        <v>2026-01</v>
      </c>
    </row>
    <row r="271" spans="1:16" ht="18.95" customHeight="1">
      <c r="A271" s="7" t="s">
        <v>847</v>
      </c>
      <c r="B271" s="7" t="s">
        <v>848</v>
      </c>
      <c r="C271" s="7" t="s">
        <v>350</v>
      </c>
      <c r="D271" s="7" t="s">
        <v>93</v>
      </c>
      <c r="E271" s="7" t="s">
        <v>46</v>
      </c>
      <c r="F271" s="7" t="s">
        <v>98</v>
      </c>
      <c r="G271" s="7" t="s">
        <v>849</v>
      </c>
      <c r="I271" s="1">
        <f t="shared" si="20"/>
        <v>1</v>
      </c>
      <c r="J271" s="1" t="str">
        <f>'Source build'!A271</f>
        <v>L00265</v>
      </c>
      <c r="K271" s="1">
        <f>271</f>
        <v>271</v>
      </c>
      <c r="L271" s="10">
        <f t="shared" si="21"/>
        <v>41068</v>
      </c>
      <c r="M271" s="1">
        <f t="shared" si="22"/>
        <v>1</v>
      </c>
      <c r="N271" s="1">
        <f t="shared" si="23"/>
        <v>1</v>
      </c>
      <c r="O271" s="1" t="str">
        <f>IF(I271=0,"UNUSED",IF(A271="","MISSING ID",IF(K271=0,"UNEXPECTED ID",IF(N271&lt;&gt;1,"ID / ORDER DIFFERENCE",IF('Source build'!U271&lt;&gt;"INCLUDED","EXCLUDED SOURCE",IF(NOT(M271),"INVALID AMOUNT",IF('Source build'!Y271&lt;&gt;0,"CHANGED FIELDS","MATCH")))))))</f>
        <v>MATCH</v>
      </c>
      <c r="P271" s="1" t="str">
        <f t="shared" si="24"/>
        <v>2026-01</v>
      </c>
    </row>
    <row r="272" spans="1:16" ht="18.95" customHeight="1">
      <c r="A272" s="7" t="s">
        <v>850</v>
      </c>
      <c r="B272" s="7" t="s">
        <v>848</v>
      </c>
      <c r="C272" s="7" t="s">
        <v>350</v>
      </c>
      <c r="D272" s="7" t="s">
        <v>97</v>
      </c>
      <c r="E272" s="7" t="s">
        <v>47</v>
      </c>
      <c r="F272" s="7" t="s">
        <v>98</v>
      </c>
      <c r="G272" s="7" t="s">
        <v>851</v>
      </c>
      <c r="I272" s="1">
        <f t="shared" si="20"/>
        <v>1</v>
      </c>
      <c r="J272" s="1" t="str">
        <f>'Source build'!A272</f>
        <v>L00266</v>
      </c>
      <c r="K272" s="1">
        <f>272</f>
        <v>272</v>
      </c>
      <c r="L272" s="10">
        <f t="shared" si="21"/>
        <v>10304</v>
      </c>
      <c r="M272" s="1">
        <f t="shared" si="22"/>
        <v>1</v>
      </c>
      <c r="N272" s="1">
        <f t="shared" si="23"/>
        <v>1</v>
      </c>
      <c r="O272" s="1" t="str">
        <f>IF(I272=0,"UNUSED",IF(A272="","MISSING ID",IF(K272=0,"UNEXPECTED ID",IF(N272&lt;&gt;1,"ID / ORDER DIFFERENCE",IF('Source build'!U272&lt;&gt;"INCLUDED","EXCLUDED SOURCE",IF(NOT(M272),"INVALID AMOUNT",IF('Source build'!Y272&lt;&gt;0,"CHANGED FIELDS","MATCH")))))))</f>
        <v>MATCH</v>
      </c>
      <c r="P272" s="1" t="str">
        <f t="shared" si="24"/>
        <v>2026-01</v>
      </c>
    </row>
    <row r="273" spans="1:16" ht="18.95" customHeight="1">
      <c r="A273" s="7" t="s">
        <v>852</v>
      </c>
      <c r="B273" s="7" t="s">
        <v>853</v>
      </c>
      <c r="C273" s="7" t="s">
        <v>356</v>
      </c>
      <c r="D273" s="7" t="s">
        <v>103</v>
      </c>
      <c r="E273" s="7" t="s">
        <v>48</v>
      </c>
      <c r="F273" s="7" t="s">
        <v>98</v>
      </c>
      <c r="G273" s="7" t="s">
        <v>854</v>
      </c>
      <c r="I273" s="1">
        <f t="shared" si="20"/>
        <v>1</v>
      </c>
      <c r="J273" s="1" t="str">
        <f>'Source build'!A273</f>
        <v>L00267</v>
      </c>
      <c r="K273" s="1">
        <f>273</f>
        <v>273</v>
      </c>
      <c r="L273" s="10">
        <f t="shared" si="21"/>
        <v>31023</v>
      </c>
      <c r="M273" s="1">
        <f t="shared" si="22"/>
        <v>1</v>
      </c>
      <c r="N273" s="1">
        <f t="shared" si="23"/>
        <v>1</v>
      </c>
      <c r="O273" s="1" t="str">
        <f>IF(I273=0,"UNUSED",IF(A273="","MISSING ID",IF(K273=0,"UNEXPECTED ID",IF(N273&lt;&gt;1,"ID / ORDER DIFFERENCE",IF('Source build'!U273&lt;&gt;"INCLUDED","EXCLUDED SOURCE",IF(NOT(M273),"INVALID AMOUNT",IF('Source build'!Y273&lt;&gt;0,"CHANGED FIELDS","MATCH")))))))</f>
        <v>MATCH</v>
      </c>
      <c r="P273" s="1" t="str">
        <f t="shared" si="24"/>
        <v>2026-02</v>
      </c>
    </row>
    <row r="274" spans="1:16" ht="18.95" customHeight="1">
      <c r="A274" s="7" t="s">
        <v>855</v>
      </c>
      <c r="B274" s="7" t="s">
        <v>853</v>
      </c>
      <c r="C274" s="7" t="s">
        <v>356</v>
      </c>
      <c r="D274" s="7" t="s">
        <v>93</v>
      </c>
      <c r="E274" s="7" t="s">
        <v>46</v>
      </c>
      <c r="F274" s="7" t="s">
        <v>98</v>
      </c>
      <c r="G274" s="7" t="s">
        <v>856</v>
      </c>
      <c r="I274" s="1">
        <f t="shared" si="20"/>
        <v>1</v>
      </c>
      <c r="J274" s="1" t="str">
        <f>'Source build'!A274</f>
        <v>L00268</v>
      </c>
      <c r="K274" s="1">
        <f>274</f>
        <v>274</v>
      </c>
      <c r="L274" s="10">
        <f t="shared" si="21"/>
        <v>51890</v>
      </c>
      <c r="M274" s="1">
        <f t="shared" si="22"/>
        <v>1</v>
      </c>
      <c r="N274" s="1">
        <f t="shared" si="23"/>
        <v>1</v>
      </c>
      <c r="O274" s="1" t="str">
        <f>IF(I274=0,"UNUSED",IF(A274="","MISSING ID",IF(K274=0,"UNEXPECTED ID",IF(N274&lt;&gt;1,"ID / ORDER DIFFERENCE",IF('Source build'!U274&lt;&gt;"INCLUDED","EXCLUDED SOURCE",IF(NOT(M274),"INVALID AMOUNT",IF('Source build'!Y274&lt;&gt;0,"CHANGED FIELDS","MATCH")))))))</f>
        <v>MATCH</v>
      </c>
      <c r="P274" s="1" t="str">
        <f t="shared" si="24"/>
        <v>2026-02</v>
      </c>
    </row>
    <row r="275" spans="1:16" ht="18.95" customHeight="1">
      <c r="A275" s="7" t="s">
        <v>857</v>
      </c>
      <c r="B275" s="7" t="s">
        <v>858</v>
      </c>
      <c r="C275" s="7" t="s">
        <v>362</v>
      </c>
      <c r="D275" s="7" t="s">
        <v>97</v>
      </c>
      <c r="E275" s="7" t="s">
        <v>47</v>
      </c>
      <c r="F275" s="7" t="s">
        <v>98</v>
      </c>
      <c r="G275" s="7" t="s">
        <v>859</v>
      </c>
      <c r="I275" s="1">
        <f t="shared" si="20"/>
        <v>1</v>
      </c>
      <c r="J275" s="1" t="str">
        <f>'Source build'!A275</f>
        <v>L00269</v>
      </c>
      <c r="K275" s="1">
        <f>275</f>
        <v>275</v>
      </c>
      <c r="L275" s="10">
        <f t="shared" si="21"/>
        <v>20830</v>
      </c>
      <c r="M275" s="1">
        <f t="shared" si="22"/>
        <v>1</v>
      </c>
      <c r="N275" s="1">
        <f t="shared" si="23"/>
        <v>1</v>
      </c>
      <c r="O275" s="1" t="str">
        <f>IF(I275=0,"UNUSED",IF(A275="","MISSING ID",IF(K275=0,"UNEXPECTED ID",IF(N275&lt;&gt;1,"ID / ORDER DIFFERENCE",IF('Source build'!U275&lt;&gt;"INCLUDED","EXCLUDED SOURCE",IF(NOT(M275),"INVALID AMOUNT",IF('Source build'!Y275&lt;&gt;0,"CHANGED FIELDS","MATCH")))))))</f>
        <v>MATCH</v>
      </c>
      <c r="P275" s="1" t="str">
        <f t="shared" si="24"/>
        <v>2026-02</v>
      </c>
    </row>
    <row r="276" spans="1:16" ht="18.95" customHeight="1">
      <c r="A276" s="7" t="s">
        <v>860</v>
      </c>
      <c r="B276" s="7" t="s">
        <v>858</v>
      </c>
      <c r="C276" s="7" t="s">
        <v>362</v>
      </c>
      <c r="D276" s="7" t="s">
        <v>103</v>
      </c>
      <c r="E276" s="7" t="s">
        <v>48</v>
      </c>
      <c r="F276" s="7" t="s">
        <v>98</v>
      </c>
      <c r="G276" s="7" t="s">
        <v>861</v>
      </c>
      <c r="I276" s="1">
        <f t="shared" si="20"/>
        <v>1</v>
      </c>
      <c r="J276" s="1" t="str">
        <f>'Source build'!A276</f>
        <v>L00270</v>
      </c>
      <c r="K276" s="1">
        <f>276</f>
        <v>276</v>
      </c>
      <c r="L276" s="10">
        <f t="shared" si="21"/>
        <v>41808</v>
      </c>
      <c r="M276" s="1">
        <f t="shared" si="22"/>
        <v>1</v>
      </c>
      <c r="N276" s="1">
        <f t="shared" si="23"/>
        <v>1</v>
      </c>
      <c r="O276" s="1" t="str">
        <f>IF(I276=0,"UNUSED",IF(A276="","MISSING ID",IF(K276=0,"UNEXPECTED ID",IF(N276&lt;&gt;1,"ID / ORDER DIFFERENCE",IF('Source build'!U276&lt;&gt;"INCLUDED","EXCLUDED SOURCE",IF(NOT(M276),"INVALID AMOUNT",IF('Source build'!Y276&lt;&gt;0,"CHANGED FIELDS","MATCH")))))))</f>
        <v>MATCH</v>
      </c>
      <c r="P276" s="1" t="str">
        <f t="shared" si="24"/>
        <v>2026-02</v>
      </c>
    </row>
    <row r="277" spans="1:16" ht="18.95" customHeight="1">
      <c r="A277" s="7" t="s">
        <v>862</v>
      </c>
      <c r="B277" s="7" t="s">
        <v>863</v>
      </c>
      <c r="C277" s="7" t="s">
        <v>368</v>
      </c>
      <c r="D277" s="7" t="s">
        <v>93</v>
      </c>
      <c r="E277" s="7" t="s">
        <v>46</v>
      </c>
      <c r="F277" s="7" t="s">
        <v>98</v>
      </c>
      <c r="G277" s="7" t="s">
        <v>864</v>
      </c>
      <c r="I277" s="1">
        <f t="shared" si="20"/>
        <v>1</v>
      </c>
      <c r="J277" s="1" t="str">
        <f>'Source build'!A277</f>
        <v>L00271</v>
      </c>
      <c r="K277" s="1">
        <f>277</f>
        <v>277</v>
      </c>
      <c r="L277" s="10">
        <f t="shared" si="21"/>
        <v>10489</v>
      </c>
      <c r="M277" s="1">
        <f t="shared" si="22"/>
        <v>1</v>
      </c>
      <c r="N277" s="1">
        <f t="shared" si="23"/>
        <v>1</v>
      </c>
      <c r="O277" s="1" t="str">
        <f>IF(I277=0,"UNUSED",IF(A277="","MISSING ID",IF(K277=0,"UNEXPECTED ID",IF(N277&lt;&gt;1,"ID / ORDER DIFFERENCE",IF('Source build'!U277&lt;&gt;"INCLUDED","EXCLUDED SOURCE",IF(NOT(M277),"INVALID AMOUNT",IF('Source build'!Y277&lt;&gt;0,"CHANGED FIELDS","MATCH")))))))</f>
        <v>MATCH</v>
      </c>
      <c r="P277" s="1" t="str">
        <f t="shared" si="24"/>
        <v>2026-02</v>
      </c>
    </row>
    <row r="278" spans="1:16" ht="18.95" customHeight="1">
      <c r="A278" s="7" t="s">
        <v>865</v>
      </c>
      <c r="B278" s="7" t="s">
        <v>863</v>
      </c>
      <c r="C278" s="7" t="s">
        <v>368</v>
      </c>
      <c r="D278" s="7" t="s">
        <v>97</v>
      </c>
      <c r="E278" s="7" t="s">
        <v>47</v>
      </c>
      <c r="F278" s="7" t="s">
        <v>98</v>
      </c>
      <c r="G278" s="7" t="s">
        <v>866</v>
      </c>
      <c r="I278" s="1">
        <f t="shared" si="20"/>
        <v>1</v>
      </c>
      <c r="J278" s="1" t="str">
        <f>'Source build'!A278</f>
        <v>L00272</v>
      </c>
      <c r="K278" s="1">
        <f>278</f>
        <v>278</v>
      </c>
      <c r="L278" s="10">
        <f t="shared" si="21"/>
        <v>31578</v>
      </c>
      <c r="M278" s="1">
        <f t="shared" si="22"/>
        <v>1</v>
      </c>
      <c r="N278" s="1">
        <f t="shared" si="23"/>
        <v>1</v>
      </c>
      <c r="O278" s="1" t="str">
        <f>IF(I278=0,"UNUSED",IF(A278="","MISSING ID",IF(K278=0,"UNEXPECTED ID",IF(N278&lt;&gt;1,"ID / ORDER DIFFERENCE",IF('Source build'!U278&lt;&gt;"INCLUDED","EXCLUDED SOURCE",IF(NOT(M278),"INVALID AMOUNT",IF('Source build'!Y278&lt;&gt;0,"CHANGED FIELDS","MATCH")))))))</f>
        <v>MATCH</v>
      </c>
      <c r="P278" s="1" t="str">
        <f t="shared" si="24"/>
        <v>2026-02</v>
      </c>
    </row>
    <row r="279" spans="1:16" ht="18.95" customHeight="1">
      <c r="A279" s="7" t="s">
        <v>867</v>
      </c>
      <c r="B279" s="7" t="s">
        <v>868</v>
      </c>
      <c r="C279" s="7" t="s">
        <v>374</v>
      </c>
      <c r="D279" s="7" t="s">
        <v>103</v>
      </c>
      <c r="E279" s="7" t="s">
        <v>48</v>
      </c>
      <c r="F279" s="7" t="s">
        <v>98</v>
      </c>
      <c r="G279" s="7" t="s">
        <v>869</v>
      </c>
      <c r="I279" s="1">
        <f t="shared" si="20"/>
        <v>1</v>
      </c>
      <c r="J279" s="1" t="str">
        <f>'Source build'!A279</f>
        <v>L00273</v>
      </c>
      <c r="K279" s="1">
        <f>279</f>
        <v>279</v>
      </c>
      <c r="L279" s="10">
        <f t="shared" si="21"/>
        <v>52815</v>
      </c>
      <c r="M279" s="1">
        <f t="shared" si="22"/>
        <v>1</v>
      </c>
      <c r="N279" s="1">
        <f t="shared" si="23"/>
        <v>1</v>
      </c>
      <c r="O279" s="1" t="str">
        <f>IF(I279=0,"UNUSED",IF(A279="","MISSING ID",IF(K279=0,"UNEXPECTED ID",IF(N279&lt;&gt;1,"ID / ORDER DIFFERENCE",IF('Source build'!U279&lt;&gt;"INCLUDED","EXCLUDED SOURCE",IF(NOT(M279),"INVALID AMOUNT",IF('Source build'!Y279&lt;&gt;0,"CHANGED FIELDS","MATCH")))))))</f>
        <v>MATCH</v>
      </c>
      <c r="P279" s="1" t="str">
        <f t="shared" si="24"/>
        <v>2026-02</v>
      </c>
    </row>
    <row r="280" spans="1:16" ht="18.95" customHeight="1">
      <c r="A280" s="7" t="s">
        <v>870</v>
      </c>
      <c r="B280" s="7" t="s">
        <v>868</v>
      </c>
      <c r="C280" s="7" t="s">
        <v>374</v>
      </c>
      <c r="D280" s="7" t="s">
        <v>93</v>
      </c>
      <c r="E280" s="7" t="s">
        <v>46</v>
      </c>
      <c r="F280" s="7" t="s">
        <v>98</v>
      </c>
      <c r="G280" s="7" t="s">
        <v>871</v>
      </c>
      <c r="I280" s="1">
        <f t="shared" si="20"/>
        <v>1</v>
      </c>
      <c r="J280" s="1" t="str">
        <f>'Source build'!A280</f>
        <v>L00274</v>
      </c>
      <c r="K280" s="1">
        <f>280</f>
        <v>280</v>
      </c>
      <c r="L280" s="10">
        <f t="shared" si="21"/>
        <v>21200</v>
      </c>
      <c r="M280" s="1">
        <f t="shared" si="22"/>
        <v>1</v>
      </c>
      <c r="N280" s="1">
        <f t="shared" si="23"/>
        <v>1</v>
      </c>
      <c r="O280" s="1" t="str">
        <f>IF(I280=0,"UNUSED",IF(A280="","MISSING ID",IF(K280=0,"UNEXPECTED ID",IF(N280&lt;&gt;1,"ID / ORDER DIFFERENCE",IF('Source build'!U280&lt;&gt;"INCLUDED","EXCLUDED SOURCE",IF(NOT(M280),"INVALID AMOUNT",IF('Source build'!Y280&lt;&gt;0,"CHANGED FIELDS","MATCH")))))))</f>
        <v>MATCH</v>
      </c>
      <c r="P280" s="1" t="str">
        <f t="shared" si="24"/>
        <v>2026-02</v>
      </c>
    </row>
    <row r="281" spans="1:16" ht="18.95" customHeight="1">
      <c r="A281" s="7" t="s">
        <v>872</v>
      </c>
      <c r="B281" s="7" t="s">
        <v>873</v>
      </c>
      <c r="C281" s="7" t="s">
        <v>380</v>
      </c>
      <c r="D281" s="7" t="s">
        <v>97</v>
      </c>
      <c r="E281" s="7" t="s">
        <v>47</v>
      </c>
      <c r="F281" s="7" t="s">
        <v>98</v>
      </c>
      <c r="G281" s="7" t="s">
        <v>874</v>
      </c>
      <c r="I281" s="1">
        <f t="shared" si="20"/>
        <v>1</v>
      </c>
      <c r="J281" s="1" t="str">
        <f>'Source build'!A281</f>
        <v>L00275</v>
      </c>
      <c r="K281" s="1">
        <f>281</f>
        <v>281</v>
      </c>
      <c r="L281" s="10">
        <f t="shared" si="21"/>
        <v>42548</v>
      </c>
      <c r="M281" s="1">
        <f t="shared" si="22"/>
        <v>1</v>
      </c>
      <c r="N281" s="1">
        <f t="shared" si="23"/>
        <v>1</v>
      </c>
      <c r="O281" s="1" t="str">
        <f>IF(I281=0,"UNUSED",IF(A281="","MISSING ID",IF(K281=0,"UNEXPECTED ID",IF(N281&lt;&gt;1,"ID / ORDER DIFFERENCE",IF('Source build'!U281&lt;&gt;"INCLUDED","EXCLUDED SOURCE",IF(NOT(M281),"INVALID AMOUNT",IF('Source build'!Y281&lt;&gt;0,"CHANGED FIELDS","MATCH")))))))</f>
        <v>MATCH</v>
      </c>
      <c r="P281" s="1" t="str">
        <f t="shared" si="24"/>
        <v>2026-03</v>
      </c>
    </row>
    <row r="282" spans="1:16" ht="18.95" customHeight="1">
      <c r="A282" s="7" t="s">
        <v>875</v>
      </c>
      <c r="B282" s="7" t="s">
        <v>873</v>
      </c>
      <c r="C282" s="7" t="s">
        <v>380</v>
      </c>
      <c r="D282" s="7" t="s">
        <v>103</v>
      </c>
      <c r="E282" s="7" t="s">
        <v>48</v>
      </c>
      <c r="F282" s="7" t="s">
        <v>98</v>
      </c>
      <c r="G282" s="7" t="s">
        <v>876</v>
      </c>
      <c r="I282" s="1">
        <f t="shared" si="20"/>
        <v>1</v>
      </c>
      <c r="J282" s="1" t="str">
        <f>'Source build'!A282</f>
        <v>L00276</v>
      </c>
      <c r="K282" s="1">
        <f>282</f>
        <v>282</v>
      </c>
      <c r="L282" s="10">
        <f t="shared" si="21"/>
        <v>10674</v>
      </c>
      <c r="M282" s="1">
        <f t="shared" si="22"/>
        <v>1</v>
      </c>
      <c r="N282" s="1">
        <f t="shared" si="23"/>
        <v>1</v>
      </c>
      <c r="O282" s="1" t="str">
        <f>IF(I282=0,"UNUSED",IF(A282="","MISSING ID",IF(K282=0,"UNEXPECTED ID",IF(N282&lt;&gt;1,"ID / ORDER DIFFERENCE",IF('Source build'!U282&lt;&gt;"INCLUDED","EXCLUDED SOURCE",IF(NOT(M282),"INVALID AMOUNT",IF('Source build'!Y282&lt;&gt;0,"CHANGED FIELDS","MATCH")))))))</f>
        <v>MATCH</v>
      </c>
      <c r="P282" s="1" t="str">
        <f t="shared" si="24"/>
        <v>2026-03</v>
      </c>
    </row>
    <row r="283" spans="1:16" ht="18.95" customHeight="1">
      <c r="A283" s="7" t="s">
        <v>877</v>
      </c>
      <c r="B283" s="7" t="s">
        <v>878</v>
      </c>
      <c r="C283" s="7" t="s">
        <v>386</v>
      </c>
      <c r="D283" s="7" t="s">
        <v>93</v>
      </c>
      <c r="E283" s="7" t="s">
        <v>46</v>
      </c>
      <c r="F283" s="7" t="s">
        <v>94</v>
      </c>
      <c r="G283" s="7" t="s">
        <v>879</v>
      </c>
      <c r="I283" s="1">
        <f t="shared" si="20"/>
        <v>1</v>
      </c>
      <c r="J283" s="1" t="str">
        <f>'Source build'!A283</f>
        <v>L00277</v>
      </c>
      <c r="K283" s="1">
        <f>283</f>
        <v>283</v>
      </c>
      <c r="L283" s="10">
        <f t="shared" si="21"/>
        <v>-32133</v>
      </c>
      <c r="M283" s="1">
        <f t="shared" si="22"/>
        <v>1</v>
      </c>
      <c r="N283" s="1">
        <f t="shared" si="23"/>
        <v>1</v>
      </c>
      <c r="O283" s="1" t="str">
        <f>IF(I283=0,"UNUSED",IF(A283="","MISSING ID",IF(K283=0,"UNEXPECTED ID",IF(N283&lt;&gt;1,"ID / ORDER DIFFERENCE",IF('Source build'!U283&lt;&gt;"INCLUDED","EXCLUDED SOURCE",IF(NOT(M283),"INVALID AMOUNT",IF('Source build'!Y283&lt;&gt;0,"CHANGED FIELDS","MATCH")))))))</f>
        <v>MATCH</v>
      </c>
      <c r="P283" s="1" t="str">
        <f t="shared" si="24"/>
        <v>2026-03</v>
      </c>
    </row>
    <row r="284" spans="1:16" ht="18.95" customHeight="1">
      <c r="A284" s="7" t="s">
        <v>880</v>
      </c>
      <c r="B284" s="7" t="s">
        <v>878</v>
      </c>
      <c r="C284" s="7" t="s">
        <v>386</v>
      </c>
      <c r="D284" s="7" t="s">
        <v>97</v>
      </c>
      <c r="E284" s="7" t="s">
        <v>47</v>
      </c>
      <c r="F284" s="7" t="s">
        <v>98</v>
      </c>
      <c r="G284" s="7" t="s">
        <v>881</v>
      </c>
      <c r="I284" s="1">
        <f t="shared" si="20"/>
        <v>1</v>
      </c>
      <c r="J284" s="1" t="str">
        <f>'Source build'!A284</f>
        <v>L00278</v>
      </c>
      <c r="K284" s="1">
        <f>284</f>
        <v>284</v>
      </c>
      <c r="L284" s="10">
        <f t="shared" si="21"/>
        <v>53740</v>
      </c>
      <c r="M284" s="1">
        <f t="shared" si="22"/>
        <v>1</v>
      </c>
      <c r="N284" s="1">
        <f t="shared" si="23"/>
        <v>1</v>
      </c>
      <c r="O284" s="1" t="str">
        <f>IF(I284=0,"UNUSED",IF(A284="","MISSING ID",IF(K284=0,"UNEXPECTED ID",IF(N284&lt;&gt;1,"ID / ORDER DIFFERENCE",IF('Source build'!U284&lt;&gt;"INCLUDED","EXCLUDED SOURCE",IF(NOT(M284),"INVALID AMOUNT",IF('Source build'!Y284&lt;&gt;0,"CHANGED FIELDS","MATCH")))))))</f>
        <v>MATCH</v>
      </c>
      <c r="P284" s="1" t="str">
        <f t="shared" si="24"/>
        <v>2026-03</v>
      </c>
    </row>
    <row r="285" spans="1:16" ht="18.95" customHeight="1">
      <c r="A285" s="7" t="s">
        <v>882</v>
      </c>
      <c r="B285" s="7" t="s">
        <v>883</v>
      </c>
      <c r="C285" s="7" t="s">
        <v>392</v>
      </c>
      <c r="D285" s="7" t="s">
        <v>103</v>
      </c>
      <c r="E285" s="7" t="s">
        <v>48</v>
      </c>
      <c r="F285" s="7" t="s">
        <v>98</v>
      </c>
      <c r="G285" s="7" t="s">
        <v>884</v>
      </c>
      <c r="I285" s="1">
        <f t="shared" si="20"/>
        <v>1</v>
      </c>
      <c r="J285" s="1" t="str">
        <f>'Source build'!A285</f>
        <v>L00279</v>
      </c>
      <c r="K285" s="1">
        <f>285</f>
        <v>285</v>
      </c>
      <c r="L285" s="10">
        <f t="shared" si="21"/>
        <v>21570</v>
      </c>
      <c r="M285" s="1">
        <f t="shared" si="22"/>
        <v>1</v>
      </c>
      <c r="N285" s="1">
        <f t="shared" si="23"/>
        <v>1</v>
      </c>
      <c r="O285" s="1" t="str">
        <f>IF(I285=0,"UNUSED",IF(A285="","MISSING ID",IF(K285=0,"UNEXPECTED ID",IF(N285&lt;&gt;1,"ID / ORDER DIFFERENCE",IF('Source build'!U285&lt;&gt;"INCLUDED","EXCLUDED SOURCE",IF(NOT(M285),"INVALID AMOUNT",IF('Source build'!Y285&lt;&gt;0,"CHANGED FIELDS","MATCH")))))))</f>
        <v>MATCH</v>
      </c>
      <c r="P285" s="1" t="str">
        <f t="shared" si="24"/>
        <v>2026-03</v>
      </c>
    </row>
    <row r="286" spans="1:16" ht="18.95" customHeight="1">
      <c r="A286" s="7" t="s">
        <v>885</v>
      </c>
      <c r="B286" s="7" t="s">
        <v>883</v>
      </c>
      <c r="C286" s="7" t="s">
        <v>392</v>
      </c>
      <c r="D286" s="7" t="s">
        <v>93</v>
      </c>
      <c r="E286" s="7" t="s">
        <v>46</v>
      </c>
      <c r="F286" s="7" t="s">
        <v>98</v>
      </c>
      <c r="G286" s="7" t="s">
        <v>886</v>
      </c>
      <c r="I286" s="1">
        <f t="shared" si="20"/>
        <v>1</v>
      </c>
      <c r="J286" s="1" t="str">
        <f>'Source build'!A286</f>
        <v>L00280</v>
      </c>
      <c r="K286" s="1">
        <f>286</f>
        <v>286</v>
      </c>
      <c r="L286" s="10">
        <f t="shared" si="21"/>
        <v>43288</v>
      </c>
      <c r="M286" s="1">
        <f t="shared" si="22"/>
        <v>1</v>
      </c>
      <c r="N286" s="1">
        <f t="shared" si="23"/>
        <v>1</v>
      </c>
      <c r="O286" s="1" t="str">
        <f>IF(I286=0,"UNUSED",IF(A286="","MISSING ID",IF(K286=0,"UNEXPECTED ID",IF(N286&lt;&gt;1,"ID / ORDER DIFFERENCE",IF('Source build'!U286&lt;&gt;"INCLUDED","EXCLUDED SOURCE",IF(NOT(M286),"INVALID AMOUNT",IF('Source build'!Y286&lt;&gt;0,"CHANGED FIELDS","MATCH")))))))</f>
        <v>MATCH</v>
      </c>
      <c r="P286" s="1" t="str">
        <f t="shared" si="24"/>
        <v>2026-03</v>
      </c>
    </row>
    <row r="287" spans="1:16" ht="18.95" customHeight="1">
      <c r="A287" s="7" t="s">
        <v>887</v>
      </c>
      <c r="B287" s="7" t="s">
        <v>888</v>
      </c>
      <c r="C287" s="7" t="s">
        <v>398</v>
      </c>
      <c r="D287" s="7" t="s">
        <v>97</v>
      </c>
      <c r="E287" s="7" t="s">
        <v>47</v>
      </c>
      <c r="F287" s="7" t="s">
        <v>98</v>
      </c>
      <c r="G287" s="7" t="s">
        <v>889</v>
      </c>
      <c r="I287" s="1">
        <f t="shared" si="20"/>
        <v>1</v>
      </c>
      <c r="J287" s="1" t="str">
        <f>'Source build'!A287</f>
        <v>L00281</v>
      </c>
      <c r="K287" s="1">
        <f>287</f>
        <v>287</v>
      </c>
      <c r="L287" s="10">
        <f t="shared" si="21"/>
        <v>10859</v>
      </c>
      <c r="M287" s="1">
        <f t="shared" si="22"/>
        <v>1</v>
      </c>
      <c r="N287" s="1">
        <f t="shared" si="23"/>
        <v>1</v>
      </c>
      <c r="O287" s="1" t="str">
        <f>IF(I287=0,"UNUSED",IF(A287="","MISSING ID",IF(K287=0,"UNEXPECTED ID",IF(N287&lt;&gt;1,"ID / ORDER DIFFERENCE",IF('Source build'!U287&lt;&gt;"INCLUDED","EXCLUDED SOURCE",IF(NOT(M287),"INVALID AMOUNT",IF('Source build'!Y287&lt;&gt;0,"CHANGED FIELDS","MATCH")))))))</f>
        <v>MATCH</v>
      </c>
      <c r="P287" s="1" t="str">
        <f t="shared" si="24"/>
        <v>2026-03</v>
      </c>
    </row>
    <row r="288" spans="1:16" ht="18.95" customHeight="1">
      <c r="A288" s="7" t="s">
        <v>890</v>
      </c>
      <c r="B288" s="7" t="s">
        <v>888</v>
      </c>
      <c r="C288" s="7" t="s">
        <v>398</v>
      </c>
      <c r="D288" s="7" t="s">
        <v>103</v>
      </c>
      <c r="E288" s="7" t="s">
        <v>48</v>
      </c>
      <c r="F288" s="7" t="s">
        <v>98</v>
      </c>
      <c r="G288" s="7" t="s">
        <v>891</v>
      </c>
      <c r="I288" s="1">
        <f t="shared" si="20"/>
        <v>1</v>
      </c>
      <c r="J288" s="1" t="str">
        <f>'Source build'!A288</f>
        <v>L00282</v>
      </c>
      <c r="K288" s="1">
        <f>288</f>
        <v>288</v>
      </c>
      <c r="L288" s="10">
        <f t="shared" si="21"/>
        <v>32688</v>
      </c>
      <c r="M288" s="1">
        <f t="shared" si="22"/>
        <v>1</v>
      </c>
      <c r="N288" s="1">
        <f t="shared" si="23"/>
        <v>1</v>
      </c>
      <c r="O288" s="1" t="str">
        <f>IF(I288=0,"UNUSED",IF(A288="","MISSING ID",IF(K288=0,"UNEXPECTED ID",IF(N288&lt;&gt;1,"ID / ORDER DIFFERENCE",IF('Source build'!U288&lt;&gt;"INCLUDED","EXCLUDED SOURCE",IF(NOT(M288),"INVALID AMOUNT",IF('Source build'!Y288&lt;&gt;0,"CHANGED FIELDS","MATCH")))))))</f>
        <v>MATCH</v>
      </c>
      <c r="P288" s="1" t="str">
        <f t="shared" si="24"/>
        <v>2026-03</v>
      </c>
    </row>
    <row r="289" spans="1:16" ht="18.95" customHeight="1">
      <c r="A289" s="7" t="s">
        <v>892</v>
      </c>
      <c r="B289" s="7" t="s">
        <v>893</v>
      </c>
      <c r="C289" s="7" t="s">
        <v>404</v>
      </c>
      <c r="D289" s="7" t="s">
        <v>93</v>
      </c>
      <c r="E289" s="7" t="s">
        <v>46</v>
      </c>
      <c r="F289" s="7" t="s">
        <v>98</v>
      </c>
      <c r="G289" s="7" t="s">
        <v>894</v>
      </c>
      <c r="I289" s="1">
        <f t="shared" si="20"/>
        <v>1</v>
      </c>
      <c r="J289" s="1" t="str">
        <f>'Source build'!A289</f>
        <v>L00283</v>
      </c>
      <c r="K289" s="1">
        <f>289</f>
        <v>289</v>
      </c>
      <c r="L289" s="10">
        <f t="shared" si="21"/>
        <v>54665</v>
      </c>
      <c r="M289" s="1">
        <f t="shared" si="22"/>
        <v>1</v>
      </c>
      <c r="N289" s="1">
        <f t="shared" si="23"/>
        <v>1</v>
      </c>
      <c r="O289" s="1" t="str">
        <f>IF(I289=0,"UNUSED",IF(A289="","MISSING ID",IF(K289=0,"UNEXPECTED ID",IF(N289&lt;&gt;1,"ID / ORDER DIFFERENCE",IF('Source build'!U289&lt;&gt;"INCLUDED","EXCLUDED SOURCE",IF(NOT(M289),"INVALID AMOUNT",IF('Source build'!Y289&lt;&gt;0,"CHANGED FIELDS","MATCH")))))))</f>
        <v>MATCH</v>
      </c>
      <c r="P289" s="1" t="str">
        <f t="shared" si="24"/>
        <v>2026-03</v>
      </c>
    </row>
    <row r="290" spans="1:16" ht="18.95" customHeight="1">
      <c r="A290" s="7" t="s">
        <v>895</v>
      </c>
      <c r="B290" s="7" t="s">
        <v>893</v>
      </c>
      <c r="C290" s="7" t="s">
        <v>404</v>
      </c>
      <c r="D290" s="7" t="s">
        <v>97</v>
      </c>
      <c r="E290" s="7" t="s">
        <v>47</v>
      </c>
      <c r="F290" s="7" t="s">
        <v>98</v>
      </c>
      <c r="G290" s="7" t="s">
        <v>896</v>
      </c>
      <c r="I290" s="1">
        <f t="shared" si="20"/>
        <v>1</v>
      </c>
      <c r="J290" s="1" t="str">
        <f>'Source build'!A290</f>
        <v>L00284</v>
      </c>
      <c r="K290" s="1">
        <f>290</f>
        <v>290</v>
      </c>
      <c r="L290" s="10">
        <f t="shared" si="21"/>
        <v>21940</v>
      </c>
      <c r="M290" s="1">
        <f t="shared" si="22"/>
        <v>1</v>
      </c>
      <c r="N290" s="1">
        <f t="shared" si="23"/>
        <v>1</v>
      </c>
      <c r="O290" s="1" t="str">
        <f>IF(I290=0,"UNUSED",IF(A290="","MISSING ID",IF(K290=0,"UNEXPECTED ID",IF(N290&lt;&gt;1,"ID / ORDER DIFFERENCE",IF('Source build'!U290&lt;&gt;"INCLUDED","EXCLUDED SOURCE",IF(NOT(M290),"INVALID AMOUNT",IF('Source build'!Y290&lt;&gt;0,"CHANGED FIELDS","MATCH")))))))</f>
        <v>MATCH</v>
      </c>
      <c r="P290" s="1" t="str">
        <f t="shared" si="24"/>
        <v>2026-03</v>
      </c>
    </row>
    <row r="291" spans="1:16" ht="18.95" customHeight="1">
      <c r="A291" s="7" t="s">
        <v>897</v>
      </c>
      <c r="B291" s="7" t="s">
        <v>898</v>
      </c>
      <c r="C291" s="7" t="s">
        <v>410</v>
      </c>
      <c r="D291" s="7" t="s">
        <v>103</v>
      </c>
      <c r="E291" s="7" t="s">
        <v>48</v>
      </c>
      <c r="F291" s="7" t="s">
        <v>98</v>
      </c>
      <c r="G291" s="7" t="s">
        <v>899</v>
      </c>
      <c r="I291" s="1">
        <f t="shared" si="20"/>
        <v>1</v>
      </c>
      <c r="J291" s="1" t="str">
        <f>'Source build'!A291</f>
        <v>L00285</v>
      </c>
      <c r="K291" s="1">
        <f>291</f>
        <v>291</v>
      </c>
      <c r="L291" s="10">
        <f t="shared" si="21"/>
        <v>44028</v>
      </c>
      <c r="M291" s="1">
        <f t="shared" si="22"/>
        <v>1</v>
      </c>
      <c r="N291" s="1">
        <f t="shared" si="23"/>
        <v>1</v>
      </c>
      <c r="O291" s="1" t="str">
        <f>IF(I291=0,"UNUSED",IF(A291="","MISSING ID",IF(K291=0,"UNEXPECTED ID",IF(N291&lt;&gt;1,"ID / ORDER DIFFERENCE",IF('Source build'!U291&lt;&gt;"INCLUDED","EXCLUDED SOURCE",IF(NOT(M291),"INVALID AMOUNT",IF('Source build'!Y291&lt;&gt;0,"CHANGED FIELDS","MATCH")))))))</f>
        <v>MATCH</v>
      </c>
      <c r="P291" s="1" t="str">
        <f t="shared" si="24"/>
        <v>2026-01</v>
      </c>
    </row>
    <row r="292" spans="1:16" ht="18.95" customHeight="1">
      <c r="A292" s="7" t="s">
        <v>900</v>
      </c>
      <c r="B292" s="7" t="s">
        <v>898</v>
      </c>
      <c r="C292" s="7" t="s">
        <v>410</v>
      </c>
      <c r="D292" s="7" t="s">
        <v>93</v>
      </c>
      <c r="E292" s="7" t="s">
        <v>46</v>
      </c>
      <c r="F292" s="7" t="s">
        <v>98</v>
      </c>
      <c r="G292" s="7" t="s">
        <v>901</v>
      </c>
      <c r="I292" s="1">
        <f t="shared" si="20"/>
        <v>1</v>
      </c>
      <c r="J292" s="1" t="str">
        <f>'Source build'!A292</f>
        <v>L00286</v>
      </c>
      <c r="K292" s="1">
        <f>292</f>
        <v>292</v>
      </c>
      <c r="L292" s="10">
        <f t="shared" si="21"/>
        <v>11044</v>
      </c>
      <c r="M292" s="1">
        <f t="shared" si="22"/>
        <v>1</v>
      </c>
      <c r="N292" s="1">
        <f t="shared" si="23"/>
        <v>1</v>
      </c>
      <c r="O292" s="1" t="str">
        <f>IF(I292=0,"UNUSED",IF(A292="","MISSING ID",IF(K292=0,"UNEXPECTED ID",IF(N292&lt;&gt;1,"ID / ORDER DIFFERENCE",IF('Source build'!U292&lt;&gt;"INCLUDED","EXCLUDED SOURCE",IF(NOT(M292),"INVALID AMOUNT",IF('Source build'!Y292&lt;&gt;0,"CHANGED FIELDS","MATCH")))))))</f>
        <v>MATCH</v>
      </c>
      <c r="P292" s="1" t="str">
        <f t="shared" si="24"/>
        <v>2026-01</v>
      </c>
    </row>
    <row r="293" spans="1:16" ht="18.95" customHeight="1">
      <c r="A293" s="7" t="s">
        <v>902</v>
      </c>
      <c r="B293" s="7" t="s">
        <v>903</v>
      </c>
      <c r="C293" s="7" t="s">
        <v>416</v>
      </c>
      <c r="D293" s="7" t="s">
        <v>97</v>
      </c>
      <c r="E293" s="7" t="s">
        <v>47</v>
      </c>
      <c r="F293" s="7" t="s">
        <v>98</v>
      </c>
      <c r="G293" s="7" t="s">
        <v>904</v>
      </c>
      <c r="I293" s="1">
        <f t="shared" si="20"/>
        <v>1</v>
      </c>
      <c r="J293" s="1" t="str">
        <f>'Source build'!A293</f>
        <v>L00287</v>
      </c>
      <c r="K293" s="1">
        <f>293</f>
        <v>293</v>
      </c>
      <c r="L293" s="10">
        <f t="shared" si="21"/>
        <v>33243</v>
      </c>
      <c r="M293" s="1">
        <f t="shared" si="22"/>
        <v>1</v>
      </c>
      <c r="N293" s="1">
        <f t="shared" si="23"/>
        <v>1</v>
      </c>
      <c r="O293" s="1" t="str">
        <f>IF(I293=0,"UNUSED",IF(A293="","MISSING ID",IF(K293=0,"UNEXPECTED ID",IF(N293&lt;&gt;1,"ID / ORDER DIFFERENCE",IF('Source build'!U293&lt;&gt;"INCLUDED","EXCLUDED SOURCE",IF(NOT(M293),"INVALID AMOUNT",IF('Source build'!Y293&lt;&gt;0,"CHANGED FIELDS","MATCH")))))))</f>
        <v>MATCH</v>
      </c>
      <c r="P293" s="1" t="str">
        <f t="shared" si="24"/>
        <v>2026-01</v>
      </c>
    </row>
    <row r="294" spans="1:16" ht="18.95" customHeight="1">
      <c r="A294" s="7" t="s">
        <v>905</v>
      </c>
      <c r="B294" s="7" t="s">
        <v>903</v>
      </c>
      <c r="C294" s="7" t="s">
        <v>416</v>
      </c>
      <c r="D294" s="7" t="s">
        <v>103</v>
      </c>
      <c r="E294" s="7" t="s">
        <v>48</v>
      </c>
      <c r="F294" s="7" t="s">
        <v>98</v>
      </c>
      <c r="G294" s="7" t="s">
        <v>906</v>
      </c>
      <c r="I294" s="1">
        <f t="shared" si="20"/>
        <v>1</v>
      </c>
      <c r="J294" s="1" t="str">
        <f>'Source build'!A294</f>
        <v>L00288</v>
      </c>
      <c r="K294" s="1">
        <f>294</f>
        <v>294</v>
      </c>
      <c r="L294" s="10">
        <f t="shared" si="21"/>
        <v>55590</v>
      </c>
      <c r="M294" s="1">
        <f t="shared" si="22"/>
        <v>1</v>
      </c>
      <c r="N294" s="1">
        <f t="shared" si="23"/>
        <v>1</v>
      </c>
      <c r="O294" s="1" t="str">
        <f>IF(I294=0,"UNUSED",IF(A294="","MISSING ID",IF(K294=0,"UNEXPECTED ID",IF(N294&lt;&gt;1,"ID / ORDER DIFFERENCE",IF('Source build'!U294&lt;&gt;"INCLUDED","EXCLUDED SOURCE",IF(NOT(M294),"INVALID AMOUNT",IF('Source build'!Y294&lt;&gt;0,"CHANGED FIELDS","MATCH")))))))</f>
        <v>MATCH</v>
      </c>
      <c r="P294" s="1" t="str">
        <f t="shared" si="24"/>
        <v>2026-01</v>
      </c>
    </row>
    <row r="295" spans="1:16" ht="18.95" customHeight="1">
      <c r="A295" s="7" t="s">
        <v>907</v>
      </c>
      <c r="B295" s="7" t="s">
        <v>908</v>
      </c>
      <c r="C295" s="7" t="s">
        <v>422</v>
      </c>
      <c r="D295" s="7" t="s">
        <v>93</v>
      </c>
      <c r="E295" s="7" t="s">
        <v>46</v>
      </c>
      <c r="F295" s="7" t="s">
        <v>98</v>
      </c>
      <c r="G295" s="7" t="s">
        <v>909</v>
      </c>
      <c r="I295" s="1">
        <f t="shared" si="20"/>
        <v>1</v>
      </c>
      <c r="J295" s="1" t="str">
        <f>'Source build'!A295</f>
        <v>L00289</v>
      </c>
      <c r="K295" s="1">
        <f>295</f>
        <v>295</v>
      </c>
      <c r="L295" s="10">
        <f t="shared" si="21"/>
        <v>22310</v>
      </c>
      <c r="M295" s="1">
        <f t="shared" si="22"/>
        <v>1</v>
      </c>
      <c r="N295" s="1">
        <f t="shared" si="23"/>
        <v>1</v>
      </c>
      <c r="O295" s="1" t="str">
        <f>IF(I295=0,"UNUSED",IF(A295="","MISSING ID",IF(K295=0,"UNEXPECTED ID",IF(N295&lt;&gt;1,"ID / ORDER DIFFERENCE",IF('Source build'!U295&lt;&gt;"INCLUDED","EXCLUDED SOURCE",IF(NOT(M295),"INVALID AMOUNT",IF('Source build'!Y295&lt;&gt;0,"CHANGED FIELDS","MATCH")))))))</f>
        <v>MATCH</v>
      </c>
      <c r="P295" s="1" t="str">
        <f t="shared" si="24"/>
        <v>2026-01</v>
      </c>
    </row>
    <row r="296" spans="1:16" ht="18.95" customHeight="1">
      <c r="A296" s="7" t="s">
        <v>910</v>
      </c>
      <c r="B296" s="7" t="s">
        <v>908</v>
      </c>
      <c r="C296" s="7" t="s">
        <v>422</v>
      </c>
      <c r="D296" s="7" t="s">
        <v>97</v>
      </c>
      <c r="E296" s="7" t="s">
        <v>47</v>
      </c>
      <c r="F296" s="7" t="s">
        <v>98</v>
      </c>
      <c r="G296" s="7" t="s">
        <v>911</v>
      </c>
      <c r="I296" s="1">
        <f t="shared" si="20"/>
        <v>1</v>
      </c>
      <c r="J296" s="1" t="str">
        <f>'Source build'!A296</f>
        <v>L00290</v>
      </c>
      <c r="K296" s="1">
        <f>296</f>
        <v>296</v>
      </c>
      <c r="L296" s="10">
        <f t="shared" si="21"/>
        <v>44768</v>
      </c>
      <c r="M296" s="1">
        <f t="shared" si="22"/>
        <v>1</v>
      </c>
      <c r="N296" s="1">
        <f t="shared" si="23"/>
        <v>1</v>
      </c>
      <c r="O296" s="1" t="str">
        <f>IF(I296=0,"UNUSED",IF(A296="","MISSING ID",IF(K296=0,"UNEXPECTED ID",IF(N296&lt;&gt;1,"ID / ORDER DIFFERENCE",IF('Source build'!U296&lt;&gt;"INCLUDED","EXCLUDED SOURCE",IF(NOT(M296),"INVALID AMOUNT",IF('Source build'!Y296&lt;&gt;0,"CHANGED FIELDS","MATCH")))))))</f>
        <v>MATCH</v>
      </c>
      <c r="P296" s="1" t="str">
        <f t="shared" si="24"/>
        <v>2026-01</v>
      </c>
    </row>
    <row r="297" spans="1:16" ht="18.95" customHeight="1">
      <c r="A297" s="7" t="s">
        <v>912</v>
      </c>
      <c r="B297" s="7" t="s">
        <v>913</v>
      </c>
      <c r="C297" s="7" t="s">
        <v>428</v>
      </c>
      <c r="D297" s="7" t="s">
        <v>103</v>
      </c>
      <c r="E297" s="7" t="s">
        <v>48</v>
      </c>
      <c r="F297" s="7" t="s">
        <v>98</v>
      </c>
      <c r="G297" s="7" t="s">
        <v>914</v>
      </c>
      <c r="I297" s="1">
        <f t="shared" si="20"/>
        <v>1</v>
      </c>
      <c r="J297" s="1" t="str">
        <f>'Source build'!A297</f>
        <v>L00291</v>
      </c>
      <c r="K297" s="1">
        <f>297</f>
        <v>297</v>
      </c>
      <c r="L297" s="10">
        <f t="shared" si="21"/>
        <v>11229</v>
      </c>
      <c r="M297" s="1">
        <f t="shared" si="22"/>
        <v>1</v>
      </c>
      <c r="N297" s="1">
        <f t="shared" si="23"/>
        <v>1</v>
      </c>
      <c r="O297" s="1" t="str">
        <f>IF(I297=0,"UNUSED",IF(A297="","MISSING ID",IF(K297=0,"UNEXPECTED ID",IF(N297&lt;&gt;1,"ID / ORDER DIFFERENCE",IF('Source build'!U297&lt;&gt;"INCLUDED","EXCLUDED SOURCE",IF(NOT(M297),"INVALID AMOUNT",IF('Source build'!Y297&lt;&gt;0,"CHANGED FIELDS","MATCH")))))))</f>
        <v>MATCH</v>
      </c>
      <c r="P297" s="1" t="str">
        <f t="shared" si="24"/>
        <v>2026-01</v>
      </c>
    </row>
    <row r="298" spans="1:16" ht="18.95" customHeight="1">
      <c r="A298" s="7" t="s">
        <v>915</v>
      </c>
      <c r="B298" s="7" t="s">
        <v>913</v>
      </c>
      <c r="C298" s="7" t="s">
        <v>428</v>
      </c>
      <c r="D298" s="7" t="s">
        <v>93</v>
      </c>
      <c r="E298" s="7" t="s">
        <v>46</v>
      </c>
      <c r="F298" s="7" t="s">
        <v>98</v>
      </c>
      <c r="G298" s="7" t="s">
        <v>916</v>
      </c>
      <c r="I298" s="1">
        <f t="shared" si="20"/>
        <v>1</v>
      </c>
      <c r="J298" s="1" t="str">
        <f>'Source build'!A298</f>
        <v>L00292</v>
      </c>
      <c r="K298" s="1">
        <f>298</f>
        <v>298</v>
      </c>
      <c r="L298" s="10">
        <f t="shared" si="21"/>
        <v>33798</v>
      </c>
      <c r="M298" s="1">
        <f t="shared" si="22"/>
        <v>1</v>
      </c>
      <c r="N298" s="1">
        <f t="shared" si="23"/>
        <v>1</v>
      </c>
      <c r="O298" s="1" t="str">
        <f>IF(I298=0,"UNUSED",IF(A298="","MISSING ID",IF(K298=0,"UNEXPECTED ID",IF(N298&lt;&gt;1,"ID / ORDER DIFFERENCE",IF('Source build'!U298&lt;&gt;"INCLUDED","EXCLUDED SOURCE",IF(NOT(M298),"INVALID AMOUNT",IF('Source build'!Y298&lt;&gt;0,"CHANGED FIELDS","MATCH")))))))</f>
        <v>MATCH</v>
      </c>
      <c r="P298" s="1" t="str">
        <f t="shared" si="24"/>
        <v>2026-01</v>
      </c>
    </row>
    <row r="299" spans="1:16" ht="18.95" customHeight="1">
      <c r="A299" s="7" t="s">
        <v>917</v>
      </c>
      <c r="B299" s="7" t="s">
        <v>918</v>
      </c>
      <c r="C299" s="7" t="s">
        <v>434</v>
      </c>
      <c r="D299" s="7" t="s">
        <v>97</v>
      </c>
      <c r="E299" s="7" t="s">
        <v>47</v>
      </c>
      <c r="F299" s="7" t="s">
        <v>98</v>
      </c>
      <c r="G299" s="7" t="s">
        <v>919</v>
      </c>
      <c r="I299" s="1">
        <f t="shared" si="20"/>
        <v>1</v>
      </c>
      <c r="J299" s="1" t="str">
        <f>'Source build'!A299</f>
        <v>L00293</v>
      </c>
      <c r="K299" s="1">
        <f>299</f>
        <v>299</v>
      </c>
      <c r="L299" s="10">
        <f t="shared" si="21"/>
        <v>56515</v>
      </c>
      <c r="M299" s="1">
        <f t="shared" si="22"/>
        <v>1</v>
      </c>
      <c r="N299" s="1">
        <f t="shared" si="23"/>
        <v>1</v>
      </c>
      <c r="O299" s="1" t="str">
        <f>IF(I299=0,"UNUSED",IF(A299="","MISSING ID",IF(K299=0,"UNEXPECTED ID",IF(N299&lt;&gt;1,"ID / ORDER DIFFERENCE",IF('Source build'!U299&lt;&gt;"INCLUDED","EXCLUDED SOURCE",IF(NOT(M299),"INVALID AMOUNT",IF('Source build'!Y299&lt;&gt;0,"CHANGED FIELDS","MATCH")))))))</f>
        <v>MATCH</v>
      </c>
      <c r="P299" s="1" t="str">
        <f t="shared" si="24"/>
        <v>2026-02</v>
      </c>
    </row>
    <row r="300" spans="1:16" ht="18.95" customHeight="1">
      <c r="A300" s="7" t="s">
        <v>920</v>
      </c>
      <c r="B300" s="7" t="s">
        <v>918</v>
      </c>
      <c r="C300" s="7" t="s">
        <v>434</v>
      </c>
      <c r="D300" s="7" t="s">
        <v>103</v>
      </c>
      <c r="E300" s="7" t="s">
        <v>48</v>
      </c>
      <c r="F300" s="7" t="s">
        <v>98</v>
      </c>
      <c r="G300" s="7" t="s">
        <v>921</v>
      </c>
      <c r="I300" s="1">
        <f t="shared" si="20"/>
        <v>1</v>
      </c>
      <c r="J300" s="1" t="str">
        <f>'Source build'!A300</f>
        <v>L00294</v>
      </c>
      <c r="K300" s="1">
        <f>300</f>
        <v>300</v>
      </c>
      <c r="L300" s="10">
        <f t="shared" si="21"/>
        <v>22680</v>
      </c>
      <c r="M300" s="1">
        <f t="shared" si="22"/>
        <v>1</v>
      </c>
      <c r="N300" s="1">
        <f t="shared" si="23"/>
        <v>1</v>
      </c>
      <c r="O300" s="1" t="str">
        <f>IF(I300=0,"UNUSED",IF(A300="","MISSING ID",IF(K300=0,"UNEXPECTED ID",IF(N300&lt;&gt;1,"ID / ORDER DIFFERENCE",IF('Source build'!U300&lt;&gt;"INCLUDED","EXCLUDED SOURCE",IF(NOT(M300),"INVALID AMOUNT",IF('Source build'!Y300&lt;&gt;0,"CHANGED FIELDS","MATCH")))))))</f>
        <v>MATCH</v>
      </c>
      <c r="P300" s="1" t="str">
        <f t="shared" si="24"/>
        <v>2026-02</v>
      </c>
    </row>
    <row r="301" spans="1:16" ht="18.95" customHeight="1">
      <c r="A301" s="7" t="s">
        <v>922</v>
      </c>
      <c r="B301" s="7" t="s">
        <v>923</v>
      </c>
      <c r="C301" s="7" t="s">
        <v>440</v>
      </c>
      <c r="D301" s="7" t="s">
        <v>93</v>
      </c>
      <c r="E301" s="7" t="s">
        <v>46</v>
      </c>
      <c r="F301" s="7" t="s">
        <v>98</v>
      </c>
      <c r="G301" s="7" t="s">
        <v>924</v>
      </c>
      <c r="I301" s="1">
        <f t="shared" si="20"/>
        <v>1</v>
      </c>
      <c r="J301" s="1" t="str">
        <f>'Source build'!A301</f>
        <v>L00295</v>
      </c>
      <c r="K301" s="1">
        <f>301</f>
        <v>301</v>
      </c>
      <c r="L301" s="10">
        <f t="shared" si="21"/>
        <v>45508</v>
      </c>
      <c r="M301" s="1">
        <f t="shared" si="22"/>
        <v>1</v>
      </c>
      <c r="N301" s="1">
        <f t="shared" si="23"/>
        <v>1</v>
      </c>
      <c r="O301" s="1" t="str">
        <f>IF(I301=0,"UNUSED",IF(A301="","MISSING ID",IF(K301=0,"UNEXPECTED ID",IF(N301&lt;&gt;1,"ID / ORDER DIFFERENCE",IF('Source build'!U301&lt;&gt;"INCLUDED","EXCLUDED SOURCE",IF(NOT(M301),"INVALID AMOUNT",IF('Source build'!Y301&lt;&gt;0,"CHANGED FIELDS","MATCH")))))))</f>
        <v>MATCH</v>
      </c>
      <c r="P301" s="1" t="str">
        <f t="shared" si="24"/>
        <v>2026-02</v>
      </c>
    </row>
    <row r="302" spans="1:16" ht="18.95" customHeight="1">
      <c r="A302" s="7" t="s">
        <v>925</v>
      </c>
      <c r="B302" s="7" t="s">
        <v>923</v>
      </c>
      <c r="C302" s="7" t="s">
        <v>440</v>
      </c>
      <c r="D302" s="7" t="s">
        <v>97</v>
      </c>
      <c r="E302" s="7" t="s">
        <v>47</v>
      </c>
      <c r="F302" s="7" t="s">
        <v>98</v>
      </c>
      <c r="G302" s="7" t="s">
        <v>926</v>
      </c>
      <c r="I302" s="1">
        <f t="shared" si="20"/>
        <v>1</v>
      </c>
      <c r="J302" s="1" t="str">
        <f>'Source build'!A302</f>
        <v>L00296</v>
      </c>
      <c r="K302" s="1">
        <f>302</f>
        <v>302</v>
      </c>
      <c r="L302" s="10">
        <f t="shared" si="21"/>
        <v>11414</v>
      </c>
      <c r="M302" s="1">
        <f t="shared" si="22"/>
        <v>1</v>
      </c>
      <c r="N302" s="1">
        <f t="shared" si="23"/>
        <v>1</v>
      </c>
      <c r="O302" s="1" t="str">
        <f>IF(I302=0,"UNUSED",IF(A302="","MISSING ID",IF(K302=0,"UNEXPECTED ID",IF(N302&lt;&gt;1,"ID / ORDER DIFFERENCE",IF('Source build'!U302&lt;&gt;"INCLUDED","EXCLUDED SOURCE",IF(NOT(M302),"INVALID AMOUNT",IF('Source build'!Y302&lt;&gt;0,"CHANGED FIELDS","MATCH")))))))</f>
        <v>MATCH</v>
      </c>
      <c r="P302" s="1" t="str">
        <f t="shared" si="24"/>
        <v>2026-02</v>
      </c>
    </row>
    <row r="303" spans="1:16" ht="18.95" customHeight="1">
      <c r="A303" s="7" t="s">
        <v>927</v>
      </c>
      <c r="B303" s="7" t="s">
        <v>928</v>
      </c>
      <c r="C303" s="7" t="s">
        <v>446</v>
      </c>
      <c r="D303" s="7" t="s">
        <v>103</v>
      </c>
      <c r="E303" s="7" t="s">
        <v>48</v>
      </c>
      <c r="F303" s="7" t="s">
        <v>98</v>
      </c>
      <c r="G303" s="7" t="s">
        <v>929</v>
      </c>
      <c r="I303" s="1">
        <f t="shared" si="20"/>
        <v>1</v>
      </c>
      <c r="J303" s="1" t="str">
        <f>'Source build'!A303</f>
        <v>L00297</v>
      </c>
      <c r="K303" s="1">
        <f>303</f>
        <v>303</v>
      </c>
      <c r="L303" s="10">
        <f t="shared" si="21"/>
        <v>34353</v>
      </c>
      <c r="M303" s="1">
        <f t="shared" si="22"/>
        <v>1</v>
      </c>
      <c r="N303" s="1">
        <f t="shared" si="23"/>
        <v>1</v>
      </c>
      <c r="O303" s="1" t="str">
        <f>IF(I303=0,"UNUSED",IF(A303="","MISSING ID",IF(K303=0,"UNEXPECTED ID",IF(N303&lt;&gt;1,"ID / ORDER DIFFERENCE",IF('Source build'!U303&lt;&gt;"INCLUDED","EXCLUDED SOURCE",IF(NOT(M303),"INVALID AMOUNT",IF('Source build'!Y303&lt;&gt;0,"CHANGED FIELDS","MATCH")))))))</f>
        <v>MATCH</v>
      </c>
      <c r="P303" s="1" t="str">
        <f t="shared" si="24"/>
        <v>2026-02</v>
      </c>
    </row>
    <row r="304" spans="1:16" ht="18.95" customHeight="1">
      <c r="A304" s="7" t="s">
        <v>930</v>
      </c>
      <c r="B304" s="7" t="s">
        <v>928</v>
      </c>
      <c r="C304" s="7" t="s">
        <v>446</v>
      </c>
      <c r="D304" s="7" t="s">
        <v>93</v>
      </c>
      <c r="E304" s="7" t="s">
        <v>46</v>
      </c>
      <c r="F304" s="7" t="s">
        <v>98</v>
      </c>
      <c r="G304" s="7" t="s">
        <v>931</v>
      </c>
      <c r="I304" s="1">
        <f t="shared" si="20"/>
        <v>1</v>
      </c>
      <c r="J304" s="1" t="str">
        <f>'Source build'!A304</f>
        <v>L00298</v>
      </c>
      <c r="K304" s="1">
        <f>304</f>
        <v>304</v>
      </c>
      <c r="L304" s="10">
        <f t="shared" si="21"/>
        <v>57440</v>
      </c>
      <c r="M304" s="1">
        <f t="shared" si="22"/>
        <v>1</v>
      </c>
      <c r="N304" s="1">
        <f t="shared" si="23"/>
        <v>1</v>
      </c>
      <c r="O304" s="1" t="str">
        <f>IF(I304=0,"UNUSED",IF(A304="","MISSING ID",IF(K304=0,"UNEXPECTED ID",IF(N304&lt;&gt;1,"ID / ORDER DIFFERENCE",IF('Source build'!U304&lt;&gt;"INCLUDED","EXCLUDED SOURCE",IF(NOT(M304),"INVALID AMOUNT",IF('Source build'!Y304&lt;&gt;0,"CHANGED FIELDS","MATCH")))))))</f>
        <v>MATCH</v>
      </c>
      <c r="P304" s="1" t="str">
        <f t="shared" si="24"/>
        <v>2026-02</v>
      </c>
    </row>
    <row r="305" spans="1:16" ht="18.95" customHeight="1">
      <c r="A305" s="7" t="s">
        <v>932</v>
      </c>
      <c r="B305" s="7" t="s">
        <v>933</v>
      </c>
      <c r="C305" s="7" t="s">
        <v>452</v>
      </c>
      <c r="D305" s="7" t="s">
        <v>97</v>
      </c>
      <c r="E305" s="7" t="s">
        <v>47</v>
      </c>
      <c r="F305" s="7" t="s">
        <v>98</v>
      </c>
      <c r="G305" s="7" t="s">
        <v>934</v>
      </c>
      <c r="I305" s="1">
        <f t="shared" si="20"/>
        <v>1</v>
      </c>
      <c r="J305" s="1" t="str">
        <f>'Source build'!A305</f>
        <v>L00299</v>
      </c>
      <c r="K305" s="1">
        <f>305</f>
        <v>305</v>
      </c>
      <c r="L305" s="10">
        <f t="shared" si="21"/>
        <v>23050</v>
      </c>
      <c r="M305" s="1">
        <f t="shared" si="22"/>
        <v>1</v>
      </c>
      <c r="N305" s="1">
        <f t="shared" si="23"/>
        <v>1</v>
      </c>
      <c r="O305" s="1" t="str">
        <f>IF(I305=0,"UNUSED",IF(A305="","MISSING ID",IF(K305=0,"UNEXPECTED ID",IF(N305&lt;&gt;1,"ID / ORDER DIFFERENCE",IF('Source build'!U305&lt;&gt;"INCLUDED","EXCLUDED SOURCE",IF(NOT(M305),"INVALID AMOUNT",IF('Source build'!Y305&lt;&gt;0,"CHANGED FIELDS","MATCH")))))))</f>
        <v>MATCH</v>
      </c>
      <c r="P305" s="1" t="str">
        <f t="shared" si="24"/>
        <v>2026-02</v>
      </c>
    </row>
    <row r="306" spans="1:16" ht="18.95" customHeight="1">
      <c r="A306" s="7" t="s">
        <v>935</v>
      </c>
      <c r="B306" s="7" t="s">
        <v>933</v>
      </c>
      <c r="C306" s="7" t="s">
        <v>452</v>
      </c>
      <c r="D306" s="7" t="s">
        <v>103</v>
      </c>
      <c r="E306" s="7" t="s">
        <v>48</v>
      </c>
      <c r="F306" s="7" t="s">
        <v>94</v>
      </c>
      <c r="G306" s="7" t="s">
        <v>936</v>
      </c>
      <c r="I306" s="1">
        <f t="shared" si="20"/>
        <v>1</v>
      </c>
      <c r="J306" s="1" t="str">
        <f>'Source build'!A306</f>
        <v>L00300</v>
      </c>
      <c r="K306" s="1">
        <f>306</f>
        <v>306</v>
      </c>
      <c r="L306" s="10">
        <f t="shared" si="21"/>
        <v>-46248</v>
      </c>
      <c r="M306" s="1">
        <f t="shared" si="22"/>
        <v>1</v>
      </c>
      <c r="N306" s="1">
        <f t="shared" si="23"/>
        <v>1</v>
      </c>
      <c r="O306" s="1" t="str">
        <f>IF(I306=0,"UNUSED",IF(A306="","MISSING ID",IF(K306=0,"UNEXPECTED ID",IF(N306&lt;&gt;1,"ID / ORDER DIFFERENCE",IF('Source build'!U306&lt;&gt;"INCLUDED","EXCLUDED SOURCE",IF(NOT(M306),"INVALID AMOUNT",IF('Source build'!Y306&lt;&gt;0,"CHANGED FIELDS","MATCH")))))))</f>
        <v>MATCH</v>
      </c>
      <c r="P306" s="1" t="str">
        <f t="shared" si="24"/>
        <v>2026-02</v>
      </c>
    </row>
    <row r="307" spans="1:16" ht="18.95" customHeight="1">
      <c r="A307" s="7" t="s">
        <v>937</v>
      </c>
      <c r="B307" s="7" t="s">
        <v>938</v>
      </c>
      <c r="C307" s="7" t="s">
        <v>458</v>
      </c>
      <c r="D307" s="7" t="s">
        <v>93</v>
      </c>
      <c r="E307" s="7" t="s">
        <v>46</v>
      </c>
      <c r="F307" s="7" t="s">
        <v>98</v>
      </c>
      <c r="G307" s="7" t="s">
        <v>939</v>
      </c>
      <c r="I307" s="1">
        <f t="shared" si="20"/>
        <v>1</v>
      </c>
      <c r="J307" s="1" t="str">
        <f>'Source build'!A307</f>
        <v>L00301</v>
      </c>
      <c r="K307" s="1">
        <f>307</f>
        <v>307</v>
      </c>
      <c r="L307" s="10">
        <f t="shared" si="21"/>
        <v>11599</v>
      </c>
      <c r="M307" s="1">
        <f t="shared" si="22"/>
        <v>1</v>
      </c>
      <c r="N307" s="1">
        <f t="shared" si="23"/>
        <v>1</v>
      </c>
      <c r="O307" s="1" t="str">
        <f>IF(I307=0,"UNUSED",IF(A307="","MISSING ID",IF(K307=0,"UNEXPECTED ID",IF(N307&lt;&gt;1,"ID / ORDER DIFFERENCE",IF('Source build'!U307&lt;&gt;"INCLUDED","EXCLUDED SOURCE",IF(NOT(M307),"INVALID AMOUNT",IF('Source build'!Y307&lt;&gt;0,"CHANGED FIELDS","MATCH")))))))</f>
        <v>MATCH</v>
      </c>
      <c r="P307" s="1" t="str">
        <f t="shared" si="24"/>
        <v>2026-03</v>
      </c>
    </row>
    <row r="308" spans="1:16" ht="18.95" customHeight="1">
      <c r="A308" s="7" t="s">
        <v>940</v>
      </c>
      <c r="B308" s="7" t="s">
        <v>938</v>
      </c>
      <c r="C308" s="7" t="s">
        <v>458</v>
      </c>
      <c r="D308" s="7" t="s">
        <v>97</v>
      </c>
      <c r="E308" s="7" t="s">
        <v>47</v>
      </c>
      <c r="F308" s="7" t="s">
        <v>98</v>
      </c>
      <c r="G308" s="7" t="s">
        <v>941</v>
      </c>
      <c r="I308" s="1">
        <f t="shared" si="20"/>
        <v>1</v>
      </c>
      <c r="J308" s="1" t="str">
        <f>'Source build'!A308</f>
        <v>L00302</v>
      </c>
      <c r="K308" s="1">
        <f>308</f>
        <v>308</v>
      </c>
      <c r="L308" s="10">
        <f t="shared" si="21"/>
        <v>34908</v>
      </c>
      <c r="M308" s="1">
        <f t="shared" si="22"/>
        <v>1</v>
      </c>
      <c r="N308" s="1">
        <f t="shared" si="23"/>
        <v>1</v>
      </c>
      <c r="O308" s="1" t="str">
        <f>IF(I308=0,"UNUSED",IF(A308="","MISSING ID",IF(K308=0,"UNEXPECTED ID",IF(N308&lt;&gt;1,"ID / ORDER DIFFERENCE",IF('Source build'!U308&lt;&gt;"INCLUDED","EXCLUDED SOURCE",IF(NOT(M308),"INVALID AMOUNT",IF('Source build'!Y308&lt;&gt;0,"CHANGED FIELDS","MATCH")))))))</f>
        <v>MATCH</v>
      </c>
      <c r="P308" s="1" t="str">
        <f t="shared" si="24"/>
        <v>2026-03</v>
      </c>
    </row>
    <row r="309" spans="1:16" ht="18.95" customHeight="1">
      <c r="A309" s="7" t="s">
        <v>942</v>
      </c>
      <c r="B309" s="7" t="s">
        <v>943</v>
      </c>
      <c r="C309" s="7" t="s">
        <v>464</v>
      </c>
      <c r="D309" s="7" t="s">
        <v>103</v>
      </c>
      <c r="E309" s="7" t="s">
        <v>48</v>
      </c>
      <c r="F309" s="7" t="s">
        <v>98</v>
      </c>
      <c r="G309" s="7" t="s">
        <v>944</v>
      </c>
      <c r="I309" s="1">
        <f t="shared" si="20"/>
        <v>1</v>
      </c>
      <c r="J309" s="1" t="str">
        <f>'Source build'!A309</f>
        <v>L00303</v>
      </c>
      <c r="K309" s="1">
        <f>309</f>
        <v>309</v>
      </c>
      <c r="L309" s="10">
        <f t="shared" si="21"/>
        <v>58365</v>
      </c>
      <c r="M309" s="1">
        <f t="shared" si="22"/>
        <v>1</v>
      </c>
      <c r="N309" s="1">
        <f t="shared" si="23"/>
        <v>1</v>
      </c>
      <c r="O309" s="1" t="str">
        <f>IF(I309=0,"UNUSED",IF(A309="","MISSING ID",IF(K309=0,"UNEXPECTED ID",IF(N309&lt;&gt;1,"ID / ORDER DIFFERENCE",IF('Source build'!U309&lt;&gt;"INCLUDED","EXCLUDED SOURCE",IF(NOT(M309),"INVALID AMOUNT",IF('Source build'!Y309&lt;&gt;0,"CHANGED FIELDS","MATCH")))))))</f>
        <v>MATCH</v>
      </c>
      <c r="P309" s="1" t="str">
        <f t="shared" si="24"/>
        <v>2026-03</v>
      </c>
    </row>
    <row r="310" spans="1:16" ht="18.95" customHeight="1">
      <c r="A310" s="7" t="s">
        <v>945</v>
      </c>
      <c r="B310" s="7" t="s">
        <v>943</v>
      </c>
      <c r="C310" s="7" t="s">
        <v>464</v>
      </c>
      <c r="D310" s="7" t="s">
        <v>93</v>
      </c>
      <c r="E310" s="7" t="s">
        <v>46</v>
      </c>
      <c r="F310" s="7" t="s">
        <v>98</v>
      </c>
      <c r="G310" s="7" t="s">
        <v>946</v>
      </c>
      <c r="I310" s="1">
        <f t="shared" si="20"/>
        <v>1</v>
      </c>
      <c r="J310" s="1" t="str">
        <f>'Source build'!A310</f>
        <v>L00304</v>
      </c>
      <c r="K310" s="1">
        <f>310</f>
        <v>310</v>
      </c>
      <c r="L310" s="10">
        <f t="shared" si="21"/>
        <v>23420</v>
      </c>
      <c r="M310" s="1">
        <f t="shared" si="22"/>
        <v>1</v>
      </c>
      <c r="N310" s="1">
        <f t="shared" si="23"/>
        <v>1</v>
      </c>
      <c r="O310" s="1" t="str">
        <f>IF(I310=0,"UNUSED",IF(A310="","MISSING ID",IF(K310=0,"UNEXPECTED ID",IF(N310&lt;&gt;1,"ID / ORDER DIFFERENCE",IF('Source build'!U310&lt;&gt;"INCLUDED","EXCLUDED SOURCE",IF(NOT(M310),"INVALID AMOUNT",IF('Source build'!Y310&lt;&gt;0,"CHANGED FIELDS","MATCH")))))))</f>
        <v>MATCH</v>
      </c>
      <c r="P310" s="1" t="str">
        <f t="shared" si="24"/>
        <v>2026-03</v>
      </c>
    </row>
    <row r="311" spans="1:16" ht="18.95" customHeight="1">
      <c r="A311" s="7" t="s">
        <v>947</v>
      </c>
      <c r="B311" s="7" t="s">
        <v>948</v>
      </c>
      <c r="C311" s="7" t="s">
        <v>470</v>
      </c>
      <c r="D311" s="7" t="s">
        <v>97</v>
      </c>
      <c r="E311" s="7" t="s">
        <v>47</v>
      </c>
      <c r="F311" s="7" t="s">
        <v>98</v>
      </c>
      <c r="G311" s="7" t="s">
        <v>949</v>
      </c>
      <c r="I311" s="1">
        <f t="shared" si="20"/>
        <v>1</v>
      </c>
      <c r="J311" s="1" t="str">
        <f>'Source build'!A311</f>
        <v>L00305</v>
      </c>
      <c r="K311" s="1">
        <f>311</f>
        <v>311</v>
      </c>
      <c r="L311" s="10">
        <f t="shared" si="21"/>
        <v>46988</v>
      </c>
      <c r="M311" s="1">
        <f t="shared" si="22"/>
        <v>1</v>
      </c>
      <c r="N311" s="1">
        <f t="shared" si="23"/>
        <v>1</v>
      </c>
      <c r="O311" s="1" t="str">
        <f>IF(I311=0,"UNUSED",IF(A311="","MISSING ID",IF(K311=0,"UNEXPECTED ID",IF(N311&lt;&gt;1,"ID / ORDER DIFFERENCE",IF('Source build'!U311&lt;&gt;"INCLUDED","EXCLUDED SOURCE",IF(NOT(M311),"INVALID AMOUNT",IF('Source build'!Y311&lt;&gt;0,"CHANGED FIELDS","MATCH")))))))</f>
        <v>MATCH</v>
      </c>
      <c r="P311" s="1" t="str">
        <f t="shared" si="24"/>
        <v>2026-03</v>
      </c>
    </row>
    <row r="312" spans="1:16" ht="18.95" customHeight="1">
      <c r="A312" s="7" t="s">
        <v>950</v>
      </c>
      <c r="B312" s="7" t="s">
        <v>948</v>
      </c>
      <c r="C312" s="7" t="s">
        <v>470</v>
      </c>
      <c r="D312" s="7" t="s">
        <v>103</v>
      </c>
      <c r="E312" s="7" t="s">
        <v>48</v>
      </c>
      <c r="F312" s="7" t="s">
        <v>98</v>
      </c>
      <c r="G312" s="7" t="s">
        <v>951</v>
      </c>
      <c r="I312" s="1">
        <f t="shared" si="20"/>
        <v>1</v>
      </c>
      <c r="J312" s="1" t="str">
        <f>'Source build'!A312</f>
        <v>L00306</v>
      </c>
      <c r="K312" s="1">
        <f>312</f>
        <v>312</v>
      </c>
      <c r="L312" s="10">
        <f t="shared" si="21"/>
        <v>11784</v>
      </c>
      <c r="M312" s="1">
        <f t="shared" si="22"/>
        <v>1</v>
      </c>
      <c r="N312" s="1">
        <f t="shared" si="23"/>
        <v>1</v>
      </c>
      <c r="O312" s="1" t="str">
        <f>IF(I312=0,"UNUSED",IF(A312="","MISSING ID",IF(K312=0,"UNEXPECTED ID",IF(N312&lt;&gt;1,"ID / ORDER DIFFERENCE",IF('Source build'!U312&lt;&gt;"INCLUDED","EXCLUDED SOURCE",IF(NOT(M312),"INVALID AMOUNT",IF('Source build'!Y312&lt;&gt;0,"CHANGED FIELDS","MATCH")))))))</f>
        <v>MATCH</v>
      </c>
      <c r="P312" s="1" t="str">
        <f t="shared" si="24"/>
        <v>2026-03</v>
      </c>
    </row>
    <row r="313" spans="1:16" ht="18.95" customHeight="1">
      <c r="A313" s="7" t="s">
        <v>952</v>
      </c>
      <c r="B313" s="7" t="s">
        <v>953</v>
      </c>
      <c r="C313" s="7" t="s">
        <v>476</v>
      </c>
      <c r="D313" s="7" t="s">
        <v>93</v>
      </c>
      <c r="E313" s="7" t="s">
        <v>46</v>
      </c>
      <c r="F313" s="7" t="s">
        <v>98</v>
      </c>
      <c r="G313" s="7" t="s">
        <v>954</v>
      </c>
      <c r="I313" s="1">
        <f t="shared" si="20"/>
        <v>1</v>
      </c>
      <c r="J313" s="1" t="str">
        <f>'Source build'!A313</f>
        <v>L00307</v>
      </c>
      <c r="K313" s="1">
        <f>313</f>
        <v>313</v>
      </c>
      <c r="L313" s="10">
        <f t="shared" si="21"/>
        <v>35463</v>
      </c>
      <c r="M313" s="1">
        <f t="shared" si="22"/>
        <v>1</v>
      </c>
      <c r="N313" s="1">
        <f t="shared" si="23"/>
        <v>1</v>
      </c>
      <c r="O313" s="1" t="str">
        <f>IF(I313=0,"UNUSED",IF(A313="","MISSING ID",IF(K313=0,"UNEXPECTED ID",IF(N313&lt;&gt;1,"ID / ORDER DIFFERENCE",IF('Source build'!U313&lt;&gt;"INCLUDED","EXCLUDED SOURCE",IF(NOT(M313),"INVALID AMOUNT",IF('Source build'!Y313&lt;&gt;0,"CHANGED FIELDS","MATCH")))))))</f>
        <v>MATCH</v>
      </c>
      <c r="P313" s="1" t="str">
        <f t="shared" si="24"/>
        <v>2026-03</v>
      </c>
    </row>
    <row r="314" spans="1:16" ht="18.95" customHeight="1">
      <c r="A314" s="7" t="s">
        <v>955</v>
      </c>
      <c r="B314" s="7" t="s">
        <v>953</v>
      </c>
      <c r="C314" s="7" t="s">
        <v>476</v>
      </c>
      <c r="D314" s="7" t="s">
        <v>97</v>
      </c>
      <c r="E314" s="7" t="s">
        <v>47</v>
      </c>
      <c r="F314" s="7" t="s">
        <v>98</v>
      </c>
      <c r="G314" s="7" t="s">
        <v>957</v>
      </c>
      <c r="I314" s="1">
        <f t="shared" si="20"/>
        <v>1</v>
      </c>
      <c r="J314" s="1" t="str">
        <f>'Source build'!A314</f>
        <v>L00308</v>
      </c>
      <c r="K314" s="1">
        <f>314</f>
        <v>314</v>
      </c>
      <c r="L314" s="10">
        <f t="shared" si="21"/>
        <v>59290</v>
      </c>
      <c r="M314" s="1">
        <f t="shared" si="22"/>
        <v>1</v>
      </c>
      <c r="N314" s="1">
        <f t="shared" si="23"/>
        <v>1</v>
      </c>
      <c r="O314" s="1" t="str">
        <f>IF(I314=0,"UNUSED",IF(A314="","MISSING ID",IF(K314=0,"UNEXPECTED ID",IF(N314&lt;&gt;1,"ID / ORDER DIFFERENCE",IF('Source build'!U314&lt;&gt;"INCLUDED","EXCLUDED SOURCE",IF(NOT(M314),"INVALID AMOUNT",IF('Source build'!Y314&lt;&gt;0,"CHANGED FIELDS","MATCH")))))))</f>
        <v>MATCH</v>
      </c>
      <c r="P314" s="1" t="str">
        <f t="shared" si="24"/>
        <v>2026-03</v>
      </c>
    </row>
    <row r="315" spans="1:16" ht="18.95" customHeight="1">
      <c r="A315" s="7" t="s">
        <v>958</v>
      </c>
      <c r="B315" s="7" t="s">
        <v>959</v>
      </c>
      <c r="C315" s="7" t="s">
        <v>482</v>
      </c>
      <c r="D315" s="7" t="s">
        <v>103</v>
      </c>
      <c r="E315" s="7" t="s">
        <v>48</v>
      </c>
      <c r="F315" s="7" t="s">
        <v>98</v>
      </c>
      <c r="G315" s="7" t="s">
        <v>960</v>
      </c>
      <c r="I315" s="1">
        <f t="shared" si="20"/>
        <v>1</v>
      </c>
      <c r="J315" s="1" t="str">
        <f>'Source build'!A315</f>
        <v>L00309</v>
      </c>
      <c r="K315" s="1">
        <f>315</f>
        <v>315</v>
      </c>
      <c r="L315" s="10">
        <f t="shared" si="21"/>
        <v>23790</v>
      </c>
      <c r="M315" s="1">
        <f t="shared" si="22"/>
        <v>1</v>
      </c>
      <c r="N315" s="1">
        <f t="shared" si="23"/>
        <v>1</v>
      </c>
      <c r="O315" s="1" t="str">
        <f>IF(I315=0,"UNUSED",IF(A315="","MISSING ID",IF(K315=0,"UNEXPECTED ID",IF(N315&lt;&gt;1,"ID / ORDER DIFFERENCE",IF('Source build'!U315&lt;&gt;"INCLUDED","EXCLUDED SOURCE",IF(NOT(M315),"INVALID AMOUNT",IF('Source build'!Y315&lt;&gt;0,"CHANGED FIELDS","MATCH")))))))</f>
        <v>MATCH</v>
      </c>
      <c r="P315" s="1" t="str">
        <f t="shared" si="24"/>
        <v>2026-03</v>
      </c>
    </row>
    <row r="316" spans="1:16" ht="18.95" customHeight="1">
      <c r="A316" s="7" t="s">
        <v>961</v>
      </c>
      <c r="B316" s="7" t="s">
        <v>959</v>
      </c>
      <c r="C316" s="7" t="s">
        <v>482</v>
      </c>
      <c r="D316" s="7" t="s">
        <v>93</v>
      </c>
      <c r="E316" s="7" t="s">
        <v>46</v>
      </c>
      <c r="F316" s="7" t="s">
        <v>98</v>
      </c>
      <c r="G316" s="7" t="s">
        <v>962</v>
      </c>
      <c r="I316" s="1">
        <f t="shared" si="20"/>
        <v>1</v>
      </c>
      <c r="J316" s="1" t="str">
        <f>'Source build'!A316</f>
        <v>L00310</v>
      </c>
      <c r="K316" s="1">
        <f>316</f>
        <v>316</v>
      </c>
      <c r="L316" s="10">
        <f t="shared" si="21"/>
        <v>47728</v>
      </c>
      <c r="M316" s="1">
        <f t="shared" si="22"/>
        <v>1</v>
      </c>
      <c r="N316" s="1">
        <f t="shared" si="23"/>
        <v>1</v>
      </c>
      <c r="O316" s="1" t="str">
        <f>IF(I316=0,"UNUSED",IF(A316="","MISSING ID",IF(K316=0,"UNEXPECTED ID",IF(N316&lt;&gt;1,"ID / ORDER DIFFERENCE",IF('Source build'!U316&lt;&gt;"INCLUDED","EXCLUDED SOURCE",IF(NOT(M316),"INVALID AMOUNT",IF('Source build'!Y316&lt;&gt;0,"CHANGED FIELDS","MATCH")))))))</f>
        <v>MATCH</v>
      </c>
      <c r="P316" s="1" t="str">
        <f t="shared" si="24"/>
        <v>2026-03</v>
      </c>
    </row>
    <row r="317" spans="1:16" ht="18.95" customHeight="1">
      <c r="A317" s="7" t="s">
        <v>963</v>
      </c>
      <c r="B317" s="7" t="s">
        <v>964</v>
      </c>
      <c r="C317" s="7" t="s">
        <v>488</v>
      </c>
      <c r="D317" s="7" t="s">
        <v>97</v>
      </c>
      <c r="E317" s="7" t="s">
        <v>47</v>
      </c>
      <c r="F317" s="7" t="s">
        <v>98</v>
      </c>
      <c r="G317" s="7" t="s">
        <v>965</v>
      </c>
      <c r="I317" s="1">
        <f t="shared" si="20"/>
        <v>1</v>
      </c>
      <c r="J317" s="1" t="str">
        <f>'Source build'!A317</f>
        <v>L00311</v>
      </c>
      <c r="K317" s="1">
        <f>317</f>
        <v>317</v>
      </c>
      <c r="L317" s="10">
        <f t="shared" si="21"/>
        <v>11969</v>
      </c>
      <c r="M317" s="1">
        <f t="shared" si="22"/>
        <v>1</v>
      </c>
      <c r="N317" s="1">
        <f t="shared" si="23"/>
        <v>1</v>
      </c>
      <c r="O317" s="1" t="str">
        <f>IF(I317=0,"UNUSED",IF(A317="","MISSING ID",IF(K317=0,"UNEXPECTED ID",IF(N317&lt;&gt;1,"ID / ORDER DIFFERENCE",IF('Source build'!U317&lt;&gt;"INCLUDED","EXCLUDED SOURCE",IF(NOT(M317),"INVALID AMOUNT",IF('Source build'!Y317&lt;&gt;0,"CHANGED FIELDS","MATCH")))))))</f>
        <v>MATCH</v>
      </c>
      <c r="P317" s="1" t="str">
        <f t="shared" si="24"/>
        <v>2026-01</v>
      </c>
    </row>
    <row r="318" spans="1:16" ht="18.95" customHeight="1">
      <c r="A318" s="7" t="s">
        <v>966</v>
      </c>
      <c r="B318" s="7" t="s">
        <v>964</v>
      </c>
      <c r="C318" s="7" t="s">
        <v>488</v>
      </c>
      <c r="D318" s="7" t="s">
        <v>103</v>
      </c>
      <c r="E318" s="7" t="s">
        <v>48</v>
      </c>
      <c r="F318" s="7" t="s">
        <v>98</v>
      </c>
      <c r="G318" s="7" t="s">
        <v>967</v>
      </c>
      <c r="I318" s="1">
        <f t="shared" si="20"/>
        <v>1</v>
      </c>
      <c r="J318" s="1" t="str">
        <f>'Source build'!A318</f>
        <v>L00312</v>
      </c>
      <c r="K318" s="1">
        <f>318</f>
        <v>318</v>
      </c>
      <c r="L318" s="10">
        <f t="shared" si="21"/>
        <v>36018</v>
      </c>
      <c r="M318" s="1">
        <f t="shared" si="22"/>
        <v>1</v>
      </c>
      <c r="N318" s="1">
        <f t="shared" si="23"/>
        <v>1</v>
      </c>
      <c r="O318" s="1" t="str">
        <f>IF(I318=0,"UNUSED",IF(A318="","MISSING ID",IF(K318=0,"UNEXPECTED ID",IF(N318&lt;&gt;1,"ID / ORDER DIFFERENCE",IF('Source build'!U318&lt;&gt;"INCLUDED","EXCLUDED SOURCE",IF(NOT(M318),"INVALID AMOUNT",IF('Source build'!Y318&lt;&gt;0,"CHANGED FIELDS","MATCH")))))))</f>
        <v>MATCH</v>
      </c>
      <c r="P318" s="1" t="str">
        <f t="shared" si="24"/>
        <v>2026-01</v>
      </c>
    </row>
    <row r="319" spans="1:16" ht="18.95" customHeight="1">
      <c r="A319" s="7" t="s">
        <v>968</v>
      </c>
      <c r="B319" s="7" t="s">
        <v>969</v>
      </c>
      <c r="C319" s="7" t="s">
        <v>494</v>
      </c>
      <c r="D319" s="7" t="s">
        <v>93</v>
      </c>
      <c r="E319" s="7" t="s">
        <v>46</v>
      </c>
      <c r="F319" s="7" t="s">
        <v>98</v>
      </c>
      <c r="G319" s="7" t="s">
        <v>970</v>
      </c>
      <c r="I319" s="1">
        <f t="shared" si="20"/>
        <v>1</v>
      </c>
      <c r="J319" s="1" t="str">
        <f>'Source build'!A319</f>
        <v>L00313</v>
      </c>
      <c r="K319" s="1">
        <f>319</f>
        <v>319</v>
      </c>
      <c r="L319" s="10">
        <f t="shared" si="21"/>
        <v>60215</v>
      </c>
      <c r="M319" s="1">
        <f t="shared" si="22"/>
        <v>1</v>
      </c>
      <c r="N319" s="1">
        <f t="shared" si="23"/>
        <v>1</v>
      </c>
      <c r="O319" s="1" t="str">
        <f>IF(I319=0,"UNUSED",IF(A319="","MISSING ID",IF(K319=0,"UNEXPECTED ID",IF(N319&lt;&gt;1,"ID / ORDER DIFFERENCE",IF('Source build'!U319&lt;&gt;"INCLUDED","EXCLUDED SOURCE",IF(NOT(M319),"INVALID AMOUNT",IF('Source build'!Y319&lt;&gt;0,"CHANGED FIELDS","MATCH")))))))</f>
        <v>MATCH</v>
      </c>
      <c r="P319" s="1" t="str">
        <f t="shared" si="24"/>
        <v>2026-01</v>
      </c>
    </row>
    <row r="320" spans="1:16" ht="18.95" customHeight="1">
      <c r="A320" s="7" t="s">
        <v>971</v>
      </c>
      <c r="B320" s="7" t="s">
        <v>969</v>
      </c>
      <c r="C320" s="7" t="s">
        <v>494</v>
      </c>
      <c r="D320" s="7" t="s">
        <v>97</v>
      </c>
      <c r="E320" s="7" t="s">
        <v>47</v>
      </c>
      <c r="F320" s="7" t="s">
        <v>98</v>
      </c>
      <c r="G320" s="7" t="s">
        <v>972</v>
      </c>
      <c r="I320" s="1">
        <f t="shared" si="20"/>
        <v>1</v>
      </c>
      <c r="J320" s="1" t="str">
        <f>'Source build'!A320</f>
        <v>L00314</v>
      </c>
      <c r="K320" s="1">
        <f>320</f>
        <v>320</v>
      </c>
      <c r="L320" s="10">
        <f t="shared" si="21"/>
        <v>24160</v>
      </c>
      <c r="M320" s="1">
        <f t="shared" si="22"/>
        <v>1</v>
      </c>
      <c r="N320" s="1">
        <f t="shared" si="23"/>
        <v>1</v>
      </c>
      <c r="O320" s="1" t="str">
        <f>IF(I320=0,"UNUSED",IF(A320="","MISSING ID",IF(K320=0,"UNEXPECTED ID",IF(N320&lt;&gt;1,"ID / ORDER DIFFERENCE",IF('Source build'!U320&lt;&gt;"INCLUDED","EXCLUDED SOURCE",IF(NOT(M320),"INVALID AMOUNT",IF('Source build'!Y320&lt;&gt;0,"CHANGED FIELDS","MATCH")))))))</f>
        <v>MATCH</v>
      </c>
      <c r="P320" s="1" t="str">
        <f t="shared" si="24"/>
        <v>2026-01</v>
      </c>
    </row>
    <row r="321" spans="1:16" ht="18.95" customHeight="1">
      <c r="A321" s="7" t="s">
        <v>973</v>
      </c>
      <c r="B321" s="7" t="s">
        <v>974</v>
      </c>
      <c r="C321" s="7" t="s">
        <v>500</v>
      </c>
      <c r="D321" s="7" t="s">
        <v>103</v>
      </c>
      <c r="E321" s="7" t="s">
        <v>48</v>
      </c>
      <c r="F321" s="7" t="s">
        <v>98</v>
      </c>
      <c r="G321" s="7" t="s">
        <v>975</v>
      </c>
      <c r="I321" s="1">
        <f t="shared" si="20"/>
        <v>1</v>
      </c>
      <c r="J321" s="1" t="str">
        <f>'Source build'!A321</f>
        <v>L00315</v>
      </c>
      <c r="K321" s="1">
        <f>321</f>
        <v>321</v>
      </c>
      <c r="L321" s="10">
        <f t="shared" si="21"/>
        <v>48468</v>
      </c>
      <c r="M321" s="1">
        <f t="shared" si="22"/>
        <v>1</v>
      </c>
      <c r="N321" s="1">
        <f t="shared" si="23"/>
        <v>1</v>
      </c>
      <c r="O321" s="1" t="str">
        <f>IF(I321=0,"UNUSED",IF(A321="","MISSING ID",IF(K321=0,"UNEXPECTED ID",IF(N321&lt;&gt;1,"ID / ORDER DIFFERENCE",IF('Source build'!U321&lt;&gt;"INCLUDED","EXCLUDED SOURCE",IF(NOT(M321),"INVALID AMOUNT",IF('Source build'!Y321&lt;&gt;0,"CHANGED FIELDS","MATCH")))))))</f>
        <v>MATCH</v>
      </c>
      <c r="P321" s="1" t="str">
        <f t="shared" si="24"/>
        <v>2026-01</v>
      </c>
    </row>
    <row r="322" spans="1:16" ht="18.95" customHeight="1">
      <c r="A322" s="7" t="s">
        <v>976</v>
      </c>
      <c r="B322" s="7" t="s">
        <v>974</v>
      </c>
      <c r="C322" s="7" t="s">
        <v>500</v>
      </c>
      <c r="D322" s="7" t="s">
        <v>93</v>
      </c>
      <c r="E322" s="7" t="s">
        <v>46</v>
      </c>
      <c r="F322" s="7" t="s">
        <v>98</v>
      </c>
      <c r="G322" s="7" t="s">
        <v>977</v>
      </c>
      <c r="I322" s="1">
        <f t="shared" si="20"/>
        <v>1</v>
      </c>
      <c r="J322" s="1" t="str">
        <f>'Source build'!A322</f>
        <v>L00316</v>
      </c>
      <c r="K322" s="1">
        <f>322</f>
        <v>322</v>
      </c>
      <c r="L322" s="10">
        <f t="shared" si="21"/>
        <v>12154</v>
      </c>
      <c r="M322" s="1">
        <f t="shared" si="22"/>
        <v>1</v>
      </c>
      <c r="N322" s="1">
        <f t="shared" si="23"/>
        <v>1</v>
      </c>
      <c r="O322" s="1" t="str">
        <f>IF(I322=0,"UNUSED",IF(A322="","MISSING ID",IF(K322=0,"UNEXPECTED ID",IF(N322&lt;&gt;1,"ID / ORDER DIFFERENCE",IF('Source build'!U322&lt;&gt;"INCLUDED","EXCLUDED SOURCE",IF(NOT(M322),"INVALID AMOUNT",IF('Source build'!Y322&lt;&gt;0,"CHANGED FIELDS","MATCH")))))))</f>
        <v>MATCH</v>
      </c>
      <c r="P322" s="1" t="str">
        <f t="shared" si="24"/>
        <v>2026-01</v>
      </c>
    </row>
    <row r="323" spans="1:16" ht="18.95" customHeight="1">
      <c r="A323" s="7" t="s">
        <v>978</v>
      </c>
      <c r="B323" s="7" t="s">
        <v>979</v>
      </c>
      <c r="C323" s="7" t="s">
        <v>506</v>
      </c>
      <c r="D323" s="7" t="s">
        <v>97</v>
      </c>
      <c r="E323" s="7" t="s">
        <v>47</v>
      </c>
      <c r="F323" s="7" t="s">
        <v>98</v>
      </c>
      <c r="G323" s="7" t="s">
        <v>980</v>
      </c>
      <c r="I323" s="1">
        <f t="shared" si="20"/>
        <v>1</v>
      </c>
      <c r="J323" s="1" t="str">
        <f>'Source build'!A323</f>
        <v>L00317</v>
      </c>
      <c r="K323" s="1">
        <f>323</f>
        <v>323</v>
      </c>
      <c r="L323" s="10">
        <f t="shared" si="21"/>
        <v>36573</v>
      </c>
      <c r="M323" s="1">
        <f t="shared" si="22"/>
        <v>1</v>
      </c>
      <c r="N323" s="1">
        <f t="shared" si="23"/>
        <v>1</v>
      </c>
      <c r="O323" s="1" t="str">
        <f>IF(I323=0,"UNUSED",IF(A323="","MISSING ID",IF(K323=0,"UNEXPECTED ID",IF(N323&lt;&gt;1,"ID / ORDER DIFFERENCE",IF('Source build'!U323&lt;&gt;"INCLUDED","EXCLUDED SOURCE",IF(NOT(M323),"INVALID AMOUNT",IF('Source build'!Y323&lt;&gt;0,"CHANGED FIELDS","MATCH")))))))</f>
        <v>MATCH</v>
      </c>
      <c r="P323" s="1" t="str">
        <f t="shared" si="24"/>
        <v>2026-01</v>
      </c>
    </row>
    <row r="324" spans="1:16" ht="18.95" customHeight="1">
      <c r="A324" s="7" t="s">
        <v>981</v>
      </c>
      <c r="B324" s="7" t="s">
        <v>979</v>
      </c>
      <c r="C324" s="7" t="s">
        <v>506</v>
      </c>
      <c r="D324" s="7" t="s">
        <v>103</v>
      </c>
      <c r="E324" s="7" t="s">
        <v>48</v>
      </c>
      <c r="F324" s="7" t="s">
        <v>98</v>
      </c>
      <c r="G324" s="7" t="s">
        <v>982</v>
      </c>
      <c r="I324" s="1">
        <f t="shared" si="20"/>
        <v>1</v>
      </c>
      <c r="J324" s="1" t="str">
        <f>'Source build'!A324</f>
        <v>L00318</v>
      </c>
      <c r="K324" s="1">
        <f>324</f>
        <v>324</v>
      </c>
      <c r="L324" s="10">
        <f t="shared" si="21"/>
        <v>61140</v>
      </c>
      <c r="M324" s="1">
        <f t="shared" si="22"/>
        <v>1</v>
      </c>
      <c r="N324" s="1">
        <f t="shared" si="23"/>
        <v>1</v>
      </c>
      <c r="O324" s="1" t="str">
        <f>IF(I324=0,"UNUSED",IF(A324="","MISSING ID",IF(K324=0,"UNEXPECTED ID",IF(N324&lt;&gt;1,"ID / ORDER DIFFERENCE",IF('Source build'!U324&lt;&gt;"INCLUDED","EXCLUDED SOURCE",IF(NOT(M324),"INVALID AMOUNT",IF('Source build'!Y324&lt;&gt;0,"CHANGED FIELDS","MATCH")))))))</f>
        <v>MATCH</v>
      </c>
      <c r="P324" s="1" t="str">
        <f t="shared" si="24"/>
        <v>2026-01</v>
      </c>
    </row>
    <row r="325" spans="1:16" ht="18.95" customHeight="1">
      <c r="A325" s="7" t="s">
        <v>983</v>
      </c>
      <c r="B325" s="7" t="s">
        <v>984</v>
      </c>
      <c r="C325" s="7" t="s">
        <v>512</v>
      </c>
      <c r="D325" s="7" t="s">
        <v>93</v>
      </c>
      <c r="E325" s="7" t="s">
        <v>46</v>
      </c>
      <c r="F325" s="7" t="s">
        <v>98</v>
      </c>
      <c r="G325" s="7" t="s">
        <v>985</v>
      </c>
      <c r="I325" s="1">
        <f t="shared" si="20"/>
        <v>1</v>
      </c>
      <c r="J325" s="1" t="str">
        <f>'Source build'!A325</f>
        <v>L00319</v>
      </c>
      <c r="K325" s="1">
        <f>325</f>
        <v>325</v>
      </c>
      <c r="L325" s="10">
        <f t="shared" si="21"/>
        <v>24530</v>
      </c>
      <c r="M325" s="1">
        <f t="shared" si="22"/>
        <v>1</v>
      </c>
      <c r="N325" s="1">
        <f t="shared" si="23"/>
        <v>1</v>
      </c>
      <c r="O325" s="1" t="str">
        <f>IF(I325=0,"UNUSED",IF(A325="","MISSING ID",IF(K325=0,"UNEXPECTED ID",IF(N325&lt;&gt;1,"ID / ORDER DIFFERENCE",IF('Source build'!U325&lt;&gt;"INCLUDED","EXCLUDED SOURCE",IF(NOT(M325),"INVALID AMOUNT",IF('Source build'!Y325&lt;&gt;0,"CHANGED FIELDS","MATCH")))))))</f>
        <v>MATCH</v>
      </c>
      <c r="P325" s="1" t="str">
        <f t="shared" si="24"/>
        <v>2026-02</v>
      </c>
    </row>
    <row r="326" spans="1:16" ht="18.95" customHeight="1">
      <c r="A326" s="7" t="s">
        <v>986</v>
      </c>
      <c r="B326" s="7" t="s">
        <v>984</v>
      </c>
      <c r="C326" s="7" t="s">
        <v>512</v>
      </c>
      <c r="D326" s="7" t="s">
        <v>97</v>
      </c>
      <c r="E326" s="7" t="s">
        <v>47</v>
      </c>
      <c r="F326" s="7" t="s">
        <v>98</v>
      </c>
      <c r="G326" s="7" t="s">
        <v>987</v>
      </c>
      <c r="I326" s="1">
        <f t="shared" si="20"/>
        <v>1</v>
      </c>
      <c r="J326" s="1" t="str">
        <f>'Source build'!A326</f>
        <v>L00320</v>
      </c>
      <c r="K326" s="1">
        <f>326</f>
        <v>326</v>
      </c>
      <c r="L326" s="10">
        <f t="shared" si="21"/>
        <v>49208</v>
      </c>
      <c r="M326" s="1">
        <f t="shared" si="22"/>
        <v>1</v>
      </c>
      <c r="N326" s="1">
        <f t="shared" si="23"/>
        <v>1</v>
      </c>
      <c r="O326" s="1" t="str">
        <f>IF(I326=0,"UNUSED",IF(A326="","MISSING ID",IF(K326=0,"UNEXPECTED ID",IF(N326&lt;&gt;1,"ID / ORDER DIFFERENCE",IF('Source build'!U326&lt;&gt;"INCLUDED","EXCLUDED SOURCE",IF(NOT(M326),"INVALID AMOUNT",IF('Source build'!Y326&lt;&gt;0,"CHANGED FIELDS","MATCH")))))))</f>
        <v>MATCH</v>
      </c>
      <c r="P326" s="1" t="str">
        <f t="shared" si="24"/>
        <v>2026-02</v>
      </c>
    </row>
    <row r="327" spans="1:16" ht="18.95" customHeight="1">
      <c r="A327" s="7" t="s">
        <v>988</v>
      </c>
      <c r="B327" s="7" t="s">
        <v>989</v>
      </c>
      <c r="C327" s="7" t="s">
        <v>518</v>
      </c>
      <c r="D327" s="7" t="s">
        <v>103</v>
      </c>
      <c r="E327" s="7" t="s">
        <v>48</v>
      </c>
      <c r="F327" s="7" t="s">
        <v>98</v>
      </c>
      <c r="G327" s="7" t="s">
        <v>990</v>
      </c>
      <c r="I327" s="1">
        <f t="shared" ref="I327:I390" si="25">IF(AND(A327="",B327="",C327="",D327="",E327="",F327="",G327=""),0,1)</f>
        <v>1</v>
      </c>
      <c r="J327" s="1" t="str">
        <f>'Source build'!A327</f>
        <v>L00321</v>
      </c>
      <c r="K327" s="1">
        <f>327</f>
        <v>327</v>
      </c>
      <c r="L327" s="10">
        <f t="shared" ref="L327:L390" si="26">IFERROR(IF(ABS(VALUE(G327)*100-ROUND(VALUE(G327)*100,0))&lt;0.0000001,ROUND(VALUE(G327)*100,0),0),0)</f>
        <v>12339</v>
      </c>
      <c r="M327" s="1">
        <f t="shared" ref="M327:M390" si="27">--IF(I327=0,TRUE,IF(TRIM(G327)="",FALSE,IFERROR(AND(ISNUMBER(VALUE(G327)),ABS(VALUE(G327)*100-ROUND(VALUE(G327)*100,0))&lt;0.0000001,OR(ISNUMBER(G327),EXACT(G327,TEXT(VALUE(G327),"0.00"))),OR(AND(EXACT(F327,"sale"),VALUE(G327)&gt;0),AND(EXACT(F327,"refund"),VALUE(G327)&lt;0))),FALSE)))</f>
        <v>1</v>
      </c>
      <c r="N327" s="1">
        <f t="shared" ref="N327:N390" si="28">IF(I327=1,IF(EXACT(A327,J327),1,0),0)</f>
        <v>1</v>
      </c>
      <c r="O327" s="1" t="str">
        <f>IF(I327=0,"UNUSED",IF(A327="","MISSING ID",IF(K327=0,"UNEXPECTED ID",IF(N327&lt;&gt;1,"ID / ORDER DIFFERENCE",IF('Source build'!U327&lt;&gt;"INCLUDED","EXCLUDED SOURCE",IF(NOT(M327),"INVALID AMOUNT",IF('Source build'!Y327&lt;&gt;0,"CHANGED FIELDS","MATCH")))))))</f>
        <v>MATCH</v>
      </c>
      <c r="P327" s="1" t="str">
        <f t="shared" ref="P327:P390" si="29">IF(I327=1,LEFT(C327,7),"")</f>
        <v>2026-02</v>
      </c>
    </row>
    <row r="328" spans="1:16" ht="18.95" customHeight="1">
      <c r="A328" s="7" t="s">
        <v>991</v>
      </c>
      <c r="B328" s="7" t="s">
        <v>989</v>
      </c>
      <c r="C328" s="7" t="s">
        <v>518</v>
      </c>
      <c r="D328" s="7" t="s">
        <v>93</v>
      </c>
      <c r="E328" s="7" t="s">
        <v>46</v>
      </c>
      <c r="F328" s="7" t="s">
        <v>98</v>
      </c>
      <c r="G328" s="7" t="s">
        <v>992</v>
      </c>
      <c r="I328" s="1">
        <f t="shared" si="25"/>
        <v>1</v>
      </c>
      <c r="J328" s="1" t="str">
        <f>'Source build'!A328</f>
        <v>L00322</v>
      </c>
      <c r="K328" s="1">
        <f>328</f>
        <v>328</v>
      </c>
      <c r="L328" s="10">
        <f t="shared" si="26"/>
        <v>37128</v>
      </c>
      <c r="M328" s="1">
        <f t="shared" si="27"/>
        <v>1</v>
      </c>
      <c r="N328" s="1">
        <f t="shared" si="28"/>
        <v>1</v>
      </c>
      <c r="O328" s="1" t="str">
        <f>IF(I328=0,"UNUSED",IF(A328="","MISSING ID",IF(K328=0,"UNEXPECTED ID",IF(N328&lt;&gt;1,"ID / ORDER DIFFERENCE",IF('Source build'!U328&lt;&gt;"INCLUDED","EXCLUDED SOURCE",IF(NOT(M328),"INVALID AMOUNT",IF('Source build'!Y328&lt;&gt;0,"CHANGED FIELDS","MATCH")))))))</f>
        <v>MATCH</v>
      </c>
      <c r="P328" s="1" t="str">
        <f t="shared" si="29"/>
        <v>2026-02</v>
      </c>
    </row>
    <row r="329" spans="1:16" ht="18.95" customHeight="1">
      <c r="A329" s="7" t="s">
        <v>993</v>
      </c>
      <c r="B329" s="7" t="s">
        <v>994</v>
      </c>
      <c r="C329" s="7" t="s">
        <v>524</v>
      </c>
      <c r="D329" s="7" t="s">
        <v>97</v>
      </c>
      <c r="E329" s="7" t="s">
        <v>47</v>
      </c>
      <c r="F329" s="7" t="s">
        <v>94</v>
      </c>
      <c r="G329" s="7" t="s">
        <v>995</v>
      </c>
      <c r="I329" s="1">
        <f t="shared" si="25"/>
        <v>1</v>
      </c>
      <c r="J329" s="1" t="str">
        <f>'Source build'!A329</f>
        <v>L00323</v>
      </c>
      <c r="K329" s="1">
        <f>329</f>
        <v>329</v>
      </c>
      <c r="L329" s="10">
        <f t="shared" si="26"/>
        <v>-62065</v>
      </c>
      <c r="M329" s="1">
        <f t="shared" si="27"/>
        <v>1</v>
      </c>
      <c r="N329" s="1">
        <f t="shared" si="28"/>
        <v>1</v>
      </c>
      <c r="O329" s="1" t="str">
        <f>IF(I329=0,"UNUSED",IF(A329="","MISSING ID",IF(K329=0,"UNEXPECTED ID",IF(N329&lt;&gt;1,"ID / ORDER DIFFERENCE",IF('Source build'!U329&lt;&gt;"INCLUDED","EXCLUDED SOURCE",IF(NOT(M329),"INVALID AMOUNT",IF('Source build'!Y329&lt;&gt;0,"CHANGED FIELDS","MATCH")))))))</f>
        <v>MATCH</v>
      </c>
      <c r="P329" s="1" t="str">
        <f t="shared" si="29"/>
        <v>2026-02</v>
      </c>
    </row>
    <row r="330" spans="1:16" ht="18.95" customHeight="1">
      <c r="A330" s="7" t="s">
        <v>996</v>
      </c>
      <c r="B330" s="7" t="s">
        <v>994</v>
      </c>
      <c r="C330" s="7" t="s">
        <v>524</v>
      </c>
      <c r="D330" s="7" t="s">
        <v>103</v>
      </c>
      <c r="E330" s="7" t="s">
        <v>48</v>
      </c>
      <c r="F330" s="7" t="s">
        <v>98</v>
      </c>
      <c r="G330" s="7" t="s">
        <v>997</v>
      </c>
      <c r="I330" s="1">
        <f t="shared" si="25"/>
        <v>1</v>
      </c>
      <c r="J330" s="1" t="str">
        <f>'Source build'!A330</f>
        <v>L00324</v>
      </c>
      <c r="K330" s="1">
        <f>330</f>
        <v>330</v>
      </c>
      <c r="L330" s="10">
        <f t="shared" si="26"/>
        <v>24900</v>
      </c>
      <c r="M330" s="1">
        <f t="shared" si="27"/>
        <v>1</v>
      </c>
      <c r="N330" s="1">
        <f t="shared" si="28"/>
        <v>1</v>
      </c>
      <c r="O330" s="1" t="str">
        <f>IF(I330=0,"UNUSED",IF(A330="","MISSING ID",IF(K330=0,"UNEXPECTED ID",IF(N330&lt;&gt;1,"ID / ORDER DIFFERENCE",IF('Source build'!U330&lt;&gt;"INCLUDED","EXCLUDED SOURCE",IF(NOT(M330),"INVALID AMOUNT",IF('Source build'!Y330&lt;&gt;0,"CHANGED FIELDS","MATCH")))))))</f>
        <v>MATCH</v>
      </c>
      <c r="P330" s="1" t="str">
        <f t="shared" si="29"/>
        <v>2026-02</v>
      </c>
    </row>
    <row r="331" spans="1:16" ht="18.95" customHeight="1">
      <c r="A331" s="7" t="s">
        <v>998</v>
      </c>
      <c r="B331" s="7" t="s">
        <v>999</v>
      </c>
      <c r="C331" s="7" t="s">
        <v>530</v>
      </c>
      <c r="D331" s="7" t="s">
        <v>93</v>
      </c>
      <c r="E331" s="7" t="s">
        <v>46</v>
      </c>
      <c r="F331" s="7" t="s">
        <v>98</v>
      </c>
      <c r="G331" s="7" t="s">
        <v>1000</v>
      </c>
      <c r="I331" s="1">
        <f t="shared" si="25"/>
        <v>1</v>
      </c>
      <c r="J331" s="1" t="str">
        <f>'Source build'!A331</f>
        <v>L00325</v>
      </c>
      <c r="K331" s="1">
        <f>331</f>
        <v>331</v>
      </c>
      <c r="L331" s="10">
        <f t="shared" si="26"/>
        <v>49948</v>
      </c>
      <c r="M331" s="1">
        <f t="shared" si="27"/>
        <v>1</v>
      </c>
      <c r="N331" s="1">
        <f t="shared" si="28"/>
        <v>1</v>
      </c>
      <c r="O331" s="1" t="str">
        <f>IF(I331=0,"UNUSED",IF(A331="","MISSING ID",IF(K331=0,"UNEXPECTED ID",IF(N331&lt;&gt;1,"ID / ORDER DIFFERENCE",IF('Source build'!U331&lt;&gt;"INCLUDED","EXCLUDED SOURCE",IF(NOT(M331),"INVALID AMOUNT",IF('Source build'!Y331&lt;&gt;0,"CHANGED FIELDS","MATCH")))))))</f>
        <v>MATCH</v>
      </c>
      <c r="P331" s="1" t="str">
        <f t="shared" si="29"/>
        <v>2026-02</v>
      </c>
    </row>
    <row r="332" spans="1:16" ht="18.95" customHeight="1">
      <c r="A332" s="7" t="s">
        <v>1001</v>
      </c>
      <c r="B332" s="7" t="s">
        <v>999</v>
      </c>
      <c r="C332" s="7" t="s">
        <v>530</v>
      </c>
      <c r="D332" s="7" t="s">
        <v>97</v>
      </c>
      <c r="E332" s="7" t="s">
        <v>47</v>
      </c>
      <c r="F332" s="7" t="s">
        <v>98</v>
      </c>
      <c r="G332" s="7" t="s">
        <v>1002</v>
      </c>
      <c r="I332" s="1">
        <f t="shared" si="25"/>
        <v>1</v>
      </c>
      <c r="J332" s="1" t="str">
        <f>'Source build'!A332</f>
        <v>L00326</v>
      </c>
      <c r="K332" s="1">
        <f>332</f>
        <v>332</v>
      </c>
      <c r="L332" s="10">
        <f t="shared" si="26"/>
        <v>524</v>
      </c>
      <c r="M332" s="1">
        <f t="shared" si="27"/>
        <v>1</v>
      </c>
      <c r="N332" s="1">
        <f t="shared" si="28"/>
        <v>1</v>
      </c>
      <c r="O332" s="1" t="str">
        <f>IF(I332=0,"UNUSED",IF(A332="","MISSING ID",IF(K332=0,"UNEXPECTED ID",IF(N332&lt;&gt;1,"ID / ORDER DIFFERENCE",IF('Source build'!U332&lt;&gt;"INCLUDED","EXCLUDED SOURCE",IF(NOT(M332),"INVALID AMOUNT",IF('Source build'!Y332&lt;&gt;0,"CHANGED FIELDS","MATCH")))))))</f>
        <v>MATCH</v>
      </c>
      <c r="P332" s="1" t="str">
        <f t="shared" si="29"/>
        <v>2026-02</v>
      </c>
    </row>
    <row r="333" spans="1:16" ht="18.95" customHeight="1">
      <c r="A333" s="7" t="s">
        <v>1003</v>
      </c>
      <c r="B333" s="7" t="s">
        <v>1004</v>
      </c>
      <c r="C333" s="7" t="s">
        <v>536</v>
      </c>
      <c r="D333" s="7" t="s">
        <v>103</v>
      </c>
      <c r="E333" s="7" t="s">
        <v>48</v>
      </c>
      <c r="F333" s="7" t="s">
        <v>98</v>
      </c>
      <c r="G333" s="7" t="s">
        <v>1005</v>
      </c>
      <c r="I333" s="1">
        <f t="shared" si="25"/>
        <v>1</v>
      </c>
      <c r="J333" s="1" t="str">
        <f>'Source build'!A333</f>
        <v>L00327</v>
      </c>
      <c r="K333" s="1">
        <f>333</f>
        <v>333</v>
      </c>
      <c r="L333" s="10">
        <f t="shared" si="26"/>
        <v>1683</v>
      </c>
      <c r="M333" s="1">
        <f t="shared" si="27"/>
        <v>1</v>
      </c>
      <c r="N333" s="1">
        <f t="shared" si="28"/>
        <v>1</v>
      </c>
      <c r="O333" s="1" t="str">
        <f>IF(I333=0,"UNUSED",IF(A333="","MISSING ID",IF(K333=0,"UNEXPECTED ID",IF(N333&lt;&gt;1,"ID / ORDER DIFFERENCE",IF('Source build'!U333&lt;&gt;"INCLUDED","EXCLUDED SOURCE",IF(NOT(M333),"INVALID AMOUNT",IF('Source build'!Y333&lt;&gt;0,"CHANGED FIELDS","MATCH")))))))</f>
        <v>MATCH</v>
      </c>
      <c r="P333" s="1" t="str">
        <f t="shared" si="29"/>
        <v>2026-03</v>
      </c>
    </row>
    <row r="334" spans="1:16" ht="18.95" customHeight="1">
      <c r="A334" s="7" t="s">
        <v>1006</v>
      </c>
      <c r="B334" s="7" t="s">
        <v>1004</v>
      </c>
      <c r="C334" s="7" t="s">
        <v>536</v>
      </c>
      <c r="D334" s="7" t="s">
        <v>93</v>
      </c>
      <c r="E334" s="7" t="s">
        <v>46</v>
      </c>
      <c r="F334" s="7" t="s">
        <v>98</v>
      </c>
      <c r="G334" s="7" t="s">
        <v>1007</v>
      </c>
      <c r="I334" s="1">
        <f t="shared" si="25"/>
        <v>1</v>
      </c>
      <c r="J334" s="1" t="str">
        <f>'Source build'!A334</f>
        <v>L00328</v>
      </c>
      <c r="K334" s="1">
        <f>334</f>
        <v>334</v>
      </c>
      <c r="L334" s="10">
        <f t="shared" si="26"/>
        <v>2990</v>
      </c>
      <c r="M334" s="1">
        <f t="shared" si="27"/>
        <v>1</v>
      </c>
      <c r="N334" s="1">
        <f t="shared" si="28"/>
        <v>1</v>
      </c>
      <c r="O334" s="1" t="str">
        <f>IF(I334=0,"UNUSED",IF(A334="","MISSING ID",IF(K334=0,"UNEXPECTED ID",IF(N334&lt;&gt;1,"ID / ORDER DIFFERENCE",IF('Source build'!U334&lt;&gt;"INCLUDED","EXCLUDED SOURCE",IF(NOT(M334),"INVALID AMOUNT",IF('Source build'!Y334&lt;&gt;0,"CHANGED FIELDS","MATCH")))))))</f>
        <v>MATCH</v>
      </c>
      <c r="P334" s="1" t="str">
        <f t="shared" si="29"/>
        <v>2026-03</v>
      </c>
    </row>
    <row r="335" spans="1:16" ht="18.95" customHeight="1">
      <c r="A335" s="7" t="s">
        <v>1008</v>
      </c>
      <c r="B335" s="7" t="s">
        <v>1009</v>
      </c>
      <c r="C335" s="7" t="s">
        <v>542</v>
      </c>
      <c r="D335" s="7" t="s">
        <v>97</v>
      </c>
      <c r="E335" s="7" t="s">
        <v>47</v>
      </c>
      <c r="F335" s="7" t="s">
        <v>98</v>
      </c>
      <c r="G335" s="7" t="s">
        <v>1010</v>
      </c>
      <c r="I335" s="1">
        <f t="shared" si="25"/>
        <v>1</v>
      </c>
      <c r="J335" s="1" t="str">
        <f>'Source build'!A335</f>
        <v>L00329</v>
      </c>
      <c r="K335" s="1">
        <f>335</f>
        <v>335</v>
      </c>
      <c r="L335" s="10">
        <f t="shared" si="26"/>
        <v>1270</v>
      </c>
      <c r="M335" s="1">
        <f t="shared" si="27"/>
        <v>1</v>
      </c>
      <c r="N335" s="1">
        <f t="shared" si="28"/>
        <v>1</v>
      </c>
      <c r="O335" s="1" t="str">
        <f>IF(I335=0,"UNUSED",IF(A335="","MISSING ID",IF(K335=0,"UNEXPECTED ID",IF(N335&lt;&gt;1,"ID / ORDER DIFFERENCE",IF('Source build'!U335&lt;&gt;"INCLUDED","EXCLUDED SOURCE",IF(NOT(M335),"INVALID AMOUNT",IF('Source build'!Y335&lt;&gt;0,"CHANGED FIELDS","MATCH")))))))</f>
        <v>MATCH</v>
      </c>
      <c r="P335" s="1" t="str">
        <f t="shared" si="29"/>
        <v>2026-03</v>
      </c>
    </row>
    <row r="336" spans="1:16" ht="18.95" customHeight="1">
      <c r="A336" s="7" t="s">
        <v>1011</v>
      </c>
      <c r="B336" s="7" t="s">
        <v>1009</v>
      </c>
      <c r="C336" s="7" t="s">
        <v>542</v>
      </c>
      <c r="D336" s="7" t="s">
        <v>103</v>
      </c>
      <c r="E336" s="7" t="s">
        <v>48</v>
      </c>
      <c r="F336" s="7" t="s">
        <v>98</v>
      </c>
      <c r="G336" s="7" t="s">
        <v>1012</v>
      </c>
      <c r="I336" s="1">
        <f t="shared" si="25"/>
        <v>1</v>
      </c>
      <c r="J336" s="1" t="str">
        <f>'Source build'!A336</f>
        <v>L00330</v>
      </c>
      <c r="K336" s="1">
        <f>336</f>
        <v>336</v>
      </c>
      <c r="L336" s="10">
        <f t="shared" si="26"/>
        <v>2688</v>
      </c>
      <c r="M336" s="1">
        <f t="shared" si="27"/>
        <v>1</v>
      </c>
      <c r="N336" s="1">
        <f t="shared" si="28"/>
        <v>1</v>
      </c>
      <c r="O336" s="1" t="str">
        <f>IF(I336=0,"UNUSED",IF(A336="","MISSING ID",IF(K336=0,"UNEXPECTED ID",IF(N336&lt;&gt;1,"ID / ORDER DIFFERENCE",IF('Source build'!U336&lt;&gt;"INCLUDED","EXCLUDED SOURCE",IF(NOT(M336),"INVALID AMOUNT",IF('Source build'!Y336&lt;&gt;0,"CHANGED FIELDS","MATCH")))))))</f>
        <v>MATCH</v>
      </c>
      <c r="P336" s="1" t="str">
        <f t="shared" si="29"/>
        <v>2026-03</v>
      </c>
    </row>
    <row r="337" spans="1:16" ht="18.95" customHeight="1">
      <c r="A337" s="7" t="s">
        <v>1013</v>
      </c>
      <c r="B337" s="7" t="s">
        <v>1014</v>
      </c>
      <c r="C337" s="7" t="s">
        <v>548</v>
      </c>
      <c r="D337" s="7" t="s">
        <v>93</v>
      </c>
      <c r="E337" s="7" t="s">
        <v>46</v>
      </c>
      <c r="F337" s="7" t="s">
        <v>98</v>
      </c>
      <c r="G337" s="7" t="s">
        <v>1015</v>
      </c>
      <c r="I337" s="1">
        <f t="shared" si="25"/>
        <v>1</v>
      </c>
      <c r="J337" s="1" t="str">
        <f>'Source build'!A337</f>
        <v>L00331</v>
      </c>
      <c r="K337" s="1">
        <f>337</f>
        <v>337</v>
      </c>
      <c r="L337" s="10">
        <f t="shared" si="26"/>
        <v>709</v>
      </c>
      <c r="M337" s="1">
        <f t="shared" si="27"/>
        <v>1</v>
      </c>
      <c r="N337" s="1">
        <f t="shared" si="28"/>
        <v>1</v>
      </c>
      <c r="O337" s="1" t="str">
        <f>IF(I337=0,"UNUSED",IF(A337="","MISSING ID",IF(K337=0,"UNEXPECTED ID",IF(N337&lt;&gt;1,"ID / ORDER DIFFERENCE",IF('Source build'!U337&lt;&gt;"INCLUDED","EXCLUDED SOURCE",IF(NOT(M337),"INVALID AMOUNT",IF('Source build'!Y337&lt;&gt;0,"CHANGED FIELDS","MATCH")))))))</f>
        <v>MATCH</v>
      </c>
      <c r="P337" s="1" t="str">
        <f t="shared" si="29"/>
        <v>2026-03</v>
      </c>
    </row>
    <row r="338" spans="1:16" ht="18.95" customHeight="1">
      <c r="A338" s="7" t="s">
        <v>1016</v>
      </c>
      <c r="B338" s="7" t="s">
        <v>1014</v>
      </c>
      <c r="C338" s="7" t="s">
        <v>548</v>
      </c>
      <c r="D338" s="7" t="s">
        <v>97</v>
      </c>
      <c r="E338" s="7" t="s">
        <v>47</v>
      </c>
      <c r="F338" s="7" t="s">
        <v>98</v>
      </c>
      <c r="G338" s="7" t="s">
        <v>5134</v>
      </c>
      <c r="I338" s="1">
        <f t="shared" si="25"/>
        <v>1</v>
      </c>
      <c r="J338" s="1" t="str">
        <f>'Source build'!A338</f>
        <v>L00332</v>
      </c>
      <c r="K338" s="1">
        <f>338</f>
        <v>338</v>
      </c>
      <c r="L338" s="10">
        <f t="shared" si="26"/>
        <v>2238</v>
      </c>
      <c r="M338" s="1">
        <f t="shared" si="27"/>
        <v>1</v>
      </c>
      <c r="N338" s="1">
        <f t="shared" si="28"/>
        <v>1</v>
      </c>
      <c r="O338" s="1" t="str">
        <f>IF(I338=0,"UNUSED",IF(A338="","MISSING ID",IF(K338=0,"UNEXPECTED ID",IF(N338&lt;&gt;1,"ID / ORDER DIFFERENCE",IF('Source build'!U338&lt;&gt;"INCLUDED","EXCLUDED SOURCE",IF(NOT(M338),"INVALID AMOUNT",IF('Source build'!Y338&lt;&gt;0,"CHANGED FIELDS","MATCH")))))))</f>
        <v>MATCH</v>
      </c>
      <c r="P338" s="1" t="str">
        <f t="shared" si="29"/>
        <v>2026-03</v>
      </c>
    </row>
    <row r="339" spans="1:16" ht="18.95" customHeight="1">
      <c r="A339" s="7" t="s">
        <v>1018</v>
      </c>
      <c r="B339" s="7" t="s">
        <v>1019</v>
      </c>
      <c r="C339" s="7" t="s">
        <v>554</v>
      </c>
      <c r="D339" s="7" t="s">
        <v>103</v>
      </c>
      <c r="E339" s="7" t="s">
        <v>48</v>
      </c>
      <c r="F339" s="7" t="s">
        <v>98</v>
      </c>
      <c r="G339" s="7" t="s">
        <v>1020</v>
      </c>
      <c r="I339" s="1">
        <f t="shared" si="25"/>
        <v>1</v>
      </c>
      <c r="J339" s="1" t="str">
        <f>'Source build'!A339</f>
        <v>L00333</v>
      </c>
      <c r="K339" s="1">
        <f>339</f>
        <v>339</v>
      </c>
      <c r="L339" s="10">
        <f t="shared" si="26"/>
        <v>3915</v>
      </c>
      <c r="M339" s="1">
        <f t="shared" si="27"/>
        <v>1</v>
      </c>
      <c r="N339" s="1">
        <f t="shared" si="28"/>
        <v>1</v>
      </c>
      <c r="O339" s="1" t="str">
        <f>IF(I339=0,"UNUSED",IF(A339="","MISSING ID",IF(K339=0,"UNEXPECTED ID",IF(N339&lt;&gt;1,"ID / ORDER DIFFERENCE",IF('Source build'!U339&lt;&gt;"INCLUDED","EXCLUDED SOURCE",IF(NOT(M339),"INVALID AMOUNT",IF('Source build'!Y339&lt;&gt;0,"CHANGED FIELDS","MATCH")))))))</f>
        <v>MATCH</v>
      </c>
      <c r="P339" s="1" t="str">
        <f t="shared" si="29"/>
        <v>2026-03</v>
      </c>
    </row>
    <row r="340" spans="1:16" ht="18.95" customHeight="1">
      <c r="A340" s="7" t="s">
        <v>1021</v>
      </c>
      <c r="B340" s="7" t="s">
        <v>1019</v>
      </c>
      <c r="C340" s="7" t="s">
        <v>554</v>
      </c>
      <c r="D340" s="7" t="s">
        <v>93</v>
      </c>
      <c r="E340" s="7" t="s">
        <v>46</v>
      </c>
      <c r="F340" s="7" t="s">
        <v>98</v>
      </c>
      <c r="G340" s="7" t="s">
        <v>1022</v>
      </c>
      <c r="I340" s="1">
        <f t="shared" si="25"/>
        <v>1</v>
      </c>
      <c r="J340" s="1" t="str">
        <f>'Source build'!A340</f>
        <v>L00334</v>
      </c>
      <c r="K340" s="1">
        <f>340</f>
        <v>340</v>
      </c>
      <c r="L340" s="10">
        <f t="shared" si="26"/>
        <v>1640</v>
      </c>
      <c r="M340" s="1">
        <f t="shared" si="27"/>
        <v>1</v>
      </c>
      <c r="N340" s="1">
        <f t="shared" si="28"/>
        <v>1</v>
      </c>
      <c r="O340" s="1" t="str">
        <f>IF(I340=0,"UNUSED",IF(A340="","MISSING ID",IF(K340=0,"UNEXPECTED ID",IF(N340&lt;&gt;1,"ID / ORDER DIFFERENCE",IF('Source build'!U340&lt;&gt;"INCLUDED","EXCLUDED SOURCE",IF(NOT(M340),"INVALID AMOUNT",IF('Source build'!Y340&lt;&gt;0,"CHANGED FIELDS","MATCH")))))))</f>
        <v>MATCH</v>
      </c>
      <c r="P340" s="1" t="str">
        <f t="shared" si="29"/>
        <v>2026-03</v>
      </c>
    </row>
    <row r="341" spans="1:16" ht="18.95" customHeight="1">
      <c r="A341" s="7" t="s">
        <v>1023</v>
      </c>
      <c r="B341" s="7" t="s">
        <v>1024</v>
      </c>
      <c r="C341" s="7" t="s">
        <v>560</v>
      </c>
      <c r="D341" s="7" t="s">
        <v>97</v>
      </c>
      <c r="E341" s="7" t="s">
        <v>47</v>
      </c>
      <c r="F341" s="7" t="s">
        <v>98</v>
      </c>
      <c r="G341" s="7" t="s">
        <v>1025</v>
      </c>
      <c r="I341" s="1">
        <f t="shared" si="25"/>
        <v>1</v>
      </c>
      <c r="J341" s="1" t="str">
        <f>'Source build'!A341</f>
        <v>L00335</v>
      </c>
      <c r="K341" s="1">
        <f>341</f>
        <v>341</v>
      </c>
      <c r="L341" s="10">
        <f t="shared" si="26"/>
        <v>3428</v>
      </c>
      <c r="M341" s="1">
        <f t="shared" si="27"/>
        <v>1</v>
      </c>
      <c r="N341" s="1">
        <f t="shared" si="28"/>
        <v>1</v>
      </c>
      <c r="O341" s="1" t="str">
        <f>IF(I341=0,"UNUSED",IF(A341="","MISSING ID",IF(K341=0,"UNEXPECTED ID",IF(N341&lt;&gt;1,"ID / ORDER DIFFERENCE",IF('Source build'!U341&lt;&gt;"INCLUDED","EXCLUDED SOURCE",IF(NOT(M341),"INVALID AMOUNT",IF('Source build'!Y341&lt;&gt;0,"CHANGED FIELDS","MATCH")))))))</f>
        <v>MATCH</v>
      </c>
      <c r="P341" s="1" t="str">
        <f t="shared" si="29"/>
        <v>2026-03</v>
      </c>
    </row>
    <row r="342" spans="1:16" ht="18.95" customHeight="1">
      <c r="A342" s="7" t="s">
        <v>1026</v>
      </c>
      <c r="B342" s="7" t="s">
        <v>1024</v>
      </c>
      <c r="C342" s="7" t="s">
        <v>560</v>
      </c>
      <c r="D342" s="7" t="s">
        <v>103</v>
      </c>
      <c r="E342" s="7" t="s">
        <v>48</v>
      </c>
      <c r="F342" s="7" t="s">
        <v>98</v>
      </c>
      <c r="G342" s="7" t="s">
        <v>1027</v>
      </c>
      <c r="I342" s="1">
        <f t="shared" si="25"/>
        <v>1</v>
      </c>
      <c r="J342" s="1" t="str">
        <f>'Source build'!A342</f>
        <v>L00336</v>
      </c>
      <c r="K342" s="1">
        <f>342</f>
        <v>342</v>
      </c>
      <c r="L342" s="10">
        <f t="shared" si="26"/>
        <v>894</v>
      </c>
      <c r="M342" s="1">
        <f t="shared" si="27"/>
        <v>1</v>
      </c>
      <c r="N342" s="1">
        <f t="shared" si="28"/>
        <v>1</v>
      </c>
      <c r="O342" s="1" t="str">
        <f>IF(I342=0,"UNUSED",IF(A342="","MISSING ID",IF(K342=0,"UNEXPECTED ID",IF(N342&lt;&gt;1,"ID / ORDER DIFFERENCE",IF('Source build'!U342&lt;&gt;"INCLUDED","EXCLUDED SOURCE",IF(NOT(M342),"INVALID AMOUNT",IF('Source build'!Y342&lt;&gt;0,"CHANGED FIELDS","MATCH")))))))</f>
        <v>MATCH</v>
      </c>
      <c r="P342" s="1" t="str">
        <f t="shared" si="29"/>
        <v>2026-03</v>
      </c>
    </row>
    <row r="343" spans="1:16" ht="18.95" customHeight="1">
      <c r="A343" s="7" t="s">
        <v>1028</v>
      </c>
      <c r="B343" s="7" t="s">
        <v>1029</v>
      </c>
      <c r="C343" s="7" t="s">
        <v>566</v>
      </c>
      <c r="D343" s="7" t="s">
        <v>93</v>
      </c>
      <c r="E343" s="7" t="s">
        <v>46</v>
      </c>
      <c r="F343" s="7" t="s">
        <v>98</v>
      </c>
      <c r="G343" s="7" t="s">
        <v>1030</v>
      </c>
      <c r="I343" s="1">
        <f t="shared" si="25"/>
        <v>1</v>
      </c>
      <c r="J343" s="1" t="str">
        <f>'Source build'!A343</f>
        <v>L00337</v>
      </c>
      <c r="K343" s="1">
        <f>343</f>
        <v>343</v>
      </c>
      <c r="L343" s="10">
        <f t="shared" si="26"/>
        <v>2793</v>
      </c>
      <c r="M343" s="1">
        <f t="shared" si="27"/>
        <v>1</v>
      </c>
      <c r="N343" s="1">
        <f t="shared" si="28"/>
        <v>1</v>
      </c>
      <c r="O343" s="1" t="str">
        <f>IF(I343=0,"UNUSED",IF(A343="","MISSING ID",IF(K343=0,"UNEXPECTED ID",IF(N343&lt;&gt;1,"ID / ORDER DIFFERENCE",IF('Source build'!U343&lt;&gt;"INCLUDED","EXCLUDED SOURCE",IF(NOT(M343),"INVALID AMOUNT",IF('Source build'!Y343&lt;&gt;0,"CHANGED FIELDS","MATCH")))))))</f>
        <v>MATCH</v>
      </c>
      <c r="P343" s="1" t="str">
        <f t="shared" si="29"/>
        <v>2026-01</v>
      </c>
    </row>
    <row r="344" spans="1:16" ht="18.95" customHeight="1">
      <c r="A344" s="7" t="s">
        <v>1031</v>
      </c>
      <c r="B344" s="7" t="s">
        <v>1029</v>
      </c>
      <c r="C344" s="7" t="s">
        <v>566</v>
      </c>
      <c r="D344" s="7" t="s">
        <v>97</v>
      </c>
      <c r="E344" s="7" t="s">
        <v>47</v>
      </c>
      <c r="F344" s="7" t="s">
        <v>98</v>
      </c>
      <c r="G344" s="7" t="s">
        <v>1032</v>
      </c>
      <c r="I344" s="1">
        <f t="shared" si="25"/>
        <v>1</v>
      </c>
      <c r="J344" s="1" t="str">
        <f>'Source build'!A344</f>
        <v>L00338</v>
      </c>
      <c r="K344" s="1">
        <f>344</f>
        <v>344</v>
      </c>
      <c r="L344" s="10">
        <f t="shared" si="26"/>
        <v>4840</v>
      </c>
      <c r="M344" s="1">
        <f t="shared" si="27"/>
        <v>1</v>
      </c>
      <c r="N344" s="1">
        <f t="shared" si="28"/>
        <v>1</v>
      </c>
      <c r="O344" s="1" t="str">
        <f>IF(I344=0,"UNUSED",IF(A344="","MISSING ID",IF(K344=0,"UNEXPECTED ID",IF(N344&lt;&gt;1,"ID / ORDER DIFFERENCE",IF('Source build'!U344&lt;&gt;"INCLUDED","EXCLUDED SOURCE",IF(NOT(M344),"INVALID AMOUNT",IF('Source build'!Y344&lt;&gt;0,"CHANGED FIELDS","MATCH")))))))</f>
        <v>MATCH</v>
      </c>
      <c r="P344" s="1" t="str">
        <f t="shared" si="29"/>
        <v>2026-01</v>
      </c>
    </row>
    <row r="345" spans="1:16" ht="18.95" customHeight="1">
      <c r="A345" s="7" t="s">
        <v>1033</v>
      </c>
      <c r="B345" s="7" t="s">
        <v>1034</v>
      </c>
      <c r="C345" s="7" t="s">
        <v>572</v>
      </c>
      <c r="D345" s="7" t="s">
        <v>103</v>
      </c>
      <c r="E345" s="7" t="s">
        <v>48</v>
      </c>
      <c r="F345" s="7" t="s">
        <v>98</v>
      </c>
      <c r="G345" s="7" t="s">
        <v>1035</v>
      </c>
      <c r="I345" s="1">
        <f t="shared" si="25"/>
        <v>1</v>
      </c>
      <c r="J345" s="1" t="str">
        <f>'Source build'!A345</f>
        <v>L00339</v>
      </c>
      <c r="K345" s="1">
        <f>345</f>
        <v>345</v>
      </c>
      <c r="L345" s="10">
        <f t="shared" si="26"/>
        <v>2010</v>
      </c>
      <c r="M345" s="1">
        <f t="shared" si="27"/>
        <v>1</v>
      </c>
      <c r="N345" s="1">
        <f t="shared" si="28"/>
        <v>1</v>
      </c>
      <c r="O345" s="1" t="str">
        <f>IF(I345=0,"UNUSED",IF(A345="","MISSING ID",IF(K345=0,"UNEXPECTED ID",IF(N345&lt;&gt;1,"ID / ORDER DIFFERENCE",IF('Source build'!U345&lt;&gt;"INCLUDED","EXCLUDED SOURCE",IF(NOT(M345),"INVALID AMOUNT",IF('Source build'!Y345&lt;&gt;0,"CHANGED FIELDS","MATCH")))))))</f>
        <v>MATCH</v>
      </c>
      <c r="P345" s="1" t="str">
        <f t="shared" si="29"/>
        <v>2026-01</v>
      </c>
    </row>
    <row r="346" spans="1:16" ht="18.95" customHeight="1">
      <c r="A346" s="7" t="s">
        <v>1036</v>
      </c>
      <c r="B346" s="7" t="s">
        <v>1034</v>
      </c>
      <c r="C346" s="7" t="s">
        <v>572</v>
      </c>
      <c r="D346" s="7" t="s">
        <v>93</v>
      </c>
      <c r="E346" s="7" t="s">
        <v>46</v>
      </c>
      <c r="F346" s="7" t="s">
        <v>98</v>
      </c>
      <c r="G346" s="7" t="s">
        <v>1037</v>
      </c>
      <c r="I346" s="1">
        <f t="shared" si="25"/>
        <v>1</v>
      </c>
      <c r="J346" s="1" t="str">
        <f>'Source build'!A346</f>
        <v>L00340</v>
      </c>
      <c r="K346" s="1">
        <f>346</f>
        <v>346</v>
      </c>
      <c r="L346" s="10">
        <f t="shared" si="26"/>
        <v>4168</v>
      </c>
      <c r="M346" s="1">
        <f t="shared" si="27"/>
        <v>1</v>
      </c>
      <c r="N346" s="1">
        <f t="shared" si="28"/>
        <v>1</v>
      </c>
      <c r="O346" s="1" t="str">
        <f>IF(I346=0,"UNUSED",IF(A346="","MISSING ID",IF(K346=0,"UNEXPECTED ID",IF(N346&lt;&gt;1,"ID / ORDER DIFFERENCE",IF('Source build'!U346&lt;&gt;"INCLUDED","EXCLUDED SOURCE",IF(NOT(M346),"INVALID AMOUNT",IF('Source build'!Y346&lt;&gt;0,"CHANGED FIELDS","MATCH")))))))</f>
        <v>MATCH</v>
      </c>
      <c r="P346" s="1" t="str">
        <f t="shared" si="29"/>
        <v>2026-01</v>
      </c>
    </row>
    <row r="347" spans="1:16" ht="18.95" customHeight="1">
      <c r="A347" s="7" t="s">
        <v>1038</v>
      </c>
      <c r="B347" s="7" t="s">
        <v>1039</v>
      </c>
      <c r="C347" s="7" t="s">
        <v>578</v>
      </c>
      <c r="D347" s="7" t="s">
        <v>97</v>
      </c>
      <c r="E347" s="7" t="s">
        <v>47</v>
      </c>
      <c r="F347" s="7" t="s">
        <v>98</v>
      </c>
      <c r="G347" s="7" t="s">
        <v>1040</v>
      </c>
      <c r="I347" s="1">
        <f t="shared" si="25"/>
        <v>1</v>
      </c>
      <c r="J347" s="1" t="str">
        <f>'Source build'!A347</f>
        <v>L00341</v>
      </c>
      <c r="K347" s="1">
        <f>347</f>
        <v>347</v>
      </c>
      <c r="L347" s="10">
        <f t="shared" si="26"/>
        <v>1079</v>
      </c>
      <c r="M347" s="1">
        <f t="shared" si="27"/>
        <v>1</v>
      </c>
      <c r="N347" s="1">
        <f t="shared" si="28"/>
        <v>1</v>
      </c>
      <c r="O347" s="1" t="str">
        <f>IF(I347=0,"UNUSED",IF(A347="","MISSING ID",IF(K347=0,"UNEXPECTED ID",IF(N347&lt;&gt;1,"ID / ORDER DIFFERENCE",IF('Source build'!U347&lt;&gt;"INCLUDED","EXCLUDED SOURCE",IF(NOT(M347),"INVALID AMOUNT",IF('Source build'!Y347&lt;&gt;0,"CHANGED FIELDS","MATCH")))))))</f>
        <v>MATCH</v>
      </c>
      <c r="P347" s="1" t="str">
        <f t="shared" si="29"/>
        <v>2026-01</v>
      </c>
    </row>
    <row r="348" spans="1:16" ht="18.95" customHeight="1">
      <c r="A348" s="7" t="s">
        <v>1041</v>
      </c>
      <c r="B348" s="7" t="s">
        <v>1039</v>
      </c>
      <c r="C348" s="7" t="s">
        <v>578</v>
      </c>
      <c r="D348" s="7" t="s">
        <v>103</v>
      </c>
      <c r="E348" s="7" t="s">
        <v>48</v>
      </c>
      <c r="F348" s="7" t="s">
        <v>98</v>
      </c>
      <c r="G348" s="7" t="s">
        <v>1042</v>
      </c>
      <c r="I348" s="1">
        <f t="shared" si="25"/>
        <v>1</v>
      </c>
      <c r="J348" s="1" t="str">
        <f>'Source build'!A348</f>
        <v>L00342</v>
      </c>
      <c r="K348" s="1">
        <f>348</f>
        <v>348</v>
      </c>
      <c r="L348" s="10">
        <f t="shared" si="26"/>
        <v>3348</v>
      </c>
      <c r="M348" s="1">
        <f t="shared" si="27"/>
        <v>1</v>
      </c>
      <c r="N348" s="1">
        <f t="shared" si="28"/>
        <v>1</v>
      </c>
      <c r="O348" s="1" t="str">
        <f>IF(I348=0,"UNUSED",IF(A348="","MISSING ID",IF(K348=0,"UNEXPECTED ID",IF(N348&lt;&gt;1,"ID / ORDER DIFFERENCE",IF('Source build'!U348&lt;&gt;"INCLUDED","EXCLUDED SOURCE",IF(NOT(M348),"INVALID AMOUNT",IF('Source build'!Y348&lt;&gt;0,"CHANGED FIELDS","MATCH")))))))</f>
        <v>MATCH</v>
      </c>
      <c r="P348" s="1" t="str">
        <f t="shared" si="29"/>
        <v>2026-01</v>
      </c>
    </row>
    <row r="349" spans="1:16" ht="18.95" customHeight="1">
      <c r="A349" s="7" t="s">
        <v>1043</v>
      </c>
      <c r="B349" s="7" t="s">
        <v>1044</v>
      </c>
      <c r="C349" s="7" t="s">
        <v>584</v>
      </c>
      <c r="D349" s="7" t="s">
        <v>93</v>
      </c>
      <c r="E349" s="7" t="s">
        <v>46</v>
      </c>
      <c r="F349" s="7" t="s">
        <v>98</v>
      </c>
      <c r="G349" s="7" t="s">
        <v>1045</v>
      </c>
      <c r="I349" s="1">
        <f t="shared" si="25"/>
        <v>1</v>
      </c>
      <c r="J349" s="1" t="str">
        <f>'Source build'!A349</f>
        <v>L00343</v>
      </c>
      <c r="K349" s="1">
        <f>349</f>
        <v>349</v>
      </c>
      <c r="L349" s="10">
        <f t="shared" si="26"/>
        <v>5765</v>
      </c>
      <c r="M349" s="1">
        <f t="shared" si="27"/>
        <v>1</v>
      </c>
      <c r="N349" s="1">
        <f t="shared" si="28"/>
        <v>1</v>
      </c>
      <c r="O349" s="1" t="str">
        <f>IF(I349=0,"UNUSED",IF(A349="","MISSING ID",IF(K349=0,"UNEXPECTED ID",IF(N349&lt;&gt;1,"ID / ORDER DIFFERENCE",IF('Source build'!U349&lt;&gt;"INCLUDED","EXCLUDED SOURCE",IF(NOT(M349),"INVALID AMOUNT",IF('Source build'!Y349&lt;&gt;0,"CHANGED FIELDS","MATCH")))))))</f>
        <v>MATCH</v>
      </c>
      <c r="P349" s="1" t="str">
        <f t="shared" si="29"/>
        <v>2026-01</v>
      </c>
    </row>
    <row r="350" spans="1:16" ht="18.95" customHeight="1">
      <c r="A350" s="7" t="s">
        <v>1046</v>
      </c>
      <c r="B350" s="7" t="s">
        <v>1044</v>
      </c>
      <c r="C350" s="7" t="s">
        <v>584</v>
      </c>
      <c r="D350" s="7" t="s">
        <v>97</v>
      </c>
      <c r="E350" s="7" t="s">
        <v>47</v>
      </c>
      <c r="F350" s="7" t="s">
        <v>98</v>
      </c>
      <c r="G350" s="7" t="s">
        <v>1047</v>
      </c>
      <c r="I350" s="1">
        <f t="shared" si="25"/>
        <v>1</v>
      </c>
      <c r="J350" s="1" t="str">
        <f>'Source build'!A350</f>
        <v>L00344</v>
      </c>
      <c r="K350" s="1">
        <f>350</f>
        <v>350</v>
      </c>
      <c r="L350" s="10">
        <f t="shared" si="26"/>
        <v>2380</v>
      </c>
      <c r="M350" s="1">
        <f t="shared" si="27"/>
        <v>1</v>
      </c>
      <c r="N350" s="1">
        <f t="shared" si="28"/>
        <v>1</v>
      </c>
      <c r="O350" s="1" t="str">
        <f>IF(I350=0,"UNUSED",IF(A350="","MISSING ID",IF(K350=0,"UNEXPECTED ID",IF(N350&lt;&gt;1,"ID / ORDER DIFFERENCE",IF('Source build'!U350&lt;&gt;"INCLUDED","EXCLUDED SOURCE",IF(NOT(M350),"INVALID AMOUNT",IF('Source build'!Y350&lt;&gt;0,"CHANGED FIELDS","MATCH")))))))</f>
        <v>MATCH</v>
      </c>
      <c r="P350" s="1" t="str">
        <f t="shared" si="29"/>
        <v>2026-01</v>
      </c>
    </row>
    <row r="351" spans="1:16" ht="18.95" customHeight="1">
      <c r="A351" s="7" t="s">
        <v>1048</v>
      </c>
      <c r="B351" s="7" t="s">
        <v>1049</v>
      </c>
      <c r="C351" s="7" t="s">
        <v>590</v>
      </c>
      <c r="D351" s="7" t="s">
        <v>103</v>
      </c>
      <c r="E351" s="7" t="s">
        <v>48</v>
      </c>
      <c r="F351" s="7" t="s">
        <v>98</v>
      </c>
      <c r="G351" s="7" t="s">
        <v>1050</v>
      </c>
      <c r="I351" s="1">
        <f t="shared" si="25"/>
        <v>1</v>
      </c>
      <c r="J351" s="1" t="str">
        <f>'Source build'!A351</f>
        <v>L00345</v>
      </c>
      <c r="K351" s="1">
        <f>351</f>
        <v>351</v>
      </c>
      <c r="L351" s="10">
        <f t="shared" si="26"/>
        <v>4908</v>
      </c>
      <c r="M351" s="1">
        <f t="shared" si="27"/>
        <v>1</v>
      </c>
      <c r="N351" s="1">
        <f t="shared" si="28"/>
        <v>1</v>
      </c>
      <c r="O351" s="1" t="str">
        <f>IF(I351=0,"UNUSED",IF(A351="","MISSING ID",IF(K351=0,"UNEXPECTED ID",IF(N351&lt;&gt;1,"ID / ORDER DIFFERENCE",IF('Source build'!U351&lt;&gt;"INCLUDED","EXCLUDED SOURCE",IF(NOT(M351),"INVALID AMOUNT",IF('Source build'!Y351&lt;&gt;0,"CHANGED FIELDS","MATCH")))))))</f>
        <v>MATCH</v>
      </c>
      <c r="P351" s="1" t="str">
        <f t="shared" si="29"/>
        <v>2026-02</v>
      </c>
    </row>
    <row r="352" spans="1:16" ht="18.95" customHeight="1">
      <c r="A352" s="7" t="s">
        <v>1051</v>
      </c>
      <c r="B352" s="7" t="s">
        <v>1049</v>
      </c>
      <c r="C352" s="7" t="s">
        <v>590</v>
      </c>
      <c r="D352" s="7" t="s">
        <v>93</v>
      </c>
      <c r="E352" s="7" t="s">
        <v>46</v>
      </c>
      <c r="F352" s="7" t="s">
        <v>94</v>
      </c>
      <c r="G352" s="7" t="s">
        <v>1052</v>
      </c>
      <c r="I352" s="1">
        <f t="shared" si="25"/>
        <v>1</v>
      </c>
      <c r="J352" s="1" t="str">
        <f>'Source build'!A352</f>
        <v>L00346</v>
      </c>
      <c r="K352" s="1">
        <f>352</f>
        <v>352</v>
      </c>
      <c r="L352" s="10">
        <f t="shared" si="26"/>
        <v>-1264</v>
      </c>
      <c r="M352" s="1">
        <f t="shared" si="27"/>
        <v>1</v>
      </c>
      <c r="N352" s="1">
        <f t="shared" si="28"/>
        <v>1</v>
      </c>
      <c r="O352" s="1" t="str">
        <f>IF(I352=0,"UNUSED",IF(A352="","MISSING ID",IF(K352=0,"UNEXPECTED ID",IF(N352&lt;&gt;1,"ID / ORDER DIFFERENCE",IF('Source build'!U352&lt;&gt;"INCLUDED","EXCLUDED SOURCE",IF(NOT(M352),"INVALID AMOUNT",IF('Source build'!Y352&lt;&gt;0,"CHANGED FIELDS","MATCH")))))))</f>
        <v>MATCH</v>
      </c>
      <c r="P352" s="1" t="str">
        <f t="shared" si="29"/>
        <v>2026-02</v>
      </c>
    </row>
    <row r="353" spans="1:16" ht="18.95" customHeight="1">
      <c r="A353" s="7" t="s">
        <v>1053</v>
      </c>
      <c r="B353" s="7" t="s">
        <v>1054</v>
      </c>
      <c r="C353" s="7" t="s">
        <v>596</v>
      </c>
      <c r="D353" s="7" t="s">
        <v>97</v>
      </c>
      <c r="E353" s="7" t="s">
        <v>47</v>
      </c>
      <c r="F353" s="7" t="s">
        <v>98</v>
      </c>
      <c r="G353" s="7" t="s">
        <v>1055</v>
      </c>
      <c r="I353" s="1">
        <f t="shared" si="25"/>
        <v>1</v>
      </c>
      <c r="J353" s="1" t="str">
        <f>'Source build'!A353</f>
        <v>L00347</v>
      </c>
      <c r="K353" s="1">
        <f>353</f>
        <v>353</v>
      </c>
      <c r="L353" s="10">
        <f t="shared" si="26"/>
        <v>3903</v>
      </c>
      <c r="M353" s="1">
        <f t="shared" si="27"/>
        <v>1</v>
      </c>
      <c r="N353" s="1">
        <f t="shared" si="28"/>
        <v>1</v>
      </c>
      <c r="O353" s="1" t="str">
        <f>IF(I353=0,"UNUSED",IF(A353="","MISSING ID",IF(K353=0,"UNEXPECTED ID",IF(N353&lt;&gt;1,"ID / ORDER DIFFERENCE",IF('Source build'!U353&lt;&gt;"INCLUDED","EXCLUDED SOURCE",IF(NOT(M353),"INVALID AMOUNT",IF('Source build'!Y353&lt;&gt;0,"CHANGED FIELDS","MATCH")))))))</f>
        <v>MATCH</v>
      </c>
      <c r="P353" s="1" t="str">
        <f t="shared" si="29"/>
        <v>2026-02</v>
      </c>
    </row>
    <row r="354" spans="1:16" ht="18.95" customHeight="1">
      <c r="A354" s="7" t="s">
        <v>1056</v>
      </c>
      <c r="B354" s="7" t="s">
        <v>1054</v>
      </c>
      <c r="C354" s="7" t="s">
        <v>596</v>
      </c>
      <c r="D354" s="7" t="s">
        <v>103</v>
      </c>
      <c r="E354" s="7" t="s">
        <v>48</v>
      </c>
      <c r="F354" s="7" t="s">
        <v>98</v>
      </c>
      <c r="G354" s="7" t="s">
        <v>1057</v>
      </c>
      <c r="I354" s="1">
        <f t="shared" si="25"/>
        <v>1</v>
      </c>
      <c r="J354" s="1" t="str">
        <f>'Source build'!A354</f>
        <v>L00348</v>
      </c>
      <c r="K354" s="1">
        <f>354</f>
        <v>354</v>
      </c>
      <c r="L354" s="10">
        <f t="shared" si="26"/>
        <v>6690</v>
      </c>
      <c r="M354" s="1">
        <f t="shared" si="27"/>
        <v>1</v>
      </c>
      <c r="N354" s="1">
        <f t="shared" si="28"/>
        <v>1</v>
      </c>
      <c r="O354" s="1" t="str">
        <f>IF(I354=0,"UNUSED",IF(A354="","MISSING ID",IF(K354=0,"UNEXPECTED ID",IF(N354&lt;&gt;1,"ID / ORDER DIFFERENCE",IF('Source build'!U354&lt;&gt;"INCLUDED","EXCLUDED SOURCE",IF(NOT(M354),"INVALID AMOUNT",IF('Source build'!Y354&lt;&gt;0,"CHANGED FIELDS","MATCH")))))))</f>
        <v>MATCH</v>
      </c>
      <c r="P354" s="1" t="str">
        <f t="shared" si="29"/>
        <v>2026-02</v>
      </c>
    </row>
    <row r="355" spans="1:16" ht="18.95" customHeight="1">
      <c r="A355" s="7" t="s">
        <v>1058</v>
      </c>
      <c r="B355" s="7" t="s">
        <v>1059</v>
      </c>
      <c r="C355" s="7" t="s">
        <v>602</v>
      </c>
      <c r="D355" s="7" t="s">
        <v>93</v>
      </c>
      <c r="E355" s="7" t="s">
        <v>46</v>
      </c>
      <c r="F355" s="7" t="s">
        <v>98</v>
      </c>
      <c r="G355" s="7" t="s">
        <v>1060</v>
      </c>
      <c r="I355" s="1">
        <f t="shared" si="25"/>
        <v>1</v>
      </c>
      <c r="J355" s="1" t="str">
        <f>'Source build'!A355</f>
        <v>L00349</v>
      </c>
      <c r="K355" s="1">
        <f>355</f>
        <v>355</v>
      </c>
      <c r="L355" s="10">
        <f t="shared" si="26"/>
        <v>2750</v>
      </c>
      <c r="M355" s="1">
        <f t="shared" si="27"/>
        <v>1</v>
      </c>
      <c r="N355" s="1">
        <f t="shared" si="28"/>
        <v>1</v>
      </c>
      <c r="O355" s="1" t="str">
        <f>IF(I355=0,"UNUSED",IF(A355="","MISSING ID",IF(K355=0,"UNEXPECTED ID",IF(N355&lt;&gt;1,"ID / ORDER DIFFERENCE",IF('Source build'!U355&lt;&gt;"INCLUDED","EXCLUDED SOURCE",IF(NOT(M355),"INVALID AMOUNT",IF('Source build'!Y355&lt;&gt;0,"CHANGED FIELDS","MATCH")))))))</f>
        <v>MATCH</v>
      </c>
      <c r="P355" s="1" t="str">
        <f t="shared" si="29"/>
        <v>2026-02</v>
      </c>
    </row>
    <row r="356" spans="1:16" ht="18.95" customHeight="1">
      <c r="A356" s="7" t="s">
        <v>1061</v>
      </c>
      <c r="B356" s="7" t="s">
        <v>1059</v>
      </c>
      <c r="C356" s="7" t="s">
        <v>602</v>
      </c>
      <c r="D356" s="7" t="s">
        <v>97</v>
      </c>
      <c r="E356" s="7" t="s">
        <v>47</v>
      </c>
      <c r="F356" s="7" t="s">
        <v>98</v>
      </c>
      <c r="G356" s="7" t="s">
        <v>1062</v>
      </c>
      <c r="I356" s="1">
        <f t="shared" si="25"/>
        <v>1</v>
      </c>
      <c r="J356" s="1" t="str">
        <f>'Source build'!A356</f>
        <v>L00350</v>
      </c>
      <c r="K356" s="1">
        <f>356</f>
        <v>356</v>
      </c>
      <c r="L356" s="10">
        <f t="shared" si="26"/>
        <v>5648</v>
      </c>
      <c r="M356" s="1">
        <f t="shared" si="27"/>
        <v>1</v>
      </c>
      <c r="N356" s="1">
        <f t="shared" si="28"/>
        <v>1</v>
      </c>
      <c r="O356" s="1" t="str">
        <f>IF(I356=0,"UNUSED",IF(A356="","MISSING ID",IF(K356=0,"UNEXPECTED ID",IF(N356&lt;&gt;1,"ID / ORDER DIFFERENCE",IF('Source build'!U356&lt;&gt;"INCLUDED","EXCLUDED SOURCE",IF(NOT(M356),"INVALID AMOUNT",IF('Source build'!Y356&lt;&gt;0,"CHANGED FIELDS","MATCH")))))))</f>
        <v>MATCH</v>
      </c>
      <c r="P356" s="1" t="str">
        <f t="shared" si="29"/>
        <v>2026-02</v>
      </c>
    </row>
    <row r="357" spans="1:16" ht="18.95" customHeight="1">
      <c r="A357" s="7" t="s">
        <v>1063</v>
      </c>
      <c r="B357" s="7" t="s">
        <v>1064</v>
      </c>
      <c r="C357" s="7" t="s">
        <v>611</v>
      </c>
      <c r="D357" s="7" t="s">
        <v>103</v>
      </c>
      <c r="E357" s="7" t="s">
        <v>48</v>
      </c>
      <c r="F357" s="7" t="s">
        <v>98</v>
      </c>
      <c r="G357" s="7" t="s">
        <v>1065</v>
      </c>
      <c r="I357" s="1">
        <f t="shared" si="25"/>
        <v>1</v>
      </c>
      <c r="J357" s="1" t="str">
        <f>'Source build'!A357</f>
        <v>L00351</v>
      </c>
      <c r="K357" s="1">
        <f>357</f>
        <v>357</v>
      </c>
      <c r="L357" s="10">
        <f t="shared" si="26"/>
        <v>1449</v>
      </c>
      <c r="M357" s="1">
        <f t="shared" si="27"/>
        <v>1</v>
      </c>
      <c r="N357" s="1">
        <f t="shared" si="28"/>
        <v>1</v>
      </c>
      <c r="O357" s="1" t="str">
        <f>IF(I357=0,"UNUSED",IF(A357="","MISSING ID",IF(K357=0,"UNEXPECTED ID",IF(N357&lt;&gt;1,"ID / ORDER DIFFERENCE",IF('Source build'!U357&lt;&gt;"INCLUDED","EXCLUDED SOURCE",IF(NOT(M357),"INVALID AMOUNT",IF('Source build'!Y357&lt;&gt;0,"CHANGED FIELDS","MATCH")))))))</f>
        <v>MATCH</v>
      </c>
      <c r="P357" s="1" t="str">
        <f t="shared" si="29"/>
        <v>2026-02</v>
      </c>
    </row>
    <row r="358" spans="1:16" ht="18.95" customHeight="1">
      <c r="A358" s="7" t="s">
        <v>1066</v>
      </c>
      <c r="B358" s="7" t="s">
        <v>1064</v>
      </c>
      <c r="C358" s="7" t="s">
        <v>611</v>
      </c>
      <c r="D358" s="7" t="s">
        <v>93</v>
      </c>
      <c r="E358" s="7" t="s">
        <v>46</v>
      </c>
      <c r="F358" s="7" t="s">
        <v>98</v>
      </c>
      <c r="G358" s="7" t="s">
        <v>1067</v>
      </c>
      <c r="I358" s="1">
        <f t="shared" si="25"/>
        <v>1</v>
      </c>
      <c r="J358" s="1" t="str">
        <f>'Source build'!A358</f>
        <v>L00352</v>
      </c>
      <c r="K358" s="1">
        <f>358</f>
        <v>358</v>
      </c>
      <c r="L358" s="10">
        <f t="shared" si="26"/>
        <v>4458</v>
      </c>
      <c r="M358" s="1">
        <f t="shared" si="27"/>
        <v>1</v>
      </c>
      <c r="N358" s="1">
        <f t="shared" si="28"/>
        <v>1</v>
      </c>
      <c r="O358" s="1" t="str">
        <f>IF(I358=0,"UNUSED",IF(A358="","MISSING ID",IF(K358=0,"UNEXPECTED ID",IF(N358&lt;&gt;1,"ID / ORDER DIFFERENCE",IF('Source build'!U358&lt;&gt;"INCLUDED","EXCLUDED SOURCE",IF(NOT(M358),"INVALID AMOUNT",IF('Source build'!Y358&lt;&gt;0,"CHANGED FIELDS","MATCH")))))))</f>
        <v>MATCH</v>
      </c>
      <c r="P358" s="1" t="str">
        <f t="shared" si="29"/>
        <v>2026-02</v>
      </c>
    </row>
    <row r="359" spans="1:16" ht="18.95" customHeight="1">
      <c r="A359" s="7" t="s">
        <v>1068</v>
      </c>
      <c r="B359" s="7" t="s">
        <v>1069</v>
      </c>
      <c r="C359" s="7" t="s">
        <v>615</v>
      </c>
      <c r="D359" s="7" t="s">
        <v>97</v>
      </c>
      <c r="E359" s="7" t="s">
        <v>47</v>
      </c>
      <c r="F359" s="7" t="s">
        <v>98</v>
      </c>
      <c r="G359" s="7" t="s">
        <v>1070</v>
      </c>
      <c r="I359" s="1">
        <f t="shared" si="25"/>
        <v>1</v>
      </c>
      <c r="J359" s="1" t="str">
        <f>'Source build'!A359</f>
        <v>L00353</v>
      </c>
      <c r="K359" s="1">
        <f>359</f>
        <v>359</v>
      </c>
      <c r="L359" s="10">
        <f t="shared" si="26"/>
        <v>7615</v>
      </c>
      <c r="M359" s="1">
        <f t="shared" si="27"/>
        <v>1</v>
      </c>
      <c r="N359" s="1">
        <f t="shared" si="28"/>
        <v>1</v>
      </c>
      <c r="O359" s="1" t="str">
        <f>IF(I359=0,"UNUSED",IF(A359="","MISSING ID",IF(K359=0,"UNEXPECTED ID",IF(N359&lt;&gt;1,"ID / ORDER DIFFERENCE",IF('Source build'!U359&lt;&gt;"INCLUDED","EXCLUDED SOURCE",IF(NOT(M359),"INVALID AMOUNT",IF('Source build'!Y359&lt;&gt;0,"CHANGED FIELDS","MATCH")))))))</f>
        <v>MATCH</v>
      </c>
      <c r="P359" s="1" t="str">
        <f t="shared" si="29"/>
        <v>2026-03</v>
      </c>
    </row>
    <row r="360" spans="1:16" ht="18.95" customHeight="1">
      <c r="A360" s="7" t="s">
        <v>1071</v>
      </c>
      <c r="B360" s="7" t="s">
        <v>1069</v>
      </c>
      <c r="C360" s="7" t="s">
        <v>615</v>
      </c>
      <c r="D360" s="7" t="s">
        <v>103</v>
      </c>
      <c r="E360" s="7" t="s">
        <v>48</v>
      </c>
      <c r="F360" s="7" t="s">
        <v>98</v>
      </c>
      <c r="G360" s="7" t="s">
        <v>1072</v>
      </c>
      <c r="I360" s="1">
        <f t="shared" si="25"/>
        <v>1</v>
      </c>
      <c r="J360" s="1" t="str">
        <f>'Source build'!A360</f>
        <v>L00354</v>
      </c>
      <c r="K360" s="1">
        <f>360</f>
        <v>360</v>
      </c>
      <c r="L360" s="10">
        <f t="shared" si="26"/>
        <v>3120</v>
      </c>
      <c r="M360" s="1">
        <f t="shared" si="27"/>
        <v>1</v>
      </c>
      <c r="N360" s="1">
        <f t="shared" si="28"/>
        <v>1</v>
      </c>
      <c r="O360" s="1" t="str">
        <f>IF(I360=0,"UNUSED",IF(A360="","MISSING ID",IF(K360=0,"UNEXPECTED ID",IF(N360&lt;&gt;1,"ID / ORDER DIFFERENCE",IF('Source build'!U360&lt;&gt;"INCLUDED","EXCLUDED SOURCE",IF(NOT(M360),"INVALID AMOUNT",IF('Source build'!Y360&lt;&gt;0,"CHANGED FIELDS","MATCH")))))))</f>
        <v>MATCH</v>
      </c>
      <c r="P360" s="1" t="str">
        <f t="shared" si="29"/>
        <v>2026-03</v>
      </c>
    </row>
    <row r="361" spans="1:16" ht="18.95" customHeight="1">
      <c r="A361" s="7" t="s">
        <v>1073</v>
      </c>
      <c r="B361" s="7" t="s">
        <v>1074</v>
      </c>
      <c r="C361" s="7" t="s">
        <v>621</v>
      </c>
      <c r="D361" s="7" t="s">
        <v>93</v>
      </c>
      <c r="E361" s="7" t="s">
        <v>46</v>
      </c>
      <c r="F361" s="7" t="s">
        <v>98</v>
      </c>
      <c r="G361" s="7" t="s">
        <v>1075</v>
      </c>
      <c r="I361" s="1">
        <f t="shared" si="25"/>
        <v>1</v>
      </c>
      <c r="J361" s="1" t="str">
        <f>'Source build'!A361</f>
        <v>L00355</v>
      </c>
      <c r="K361" s="1">
        <f>361</f>
        <v>361</v>
      </c>
      <c r="L361" s="10">
        <f t="shared" si="26"/>
        <v>6388</v>
      </c>
      <c r="M361" s="1">
        <f t="shared" si="27"/>
        <v>1</v>
      </c>
      <c r="N361" s="1">
        <f t="shared" si="28"/>
        <v>1</v>
      </c>
      <c r="O361" s="1" t="str">
        <f>IF(I361=0,"UNUSED",IF(A361="","MISSING ID",IF(K361=0,"UNEXPECTED ID",IF(N361&lt;&gt;1,"ID / ORDER DIFFERENCE",IF('Source build'!U361&lt;&gt;"INCLUDED","EXCLUDED SOURCE",IF(NOT(M361),"INVALID AMOUNT",IF('Source build'!Y361&lt;&gt;0,"CHANGED FIELDS","MATCH")))))))</f>
        <v>MATCH</v>
      </c>
      <c r="P361" s="1" t="str">
        <f t="shared" si="29"/>
        <v>2026-03</v>
      </c>
    </row>
    <row r="362" spans="1:16" ht="18.95" customHeight="1">
      <c r="A362" s="7" t="s">
        <v>1076</v>
      </c>
      <c r="B362" s="7" t="s">
        <v>1074</v>
      </c>
      <c r="C362" s="7" t="s">
        <v>621</v>
      </c>
      <c r="D362" s="7" t="s">
        <v>97</v>
      </c>
      <c r="E362" s="7" t="s">
        <v>47</v>
      </c>
      <c r="F362" s="7" t="s">
        <v>98</v>
      </c>
      <c r="G362" s="7" t="s">
        <v>1077</v>
      </c>
      <c r="I362" s="1">
        <f t="shared" si="25"/>
        <v>1</v>
      </c>
      <c r="J362" s="1" t="str">
        <f>'Source build'!A362</f>
        <v>L00356</v>
      </c>
      <c r="K362" s="1">
        <f>362</f>
        <v>362</v>
      </c>
      <c r="L362" s="10">
        <f t="shared" si="26"/>
        <v>1634</v>
      </c>
      <c r="M362" s="1">
        <f t="shared" si="27"/>
        <v>1</v>
      </c>
      <c r="N362" s="1">
        <f t="shared" si="28"/>
        <v>1</v>
      </c>
      <c r="O362" s="1" t="str">
        <f>IF(I362=0,"UNUSED",IF(A362="","MISSING ID",IF(K362=0,"UNEXPECTED ID",IF(N362&lt;&gt;1,"ID / ORDER DIFFERENCE",IF('Source build'!U362&lt;&gt;"INCLUDED","EXCLUDED SOURCE",IF(NOT(M362),"INVALID AMOUNT",IF('Source build'!Y362&lt;&gt;0,"CHANGED FIELDS","MATCH")))))))</f>
        <v>MATCH</v>
      </c>
      <c r="P362" s="1" t="str">
        <f t="shared" si="29"/>
        <v>2026-03</v>
      </c>
    </row>
    <row r="363" spans="1:16" ht="18.95" customHeight="1">
      <c r="A363" s="7" t="s">
        <v>1078</v>
      </c>
      <c r="B363" s="7" t="s">
        <v>1079</v>
      </c>
      <c r="C363" s="7" t="s">
        <v>627</v>
      </c>
      <c r="D363" s="7" t="s">
        <v>103</v>
      </c>
      <c r="E363" s="7" t="s">
        <v>48</v>
      </c>
      <c r="F363" s="7" t="s">
        <v>98</v>
      </c>
      <c r="G363" s="7" t="s">
        <v>1080</v>
      </c>
      <c r="I363" s="1">
        <f t="shared" si="25"/>
        <v>1</v>
      </c>
      <c r="J363" s="1" t="str">
        <f>'Source build'!A363</f>
        <v>L00357</v>
      </c>
      <c r="K363" s="1">
        <f>363</f>
        <v>363</v>
      </c>
      <c r="L363" s="10">
        <f t="shared" si="26"/>
        <v>5013</v>
      </c>
      <c r="M363" s="1">
        <f t="shared" si="27"/>
        <v>1</v>
      </c>
      <c r="N363" s="1">
        <f t="shared" si="28"/>
        <v>1</v>
      </c>
      <c r="O363" s="1" t="str">
        <f>IF(I363=0,"UNUSED",IF(A363="","MISSING ID",IF(K363=0,"UNEXPECTED ID",IF(N363&lt;&gt;1,"ID / ORDER DIFFERENCE",IF('Source build'!U363&lt;&gt;"INCLUDED","EXCLUDED SOURCE",IF(NOT(M363),"INVALID AMOUNT",IF('Source build'!Y363&lt;&gt;0,"CHANGED FIELDS","MATCH")))))))</f>
        <v>MATCH</v>
      </c>
      <c r="P363" s="1" t="str">
        <f t="shared" si="29"/>
        <v>2026-03</v>
      </c>
    </row>
    <row r="364" spans="1:16" ht="18.95" customHeight="1">
      <c r="A364" s="7" t="s">
        <v>1081</v>
      </c>
      <c r="B364" s="7" t="s">
        <v>1079</v>
      </c>
      <c r="C364" s="7" t="s">
        <v>627</v>
      </c>
      <c r="D364" s="7" t="s">
        <v>93</v>
      </c>
      <c r="E364" s="7" t="s">
        <v>46</v>
      </c>
      <c r="F364" s="7" t="s">
        <v>98</v>
      </c>
      <c r="G364" s="7" t="s">
        <v>1082</v>
      </c>
      <c r="I364" s="1">
        <f t="shared" si="25"/>
        <v>1</v>
      </c>
      <c r="J364" s="1" t="str">
        <f>'Source build'!A364</f>
        <v>L00358</v>
      </c>
      <c r="K364" s="1">
        <f>364</f>
        <v>364</v>
      </c>
      <c r="L364" s="10">
        <f t="shared" si="26"/>
        <v>8540</v>
      </c>
      <c r="M364" s="1">
        <f t="shared" si="27"/>
        <v>1</v>
      </c>
      <c r="N364" s="1">
        <f t="shared" si="28"/>
        <v>1</v>
      </c>
      <c r="O364" s="1" t="str">
        <f>IF(I364=0,"UNUSED",IF(A364="","MISSING ID",IF(K364=0,"UNEXPECTED ID",IF(N364&lt;&gt;1,"ID / ORDER DIFFERENCE",IF('Source build'!U364&lt;&gt;"INCLUDED","EXCLUDED SOURCE",IF(NOT(M364),"INVALID AMOUNT",IF('Source build'!Y364&lt;&gt;0,"CHANGED FIELDS","MATCH")))))))</f>
        <v>MATCH</v>
      </c>
      <c r="P364" s="1" t="str">
        <f t="shared" si="29"/>
        <v>2026-03</v>
      </c>
    </row>
    <row r="365" spans="1:16" ht="18.95" customHeight="1">
      <c r="A365" s="7" t="s">
        <v>1083</v>
      </c>
      <c r="B365" s="7" t="s">
        <v>1084</v>
      </c>
      <c r="C365" s="7" t="s">
        <v>633</v>
      </c>
      <c r="D365" s="7" t="s">
        <v>97</v>
      </c>
      <c r="E365" s="7" t="s">
        <v>47</v>
      </c>
      <c r="F365" s="7" t="s">
        <v>98</v>
      </c>
      <c r="G365" s="7" t="s">
        <v>1085</v>
      </c>
      <c r="I365" s="1">
        <f t="shared" si="25"/>
        <v>1</v>
      </c>
      <c r="J365" s="1" t="str">
        <f>'Source build'!A365</f>
        <v>L00359</v>
      </c>
      <c r="K365" s="1">
        <f>365</f>
        <v>365</v>
      </c>
      <c r="L365" s="10">
        <f t="shared" si="26"/>
        <v>3490</v>
      </c>
      <c r="M365" s="1">
        <f t="shared" si="27"/>
        <v>1</v>
      </c>
      <c r="N365" s="1">
        <f t="shared" si="28"/>
        <v>1</v>
      </c>
      <c r="O365" s="1" t="str">
        <f>IF(I365=0,"UNUSED",IF(A365="","MISSING ID",IF(K365=0,"UNEXPECTED ID",IF(N365&lt;&gt;1,"ID / ORDER DIFFERENCE",IF('Source build'!U365&lt;&gt;"INCLUDED","EXCLUDED SOURCE",IF(NOT(M365),"INVALID AMOUNT",IF('Source build'!Y365&lt;&gt;0,"CHANGED FIELDS","MATCH")))))))</f>
        <v>MATCH</v>
      </c>
      <c r="P365" s="1" t="str">
        <f t="shared" si="29"/>
        <v>2026-03</v>
      </c>
    </row>
    <row r="366" spans="1:16" ht="18.95" customHeight="1">
      <c r="A366" s="7" t="s">
        <v>1086</v>
      </c>
      <c r="B366" s="7" t="s">
        <v>1084</v>
      </c>
      <c r="C366" s="7" t="s">
        <v>633</v>
      </c>
      <c r="D366" s="7" t="s">
        <v>103</v>
      </c>
      <c r="E366" s="7" t="s">
        <v>48</v>
      </c>
      <c r="F366" s="7" t="s">
        <v>98</v>
      </c>
      <c r="G366" s="7" t="s">
        <v>1087</v>
      </c>
      <c r="I366" s="1">
        <f t="shared" si="25"/>
        <v>1</v>
      </c>
      <c r="J366" s="1" t="str">
        <f>'Source build'!A366</f>
        <v>L00360</v>
      </c>
      <c r="K366" s="1">
        <f>366</f>
        <v>366</v>
      </c>
      <c r="L366" s="10">
        <f t="shared" si="26"/>
        <v>7128</v>
      </c>
      <c r="M366" s="1">
        <f t="shared" si="27"/>
        <v>1</v>
      </c>
      <c r="N366" s="1">
        <f t="shared" si="28"/>
        <v>1</v>
      </c>
      <c r="O366" s="1" t="str">
        <f>IF(I366=0,"UNUSED",IF(A366="","MISSING ID",IF(K366=0,"UNEXPECTED ID",IF(N366&lt;&gt;1,"ID / ORDER DIFFERENCE",IF('Source build'!U366&lt;&gt;"INCLUDED","EXCLUDED SOURCE",IF(NOT(M366),"INVALID AMOUNT",IF('Source build'!Y366&lt;&gt;0,"CHANGED FIELDS","MATCH")))))))</f>
        <v>MATCH</v>
      </c>
      <c r="P366" s="1" t="str">
        <f t="shared" si="29"/>
        <v>2026-03</v>
      </c>
    </row>
    <row r="367" spans="1:16" ht="18.95" customHeight="1">
      <c r="A367" s="7" t="s">
        <v>1088</v>
      </c>
      <c r="B367" s="7" t="s">
        <v>1089</v>
      </c>
      <c r="C367" s="7" t="s">
        <v>92</v>
      </c>
      <c r="D367" s="7" t="s">
        <v>93</v>
      </c>
      <c r="E367" s="7" t="s">
        <v>46</v>
      </c>
      <c r="F367" s="7" t="s">
        <v>98</v>
      </c>
      <c r="G367" s="7" t="s">
        <v>1090</v>
      </c>
      <c r="I367" s="1">
        <f t="shared" si="25"/>
        <v>1</v>
      </c>
      <c r="J367" s="1" t="str">
        <f>'Source build'!A367</f>
        <v>L00361</v>
      </c>
      <c r="K367" s="1">
        <f>367</f>
        <v>367</v>
      </c>
      <c r="L367" s="10">
        <f t="shared" si="26"/>
        <v>1819</v>
      </c>
      <c r="M367" s="1">
        <f t="shared" si="27"/>
        <v>1</v>
      </c>
      <c r="N367" s="1">
        <f t="shared" si="28"/>
        <v>1</v>
      </c>
      <c r="O367" s="1" t="str">
        <f>IF(I367=0,"UNUSED",IF(A367="","MISSING ID",IF(K367=0,"UNEXPECTED ID",IF(N367&lt;&gt;1,"ID / ORDER DIFFERENCE",IF('Source build'!U367&lt;&gt;"INCLUDED","EXCLUDED SOURCE",IF(NOT(M367),"INVALID AMOUNT",IF('Source build'!Y367&lt;&gt;0,"CHANGED FIELDS","MATCH")))))))</f>
        <v>MATCH</v>
      </c>
      <c r="P367" s="1" t="str">
        <f t="shared" si="29"/>
        <v>2026-01</v>
      </c>
    </row>
    <row r="368" spans="1:16" ht="18.95" customHeight="1">
      <c r="A368" s="7" t="s">
        <v>1091</v>
      </c>
      <c r="B368" s="7" t="s">
        <v>1089</v>
      </c>
      <c r="C368" s="7" t="s">
        <v>92</v>
      </c>
      <c r="D368" s="7" t="s">
        <v>97</v>
      </c>
      <c r="E368" s="7" t="s">
        <v>47</v>
      </c>
      <c r="F368" s="7" t="s">
        <v>98</v>
      </c>
      <c r="G368" s="7" t="s">
        <v>1092</v>
      </c>
      <c r="I368" s="1">
        <f t="shared" si="25"/>
        <v>1</v>
      </c>
      <c r="J368" s="1" t="str">
        <f>'Source build'!A368</f>
        <v>L00362</v>
      </c>
      <c r="K368" s="1">
        <f>368</f>
        <v>368</v>
      </c>
      <c r="L368" s="10">
        <f t="shared" si="26"/>
        <v>5568</v>
      </c>
      <c r="M368" s="1">
        <f t="shared" si="27"/>
        <v>1</v>
      </c>
      <c r="N368" s="1">
        <f t="shared" si="28"/>
        <v>1</v>
      </c>
      <c r="O368" s="1" t="str">
        <f>IF(I368=0,"UNUSED",IF(A368="","MISSING ID",IF(K368=0,"UNEXPECTED ID",IF(N368&lt;&gt;1,"ID / ORDER DIFFERENCE",IF('Source build'!U368&lt;&gt;"INCLUDED","EXCLUDED SOURCE",IF(NOT(M368),"INVALID AMOUNT",IF('Source build'!Y368&lt;&gt;0,"CHANGED FIELDS","MATCH")))))))</f>
        <v>MATCH</v>
      </c>
      <c r="P368" s="1" t="str">
        <f t="shared" si="29"/>
        <v>2026-01</v>
      </c>
    </row>
    <row r="369" spans="1:16" ht="18.95" customHeight="1">
      <c r="A369" s="7" t="s">
        <v>1093</v>
      </c>
      <c r="B369" s="7" t="s">
        <v>1094</v>
      </c>
      <c r="C369" s="7" t="s">
        <v>102</v>
      </c>
      <c r="D369" s="7" t="s">
        <v>103</v>
      </c>
      <c r="E369" s="7" t="s">
        <v>48</v>
      </c>
      <c r="F369" s="7" t="s">
        <v>98</v>
      </c>
      <c r="G369" s="7" t="s">
        <v>1095</v>
      </c>
      <c r="I369" s="1">
        <f t="shared" si="25"/>
        <v>1</v>
      </c>
      <c r="J369" s="1" t="str">
        <f>'Source build'!A369</f>
        <v>L00363</v>
      </c>
      <c r="K369" s="1">
        <f>369</f>
        <v>369</v>
      </c>
      <c r="L369" s="10">
        <f t="shared" si="26"/>
        <v>9465</v>
      </c>
      <c r="M369" s="1">
        <f t="shared" si="27"/>
        <v>1</v>
      </c>
      <c r="N369" s="1">
        <f t="shared" si="28"/>
        <v>1</v>
      </c>
      <c r="O369" s="1" t="str">
        <f>IF(I369=0,"UNUSED",IF(A369="","MISSING ID",IF(K369=0,"UNEXPECTED ID",IF(N369&lt;&gt;1,"ID / ORDER DIFFERENCE",IF('Source build'!U369&lt;&gt;"INCLUDED","EXCLUDED SOURCE",IF(NOT(M369),"INVALID AMOUNT",IF('Source build'!Y369&lt;&gt;0,"CHANGED FIELDS","MATCH")))))))</f>
        <v>MATCH</v>
      </c>
      <c r="P369" s="1" t="str">
        <f t="shared" si="29"/>
        <v>2026-01</v>
      </c>
    </row>
    <row r="370" spans="1:16" ht="18.95" customHeight="1">
      <c r="A370" s="7" t="s">
        <v>1096</v>
      </c>
      <c r="B370" s="7" t="s">
        <v>1094</v>
      </c>
      <c r="C370" s="7" t="s">
        <v>102</v>
      </c>
      <c r="D370" s="7" t="s">
        <v>93</v>
      </c>
      <c r="E370" s="7" t="s">
        <v>46</v>
      </c>
      <c r="F370" s="7" t="s">
        <v>98</v>
      </c>
      <c r="G370" s="7" t="s">
        <v>1097</v>
      </c>
      <c r="I370" s="1">
        <f t="shared" si="25"/>
        <v>1</v>
      </c>
      <c r="J370" s="1" t="str">
        <f>'Source build'!A370</f>
        <v>L00364</v>
      </c>
      <c r="K370" s="1">
        <f>370</f>
        <v>370</v>
      </c>
      <c r="L370" s="10">
        <f t="shared" si="26"/>
        <v>3860</v>
      </c>
      <c r="M370" s="1">
        <f t="shared" si="27"/>
        <v>1</v>
      </c>
      <c r="N370" s="1">
        <f t="shared" si="28"/>
        <v>1</v>
      </c>
      <c r="O370" s="1" t="str">
        <f>IF(I370=0,"UNUSED",IF(A370="","MISSING ID",IF(K370=0,"UNEXPECTED ID",IF(N370&lt;&gt;1,"ID / ORDER DIFFERENCE",IF('Source build'!U370&lt;&gt;"INCLUDED","EXCLUDED SOURCE",IF(NOT(M370),"INVALID AMOUNT",IF('Source build'!Y370&lt;&gt;0,"CHANGED FIELDS","MATCH")))))))</f>
        <v>MATCH</v>
      </c>
      <c r="P370" s="1" t="str">
        <f t="shared" si="29"/>
        <v>2026-01</v>
      </c>
    </row>
    <row r="371" spans="1:16" ht="18.95" customHeight="1">
      <c r="A371" s="7" t="s">
        <v>1098</v>
      </c>
      <c r="B371" s="7" t="s">
        <v>1099</v>
      </c>
      <c r="C371" s="7" t="s">
        <v>109</v>
      </c>
      <c r="D371" s="7" t="s">
        <v>97</v>
      </c>
      <c r="E371" s="7" t="s">
        <v>47</v>
      </c>
      <c r="F371" s="7" t="s">
        <v>98</v>
      </c>
      <c r="G371" s="7" t="s">
        <v>1100</v>
      </c>
      <c r="I371" s="1">
        <f t="shared" si="25"/>
        <v>1</v>
      </c>
      <c r="J371" s="1" t="str">
        <f>'Source build'!A371</f>
        <v>L00365</v>
      </c>
      <c r="K371" s="1">
        <f>371</f>
        <v>371</v>
      </c>
      <c r="L371" s="10">
        <f t="shared" si="26"/>
        <v>7868</v>
      </c>
      <c r="M371" s="1">
        <f t="shared" si="27"/>
        <v>1</v>
      </c>
      <c r="N371" s="1">
        <f t="shared" si="28"/>
        <v>1</v>
      </c>
      <c r="O371" s="1" t="str">
        <f>IF(I371=0,"UNUSED",IF(A371="","MISSING ID",IF(K371=0,"UNEXPECTED ID",IF(N371&lt;&gt;1,"ID / ORDER DIFFERENCE",IF('Source build'!U371&lt;&gt;"INCLUDED","EXCLUDED SOURCE",IF(NOT(M371),"INVALID AMOUNT",IF('Source build'!Y371&lt;&gt;0,"CHANGED FIELDS","MATCH")))))))</f>
        <v>MATCH</v>
      </c>
      <c r="P371" s="1" t="str">
        <f t="shared" si="29"/>
        <v>2026-01</v>
      </c>
    </row>
    <row r="372" spans="1:16" ht="18.95" customHeight="1">
      <c r="A372" s="7" t="s">
        <v>1101</v>
      </c>
      <c r="B372" s="7" t="s">
        <v>1099</v>
      </c>
      <c r="C372" s="7" t="s">
        <v>109</v>
      </c>
      <c r="D372" s="7" t="s">
        <v>103</v>
      </c>
      <c r="E372" s="7" t="s">
        <v>48</v>
      </c>
      <c r="F372" s="7" t="s">
        <v>98</v>
      </c>
      <c r="G372" s="7" t="s">
        <v>1102</v>
      </c>
      <c r="I372" s="1">
        <f t="shared" si="25"/>
        <v>1</v>
      </c>
      <c r="J372" s="1" t="str">
        <f>'Source build'!A372</f>
        <v>L00366</v>
      </c>
      <c r="K372" s="1">
        <f>372</f>
        <v>372</v>
      </c>
      <c r="L372" s="10">
        <f t="shared" si="26"/>
        <v>2004</v>
      </c>
      <c r="M372" s="1">
        <f t="shared" si="27"/>
        <v>1</v>
      </c>
      <c r="N372" s="1">
        <f t="shared" si="28"/>
        <v>1</v>
      </c>
      <c r="O372" s="1" t="str">
        <f>IF(I372=0,"UNUSED",IF(A372="","MISSING ID",IF(K372=0,"UNEXPECTED ID",IF(N372&lt;&gt;1,"ID / ORDER DIFFERENCE",IF('Source build'!U372&lt;&gt;"INCLUDED","EXCLUDED SOURCE",IF(NOT(M372),"INVALID AMOUNT",IF('Source build'!Y372&lt;&gt;0,"CHANGED FIELDS","MATCH")))))))</f>
        <v>MATCH</v>
      </c>
      <c r="P372" s="1" t="str">
        <f t="shared" si="29"/>
        <v>2026-01</v>
      </c>
    </row>
    <row r="373" spans="1:16" ht="18.95" customHeight="1">
      <c r="A373" s="7" t="s">
        <v>1103</v>
      </c>
      <c r="B373" s="7" t="s">
        <v>1104</v>
      </c>
      <c r="C373" s="7" t="s">
        <v>115</v>
      </c>
      <c r="D373" s="7" t="s">
        <v>93</v>
      </c>
      <c r="E373" s="7" t="s">
        <v>46</v>
      </c>
      <c r="F373" s="7" t="s">
        <v>98</v>
      </c>
      <c r="G373" s="7" t="s">
        <v>1105</v>
      </c>
      <c r="I373" s="1">
        <f t="shared" si="25"/>
        <v>1</v>
      </c>
      <c r="J373" s="1" t="str">
        <f>'Source build'!A373</f>
        <v>L00367</v>
      </c>
      <c r="K373" s="1">
        <f>373</f>
        <v>373</v>
      </c>
      <c r="L373" s="10">
        <f t="shared" si="26"/>
        <v>6123</v>
      </c>
      <c r="M373" s="1">
        <f t="shared" si="27"/>
        <v>1</v>
      </c>
      <c r="N373" s="1">
        <f t="shared" si="28"/>
        <v>1</v>
      </c>
      <c r="O373" s="1" t="str">
        <f>IF(I373=0,"UNUSED",IF(A373="","MISSING ID",IF(K373=0,"UNEXPECTED ID",IF(N373&lt;&gt;1,"ID / ORDER DIFFERENCE",IF('Source build'!U373&lt;&gt;"INCLUDED","EXCLUDED SOURCE",IF(NOT(M373),"INVALID AMOUNT",IF('Source build'!Y373&lt;&gt;0,"CHANGED FIELDS","MATCH")))))))</f>
        <v>MATCH</v>
      </c>
      <c r="P373" s="1" t="str">
        <f t="shared" si="29"/>
        <v>2026-01</v>
      </c>
    </row>
    <row r="374" spans="1:16" ht="18.95" customHeight="1">
      <c r="A374" s="7" t="s">
        <v>1106</v>
      </c>
      <c r="B374" s="7" t="s">
        <v>1104</v>
      </c>
      <c r="C374" s="7" t="s">
        <v>115</v>
      </c>
      <c r="D374" s="7" t="s">
        <v>97</v>
      </c>
      <c r="E374" s="7" t="s">
        <v>47</v>
      </c>
      <c r="F374" s="7" t="s">
        <v>98</v>
      </c>
      <c r="G374" s="7" t="s">
        <v>1107</v>
      </c>
      <c r="I374" s="1">
        <f t="shared" si="25"/>
        <v>1</v>
      </c>
      <c r="J374" s="1" t="str">
        <f>'Source build'!A374</f>
        <v>L00368</v>
      </c>
      <c r="K374" s="1">
        <f>374</f>
        <v>374</v>
      </c>
      <c r="L374" s="10">
        <f t="shared" si="26"/>
        <v>10390</v>
      </c>
      <c r="M374" s="1">
        <f t="shared" si="27"/>
        <v>1</v>
      </c>
      <c r="N374" s="1">
        <f t="shared" si="28"/>
        <v>1</v>
      </c>
      <c r="O374" s="1" t="str">
        <f>IF(I374=0,"UNUSED",IF(A374="","MISSING ID",IF(K374=0,"UNEXPECTED ID",IF(N374&lt;&gt;1,"ID / ORDER DIFFERENCE",IF('Source build'!U374&lt;&gt;"INCLUDED","EXCLUDED SOURCE",IF(NOT(M374),"INVALID AMOUNT",IF('Source build'!Y374&lt;&gt;0,"CHANGED FIELDS","MATCH")))))))</f>
        <v>MATCH</v>
      </c>
      <c r="P374" s="1" t="str">
        <f t="shared" si="29"/>
        <v>2026-01</v>
      </c>
    </row>
    <row r="375" spans="1:16" ht="18.95" customHeight="1">
      <c r="A375" s="7" t="s">
        <v>1108</v>
      </c>
      <c r="B375" s="7" t="s">
        <v>1109</v>
      </c>
      <c r="C375" s="7" t="s">
        <v>121</v>
      </c>
      <c r="D375" s="7" t="s">
        <v>103</v>
      </c>
      <c r="E375" s="7" t="s">
        <v>48</v>
      </c>
      <c r="F375" s="7" t="s">
        <v>94</v>
      </c>
      <c r="G375" s="7" t="s">
        <v>1110</v>
      </c>
      <c r="I375" s="1">
        <f t="shared" si="25"/>
        <v>1</v>
      </c>
      <c r="J375" s="1" t="str">
        <f>'Source build'!A375</f>
        <v>L00369</v>
      </c>
      <c r="K375" s="1">
        <f>375</f>
        <v>375</v>
      </c>
      <c r="L375" s="10">
        <f t="shared" si="26"/>
        <v>-4230</v>
      </c>
      <c r="M375" s="1">
        <f t="shared" si="27"/>
        <v>1</v>
      </c>
      <c r="N375" s="1">
        <f t="shared" si="28"/>
        <v>1</v>
      </c>
      <c r="O375" s="1" t="str">
        <f>IF(I375=0,"UNUSED",IF(A375="","MISSING ID",IF(K375=0,"UNEXPECTED ID",IF(N375&lt;&gt;1,"ID / ORDER DIFFERENCE",IF('Source build'!U375&lt;&gt;"INCLUDED","EXCLUDED SOURCE",IF(NOT(M375),"INVALID AMOUNT",IF('Source build'!Y375&lt;&gt;0,"CHANGED FIELDS","MATCH")))))))</f>
        <v>MATCH</v>
      </c>
      <c r="P375" s="1" t="str">
        <f t="shared" si="29"/>
        <v>2026-01</v>
      </c>
    </row>
    <row r="376" spans="1:16" ht="18.95" customHeight="1">
      <c r="A376" s="7" t="s">
        <v>1111</v>
      </c>
      <c r="B376" s="7" t="s">
        <v>1109</v>
      </c>
      <c r="C376" s="7" t="s">
        <v>121</v>
      </c>
      <c r="D376" s="7" t="s">
        <v>93</v>
      </c>
      <c r="E376" s="7" t="s">
        <v>46</v>
      </c>
      <c r="F376" s="7" t="s">
        <v>98</v>
      </c>
      <c r="G376" s="7" t="s">
        <v>1112</v>
      </c>
      <c r="I376" s="1">
        <f t="shared" si="25"/>
        <v>1</v>
      </c>
      <c r="J376" s="1" t="str">
        <f>'Source build'!A376</f>
        <v>L00370</v>
      </c>
      <c r="K376" s="1">
        <f>376</f>
        <v>376</v>
      </c>
      <c r="L376" s="10">
        <f t="shared" si="26"/>
        <v>8608</v>
      </c>
      <c r="M376" s="1">
        <f t="shared" si="27"/>
        <v>1</v>
      </c>
      <c r="N376" s="1">
        <f t="shared" si="28"/>
        <v>1</v>
      </c>
      <c r="O376" s="1" t="str">
        <f>IF(I376=0,"UNUSED",IF(A376="","MISSING ID",IF(K376=0,"UNEXPECTED ID",IF(N376&lt;&gt;1,"ID / ORDER DIFFERENCE",IF('Source build'!U376&lt;&gt;"INCLUDED","EXCLUDED SOURCE",IF(NOT(M376),"INVALID AMOUNT",IF('Source build'!Y376&lt;&gt;0,"CHANGED FIELDS","MATCH")))))))</f>
        <v>MATCH</v>
      </c>
      <c r="P376" s="1" t="str">
        <f t="shared" si="29"/>
        <v>2026-01</v>
      </c>
    </row>
    <row r="377" spans="1:16" ht="18.95" customHeight="1">
      <c r="A377" s="7" t="s">
        <v>1113</v>
      </c>
      <c r="B377" s="7" t="s">
        <v>1114</v>
      </c>
      <c r="C377" s="7" t="s">
        <v>127</v>
      </c>
      <c r="D377" s="7" t="s">
        <v>97</v>
      </c>
      <c r="E377" s="7" t="s">
        <v>47</v>
      </c>
      <c r="F377" s="7" t="s">
        <v>98</v>
      </c>
      <c r="G377" s="7" t="s">
        <v>1115</v>
      </c>
      <c r="I377" s="1">
        <f t="shared" si="25"/>
        <v>1</v>
      </c>
      <c r="J377" s="1" t="str">
        <f>'Source build'!A377</f>
        <v>L00371</v>
      </c>
      <c r="K377" s="1">
        <f>377</f>
        <v>377</v>
      </c>
      <c r="L377" s="10">
        <f t="shared" si="26"/>
        <v>2189</v>
      </c>
      <c r="M377" s="1">
        <f t="shared" si="27"/>
        <v>1</v>
      </c>
      <c r="N377" s="1">
        <f t="shared" si="28"/>
        <v>1</v>
      </c>
      <c r="O377" s="1" t="str">
        <f>IF(I377=0,"UNUSED",IF(A377="","MISSING ID",IF(K377=0,"UNEXPECTED ID",IF(N377&lt;&gt;1,"ID / ORDER DIFFERENCE",IF('Source build'!U377&lt;&gt;"INCLUDED","EXCLUDED SOURCE",IF(NOT(M377),"INVALID AMOUNT",IF('Source build'!Y377&lt;&gt;0,"CHANGED FIELDS","MATCH")))))))</f>
        <v>MATCH</v>
      </c>
      <c r="P377" s="1" t="str">
        <f t="shared" si="29"/>
        <v>2026-02</v>
      </c>
    </row>
    <row r="378" spans="1:16" ht="18.95" customHeight="1">
      <c r="A378" s="7" t="s">
        <v>1116</v>
      </c>
      <c r="B378" s="7" t="s">
        <v>1114</v>
      </c>
      <c r="C378" s="7" t="s">
        <v>127</v>
      </c>
      <c r="D378" s="7" t="s">
        <v>103</v>
      </c>
      <c r="E378" s="7" t="s">
        <v>48</v>
      </c>
      <c r="F378" s="7" t="s">
        <v>98</v>
      </c>
      <c r="G378" s="7" t="s">
        <v>1117</v>
      </c>
      <c r="I378" s="1">
        <f t="shared" si="25"/>
        <v>1</v>
      </c>
      <c r="J378" s="1" t="str">
        <f>'Source build'!A378</f>
        <v>L00372</v>
      </c>
      <c r="K378" s="1">
        <f>378</f>
        <v>378</v>
      </c>
      <c r="L378" s="10">
        <f t="shared" si="26"/>
        <v>6678</v>
      </c>
      <c r="M378" s="1">
        <f t="shared" si="27"/>
        <v>1</v>
      </c>
      <c r="N378" s="1">
        <f t="shared" si="28"/>
        <v>1</v>
      </c>
      <c r="O378" s="1" t="str">
        <f>IF(I378=0,"UNUSED",IF(A378="","MISSING ID",IF(K378=0,"UNEXPECTED ID",IF(N378&lt;&gt;1,"ID / ORDER DIFFERENCE",IF('Source build'!U378&lt;&gt;"INCLUDED","EXCLUDED SOURCE",IF(NOT(M378),"INVALID AMOUNT",IF('Source build'!Y378&lt;&gt;0,"CHANGED FIELDS","MATCH")))))))</f>
        <v>MATCH</v>
      </c>
      <c r="P378" s="1" t="str">
        <f t="shared" si="29"/>
        <v>2026-02</v>
      </c>
    </row>
    <row r="379" spans="1:16" ht="18.95" customHeight="1">
      <c r="A379" s="7" t="s">
        <v>1118</v>
      </c>
      <c r="B379" s="7" t="s">
        <v>1119</v>
      </c>
      <c r="C379" s="7" t="s">
        <v>133</v>
      </c>
      <c r="D379" s="7" t="s">
        <v>93</v>
      </c>
      <c r="E379" s="7" t="s">
        <v>46</v>
      </c>
      <c r="F379" s="7" t="s">
        <v>98</v>
      </c>
      <c r="G379" s="7" t="s">
        <v>1120</v>
      </c>
      <c r="I379" s="1">
        <f t="shared" si="25"/>
        <v>1</v>
      </c>
      <c r="J379" s="1" t="str">
        <f>'Source build'!A379</f>
        <v>L00373</v>
      </c>
      <c r="K379" s="1">
        <f>379</f>
        <v>379</v>
      </c>
      <c r="L379" s="10">
        <f t="shared" si="26"/>
        <v>11315</v>
      </c>
      <c r="M379" s="1">
        <f t="shared" si="27"/>
        <v>1</v>
      </c>
      <c r="N379" s="1">
        <f t="shared" si="28"/>
        <v>1</v>
      </c>
      <c r="O379" s="1" t="str">
        <f>IF(I379=0,"UNUSED",IF(A379="","MISSING ID",IF(K379=0,"UNEXPECTED ID",IF(N379&lt;&gt;1,"ID / ORDER DIFFERENCE",IF('Source build'!U379&lt;&gt;"INCLUDED","EXCLUDED SOURCE",IF(NOT(M379),"INVALID AMOUNT",IF('Source build'!Y379&lt;&gt;0,"CHANGED FIELDS","MATCH")))))))</f>
        <v>MATCH</v>
      </c>
      <c r="P379" s="1" t="str">
        <f t="shared" si="29"/>
        <v>2026-02</v>
      </c>
    </row>
    <row r="380" spans="1:16" ht="18.95" customHeight="1">
      <c r="A380" s="7" t="s">
        <v>1121</v>
      </c>
      <c r="B380" s="7" t="s">
        <v>1119</v>
      </c>
      <c r="C380" s="7" t="s">
        <v>133</v>
      </c>
      <c r="D380" s="7" t="s">
        <v>97</v>
      </c>
      <c r="E380" s="7" t="s">
        <v>47</v>
      </c>
      <c r="F380" s="7" t="s">
        <v>98</v>
      </c>
      <c r="G380" s="7" t="s">
        <v>1122</v>
      </c>
      <c r="I380" s="1">
        <f t="shared" si="25"/>
        <v>1</v>
      </c>
      <c r="J380" s="1" t="str">
        <f>'Source build'!A380</f>
        <v>L00374</v>
      </c>
      <c r="K380" s="1">
        <f>380</f>
        <v>380</v>
      </c>
      <c r="L380" s="10">
        <f t="shared" si="26"/>
        <v>4600</v>
      </c>
      <c r="M380" s="1">
        <f t="shared" si="27"/>
        <v>1</v>
      </c>
      <c r="N380" s="1">
        <f t="shared" si="28"/>
        <v>1</v>
      </c>
      <c r="O380" s="1" t="str">
        <f>IF(I380=0,"UNUSED",IF(A380="","MISSING ID",IF(K380=0,"UNEXPECTED ID",IF(N380&lt;&gt;1,"ID / ORDER DIFFERENCE",IF('Source build'!U380&lt;&gt;"INCLUDED","EXCLUDED SOURCE",IF(NOT(M380),"INVALID AMOUNT",IF('Source build'!Y380&lt;&gt;0,"CHANGED FIELDS","MATCH")))))))</f>
        <v>MATCH</v>
      </c>
      <c r="P380" s="1" t="str">
        <f t="shared" si="29"/>
        <v>2026-02</v>
      </c>
    </row>
    <row r="381" spans="1:16" ht="18.95" customHeight="1">
      <c r="A381" s="7" t="s">
        <v>1123</v>
      </c>
      <c r="B381" s="7" t="s">
        <v>1124</v>
      </c>
      <c r="C381" s="7" t="s">
        <v>139</v>
      </c>
      <c r="D381" s="7" t="s">
        <v>103</v>
      </c>
      <c r="E381" s="7" t="s">
        <v>48</v>
      </c>
      <c r="F381" s="7" t="s">
        <v>98</v>
      </c>
      <c r="G381" s="7" t="s">
        <v>1125</v>
      </c>
      <c r="I381" s="1">
        <f t="shared" si="25"/>
        <v>1</v>
      </c>
      <c r="J381" s="1" t="str">
        <f>'Source build'!A381</f>
        <v>L00375</v>
      </c>
      <c r="K381" s="1">
        <f>381</f>
        <v>381</v>
      </c>
      <c r="L381" s="10">
        <f t="shared" si="26"/>
        <v>9348</v>
      </c>
      <c r="M381" s="1">
        <f t="shared" si="27"/>
        <v>1</v>
      </c>
      <c r="N381" s="1">
        <f t="shared" si="28"/>
        <v>1</v>
      </c>
      <c r="O381" s="1" t="str">
        <f>IF(I381=0,"UNUSED",IF(A381="","MISSING ID",IF(K381=0,"UNEXPECTED ID",IF(N381&lt;&gt;1,"ID / ORDER DIFFERENCE",IF('Source build'!U381&lt;&gt;"INCLUDED","EXCLUDED SOURCE",IF(NOT(M381),"INVALID AMOUNT",IF('Source build'!Y381&lt;&gt;0,"CHANGED FIELDS","MATCH")))))))</f>
        <v>MATCH</v>
      </c>
      <c r="P381" s="1" t="str">
        <f t="shared" si="29"/>
        <v>2026-02</v>
      </c>
    </row>
    <row r="382" spans="1:16" ht="18.95" customHeight="1">
      <c r="A382" s="7" t="s">
        <v>1126</v>
      </c>
      <c r="B382" s="7" t="s">
        <v>1124</v>
      </c>
      <c r="C382" s="7" t="s">
        <v>139</v>
      </c>
      <c r="D382" s="7" t="s">
        <v>93</v>
      </c>
      <c r="E382" s="7" t="s">
        <v>46</v>
      </c>
      <c r="F382" s="7" t="s">
        <v>98</v>
      </c>
      <c r="G382" s="7" t="s">
        <v>1127</v>
      </c>
      <c r="I382" s="1">
        <f t="shared" si="25"/>
        <v>1</v>
      </c>
      <c r="J382" s="1" t="str">
        <f>'Source build'!A382</f>
        <v>L00376</v>
      </c>
      <c r="K382" s="1">
        <f>382</f>
        <v>382</v>
      </c>
      <c r="L382" s="10">
        <f t="shared" si="26"/>
        <v>2374</v>
      </c>
      <c r="M382" s="1">
        <f t="shared" si="27"/>
        <v>1</v>
      </c>
      <c r="N382" s="1">
        <f t="shared" si="28"/>
        <v>1</v>
      </c>
      <c r="O382" s="1" t="str">
        <f>IF(I382=0,"UNUSED",IF(A382="","MISSING ID",IF(K382=0,"UNEXPECTED ID",IF(N382&lt;&gt;1,"ID / ORDER DIFFERENCE",IF('Source build'!U382&lt;&gt;"INCLUDED","EXCLUDED SOURCE",IF(NOT(M382),"INVALID AMOUNT",IF('Source build'!Y382&lt;&gt;0,"CHANGED FIELDS","MATCH")))))))</f>
        <v>MATCH</v>
      </c>
      <c r="P382" s="1" t="str">
        <f t="shared" si="29"/>
        <v>2026-02</v>
      </c>
    </row>
    <row r="383" spans="1:16" ht="18.95" customHeight="1">
      <c r="A383" s="7" t="s">
        <v>1128</v>
      </c>
      <c r="B383" s="7" t="s">
        <v>1129</v>
      </c>
      <c r="C383" s="7" t="s">
        <v>145</v>
      </c>
      <c r="D383" s="7" t="s">
        <v>97</v>
      </c>
      <c r="E383" s="7" t="s">
        <v>47</v>
      </c>
      <c r="F383" s="7" t="s">
        <v>98</v>
      </c>
      <c r="G383" s="7" t="s">
        <v>1130</v>
      </c>
      <c r="I383" s="1">
        <f t="shared" si="25"/>
        <v>1</v>
      </c>
      <c r="J383" s="1" t="str">
        <f>'Source build'!A383</f>
        <v>L00377</v>
      </c>
      <c r="K383" s="1">
        <f>383</f>
        <v>383</v>
      </c>
      <c r="L383" s="10">
        <f t="shared" si="26"/>
        <v>7233</v>
      </c>
      <c r="M383" s="1">
        <f t="shared" si="27"/>
        <v>1</v>
      </c>
      <c r="N383" s="1">
        <f t="shared" si="28"/>
        <v>1</v>
      </c>
      <c r="O383" s="1" t="str">
        <f>IF(I383=0,"UNUSED",IF(A383="","MISSING ID",IF(K383=0,"UNEXPECTED ID",IF(N383&lt;&gt;1,"ID / ORDER DIFFERENCE",IF('Source build'!U383&lt;&gt;"INCLUDED","EXCLUDED SOURCE",IF(NOT(M383),"INVALID AMOUNT",IF('Source build'!Y383&lt;&gt;0,"CHANGED FIELDS","MATCH")))))))</f>
        <v>MATCH</v>
      </c>
      <c r="P383" s="1" t="str">
        <f t="shared" si="29"/>
        <v>2026-02</v>
      </c>
    </row>
    <row r="384" spans="1:16" ht="18.95" customHeight="1">
      <c r="A384" s="7" t="s">
        <v>1131</v>
      </c>
      <c r="B384" s="7" t="s">
        <v>1129</v>
      </c>
      <c r="C384" s="7" t="s">
        <v>145</v>
      </c>
      <c r="D384" s="7" t="s">
        <v>103</v>
      </c>
      <c r="E384" s="7" t="s">
        <v>48</v>
      </c>
      <c r="F384" s="7" t="s">
        <v>98</v>
      </c>
      <c r="G384" s="7" t="s">
        <v>1132</v>
      </c>
      <c r="I384" s="1">
        <f t="shared" si="25"/>
        <v>1</v>
      </c>
      <c r="J384" s="1" t="str">
        <f>'Source build'!A384</f>
        <v>L00378</v>
      </c>
      <c r="K384" s="1">
        <f>384</f>
        <v>384</v>
      </c>
      <c r="L384" s="10">
        <f t="shared" si="26"/>
        <v>12240</v>
      </c>
      <c r="M384" s="1">
        <f t="shared" si="27"/>
        <v>1</v>
      </c>
      <c r="N384" s="1">
        <f t="shared" si="28"/>
        <v>1</v>
      </c>
      <c r="O384" s="1" t="str">
        <f>IF(I384=0,"UNUSED",IF(A384="","MISSING ID",IF(K384=0,"UNEXPECTED ID",IF(N384&lt;&gt;1,"ID / ORDER DIFFERENCE",IF('Source build'!U384&lt;&gt;"INCLUDED","EXCLUDED SOURCE",IF(NOT(M384),"INVALID AMOUNT",IF('Source build'!Y384&lt;&gt;0,"CHANGED FIELDS","MATCH")))))))</f>
        <v>MATCH</v>
      </c>
      <c r="P384" s="1" t="str">
        <f t="shared" si="29"/>
        <v>2026-02</v>
      </c>
    </row>
    <row r="385" spans="1:16" ht="18.95" customHeight="1">
      <c r="A385" s="7" t="s">
        <v>1133</v>
      </c>
      <c r="B385" s="7" t="s">
        <v>1134</v>
      </c>
      <c r="C385" s="7" t="s">
        <v>151</v>
      </c>
      <c r="D385" s="7" t="s">
        <v>93</v>
      </c>
      <c r="E385" s="7" t="s">
        <v>46</v>
      </c>
      <c r="F385" s="7" t="s">
        <v>98</v>
      </c>
      <c r="G385" s="7" t="s">
        <v>1135</v>
      </c>
      <c r="I385" s="1">
        <f t="shared" si="25"/>
        <v>1</v>
      </c>
      <c r="J385" s="1" t="str">
        <f>'Source build'!A385</f>
        <v>L00379</v>
      </c>
      <c r="K385" s="1">
        <f>385</f>
        <v>385</v>
      </c>
      <c r="L385" s="10">
        <f t="shared" si="26"/>
        <v>4970</v>
      </c>
      <c r="M385" s="1">
        <f t="shared" si="27"/>
        <v>1</v>
      </c>
      <c r="N385" s="1">
        <f t="shared" si="28"/>
        <v>1</v>
      </c>
      <c r="O385" s="1" t="str">
        <f>IF(I385=0,"UNUSED",IF(A385="","MISSING ID",IF(K385=0,"UNEXPECTED ID",IF(N385&lt;&gt;1,"ID / ORDER DIFFERENCE",IF('Source build'!U385&lt;&gt;"INCLUDED","EXCLUDED SOURCE",IF(NOT(M385),"INVALID AMOUNT",IF('Source build'!Y385&lt;&gt;0,"CHANGED FIELDS","MATCH")))))))</f>
        <v>MATCH</v>
      </c>
      <c r="P385" s="1" t="str">
        <f t="shared" si="29"/>
        <v>2026-03</v>
      </c>
    </row>
    <row r="386" spans="1:16" ht="18.95" customHeight="1">
      <c r="A386" s="7" t="s">
        <v>1136</v>
      </c>
      <c r="B386" s="7" t="s">
        <v>1134</v>
      </c>
      <c r="C386" s="7" t="s">
        <v>151</v>
      </c>
      <c r="D386" s="7" t="s">
        <v>97</v>
      </c>
      <c r="E386" s="7" t="s">
        <v>47</v>
      </c>
      <c r="F386" s="7" t="s">
        <v>98</v>
      </c>
      <c r="G386" s="7" t="s">
        <v>1137</v>
      </c>
      <c r="I386" s="1">
        <f t="shared" si="25"/>
        <v>1</v>
      </c>
      <c r="J386" s="1" t="str">
        <f>'Source build'!A386</f>
        <v>L00380</v>
      </c>
      <c r="K386" s="1">
        <f>386</f>
        <v>386</v>
      </c>
      <c r="L386" s="10">
        <f t="shared" si="26"/>
        <v>10088</v>
      </c>
      <c r="M386" s="1">
        <f t="shared" si="27"/>
        <v>1</v>
      </c>
      <c r="N386" s="1">
        <f t="shared" si="28"/>
        <v>1</v>
      </c>
      <c r="O386" s="1" t="str">
        <f>IF(I386=0,"UNUSED",IF(A386="","MISSING ID",IF(K386=0,"UNEXPECTED ID",IF(N386&lt;&gt;1,"ID / ORDER DIFFERENCE",IF('Source build'!U386&lt;&gt;"INCLUDED","EXCLUDED SOURCE",IF(NOT(M386),"INVALID AMOUNT",IF('Source build'!Y386&lt;&gt;0,"CHANGED FIELDS","MATCH")))))))</f>
        <v>MATCH</v>
      </c>
      <c r="P386" s="1" t="str">
        <f t="shared" si="29"/>
        <v>2026-03</v>
      </c>
    </row>
    <row r="387" spans="1:16" ht="18.95" customHeight="1">
      <c r="A387" s="7" t="s">
        <v>1138</v>
      </c>
      <c r="B387" s="7" t="s">
        <v>1139</v>
      </c>
      <c r="C387" s="7" t="s">
        <v>157</v>
      </c>
      <c r="D387" s="7" t="s">
        <v>103</v>
      </c>
      <c r="E387" s="7" t="s">
        <v>48</v>
      </c>
      <c r="F387" s="7" t="s">
        <v>98</v>
      </c>
      <c r="G387" s="7" t="s">
        <v>1140</v>
      </c>
      <c r="I387" s="1">
        <f t="shared" si="25"/>
        <v>1</v>
      </c>
      <c r="J387" s="1" t="str">
        <f>'Source build'!A387</f>
        <v>L00381</v>
      </c>
      <c r="K387" s="1">
        <f>387</f>
        <v>387</v>
      </c>
      <c r="L387" s="10">
        <f t="shared" si="26"/>
        <v>2559</v>
      </c>
      <c r="M387" s="1">
        <f t="shared" si="27"/>
        <v>1</v>
      </c>
      <c r="N387" s="1">
        <f t="shared" si="28"/>
        <v>1</v>
      </c>
      <c r="O387" s="1" t="str">
        <f>IF(I387=0,"UNUSED",IF(A387="","MISSING ID",IF(K387=0,"UNEXPECTED ID",IF(N387&lt;&gt;1,"ID / ORDER DIFFERENCE",IF('Source build'!U387&lt;&gt;"INCLUDED","EXCLUDED SOURCE",IF(NOT(M387),"INVALID AMOUNT",IF('Source build'!Y387&lt;&gt;0,"CHANGED FIELDS","MATCH")))))))</f>
        <v>MATCH</v>
      </c>
      <c r="P387" s="1" t="str">
        <f t="shared" si="29"/>
        <v>2026-03</v>
      </c>
    </row>
    <row r="388" spans="1:16" ht="18.95" customHeight="1">
      <c r="A388" s="7" t="s">
        <v>1141</v>
      </c>
      <c r="B388" s="7" t="s">
        <v>1139</v>
      </c>
      <c r="C388" s="7" t="s">
        <v>157</v>
      </c>
      <c r="D388" s="7" t="s">
        <v>93</v>
      </c>
      <c r="E388" s="7" t="s">
        <v>46</v>
      </c>
      <c r="F388" s="7" t="s">
        <v>98</v>
      </c>
      <c r="G388" s="7" t="s">
        <v>1142</v>
      </c>
      <c r="I388" s="1">
        <f t="shared" si="25"/>
        <v>1</v>
      </c>
      <c r="J388" s="1" t="str">
        <f>'Source build'!A388</f>
        <v>L00382</v>
      </c>
      <c r="K388" s="1">
        <f>388</f>
        <v>388</v>
      </c>
      <c r="L388" s="10">
        <f t="shared" si="26"/>
        <v>7788</v>
      </c>
      <c r="M388" s="1">
        <f t="shared" si="27"/>
        <v>1</v>
      </c>
      <c r="N388" s="1">
        <f t="shared" si="28"/>
        <v>1</v>
      </c>
      <c r="O388" s="1" t="str">
        <f>IF(I388=0,"UNUSED",IF(A388="","MISSING ID",IF(K388=0,"UNEXPECTED ID",IF(N388&lt;&gt;1,"ID / ORDER DIFFERENCE",IF('Source build'!U388&lt;&gt;"INCLUDED","EXCLUDED SOURCE",IF(NOT(M388),"INVALID AMOUNT",IF('Source build'!Y388&lt;&gt;0,"CHANGED FIELDS","MATCH")))))))</f>
        <v>MATCH</v>
      </c>
      <c r="P388" s="1" t="str">
        <f t="shared" si="29"/>
        <v>2026-03</v>
      </c>
    </row>
    <row r="389" spans="1:16" ht="18.95" customHeight="1">
      <c r="A389" s="7" t="s">
        <v>1143</v>
      </c>
      <c r="B389" s="7" t="s">
        <v>1144</v>
      </c>
      <c r="C389" s="7" t="s">
        <v>163</v>
      </c>
      <c r="D389" s="7" t="s">
        <v>97</v>
      </c>
      <c r="E389" s="7" t="s">
        <v>47</v>
      </c>
      <c r="F389" s="7" t="s">
        <v>98</v>
      </c>
      <c r="G389" s="7" t="s">
        <v>1145</v>
      </c>
      <c r="I389" s="1">
        <f t="shared" si="25"/>
        <v>1</v>
      </c>
      <c r="J389" s="1" t="str">
        <f>'Source build'!A389</f>
        <v>L00383</v>
      </c>
      <c r="K389" s="1">
        <f>389</f>
        <v>389</v>
      </c>
      <c r="L389" s="10">
        <f t="shared" si="26"/>
        <v>13165</v>
      </c>
      <c r="M389" s="1">
        <f t="shared" si="27"/>
        <v>1</v>
      </c>
      <c r="N389" s="1">
        <f t="shared" si="28"/>
        <v>1</v>
      </c>
      <c r="O389" s="1" t="str">
        <f>IF(I389=0,"UNUSED",IF(A389="","MISSING ID",IF(K389=0,"UNEXPECTED ID",IF(N389&lt;&gt;1,"ID / ORDER DIFFERENCE",IF('Source build'!U389&lt;&gt;"INCLUDED","EXCLUDED SOURCE",IF(NOT(M389),"INVALID AMOUNT",IF('Source build'!Y389&lt;&gt;0,"CHANGED FIELDS","MATCH")))))))</f>
        <v>MATCH</v>
      </c>
      <c r="P389" s="1" t="str">
        <f t="shared" si="29"/>
        <v>2026-03</v>
      </c>
    </row>
    <row r="390" spans="1:16" ht="18.95" customHeight="1">
      <c r="A390" s="7" t="s">
        <v>1146</v>
      </c>
      <c r="B390" s="7" t="s">
        <v>1144</v>
      </c>
      <c r="C390" s="7" t="s">
        <v>163</v>
      </c>
      <c r="D390" s="7" t="s">
        <v>103</v>
      </c>
      <c r="E390" s="7" t="s">
        <v>48</v>
      </c>
      <c r="F390" s="7" t="s">
        <v>98</v>
      </c>
      <c r="G390" s="7" t="s">
        <v>1147</v>
      </c>
      <c r="I390" s="1">
        <f t="shared" si="25"/>
        <v>1</v>
      </c>
      <c r="J390" s="1" t="str">
        <f>'Source build'!A390</f>
        <v>L00384</v>
      </c>
      <c r="K390" s="1">
        <f>390</f>
        <v>390</v>
      </c>
      <c r="L390" s="10">
        <f t="shared" si="26"/>
        <v>5340</v>
      </c>
      <c r="M390" s="1">
        <f t="shared" si="27"/>
        <v>1</v>
      </c>
      <c r="N390" s="1">
        <f t="shared" si="28"/>
        <v>1</v>
      </c>
      <c r="O390" s="1" t="str">
        <f>IF(I390=0,"UNUSED",IF(A390="","MISSING ID",IF(K390=0,"UNEXPECTED ID",IF(N390&lt;&gt;1,"ID / ORDER DIFFERENCE",IF('Source build'!U390&lt;&gt;"INCLUDED","EXCLUDED SOURCE",IF(NOT(M390),"INVALID AMOUNT",IF('Source build'!Y390&lt;&gt;0,"CHANGED FIELDS","MATCH")))))))</f>
        <v>MATCH</v>
      </c>
      <c r="P390" s="1" t="str">
        <f t="shared" si="29"/>
        <v>2026-03</v>
      </c>
    </row>
    <row r="391" spans="1:16" ht="18.95" customHeight="1">
      <c r="A391" s="7" t="s">
        <v>1148</v>
      </c>
      <c r="B391" s="7" t="s">
        <v>1149</v>
      </c>
      <c r="C391" s="7" t="s">
        <v>169</v>
      </c>
      <c r="D391" s="7" t="s">
        <v>93</v>
      </c>
      <c r="E391" s="7" t="s">
        <v>46</v>
      </c>
      <c r="F391" s="7" t="s">
        <v>98</v>
      </c>
      <c r="G391" s="7" t="s">
        <v>1150</v>
      </c>
      <c r="I391" s="1">
        <f t="shared" ref="I391:I454" si="30">IF(AND(A391="",B391="",C391="",D391="",E391="",F391="",G391=""),0,1)</f>
        <v>1</v>
      </c>
      <c r="J391" s="1" t="str">
        <f>'Source build'!A391</f>
        <v>L00385</v>
      </c>
      <c r="K391" s="1">
        <f>391</f>
        <v>391</v>
      </c>
      <c r="L391" s="10">
        <f t="shared" ref="L391:L454" si="31">IFERROR(IF(ABS(VALUE(G391)*100-ROUND(VALUE(G391)*100,0))&lt;0.0000001,ROUND(VALUE(G391)*100,0),0),0)</f>
        <v>10828</v>
      </c>
      <c r="M391" s="1">
        <f t="shared" ref="M391:M454" si="32">--IF(I391=0,TRUE,IF(TRIM(G391)="",FALSE,IFERROR(AND(ISNUMBER(VALUE(G391)),ABS(VALUE(G391)*100-ROUND(VALUE(G391)*100,0))&lt;0.0000001,OR(ISNUMBER(G391),EXACT(G391,TEXT(VALUE(G391),"0.00"))),OR(AND(EXACT(F391,"sale"),VALUE(G391)&gt;0),AND(EXACT(F391,"refund"),VALUE(G391)&lt;0))),FALSE)))</f>
        <v>1</v>
      </c>
      <c r="N391" s="1">
        <f t="shared" ref="N391:N454" si="33">IF(I391=1,IF(EXACT(A391,J391),1,0),0)</f>
        <v>1</v>
      </c>
      <c r="O391" s="1" t="str">
        <f>IF(I391=0,"UNUSED",IF(A391="","MISSING ID",IF(K391=0,"UNEXPECTED ID",IF(N391&lt;&gt;1,"ID / ORDER DIFFERENCE",IF('Source build'!U391&lt;&gt;"INCLUDED","EXCLUDED SOURCE",IF(NOT(M391),"INVALID AMOUNT",IF('Source build'!Y391&lt;&gt;0,"CHANGED FIELDS","MATCH")))))))</f>
        <v>MATCH</v>
      </c>
      <c r="P391" s="1" t="str">
        <f t="shared" ref="P391:P454" si="34">IF(I391=1,LEFT(C391,7),"")</f>
        <v>2026-03</v>
      </c>
    </row>
    <row r="392" spans="1:16" ht="18.95" customHeight="1">
      <c r="A392" s="7" t="s">
        <v>1151</v>
      </c>
      <c r="B392" s="7" t="s">
        <v>1149</v>
      </c>
      <c r="C392" s="7" t="s">
        <v>169</v>
      </c>
      <c r="D392" s="7" t="s">
        <v>97</v>
      </c>
      <c r="E392" s="7" t="s">
        <v>47</v>
      </c>
      <c r="F392" s="7" t="s">
        <v>98</v>
      </c>
      <c r="G392" s="7" t="s">
        <v>1152</v>
      </c>
      <c r="I392" s="1">
        <f t="shared" si="30"/>
        <v>1</v>
      </c>
      <c r="J392" s="1" t="str">
        <f>'Source build'!A392</f>
        <v>L00386</v>
      </c>
      <c r="K392" s="1">
        <f>392</f>
        <v>392</v>
      </c>
      <c r="L392" s="10">
        <f t="shared" si="31"/>
        <v>2744</v>
      </c>
      <c r="M392" s="1">
        <f t="shared" si="32"/>
        <v>1</v>
      </c>
      <c r="N392" s="1">
        <f t="shared" si="33"/>
        <v>1</v>
      </c>
      <c r="O392" s="1" t="str">
        <f>IF(I392=0,"UNUSED",IF(A392="","MISSING ID",IF(K392=0,"UNEXPECTED ID",IF(N392&lt;&gt;1,"ID / ORDER DIFFERENCE",IF('Source build'!U392&lt;&gt;"INCLUDED","EXCLUDED SOURCE",IF(NOT(M392),"INVALID AMOUNT",IF('Source build'!Y392&lt;&gt;0,"CHANGED FIELDS","MATCH")))))))</f>
        <v>MATCH</v>
      </c>
      <c r="P392" s="1" t="str">
        <f t="shared" si="34"/>
        <v>2026-03</v>
      </c>
    </row>
    <row r="393" spans="1:16" ht="18.95" customHeight="1">
      <c r="A393" s="7" t="s">
        <v>1153</v>
      </c>
      <c r="B393" s="7" t="s">
        <v>1154</v>
      </c>
      <c r="C393" s="7" t="s">
        <v>175</v>
      </c>
      <c r="D393" s="7" t="s">
        <v>103</v>
      </c>
      <c r="E393" s="7" t="s">
        <v>48</v>
      </c>
      <c r="F393" s="7" t="s">
        <v>98</v>
      </c>
      <c r="G393" s="7" t="s">
        <v>1155</v>
      </c>
      <c r="I393" s="1">
        <f t="shared" si="30"/>
        <v>1</v>
      </c>
      <c r="J393" s="1" t="str">
        <f>'Source build'!A393</f>
        <v>L00387</v>
      </c>
      <c r="K393" s="1">
        <f>393</f>
        <v>393</v>
      </c>
      <c r="L393" s="10">
        <f t="shared" si="31"/>
        <v>8343</v>
      </c>
      <c r="M393" s="1">
        <f t="shared" si="32"/>
        <v>1</v>
      </c>
      <c r="N393" s="1">
        <f t="shared" si="33"/>
        <v>1</v>
      </c>
      <c r="O393" s="1" t="str">
        <f>IF(I393=0,"UNUSED",IF(A393="","MISSING ID",IF(K393=0,"UNEXPECTED ID",IF(N393&lt;&gt;1,"ID / ORDER DIFFERENCE",IF('Source build'!U393&lt;&gt;"INCLUDED","EXCLUDED SOURCE",IF(NOT(M393),"INVALID AMOUNT",IF('Source build'!Y393&lt;&gt;0,"CHANGED FIELDS","MATCH")))))))</f>
        <v>MATCH</v>
      </c>
      <c r="P393" s="1" t="str">
        <f t="shared" si="34"/>
        <v>2026-01</v>
      </c>
    </row>
    <row r="394" spans="1:16" ht="18.95" customHeight="1">
      <c r="A394" s="7" t="s">
        <v>1156</v>
      </c>
      <c r="B394" s="7" t="s">
        <v>1154</v>
      </c>
      <c r="C394" s="7" t="s">
        <v>175</v>
      </c>
      <c r="D394" s="7" t="s">
        <v>93</v>
      </c>
      <c r="E394" s="7" t="s">
        <v>46</v>
      </c>
      <c r="F394" s="7" t="s">
        <v>98</v>
      </c>
      <c r="G394" s="7" t="s">
        <v>1157</v>
      </c>
      <c r="I394" s="1">
        <f t="shared" si="30"/>
        <v>1</v>
      </c>
      <c r="J394" s="1" t="str">
        <f>'Source build'!A394</f>
        <v>L00388</v>
      </c>
      <c r="K394" s="1">
        <f>394</f>
        <v>394</v>
      </c>
      <c r="L394" s="10">
        <f t="shared" si="31"/>
        <v>14090</v>
      </c>
      <c r="M394" s="1">
        <f t="shared" si="32"/>
        <v>1</v>
      </c>
      <c r="N394" s="1">
        <f t="shared" si="33"/>
        <v>1</v>
      </c>
      <c r="O394" s="1" t="str">
        <f>IF(I394=0,"UNUSED",IF(A394="","MISSING ID",IF(K394=0,"UNEXPECTED ID",IF(N394&lt;&gt;1,"ID / ORDER DIFFERENCE",IF('Source build'!U394&lt;&gt;"INCLUDED","EXCLUDED SOURCE",IF(NOT(M394),"INVALID AMOUNT",IF('Source build'!Y394&lt;&gt;0,"CHANGED FIELDS","MATCH")))))))</f>
        <v>MATCH</v>
      </c>
      <c r="P394" s="1" t="str">
        <f t="shared" si="34"/>
        <v>2026-01</v>
      </c>
    </row>
    <row r="395" spans="1:16" ht="18.95" customHeight="1">
      <c r="A395" s="7" t="s">
        <v>1158</v>
      </c>
      <c r="B395" s="7" t="s">
        <v>1159</v>
      </c>
      <c r="C395" s="7" t="s">
        <v>181</v>
      </c>
      <c r="D395" s="7" t="s">
        <v>97</v>
      </c>
      <c r="E395" s="7" t="s">
        <v>47</v>
      </c>
      <c r="F395" s="7" t="s">
        <v>98</v>
      </c>
      <c r="G395" s="7" t="s">
        <v>1160</v>
      </c>
      <c r="I395" s="1">
        <f t="shared" si="30"/>
        <v>1</v>
      </c>
      <c r="J395" s="1" t="str">
        <f>'Source build'!A395</f>
        <v>L00389</v>
      </c>
      <c r="K395" s="1">
        <f>395</f>
        <v>395</v>
      </c>
      <c r="L395" s="10">
        <f t="shared" si="31"/>
        <v>5710</v>
      </c>
      <c r="M395" s="1">
        <f t="shared" si="32"/>
        <v>1</v>
      </c>
      <c r="N395" s="1">
        <f t="shared" si="33"/>
        <v>1</v>
      </c>
      <c r="O395" s="1" t="str">
        <f>IF(I395=0,"UNUSED",IF(A395="","MISSING ID",IF(K395=0,"UNEXPECTED ID",IF(N395&lt;&gt;1,"ID / ORDER DIFFERENCE",IF('Source build'!U395&lt;&gt;"INCLUDED","EXCLUDED SOURCE",IF(NOT(M395),"INVALID AMOUNT",IF('Source build'!Y395&lt;&gt;0,"CHANGED FIELDS","MATCH")))))))</f>
        <v>MATCH</v>
      </c>
      <c r="P395" s="1" t="str">
        <f t="shared" si="34"/>
        <v>2026-01</v>
      </c>
    </row>
    <row r="396" spans="1:16" ht="18.95" customHeight="1">
      <c r="A396" s="7" t="s">
        <v>1161</v>
      </c>
      <c r="B396" s="7" t="s">
        <v>1159</v>
      </c>
      <c r="C396" s="7" t="s">
        <v>181</v>
      </c>
      <c r="D396" s="7" t="s">
        <v>103</v>
      </c>
      <c r="E396" s="7" t="s">
        <v>48</v>
      </c>
      <c r="F396" s="7" t="s">
        <v>98</v>
      </c>
      <c r="G396" s="7" t="s">
        <v>1162</v>
      </c>
      <c r="I396" s="1">
        <f t="shared" si="30"/>
        <v>1</v>
      </c>
      <c r="J396" s="1" t="str">
        <f>'Source build'!A396</f>
        <v>L00390</v>
      </c>
      <c r="K396" s="1">
        <f>396</f>
        <v>396</v>
      </c>
      <c r="L396" s="10">
        <f t="shared" si="31"/>
        <v>11568</v>
      </c>
      <c r="M396" s="1">
        <f t="shared" si="32"/>
        <v>1</v>
      </c>
      <c r="N396" s="1">
        <f t="shared" si="33"/>
        <v>1</v>
      </c>
      <c r="O396" s="1" t="str">
        <f>IF(I396=0,"UNUSED",IF(A396="","MISSING ID",IF(K396=0,"UNEXPECTED ID",IF(N396&lt;&gt;1,"ID / ORDER DIFFERENCE",IF('Source build'!U396&lt;&gt;"INCLUDED","EXCLUDED SOURCE",IF(NOT(M396),"INVALID AMOUNT",IF('Source build'!Y396&lt;&gt;0,"CHANGED FIELDS","MATCH")))))))</f>
        <v>MATCH</v>
      </c>
      <c r="P396" s="1" t="str">
        <f t="shared" si="34"/>
        <v>2026-01</v>
      </c>
    </row>
    <row r="397" spans="1:16" ht="18.95" customHeight="1">
      <c r="A397" s="7" t="s">
        <v>1163</v>
      </c>
      <c r="B397" s="7" t="s">
        <v>1164</v>
      </c>
      <c r="C397" s="7" t="s">
        <v>187</v>
      </c>
      <c r="D397" s="7" t="s">
        <v>93</v>
      </c>
      <c r="E397" s="7" t="s">
        <v>46</v>
      </c>
      <c r="F397" s="7" t="s">
        <v>98</v>
      </c>
      <c r="G397" s="7" t="s">
        <v>1165</v>
      </c>
      <c r="I397" s="1">
        <f t="shared" si="30"/>
        <v>1</v>
      </c>
      <c r="J397" s="1" t="str">
        <f>'Source build'!A397</f>
        <v>L00391</v>
      </c>
      <c r="K397" s="1">
        <f>397</f>
        <v>397</v>
      </c>
      <c r="L397" s="10">
        <f t="shared" si="31"/>
        <v>2929</v>
      </c>
      <c r="M397" s="1">
        <f t="shared" si="32"/>
        <v>1</v>
      </c>
      <c r="N397" s="1">
        <f t="shared" si="33"/>
        <v>1</v>
      </c>
      <c r="O397" s="1" t="str">
        <f>IF(I397=0,"UNUSED",IF(A397="","MISSING ID",IF(K397=0,"UNEXPECTED ID",IF(N397&lt;&gt;1,"ID / ORDER DIFFERENCE",IF('Source build'!U397&lt;&gt;"INCLUDED","EXCLUDED SOURCE",IF(NOT(M397),"INVALID AMOUNT",IF('Source build'!Y397&lt;&gt;0,"CHANGED FIELDS","MATCH")))))))</f>
        <v>MATCH</v>
      </c>
      <c r="P397" s="1" t="str">
        <f t="shared" si="34"/>
        <v>2026-01</v>
      </c>
    </row>
    <row r="398" spans="1:16" ht="18.95" customHeight="1">
      <c r="A398" s="7" t="s">
        <v>1166</v>
      </c>
      <c r="B398" s="7" t="s">
        <v>1164</v>
      </c>
      <c r="C398" s="7" t="s">
        <v>187</v>
      </c>
      <c r="D398" s="7" t="s">
        <v>97</v>
      </c>
      <c r="E398" s="7" t="s">
        <v>47</v>
      </c>
      <c r="F398" s="7" t="s">
        <v>94</v>
      </c>
      <c r="G398" s="7" t="s">
        <v>1167</v>
      </c>
      <c r="I398" s="1">
        <f t="shared" si="30"/>
        <v>1</v>
      </c>
      <c r="J398" s="1" t="str">
        <f>'Source build'!A398</f>
        <v>L00392</v>
      </c>
      <c r="K398" s="1">
        <f>398</f>
        <v>398</v>
      </c>
      <c r="L398" s="10">
        <f t="shared" si="31"/>
        <v>-8898</v>
      </c>
      <c r="M398" s="1">
        <f t="shared" si="32"/>
        <v>1</v>
      </c>
      <c r="N398" s="1">
        <f t="shared" si="33"/>
        <v>1</v>
      </c>
      <c r="O398" s="1" t="str">
        <f>IF(I398=0,"UNUSED",IF(A398="","MISSING ID",IF(K398=0,"UNEXPECTED ID",IF(N398&lt;&gt;1,"ID / ORDER DIFFERENCE",IF('Source build'!U398&lt;&gt;"INCLUDED","EXCLUDED SOURCE",IF(NOT(M398),"INVALID AMOUNT",IF('Source build'!Y398&lt;&gt;0,"CHANGED FIELDS","MATCH")))))))</f>
        <v>MATCH</v>
      </c>
      <c r="P398" s="1" t="str">
        <f t="shared" si="34"/>
        <v>2026-01</v>
      </c>
    </row>
    <row r="399" spans="1:16" ht="18.95" customHeight="1">
      <c r="A399" s="7" t="s">
        <v>1168</v>
      </c>
      <c r="B399" s="7" t="s">
        <v>1169</v>
      </c>
      <c r="C399" s="7" t="s">
        <v>193</v>
      </c>
      <c r="D399" s="7" t="s">
        <v>103</v>
      </c>
      <c r="E399" s="7" t="s">
        <v>48</v>
      </c>
      <c r="F399" s="7" t="s">
        <v>98</v>
      </c>
      <c r="G399" s="7" t="s">
        <v>1170</v>
      </c>
      <c r="I399" s="1">
        <f t="shared" si="30"/>
        <v>1</v>
      </c>
      <c r="J399" s="1" t="str">
        <f>'Source build'!A399</f>
        <v>L00393</v>
      </c>
      <c r="K399" s="1">
        <f>399</f>
        <v>399</v>
      </c>
      <c r="L399" s="10">
        <f t="shared" si="31"/>
        <v>15015</v>
      </c>
      <c r="M399" s="1">
        <f t="shared" si="32"/>
        <v>1</v>
      </c>
      <c r="N399" s="1">
        <f t="shared" si="33"/>
        <v>1</v>
      </c>
      <c r="O399" s="1" t="str">
        <f>IF(I399=0,"UNUSED",IF(A399="","MISSING ID",IF(K399=0,"UNEXPECTED ID",IF(N399&lt;&gt;1,"ID / ORDER DIFFERENCE",IF('Source build'!U399&lt;&gt;"INCLUDED","EXCLUDED SOURCE",IF(NOT(M399),"INVALID AMOUNT",IF('Source build'!Y399&lt;&gt;0,"CHANGED FIELDS","MATCH")))))))</f>
        <v>MATCH</v>
      </c>
      <c r="P399" s="1" t="str">
        <f t="shared" si="34"/>
        <v>2026-01</v>
      </c>
    </row>
    <row r="400" spans="1:16" ht="18.95" customHeight="1">
      <c r="A400" s="7" t="s">
        <v>1171</v>
      </c>
      <c r="B400" s="7" t="s">
        <v>1169</v>
      </c>
      <c r="C400" s="7" t="s">
        <v>193</v>
      </c>
      <c r="D400" s="7" t="s">
        <v>93</v>
      </c>
      <c r="E400" s="7" t="s">
        <v>46</v>
      </c>
      <c r="F400" s="7" t="s">
        <v>98</v>
      </c>
      <c r="G400" s="7" t="s">
        <v>1172</v>
      </c>
      <c r="I400" s="1">
        <f t="shared" si="30"/>
        <v>1</v>
      </c>
      <c r="J400" s="1" t="str">
        <f>'Source build'!A400</f>
        <v>L00394</v>
      </c>
      <c r="K400" s="1">
        <f>400</f>
        <v>400</v>
      </c>
      <c r="L400" s="10">
        <f t="shared" si="31"/>
        <v>6080</v>
      </c>
      <c r="M400" s="1">
        <f t="shared" si="32"/>
        <v>1</v>
      </c>
      <c r="N400" s="1">
        <f t="shared" si="33"/>
        <v>1</v>
      </c>
      <c r="O400" s="1" t="str">
        <f>IF(I400=0,"UNUSED",IF(A400="","MISSING ID",IF(K400=0,"UNEXPECTED ID",IF(N400&lt;&gt;1,"ID / ORDER DIFFERENCE",IF('Source build'!U400&lt;&gt;"INCLUDED","EXCLUDED SOURCE",IF(NOT(M400),"INVALID AMOUNT",IF('Source build'!Y400&lt;&gt;0,"CHANGED FIELDS","MATCH")))))))</f>
        <v>MATCH</v>
      </c>
      <c r="P400" s="1" t="str">
        <f t="shared" si="34"/>
        <v>2026-01</v>
      </c>
    </row>
    <row r="401" spans="1:16" ht="18.95" customHeight="1">
      <c r="A401" s="7" t="s">
        <v>1173</v>
      </c>
      <c r="B401" s="7" t="s">
        <v>1174</v>
      </c>
      <c r="C401" s="7" t="s">
        <v>200</v>
      </c>
      <c r="D401" s="7" t="s">
        <v>97</v>
      </c>
      <c r="E401" s="7" t="s">
        <v>47</v>
      </c>
      <c r="F401" s="7" t="s">
        <v>98</v>
      </c>
      <c r="G401" s="7" t="s">
        <v>1175</v>
      </c>
      <c r="I401" s="1">
        <f t="shared" si="30"/>
        <v>1</v>
      </c>
      <c r="J401" s="1" t="str">
        <f>'Source build'!A401</f>
        <v>L00395</v>
      </c>
      <c r="K401" s="1">
        <f>401</f>
        <v>401</v>
      </c>
      <c r="L401" s="10">
        <f t="shared" si="31"/>
        <v>12308</v>
      </c>
      <c r="M401" s="1">
        <f t="shared" si="32"/>
        <v>1</v>
      </c>
      <c r="N401" s="1">
        <f t="shared" si="33"/>
        <v>1</v>
      </c>
      <c r="O401" s="1" t="str">
        <f>IF(I401=0,"UNUSED",IF(A401="","MISSING ID",IF(K401=0,"UNEXPECTED ID",IF(N401&lt;&gt;1,"ID / ORDER DIFFERENCE",IF('Source build'!U401&lt;&gt;"INCLUDED","EXCLUDED SOURCE",IF(NOT(M401),"INVALID AMOUNT",IF('Source build'!Y401&lt;&gt;0,"CHANGED FIELDS","MATCH")))))))</f>
        <v>MATCH</v>
      </c>
      <c r="P401" s="1" t="str">
        <f t="shared" si="34"/>
        <v>2026-01</v>
      </c>
    </row>
    <row r="402" spans="1:16" ht="18.95" customHeight="1">
      <c r="A402" s="7" t="s">
        <v>1176</v>
      </c>
      <c r="B402" s="7" t="s">
        <v>1174</v>
      </c>
      <c r="C402" s="7" t="s">
        <v>200</v>
      </c>
      <c r="D402" s="7" t="s">
        <v>103</v>
      </c>
      <c r="E402" s="7" t="s">
        <v>48</v>
      </c>
      <c r="F402" s="7" t="s">
        <v>98</v>
      </c>
      <c r="G402" s="7" t="s">
        <v>1177</v>
      </c>
      <c r="I402" s="1">
        <f t="shared" si="30"/>
        <v>1</v>
      </c>
      <c r="J402" s="1" t="str">
        <f>'Source build'!A402</f>
        <v>L00396</v>
      </c>
      <c r="K402" s="1">
        <f>402</f>
        <v>402</v>
      </c>
      <c r="L402" s="10">
        <f t="shared" si="31"/>
        <v>3114</v>
      </c>
      <c r="M402" s="1">
        <f t="shared" si="32"/>
        <v>1</v>
      </c>
      <c r="N402" s="1">
        <f t="shared" si="33"/>
        <v>1</v>
      </c>
      <c r="O402" s="1" t="str">
        <f>IF(I402=0,"UNUSED",IF(A402="","MISSING ID",IF(K402=0,"UNEXPECTED ID",IF(N402&lt;&gt;1,"ID / ORDER DIFFERENCE",IF('Source build'!U402&lt;&gt;"INCLUDED","EXCLUDED SOURCE",IF(NOT(M402),"INVALID AMOUNT",IF('Source build'!Y402&lt;&gt;0,"CHANGED FIELDS","MATCH")))))))</f>
        <v>MATCH</v>
      </c>
      <c r="P402" s="1" t="str">
        <f t="shared" si="34"/>
        <v>2026-01</v>
      </c>
    </row>
    <row r="403" spans="1:16" ht="18.95" customHeight="1">
      <c r="A403" s="7" t="s">
        <v>1178</v>
      </c>
      <c r="B403" s="7" t="s">
        <v>1179</v>
      </c>
      <c r="C403" s="7" t="s">
        <v>206</v>
      </c>
      <c r="D403" s="7" t="s">
        <v>93</v>
      </c>
      <c r="E403" s="7" t="s">
        <v>46</v>
      </c>
      <c r="F403" s="7" t="s">
        <v>98</v>
      </c>
      <c r="G403" s="7" t="s">
        <v>1180</v>
      </c>
      <c r="I403" s="1">
        <f t="shared" si="30"/>
        <v>1</v>
      </c>
      <c r="J403" s="1" t="str">
        <f>'Source build'!A403</f>
        <v>L00397</v>
      </c>
      <c r="K403" s="1">
        <f>403</f>
        <v>403</v>
      </c>
      <c r="L403" s="10">
        <f t="shared" si="31"/>
        <v>9453</v>
      </c>
      <c r="M403" s="1">
        <f t="shared" si="32"/>
        <v>1</v>
      </c>
      <c r="N403" s="1">
        <f t="shared" si="33"/>
        <v>1</v>
      </c>
      <c r="O403" s="1" t="str">
        <f>IF(I403=0,"UNUSED",IF(A403="","MISSING ID",IF(K403=0,"UNEXPECTED ID",IF(N403&lt;&gt;1,"ID / ORDER DIFFERENCE",IF('Source build'!U403&lt;&gt;"INCLUDED","EXCLUDED SOURCE",IF(NOT(M403),"INVALID AMOUNT",IF('Source build'!Y403&lt;&gt;0,"CHANGED FIELDS","MATCH")))))))</f>
        <v>MATCH</v>
      </c>
      <c r="P403" s="1" t="str">
        <f t="shared" si="34"/>
        <v>2026-02</v>
      </c>
    </row>
    <row r="404" spans="1:16" ht="18.95" customHeight="1">
      <c r="A404" s="7" t="s">
        <v>1181</v>
      </c>
      <c r="B404" s="7" t="s">
        <v>1179</v>
      </c>
      <c r="C404" s="7" t="s">
        <v>206</v>
      </c>
      <c r="D404" s="7" t="s">
        <v>97</v>
      </c>
      <c r="E404" s="7" t="s">
        <v>47</v>
      </c>
      <c r="F404" s="7" t="s">
        <v>98</v>
      </c>
      <c r="G404" s="7" t="s">
        <v>1182</v>
      </c>
      <c r="I404" s="1">
        <f t="shared" si="30"/>
        <v>1</v>
      </c>
      <c r="J404" s="1" t="str">
        <f>'Source build'!A404</f>
        <v>L00398</v>
      </c>
      <c r="K404" s="1">
        <f>404</f>
        <v>404</v>
      </c>
      <c r="L404" s="10">
        <f t="shared" si="31"/>
        <v>15940</v>
      </c>
      <c r="M404" s="1">
        <f t="shared" si="32"/>
        <v>1</v>
      </c>
      <c r="N404" s="1">
        <f t="shared" si="33"/>
        <v>1</v>
      </c>
      <c r="O404" s="1" t="str">
        <f>IF(I404=0,"UNUSED",IF(A404="","MISSING ID",IF(K404=0,"UNEXPECTED ID",IF(N404&lt;&gt;1,"ID / ORDER DIFFERENCE",IF('Source build'!U404&lt;&gt;"INCLUDED","EXCLUDED SOURCE",IF(NOT(M404),"INVALID AMOUNT",IF('Source build'!Y404&lt;&gt;0,"CHANGED FIELDS","MATCH")))))))</f>
        <v>MATCH</v>
      </c>
      <c r="P404" s="1" t="str">
        <f t="shared" si="34"/>
        <v>2026-02</v>
      </c>
    </row>
    <row r="405" spans="1:16" ht="18.95" customHeight="1">
      <c r="A405" s="7" t="s">
        <v>1183</v>
      </c>
      <c r="B405" s="7" t="s">
        <v>1184</v>
      </c>
      <c r="C405" s="7" t="s">
        <v>212</v>
      </c>
      <c r="D405" s="7" t="s">
        <v>103</v>
      </c>
      <c r="E405" s="7" t="s">
        <v>48</v>
      </c>
      <c r="F405" s="7" t="s">
        <v>98</v>
      </c>
      <c r="G405" s="7" t="s">
        <v>1185</v>
      </c>
      <c r="I405" s="1">
        <f t="shared" si="30"/>
        <v>1</v>
      </c>
      <c r="J405" s="1" t="str">
        <f>'Source build'!A405</f>
        <v>L00399</v>
      </c>
      <c r="K405" s="1">
        <f>405</f>
        <v>405</v>
      </c>
      <c r="L405" s="10">
        <f t="shared" si="31"/>
        <v>6450</v>
      </c>
      <c r="M405" s="1">
        <f t="shared" si="32"/>
        <v>1</v>
      </c>
      <c r="N405" s="1">
        <f t="shared" si="33"/>
        <v>1</v>
      </c>
      <c r="O405" s="1" t="str">
        <f>IF(I405=0,"UNUSED",IF(A405="","MISSING ID",IF(K405=0,"UNEXPECTED ID",IF(N405&lt;&gt;1,"ID / ORDER DIFFERENCE",IF('Source build'!U405&lt;&gt;"INCLUDED","EXCLUDED SOURCE",IF(NOT(M405),"INVALID AMOUNT",IF('Source build'!Y405&lt;&gt;0,"CHANGED FIELDS","MATCH")))))))</f>
        <v>MATCH</v>
      </c>
      <c r="P405" s="1" t="str">
        <f t="shared" si="34"/>
        <v>2026-02</v>
      </c>
    </row>
    <row r="406" spans="1:16" ht="18.95" customHeight="1">
      <c r="A406" s="7" t="s">
        <v>1186</v>
      </c>
      <c r="B406" s="7" t="s">
        <v>1184</v>
      </c>
      <c r="C406" s="7" t="s">
        <v>212</v>
      </c>
      <c r="D406" s="7" t="s">
        <v>93</v>
      </c>
      <c r="E406" s="7" t="s">
        <v>46</v>
      </c>
      <c r="F406" s="7" t="s">
        <v>98</v>
      </c>
      <c r="G406" s="7" t="s">
        <v>1187</v>
      </c>
      <c r="I406" s="1">
        <f t="shared" si="30"/>
        <v>1</v>
      </c>
      <c r="J406" s="1" t="str">
        <f>'Source build'!A406</f>
        <v>L00400</v>
      </c>
      <c r="K406" s="1">
        <f>406</f>
        <v>406</v>
      </c>
      <c r="L406" s="10">
        <f t="shared" si="31"/>
        <v>13048</v>
      </c>
      <c r="M406" s="1">
        <f t="shared" si="32"/>
        <v>1</v>
      </c>
      <c r="N406" s="1">
        <f t="shared" si="33"/>
        <v>1</v>
      </c>
      <c r="O406" s="1" t="str">
        <f>IF(I406=0,"UNUSED",IF(A406="","MISSING ID",IF(K406=0,"UNEXPECTED ID",IF(N406&lt;&gt;1,"ID / ORDER DIFFERENCE",IF('Source build'!U406&lt;&gt;"INCLUDED","EXCLUDED SOURCE",IF(NOT(M406),"INVALID AMOUNT",IF('Source build'!Y406&lt;&gt;0,"CHANGED FIELDS","MATCH")))))))</f>
        <v>MATCH</v>
      </c>
      <c r="P406" s="1" t="str">
        <f t="shared" si="34"/>
        <v>2026-02</v>
      </c>
    </row>
    <row r="407" spans="1:16" ht="18.95" customHeight="1">
      <c r="A407" s="7" t="s">
        <v>1188</v>
      </c>
      <c r="B407" s="7" t="s">
        <v>1189</v>
      </c>
      <c r="C407" s="7" t="s">
        <v>218</v>
      </c>
      <c r="D407" s="7" t="s">
        <v>97</v>
      </c>
      <c r="E407" s="7" t="s">
        <v>47</v>
      </c>
      <c r="F407" s="7" t="s">
        <v>98</v>
      </c>
      <c r="G407" s="7" t="s">
        <v>1190</v>
      </c>
      <c r="I407" s="1">
        <f t="shared" si="30"/>
        <v>1</v>
      </c>
      <c r="J407" s="1" t="str">
        <f>'Source build'!A407</f>
        <v>L00401</v>
      </c>
      <c r="K407" s="1">
        <f>407</f>
        <v>407</v>
      </c>
      <c r="L407" s="10">
        <f t="shared" si="31"/>
        <v>3299</v>
      </c>
      <c r="M407" s="1">
        <f t="shared" si="32"/>
        <v>1</v>
      </c>
      <c r="N407" s="1">
        <f t="shared" si="33"/>
        <v>1</v>
      </c>
      <c r="O407" s="1" t="str">
        <f>IF(I407=0,"UNUSED",IF(A407="","MISSING ID",IF(K407=0,"UNEXPECTED ID",IF(N407&lt;&gt;1,"ID / ORDER DIFFERENCE",IF('Source build'!U407&lt;&gt;"INCLUDED","EXCLUDED SOURCE",IF(NOT(M407),"INVALID AMOUNT",IF('Source build'!Y407&lt;&gt;0,"CHANGED FIELDS","MATCH")))))))</f>
        <v>MATCH</v>
      </c>
      <c r="P407" s="1" t="str">
        <f t="shared" si="34"/>
        <v>2026-02</v>
      </c>
    </row>
    <row r="408" spans="1:16" ht="18.95" customHeight="1">
      <c r="A408" s="7" t="s">
        <v>1191</v>
      </c>
      <c r="B408" s="7" t="s">
        <v>1189</v>
      </c>
      <c r="C408" s="7" t="s">
        <v>218</v>
      </c>
      <c r="D408" s="7" t="s">
        <v>103</v>
      </c>
      <c r="E408" s="7" t="s">
        <v>48</v>
      </c>
      <c r="F408" s="7" t="s">
        <v>98</v>
      </c>
      <c r="G408" s="7" t="s">
        <v>1192</v>
      </c>
      <c r="I408" s="1">
        <f t="shared" si="30"/>
        <v>1</v>
      </c>
      <c r="J408" s="1" t="str">
        <f>'Source build'!A408</f>
        <v>L00402</v>
      </c>
      <c r="K408" s="1">
        <f>408</f>
        <v>408</v>
      </c>
      <c r="L408" s="10">
        <f t="shared" si="31"/>
        <v>10008</v>
      </c>
      <c r="M408" s="1">
        <f t="shared" si="32"/>
        <v>1</v>
      </c>
      <c r="N408" s="1">
        <f t="shared" si="33"/>
        <v>1</v>
      </c>
      <c r="O408" s="1" t="str">
        <f>IF(I408=0,"UNUSED",IF(A408="","MISSING ID",IF(K408=0,"UNEXPECTED ID",IF(N408&lt;&gt;1,"ID / ORDER DIFFERENCE",IF('Source build'!U408&lt;&gt;"INCLUDED","EXCLUDED SOURCE",IF(NOT(M408),"INVALID AMOUNT",IF('Source build'!Y408&lt;&gt;0,"CHANGED FIELDS","MATCH")))))))</f>
        <v>MATCH</v>
      </c>
      <c r="P408" s="1" t="str">
        <f t="shared" si="34"/>
        <v>2026-02</v>
      </c>
    </row>
    <row r="409" spans="1:16" ht="18.95" customHeight="1">
      <c r="A409" s="7" t="s">
        <v>1193</v>
      </c>
      <c r="B409" s="7" t="s">
        <v>1194</v>
      </c>
      <c r="C409" s="7" t="s">
        <v>224</v>
      </c>
      <c r="D409" s="7" t="s">
        <v>93</v>
      </c>
      <c r="E409" s="7" t="s">
        <v>46</v>
      </c>
      <c r="F409" s="7" t="s">
        <v>98</v>
      </c>
      <c r="G409" s="7" t="s">
        <v>1195</v>
      </c>
      <c r="I409" s="1">
        <f t="shared" si="30"/>
        <v>1</v>
      </c>
      <c r="J409" s="1" t="str">
        <f>'Source build'!A409</f>
        <v>L00403</v>
      </c>
      <c r="K409" s="1">
        <f>409</f>
        <v>409</v>
      </c>
      <c r="L409" s="10">
        <f t="shared" si="31"/>
        <v>16865</v>
      </c>
      <c r="M409" s="1">
        <f t="shared" si="32"/>
        <v>1</v>
      </c>
      <c r="N409" s="1">
        <f t="shared" si="33"/>
        <v>1</v>
      </c>
      <c r="O409" s="1" t="str">
        <f>IF(I409=0,"UNUSED",IF(A409="","MISSING ID",IF(K409=0,"UNEXPECTED ID",IF(N409&lt;&gt;1,"ID / ORDER DIFFERENCE",IF('Source build'!U409&lt;&gt;"INCLUDED","EXCLUDED SOURCE",IF(NOT(M409),"INVALID AMOUNT",IF('Source build'!Y409&lt;&gt;0,"CHANGED FIELDS","MATCH")))))))</f>
        <v>MATCH</v>
      </c>
      <c r="P409" s="1" t="str">
        <f t="shared" si="34"/>
        <v>2026-02</v>
      </c>
    </row>
    <row r="410" spans="1:16" ht="18.95" customHeight="1">
      <c r="A410" s="7" t="s">
        <v>1196</v>
      </c>
      <c r="B410" s="7" t="s">
        <v>1194</v>
      </c>
      <c r="C410" s="7" t="s">
        <v>224</v>
      </c>
      <c r="D410" s="7" t="s">
        <v>97</v>
      </c>
      <c r="E410" s="7" t="s">
        <v>47</v>
      </c>
      <c r="F410" s="7" t="s">
        <v>98</v>
      </c>
      <c r="G410" s="7" t="s">
        <v>1197</v>
      </c>
      <c r="I410" s="1">
        <f t="shared" si="30"/>
        <v>1</v>
      </c>
      <c r="J410" s="1" t="str">
        <f>'Source build'!A410</f>
        <v>L00404</v>
      </c>
      <c r="K410" s="1">
        <f>410</f>
        <v>410</v>
      </c>
      <c r="L410" s="10">
        <f t="shared" si="31"/>
        <v>6820</v>
      </c>
      <c r="M410" s="1">
        <f t="shared" si="32"/>
        <v>1</v>
      </c>
      <c r="N410" s="1">
        <f t="shared" si="33"/>
        <v>1</v>
      </c>
      <c r="O410" s="1" t="str">
        <f>IF(I410=0,"UNUSED",IF(A410="","MISSING ID",IF(K410=0,"UNEXPECTED ID",IF(N410&lt;&gt;1,"ID / ORDER DIFFERENCE",IF('Source build'!U410&lt;&gt;"INCLUDED","EXCLUDED SOURCE",IF(NOT(M410),"INVALID AMOUNT",IF('Source build'!Y410&lt;&gt;0,"CHANGED FIELDS","MATCH")))))))</f>
        <v>MATCH</v>
      </c>
      <c r="P410" s="1" t="str">
        <f t="shared" si="34"/>
        <v>2026-02</v>
      </c>
    </row>
    <row r="411" spans="1:16" ht="18.95" customHeight="1">
      <c r="A411" s="7" t="s">
        <v>1198</v>
      </c>
      <c r="B411" s="7" t="s">
        <v>1199</v>
      </c>
      <c r="C411" s="7" t="s">
        <v>230</v>
      </c>
      <c r="D411" s="7" t="s">
        <v>103</v>
      </c>
      <c r="E411" s="7" t="s">
        <v>48</v>
      </c>
      <c r="F411" s="7" t="s">
        <v>98</v>
      </c>
      <c r="G411" s="7" t="s">
        <v>1200</v>
      </c>
      <c r="I411" s="1">
        <f t="shared" si="30"/>
        <v>1</v>
      </c>
      <c r="J411" s="1" t="str">
        <f>'Source build'!A411</f>
        <v>L00405</v>
      </c>
      <c r="K411" s="1">
        <f>411</f>
        <v>411</v>
      </c>
      <c r="L411" s="10">
        <f t="shared" si="31"/>
        <v>13788</v>
      </c>
      <c r="M411" s="1">
        <f t="shared" si="32"/>
        <v>1</v>
      </c>
      <c r="N411" s="1">
        <f t="shared" si="33"/>
        <v>1</v>
      </c>
      <c r="O411" s="1" t="str">
        <f>IF(I411=0,"UNUSED",IF(A411="","MISSING ID",IF(K411=0,"UNEXPECTED ID",IF(N411&lt;&gt;1,"ID / ORDER DIFFERENCE",IF('Source build'!U411&lt;&gt;"INCLUDED","EXCLUDED SOURCE",IF(NOT(M411),"INVALID AMOUNT",IF('Source build'!Y411&lt;&gt;0,"CHANGED FIELDS","MATCH")))))))</f>
        <v>MATCH</v>
      </c>
      <c r="P411" s="1" t="str">
        <f t="shared" si="34"/>
        <v>2026-03</v>
      </c>
    </row>
    <row r="412" spans="1:16" ht="18.95" customHeight="1">
      <c r="A412" s="7" t="s">
        <v>1201</v>
      </c>
      <c r="B412" s="7" t="s">
        <v>1199</v>
      </c>
      <c r="C412" s="7" t="s">
        <v>230</v>
      </c>
      <c r="D412" s="7" t="s">
        <v>93</v>
      </c>
      <c r="E412" s="7" t="s">
        <v>46</v>
      </c>
      <c r="F412" s="7" t="s">
        <v>98</v>
      </c>
      <c r="G412" s="7" t="s">
        <v>1202</v>
      </c>
      <c r="I412" s="1">
        <f t="shared" si="30"/>
        <v>1</v>
      </c>
      <c r="J412" s="1" t="str">
        <f>'Source build'!A412</f>
        <v>L00406</v>
      </c>
      <c r="K412" s="1">
        <f>412</f>
        <v>412</v>
      </c>
      <c r="L412" s="10">
        <f t="shared" si="31"/>
        <v>3484</v>
      </c>
      <c r="M412" s="1">
        <f t="shared" si="32"/>
        <v>1</v>
      </c>
      <c r="N412" s="1">
        <f t="shared" si="33"/>
        <v>1</v>
      </c>
      <c r="O412" s="1" t="str">
        <f>IF(I412=0,"UNUSED",IF(A412="","MISSING ID",IF(K412=0,"UNEXPECTED ID",IF(N412&lt;&gt;1,"ID / ORDER DIFFERENCE",IF('Source build'!U412&lt;&gt;"INCLUDED","EXCLUDED SOURCE",IF(NOT(M412),"INVALID AMOUNT",IF('Source build'!Y412&lt;&gt;0,"CHANGED FIELDS","MATCH")))))))</f>
        <v>MATCH</v>
      </c>
      <c r="P412" s="1" t="str">
        <f t="shared" si="34"/>
        <v>2026-03</v>
      </c>
    </row>
    <row r="413" spans="1:16" ht="18.95" customHeight="1">
      <c r="A413" s="7" t="s">
        <v>1203</v>
      </c>
      <c r="B413" s="7" t="s">
        <v>1204</v>
      </c>
      <c r="C413" s="7" t="s">
        <v>236</v>
      </c>
      <c r="D413" s="7" t="s">
        <v>97</v>
      </c>
      <c r="E413" s="7" t="s">
        <v>47</v>
      </c>
      <c r="F413" s="7" t="s">
        <v>98</v>
      </c>
      <c r="G413" s="7" t="s">
        <v>1205</v>
      </c>
      <c r="I413" s="1">
        <f t="shared" si="30"/>
        <v>1</v>
      </c>
      <c r="J413" s="1" t="str">
        <f>'Source build'!A413</f>
        <v>L00407</v>
      </c>
      <c r="K413" s="1">
        <f>413</f>
        <v>413</v>
      </c>
      <c r="L413" s="10">
        <f t="shared" si="31"/>
        <v>10563</v>
      </c>
      <c r="M413" s="1">
        <f t="shared" si="32"/>
        <v>1</v>
      </c>
      <c r="N413" s="1">
        <f t="shared" si="33"/>
        <v>1</v>
      </c>
      <c r="O413" s="1" t="str">
        <f>IF(I413=0,"UNUSED",IF(A413="","MISSING ID",IF(K413=0,"UNEXPECTED ID",IF(N413&lt;&gt;1,"ID / ORDER DIFFERENCE",IF('Source build'!U413&lt;&gt;"INCLUDED","EXCLUDED SOURCE",IF(NOT(M413),"INVALID AMOUNT",IF('Source build'!Y413&lt;&gt;0,"CHANGED FIELDS","MATCH")))))))</f>
        <v>MATCH</v>
      </c>
      <c r="P413" s="1" t="str">
        <f t="shared" si="34"/>
        <v>2026-03</v>
      </c>
    </row>
    <row r="414" spans="1:16" ht="18.95" customHeight="1">
      <c r="A414" s="7" t="s">
        <v>1206</v>
      </c>
      <c r="B414" s="7" t="s">
        <v>1204</v>
      </c>
      <c r="C414" s="7" t="s">
        <v>236</v>
      </c>
      <c r="D414" s="7" t="s">
        <v>103</v>
      </c>
      <c r="E414" s="7" t="s">
        <v>48</v>
      </c>
      <c r="F414" s="7" t="s">
        <v>98</v>
      </c>
      <c r="G414" s="7" t="s">
        <v>1207</v>
      </c>
      <c r="I414" s="1">
        <f t="shared" si="30"/>
        <v>1</v>
      </c>
      <c r="J414" s="1" t="str">
        <f>'Source build'!A414</f>
        <v>L00408</v>
      </c>
      <c r="K414" s="1">
        <f>414</f>
        <v>414</v>
      </c>
      <c r="L414" s="10">
        <f t="shared" si="31"/>
        <v>17790</v>
      </c>
      <c r="M414" s="1">
        <f t="shared" si="32"/>
        <v>1</v>
      </c>
      <c r="N414" s="1">
        <f t="shared" si="33"/>
        <v>1</v>
      </c>
      <c r="O414" s="1" t="str">
        <f>IF(I414=0,"UNUSED",IF(A414="","MISSING ID",IF(K414=0,"UNEXPECTED ID",IF(N414&lt;&gt;1,"ID / ORDER DIFFERENCE",IF('Source build'!U414&lt;&gt;"INCLUDED","EXCLUDED SOURCE",IF(NOT(M414),"INVALID AMOUNT",IF('Source build'!Y414&lt;&gt;0,"CHANGED FIELDS","MATCH")))))))</f>
        <v>MATCH</v>
      </c>
      <c r="P414" s="1" t="str">
        <f t="shared" si="34"/>
        <v>2026-03</v>
      </c>
    </row>
    <row r="415" spans="1:16" ht="18.95" customHeight="1">
      <c r="A415" s="7" t="s">
        <v>1208</v>
      </c>
      <c r="B415" s="7" t="s">
        <v>1209</v>
      </c>
      <c r="C415" s="7" t="s">
        <v>242</v>
      </c>
      <c r="D415" s="7" t="s">
        <v>93</v>
      </c>
      <c r="E415" s="7" t="s">
        <v>46</v>
      </c>
      <c r="F415" s="7" t="s">
        <v>98</v>
      </c>
      <c r="G415" s="7" t="s">
        <v>1210</v>
      </c>
      <c r="I415" s="1">
        <f t="shared" si="30"/>
        <v>1</v>
      </c>
      <c r="J415" s="1" t="str">
        <f>'Source build'!A415</f>
        <v>L00409</v>
      </c>
      <c r="K415" s="1">
        <f>415</f>
        <v>415</v>
      </c>
      <c r="L415" s="10">
        <f t="shared" si="31"/>
        <v>7190</v>
      </c>
      <c r="M415" s="1">
        <f t="shared" si="32"/>
        <v>1</v>
      </c>
      <c r="N415" s="1">
        <f t="shared" si="33"/>
        <v>1</v>
      </c>
      <c r="O415" s="1" t="str">
        <f>IF(I415=0,"UNUSED",IF(A415="","MISSING ID",IF(K415=0,"UNEXPECTED ID",IF(N415&lt;&gt;1,"ID / ORDER DIFFERENCE",IF('Source build'!U415&lt;&gt;"INCLUDED","EXCLUDED SOURCE",IF(NOT(M415),"INVALID AMOUNT",IF('Source build'!Y415&lt;&gt;0,"CHANGED FIELDS","MATCH")))))))</f>
        <v>MATCH</v>
      </c>
      <c r="P415" s="1" t="str">
        <f t="shared" si="34"/>
        <v>2026-03</v>
      </c>
    </row>
    <row r="416" spans="1:16" ht="18.95" customHeight="1">
      <c r="A416" s="7" t="s">
        <v>1211</v>
      </c>
      <c r="B416" s="7" t="s">
        <v>1209</v>
      </c>
      <c r="C416" s="7" t="s">
        <v>242</v>
      </c>
      <c r="D416" s="7" t="s">
        <v>97</v>
      </c>
      <c r="E416" s="7" t="s">
        <v>47</v>
      </c>
      <c r="F416" s="7" t="s">
        <v>98</v>
      </c>
      <c r="G416" s="7" t="s">
        <v>1212</v>
      </c>
      <c r="I416" s="1">
        <f t="shared" si="30"/>
        <v>1</v>
      </c>
      <c r="J416" s="1" t="str">
        <f>'Source build'!A416</f>
        <v>L00410</v>
      </c>
      <c r="K416" s="1">
        <f>416</f>
        <v>416</v>
      </c>
      <c r="L416" s="10">
        <f t="shared" si="31"/>
        <v>14528</v>
      </c>
      <c r="M416" s="1">
        <f t="shared" si="32"/>
        <v>1</v>
      </c>
      <c r="N416" s="1">
        <f t="shared" si="33"/>
        <v>1</v>
      </c>
      <c r="O416" s="1" t="str">
        <f>IF(I416=0,"UNUSED",IF(A416="","MISSING ID",IF(K416=0,"UNEXPECTED ID",IF(N416&lt;&gt;1,"ID / ORDER DIFFERENCE",IF('Source build'!U416&lt;&gt;"INCLUDED","EXCLUDED SOURCE",IF(NOT(M416),"INVALID AMOUNT",IF('Source build'!Y416&lt;&gt;0,"CHANGED FIELDS","MATCH")))))))</f>
        <v>MATCH</v>
      </c>
      <c r="P416" s="1" t="str">
        <f t="shared" si="34"/>
        <v>2026-03</v>
      </c>
    </row>
    <row r="417" spans="1:16" ht="18.95" customHeight="1">
      <c r="A417" s="7" t="s">
        <v>1213</v>
      </c>
      <c r="B417" s="7" t="s">
        <v>1214</v>
      </c>
      <c r="C417" s="7" t="s">
        <v>248</v>
      </c>
      <c r="D417" s="7" t="s">
        <v>103</v>
      </c>
      <c r="E417" s="7" t="s">
        <v>48</v>
      </c>
      <c r="F417" s="7" t="s">
        <v>98</v>
      </c>
      <c r="G417" s="7" t="s">
        <v>1215</v>
      </c>
      <c r="I417" s="1">
        <f t="shared" si="30"/>
        <v>1</v>
      </c>
      <c r="J417" s="1" t="str">
        <f>'Source build'!A417</f>
        <v>L00411</v>
      </c>
      <c r="K417" s="1">
        <f>417</f>
        <v>417</v>
      </c>
      <c r="L417" s="10">
        <f t="shared" si="31"/>
        <v>3669</v>
      </c>
      <c r="M417" s="1">
        <f t="shared" si="32"/>
        <v>1</v>
      </c>
      <c r="N417" s="1">
        <f t="shared" si="33"/>
        <v>1</v>
      </c>
      <c r="O417" s="1" t="str">
        <f>IF(I417=0,"UNUSED",IF(A417="","MISSING ID",IF(K417=0,"UNEXPECTED ID",IF(N417&lt;&gt;1,"ID / ORDER DIFFERENCE",IF('Source build'!U417&lt;&gt;"INCLUDED","EXCLUDED SOURCE",IF(NOT(M417),"INVALID AMOUNT",IF('Source build'!Y417&lt;&gt;0,"CHANGED FIELDS","MATCH")))))))</f>
        <v>MATCH</v>
      </c>
      <c r="P417" s="1" t="str">
        <f t="shared" si="34"/>
        <v>2026-03</v>
      </c>
    </row>
    <row r="418" spans="1:16" ht="18.95" customHeight="1">
      <c r="A418" s="7" t="s">
        <v>1216</v>
      </c>
      <c r="B418" s="7" t="s">
        <v>1214</v>
      </c>
      <c r="C418" s="7" t="s">
        <v>248</v>
      </c>
      <c r="D418" s="7" t="s">
        <v>93</v>
      </c>
      <c r="E418" s="7" t="s">
        <v>46</v>
      </c>
      <c r="F418" s="7" t="s">
        <v>98</v>
      </c>
      <c r="G418" s="7" t="s">
        <v>1217</v>
      </c>
      <c r="I418" s="1">
        <f t="shared" si="30"/>
        <v>1</v>
      </c>
      <c r="J418" s="1" t="str">
        <f>'Source build'!A418</f>
        <v>L00412</v>
      </c>
      <c r="K418" s="1">
        <f>418</f>
        <v>418</v>
      </c>
      <c r="L418" s="10">
        <f t="shared" si="31"/>
        <v>11118</v>
      </c>
      <c r="M418" s="1">
        <f t="shared" si="32"/>
        <v>1</v>
      </c>
      <c r="N418" s="1">
        <f t="shared" si="33"/>
        <v>1</v>
      </c>
      <c r="O418" s="1" t="str">
        <f>IF(I418=0,"UNUSED",IF(A418="","MISSING ID",IF(K418=0,"UNEXPECTED ID",IF(N418&lt;&gt;1,"ID / ORDER DIFFERENCE",IF('Source build'!U418&lt;&gt;"INCLUDED","EXCLUDED SOURCE",IF(NOT(M418),"INVALID AMOUNT",IF('Source build'!Y418&lt;&gt;0,"CHANGED FIELDS","MATCH")))))))</f>
        <v>MATCH</v>
      </c>
      <c r="P418" s="1" t="str">
        <f t="shared" si="34"/>
        <v>2026-03</v>
      </c>
    </row>
    <row r="419" spans="1:16" ht="18.95" customHeight="1">
      <c r="A419" s="7" t="s">
        <v>1218</v>
      </c>
      <c r="B419" s="7" t="s">
        <v>1219</v>
      </c>
      <c r="C419" s="7" t="s">
        <v>254</v>
      </c>
      <c r="D419" s="7" t="s">
        <v>97</v>
      </c>
      <c r="E419" s="7" t="s">
        <v>47</v>
      </c>
      <c r="F419" s="7" t="s">
        <v>98</v>
      </c>
      <c r="G419" s="7" t="s">
        <v>1220</v>
      </c>
      <c r="I419" s="1">
        <f t="shared" si="30"/>
        <v>1</v>
      </c>
      <c r="J419" s="1" t="str">
        <f>'Source build'!A419</f>
        <v>L00413</v>
      </c>
      <c r="K419" s="1">
        <f>419</f>
        <v>419</v>
      </c>
      <c r="L419" s="10">
        <f t="shared" si="31"/>
        <v>18715</v>
      </c>
      <c r="M419" s="1">
        <f t="shared" si="32"/>
        <v>1</v>
      </c>
      <c r="N419" s="1">
        <f t="shared" si="33"/>
        <v>1</v>
      </c>
      <c r="O419" s="1" t="str">
        <f>IF(I419=0,"UNUSED",IF(A419="","MISSING ID",IF(K419=0,"UNEXPECTED ID",IF(N419&lt;&gt;1,"ID / ORDER DIFFERENCE",IF('Source build'!U419&lt;&gt;"INCLUDED","EXCLUDED SOURCE",IF(NOT(M419),"INVALID AMOUNT",IF('Source build'!Y419&lt;&gt;0,"CHANGED FIELDS","MATCH")))))))</f>
        <v>MATCH</v>
      </c>
      <c r="P419" s="1" t="str">
        <f t="shared" si="34"/>
        <v>2026-01</v>
      </c>
    </row>
    <row r="420" spans="1:16" ht="18.95" customHeight="1">
      <c r="A420" s="7" t="s">
        <v>1221</v>
      </c>
      <c r="B420" s="7" t="s">
        <v>1219</v>
      </c>
      <c r="C420" s="7" t="s">
        <v>254</v>
      </c>
      <c r="D420" s="7" t="s">
        <v>103</v>
      </c>
      <c r="E420" s="7" t="s">
        <v>48</v>
      </c>
      <c r="F420" s="7" t="s">
        <v>98</v>
      </c>
      <c r="G420" s="7" t="s">
        <v>1222</v>
      </c>
      <c r="I420" s="1">
        <f t="shared" si="30"/>
        <v>1</v>
      </c>
      <c r="J420" s="1" t="str">
        <f>'Source build'!A420</f>
        <v>L00414</v>
      </c>
      <c r="K420" s="1">
        <f>420</f>
        <v>420</v>
      </c>
      <c r="L420" s="10">
        <f t="shared" si="31"/>
        <v>7560</v>
      </c>
      <c r="M420" s="1">
        <f t="shared" si="32"/>
        <v>1</v>
      </c>
      <c r="N420" s="1">
        <f t="shared" si="33"/>
        <v>1</v>
      </c>
      <c r="O420" s="1" t="str">
        <f>IF(I420=0,"UNUSED",IF(A420="","MISSING ID",IF(K420=0,"UNEXPECTED ID",IF(N420&lt;&gt;1,"ID / ORDER DIFFERENCE",IF('Source build'!U420&lt;&gt;"INCLUDED","EXCLUDED SOURCE",IF(NOT(M420),"INVALID AMOUNT",IF('Source build'!Y420&lt;&gt;0,"CHANGED FIELDS","MATCH")))))))</f>
        <v>MATCH</v>
      </c>
      <c r="P420" s="1" t="str">
        <f t="shared" si="34"/>
        <v>2026-01</v>
      </c>
    </row>
    <row r="421" spans="1:16" ht="18.95" customHeight="1">
      <c r="A421" s="7" t="s">
        <v>1223</v>
      </c>
      <c r="B421" s="7" t="s">
        <v>1224</v>
      </c>
      <c r="C421" s="7" t="s">
        <v>260</v>
      </c>
      <c r="D421" s="7" t="s">
        <v>93</v>
      </c>
      <c r="E421" s="7" t="s">
        <v>46</v>
      </c>
      <c r="F421" s="7" t="s">
        <v>94</v>
      </c>
      <c r="G421" s="7" t="s">
        <v>1225</v>
      </c>
      <c r="I421" s="1">
        <f t="shared" si="30"/>
        <v>1</v>
      </c>
      <c r="J421" s="1" t="str">
        <f>'Source build'!A421</f>
        <v>L00415</v>
      </c>
      <c r="K421" s="1">
        <f>421</f>
        <v>421</v>
      </c>
      <c r="L421" s="10">
        <f t="shared" si="31"/>
        <v>-15268</v>
      </c>
      <c r="M421" s="1">
        <f t="shared" si="32"/>
        <v>1</v>
      </c>
      <c r="N421" s="1">
        <f t="shared" si="33"/>
        <v>1</v>
      </c>
      <c r="O421" s="1" t="str">
        <f>IF(I421=0,"UNUSED",IF(A421="","MISSING ID",IF(K421=0,"UNEXPECTED ID",IF(N421&lt;&gt;1,"ID / ORDER DIFFERENCE",IF('Source build'!U421&lt;&gt;"INCLUDED","EXCLUDED SOURCE",IF(NOT(M421),"INVALID AMOUNT",IF('Source build'!Y421&lt;&gt;0,"CHANGED FIELDS","MATCH")))))))</f>
        <v>MATCH</v>
      </c>
      <c r="P421" s="1" t="str">
        <f t="shared" si="34"/>
        <v>2026-01</v>
      </c>
    </row>
    <row r="422" spans="1:16" ht="18.95" customHeight="1">
      <c r="A422" s="7" t="s">
        <v>1226</v>
      </c>
      <c r="B422" s="7" t="s">
        <v>1224</v>
      </c>
      <c r="C422" s="7" t="s">
        <v>260</v>
      </c>
      <c r="D422" s="7" t="s">
        <v>97</v>
      </c>
      <c r="E422" s="7" t="s">
        <v>47</v>
      </c>
      <c r="F422" s="7" t="s">
        <v>98</v>
      </c>
      <c r="G422" s="7" t="s">
        <v>1227</v>
      </c>
      <c r="I422" s="1">
        <f t="shared" si="30"/>
        <v>1</v>
      </c>
      <c r="J422" s="1" t="str">
        <f>'Source build'!A422</f>
        <v>L00416</v>
      </c>
      <c r="K422" s="1">
        <f>422</f>
        <v>422</v>
      </c>
      <c r="L422" s="10">
        <f t="shared" si="31"/>
        <v>3854</v>
      </c>
      <c r="M422" s="1">
        <f t="shared" si="32"/>
        <v>1</v>
      </c>
      <c r="N422" s="1">
        <f t="shared" si="33"/>
        <v>1</v>
      </c>
      <c r="O422" s="1" t="str">
        <f>IF(I422=0,"UNUSED",IF(A422="","MISSING ID",IF(K422=0,"UNEXPECTED ID",IF(N422&lt;&gt;1,"ID / ORDER DIFFERENCE",IF('Source build'!U422&lt;&gt;"INCLUDED","EXCLUDED SOURCE",IF(NOT(M422),"INVALID AMOUNT",IF('Source build'!Y422&lt;&gt;0,"CHANGED FIELDS","MATCH")))))))</f>
        <v>MATCH</v>
      </c>
      <c r="P422" s="1" t="str">
        <f t="shared" si="34"/>
        <v>2026-01</v>
      </c>
    </row>
    <row r="423" spans="1:16" ht="18.95" customHeight="1">
      <c r="A423" s="7" t="s">
        <v>1228</v>
      </c>
      <c r="B423" s="7" t="s">
        <v>1229</v>
      </c>
      <c r="C423" s="7" t="s">
        <v>266</v>
      </c>
      <c r="D423" s="7" t="s">
        <v>103</v>
      </c>
      <c r="E423" s="7" t="s">
        <v>48</v>
      </c>
      <c r="F423" s="7" t="s">
        <v>98</v>
      </c>
      <c r="G423" s="7" t="s">
        <v>1230</v>
      </c>
      <c r="I423" s="1">
        <f t="shared" si="30"/>
        <v>1</v>
      </c>
      <c r="J423" s="1" t="str">
        <f>'Source build'!A423</f>
        <v>L00417</v>
      </c>
      <c r="K423" s="1">
        <f>423</f>
        <v>423</v>
      </c>
      <c r="L423" s="10">
        <f t="shared" si="31"/>
        <v>11673</v>
      </c>
      <c r="M423" s="1">
        <f t="shared" si="32"/>
        <v>1</v>
      </c>
      <c r="N423" s="1">
        <f t="shared" si="33"/>
        <v>1</v>
      </c>
      <c r="O423" s="1" t="str">
        <f>IF(I423=0,"UNUSED",IF(A423="","MISSING ID",IF(K423=0,"UNEXPECTED ID",IF(N423&lt;&gt;1,"ID / ORDER DIFFERENCE",IF('Source build'!U423&lt;&gt;"INCLUDED","EXCLUDED SOURCE",IF(NOT(M423),"INVALID AMOUNT",IF('Source build'!Y423&lt;&gt;0,"CHANGED FIELDS","MATCH")))))))</f>
        <v>MATCH</v>
      </c>
      <c r="P423" s="1" t="str">
        <f t="shared" si="34"/>
        <v>2026-01</v>
      </c>
    </row>
    <row r="424" spans="1:16" ht="18.95" customHeight="1">
      <c r="A424" s="7" t="s">
        <v>1231</v>
      </c>
      <c r="B424" s="7" t="s">
        <v>1229</v>
      </c>
      <c r="C424" s="7" t="s">
        <v>266</v>
      </c>
      <c r="D424" s="7" t="s">
        <v>93</v>
      </c>
      <c r="E424" s="7" t="s">
        <v>46</v>
      </c>
      <c r="F424" s="7" t="s">
        <v>98</v>
      </c>
      <c r="G424" s="7" t="s">
        <v>1232</v>
      </c>
      <c r="I424" s="1">
        <f t="shared" si="30"/>
        <v>1</v>
      </c>
      <c r="J424" s="1" t="str">
        <f>'Source build'!A424</f>
        <v>L00418</v>
      </c>
      <c r="K424" s="1">
        <f>424</f>
        <v>424</v>
      </c>
      <c r="L424" s="10">
        <f t="shared" si="31"/>
        <v>19640</v>
      </c>
      <c r="M424" s="1">
        <f t="shared" si="32"/>
        <v>1</v>
      </c>
      <c r="N424" s="1">
        <f t="shared" si="33"/>
        <v>1</v>
      </c>
      <c r="O424" s="1" t="str">
        <f>IF(I424=0,"UNUSED",IF(A424="","MISSING ID",IF(K424=0,"UNEXPECTED ID",IF(N424&lt;&gt;1,"ID / ORDER DIFFERENCE",IF('Source build'!U424&lt;&gt;"INCLUDED","EXCLUDED SOURCE",IF(NOT(M424),"INVALID AMOUNT",IF('Source build'!Y424&lt;&gt;0,"CHANGED FIELDS","MATCH")))))))</f>
        <v>MATCH</v>
      </c>
      <c r="P424" s="1" t="str">
        <f t="shared" si="34"/>
        <v>2026-01</v>
      </c>
    </row>
    <row r="425" spans="1:16" ht="18.95" customHeight="1">
      <c r="A425" s="7" t="s">
        <v>1233</v>
      </c>
      <c r="B425" s="7" t="s">
        <v>1234</v>
      </c>
      <c r="C425" s="7" t="s">
        <v>272</v>
      </c>
      <c r="D425" s="7" t="s">
        <v>97</v>
      </c>
      <c r="E425" s="7" t="s">
        <v>47</v>
      </c>
      <c r="F425" s="7" t="s">
        <v>98</v>
      </c>
      <c r="G425" s="7" t="s">
        <v>1235</v>
      </c>
      <c r="I425" s="1">
        <f t="shared" si="30"/>
        <v>1</v>
      </c>
      <c r="J425" s="1" t="str">
        <f>'Source build'!A425</f>
        <v>L00419</v>
      </c>
      <c r="K425" s="1">
        <f>425</f>
        <v>425</v>
      </c>
      <c r="L425" s="10">
        <f t="shared" si="31"/>
        <v>7930</v>
      </c>
      <c r="M425" s="1">
        <f t="shared" si="32"/>
        <v>1</v>
      </c>
      <c r="N425" s="1">
        <f t="shared" si="33"/>
        <v>1</v>
      </c>
      <c r="O425" s="1" t="str">
        <f>IF(I425=0,"UNUSED",IF(A425="","MISSING ID",IF(K425=0,"UNEXPECTED ID",IF(N425&lt;&gt;1,"ID / ORDER DIFFERENCE",IF('Source build'!U425&lt;&gt;"INCLUDED","EXCLUDED SOURCE",IF(NOT(M425),"INVALID AMOUNT",IF('Source build'!Y425&lt;&gt;0,"CHANGED FIELDS","MATCH")))))))</f>
        <v>MATCH</v>
      </c>
      <c r="P425" s="1" t="str">
        <f t="shared" si="34"/>
        <v>2026-01</v>
      </c>
    </row>
    <row r="426" spans="1:16" ht="18.95" customHeight="1">
      <c r="A426" s="7" t="s">
        <v>1236</v>
      </c>
      <c r="B426" s="7" t="s">
        <v>1234</v>
      </c>
      <c r="C426" s="7" t="s">
        <v>272</v>
      </c>
      <c r="D426" s="7" t="s">
        <v>103</v>
      </c>
      <c r="E426" s="7" t="s">
        <v>48</v>
      </c>
      <c r="F426" s="7" t="s">
        <v>98</v>
      </c>
      <c r="G426" s="7" t="s">
        <v>1237</v>
      </c>
      <c r="I426" s="1">
        <f t="shared" si="30"/>
        <v>1</v>
      </c>
      <c r="J426" s="1" t="str">
        <f>'Source build'!A426</f>
        <v>L00420</v>
      </c>
      <c r="K426" s="1">
        <f>426</f>
        <v>426</v>
      </c>
      <c r="L426" s="10">
        <f t="shared" si="31"/>
        <v>16008</v>
      </c>
      <c r="M426" s="1">
        <f t="shared" si="32"/>
        <v>1</v>
      </c>
      <c r="N426" s="1">
        <f t="shared" si="33"/>
        <v>1</v>
      </c>
      <c r="O426" s="1" t="str">
        <f>IF(I426=0,"UNUSED",IF(A426="","MISSING ID",IF(K426=0,"UNEXPECTED ID",IF(N426&lt;&gt;1,"ID / ORDER DIFFERENCE",IF('Source build'!U426&lt;&gt;"INCLUDED","EXCLUDED SOURCE",IF(NOT(M426),"INVALID AMOUNT",IF('Source build'!Y426&lt;&gt;0,"CHANGED FIELDS","MATCH")))))))</f>
        <v>MATCH</v>
      </c>
      <c r="P426" s="1" t="str">
        <f t="shared" si="34"/>
        <v>2026-01</v>
      </c>
    </row>
    <row r="427" spans="1:16" ht="18.95" customHeight="1">
      <c r="A427" s="7" t="s">
        <v>1238</v>
      </c>
      <c r="B427" s="7" t="s">
        <v>1239</v>
      </c>
      <c r="C427" s="7" t="s">
        <v>278</v>
      </c>
      <c r="D427" s="7" t="s">
        <v>93</v>
      </c>
      <c r="E427" s="7" t="s">
        <v>46</v>
      </c>
      <c r="F427" s="7" t="s">
        <v>98</v>
      </c>
      <c r="G427" s="7" t="s">
        <v>1240</v>
      </c>
      <c r="I427" s="1">
        <f t="shared" si="30"/>
        <v>1</v>
      </c>
      <c r="J427" s="1" t="str">
        <f>'Source build'!A427</f>
        <v>L00421</v>
      </c>
      <c r="K427" s="1">
        <f>427</f>
        <v>427</v>
      </c>
      <c r="L427" s="10">
        <f t="shared" si="31"/>
        <v>4039</v>
      </c>
      <c r="M427" s="1">
        <f t="shared" si="32"/>
        <v>1</v>
      </c>
      <c r="N427" s="1">
        <f t="shared" si="33"/>
        <v>1</v>
      </c>
      <c r="O427" s="1" t="str">
        <f>IF(I427=0,"UNUSED",IF(A427="","MISSING ID",IF(K427=0,"UNEXPECTED ID",IF(N427&lt;&gt;1,"ID / ORDER DIFFERENCE",IF('Source build'!U427&lt;&gt;"INCLUDED","EXCLUDED SOURCE",IF(NOT(M427),"INVALID AMOUNT",IF('Source build'!Y427&lt;&gt;0,"CHANGED FIELDS","MATCH")))))))</f>
        <v>MATCH</v>
      </c>
      <c r="P427" s="1" t="str">
        <f t="shared" si="34"/>
        <v>2026-01</v>
      </c>
    </row>
    <row r="428" spans="1:16" ht="18.95" customHeight="1">
      <c r="A428" s="7" t="s">
        <v>1241</v>
      </c>
      <c r="B428" s="7" t="s">
        <v>1239</v>
      </c>
      <c r="C428" s="7" t="s">
        <v>278</v>
      </c>
      <c r="D428" s="7" t="s">
        <v>97</v>
      </c>
      <c r="E428" s="7" t="s">
        <v>47</v>
      </c>
      <c r="F428" s="7" t="s">
        <v>98</v>
      </c>
      <c r="G428" s="7" t="s">
        <v>1242</v>
      </c>
      <c r="I428" s="1">
        <f t="shared" si="30"/>
        <v>1</v>
      </c>
      <c r="J428" s="1" t="str">
        <f>'Source build'!A428</f>
        <v>L00422</v>
      </c>
      <c r="K428" s="1">
        <f>428</f>
        <v>428</v>
      </c>
      <c r="L428" s="10">
        <f t="shared" si="31"/>
        <v>12228</v>
      </c>
      <c r="M428" s="1">
        <f t="shared" si="32"/>
        <v>1</v>
      </c>
      <c r="N428" s="1">
        <f t="shared" si="33"/>
        <v>1</v>
      </c>
      <c r="O428" s="1" t="str">
        <f>IF(I428=0,"UNUSED",IF(A428="","MISSING ID",IF(K428=0,"UNEXPECTED ID",IF(N428&lt;&gt;1,"ID / ORDER DIFFERENCE",IF('Source build'!U428&lt;&gt;"INCLUDED","EXCLUDED SOURCE",IF(NOT(M428),"INVALID AMOUNT",IF('Source build'!Y428&lt;&gt;0,"CHANGED FIELDS","MATCH")))))))</f>
        <v>MATCH</v>
      </c>
      <c r="P428" s="1" t="str">
        <f t="shared" si="34"/>
        <v>2026-01</v>
      </c>
    </row>
    <row r="429" spans="1:16" ht="18.95" customHeight="1">
      <c r="A429" s="7" t="s">
        <v>1243</v>
      </c>
      <c r="B429" s="7" t="s">
        <v>1244</v>
      </c>
      <c r="C429" s="7" t="s">
        <v>284</v>
      </c>
      <c r="D429" s="7" t="s">
        <v>103</v>
      </c>
      <c r="E429" s="7" t="s">
        <v>48</v>
      </c>
      <c r="F429" s="7" t="s">
        <v>98</v>
      </c>
      <c r="G429" s="7" t="s">
        <v>1245</v>
      </c>
      <c r="I429" s="1">
        <f t="shared" si="30"/>
        <v>1</v>
      </c>
      <c r="J429" s="1" t="str">
        <f>'Source build'!A429</f>
        <v>L00423</v>
      </c>
      <c r="K429" s="1">
        <f>429</f>
        <v>429</v>
      </c>
      <c r="L429" s="10">
        <f t="shared" si="31"/>
        <v>20565</v>
      </c>
      <c r="M429" s="1">
        <f t="shared" si="32"/>
        <v>1</v>
      </c>
      <c r="N429" s="1">
        <f t="shared" si="33"/>
        <v>1</v>
      </c>
      <c r="O429" s="1" t="str">
        <f>IF(I429=0,"UNUSED",IF(A429="","MISSING ID",IF(K429=0,"UNEXPECTED ID",IF(N429&lt;&gt;1,"ID / ORDER DIFFERENCE",IF('Source build'!U429&lt;&gt;"INCLUDED","EXCLUDED SOURCE",IF(NOT(M429),"INVALID AMOUNT",IF('Source build'!Y429&lt;&gt;0,"CHANGED FIELDS","MATCH")))))))</f>
        <v>MATCH</v>
      </c>
      <c r="P429" s="1" t="str">
        <f t="shared" si="34"/>
        <v>2026-02</v>
      </c>
    </row>
    <row r="430" spans="1:16" ht="18.95" customHeight="1">
      <c r="A430" s="7" t="s">
        <v>1246</v>
      </c>
      <c r="B430" s="7" t="s">
        <v>1244</v>
      </c>
      <c r="C430" s="7" t="s">
        <v>284</v>
      </c>
      <c r="D430" s="7" t="s">
        <v>93</v>
      </c>
      <c r="E430" s="7" t="s">
        <v>46</v>
      </c>
      <c r="F430" s="7" t="s">
        <v>98</v>
      </c>
      <c r="G430" s="7" t="s">
        <v>1247</v>
      </c>
      <c r="I430" s="1">
        <f t="shared" si="30"/>
        <v>1</v>
      </c>
      <c r="J430" s="1" t="str">
        <f>'Source build'!A430</f>
        <v>L00424</v>
      </c>
      <c r="K430" s="1">
        <f>430</f>
        <v>430</v>
      </c>
      <c r="L430" s="10">
        <f t="shared" si="31"/>
        <v>8300</v>
      </c>
      <c r="M430" s="1">
        <f t="shared" si="32"/>
        <v>1</v>
      </c>
      <c r="N430" s="1">
        <f t="shared" si="33"/>
        <v>1</v>
      </c>
      <c r="O430" s="1" t="str">
        <f>IF(I430=0,"UNUSED",IF(A430="","MISSING ID",IF(K430=0,"UNEXPECTED ID",IF(N430&lt;&gt;1,"ID / ORDER DIFFERENCE",IF('Source build'!U430&lt;&gt;"INCLUDED","EXCLUDED SOURCE",IF(NOT(M430),"INVALID AMOUNT",IF('Source build'!Y430&lt;&gt;0,"CHANGED FIELDS","MATCH")))))))</f>
        <v>MATCH</v>
      </c>
      <c r="P430" s="1" t="str">
        <f t="shared" si="34"/>
        <v>2026-02</v>
      </c>
    </row>
    <row r="431" spans="1:16" ht="18.95" customHeight="1">
      <c r="A431" s="7" t="s">
        <v>1248</v>
      </c>
      <c r="B431" s="7" t="s">
        <v>1249</v>
      </c>
      <c r="C431" s="7" t="s">
        <v>290</v>
      </c>
      <c r="D431" s="7" t="s">
        <v>97</v>
      </c>
      <c r="E431" s="7" t="s">
        <v>47</v>
      </c>
      <c r="F431" s="7" t="s">
        <v>98</v>
      </c>
      <c r="G431" s="7" t="s">
        <v>1250</v>
      </c>
      <c r="I431" s="1">
        <f t="shared" si="30"/>
        <v>1</v>
      </c>
      <c r="J431" s="1" t="str">
        <f>'Source build'!A431</f>
        <v>L00425</v>
      </c>
      <c r="K431" s="1">
        <f>431</f>
        <v>431</v>
      </c>
      <c r="L431" s="10">
        <f t="shared" si="31"/>
        <v>16748</v>
      </c>
      <c r="M431" s="1">
        <f t="shared" si="32"/>
        <v>1</v>
      </c>
      <c r="N431" s="1">
        <f t="shared" si="33"/>
        <v>1</v>
      </c>
      <c r="O431" s="1" t="str">
        <f>IF(I431=0,"UNUSED",IF(A431="","MISSING ID",IF(K431=0,"UNEXPECTED ID",IF(N431&lt;&gt;1,"ID / ORDER DIFFERENCE",IF('Source build'!U431&lt;&gt;"INCLUDED","EXCLUDED SOURCE",IF(NOT(M431),"INVALID AMOUNT",IF('Source build'!Y431&lt;&gt;0,"CHANGED FIELDS","MATCH")))))))</f>
        <v>MATCH</v>
      </c>
      <c r="P431" s="1" t="str">
        <f t="shared" si="34"/>
        <v>2026-02</v>
      </c>
    </row>
    <row r="432" spans="1:16" ht="18.95" customHeight="1">
      <c r="A432" s="7" t="s">
        <v>1251</v>
      </c>
      <c r="B432" s="7" t="s">
        <v>1249</v>
      </c>
      <c r="C432" s="7" t="s">
        <v>290</v>
      </c>
      <c r="D432" s="7" t="s">
        <v>103</v>
      </c>
      <c r="E432" s="7" t="s">
        <v>48</v>
      </c>
      <c r="F432" s="7" t="s">
        <v>98</v>
      </c>
      <c r="G432" s="7" t="s">
        <v>1252</v>
      </c>
      <c r="I432" s="1">
        <f t="shared" si="30"/>
        <v>1</v>
      </c>
      <c r="J432" s="1" t="str">
        <f>'Source build'!A432</f>
        <v>L00426</v>
      </c>
      <c r="K432" s="1">
        <f>432</f>
        <v>432</v>
      </c>
      <c r="L432" s="10">
        <f t="shared" si="31"/>
        <v>4224</v>
      </c>
      <c r="M432" s="1">
        <f t="shared" si="32"/>
        <v>1</v>
      </c>
      <c r="N432" s="1">
        <f t="shared" si="33"/>
        <v>1</v>
      </c>
      <c r="O432" s="1" t="str">
        <f>IF(I432=0,"UNUSED",IF(A432="","MISSING ID",IF(K432=0,"UNEXPECTED ID",IF(N432&lt;&gt;1,"ID / ORDER DIFFERENCE",IF('Source build'!U432&lt;&gt;"INCLUDED","EXCLUDED SOURCE",IF(NOT(M432),"INVALID AMOUNT",IF('Source build'!Y432&lt;&gt;0,"CHANGED FIELDS","MATCH")))))))</f>
        <v>MATCH</v>
      </c>
      <c r="P432" s="1" t="str">
        <f t="shared" si="34"/>
        <v>2026-02</v>
      </c>
    </row>
    <row r="433" spans="1:16" ht="18.95" customHeight="1">
      <c r="A433" s="7" t="s">
        <v>1253</v>
      </c>
      <c r="B433" s="7" t="s">
        <v>1254</v>
      </c>
      <c r="C433" s="7" t="s">
        <v>296</v>
      </c>
      <c r="D433" s="7" t="s">
        <v>93</v>
      </c>
      <c r="E433" s="7" t="s">
        <v>46</v>
      </c>
      <c r="F433" s="7" t="s">
        <v>98</v>
      </c>
      <c r="G433" s="7" t="s">
        <v>1255</v>
      </c>
      <c r="I433" s="1">
        <f t="shared" si="30"/>
        <v>1</v>
      </c>
      <c r="J433" s="1" t="str">
        <f>'Source build'!A433</f>
        <v>L00427</v>
      </c>
      <c r="K433" s="1">
        <f>433</f>
        <v>433</v>
      </c>
      <c r="L433" s="10">
        <f t="shared" si="31"/>
        <v>12783</v>
      </c>
      <c r="M433" s="1">
        <f t="shared" si="32"/>
        <v>1</v>
      </c>
      <c r="N433" s="1">
        <f t="shared" si="33"/>
        <v>1</v>
      </c>
      <c r="O433" s="1" t="str">
        <f>IF(I433=0,"UNUSED",IF(A433="","MISSING ID",IF(K433=0,"UNEXPECTED ID",IF(N433&lt;&gt;1,"ID / ORDER DIFFERENCE",IF('Source build'!U433&lt;&gt;"INCLUDED","EXCLUDED SOURCE",IF(NOT(M433),"INVALID AMOUNT",IF('Source build'!Y433&lt;&gt;0,"CHANGED FIELDS","MATCH")))))))</f>
        <v>MATCH</v>
      </c>
      <c r="P433" s="1" t="str">
        <f t="shared" si="34"/>
        <v>2026-02</v>
      </c>
    </row>
    <row r="434" spans="1:16" ht="18.95" customHeight="1">
      <c r="A434" s="7" t="s">
        <v>1256</v>
      </c>
      <c r="B434" s="7" t="s">
        <v>1254</v>
      </c>
      <c r="C434" s="7" t="s">
        <v>296</v>
      </c>
      <c r="D434" s="7" t="s">
        <v>97</v>
      </c>
      <c r="E434" s="7" t="s">
        <v>47</v>
      </c>
      <c r="F434" s="7" t="s">
        <v>98</v>
      </c>
      <c r="G434" s="7" t="s">
        <v>1257</v>
      </c>
      <c r="I434" s="1">
        <f t="shared" si="30"/>
        <v>1</v>
      </c>
      <c r="J434" s="1" t="str">
        <f>'Source build'!A434</f>
        <v>L00428</v>
      </c>
      <c r="K434" s="1">
        <f>434</f>
        <v>434</v>
      </c>
      <c r="L434" s="10">
        <f t="shared" si="31"/>
        <v>21490</v>
      </c>
      <c r="M434" s="1">
        <f t="shared" si="32"/>
        <v>1</v>
      </c>
      <c r="N434" s="1">
        <f t="shared" si="33"/>
        <v>1</v>
      </c>
      <c r="O434" s="1" t="str">
        <f>IF(I434=0,"UNUSED",IF(A434="","MISSING ID",IF(K434=0,"UNEXPECTED ID",IF(N434&lt;&gt;1,"ID / ORDER DIFFERENCE",IF('Source build'!U434&lt;&gt;"INCLUDED","EXCLUDED SOURCE",IF(NOT(M434),"INVALID AMOUNT",IF('Source build'!Y434&lt;&gt;0,"CHANGED FIELDS","MATCH")))))))</f>
        <v>MATCH</v>
      </c>
      <c r="P434" s="1" t="str">
        <f t="shared" si="34"/>
        <v>2026-02</v>
      </c>
    </row>
    <row r="435" spans="1:16" ht="18.95" customHeight="1">
      <c r="A435" s="7" t="s">
        <v>1258</v>
      </c>
      <c r="B435" s="7" t="s">
        <v>1259</v>
      </c>
      <c r="C435" s="7" t="s">
        <v>302</v>
      </c>
      <c r="D435" s="7" t="s">
        <v>103</v>
      </c>
      <c r="E435" s="7" t="s">
        <v>48</v>
      </c>
      <c r="F435" s="7" t="s">
        <v>98</v>
      </c>
      <c r="G435" s="7" t="s">
        <v>1260</v>
      </c>
      <c r="I435" s="1">
        <f t="shared" si="30"/>
        <v>1</v>
      </c>
      <c r="J435" s="1" t="str">
        <f>'Source build'!A435</f>
        <v>L00429</v>
      </c>
      <c r="K435" s="1">
        <f>435</f>
        <v>435</v>
      </c>
      <c r="L435" s="10">
        <f t="shared" si="31"/>
        <v>8670</v>
      </c>
      <c r="M435" s="1">
        <f t="shared" si="32"/>
        <v>1</v>
      </c>
      <c r="N435" s="1">
        <f t="shared" si="33"/>
        <v>1</v>
      </c>
      <c r="O435" s="1" t="str">
        <f>IF(I435=0,"UNUSED",IF(A435="","MISSING ID",IF(K435=0,"UNEXPECTED ID",IF(N435&lt;&gt;1,"ID / ORDER DIFFERENCE",IF('Source build'!U435&lt;&gt;"INCLUDED","EXCLUDED SOURCE",IF(NOT(M435),"INVALID AMOUNT",IF('Source build'!Y435&lt;&gt;0,"CHANGED FIELDS","MATCH")))))))</f>
        <v>MATCH</v>
      </c>
      <c r="P435" s="1" t="str">
        <f t="shared" si="34"/>
        <v>2026-02</v>
      </c>
    </row>
    <row r="436" spans="1:16" ht="18.95" customHeight="1">
      <c r="A436" s="7" t="s">
        <v>1261</v>
      </c>
      <c r="B436" s="7" t="s">
        <v>1259</v>
      </c>
      <c r="C436" s="7" t="s">
        <v>302</v>
      </c>
      <c r="D436" s="7" t="s">
        <v>93</v>
      </c>
      <c r="E436" s="7" t="s">
        <v>46</v>
      </c>
      <c r="F436" s="7" t="s">
        <v>98</v>
      </c>
      <c r="G436" s="7" t="s">
        <v>1262</v>
      </c>
      <c r="I436" s="1">
        <f t="shared" si="30"/>
        <v>1</v>
      </c>
      <c r="J436" s="1" t="str">
        <f>'Source build'!A436</f>
        <v>L00430</v>
      </c>
      <c r="K436" s="1">
        <f>436</f>
        <v>436</v>
      </c>
      <c r="L436" s="10">
        <f t="shared" si="31"/>
        <v>17488</v>
      </c>
      <c r="M436" s="1">
        <f t="shared" si="32"/>
        <v>1</v>
      </c>
      <c r="N436" s="1">
        <f t="shared" si="33"/>
        <v>1</v>
      </c>
      <c r="O436" s="1" t="str">
        <f>IF(I436=0,"UNUSED",IF(A436="","MISSING ID",IF(K436=0,"UNEXPECTED ID",IF(N436&lt;&gt;1,"ID / ORDER DIFFERENCE",IF('Source build'!U436&lt;&gt;"INCLUDED","EXCLUDED SOURCE",IF(NOT(M436),"INVALID AMOUNT",IF('Source build'!Y436&lt;&gt;0,"CHANGED FIELDS","MATCH")))))))</f>
        <v>MATCH</v>
      </c>
      <c r="P436" s="1" t="str">
        <f t="shared" si="34"/>
        <v>2026-02</v>
      </c>
    </row>
    <row r="437" spans="1:16" ht="18.95" customHeight="1">
      <c r="A437" s="7" t="s">
        <v>1263</v>
      </c>
      <c r="B437" s="7" t="s">
        <v>1264</v>
      </c>
      <c r="C437" s="7" t="s">
        <v>308</v>
      </c>
      <c r="D437" s="7" t="s">
        <v>97</v>
      </c>
      <c r="E437" s="7" t="s">
        <v>47</v>
      </c>
      <c r="F437" s="7" t="s">
        <v>98</v>
      </c>
      <c r="G437" s="7" t="s">
        <v>1265</v>
      </c>
      <c r="I437" s="1">
        <f t="shared" si="30"/>
        <v>1</v>
      </c>
      <c r="J437" s="1" t="str">
        <f>'Source build'!A437</f>
        <v>L00431</v>
      </c>
      <c r="K437" s="1">
        <f>437</f>
        <v>437</v>
      </c>
      <c r="L437" s="10">
        <f t="shared" si="31"/>
        <v>4409</v>
      </c>
      <c r="M437" s="1">
        <f t="shared" si="32"/>
        <v>1</v>
      </c>
      <c r="N437" s="1">
        <f t="shared" si="33"/>
        <v>1</v>
      </c>
      <c r="O437" s="1" t="str">
        <f>IF(I437=0,"UNUSED",IF(A437="","MISSING ID",IF(K437=0,"UNEXPECTED ID",IF(N437&lt;&gt;1,"ID / ORDER DIFFERENCE",IF('Source build'!U437&lt;&gt;"INCLUDED","EXCLUDED SOURCE",IF(NOT(M437),"INVALID AMOUNT",IF('Source build'!Y437&lt;&gt;0,"CHANGED FIELDS","MATCH")))))))</f>
        <v>MATCH</v>
      </c>
      <c r="P437" s="1" t="str">
        <f t="shared" si="34"/>
        <v>2026-03</v>
      </c>
    </row>
    <row r="438" spans="1:16" ht="18.95" customHeight="1">
      <c r="A438" s="7" t="s">
        <v>1266</v>
      </c>
      <c r="B438" s="7" t="s">
        <v>1264</v>
      </c>
      <c r="C438" s="7" t="s">
        <v>308</v>
      </c>
      <c r="D438" s="7" t="s">
        <v>103</v>
      </c>
      <c r="E438" s="7" t="s">
        <v>48</v>
      </c>
      <c r="F438" s="7" t="s">
        <v>98</v>
      </c>
      <c r="G438" s="7" t="s">
        <v>1267</v>
      </c>
      <c r="I438" s="1">
        <f t="shared" si="30"/>
        <v>1</v>
      </c>
      <c r="J438" s="1" t="str">
        <f>'Source build'!A438</f>
        <v>L00432</v>
      </c>
      <c r="K438" s="1">
        <f>438</f>
        <v>438</v>
      </c>
      <c r="L438" s="10">
        <f t="shared" si="31"/>
        <v>13338</v>
      </c>
      <c r="M438" s="1">
        <f t="shared" si="32"/>
        <v>1</v>
      </c>
      <c r="N438" s="1">
        <f t="shared" si="33"/>
        <v>1</v>
      </c>
      <c r="O438" s="1" t="str">
        <f>IF(I438=0,"UNUSED",IF(A438="","MISSING ID",IF(K438=0,"UNEXPECTED ID",IF(N438&lt;&gt;1,"ID / ORDER DIFFERENCE",IF('Source build'!U438&lt;&gt;"INCLUDED","EXCLUDED SOURCE",IF(NOT(M438),"INVALID AMOUNT",IF('Source build'!Y438&lt;&gt;0,"CHANGED FIELDS","MATCH")))))))</f>
        <v>MATCH</v>
      </c>
      <c r="P438" s="1" t="str">
        <f t="shared" si="34"/>
        <v>2026-03</v>
      </c>
    </row>
    <row r="439" spans="1:16" ht="18.95" customHeight="1">
      <c r="A439" s="7" t="s">
        <v>1268</v>
      </c>
      <c r="B439" s="7" t="s">
        <v>1269</v>
      </c>
      <c r="C439" s="7" t="s">
        <v>314</v>
      </c>
      <c r="D439" s="7" t="s">
        <v>93</v>
      </c>
      <c r="E439" s="7" t="s">
        <v>46</v>
      </c>
      <c r="F439" s="7" t="s">
        <v>98</v>
      </c>
      <c r="G439" s="7" t="s">
        <v>1270</v>
      </c>
      <c r="I439" s="1">
        <f t="shared" si="30"/>
        <v>1</v>
      </c>
      <c r="J439" s="1" t="str">
        <f>'Source build'!A439</f>
        <v>L00433</v>
      </c>
      <c r="K439" s="1">
        <f>439</f>
        <v>439</v>
      </c>
      <c r="L439" s="10">
        <f t="shared" si="31"/>
        <v>22415</v>
      </c>
      <c r="M439" s="1">
        <f t="shared" si="32"/>
        <v>1</v>
      </c>
      <c r="N439" s="1">
        <f t="shared" si="33"/>
        <v>1</v>
      </c>
      <c r="O439" s="1" t="str">
        <f>IF(I439=0,"UNUSED",IF(A439="","MISSING ID",IF(K439=0,"UNEXPECTED ID",IF(N439&lt;&gt;1,"ID / ORDER DIFFERENCE",IF('Source build'!U439&lt;&gt;"INCLUDED","EXCLUDED SOURCE",IF(NOT(M439),"INVALID AMOUNT",IF('Source build'!Y439&lt;&gt;0,"CHANGED FIELDS","MATCH")))))))</f>
        <v>MATCH</v>
      </c>
      <c r="P439" s="1" t="str">
        <f t="shared" si="34"/>
        <v>2026-03</v>
      </c>
    </row>
    <row r="440" spans="1:16" ht="18.95" customHeight="1">
      <c r="A440" s="7" t="s">
        <v>1271</v>
      </c>
      <c r="B440" s="7" t="s">
        <v>1269</v>
      </c>
      <c r="C440" s="7" t="s">
        <v>314</v>
      </c>
      <c r="D440" s="7" t="s">
        <v>97</v>
      </c>
      <c r="E440" s="7" t="s">
        <v>47</v>
      </c>
      <c r="F440" s="7" t="s">
        <v>98</v>
      </c>
      <c r="G440" s="7" t="s">
        <v>1272</v>
      </c>
      <c r="I440" s="1">
        <f t="shared" si="30"/>
        <v>1</v>
      </c>
      <c r="J440" s="1" t="str">
        <f>'Source build'!A440</f>
        <v>L00434</v>
      </c>
      <c r="K440" s="1">
        <f>440</f>
        <v>440</v>
      </c>
      <c r="L440" s="10">
        <f t="shared" si="31"/>
        <v>9040</v>
      </c>
      <c r="M440" s="1">
        <f t="shared" si="32"/>
        <v>1</v>
      </c>
      <c r="N440" s="1">
        <f t="shared" si="33"/>
        <v>1</v>
      </c>
      <c r="O440" s="1" t="str">
        <f>IF(I440=0,"UNUSED",IF(A440="","MISSING ID",IF(K440=0,"UNEXPECTED ID",IF(N440&lt;&gt;1,"ID / ORDER DIFFERENCE",IF('Source build'!U440&lt;&gt;"INCLUDED","EXCLUDED SOURCE",IF(NOT(M440),"INVALID AMOUNT",IF('Source build'!Y440&lt;&gt;0,"CHANGED FIELDS","MATCH")))))))</f>
        <v>MATCH</v>
      </c>
      <c r="P440" s="1" t="str">
        <f t="shared" si="34"/>
        <v>2026-03</v>
      </c>
    </row>
    <row r="441" spans="1:16" ht="18.95" customHeight="1">
      <c r="A441" s="7" t="s">
        <v>1273</v>
      </c>
      <c r="B441" s="7" t="s">
        <v>1274</v>
      </c>
      <c r="C441" s="7" t="s">
        <v>320</v>
      </c>
      <c r="D441" s="7" t="s">
        <v>103</v>
      </c>
      <c r="E441" s="7" t="s">
        <v>48</v>
      </c>
      <c r="F441" s="7" t="s">
        <v>98</v>
      </c>
      <c r="G441" s="7" t="s">
        <v>5135</v>
      </c>
      <c r="I441" s="1">
        <f t="shared" si="30"/>
        <v>1</v>
      </c>
      <c r="J441" s="1" t="str">
        <f>'Source build'!A441</f>
        <v>L00435</v>
      </c>
      <c r="K441" s="1">
        <f>441</f>
        <v>441</v>
      </c>
      <c r="L441" s="10">
        <f t="shared" si="31"/>
        <v>18228</v>
      </c>
      <c r="M441" s="1">
        <f t="shared" si="32"/>
        <v>1</v>
      </c>
      <c r="N441" s="1">
        <f t="shared" si="33"/>
        <v>1</v>
      </c>
      <c r="O441" s="1" t="str">
        <f>IF(I441=0,"UNUSED",IF(A441="","MISSING ID",IF(K441=0,"UNEXPECTED ID",IF(N441&lt;&gt;1,"ID / ORDER DIFFERENCE",IF('Source build'!U441&lt;&gt;"INCLUDED","EXCLUDED SOURCE",IF(NOT(M441),"INVALID AMOUNT",IF('Source build'!Y441&lt;&gt;0,"CHANGED FIELDS","MATCH")))))))</f>
        <v>MATCH</v>
      </c>
      <c r="P441" s="1" t="str">
        <f t="shared" si="34"/>
        <v>2026-03</v>
      </c>
    </row>
    <row r="442" spans="1:16" ht="18.95" customHeight="1">
      <c r="A442" s="7" t="s">
        <v>1276</v>
      </c>
      <c r="B442" s="7" t="s">
        <v>1274</v>
      </c>
      <c r="C442" s="7" t="s">
        <v>320</v>
      </c>
      <c r="D442" s="7" t="s">
        <v>93</v>
      </c>
      <c r="E442" s="7" t="s">
        <v>46</v>
      </c>
      <c r="F442" s="7" t="s">
        <v>98</v>
      </c>
      <c r="G442" s="7" t="s">
        <v>1277</v>
      </c>
      <c r="I442" s="1">
        <f t="shared" si="30"/>
        <v>1</v>
      </c>
      <c r="J442" s="1" t="str">
        <f>'Source build'!A442</f>
        <v>L00436</v>
      </c>
      <c r="K442" s="1">
        <f>442</f>
        <v>442</v>
      </c>
      <c r="L442" s="10">
        <f t="shared" si="31"/>
        <v>4594</v>
      </c>
      <c r="M442" s="1">
        <f t="shared" si="32"/>
        <v>1</v>
      </c>
      <c r="N442" s="1">
        <f t="shared" si="33"/>
        <v>1</v>
      </c>
      <c r="O442" s="1" t="str">
        <f>IF(I442=0,"UNUSED",IF(A442="","MISSING ID",IF(K442=0,"UNEXPECTED ID",IF(N442&lt;&gt;1,"ID / ORDER DIFFERENCE",IF('Source build'!U442&lt;&gt;"INCLUDED","EXCLUDED SOURCE",IF(NOT(M442),"INVALID AMOUNT",IF('Source build'!Y442&lt;&gt;0,"CHANGED FIELDS","MATCH")))))))</f>
        <v>MATCH</v>
      </c>
      <c r="P442" s="1" t="str">
        <f t="shared" si="34"/>
        <v>2026-03</v>
      </c>
    </row>
    <row r="443" spans="1:16" ht="18.95" customHeight="1">
      <c r="A443" s="7" t="s">
        <v>1278</v>
      </c>
      <c r="B443" s="7" t="s">
        <v>1279</v>
      </c>
      <c r="C443" s="7" t="s">
        <v>326</v>
      </c>
      <c r="D443" s="7" t="s">
        <v>97</v>
      </c>
      <c r="E443" s="7" t="s">
        <v>47</v>
      </c>
      <c r="F443" s="7" t="s">
        <v>98</v>
      </c>
      <c r="G443" s="7" t="s">
        <v>1280</v>
      </c>
      <c r="I443" s="1">
        <f t="shared" si="30"/>
        <v>1</v>
      </c>
      <c r="J443" s="1" t="str">
        <f>'Source build'!A443</f>
        <v>L00437</v>
      </c>
      <c r="K443" s="1">
        <f>443</f>
        <v>443</v>
      </c>
      <c r="L443" s="10">
        <f t="shared" si="31"/>
        <v>13893</v>
      </c>
      <c r="M443" s="1">
        <f t="shared" si="32"/>
        <v>1</v>
      </c>
      <c r="N443" s="1">
        <f t="shared" si="33"/>
        <v>1</v>
      </c>
      <c r="O443" s="1" t="str">
        <f>IF(I443=0,"UNUSED",IF(A443="","MISSING ID",IF(K443=0,"UNEXPECTED ID",IF(N443&lt;&gt;1,"ID / ORDER DIFFERENCE",IF('Source build'!U443&lt;&gt;"INCLUDED","EXCLUDED SOURCE",IF(NOT(M443),"INVALID AMOUNT",IF('Source build'!Y443&lt;&gt;0,"CHANGED FIELDS","MATCH")))))))</f>
        <v>MATCH</v>
      </c>
      <c r="P443" s="1" t="str">
        <f t="shared" si="34"/>
        <v>2026-03</v>
      </c>
    </row>
    <row r="444" spans="1:16" ht="18.95" customHeight="1">
      <c r="A444" s="7" t="s">
        <v>1281</v>
      </c>
      <c r="B444" s="7" t="s">
        <v>1279</v>
      </c>
      <c r="C444" s="7" t="s">
        <v>326</v>
      </c>
      <c r="D444" s="7" t="s">
        <v>103</v>
      </c>
      <c r="E444" s="7" t="s">
        <v>48</v>
      </c>
      <c r="F444" s="7" t="s">
        <v>94</v>
      </c>
      <c r="G444" s="7" t="s">
        <v>1282</v>
      </c>
      <c r="I444" s="1">
        <f t="shared" si="30"/>
        <v>1</v>
      </c>
      <c r="J444" s="1" t="str">
        <f>'Source build'!A444</f>
        <v>L00438</v>
      </c>
      <c r="K444" s="1">
        <f>444</f>
        <v>444</v>
      </c>
      <c r="L444" s="10">
        <f t="shared" si="31"/>
        <v>-23340</v>
      </c>
      <c r="M444" s="1">
        <f t="shared" si="32"/>
        <v>1</v>
      </c>
      <c r="N444" s="1">
        <f t="shared" si="33"/>
        <v>1</v>
      </c>
      <c r="O444" s="1" t="str">
        <f>IF(I444=0,"UNUSED",IF(A444="","MISSING ID",IF(K444=0,"UNEXPECTED ID",IF(N444&lt;&gt;1,"ID / ORDER DIFFERENCE",IF('Source build'!U444&lt;&gt;"INCLUDED","EXCLUDED SOURCE",IF(NOT(M444),"INVALID AMOUNT",IF('Source build'!Y444&lt;&gt;0,"CHANGED FIELDS","MATCH")))))))</f>
        <v>MATCH</v>
      </c>
      <c r="P444" s="1" t="str">
        <f t="shared" si="34"/>
        <v>2026-03</v>
      </c>
    </row>
    <row r="445" spans="1:16" ht="18.95" customHeight="1">
      <c r="A445" s="7" t="s">
        <v>1283</v>
      </c>
      <c r="B445" s="7" t="s">
        <v>1284</v>
      </c>
      <c r="C445" s="7" t="s">
        <v>332</v>
      </c>
      <c r="D445" s="7" t="s">
        <v>93</v>
      </c>
      <c r="E445" s="7" t="s">
        <v>46</v>
      </c>
      <c r="F445" s="7" t="s">
        <v>98</v>
      </c>
      <c r="G445" s="7" t="s">
        <v>1285</v>
      </c>
      <c r="I445" s="1">
        <f t="shared" si="30"/>
        <v>1</v>
      </c>
      <c r="J445" s="1" t="str">
        <f>'Source build'!A445</f>
        <v>L00439</v>
      </c>
      <c r="K445" s="1">
        <f>445</f>
        <v>445</v>
      </c>
      <c r="L445" s="10">
        <f t="shared" si="31"/>
        <v>9410</v>
      </c>
      <c r="M445" s="1">
        <f t="shared" si="32"/>
        <v>1</v>
      </c>
      <c r="N445" s="1">
        <f t="shared" si="33"/>
        <v>1</v>
      </c>
      <c r="O445" s="1" t="str">
        <f>IF(I445=0,"UNUSED",IF(A445="","MISSING ID",IF(K445=0,"UNEXPECTED ID",IF(N445&lt;&gt;1,"ID / ORDER DIFFERENCE",IF('Source build'!U445&lt;&gt;"INCLUDED","EXCLUDED SOURCE",IF(NOT(M445),"INVALID AMOUNT",IF('Source build'!Y445&lt;&gt;0,"CHANGED FIELDS","MATCH")))))))</f>
        <v>MATCH</v>
      </c>
      <c r="P445" s="1" t="str">
        <f t="shared" si="34"/>
        <v>2026-01</v>
      </c>
    </row>
    <row r="446" spans="1:16" ht="18.95" customHeight="1">
      <c r="A446" s="7" t="s">
        <v>1286</v>
      </c>
      <c r="B446" s="7" t="s">
        <v>1284</v>
      </c>
      <c r="C446" s="7" t="s">
        <v>332</v>
      </c>
      <c r="D446" s="7" t="s">
        <v>97</v>
      </c>
      <c r="E446" s="7" t="s">
        <v>47</v>
      </c>
      <c r="F446" s="7" t="s">
        <v>98</v>
      </c>
      <c r="G446" s="7" t="s">
        <v>1287</v>
      </c>
      <c r="I446" s="1">
        <f t="shared" si="30"/>
        <v>1</v>
      </c>
      <c r="J446" s="1" t="str">
        <f>'Source build'!A446</f>
        <v>L00440</v>
      </c>
      <c r="K446" s="1">
        <f>446</f>
        <v>446</v>
      </c>
      <c r="L446" s="10">
        <f t="shared" si="31"/>
        <v>18968</v>
      </c>
      <c r="M446" s="1">
        <f t="shared" si="32"/>
        <v>1</v>
      </c>
      <c r="N446" s="1">
        <f t="shared" si="33"/>
        <v>1</v>
      </c>
      <c r="O446" s="1" t="str">
        <f>IF(I446=0,"UNUSED",IF(A446="","MISSING ID",IF(K446=0,"UNEXPECTED ID",IF(N446&lt;&gt;1,"ID / ORDER DIFFERENCE",IF('Source build'!U446&lt;&gt;"INCLUDED","EXCLUDED SOURCE",IF(NOT(M446),"INVALID AMOUNT",IF('Source build'!Y446&lt;&gt;0,"CHANGED FIELDS","MATCH")))))))</f>
        <v>MATCH</v>
      </c>
      <c r="P446" s="1" t="str">
        <f t="shared" si="34"/>
        <v>2026-01</v>
      </c>
    </row>
    <row r="447" spans="1:16" ht="18.95" customHeight="1">
      <c r="A447" s="7" t="s">
        <v>1288</v>
      </c>
      <c r="B447" s="7" t="s">
        <v>1289</v>
      </c>
      <c r="C447" s="7" t="s">
        <v>338</v>
      </c>
      <c r="D447" s="7" t="s">
        <v>103</v>
      </c>
      <c r="E447" s="7" t="s">
        <v>48</v>
      </c>
      <c r="F447" s="7" t="s">
        <v>98</v>
      </c>
      <c r="G447" s="7" t="s">
        <v>1290</v>
      </c>
      <c r="I447" s="1">
        <f t="shared" si="30"/>
        <v>1</v>
      </c>
      <c r="J447" s="1" t="str">
        <f>'Source build'!A447</f>
        <v>L00441</v>
      </c>
      <c r="K447" s="1">
        <f>447</f>
        <v>447</v>
      </c>
      <c r="L447" s="10">
        <f t="shared" si="31"/>
        <v>4779</v>
      </c>
      <c r="M447" s="1">
        <f t="shared" si="32"/>
        <v>1</v>
      </c>
      <c r="N447" s="1">
        <f t="shared" si="33"/>
        <v>1</v>
      </c>
      <c r="O447" s="1" t="str">
        <f>IF(I447=0,"UNUSED",IF(A447="","MISSING ID",IF(K447=0,"UNEXPECTED ID",IF(N447&lt;&gt;1,"ID / ORDER DIFFERENCE",IF('Source build'!U447&lt;&gt;"INCLUDED","EXCLUDED SOURCE",IF(NOT(M447),"INVALID AMOUNT",IF('Source build'!Y447&lt;&gt;0,"CHANGED FIELDS","MATCH")))))))</f>
        <v>MATCH</v>
      </c>
      <c r="P447" s="1" t="str">
        <f t="shared" si="34"/>
        <v>2026-01</v>
      </c>
    </row>
    <row r="448" spans="1:16" ht="18.95" customHeight="1">
      <c r="A448" s="7" t="s">
        <v>1291</v>
      </c>
      <c r="B448" s="7" t="s">
        <v>1289</v>
      </c>
      <c r="C448" s="7" t="s">
        <v>338</v>
      </c>
      <c r="D448" s="7" t="s">
        <v>93</v>
      </c>
      <c r="E448" s="7" t="s">
        <v>46</v>
      </c>
      <c r="F448" s="7" t="s">
        <v>98</v>
      </c>
      <c r="G448" s="7" t="s">
        <v>1292</v>
      </c>
      <c r="I448" s="1">
        <f t="shared" si="30"/>
        <v>1</v>
      </c>
      <c r="J448" s="1" t="str">
        <f>'Source build'!A448</f>
        <v>L00442</v>
      </c>
      <c r="K448" s="1">
        <f>448</f>
        <v>448</v>
      </c>
      <c r="L448" s="10">
        <f t="shared" si="31"/>
        <v>14448</v>
      </c>
      <c r="M448" s="1">
        <f t="shared" si="32"/>
        <v>1</v>
      </c>
      <c r="N448" s="1">
        <f t="shared" si="33"/>
        <v>1</v>
      </c>
      <c r="O448" s="1" t="str">
        <f>IF(I448=0,"UNUSED",IF(A448="","MISSING ID",IF(K448=0,"UNEXPECTED ID",IF(N448&lt;&gt;1,"ID / ORDER DIFFERENCE",IF('Source build'!U448&lt;&gt;"INCLUDED","EXCLUDED SOURCE",IF(NOT(M448),"INVALID AMOUNT",IF('Source build'!Y448&lt;&gt;0,"CHANGED FIELDS","MATCH")))))))</f>
        <v>MATCH</v>
      </c>
      <c r="P448" s="1" t="str">
        <f t="shared" si="34"/>
        <v>2026-01</v>
      </c>
    </row>
    <row r="449" spans="1:16" ht="18.95" customHeight="1">
      <c r="A449" s="7" t="s">
        <v>1293</v>
      </c>
      <c r="B449" s="7" t="s">
        <v>1294</v>
      </c>
      <c r="C449" s="7" t="s">
        <v>344</v>
      </c>
      <c r="D449" s="7" t="s">
        <v>97</v>
      </c>
      <c r="E449" s="7" t="s">
        <v>47</v>
      </c>
      <c r="F449" s="7" t="s">
        <v>98</v>
      </c>
      <c r="G449" s="7" t="s">
        <v>1295</v>
      </c>
      <c r="I449" s="1">
        <f t="shared" si="30"/>
        <v>1</v>
      </c>
      <c r="J449" s="1" t="str">
        <f>'Source build'!A449</f>
        <v>L00443</v>
      </c>
      <c r="K449" s="1">
        <f>449</f>
        <v>449</v>
      </c>
      <c r="L449" s="10">
        <f t="shared" si="31"/>
        <v>24265</v>
      </c>
      <c r="M449" s="1">
        <f t="shared" si="32"/>
        <v>1</v>
      </c>
      <c r="N449" s="1">
        <f t="shared" si="33"/>
        <v>1</v>
      </c>
      <c r="O449" s="1" t="str">
        <f>IF(I449=0,"UNUSED",IF(A449="","MISSING ID",IF(K449=0,"UNEXPECTED ID",IF(N449&lt;&gt;1,"ID / ORDER DIFFERENCE",IF('Source build'!U449&lt;&gt;"INCLUDED","EXCLUDED SOURCE",IF(NOT(M449),"INVALID AMOUNT",IF('Source build'!Y449&lt;&gt;0,"CHANGED FIELDS","MATCH")))))))</f>
        <v>MATCH</v>
      </c>
      <c r="P449" s="1" t="str">
        <f t="shared" si="34"/>
        <v>2026-01</v>
      </c>
    </row>
    <row r="450" spans="1:16" ht="18.95" customHeight="1">
      <c r="A450" s="7" t="s">
        <v>1296</v>
      </c>
      <c r="B450" s="7" t="s">
        <v>1294</v>
      </c>
      <c r="C450" s="7" t="s">
        <v>344</v>
      </c>
      <c r="D450" s="7" t="s">
        <v>103</v>
      </c>
      <c r="E450" s="7" t="s">
        <v>48</v>
      </c>
      <c r="F450" s="7" t="s">
        <v>98</v>
      </c>
      <c r="G450" s="7" t="s">
        <v>1297</v>
      </c>
      <c r="I450" s="1">
        <f t="shared" si="30"/>
        <v>1</v>
      </c>
      <c r="J450" s="1" t="str">
        <f>'Source build'!A450</f>
        <v>L00444</v>
      </c>
      <c r="K450" s="1">
        <f>450</f>
        <v>450</v>
      </c>
      <c r="L450" s="10">
        <f t="shared" si="31"/>
        <v>9780</v>
      </c>
      <c r="M450" s="1">
        <f t="shared" si="32"/>
        <v>1</v>
      </c>
      <c r="N450" s="1">
        <f t="shared" si="33"/>
        <v>1</v>
      </c>
      <c r="O450" s="1" t="str">
        <f>IF(I450=0,"UNUSED",IF(A450="","MISSING ID",IF(K450=0,"UNEXPECTED ID",IF(N450&lt;&gt;1,"ID / ORDER DIFFERENCE",IF('Source build'!U450&lt;&gt;"INCLUDED","EXCLUDED SOURCE",IF(NOT(M450),"INVALID AMOUNT",IF('Source build'!Y450&lt;&gt;0,"CHANGED FIELDS","MATCH")))))))</f>
        <v>MATCH</v>
      </c>
      <c r="P450" s="1" t="str">
        <f t="shared" si="34"/>
        <v>2026-01</v>
      </c>
    </row>
    <row r="451" spans="1:16" ht="18.95" customHeight="1">
      <c r="A451" s="7" t="s">
        <v>1298</v>
      </c>
      <c r="B451" s="7" t="s">
        <v>1299</v>
      </c>
      <c r="C451" s="7" t="s">
        <v>350</v>
      </c>
      <c r="D451" s="7" t="s">
        <v>93</v>
      </c>
      <c r="E451" s="7" t="s">
        <v>46</v>
      </c>
      <c r="F451" s="7" t="s">
        <v>98</v>
      </c>
      <c r="G451" s="7" t="s">
        <v>1301</v>
      </c>
      <c r="I451" s="1">
        <f t="shared" si="30"/>
        <v>1</v>
      </c>
      <c r="J451" s="1" t="str">
        <f>'Source build'!A451</f>
        <v>L00445</v>
      </c>
      <c r="K451" s="1">
        <f>451</f>
        <v>451</v>
      </c>
      <c r="L451" s="10">
        <f t="shared" si="31"/>
        <v>19708</v>
      </c>
      <c r="M451" s="1">
        <f t="shared" si="32"/>
        <v>1</v>
      </c>
      <c r="N451" s="1">
        <f t="shared" si="33"/>
        <v>1</v>
      </c>
      <c r="O451" s="1" t="str">
        <f>IF(I451=0,"UNUSED",IF(A451="","MISSING ID",IF(K451=0,"UNEXPECTED ID",IF(N451&lt;&gt;1,"ID / ORDER DIFFERENCE",IF('Source build'!U451&lt;&gt;"INCLUDED","EXCLUDED SOURCE",IF(NOT(M451),"INVALID AMOUNT",IF('Source build'!Y451&lt;&gt;0,"CHANGED FIELDS","MATCH")))))))</f>
        <v>MATCH</v>
      </c>
      <c r="P451" s="1" t="str">
        <f t="shared" si="34"/>
        <v>2026-01</v>
      </c>
    </row>
    <row r="452" spans="1:16" ht="18.95" customHeight="1">
      <c r="A452" s="7" t="s">
        <v>1302</v>
      </c>
      <c r="B452" s="7" t="s">
        <v>1299</v>
      </c>
      <c r="C452" s="7" t="s">
        <v>350</v>
      </c>
      <c r="D452" s="7" t="s">
        <v>97</v>
      </c>
      <c r="E452" s="7" t="s">
        <v>47</v>
      </c>
      <c r="F452" s="7" t="s">
        <v>98</v>
      </c>
      <c r="G452" s="7" t="s">
        <v>1303</v>
      </c>
      <c r="I452" s="1">
        <f t="shared" si="30"/>
        <v>1</v>
      </c>
      <c r="J452" s="1" t="str">
        <f>'Source build'!A452</f>
        <v>L00446</v>
      </c>
      <c r="K452" s="1">
        <f>452</f>
        <v>452</v>
      </c>
      <c r="L452" s="10">
        <f t="shared" si="31"/>
        <v>4964</v>
      </c>
      <c r="M452" s="1">
        <f t="shared" si="32"/>
        <v>1</v>
      </c>
      <c r="N452" s="1">
        <f t="shared" si="33"/>
        <v>1</v>
      </c>
      <c r="O452" s="1" t="str">
        <f>IF(I452=0,"UNUSED",IF(A452="","MISSING ID",IF(K452=0,"UNEXPECTED ID",IF(N452&lt;&gt;1,"ID / ORDER DIFFERENCE",IF('Source build'!U452&lt;&gt;"INCLUDED","EXCLUDED SOURCE",IF(NOT(M452),"INVALID AMOUNT",IF('Source build'!Y452&lt;&gt;0,"CHANGED FIELDS","MATCH")))))))</f>
        <v>MATCH</v>
      </c>
      <c r="P452" s="1" t="str">
        <f t="shared" si="34"/>
        <v>2026-01</v>
      </c>
    </row>
    <row r="453" spans="1:16" ht="18.95" customHeight="1">
      <c r="A453" s="7" t="s">
        <v>1304</v>
      </c>
      <c r="B453" s="7" t="s">
        <v>1305</v>
      </c>
      <c r="C453" s="7" t="s">
        <v>356</v>
      </c>
      <c r="D453" s="7" t="s">
        <v>103</v>
      </c>
      <c r="E453" s="7" t="s">
        <v>48</v>
      </c>
      <c r="F453" s="7" t="s">
        <v>98</v>
      </c>
      <c r="G453" s="7" t="s">
        <v>1306</v>
      </c>
      <c r="I453" s="1">
        <f t="shared" si="30"/>
        <v>1</v>
      </c>
      <c r="J453" s="1" t="str">
        <f>'Source build'!A453</f>
        <v>L00447</v>
      </c>
      <c r="K453" s="1">
        <f>453</f>
        <v>453</v>
      </c>
      <c r="L453" s="10">
        <f t="shared" si="31"/>
        <v>15003</v>
      </c>
      <c r="M453" s="1">
        <f t="shared" si="32"/>
        <v>1</v>
      </c>
      <c r="N453" s="1">
        <f t="shared" si="33"/>
        <v>1</v>
      </c>
      <c r="O453" s="1" t="str">
        <f>IF(I453=0,"UNUSED",IF(A453="","MISSING ID",IF(K453=0,"UNEXPECTED ID",IF(N453&lt;&gt;1,"ID / ORDER DIFFERENCE",IF('Source build'!U453&lt;&gt;"INCLUDED","EXCLUDED SOURCE",IF(NOT(M453),"INVALID AMOUNT",IF('Source build'!Y453&lt;&gt;0,"CHANGED FIELDS","MATCH")))))))</f>
        <v>MATCH</v>
      </c>
      <c r="P453" s="1" t="str">
        <f t="shared" si="34"/>
        <v>2026-02</v>
      </c>
    </row>
    <row r="454" spans="1:16" ht="18.95" customHeight="1">
      <c r="A454" s="7" t="s">
        <v>1307</v>
      </c>
      <c r="B454" s="7" t="s">
        <v>1305</v>
      </c>
      <c r="C454" s="7" t="s">
        <v>356</v>
      </c>
      <c r="D454" s="7" t="s">
        <v>93</v>
      </c>
      <c r="E454" s="7" t="s">
        <v>46</v>
      </c>
      <c r="F454" s="7" t="s">
        <v>98</v>
      </c>
      <c r="G454" s="7" t="s">
        <v>1308</v>
      </c>
      <c r="I454" s="1">
        <f t="shared" si="30"/>
        <v>1</v>
      </c>
      <c r="J454" s="1" t="str">
        <f>'Source build'!A454</f>
        <v>L00448</v>
      </c>
      <c r="K454" s="1">
        <f>454</f>
        <v>454</v>
      </c>
      <c r="L454" s="10">
        <f t="shared" si="31"/>
        <v>25190</v>
      </c>
      <c r="M454" s="1">
        <f t="shared" si="32"/>
        <v>1</v>
      </c>
      <c r="N454" s="1">
        <f t="shared" si="33"/>
        <v>1</v>
      </c>
      <c r="O454" s="1" t="str">
        <f>IF(I454=0,"UNUSED",IF(A454="","MISSING ID",IF(K454=0,"UNEXPECTED ID",IF(N454&lt;&gt;1,"ID / ORDER DIFFERENCE",IF('Source build'!U454&lt;&gt;"INCLUDED","EXCLUDED SOURCE",IF(NOT(M454),"INVALID AMOUNT",IF('Source build'!Y454&lt;&gt;0,"CHANGED FIELDS","MATCH")))))))</f>
        <v>MATCH</v>
      </c>
      <c r="P454" s="1" t="str">
        <f t="shared" si="34"/>
        <v>2026-02</v>
      </c>
    </row>
    <row r="455" spans="1:16" ht="18.95" customHeight="1">
      <c r="A455" s="7" t="s">
        <v>1309</v>
      </c>
      <c r="B455" s="7" t="s">
        <v>1310</v>
      </c>
      <c r="C455" s="7" t="s">
        <v>362</v>
      </c>
      <c r="D455" s="7" t="s">
        <v>97</v>
      </c>
      <c r="E455" s="7" t="s">
        <v>47</v>
      </c>
      <c r="F455" s="7" t="s">
        <v>98</v>
      </c>
      <c r="G455" s="7" t="s">
        <v>1311</v>
      </c>
      <c r="I455" s="1">
        <f t="shared" ref="I455:I518" si="35">IF(AND(A455="",B455="",C455="",D455="",E455="",F455="",G455=""),0,1)</f>
        <v>1</v>
      </c>
      <c r="J455" s="1" t="str">
        <f>'Source build'!A455</f>
        <v>L00449</v>
      </c>
      <c r="K455" s="1">
        <f>455</f>
        <v>455</v>
      </c>
      <c r="L455" s="10">
        <f t="shared" ref="L455:L518" si="36">IFERROR(IF(ABS(VALUE(G455)*100-ROUND(VALUE(G455)*100,0))&lt;0.0000001,ROUND(VALUE(G455)*100,0),0),0)</f>
        <v>10150</v>
      </c>
      <c r="M455" s="1">
        <f t="shared" ref="M455:M518" si="37">--IF(I455=0,TRUE,IF(TRIM(G455)="",FALSE,IFERROR(AND(ISNUMBER(VALUE(G455)),ABS(VALUE(G455)*100-ROUND(VALUE(G455)*100,0))&lt;0.0000001,OR(ISNUMBER(G455),EXACT(G455,TEXT(VALUE(G455),"0.00"))),OR(AND(EXACT(F455,"sale"),VALUE(G455)&gt;0),AND(EXACT(F455,"refund"),VALUE(G455)&lt;0))),FALSE)))</f>
        <v>1</v>
      </c>
      <c r="N455" s="1">
        <f t="shared" ref="N455:N518" si="38">IF(I455=1,IF(EXACT(A455,J455),1,0),0)</f>
        <v>1</v>
      </c>
      <c r="O455" s="1" t="str">
        <f>IF(I455=0,"UNUSED",IF(A455="","MISSING ID",IF(K455=0,"UNEXPECTED ID",IF(N455&lt;&gt;1,"ID / ORDER DIFFERENCE",IF('Source build'!U455&lt;&gt;"INCLUDED","EXCLUDED SOURCE",IF(NOT(M455),"INVALID AMOUNT",IF('Source build'!Y455&lt;&gt;0,"CHANGED FIELDS","MATCH")))))))</f>
        <v>MATCH</v>
      </c>
      <c r="P455" s="1" t="str">
        <f t="shared" ref="P455:P518" si="39">IF(I455=1,LEFT(C455,7),"")</f>
        <v>2026-02</v>
      </c>
    </row>
    <row r="456" spans="1:16" ht="18.95" customHeight="1">
      <c r="A456" s="7" t="s">
        <v>1312</v>
      </c>
      <c r="B456" s="7" t="s">
        <v>1310</v>
      </c>
      <c r="C456" s="7" t="s">
        <v>362</v>
      </c>
      <c r="D456" s="7" t="s">
        <v>103</v>
      </c>
      <c r="E456" s="7" t="s">
        <v>48</v>
      </c>
      <c r="F456" s="7" t="s">
        <v>98</v>
      </c>
      <c r="G456" s="7" t="s">
        <v>1313</v>
      </c>
      <c r="I456" s="1">
        <f t="shared" si="35"/>
        <v>1</v>
      </c>
      <c r="J456" s="1" t="str">
        <f>'Source build'!A456</f>
        <v>L00450</v>
      </c>
      <c r="K456" s="1">
        <f>456</f>
        <v>456</v>
      </c>
      <c r="L456" s="10">
        <f t="shared" si="36"/>
        <v>20448</v>
      </c>
      <c r="M456" s="1">
        <f t="shared" si="37"/>
        <v>1</v>
      </c>
      <c r="N456" s="1">
        <f t="shared" si="38"/>
        <v>1</v>
      </c>
      <c r="O456" s="1" t="str">
        <f>IF(I456=0,"UNUSED",IF(A456="","MISSING ID",IF(K456=0,"UNEXPECTED ID",IF(N456&lt;&gt;1,"ID / ORDER DIFFERENCE",IF('Source build'!U456&lt;&gt;"INCLUDED","EXCLUDED SOURCE",IF(NOT(M456),"INVALID AMOUNT",IF('Source build'!Y456&lt;&gt;0,"CHANGED FIELDS","MATCH")))))))</f>
        <v>MATCH</v>
      </c>
      <c r="P456" s="1" t="str">
        <f t="shared" si="39"/>
        <v>2026-02</v>
      </c>
    </row>
    <row r="457" spans="1:16" ht="18.95" customHeight="1">
      <c r="A457" s="7" t="s">
        <v>1314</v>
      </c>
      <c r="B457" s="7" t="s">
        <v>1315</v>
      </c>
      <c r="C457" s="7" t="s">
        <v>368</v>
      </c>
      <c r="D457" s="7" t="s">
        <v>93</v>
      </c>
      <c r="E457" s="7" t="s">
        <v>46</v>
      </c>
      <c r="F457" s="7" t="s">
        <v>98</v>
      </c>
      <c r="G457" s="7" t="s">
        <v>1316</v>
      </c>
      <c r="I457" s="1">
        <f t="shared" si="35"/>
        <v>1</v>
      </c>
      <c r="J457" s="1" t="str">
        <f>'Source build'!A457</f>
        <v>L00451</v>
      </c>
      <c r="K457" s="1">
        <f>457</f>
        <v>457</v>
      </c>
      <c r="L457" s="10">
        <f t="shared" si="36"/>
        <v>5149</v>
      </c>
      <c r="M457" s="1">
        <f t="shared" si="37"/>
        <v>1</v>
      </c>
      <c r="N457" s="1">
        <f t="shared" si="38"/>
        <v>1</v>
      </c>
      <c r="O457" s="1" t="str">
        <f>IF(I457=0,"UNUSED",IF(A457="","MISSING ID",IF(K457=0,"UNEXPECTED ID",IF(N457&lt;&gt;1,"ID / ORDER DIFFERENCE",IF('Source build'!U457&lt;&gt;"INCLUDED","EXCLUDED SOURCE",IF(NOT(M457),"INVALID AMOUNT",IF('Source build'!Y457&lt;&gt;0,"CHANGED FIELDS","MATCH")))))))</f>
        <v>MATCH</v>
      </c>
      <c r="P457" s="1" t="str">
        <f t="shared" si="39"/>
        <v>2026-02</v>
      </c>
    </row>
    <row r="458" spans="1:16" ht="18.95" customHeight="1">
      <c r="A458" s="7" t="s">
        <v>1317</v>
      </c>
      <c r="B458" s="7" t="s">
        <v>1315</v>
      </c>
      <c r="C458" s="7" t="s">
        <v>368</v>
      </c>
      <c r="D458" s="7" t="s">
        <v>97</v>
      </c>
      <c r="E458" s="7" t="s">
        <v>47</v>
      </c>
      <c r="F458" s="7" t="s">
        <v>98</v>
      </c>
      <c r="G458" s="7" t="s">
        <v>1318</v>
      </c>
      <c r="I458" s="1">
        <f t="shared" si="35"/>
        <v>1</v>
      </c>
      <c r="J458" s="1" t="str">
        <f>'Source build'!A458</f>
        <v>L00452</v>
      </c>
      <c r="K458" s="1">
        <f>458</f>
        <v>458</v>
      </c>
      <c r="L458" s="10">
        <f t="shared" si="36"/>
        <v>15558</v>
      </c>
      <c r="M458" s="1">
        <f t="shared" si="37"/>
        <v>1</v>
      </c>
      <c r="N458" s="1">
        <f t="shared" si="38"/>
        <v>1</v>
      </c>
      <c r="O458" s="1" t="str">
        <f>IF(I458=0,"UNUSED",IF(A458="","MISSING ID",IF(K458=0,"UNEXPECTED ID",IF(N458&lt;&gt;1,"ID / ORDER DIFFERENCE",IF('Source build'!U458&lt;&gt;"INCLUDED","EXCLUDED SOURCE",IF(NOT(M458),"INVALID AMOUNT",IF('Source build'!Y458&lt;&gt;0,"CHANGED FIELDS","MATCH")))))))</f>
        <v>MATCH</v>
      </c>
      <c r="P458" s="1" t="str">
        <f t="shared" si="39"/>
        <v>2026-02</v>
      </c>
    </row>
    <row r="459" spans="1:16" ht="18.95" customHeight="1">
      <c r="A459" s="7" t="s">
        <v>1319</v>
      </c>
      <c r="B459" s="7" t="s">
        <v>1320</v>
      </c>
      <c r="C459" s="7" t="s">
        <v>374</v>
      </c>
      <c r="D459" s="7" t="s">
        <v>103</v>
      </c>
      <c r="E459" s="7" t="s">
        <v>48</v>
      </c>
      <c r="F459" s="7" t="s">
        <v>98</v>
      </c>
      <c r="G459" s="7" t="s">
        <v>1321</v>
      </c>
      <c r="I459" s="1">
        <f t="shared" si="35"/>
        <v>1</v>
      </c>
      <c r="J459" s="1" t="str">
        <f>'Source build'!A459</f>
        <v>L00453</v>
      </c>
      <c r="K459" s="1">
        <f>459</f>
        <v>459</v>
      </c>
      <c r="L459" s="10">
        <f t="shared" si="36"/>
        <v>26115</v>
      </c>
      <c r="M459" s="1">
        <f t="shared" si="37"/>
        <v>1</v>
      </c>
      <c r="N459" s="1">
        <f t="shared" si="38"/>
        <v>1</v>
      </c>
      <c r="O459" s="1" t="str">
        <f>IF(I459=0,"UNUSED",IF(A459="","MISSING ID",IF(K459=0,"UNEXPECTED ID",IF(N459&lt;&gt;1,"ID / ORDER DIFFERENCE",IF('Source build'!U459&lt;&gt;"INCLUDED","EXCLUDED SOURCE",IF(NOT(M459),"INVALID AMOUNT",IF('Source build'!Y459&lt;&gt;0,"CHANGED FIELDS","MATCH")))))))</f>
        <v>MATCH</v>
      </c>
      <c r="P459" s="1" t="str">
        <f t="shared" si="39"/>
        <v>2026-02</v>
      </c>
    </row>
    <row r="460" spans="1:16" ht="18.95" customHeight="1">
      <c r="A460" s="7" t="s">
        <v>1322</v>
      </c>
      <c r="B460" s="7" t="s">
        <v>1320</v>
      </c>
      <c r="C460" s="7" t="s">
        <v>374</v>
      </c>
      <c r="D460" s="7" t="s">
        <v>93</v>
      </c>
      <c r="E460" s="7" t="s">
        <v>46</v>
      </c>
      <c r="F460" s="7" t="s">
        <v>98</v>
      </c>
      <c r="G460" s="7" t="s">
        <v>1323</v>
      </c>
      <c r="I460" s="1">
        <f t="shared" si="35"/>
        <v>1</v>
      </c>
      <c r="J460" s="1" t="str">
        <f>'Source build'!A460</f>
        <v>L00454</v>
      </c>
      <c r="K460" s="1">
        <f>460</f>
        <v>460</v>
      </c>
      <c r="L460" s="10">
        <f t="shared" si="36"/>
        <v>10520</v>
      </c>
      <c r="M460" s="1">
        <f t="shared" si="37"/>
        <v>1</v>
      </c>
      <c r="N460" s="1">
        <f t="shared" si="38"/>
        <v>1</v>
      </c>
      <c r="O460" s="1" t="str">
        <f>IF(I460=0,"UNUSED",IF(A460="","MISSING ID",IF(K460=0,"UNEXPECTED ID",IF(N460&lt;&gt;1,"ID / ORDER DIFFERENCE",IF('Source build'!U460&lt;&gt;"INCLUDED","EXCLUDED SOURCE",IF(NOT(M460),"INVALID AMOUNT",IF('Source build'!Y460&lt;&gt;0,"CHANGED FIELDS","MATCH")))))))</f>
        <v>MATCH</v>
      </c>
      <c r="P460" s="1" t="str">
        <f t="shared" si="39"/>
        <v>2026-02</v>
      </c>
    </row>
    <row r="461" spans="1:16" ht="18.95" customHeight="1">
      <c r="A461" s="7" t="s">
        <v>1324</v>
      </c>
      <c r="B461" s="7" t="s">
        <v>1325</v>
      </c>
      <c r="C461" s="7" t="s">
        <v>380</v>
      </c>
      <c r="D461" s="7" t="s">
        <v>97</v>
      </c>
      <c r="E461" s="7" t="s">
        <v>47</v>
      </c>
      <c r="F461" s="7" t="s">
        <v>98</v>
      </c>
      <c r="G461" s="7" t="s">
        <v>1326</v>
      </c>
      <c r="I461" s="1">
        <f t="shared" si="35"/>
        <v>1</v>
      </c>
      <c r="J461" s="1" t="str">
        <f>'Source build'!A461</f>
        <v>L00455</v>
      </c>
      <c r="K461" s="1">
        <f>461</f>
        <v>461</v>
      </c>
      <c r="L461" s="10">
        <f t="shared" si="36"/>
        <v>21188</v>
      </c>
      <c r="M461" s="1">
        <f t="shared" si="37"/>
        <v>1</v>
      </c>
      <c r="N461" s="1">
        <f t="shared" si="38"/>
        <v>1</v>
      </c>
      <c r="O461" s="1" t="str">
        <f>IF(I461=0,"UNUSED",IF(A461="","MISSING ID",IF(K461=0,"UNEXPECTED ID",IF(N461&lt;&gt;1,"ID / ORDER DIFFERENCE",IF('Source build'!U461&lt;&gt;"INCLUDED","EXCLUDED SOURCE",IF(NOT(M461),"INVALID AMOUNT",IF('Source build'!Y461&lt;&gt;0,"CHANGED FIELDS","MATCH")))))))</f>
        <v>MATCH</v>
      </c>
      <c r="P461" s="1" t="str">
        <f t="shared" si="39"/>
        <v>2026-03</v>
      </c>
    </row>
    <row r="462" spans="1:16" ht="18.95" customHeight="1">
      <c r="A462" s="7" t="s">
        <v>1327</v>
      </c>
      <c r="B462" s="7" t="s">
        <v>1325</v>
      </c>
      <c r="C462" s="7" t="s">
        <v>380</v>
      </c>
      <c r="D462" s="7" t="s">
        <v>103</v>
      </c>
      <c r="E462" s="7" t="s">
        <v>48</v>
      </c>
      <c r="F462" s="7" t="s">
        <v>98</v>
      </c>
      <c r="G462" s="7" t="s">
        <v>1328</v>
      </c>
      <c r="I462" s="1">
        <f t="shared" si="35"/>
        <v>1</v>
      </c>
      <c r="J462" s="1" t="str">
        <f>'Source build'!A462</f>
        <v>L00456</v>
      </c>
      <c r="K462" s="1">
        <f>462</f>
        <v>462</v>
      </c>
      <c r="L462" s="10">
        <f t="shared" si="36"/>
        <v>5334</v>
      </c>
      <c r="M462" s="1">
        <f t="shared" si="37"/>
        <v>1</v>
      </c>
      <c r="N462" s="1">
        <f t="shared" si="38"/>
        <v>1</v>
      </c>
      <c r="O462" s="1" t="str">
        <f>IF(I462=0,"UNUSED",IF(A462="","MISSING ID",IF(K462=0,"UNEXPECTED ID",IF(N462&lt;&gt;1,"ID / ORDER DIFFERENCE",IF('Source build'!U462&lt;&gt;"INCLUDED","EXCLUDED SOURCE",IF(NOT(M462),"INVALID AMOUNT",IF('Source build'!Y462&lt;&gt;0,"CHANGED FIELDS","MATCH")))))))</f>
        <v>MATCH</v>
      </c>
      <c r="P462" s="1" t="str">
        <f t="shared" si="39"/>
        <v>2026-03</v>
      </c>
    </row>
    <row r="463" spans="1:16" ht="18.95" customHeight="1">
      <c r="A463" s="7" t="s">
        <v>1329</v>
      </c>
      <c r="B463" s="7" t="s">
        <v>1330</v>
      </c>
      <c r="C463" s="7" t="s">
        <v>386</v>
      </c>
      <c r="D463" s="7" t="s">
        <v>93</v>
      </c>
      <c r="E463" s="7" t="s">
        <v>46</v>
      </c>
      <c r="F463" s="7" t="s">
        <v>98</v>
      </c>
      <c r="G463" s="7" t="s">
        <v>1331</v>
      </c>
      <c r="I463" s="1">
        <f t="shared" si="35"/>
        <v>1</v>
      </c>
      <c r="J463" s="1" t="str">
        <f>'Source build'!A463</f>
        <v>L00457</v>
      </c>
      <c r="K463" s="1">
        <f>463</f>
        <v>463</v>
      </c>
      <c r="L463" s="10">
        <f t="shared" si="36"/>
        <v>16113</v>
      </c>
      <c r="M463" s="1">
        <f t="shared" si="37"/>
        <v>1</v>
      </c>
      <c r="N463" s="1">
        <f t="shared" si="38"/>
        <v>1</v>
      </c>
      <c r="O463" s="1" t="str">
        <f>IF(I463=0,"UNUSED",IF(A463="","MISSING ID",IF(K463=0,"UNEXPECTED ID",IF(N463&lt;&gt;1,"ID / ORDER DIFFERENCE",IF('Source build'!U463&lt;&gt;"INCLUDED","EXCLUDED SOURCE",IF(NOT(M463),"INVALID AMOUNT",IF('Source build'!Y463&lt;&gt;0,"CHANGED FIELDS","MATCH")))))))</f>
        <v>MATCH</v>
      </c>
      <c r="P463" s="1" t="str">
        <f t="shared" si="39"/>
        <v>2026-03</v>
      </c>
    </row>
    <row r="464" spans="1:16" ht="18.95" customHeight="1">
      <c r="A464" s="7" t="s">
        <v>1332</v>
      </c>
      <c r="B464" s="7" t="s">
        <v>1330</v>
      </c>
      <c r="C464" s="7" t="s">
        <v>386</v>
      </c>
      <c r="D464" s="7" t="s">
        <v>97</v>
      </c>
      <c r="E464" s="7" t="s">
        <v>47</v>
      </c>
      <c r="F464" s="7" t="s">
        <v>98</v>
      </c>
      <c r="G464" s="7" t="s">
        <v>1333</v>
      </c>
      <c r="I464" s="1">
        <f t="shared" si="35"/>
        <v>1</v>
      </c>
      <c r="J464" s="1" t="str">
        <f>'Source build'!A464</f>
        <v>L00458</v>
      </c>
      <c r="K464" s="1">
        <f>464</f>
        <v>464</v>
      </c>
      <c r="L464" s="10">
        <f t="shared" si="36"/>
        <v>27040</v>
      </c>
      <c r="M464" s="1">
        <f t="shared" si="37"/>
        <v>1</v>
      </c>
      <c r="N464" s="1">
        <f t="shared" si="38"/>
        <v>1</v>
      </c>
      <c r="O464" s="1" t="str">
        <f>IF(I464=0,"UNUSED",IF(A464="","MISSING ID",IF(K464=0,"UNEXPECTED ID",IF(N464&lt;&gt;1,"ID / ORDER DIFFERENCE",IF('Source build'!U464&lt;&gt;"INCLUDED","EXCLUDED SOURCE",IF(NOT(M464),"INVALID AMOUNT",IF('Source build'!Y464&lt;&gt;0,"CHANGED FIELDS","MATCH")))))))</f>
        <v>MATCH</v>
      </c>
      <c r="P464" s="1" t="str">
        <f t="shared" si="39"/>
        <v>2026-03</v>
      </c>
    </row>
    <row r="465" spans="1:16" ht="18.95" customHeight="1">
      <c r="A465" s="7" t="s">
        <v>1334</v>
      </c>
      <c r="B465" s="7" t="s">
        <v>1335</v>
      </c>
      <c r="C465" s="7" t="s">
        <v>392</v>
      </c>
      <c r="D465" s="7" t="s">
        <v>103</v>
      </c>
      <c r="E465" s="7" t="s">
        <v>48</v>
      </c>
      <c r="F465" s="7" t="s">
        <v>98</v>
      </c>
      <c r="G465" s="7" t="s">
        <v>1336</v>
      </c>
      <c r="I465" s="1">
        <f t="shared" si="35"/>
        <v>1</v>
      </c>
      <c r="J465" s="1" t="str">
        <f>'Source build'!A465</f>
        <v>L00459</v>
      </c>
      <c r="K465" s="1">
        <f>465</f>
        <v>465</v>
      </c>
      <c r="L465" s="10">
        <f t="shared" si="36"/>
        <v>10890</v>
      </c>
      <c r="M465" s="1">
        <f t="shared" si="37"/>
        <v>1</v>
      </c>
      <c r="N465" s="1">
        <f t="shared" si="38"/>
        <v>1</v>
      </c>
      <c r="O465" s="1" t="str">
        <f>IF(I465=0,"UNUSED",IF(A465="","MISSING ID",IF(K465=0,"UNEXPECTED ID",IF(N465&lt;&gt;1,"ID / ORDER DIFFERENCE",IF('Source build'!U465&lt;&gt;"INCLUDED","EXCLUDED SOURCE",IF(NOT(M465),"INVALID AMOUNT",IF('Source build'!Y465&lt;&gt;0,"CHANGED FIELDS","MATCH")))))))</f>
        <v>MATCH</v>
      </c>
      <c r="P465" s="1" t="str">
        <f t="shared" si="39"/>
        <v>2026-03</v>
      </c>
    </row>
    <row r="466" spans="1:16" ht="18.95" customHeight="1">
      <c r="A466" s="7" t="s">
        <v>1337</v>
      </c>
      <c r="B466" s="7" t="s">
        <v>1335</v>
      </c>
      <c r="C466" s="7" t="s">
        <v>392</v>
      </c>
      <c r="D466" s="7" t="s">
        <v>93</v>
      </c>
      <c r="E466" s="7" t="s">
        <v>46</v>
      </c>
      <c r="F466" s="7" t="s">
        <v>98</v>
      </c>
      <c r="G466" s="7" t="s">
        <v>1338</v>
      </c>
      <c r="I466" s="1">
        <f t="shared" si="35"/>
        <v>1</v>
      </c>
      <c r="J466" s="1" t="str">
        <f>'Source build'!A466</f>
        <v>L00460</v>
      </c>
      <c r="K466" s="1">
        <f>466</f>
        <v>466</v>
      </c>
      <c r="L466" s="10">
        <f t="shared" si="36"/>
        <v>21928</v>
      </c>
      <c r="M466" s="1">
        <f t="shared" si="37"/>
        <v>1</v>
      </c>
      <c r="N466" s="1">
        <f t="shared" si="38"/>
        <v>1</v>
      </c>
      <c r="O466" s="1" t="str">
        <f>IF(I466=0,"UNUSED",IF(A466="","MISSING ID",IF(K466=0,"UNEXPECTED ID",IF(N466&lt;&gt;1,"ID / ORDER DIFFERENCE",IF('Source build'!U466&lt;&gt;"INCLUDED","EXCLUDED SOURCE",IF(NOT(M466),"INVALID AMOUNT",IF('Source build'!Y466&lt;&gt;0,"CHANGED FIELDS","MATCH")))))))</f>
        <v>MATCH</v>
      </c>
      <c r="P466" s="1" t="str">
        <f t="shared" si="39"/>
        <v>2026-03</v>
      </c>
    </row>
    <row r="467" spans="1:16" ht="18.95" customHeight="1">
      <c r="A467" s="7" t="s">
        <v>1339</v>
      </c>
      <c r="B467" s="7" t="s">
        <v>1340</v>
      </c>
      <c r="C467" s="7" t="s">
        <v>398</v>
      </c>
      <c r="D467" s="7" t="s">
        <v>97</v>
      </c>
      <c r="E467" s="7" t="s">
        <v>47</v>
      </c>
      <c r="F467" s="7" t="s">
        <v>94</v>
      </c>
      <c r="G467" s="7" t="s">
        <v>1341</v>
      </c>
      <c r="I467" s="1">
        <f t="shared" si="35"/>
        <v>1</v>
      </c>
      <c r="J467" s="1" t="str">
        <f>'Source build'!A467</f>
        <v>L00461</v>
      </c>
      <c r="K467" s="1">
        <f>467</f>
        <v>467</v>
      </c>
      <c r="L467" s="10">
        <f t="shared" si="36"/>
        <v>-5519</v>
      </c>
      <c r="M467" s="1">
        <f t="shared" si="37"/>
        <v>1</v>
      </c>
      <c r="N467" s="1">
        <f t="shared" si="38"/>
        <v>1</v>
      </c>
      <c r="O467" s="1" t="str">
        <f>IF(I467=0,"UNUSED",IF(A467="","MISSING ID",IF(K467=0,"UNEXPECTED ID",IF(N467&lt;&gt;1,"ID / ORDER DIFFERENCE",IF('Source build'!U467&lt;&gt;"INCLUDED","EXCLUDED SOURCE",IF(NOT(M467),"INVALID AMOUNT",IF('Source build'!Y467&lt;&gt;0,"CHANGED FIELDS","MATCH")))))))</f>
        <v>MATCH</v>
      </c>
      <c r="P467" s="1" t="str">
        <f t="shared" si="39"/>
        <v>2026-03</v>
      </c>
    </row>
    <row r="468" spans="1:16" ht="18.95" customHeight="1">
      <c r="A468" s="7" t="s">
        <v>1342</v>
      </c>
      <c r="B468" s="7" t="s">
        <v>1340</v>
      </c>
      <c r="C468" s="7" t="s">
        <v>398</v>
      </c>
      <c r="D468" s="7" t="s">
        <v>103</v>
      </c>
      <c r="E468" s="7" t="s">
        <v>48</v>
      </c>
      <c r="F468" s="7" t="s">
        <v>98</v>
      </c>
      <c r="G468" s="7" t="s">
        <v>1343</v>
      </c>
      <c r="I468" s="1">
        <f t="shared" si="35"/>
        <v>1</v>
      </c>
      <c r="J468" s="1" t="str">
        <f>'Source build'!A468</f>
        <v>L00462</v>
      </c>
      <c r="K468" s="1">
        <f>468</f>
        <v>468</v>
      </c>
      <c r="L468" s="10">
        <f t="shared" si="36"/>
        <v>16668</v>
      </c>
      <c r="M468" s="1">
        <f t="shared" si="37"/>
        <v>1</v>
      </c>
      <c r="N468" s="1">
        <f t="shared" si="38"/>
        <v>1</v>
      </c>
      <c r="O468" s="1" t="str">
        <f>IF(I468=0,"UNUSED",IF(A468="","MISSING ID",IF(K468=0,"UNEXPECTED ID",IF(N468&lt;&gt;1,"ID / ORDER DIFFERENCE",IF('Source build'!U468&lt;&gt;"INCLUDED","EXCLUDED SOURCE",IF(NOT(M468),"INVALID AMOUNT",IF('Source build'!Y468&lt;&gt;0,"CHANGED FIELDS","MATCH")))))))</f>
        <v>MATCH</v>
      </c>
      <c r="P468" s="1" t="str">
        <f t="shared" si="39"/>
        <v>2026-03</v>
      </c>
    </row>
    <row r="469" spans="1:16" ht="18.95" customHeight="1">
      <c r="A469" s="7" t="s">
        <v>1344</v>
      </c>
      <c r="B469" s="7" t="s">
        <v>1345</v>
      </c>
      <c r="C469" s="7" t="s">
        <v>404</v>
      </c>
      <c r="D469" s="7" t="s">
        <v>93</v>
      </c>
      <c r="E469" s="7" t="s">
        <v>46</v>
      </c>
      <c r="F469" s="7" t="s">
        <v>98</v>
      </c>
      <c r="G469" s="7" t="s">
        <v>1346</v>
      </c>
      <c r="I469" s="1">
        <f t="shared" si="35"/>
        <v>1</v>
      </c>
      <c r="J469" s="1" t="str">
        <f>'Source build'!A469</f>
        <v>L00463</v>
      </c>
      <c r="K469" s="1">
        <f>469</f>
        <v>469</v>
      </c>
      <c r="L469" s="10">
        <f t="shared" si="36"/>
        <v>27965</v>
      </c>
      <c r="M469" s="1">
        <f t="shared" si="37"/>
        <v>1</v>
      </c>
      <c r="N469" s="1">
        <f t="shared" si="38"/>
        <v>1</v>
      </c>
      <c r="O469" s="1" t="str">
        <f>IF(I469=0,"UNUSED",IF(A469="","MISSING ID",IF(K469=0,"UNEXPECTED ID",IF(N469&lt;&gt;1,"ID / ORDER DIFFERENCE",IF('Source build'!U469&lt;&gt;"INCLUDED","EXCLUDED SOURCE",IF(NOT(M469),"INVALID AMOUNT",IF('Source build'!Y469&lt;&gt;0,"CHANGED FIELDS","MATCH")))))))</f>
        <v>MATCH</v>
      </c>
      <c r="P469" s="1" t="str">
        <f t="shared" si="39"/>
        <v>2026-03</v>
      </c>
    </row>
    <row r="470" spans="1:16" ht="18.95" customHeight="1">
      <c r="A470" s="7" t="s">
        <v>1347</v>
      </c>
      <c r="B470" s="7" t="s">
        <v>1345</v>
      </c>
      <c r="C470" s="7" t="s">
        <v>404</v>
      </c>
      <c r="D470" s="7" t="s">
        <v>97</v>
      </c>
      <c r="E470" s="7" t="s">
        <v>47</v>
      </c>
      <c r="F470" s="7" t="s">
        <v>98</v>
      </c>
      <c r="G470" s="7" t="s">
        <v>1348</v>
      </c>
      <c r="I470" s="1">
        <f t="shared" si="35"/>
        <v>1</v>
      </c>
      <c r="J470" s="1" t="str">
        <f>'Source build'!A470</f>
        <v>L00464</v>
      </c>
      <c r="K470" s="1">
        <f>470</f>
        <v>470</v>
      </c>
      <c r="L470" s="10">
        <f t="shared" si="36"/>
        <v>11260</v>
      </c>
      <c r="M470" s="1">
        <f t="shared" si="37"/>
        <v>1</v>
      </c>
      <c r="N470" s="1">
        <f t="shared" si="38"/>
        <v>1</v>
      </c>
      <c r="O470" s="1" t="str">
        <f>IF(I470=0,"UNUSED",IF(A470="","MISSING ID",IF(K470=0,"UNEXPECTED ID",IF(N470&lt;&gt;1,"ID / ORDER DIFFERENCE",IF('Source build'!U470&lt;&gt;"INCLUDED","EXCLUDED SOURCE",IF(NOT(M470),"INVALID AMOUNT",IF('Source build'!Y470&lt;&gt;0,"CHANGED FIELDS","MATCH")))))))</f>
        <v>MATCH</v>
      </c>
      <c r="P470" s="1" t="str">
        <f t="shared" si="39"/>
        <v>2026-03</v>
      </c>
    </row>
    <row r="471" spans="1:16" ht="18.95" customHeight="1">
      <c r="A471" s="7" t="s">
        <v>1349</v>
      </c>
      <c r="B471" s="7" t="s">
        <v>1350</v>
      </c>
      <c r="C471" s="7" t="s">
        <v>410</v>
      </c>
      <c r="D471" s="7" t="s">
        <v>103</v>
      </c>
      <c r="E471" s="7" t="s">
        <v>48</v>
      </c>
      <c r="F471" s="7" t="s">
        <v>98</v>
      </c>
      <c r="G471" s="7" t="s">
        <v>1351</v>
      </c>
      <c r="I471" s="1">
        <f t="shared" si="35"/>
        <v>1</v>
      </c>
      <c r="J471" s="1" t="str">
        <f>'Source build'!A471</f>
        <v>L00465</v>
      </c>
      <c r="K471" s="1">
        <f>471</f>
        <v>471</v>
      </c>
      <c r="L471" s="10">
        <f t="shared" si="36"/>
        <v>22668</v>
      </c>
      <c r="M471" s="1">
        <f t="shared" si="37"/>
        <v>1</v>
      </c>
      <c r="N471" s="1">
        <f t="shared" si="38"/>
        <v>1</v>
      </c>
      <c r="O471" s="1" t="str">
        <f>IF(I471=0,"UNUSED",IF(A471="","MISSING ID",IF(K471=0,"UNEXPECTED ID",IF(N471&lt;&gt;1,"ID / ORDER DIFFERENCE",IF('Source build'!U471&lt;&gt;"INCLUDED","EXCLUDED SOURCE",IF(NOT(M471),"INVALID AMOUNT",IF('Source build'!Y471&lt;&gt;0,"CHANGED FIELDS","MATCH")))))))</f>
        <v>MATCH</v>
      </c>
      <c r="P471" s="1" t="str">
        <f t="shared" si="39"/>
        <v>2026-01</v>
      </c>
    </row>
    <row r="472" spans="1:16" ht="18.95" customHeight="1">
      <c r="A472" s="7" t="s">
        <v>1352</v>
      </c>
      <c r="B472" s="7" t="s">
        <v>1350</v>
      </c>
      <c r="C472" s="7" t="s">
        <v>410</v>
      </c>
      <c r="D472" s="7" t="s">
        <v>93</v>
      </c>
      <c r="E472" s="7" t="s">
        <v>46</v>
      </c>
      <c r="F472" s="7" t="s">
        <v>98</v>
      </c>
      <c r="G472" s="7" t="s">
        <v>1353</v>
      </c>
      <c r="I472" s="1">
        <f t="shared" si="35"/>
        <v>1</v>
      </c>
      <c r="J472" s="1" t="str">
        <f>'Source build'!A472</f>
        <v>L00466</v>
      </c>
      <c r="K472" s="1">
        <f>472</f>
        <v>472</v>
      </c>
      <c r="L472" s="10">
        <f t="shared" si="36"/>
        <v>5704</v>
      </c>
      <c r="M472" s="1">
        <f t="shared" si="37"/>
        <v>1</v>
      </c>
      <c r="N472" s="1">
        <f t="shared" si="38"/>
        <v>1</v>
      </c>
      <c r="O472" s="1" t="str">
        <f>IF(I472=0,"UNUSED",IF(A472="","MISSING ID",IF(K472=0,"UNEXPECTED ID",IF(N472&lt;&gt;1,"ID / ORDER DIFFERENCE",IF('Source build'!U472&lt;&gt;"INCLUDED","EXCLUDED SOURCE",IF(NOT(M472),"INVALID AMOUNT",IF('Source build'!Y472&lt;&gt;0,"CHANGED FIELDS","MATCH")))))))</f>
        <v>MATCH</v>
      </c>
      <c r="P472" s="1" t="str">
        <f t="shared" si="39"/>
        <v>2026-01</v>
      </c>
    </row>
    <row r="473" spans="1:16" ht="18.95" customHeight="1">
      <c r="A473" s="7" t="s">
        <v>1354</v>
      </c>
      <c r="B473" s="7" t="s">
        <v>1355</v>
      </c>
      <c r="C473" s="7" t="s">
        <v>416</v>
      </c>
      <c r="D473" s="7" t="s">
        <v>97</v>
      </c>
      <c r="E473" s="7" t="s">
        <v>47</v>
      </c>
      <c r="F473" s="7" t="s">
        <v>98</v>
      </c>
      <c r="G473" s="7" t="s">
        <v>1356</v>
      </c>
      <c r="I473" s="1">
        <f t="shared" si="35"/>
        <v>1</v>
      </c>
      <c r="J473" s="1" t="str">
        <f>'Source build'!A473</f>
        <v>L00467</v>
      </c>
      <c r="K473" s="1">
        <f>473</f>
        <v>473</v>
      </c>
      <c r="L473" s="10">
        <f t="shared" si="36"/>
        <v>17223</v>
      </c>
      <c r="M473" s="1">
        <f t="shared" si="37"/>
        <v>1</v>
      </c>
      <c r="N473" s="1">
        <f t="shared" si="38"/>
        <v>1</v>
      </c>
      <c r="O473" s="1" t="str">
        <f>IF(I473=0,"UNUSED",IF(A473="","MISSING ID",IF(K473=0,"UNEXPECTED ID",IF(N473&lt;&gt;1,"ID / ORDER DIFFERENCE",IF('Source build'!U473&lt;&gt;"INCLUDED","EXCLUDED SOURCE",IF(NOT(M473),"INVALID AMOUNT",IF('Source build'!Y473&lt;&gt;0,"CHANGED FIELDS","MATCH")))))))</f>
        <v>MATCH</v>
      </c>
      <c r="P473" s="1" t="str">
        <f t="shared" si="39"/>
        <v>2026-01</v>
      </c>
    </row>
    <row r="474" spans="1:16" ht="18.95" customHeight="1">
      <c r="A474" s="7" t="s">
        <v>1357</v>
      </c>
      <c r="B474" s="7" t="s">
        <v>1355</v>
      </c>
      <c r="C474" s="7" t="s">
        <v>416</v>
      </c>
      <c r="D474" s="7" t="s">
        <v>103</v>
      </c>
      <c r="E474" s="7" t="s">
        <v>48</v>
      </c>
      <c r="F474" s="7" t="s">
        <v>98</v>
      </c>
      <c r="G474" s="7" t="s">
        <v>1358</v>
      </c>
      <c r="I474" s="1">
        <f t="shared" si="35"/>
        <v>1</v>
      </c>
      <c r="J474" s="1" t="str">
        <f>'Source build'!A474</f>
        <v>L00468</v>
      </c>
      <c r="K474" s="1">
        <f>474</f>
        <v>474</v>
      </c>
      <c r="L474" s="10">
        <f t="shared" si="36"/>
        <v>28890</v>
      </c>
      <c r="M474" s="1">
        <f t="shared" si="37"/>
        <v>1</v>
      </c>
      <c r="N474" s="1">
        <f t="shared" si="38"/>
        <v>1</v>
      </c>
      <c r="O474" s="1" t="str">
        <f>IF(I474=0,"UNUSED",IF(A474="","MISSING ID",IF(K474=0,"UNEXPECTED ID",IF(N474&lt;&gt;1,"ID / ORDER DIFFERENCE",IF('Source build'!U474&lt;&gt;"INCLUDED","EXCLUDED SOURCE",IF(NOT(M474),"INVALID AMOUNT",IF('Source build'!Y474&lt;&gt;0,"CHANGED FIELDS","MATCH")))))))</f>
        <v>MATCH</v>
      </c>
      <c r="P474" s="1" t="str">
        <f t="shared" si="39"/>
        <v>2026-01</v>
      </c>
    </row>
    <row r="475" spans="1:16" ht="18.95" customHeight="1">
      <c r="A475" s="7" t="s">
        <v>1359</v>
      </c>
      <c r="B475" s="7" t="s">
        <v>1360</v>
      </c>
      <c r="C475" s="7" t="s">
        <v>422</v>
      </c>
      <c r="D475" s="7" t="s">
        <v>93</v>
      </c>
      <c r="E475" s="7" t="s">
        <v>46</v>
      </c>
      <c r="F475" s="7" t="s">
        <v>98</v>
      </c>
      <c r="G475" s="7" t="s">
        <v>1361</v>
      </c>
      <c r="I475" s="1">
        <f t="shared" si="35"/>
        <v>1</v>
      </c>
      <c r="J475" s="1" t="str">
        <f>'Source build'!A475</f>
        <v>L00469</v>
      </c>
      <c r="K475" s="1">
        <f>475</f>
        <v>475</v>
      </c>
      <c r="L475" s="10">
        <f t="shared" si="36"/>
        <v>11630</v>
      </c>
      <c r="M475" s="1">
        <f t="shared" si="37"/>
        <v>1</v>
      </c>
      <c r="N475" s="1">
        <f t="shared" si="38"/>
        <v>1</v>
      </c>
      <c r="O475" s="1" t="str">
        <f>IF(I475=0,"UNUSED",IF(A475="","MISSING ID",IF(K475=0,"UNEXPECTED ID",IF(N475&lt;&gt;1,"ID / ORDER DIFFERENCE",IF('Source build'!U475&lt;&gt;"INCLUDED","EXCLUDED SOURCE",IF(NOT(M475),"INVALID AMOUNT",IF('Source build'!Y475&lt;&gt;0,"CHANGED FIELDS","MATCH")))))))</f>
        <v>MATCH</v>
      </c>
      <c r="P475" s="1" t="str">
        <f t="shared" si="39"/>
        <v>2026-01</v>
      </c>
    </row>
    <row r="476" spans="1:16" ht="18.95" customHeight="1">
      <c r="A476" s="7" t="s">
        <v>1362</v>
      </c>
      <c r="B476" s="7" t="s">
        <v>1360</v>
      </c>
      <c r="C476" s="7" t="s">
        <v>422</v>
      </c>
      <c r="D476" s="7" t="s">
        <v>97</v>
      </c>
      <c r="E476" s="7" t="s">
        <v>47</v>
      </c>
      <c r="F476" s="7" t="s">
        <v>98</v>
      </c>
      <c r="G476" s="7" t="s">
        <v>1363</v>
      </c>
      <c r="I476" s="1">
        <f t="shared" si="35"/>
        <v>1</v>
      </c>
      <c r="J476" s="1" t="str">
        <f>'Source build'!A476</f>
        <v>L00470</v>
      </c>
      <c r="K476" s="1">
        <f>476</f>
        <v>476</v>
      </c>
      <c r="L476" s="10">
        <f t="shared" si="36"/>
        <v>23408</v>
      </c>
      <c r="M476" s="1">
        <f t="shared" si="37"/>
        <v>1</v>
      </c>
      <c r="N476" s="1">
        <f t="shared" si="38"/>
        <v>1</v>
      </c>
      <c r="O476" s="1" t="str">
        <f>IF(I476=0,"UNUSED",IF(A476="","MISSING ID",IF(K476=0,"UNEXPECTED ID",IF(N476&lt;&gt;1,"ID / ORDER DIFFERENCE",IF('Source build'!U476&lt;&gt;"INCLUDED","EXCLUDED SOURCE",IF(NOT(M476),"INVALID AMOUNT",IF('Source build'!Y476&lt;&gt;0,"CHANGED FIELDS","MATCH")))))))</f>
        <v>MATCH</v>
      </c>
      <c r="P476" s="1" t="str">
        <f t="shared" si="39"/>
        <v>2026-01</v>
      </c>
    </row>
    <row r="477" spans="1:16" ht="18.95" customHeight="1">
      <c r="A477" s="7" t="s">
        <v>1364</v>
      </c>
      <c r="B477" s="7" t="s">
        <v>1365</v>
      </c>
      <c r="C477" s="7" t="s">
        <v>428</v>
      </c>
      <c r="D477" s="7" t="s">
        <v>103</v>
      </c>
      <c r="E477" s="7" t="s">
        <v>48</v>
      </c>
      <c r="F477" s="7" t="s">
        <v>98</v>
      </c>
      <c r="G477" s="7" t="s">
        <v>1366</v>
      </c>
      <c r="I477" s="1">
        <f t="shared" si="35"/>
        <v>1</v>
      </c>
      <c r="J477" s="1" t="str">
        <f>'Source build'!A477</f>
        <v>L00471</v>
      </c>
      <c r="K477" s="1">
        <f>477</f>
        <v>477</v>
      </c>
      <c r="L477" s="10">
        <f t="shared" si="36"/>
        <v>5889</v>
      </c>
      <c r="M477" s="1">
        <f t="shared" si="37"/>
        <v>1</v>
      </c>
      <c r="N477" s="1">
        <f t="shared" si="38"/>
        <v>1</v>
      </c>
      <c r="O477" s="1" t="str">
        <f>IF(I477=0,"UNUSED",IF(A477="","MISSING ID",IF(K477=0,"UNEXPECTED ID",IF(N477&lt;&gt;1,"ID / ORDER DIFFERENCE",IF('Source build'!U477&lt;&gt;"INCLUDED","EXCLUDED SOURCE",IF(NOT(M477),"INVALID AMOUNT",IF('Source build'!Y477&lt;&gt;0,"CHANGED FIELDS","MATCH")))))))</f>
        <v>MATCH</v>
      </c>
      <c r="P477" s="1" t="str">
        <f t="shared" si="39"/>
        <v>2026-01</v>
      </c>
    </row>
    <row r="478" spans="1:16" ht="18.95" customHeight="1">
      <c r="A478" s="7" t="s">
        <v>1367</v>
      </c>
      <c r="B478" s="7" t="s">
        <v>1365</v>
      </c>
      <c r="C478" s="7" t="s">
        <v>428</v>
      </c>
      <c r="D478" s="7" t="s">
        <v>93</v>
      </c>
      <c r="E478" s="7" t="s">
        <v>46</v>
      </c>
      <c r="F478" s="7" t="s">
        <v>98</v>
      </c>
      <c r="G478" s="7" t="s">
        <v>1368</v>
      </c>
      <c r="I478" s="1">
        <f t="shared" si="35"/>
        <v>1</v>
      </c>
      <c r="J478" s="1" t="str">
        <f>'Source build'!A478</f>
        <v>L00472</v>
      </c>
      <c r="K478" s="1">
        <f>478</f>
        <v>478</v>
      </c>
      <c r="L478" s="10">
        <f t="shared" si="36"/>
        <v>17778</v>
      </c>
      <c r="M478" s="1">
        <f t="shared" si="37"/>
        <v>1</v>
      </c>
      <c r="N478" s="1">
        <f t="shared" si="38"/>
        <v>1</v>
      </c>
      <c r="O478" s="1" t="str">
        <f>IF(I478=0,"UNUSED",IF(A478="","MISSING ID",IF(K478=0,"UNEXPECTED ID",IF(N478&lt;&gt;1,"ID / ORDER DIFFERENCE",IF('Source build'!U478&lt;&gt;"INCLUDED","EXCLUDED SOURCE",IF(NOT(M478),"INVALID AMOUNT",IF('Source build'!Y478&lt;&gt;0,"CHANGED FIELDS","MATCH")))))))</f>
        <v>MATCH</v>
      </c>
      <c r="P478" s="1" t="str">
        <f t="shared" si="39"/>
        <v>2026-01</v>
      </c>
    </row>
    <row r="479" spans="1:16" ht="18.95" customHeight="1">
      <c r="A479" s="7" t="s">
        <v>1369</v>
      </c>
      <c r="B479" s="7" t="s">
        <v>1370</v>
      </c>
      <c r="C479" s="7" t="s">
        <v>434</v>
      </c>
      <c r="D479" s="7" t="s">
        <v>97</v>
      </c>
      <c r="E479" s="7" t="s">
        <v>47</v>
      </c>
      <c r="F479" s="7" t="s">
        <v>98</v>
      </c>
      <c r="G479" s="7" t="s">
        <v>1371</v>
      </c>
      <c r="I479" s="1">
        <f t="shared" si="35"/>
        <v>1</v>
      </c>
      <c r="J479" s="1" t="str">
        <f>'Source build'!A479</f>
        <v>L00473</v>
      </c>
      <c r="K479" s="1">
        <f>479</f>
        <v>479</v>
      </c>
      <c r="L479" s="10">
        <f t="shared" si="36"/>
        <v>29815</v>
      </c>
      <c r="M479" s="1">
        <f t="shared" si="37"/>
        <v>1</v>
      </c>
      <c r="N479" s="1">
        <f t="shared" si="38"/>
        <v>1</v>
      </c>
      <c r="O479" s="1" t="str">
        <f>IF(I479=0,"UNUSED",IF(A479="","MISSING ID",IF(K479=0,"UNEXPECTED ID",IF(N479&lt;&gt;1,"ID / ORDER DIFFERENCE",IF('Source build'!U479&lt;&gt;"INCLUDED","EXCLUDED SOURCE",IF(NOT(M479),"INVALID AMOUNT",IF('Source build'!Y479&lt;&gt;0,"CHANGED FIELDS","MATCH")))))))</f>
        <v>MATCH</v>
      </c>
      <c r="P479" s="1" t="str">
        <f t="shared" si="39"/>
        <v>2026-02</v>
      </c>
    </row>
    <row r="480" spans="1:16" ht="18.95" customHeight="1">
      <c r="A480" s="7" t="s">
        <v>1372</v>
      </c>
      <c r="B480" s="7" t="s">
        <v>1370</v>
      </c>
      <c r="C480" s="7" t="s">
        <v>434</v>
      </c>
      <c r="D480" s="7" t="s">
        <v>103</v>
      </c>
      <c r="E480" s="7" t="s">
        <v>48</v>
      </c>
      <c r="F480" s="7" t="s">
        <v>98</v>
      </c>
      <c r="G480" s="7" t="s">
        <v>1373</v>
      </c>
      <c r="I480" s="1">
        <f t="shared" si="35"/>
        <v>1</v>
      </c>
      <c r="J480" s="1" t="str">
        <f>'Source build'!A480</f>
        <v>L00474</v>
      </c>
      <c r="K480" s="1">
        <f>480</f>
        <v>480</v>
      </c>
      <c r="L480" s="10">
        <f t="shared" si="36"/>
        <v>12000</v>
      </c>
      <c r="M480" s="1">
        <f t="shared" si="37"/>
        <v>1</v>
      </c>
      <c r="N480" s="1">
        <f t="shared" si="38"/>
        <v>1</v>
      </c>
      <c r="O480" s="1" t="str">
        <f>IF(I480=0,"UNUSED",IF(A480="","MISSING ID",IF(K480=0,"UNEXPECTED ID",IF(N480&lt;&gt;1,"ID / ORDER DIFFERENCE",IF('Source build'!U480&lt;&gt;"INCLUDED","EXCLUDED SOURCE",IF(NOT(M480),"INVALID AMOUNT",IF('Source build'!Y480&lt;&gt;0,"CHANGED FIELDS","MATCH")))))))</f>
        <v>MATCH</v>
      </c>
      <c r="P480" s="1" t="str">
        <f t="shared" si="39"/>
        <v>2026-02</v>
      </c>
    </row>
    <row r="481" spans="1:16" ht="18.95" customHeight="1">
      <c r="A481" s="7" t="s">
        <v>1374</v>
      </c>
      <c r="B481" s="7" t="s">
        <v>1375</v>
      </c>
      <c r="C481" s="7" t="s">
        <v>440</v>
      </c>
      <c r="D481" s="7" t="s">
        <v>93</v>
      </c>
      <c r="E481" s="7" t="s">
        <v>46</v>
      </c>
      <c r="F481" s="7" t="s">
        <v>98</v>
      </c>
      <c r="G481" s="7" t="s">
        <v>1376</v>
      </c>
      <c r="I481" s="1">
        <f t="shared" si="35"/>
        <v>1</v>
      </c>
      <c r="J481" s="1" t="str">
        <f>'Source build'!A481</f>
        <v>L00475</v>
      </c>
      <c r="K481" s="1">
        <f>481</f>
        <v>481</v>
      </c>
      <c r="L481" s="10">
        <f t="shared" si="36"/>
        <v>24148</v>
      </c>
      <c r="M481" s="1">
        <f t="shared" si="37"/>
        <v>1</v>
      </c>
      <c r="N481" s="1">
        <f t="shared" si="38"/>
        <v>1</v>
      </c>
      <c r="O481" s="1" t="str">
        <f>IF(I481=0,"UNUSED",IF(A481="","MISSING ID",IF(K481=0,"UNEXPECTED ID",IF(N481&lt;&gt;1,"ID / ORDER DIFFERENCE",IF('Source build'!U481&lt;&gt;"INCLUDED","EXCLUDED SOURCE",IF(NOT(M481),"INVALID AMOUNT",IF('Source build'!Y481&lt;&gt;0,"CHANGED FIELDS","MATCH")))))))</f>
        <v>MATCH</v>
      </c>
      <c r="P481" s="1" t="str">
        <f t="shared" si="39"/>
        <v>2026-02</v>
      </c>
    </row>
    <row r="482" spans="1:16" ht="18.95" customHeight="1">
      <c r="A482" s="7" t="s">
        <v>1377</v>
      </c>
      <c r="B482" s="7" t="s">
        <v>1375</v>
      </c>
      <c r="C482" s="7" t="s">
        <v>440</v>
      </c>
      <c r="D482" s="7" t="s">
        <v>97</v>
      </c>
      <c r="E482" s="7" t="s">
        <v>47</v>
      </c>
      <c r="F482" s="7" t="s">
        <v>98</v>
      </c>
      <c r="G482" s="7" t="s">
        <v>1378</v>
      </c>
      <c r="I482" s="1">
        <f t="shared" si="35"/>
        <v>1</v>
      </c>
      <c r="J482" s="1" t="str">
        <f>'Source build'!A482</f>
        <v>L00476</v>
      </c>
      <c r="K482" s="1">
        <f>482</f>
        <v>482</v>
      </c>
      <c r="L482" s="10">
        <f t="shared" si="36"/>
        <v>6074</v>
      </c>
      <c r="M482" s="1">
        <f t="shared" si="37"/>
        <v>1</v>
      </c>
      <c r="N482" s="1">
        <f t="shared" si="38"/>
        <v>1</v>
      </c>
      <c r="O482" s="1" t="str">
        <f>IF(I482=0,"UNUSED",IF(A482="","MISSING ID",IF(K482=0,"UNEXPECTED ID",IF(N482&lt;&gt;1,"ID / ORDER DIFFERENCE",IF('Source build'!U482&lt;&gt;"INCLUDED","EXCLUDED SOURCE",IF(NOT(M482),"INVALID AMOUNT",IF('Source build'!Y482&lt;&gt;0,"CHANGED FIELDS","MATCH")))))))</f>
        <v>MATCH</v>
      </c>
      <c r="P482" s="1" t="str">
        <f t="shared" si="39"/>
        <v>2026-02</v>
      </c>
    </row>
    <row r="483" spans="1:16" ht="18.95" customHeight="1">
      <c r="A483" s="7" t="s">
        <v>1379</v>
      </c>
      <c r="B483" s="7" t="s">
        <v>1380</v>
      </c>
      <c r="C483" s="7" t="s">
        <v>446</v>
      </c>
      <c r="D483" s="7" t="s">
        <v>103</v>
      </c>
      <c r="E483" s="7" t="s">
        <v>48</v>
      </c>
      <c r="F483" s="7" t="s">
        <v>98</v>
      </c>
      <c r="G483" s="7" t="s">
        <v>1381</v>
      </c>
      <c r="I483" s="1">
        <f t="shared" si="35"/>
        <v>1</v>
      </c>
      <c r="J483" s="1" t="str">
        <f>'Source build'!A483</f>
        <v>L00477</v>
      </c>
      <c r="K483" s="1">
        <f>483</f>
        <v>483</v>
      </c>
      <c r="L483" s="10">
        <f t="shared" si="36"/>
        <v>18333</v>
      </c>
      <c r="M483" s="1">
        <f t="shared" si="37"/>
        <v>1</v>
      </c>
      <c r="N483" s="1">
        <f t="shared" si="38"/>
        <v>1</v>
      </c>
      <c r="O483" s="1" t="str">
        <f>IF(I483=0,"UNUSED",IF(A483="","MISSING ID",IF(K483=0,"UNEXPECTED ID",IF(N483&lt;&gt;1,"ID / ORDER DIFFERENCE",IF('Source build'!U483&lt;&gt;"INCLUDED","EXCLUDED SOURCE",IF(NOT(M483),"INVALID AMOUNT",IF('Source build'!Y483&lt;&gt;0,"CHANGED FIELDS","MATCH")))))))</f>
        <v>MATCH</v>
      </c>
      <c r="P483" s="1" t="str">
        <f t="shared" si="39"/>
        <v>2026-02</v>
      </c>
    </row>
    <row r="484" spans="1:16" ht="18.95" customHeight="1">
      <c r="A484" s="7" t="s">
        <v>1382</v>
      </c>
      <c r="B484" s="7" t="s">
        <v>1380</v>
      </c>
      <c r="C484" s="7" t="s">
        <v>446</v>
      </c>
      <c r="D484" s="7" t="s">
        <v>93</v>
      </c>
      <c r="E484" s="7" t="s">
        <v>46</v>
      </c>
      <c r="F484" s="7" t="s">
        <v>98</v>
      </c>
      <c r="G484" s="7" t="s">
        <v>1383</v>
      </c>
      <c r="I484" s="1">
        <f t="shared" si="35"/>
        <v>1</v>
      </c>
      <c r="J484" s="1" t="str">
        <f>'Source build'!A484</f>
        <v>L00478</v>
      </c>
      <c r="K484" s="1">
        <f>484</f>
        <v>484</v>
      </c>
      <c r="L484" s="10">
        <f t="shared" si="36"/>
        <v>30740</v>
      </c>
      <c r="M484" s="1">
        <f t="shared" si="37"/>
        <v>1</v>
      </c>
      <c r="N484" s="1">
        <f t="shared" si="38"/>
        <v>1</v>
      </c>
      <c r="O484" s="1" t="str">
        <f>IF(I484=0,"UNUSED",IF(A484="","MISSING ID",IF(K484=0,"UNEXPECTED ID",IF(N484&lt;&gt;1,"ID / ORDER DIFFERENCE",IF('Source build'!U484&lt;&gt;"INCLUDED","EXCLUDED SOURCE",IF(NOT(M484),"INVALID AMOUNT",IF('Source build'!Y484&lt;&gt;0,"CHANGED FIELDS","MATCH")))))))</f>
        <v>MATCH</v>
      </c>
      <c r="P484" s="1" t="str">
        <f t="shared" si="39"/>
        <v>2026-02</v>
      </c>
    </row>
    <row r="485" spans="1:16" ht="18.95" customHeight="1">
      <c r="A485" s="7" t="s">
        <v>1384</v>
      </c>
      <c r="B485" s="7" t="s">
        <v>1385</v>
      </c>
      <c r="C485" s="7" t="s">
        <v>452</v>
      </c>
      <c r="D485" s="7" t="s">
        <v>97</v>
      </c>
      <c r="E485" s="7" t="s">
        <v>47</v>
      </c>
      <c r="F485" s="7" t="s">
        <v>98</v>
      </c>
      <c r="G485" s="7" t="s">
        <v>1386</v>
      </c>
      <c r="I485" s="1">
        <f t="shared" si="35"/>
        <v>1</v>
      </c>
      <c r="J485" s="1" t="str">
        <f>'Source build'!A485</f>
        <v>L00479</v>
      </c>
      <c r="K485" s="1">
        <f>485</f>
        <v>485</v>
      </c>
      <c r="L485" s="10">
        <f t="shared" si="36"/>
        <v>12370</v>
      </c>
      <c r="M485" s="1">
        <f t="shared" si="37"/>
        <v>1</v>
      </c>
      <c r="N485" s="1">
        <f t="shared" si="38"/>
        <v>1</v>
      </c>
      <c r="O485" s="1" t="str">
        <f>IF(I485=0,"UNUSED",IF(A485="","MISSING ID",IF(K485=0,"UNEXPECTED ID",IF(N485&lt;&gt;1,"ID / ORDER DIFFERENCE",IF('Source build'!U485&lt;&gt;"INCLUDED","EXCLUDED SOURCE",IF(NOT(M485),"INVALID AMOUNT",IF('Source build'!Y485&lt;&gt;0,"CHANGED FIELDS","MATCH")))))))</f>
        <v>MATCH</v>
      </c>
      <c r="P485" s="1" t="str">
        <f t="shared" si="39"/>
        <v>2026-02</v>
      </c>
    </row>
    <row r="486" spans="1:16" ht="18.95" customHeight="1">
      <c r="A486" s="7" t="s">
        <v>1387</v>
      </c>
      <c r="B486" s="7" t="s">
        <v>1385</v>
      </c>
      <c r="C486" s="7" t="s">
        <v>452</v>
      </c>
      <c r="D486" s="7" t="s">
        <v>103</v>
      </c>
      <c r="E486" s="7" t="s">
        <v>48</v>
      </c>
      <c r="F486" s="7" t="s">
        <v>98</v>
      </c>
      <c r="G486" s="7" t="s">
        <v>1388</v>
      </c>
      <c r="I486" s="1">
        <f t="shared" si="35"/>
        <v>1</v>
      </c>
      <c r="J486" s="1" t="str">
        <f>'Source build'!A486</f>
        <v>L00480</v>
      </c>
      <c r="K486" s="1">
        <f>486</f>
        <v>486</v>
      </c>
      <c r="L486" s="10">
        <f t="shared" si="36"/>
        <v>24888</v>
      </c>
      <c r="M486" s="1">
        <f t="shared" si="37"/>
        <v>1</v>
      </c>
      <c r="N486" s="1">
        <f t="shared" si="38"/>
        <v>1</v>
      </c>
      <c r="O486" s="1" t="str">
        <f>IF(I486=0,"UNUSED",IF(A486="","MISSING ID",IF(K486=0,"UNEXPECTED ID",IF(N486&lt;&gt;1,"ID / ORDER DIFFERENCE",IF('Source build'!U486&lt;&gt;"INCLUDED","EXCLUDED SOURCE",IF(NOT(M486),"INVALID AMOUNT",IF('Source build'!Y486&lt;&gt;0,"CHANGED FIELDS","MATCH")))))))</f>
        <v>MATCH</v>
      </c>
      <c r="P486" s="1" t="str">
        <f t="shared" si="39"/>
        <v>2026-02</v>
      </c>
    </row>
    <row r="487" spans="1:16" ht="18.95" customHeight="1">
      <c r="A487" s="7" t="s">
        <v>1389</v>
      </c>
      <c r="B487" s="7" t="s">
        <v>1390</v>
      </c>
      <c r="C487" s="7" t="s">
        <v>458</v>
      </c>
      <c r="D487" s="7" t="s">
        <v>93</v>
      </c>
      <c r="E487" s="7" t="s">
        <v>46</v>
      </c>
      <c r="F487" s="7" t="s">
        <v>98</v>
      </c>
      <c r="G487" s="7" t="s">
        <v>1391</v>
      </c>
      <c r="I487" s="1">
        <f t="shared" si="35"/>
        <v>1</v>
      </c>
      <c r="J487" s="1" t="str">
        <f>'Source build'!A487</f>
        <v>L00481</v>
      </c>
      <c r="K487" s="1">
        <f>487</f>
        <v>487</v>
      </c>
      <c r="L487" s="10">
        <f t="shared" si="36"/>
        <v>6259</v>
      </c>
      <c r="M487" s="1">
        <f t="shared" si="37"/>
        <v>1</v>
      </c>
      <c r="N487" s="1">
        <f t="shared" si="38"/>
        <v>1</v>
      </c>
      <c r="O487" s="1" t="str">
        <f>IF(I487=0,"UNUSED",IF(A487="","MISSING ID",IF(K487=0,"UNEXPECTED ID",IF(N487&lt;&gt;1,"ID / ORDER DIFFERENCE",IF('Source build'!U487&lt;&gt;"INCLUDED","EXCLUDED SOURCE",IF(NOT(M487),"INVALID AMOUNT",IF('Source build'!Y487&lt;&gt;0,"CHANGED FIELDS","MATCH")))))))</f>
        <v>MATCH</v>
      </c>
      <c r="P487" s="1" t="str">
        <f t="shared" si="39"/>
        <v>2026-03</v>
      </c>
    </row>
    <row r="488" spans="1:16" ht="18.95" customHeight="1">
      <c r="A488" s="7" t="s">
        <v>1392</v>
      </c>
      <c r="B488" s="7" t="s">
        <v>1390</v>
      </c>
      <c r="C488" s="7" t="s">
        <v>458</v>
      </c>
      <c r="D488" s="7" t="s">
        <v>97</v>
      </c>
      <c r="E488" s="7" t="s">
        <v>47</v>
      </c>
      <c r="F488" s="7" t="s">
        <v>98</v>
      </c>
      <c r="G488" s="7" t="s">
        <v>1393</v>
      </c>
      <c r="I488" s="1">
        <f t="shared" si="35"/>
        <v>1</v>
      </c>
      <c r="J488" s="1" t="str">
        <f>'Source build'!A488</f>
        <v>L00482</v>
      </c>
      <c r="K488" s="1">
        <f>488</f>
        <v>488</v>
      </c>
      <c r="L488" s="10">
        <f t="shared" si="36"/>
        <v>18888</v>
      </c>
      <c r="M488" s="1">
        <f t="shared" si="37"/>
        <v>1</v>
      </c>
      <c r="N488" s="1">
        <f t="shared" si="38"/>
        <v>1</v>
      </c>
      <c r="O488" s="1" t="str">
        <f>IF(I488=0,"UNUSED",IF(A488="","MISSING ID",IF(K488=0,"UNEXPECTED ID",IF(N488&lt;&gt;1,"ID / ORDER DIFFERENCE",IF('Source build'!U488&lt;&gt;"INCLUDED","EXCLUDED SOURCE",IF(NOT(M488),"INVALID AMOUNT",IF('Source build'!Y488&lt;&gt;0,"CHANGED FIELDS","MATCH")))))))</f>
        <v>MATCH</v>
      </c>
      <c r="P488" s="1" t="str">
        <f t="shared" si="39"/>
        <v>2026-03</v>
      </c>
    </row>
    <row r="489" spans="1:16" ht="18.95" customHeight="1">
      <c r="A489" s="7" t="s">
        <v>1394</v>
      </c>
      <c r="B489" s="7" t="s">
        <v>1395</v>
      </c>
      <c r="C489" s="7" t="s">
        <v>464</v>
      </c>
      <c r="D489" s="7" t="s">
        <v>103</v>
      </c>
      <c r="E489" s="7" t="s">
        <v>48</v>
      </c>
      <c r="F489" s="7" t="s">
        <v>98</v>
      </c>
      <c r="G489" s="7" t="s">
        <v>1396</v>
      </c>
      <c r="I489" s="1">
        <f t="shared" si="35"/>
        <v>1</v>
      </c>
      <c r="J489" s="1" t="str">
        <f>'Source build'!A489</f>
        <v>L00483</v>
      </c>
      <c r="K489" s="1">
        <f>489</f>
        <v>489</v>
      </c>
      <c r="L489" s="10">
        <f t="shared" si="36"/>
        <v>31665</v>
      </c>
      <c r="M489" s="1">
        <f t="shared" si="37"/>
        <v>1</v>
      </c>
      <c r="N489" s="1">
        <f t="shared" si="38"/>
        <v>1</v>
      </c>
      <c r="O489" s="1" t="str">
        <f>IF(I489=0,"UNUSED",IF(A489="","MISSING ID",IF(K489=0,"UNEXPECTED ID",IF(N489&lt;&gt;1,"ID / ORDER DIFFERENCE",IF('Source build'!U489&lt;&gt;"INCLUDED","EXCLUDED SOURCE",IF(NOT(M489),"INVALID AMOUNT",IF('Source build'!Y489&lt;&gt;0,"CHANGED FIELDS","MATCH")))))))</f>
        <v>MATCH</v>
      </c>
      <c r="P489" s="1" t="str">
        <f t="shared" si="39"/>
        <v>2026-03</v>
      </c>
    </row>
    <row r="490" spans="1:16" ht="18.95" customHeight="1">
      <c r="A490" s="7" t="s">
        <v>1397</v>
      </c>
      <c r="B490" s="7" t="s">
        <v>1395</v>
      </c>
      <c r="C490" s="7" t="s">
        <v>464</v>
      </c>
      <c r="D490" s="7" t="s">
        <v>93</v>
      </c>
      <c r="E490" s="7" t="s">
        <v>46</v>
      </c>
      <c r="F490" s="7" t="s">
        <v>94</v>
      </c>
      <c r="G490" s="7" t="s">
        <v>1398</v>
      </c>
      <c r="I490" s="1">
        <f t="shared" si="35"/>
        <v>1</v>
      </c>
      <c r="J490" s="1" t="str">
        <f>'Source build'!A490</f>
        <v>L00484</v>
      </c>
      <c r="K490" s="1">
        <f>490</f>
        <v>490</v>
      </c>
      <c r="L490" s="10">
        <f t="shared" si="36"/>
        <v>-12740</v>
      </c>
      <c r="M490" s="1">
        <f t="shared" si="37"/>
        <v>1</v>
      </c>
      <c r="N490" s="1">
        <f t="shared" si="38"/>
        <v>1</v>
      </c>
      <c r="O490" s="1" t="str">
        <f>IF(I490=0,"UNUSED",IF(A490="","MISSING ID",IF(K490=0,"UNEXPECTED ID",IF(N490&lt;&gt;1,"ID / ORDER DIFFERENCE",IF('Source build'!U490&lt;&gt;"INCLUDED","EXCLUDED SOURCE",IF(NOT(M490),"INVALID AMOUNT",IF('Source build'!Y490&lt;&gt;0,"CHANGED FIELDS","MATCH")))))))</f>
        <v>MATCH</v>
      </c>
      <c r="P490" s="1" t="str">
        <f t="shared" si="39"/>
        <v>2026-03</v>
      </c>
    </row>
    <row r="491" spans="1:16" ht="18.95" customHeight="1">
      <c r="A491" s="7" t="s">
        <v>1399</v>
      </c>
      <c r="B491" s="7" t="s">
        <v>1400</v>
      </c>
      <c r="C491" s="7" t="s">
        <v>470</v>
      </c>
      <c r="D491" s="7" t="s">
        <v>97</v>
      </c>
      <c r="E491" s="7" t="s">
        <v>47</v>
      </c>
      <c r="F491" s="7" t="s">
        <v>98</v>
      </c>
      <c r="G491" s="7" t="s">
        <v>1401</v>
      </c>
      <c r="I491" s="1">
        <f t="shared" si="35"/>
        <v>1</v>
      </c>
      <c r="J491" s="1" t="str">
        <f>'Source build'!A491</f>
        <v>L00485</v>
      </c>
      <c r="K491" s="1">
        <f>491</f>
        <v>491</v>
      </c>
      <c r="L491" s="10">
        <f t="shared" si="36"/>
        <v>25628</v>
      </c>
      <c r="M491" s="1">
        <f t="shared" si="37"/>
        <v>1</v>
      </c>
      <c r="N491" s="1">
        <f t="shared" si="38"/>
        <v>1</v>
      </c>
      <c r="O491" s="1" t="str">
        <f>IF(I491=0,"UNUSED",IF(A491="","MISSING ID",IF(K491=0,"UNEXPECTED ID",IF(N491&lt;&gt;1,"ID / ORDER DIFFERENCE",IF('Source build'!U491&lt;&gt;"INCLUDED","EXCLUDED SOURCE",IF(NOT(M491),"INVALID AMOUNT",IF('Source build'!Y491&lt;&gt;0,"CHANGED FIELDS","MATCH")))))))</f>
        <v>MATCH</v>
      </c>
      <c r="P491" s="1" t="str">
        <f t="shared" si="39"/>
        <v>2026-03</v>
      </c>
    </row>
    <row r="492" spans="1:16" ht="18.95" customHeight="1">
      <c r="A492" s="7" t="s">
        <v>1402</v>
      </c>
      <c r="B492" s="7" t="s">
        <v>1400</v>
      </c>
      <c r="C492" s="7" t="s">
        <v>470</v>
      </c>
      <c r="D492" s="7" t="s">
        <v>103</v>
      </c>
      <c r="E492" s="7" t="s">
        <v>48</v>
      </c>
      <c r="F492" s="7" t="s">
        <v>98</v>
      </c>
      <c r="G492" s="7" t="s">
        <v>1403</v>
      </c>
      <c r="I492" s="1">
        <f t="shared" si="35"/>
        <v>1</v>
      </c>
      <c r="J492" s="1" t="str">
        <f>'Source build'!A492</f>
        <v>L00486</v>
      </c>
      <c r="K492" s="1">
        <f>492</f>
        <v>492</v>
      </c>
      <c r="L492" s="10">
        <f t="shared" si="36"/>
        <v>6444</v>
      </c>
      <c r="M492" s="1">
        <f t="shared" si="37"/>
        <v>1</v>
      </c>
      <c r="N492" s="1">
        <f t="shared" si="38"/>
        <v>1</v>
      </c>
      <c r="O492" s="1" t="str">
        <f>IF(I492=0,"UNUSED",IF(A492="","MISSING ID",IF(K492=0,"UNEXPECTED ID",IF(N492&lt;&gt;1,"ID / ORDER DIFFERENCE",IF('Source build'!U492&lt;&gt;"INCLUDED","EXCLUDED SOURCE",IF(NOT(M492),"INVALID AMOUNT",IF('Source build'!Y492&lt;&gt;0,"CHANGED FIELDS","MATCH")))))))</f>
        <v>MATCH</v>
      </c>
      <c r="P492" s="1" t="str">
        <f t="shared" si="39"/>
        <v>2026-03</v>
      </c>
    </row>
    <row r="493" spans="1:16" ht="18.95" customHeight="1">
      <c r="A493" s="7" t="s">
        <v>1404</v>
      </c>
      <c r="B493" s="7" t="s">
        <v>1405</v>
      </c>
      <c r="C493" s="7" t="s">
        <v>476</v>
      </c>
      <c r="D493" s="7" t="s">
        <v>93</v>
      </c>
      <c r="E493" s="7" t="s">
        <v>46</v>
      </c>
      <c r="F493" s="7" t="s">
        <v>98</v>
      </c>
      <c r="G493" s="7" t="s">
        <v>1406</v>
      </c>
      <c r="I493" s="1">
        <f t="shared" si="35"/>
        <v>1</v>
      </c>
      <c r="J493" s="1" t="str">
        <f>'Source build'!A493</f>
        <v>L00487</v>
      </c>
      <c r="K493" s="1">
        <f>493</f>
        <v>493</v>
      </c>
      <c r="L493" s="10">
        <f t="shared" si="36"/>
        <v>19443</v>
      </c>
      <c r="M493" s="1">
        <f t="shared" si="37"/>
        <v>1</v>
      </c>
      <c r="N493" s="1">
        <f t="shared" si="38"/>
        <v>1</v>
      </c>
      <c r="O493" s="1" t="str">
        <f>IF(I493=0,"UNUSED",IF(A493="","MISSING ID",IF(K493=0,"UNEXPECTED ID",IF(N493&lt;&gt;1,"ID / ORDER DIFFERENCE",IF('Source build'!U493&lt;&gt;"INCLUDED","EXCLUDED SOURCE",IF(NOT(M493),"INVALID AMOUNT",IF('Source build'!Y493&lt;&gt;0,"CHANGED FIELDS","MATCH")))))))</f>
        <v>MATCH</v>
      </c>
      <c r="P493" s="1" t="str">
        <f t="shared" si="39"/>
        <v>2026-03</v>
      </c>
    </row>
    <row r="494" spans="1:16" ht="18.95" customHeight="1">
      <c r="A494" s="7" t="s">
        <v>1407</v>
      </c>
      <c r="B494" s="7" t="s">
        <v>1405</v>
      </c>
      <c r="C494" s="7" t="s">
        <v>476</v>
      </c>
      <c r="D494" s="7" t="s">
        <v>97</v>
      </c>
      <c r="E494" s="7" t="s">
        <v>47</v>
      </c>
      <c r="F494" s="7" t="s">
        <v>98</v>
      </c>
      <c r="G494" s="7" t="s">
        <v>1408</v>
      </c>
      <c r="I494" s="1">
        <f t="shared" si="35"/>
        <v>1</v>
      </c>
      <c r="J494" s="1" t="str">
        <f>'Source build'!A494</f>
        <v>L00488</v>
      </c>
      <c r="K494" s="1">
        <f>494</f>
        <v>494</v>
      </c>
      <c r="L494" s="10">
        <f t="shared" si="36"/>
        <v>32590</v>
      </c>
      <c r="M494" s="1">
        <f t="shared" si="37"/>
        <v>1</v>
      </c>
      <c r="N494" s="1">
        <f t="shared" si="38"/>
        <v>1</v>
      </c>
      <c r="O494" s="1" t="str">
        <f>IF(I494=0,"UNUSED",IF(A494="","MISSING ID",IF(K494=0,"UNEXPECTED ID",IF(N494&lt;&gt;1,"ID / ORDER DIFFERENCE",IF('Source build'!U494&lt;&gt;"INCLUDED","EXCLUDED SOURCE",IF(NOT(M494),"INVALID AMOUNT",IF('Source build'!Y494&lt;&gt;0,"CHANGED FIELDS","MATCH")))))))</f>
        <v>MATCH</v>
      </c>
      <c r="P494" s="1" t="str">
        <f t="shared" si="39"/>
        <v>2026-03</v>
      </c>
    </row>
    <row r="495" spans="1:16" ht="18.95" customHeight="1">
      <c r="A495" s="7" t="s">
        <v>1409</v>
      </c>
      <c r="B495" s="7" t="s">
        <v>1410</v>
      </c>
      <c r="C495" s="7" t="s">
        <v>482</v>
      </c>
      <c r="D495" s="7" t="s">
        <v>103</v>
      </c>
      <c r="E495" s="7" t="s">
        <v>48</v>
      </c>
      <c r="F495" s="7" t="s">
        <v>98</v>
      </c>
      <c r="G495" s="7" t="s">
        <v>1411</v>
      </c>
      <c r="I495" s="1">
        <f t="shared" si="35"/>
        <v>1</v>
      </c>
      <c r="J495" s="1" t="str">
        <f>'Source build'!A495</f>
        <v>L00489</v>
      </c>
      <c r="K495" s="1">
        <f>495</f>
        <v>495</v>
      </c>
      <c r="L495" s="10">
        <f t="shared" si="36"/>
        <v>13110</v>
      </c>
      <c r="M495" s="1">
        <f t="shared" si="37"/>
        <v>1</v>
      </c>
      <c r="N495" s="1">
        <f t="shared" si="38"/>
        <v>1</v>
      </c>
      <c r="O495" s="1" t="str">
        <f>IF(I495=0,"UNUSED",IF(A495="","MISSING ID",IF(K495=0,"UNEXPECTED ID",IF(N495&lt;&gt;1,"ID / ORDER DIFFERENCE",IF('Source build'!U495&lt;&gt;"INCLUDED","EXCLUDED SOURCE",IF(NOT(M495),"INVALID AMOUNT",IF('Source build'!Y495&lt;&gt;0,"CHANGED FIELDS","MATCH")))))))</f>
        <v>MATCH</v>
      </c>
      <c r="P495" s="1" t="str">
        <f t="shared" si="39"/>
        <v>2026-03</v>
      </c>
    </row>
    <row r="496" spans="1:16" ht="18.95" customHeight="1">
      <c r="A496" s="7" t="s">
        <v>1412</v>
      </c>
      <c r="B496" s="7" t="s">
        <v>1410</v>
      </c>
      <c r="C496" s="7" t="s">
        <v>482</v>
      </c>
      <c r="D496" s="7" t="s">
        <v>93</v>
      </c>
      <c r="E496" s="7" t="s">
        <v>46</v>
      </c>
      <c r="F496" s="7" t="s">
        <v>98</v>
      </c>
      <c r="G496" s="7" t="s">
        <v>1413</v>
      </c>
      <c r="I496" s="1">
        <f t="shared" si="35"/>
        <v>1</v>
      </c>
      <c r="J496" s="1" t="str">
        <f>'Source build'!A496</f>
        <v>L00490</v>
      </c>
      <c r="K496" s="1">
        <f>496</f>
        <v>496</v>
      </c>
      <c r="L496" s="10">
        <f t="shared" si="36"/>
        <v>26368</v>
      </c>
      <c r="M496" s="1">
        <f t="shared" si="37"/>
        <v>1</v>
      </c>
      <c r="N496" s="1">
        <f t="shared" si="38"/>
        <v>1</v>
      </c>
      <c r="O496" s="1" t="str">
        <f>IF(I496=0,"UNUSED",IF(A496="","MISSING ID",IF(K496=0,"UNEXPECTED ID",IF(N496&lt;&gt;1,"ID / ORDER DIFFERENCE",IF('Source build'!U496&lt;&gt;"INCLUDED","EXCLUDED SOURCE",IF(NOT(M496),"INVALID AMOUNT",IF('Source build'!Y496&lt;&gt;0,"CHANGED FIELDS","MATCH")))))))</f>
        <v>MATCH</v>
      </c>
      <c r="P496" s="1" t="str">
        <f t="shared" si="39"/>
        <v>2026-03</v>
      </c>
    </row>
    <row r="497" spans="1:16" ht="18.95" customHeight="1">
      <c r="A497" s="7" t="s">
        <v>1414</v>
      </c>
      <c r="B497" s="7" t="s">
        <v>1415</v>
      </c>
      <c r="C497" s="7" t="s">
        <v>488</v>
      </c>
      <c r="D497" s="7" t="s">
        <v>97</v>
      </c>
      <c r="E497" s="7" t="s">
        <v>47</v>
      </c>
      <c r="F497" s="7" t="s">
        <v>98</v>
      </c>
      <c r="G497" s="7" t="s">
        <v>1416</v>
      </c>
      <c r="I497" s="1">
        <f t="shared" si="35"/>
        <v>1</v>
      </c>
      <c r="J497" s="1" t="str">
        <f>'Source build'!A497</f>
        <v>L00491</v>
      </c>
      <c r="K497" s="1">
        <f>497</f>
        <v>497</v>
      </c>
      <c r="L497" s="10">
        <f t="shared" si="36"/>
        <v>6629</v>
      </c>
      <c r="M497" s="1">
        <f t="shared" si="37"/>
        <v>1</v>
      </c>
      <c r="N497" s="1">
        <f t="shared" si="38"/>
        <v>1</v>
      </c>
      <c r="O497" s="1" t="str">
        <f>IF(I497=0,"UNUSED",IF(A497="","MISSING ID",IF(K497=0,"UNEXPECTED ID",IF(N497&lt;&gt;1,"ID / ORDER DIFFERENCE",IF('Source build'!U497&lt;&gt;"INCLUDED","EXCLUDED SOURCE",IF(NOT(M497),"INVALID AMOUNT",IF('Source build'!Y497&lt;&gt;0,"CHANGED FIELDS","MATCH")))))))</f>
        <v>MATCH</v>
      </c>
      <c r="P497" s="1" t="str">
        <f t="shared" si="39"/>
        <v>2026-01</v>
      </c>
    </row>
    <row r="498" spans="1:16" ht="18.95" customHeight="1">
      <c r="A498" s="7" t="s">
        <v>1417</v>
      </c>
      <c r="B498" s="7" t="s">
        <v>1415</v>
      </c>
      <c r="C498" s="7" t="s">
        <v>488</v>
      </c>
      <c r="D498" s="7" t="s">
        <v>103</v>
      </c>
      <c r="E498" s="7" t="s">
        <v>48</v>
      </c>
      <c r="F498" s="7" t="s">
        <v>98</v>
      </c>
      <c r="G498" s="7" t="s">
        <v>1418</v>
      </c>
      <c r="I498" s="1">
        <f t="shared" si="35"/>
        <v>1</v>
      </c>
      <c r="J498" s="1" t="str">
        <f>'Source build'!A498</f>
        <v>L00492</v>
      </c>
      <c r="K498" s="1">
        <f>498</f>
        <v>498</v>
      </c>
      <c r="L498" s="10">
        <f t="shared" si="36"/>
        <v>19998</v>
      </c>
      <c r="M498" s="1">
        <f t="shared" si="37"/>
        <v>1</v>
      </c>
      <c r="N498" s="1">
        <f t="shared" si="38"/>
        <v>1</v>
      </c>
      <c r="O498" s="1" t="str">
        <f>IF(I498=0,"UNUSED",IF(A498="","MISSING ID",IF(K498=0,"UNEXPECTED ID",IF(N498&lt;&gt;1,"ID / ORDER DIFFERENCE",IF('Source build'!U498&lt;&gt;"INCLUDED","EXCLUDED SOURCE",IF(NOT(M498),"INVALID AMOUNT",IF('Source build'!Y498&lt;&gt;0,"CHANGED FIELDS","MATCH")))))))</f>
        <v>MATCH</v>
      </c>
      <c r="P498" s="1" t="str">
        <f t="shared" si="39"/>
        <v>2026-01</v>
      </c>
    </row>
    <row r="499" spans="1:16" ht="18.95" customHeight="1">
      <c r="A499" s="7" t="s">
        <v>1419</v>
      </c>
      <c r="B499" s="7" t="s">
        <v>1420</v>
      </c>
      <c r="C499" s="7" t="s">
        <v>494</v>
      </c>
      <c r="D499" s="7" t="s">
        <v>93</v>
      </c>
      <c r="E499" s="7" t="s">
        <v>46</v>
      </c>
      <c r="F499" s="7" t="s">
        <v>98</v>
      </c>
      <c r="G499" s="7" t="s">
        <v>1421</v>
      </c>
      <c r="I499" s="1">
        <f t="shared" si="35"/>
        <v>1</v>
      </c>
      <c r="J499" s="1" t="str">
        <f>'Source build'!A499</f>
        <v>L00493</v>
      </c>
      <c r="K499" s="1">
        <f>499</f>
        <v>499</v>
      </c>
      <c r="L499" s="10">
        <f t="shared" si="36"/>
        <v>33515</v>
      </c>
      <c r="M499" s="1">
        <f t="shared" si="37"/>
        <v>1</v>
      </c>
      <c r="N499" s="1">
        <f t="shared" si="38"/>
        <v>1</v>
      </c>
      <c r="O499" s="1" t="str">
        <f>IF(I499=0,"UNUSED",IF(A499="","MISSING ID",IF(K499=0,"UNEXPECTED ID",IF(N499&lt;&gt;1,"ID / ORDER DIFFERENCE",IF('Source build'!U499&lt;&gt;"INCLUDED","EXCLUDED SOURCE",IF(NOT(M499),"INVALID AMOUNT",IF('Source build'!Y499&lt;&gt;0,"CHANGED FIELDS","MATCH")))))))</f>
        <v>MATCH</v>
      </c>
      <c r="P499" s="1" t="str">
        <f t="shared" si="39"/>
        <v>2026-01</v>
      </c>
    </row>
    <row r="500" spans="1:16" ht="18.95" customHeight="1">
      <c r="A500" s="7" t="s">
        <v>1422</v>
      </c>
      <c r="B500" s="7" t="s">
        <v>1420</v>
      </c>
      <c r="C500" s="7" t="s">
        <v>494</v>
      </c>
      <c r="D500" s="7" t="s">
        <v>97</v>
      </c>
      <c r="E500" s="7" t="s">
        <v>47</v>
      </c>
      <c r="F500" s="7" t="s">
        <v>98</v>
      </c>
      <c r="G500" s="7" t="s">
        <v>1423</v>
      </c>
      <c r="I500" s="1">
        <f t="shared" si="35"/>
        <v>1</v>
      </c>
      <c r="J500" s="1" t="str">
        <f>'Source build'!A500</f>
        <v>L00494</v>
      </c>
      <c r="K500" s="1">
        <f>500</f>
        <v>500</v>
      </c>
      <c r="L500" s="10">
        <f t="shared" si="36"/>
        <v>13480</v>
      </c>
      <c r="M500" s="1">
        <f t="shared" si="37"/>
        <v>1</v>
      </c>
      <c r="N500" s="1">
        <f t="shared" si="38"/>
        <v>1</v>
      </c>
      <c r="O500" s="1" t="str">
        <f>IF(I500=0,"UNUSED",IF(A500="","MISSING ID",IF(K500=0,"UNEXPECTED ID",IF(N500&lt;&gt;1,"ID / ORDER DIFFERENCE",IF('Source build'!U500&lt;&gt;"INCLUDED","EXCLUDED SOURCE",IF(NOT(M500),"INVALID AMOUNT",IF('Source build'!Y500&lt;&gt;0,"CHANGED FIELDS","MATCH")))))))</f>
        <v>MATCH</v>
      </c>
      <c r="P500" s="1" t="str">
        <f t="shared" si="39"/>
        <v>2026-01</v>
      </c>
    </row>
    <row r="501" spans="1:16" ht="18.95" customHeight="1">
      <c r="A501" s="7" t="s">
        <v>1424</v>
      </c>
      <c r="B501" s="7" t="s">
        <v>1425</v>
      </c>
      <c r="C501" s="7" t="s">
        <v>500</v>
      </c>
      <c r="D501" s="7" t="s">
        <v>103</v>
      </c>
      <c r="E501" s="7" t="s">
        <v>48</v>
      </c>
      <c r="F501" s="7" t="s">
        <v>98</v>
      </c>
      <c r="G501" s="7" t="s">
        <v>1426</v>
      </c>
      <c r="I501" s="1">
        <f t="shared" si="35"/>
        <v>1</v>
      </c>
      <c r="J501" s="1" t="str">
        <f>'Source build'!A501</f>
        <v>L00495</v>
      </c>
      <c r="K501" s="1">
        <f>501</f>
        <v>501</v>
      </c>
      <c r="L501" s="10">
        <f t="shared" si="36"/>
        <v>27108</v>
      </c>
      <c r="M501" s="1">
        <f t="shared" si="37"/>
        <v>1</v>
      </c>
      <c r="N501" s="1">
        <f t="shared" si="38"/>
        <v>1</v>
      </c>
      <c r="O501" s="1" t="str">
        <f>IF(I501=0,"UNUSED",IF(A501="","MISSING ID",IF(K501=0,"UNEXPECTED ID",IF(N501&lt;&gt;1,"ID / ORDER DIFFERENCE",IF('Source build'!U501&lt;&gt;"INCLUDED","EXCLUDED SOURCE",IF(NOT(M501),"INVALID AMOUNT",IF('Source build'!Y501&lt;&gt;0,"CHANGED FIELDS","MATCH")))))))</f>
        <v>MATCH</v>
      </c>
      <c r="P501" s="1" t="str">
        <f t="shared" si="39"/>
        <v>2026-01</v>
      </c>
    </row>
    <row r="502" spans="1:16" ht="18.95" customHeight="1">
      <c r="A502" s="7" t="s">
        <v>1427</v>
      </c>
      <c r="B502" s="7" t="s">
        <v>1425</v>
      </c>
      <c r="C502" s="7" t="s">
        <v>500</v>
      </c>
      <c r="D502" s="7" t="s">
        <v>93</v>
      </c>
      <c r="E502" s="7" t="s">
        <v>46</v>
      </c>
      <c r="F502" s="7" t="s">
        <v>98</v>
      </c>
      <c r="G502" s="7" t="s">
        <v>1428</v>
      </c>
      <c r="I502" s="1">
        <f t="shared" si="35"/>
        <v>1</v>
      </c>
      <c r="J502" s="1" t="str">
        <f>'Source build'!A502</f>
        <v>L00496</v>
      </c>
      <c r="K502" s="1">
        <f>502</f>
        <v>502</v>
      </c>
      <c r="L502" s="10">
        <f t="shared" si="36"/>
        <v>6814</v>
      </c>
      <c r="M502" s="1">
        <f t="shared" si="37"/>
        <v>1</v>
      </c>
      <c r="N502" s="1">
        <f t="shared" si="38"/>
        <v>1</v>
      </c>
      <c r="O502" s="1" t="str">
        <f>IF(I502=0,"UNUSED",IF(A502="","MISSING ID",IF(K502=0,"UNEXPECTED ID",IF(N502&lt;&gt;1,"ID / ORDER DIFFERENCE",IF('Source build'!U502&lt;&gt;"INCLUDED","EXCLUDED SOURCE",IF(NOT(M502),"INVALID AMOUNT",IF('Source build'!Y502&lt;&gt;0,"CHANGED FIELDS","MATCH")))))))</f>
        <v>MATCH</v>
      </c>
      <c r="P502" s="1" t="str">
        <f t="shared" si="39"/>
        <v>2026-01</v>
      </c>
    </row>
    <row r="503" spans="1:16" ht="18.95" customHeight="1">
      <c r="A503" s="7" t="s">
        <v>1429</v>
      </c>
      <c r="B503" s="7" t="s">
        <v>1430</v>
      </c>
      <c r="C503" s="7" t="s">
        <v>506</v>
      </c>
      <c r="D503" s="7" t="s">
        <v>97</v>
      </c>
      <c r="E503" s="7" t="s">
        <v>47</v>
      </c>
      <c r="F503" s="7" t="s">
        <v>98</v>
      </c>
      <c r="G503" s="7" t="s">
        <v>1431</v>
      </c>
      <c r="I503" s="1">
        <f t="shared" si="35"/>
        <v>1</v>
      </c>
      <c r="J503" s="1" t="str">
        <f>'Source build'!A503</f>
        <v>L00497</v>
      </c>
      <c r="K503" s="1">
        <f>503</f>
        <v>503</v>
      </c>
      <c r="L503" s="10">
        <f t="shared" si="36"/>
        <v>20553</v>
      </c>
      <c r="M503" s="1">
        <f t="shared" si="37"/>
        <v>1</v>
      </c>
      <c r="N503" s="1">
        <f t="shared" si="38"/>
        <v>1</v>
      </c>
      <c r="O503" s="1" t="str">
        <f>IF(I503=0,"UNUSED",IF(A503="","MISSING ID",IF(K503=0,"UNEXPECTED ID",IF(N503&lt;&gt;1,"ID / ORDER DIFFERENCE",IF('Source build'!U503&lt;&gt;"INCLUDED","EXCLUDED SOURCE",IF(NOT(M503),"INVALID AMOUNT",IF('Source build'!Y503&lt;&gt;0,"CHANGED FIELDS","MATCH")))))))</f>
        <v>MATCH</v>
      </c>
      <c r="P503" s="1" t="str">
        <f t="shared" si="39"/>
        <v>2026-01</v>
      </c>
    </row>
    <row r="504" spans="1:16" ht="18.95" customHeight="1">
      <c r="A504" s="7" t="s">
        <v>1432</v>
      </c>
      <c r="B504" s="7" t="s">
        <v>1430</v>
      </c>
      <c r="C504" s="7" t="s">
        <v>506</v>
      </c>
      <c r="D504" s="7" t="s">
        <v>103</v>
      </c>
      <c r="E504" s="7" t="s">
        <v>48</v>
      </c>
      <c r="F504" s="7" t="s">
        <v>98</v>
      </c>
      <c r="G504" s="7" t="s">
        <v>1433</v>
      </c>
      <c r="I504" s="1">
        <f t="shared" si="35"/>
        <v>1</v>
      </c>
      <c r="J504" s="1" t="str">
        <f>'Source build'!A504</f>
        <v>L00498</v>
      </c>
      <c r="K504" s="1">
        <f>504</f>
        <v>504</v>
      </c>
      <c r="L504" s="10">
        <f t="shared" si="36"/>
        <v>34440</v>
      </c>
      <c r="M504" s="1">
        <f t="shared" si="37"/>
        <v>1</v>
      </c>
      <c r="N504" s="1">
        <f t="shared" si="38"/>
        <v>1</v>
      </c>
      <c r="O504" s="1" t="str">
        <f>IF(I504=0,"UNUSED",IF(A504="","MISSING ID",IF(K504=0,"UNEXPECTED ID",IF(N504&lt;&gt;1,"ID / ORDER DIFFERENCE",IF('Source build'!U504&lt;&gt;"INCLUDED","EXCLUDED SOURCE",IF(NOT(M504),"INVALID AMOUNT",IF('Source build'!Y504&lt;&gt;0,"CHANGED FIELDS","MATCH")))))))</f>
        <v>MATCH</v>
      </c>
      <c r="P504" s="1" t="str">
        <f t="shared" si="39"/>
        <v>2026-01</v>
      </c>
    </row>
    <row r="505" spans="1:16" ht="18.95" customHeight="1">
      <c r="A505" s="7" t="s">
        <v>1434</v>
      </c>
      <c r="B505" s="7" t="s">
        <v>1435</v>
      </c>
      <c r="C505" s="7" t="s">
        <v>512</v>
      </c>
      <c r="D505" s="7" t="s">
        <v>93</v>
      </c>
      <c r="E505" s="7" t="s">
        <v>46</v>
      </c>
      <c r="F505" s="7" t="s">
        <v>98</v>
      </c>
      <c r="G505" s="7" t="s">
        <v>1436</v>
      </c>
      <c r="I505" s="1">
        <f t="shared" si="35"/>
        <v>1</v>
      </c>
      <c r="J505" s="1" t="str">
        <f>'Source build'!A505</f>
        <v>L00499</v>
      </c>
      <c r="K505" s="1">
        <f>505</f>
        <v>505</v>
      </c>
      <c r="L505" s="10">
        <f t="shared" si="36"/>
        <v>13850</v>
      </c>
      <c r="M505" s="1">
        <f t="shared" si="37"/>
        <v>1</v>
      </c>
      <c r="N505" s="1">
        <f t="shared" si="38"/>
        <v>1</v>
      </c>
      <c r="O505" s="1" t="str">
        <f>IF(I505=0,"UNUSED",IF(A505="","MISSING ID",IF(K505=0,"UNEXPECTED ID",IF(N505&lt;&gt;1,"ID / ORDER DIFFERENCE",IF('Source build'!U505&lt;&gt;"INCLUDED","EXCLUDED SOURCE",IF(NOT(M505),"INVALID AMOUNT",IF('Source build'!Y505&lt;&gt;0,"CHANGED FIELDS","MATCH")))))))</f>
        <v>MATCH</v>
      </c>
      <c r="P505" s="1" t="str">
        <f t="shared" si="39"/>
        <v>2026-02</v>
      </c>
    </row>
    <row r="506" spans="1:16" ht="18.95" customHeight="1">
      <c r="A506" s="7" t="s">
        <v>1437</v>
      </c>
      <c r="B506" s="7" t="s">
        <v>1435</v>
      </c>
      <c r="C506" s="7" t="s">
        <v>512</v>
      </c>
      <c r="D506" s="7" t="s">
        <v>97</v>
      </c>
      <c r="E506" s="7" t="s">
        <v>47</v>
      </c>
      <c r="F506" s="7" t="s">
        <v>98</v>
      </c>
      <c r="G506" s="7" t="s">
        <v>1438</v>
      </c>
      <c r="I506" s="1">
        <f t="shared" si="35"/>
        <v>1</v>
      </c>
      <c r="J506" s="1" t="str">
        <f>'Source build'!A506</f>
        <v>L00500</v>
      </c>
      <c r="K506" s="1">
        <f>506</f>
        <v>506</v>
      </c>
      <c r="L506" s="10">
        <f t="shared" si="36"/>
        <v>27848</v>
      </c>
      <c r="M506" s="1">
        <f t="shared" si="37"/>
        <v>1</v>
      </c>
      <c r="N506" s="1">
        <f t="shared" si="38"/>
        <v>1</v>
      </c>
      <c r="O506" s="1" t="str">
        <f>IF(I506=0,"UNUSED",IF(A506="","MISSING ID",IF(K506=0,"UNEXPECTED ID",IF(N506&lt;&gt;1,"ID / ORDER DIFFERENCE",IF('Source build'!U506&lt;&gt;"INCLUDED","EXCLUDED SOURCE",IF(NOT(M506),"INVALID AMOUNT",IF('Source build'!Y506&lt;&gt;0,"CHANGED FIELDS","MATCH")))))))</f>
        <v>MATCH</v>
      </c>
      <c r="P506" s="1" t="str">
        <f t="shared" si="39"/>
        <v>2026-02</v>
      </c>
    </row>
    <row r="507" spans="1:16" ht="18.95" customHeight="1">
      <c r="A507" s="7" t="s">
        <v>1439</v>
      </c>
      <c r="B507" s="7" t="s">
        <v>1440</v>
      </c>
      <c r="C507" s="7" t="s">
        <v>518</v>
      </c>
      <c r="D507" s="7" t="s">
        <v>103</v>
      </c>
      <c r="E507" s="7" t="s">
        <v>48</v>
      </c>
      <c r="F507" s="7" t="s">
        <v>98</v>
      </c>
      <c r="G507" s="7" t="s">
        <v>1441</v>
      </c>
      <c r="I507" s="1">
        <f t="shared" si="35"/>
        <v>1</v>
      </c>
      <c r="J507" s="1" t="str">
        <f>'Source build'!A507</f>
        <v>L00501</v>
      </c>
      <c r="K507" s="1">
        <f>507</f>
        <v>507</v>
      </c>
      <c r="L507" s="10">
        <f t="shared" si="36"/>
        <v>6999</v>
      </c>
      <c r="M507" s="1">
        <f t="shared" si="37"/>
        <v>1</v>
      </c>
      <c r="N507" s="1">
        <f t="shared" si="38"/>
        <v>1</v>
      </c>
      <c r="O507" s="1" t="str">
        <f>IF(I507=0,"UNUSED",IF(A507="","MISSING ID",IF(K507=0,"UNEXPECTED ID",IF(N507&lt;&gt;1,"ID / ORDER DIFFERENCE",IF('Source build'!U507&lt;&gt;"INCLUDED","EXCLUDED SOURCE",IF(NOT(M507),"INVALID AMOUNT",IF('Source build'!Y507&lt;&gt;0,"CHANGED FIELDS","MATCH")))))))</f>
        <v>MATCH</v>
      </c>
      <c r="P507" s="1" t="str">
        <f t="shared" si="39"/>
        <v>2026-02</v>
      </c>
    </row>
    <row r="508" spans="1:16" ht="18.95" customHeight="1">
      <c r="A508" s="7" t="s">
        <v>1442</v>
      </c>
      <c r="B508" s="7" t="s">
        <v>1440</v>
      </c>
      <c r="C508" s="7" t="s">
        <v>518</v>
      </c>
      <c r="D508" s="7" t="s">
        <v>93</v>
      </c>
      <c r="E508" s="7" t="s">
        <v>46</v>
      </c>
      <c r="F508" s="7" t="s">
        <v>98</v>
      </c>
      <c r="G508" s="7" t="s">
        <v>1443</v>
      </c>
      <c r="I508" s="1">
        <f t="shared" si="35"/>
        <v>1</v>
      </c>
      <c r="J508" s="1" t="str">
        <f>'Source build'!A508</f>
        <v>L00502</v>
      </c>
      <c r="K508" s="1">
        <f>508</f>
        <v>508</v>
      </c>
      <c r="L508" s="10">
        <f t="shared" si="36"/>
        <v>21108</v>
      </c>
      <c r="M508" s="1">
        <f t="shared" si="37"/>
        <v>1</v>
      </c>
      <c r="N508" s="1">
        <f t="shared" si="38"/>
        <v>1</v>
      </c>
      <c r="O508" s="1" t="str">
        <f>IF(I508=0,"UNUSED",IF(A508="","MISSING ID",IF(K508=0,"UNEXPECTED ID",IF(N508&lt;&gt;1,"ID / ORDER DIFFERENCE",IF('Source build'!U508&lt;&gt;"INCLUDED","EXCLUDED SOURCE",IF(NOT(M508),"INVALID AMOUNT",IF('Source build'!Y508&lt;&gt;0,"CHANGED FIELDS","MATCH")))))))</f>
        <v>MATCH</v>
      </c>
      <c r="P508" s="1" t="str">
        <f t="shared" si="39"/>
        <v>2026-02</v>
      </c>
    </row>
    <row r="509" spans="1:16" ht="18.95" customHeight="1">
      <c r="A509" s="7" t="s">
        <v>1444</v>
      </c>
      <c r="B509" s="7" t="s">
        <v>1445</v>
      </c>
      <c r="C509" s="7" t="s">
        <v>524</v>
      </c>
      <c r="D509" s="7" t="s">
        <v>97</v>
      </c>
      <c r="E509" s="7" t="s">
        <v>47</v>
      </c>
      <c r="F509" s="7" t="s">
        <v>98</v>
      </c>
      <c r="G509" s="7" t="s">
        <v>1446</v>
      </c>
      <c r="I509" s="1">
        <f t="shared" si="35"/>
        <v>1</v>
      </c>
      <c r="J509" s="1" t="str">
        <f>'Source build'!A509</f>
        <v>L00503</v>
      </c>
      <c r="K509" s="1">
        <f>509</f>
        <v>509</v>
      </c>
      <c r="L509" s="10">
        <f t="shared" si="36"/>
        <v>35365</v>
      </c>
      <c r="M509" s="1">
        <f t="shared" si="37"/>
        <v>1</v>
      </c>
      <c r="N509" s="1">
        <f t="shared" si="38"/>
        <v>1</v>
      </c>
      <c r="O509" s="1" t="str">
        <f>IF(I509=0,"UNUSED",IF(A509="","MISSING ID",IF(K509=0,"UNEXPECTED ID",IF(N509&lt;&gt;1,"ID / ORDER DIFFERENCE",IF('Source build'!U509&lt;&gt;"INCLUDED","EXCLUDED SOURCE",IF(NOT(M509),"INVALID AMOUNT",IF('Source build'!Y509&lt;&gt;0,"CHANGED FIELDS","MATCH")))))))</f>
        <v>MATCH</v>
      </c>
      <c r="P509" s="1" t="str">
        <f t="shared" si="39"/>
        <v>2026-02</v>
      </c>
    </row>
    <row r="510" spans="1:16" ht="18.95" customHeight="1">
      <c r="A510" s="7" t="s">
        <v>1447</v>
      </c>
      <c r="B510" s="7" t="s">
        <v>1445</v>
      </c>
      <c r="C510" s="7" t="s">
        <v>524</v>
      </c>
      <c r="D510" s="7" t="s">
        <v>103</v>
      </c>
      <c r="E510" s="7" t="s">
        <v>48</v>
      </c>
      <c r="F510" s="7" t="s">
        <v>98</v>
      </c>
      <c r="G510" s="7" t="s">
        <v>1448</v>
      </c>
      <c r="I510" s="1">
        <f t="shared" si="35"/>
        <v>1</v>
      </c>
      <c r="J510" s="1" t="str">
        <f>'Source build'!A510</f>
        <v>L00504</v>
      </c>
      <c r="K510" s="1">
        <f>510</f>
        <v>510</v>
      </c>
      <c r="L510" s="10">
        <f t="shared" si="36"/>
        <v>14220</v>
      </c>
      <c r="M510" s="1">
        <f t="shared" si="37"/>
        <v>1</v>
      </c>
      <c r="N510" s="1">
        <f t="shared" si="38"/>
        <v>1</v>
      </c>
      <c r="O510" s="1" t="str">
        <f>IF(I510=0,"UNUSED",IF(A510="","MISSING ID",IF(K510=0,"UNEXPECTED ID",IF(N510&lt;&gt;1,"ID / ORDER DIFFERENCE",IF('Source build'!U510&lt;&gt;"INCLUDED","EXCLUDED SOURCE",IF(NOT(M510),"INVALID AMOUNT",IF('Source build'!Y510&lt;&gt;0,"CHANGED FIELDS","MATCH")))))))</f>
        <v>MATCH</v>
      </c>
      <c r="P510" s="1" t="str">
        <f t="shared" si="39"/>
        <v>2026-02</v>
      </c>
    </row>
    <row r="511" spans="1:16" ht="18.95" customHeight="1">
      <c r="A511" s="7" t="s">
        <v>1449</v>
      </c>
      <c r="B511" s="7" t="s">
        <v>1450</v>
      </c>
      <c r="C511" s="7" t="s">
        <v>530</v>
      </c>
      <c r="D511" s="7" t="s">
        <v>93</v>
      </c>
      <c r="E511" s="7" t="s">
        <v>46</v>
      </c>
      <c r="F511" s="7" t="s">
        <v>98</v>
      </c>
      <c r="G511" s="7" t="s">
        <v>1451</v>
      </c>
      <c r="I511" s="1">
        <f t="shared" si="35"/>
        <v>1</v>
      </c>
      <c r="J511" s="1" t="str">
        <f>'Source build'!A511</f>
        <v>L00505</v>
      </c>
      <c r="K511" s="1">
        <f>511</f>
        <v>511</v>
      </c>
      <c r="L511" s="10">
        <f t="shared" si="36"/>
        <v>28588</v>
      </c>
      <c r="M511" s="1">
        <f t="shared" si="37"/>
        <v>1</v>
      </c>
      <c r="N511" s="1">
        <f t="shared" si="38"/>
        <v>1</v>
      </c>
      <c r="O511" s="1" t="str">
        <f>IF(I511=0,"UNUSED",IF(A511="","MISSING ID",IF(K511=0,"UNEXPECTED ID",IF(N511&lt;&gt;1,"ID / ORDER DIFFERENCE",IF('Source build'!U511&lt;&gt;"INCLUDED","EXCLUDED SOURCE",IF(NOT(M511),"INVALID AMOUNT",IF('Source build'!Y511&lt;&gt;0,"CHANGED FIELDS","MATCH")))))))</f>
        <v>MATCH</v>
      </c>
      <c r="P511" s="1" t="str">
        <f t="shared" si="39"/>
        <v>2026-02</v>
      </c>
    </row>
    <row r="512" spans="1:16" ht="18.95" customHeight="1">
      <c r="A512" s="7" t="s">
        <v>1452</v>
      </c>
      <c r="B512" s="7" t="s">
        <v>1450</v>
      </c>
      <c r="C512" s="7" t="s">
        <v>530</v>
      </c>
      <c r="D512" s="7" t="s">
        <v>97</v>
      </c>
      <c r="E512" s="7" t="s">
        <v>47</v>
      </c>
      <c r="F512" s="7" t="s">
        <v>98</v>
      </c>
      <c r="G512" s="7" t="s">
        <v>1453</v>
      </c>
      <c r="I512" s="1">
        <f t="shared" si="35"/>
        <v>1</v>
      </c>
      <c r="J512" s="1" t="str">
        <f>'Source build'!A512</f>
        <v>L00506</v>
      </c>
      <c r="K512" s="1">
        <f>512</f>
        <v>512</v>
      </c>
      <c r="L512" s="10">
        <f t="shared" si="36"/>
        <v>7184</v>
      </c>
      <c r="M512" s="1">
        <f t="shared" si="37"/>
        <v>1</v>
      </c>
      <c r="N512" s="1">
        <f t="shared" si="38"/>
        <v>1</v>
      </c>
      <c r="O512" s="1" t="str">
        <f>IF(I512=0,"UNUSED",IF(A512="","MISSING ID",IF(K512=0,"UNEXPECTED ID",IF(N512&lt;&gt;1,"ID / ORDER DIFFERENCE",IF('Source build'!U512&lt;&gt;"INCLUDED","EXCLUDED SOURCE",IF(NOT(M512),"INVALID AMOUNT",IF('Source build'!Y512&lt;&gt;0,"CHANGED FIELDS","MATCH")))))))</f>
        <v>MATCH</v>
      </c>
      <c r="P512" s="1" t="str">
        <f t="shared" si="39"/>
        <v>2026-02</v>
      </c>
    </row>
    <row r="513" spans="1:16" ht="18.95" customHeight="1">
      <c r="A513" s="7" t="s">
        <v>1454</v>
      </c>
      <c r="B513" s="7" t="s">
        <v>1455</v>
      </c>
      <c r="C513" s="7" t="s">
        <v>536</v>
      </c>
      <c r="D513" s="7" t="s">
        <v>103</v>
      </c>
      <c r="E513" s="7" t="s">
        <v>48</v>
      </c>
      <c r="F513" s="7" t="s">
        <v>94</v>
      </c>
      <c r="G513" s="7" t="s">
        <v>1456</v>
      </c>
      <c r="I513" s="1">
        <f t="shared" si="35"/>
        <v>1</v>
      </c>
      <c r="J513" s="1" t="str">
        <f>'Source build'!A513</f>
        <v>L00507</v>
      </c>
      <c r="K513" s="1">
        <f>513</f>
        <v>513</v>
      </c>
      <c r="L513" s="10">
        <f t="shared" si="36"/>
        <v>-21663</v>
      </c>
      <c r="M513" s="1">
        <f t="shared" si="37"/>
        <v>1</v>
      </c>
      <c r="N513" s="1">
        <f t="shared" si="38"/>
        <v>1</v>
      </c>
      <c r="O513" s="1" t="str">
        <f>IF(I513=0,"UNUSED",IF(A513="","MISSING ID",IF(K513=0,"UNEXPECTED ID",IF(N513&lt;&gt;1,"ID / ORDER DIFFERENCE",IF('Source build'!U513&lt;&gt;"INCLUDED","EXCLUDED SOURCE",IF(NOT(M513),"INVALID AMOUNT",IF('Source build'!Y513&lt;&gt;0,"CHANGED FIELDS","MATCH")))))))</f>
        <v>MATCH</v>
      </c>
      <c r="P513" s="1" t="str">
        <f t="shared" si="39"/>
        <v>2026-03</v>
      </c>
    </row>
    <row r="514" spans="1:16" ht="18.95" customHeight="1">
      <c r="A514" s="7" t="s">
        <v>1457</v>
      </c>
      <c r="B514" s="7" t="s">
        <v>1455</v>
      </c>
      <c r="C514" s="7" t="s">
        <v>536</v>
      </c>
      <c r="D514" s="7" t="s">
        <v>93</v>
      </c>
      <c r="E514" s="7" t="s">
        <v>46</v>
      </c>
      <c r="F514" s="7" t="s">
        <v>98</v>
      </c>
      <c r="G514" s="7" t="s">
        <v>1458</v>
      </c>
      <c r="I514" s="1">
        <f t="shared" si="35"/>
        <v>1</v>
      </c>
      <c r="J514" s="1" t="str">
        <f>'Source build'!A514</f>
        <v>L00508</v>
      </c>
      <c r="K514" s="1">
        <f>514</f>
        <v>514</v>
      </c>
      <c r="L514" s="10">
        <f t="shared" si="36"/>
        <v>36290</v>
      </c>
      <c r="M514" s="1">
        <f t="shared" si="37"/>
        <v>1</v>
      </c>
      <c r="N514" s="1">
        <f t="shared" si="38"/>
        <v>1</v>
      </c>
      <c r="O514" s="1" t="str">
        <f>IF(I514=0,"UNUSED",IF(A514="","MISSING ID",IF(K514=0,"UNEXPECTED ID",IF(N514&lt;&gt;1,"ID / ORDER DIFFERENCE",IF('Source build'!U514&lt;&gt;"INCLUDED","EXCLUDED SOURCE",IF(NOT(M514),"INVALID AMOUNT",IF('Source build'!Y514&lt;&gt;0,"CHANGED FIELDS","MATCH")))))))</f>
        <v>MATCH</v>
      </c>
      <c r="P514" s="1" t="str">
        <f t="shared" si="39"/>
        <v>2026-03</v>
      </c>
    </row>
    <row r="515" spans="1:16" ht="18.95" customHeight="1">
      <c r="A515" s="7" t="s">
        <v>1459</v>
      </c>
      <c r="B515" s="7" t="s">
        <v>1460</v>
      </c>
      <c r="C515" s="7" t="s">
        <v>542</v>
      </c>
      <c r="D515" s="7" t="s">
        <v>97</v>
      </c>
      <c r="E515" s="7" t="s">
        <v>47</v>
      </c>
      <c r="F515" s="7" t="s">
        <v>98</v>
      </c>
      <c r="G515" s="7" t="s">
        <v>1461</v>
      </c>
      <c r="I515" s="1">
        <f t="shared" si="35"/>
        <v>1</v>
      </c>
      <c r="J515" s="1" t="str">
        <f>'Source build'!A515</f>
        <v>L00509</v>
      </c>
      <c r="K515" s="1">
        <f>515</f>
        <v>515</v>
      </c>
      <c r="L515" s="10">
        <f t="shared" si="36"/>
        <v>14590</v>
      </c>
      <c r="M515" s="1">
        <f t="shared" si="37"/>
        <v>1</v>
      </c>
      <c r="N515" s="1">
        <f t="shared" si="38"/>
        <v>1</v>
      </c>
      <c r="O515" s="1" t="str">
        <f>IF(I515=0,"UNUSED",IF(A515="","MISSING ID",IF(K515=0,"UNEXPECTED ID",IF(N515&lt;&gt;1,"ID / ORDER DIFFERENCE",IF('Source build'!U515&lt;&gt;"INCLUDED","EXCLUDED SOURCE",IF(NOT(M515),"INVALID AMOUNT",IF('Source build'!Y515&lt;&gt;0,"CHANGED FIELDS","MATCH")))))))</f>
        <v>MATCH</v>
      </c>
      <c r="P515" s="1" t="str">
        <f t="shared" si="39"/>
        <v>2026-03</v>
      </c>
    </row>
    <row r="516" spans="1:16" ht="18.95" customHeight="1">
      <c r="A516" s="7" t="s">
        <v>1462</v>
      </c>
      <c r="B516" s="7" t="s">
        <v>1460</v>
      </c>
      <c r="C516" s="7" t="s">
        <v>542</v>
      </c>
      <c r="D516" s="7" t="s">
        <v>103</v>
      </c>
      <c r="E516" s="7" t="s">
        <v>48</v>
      </c>
      <c r="F516" s="7" t="s">
        <v>98</v>
      </c>
      <c r="G516" s="7" t="s">
        <v>1463</v>
      </c>
      <c r="I516" s="1">
        <f t="shared" si="35"/>
        <v>1</v>
      </c>
      <c r="J516" s="1" t="str">
        <f>'Source build'!A516</f>
        <v>L00510</v>
      </c>
      <c r="K516" s="1">
        <f>516</f>
        <v>516</v>
      </c>
      <c r="L516" s="10">
        <f t="shared" si="36"/>
        <v>29328</v>
      </c>
      <c r="M516" s="1">
        <f t="shared" si="37"/>
        <v>1</v>
      </c>
      <c r="N516" s="1">
        <f t="shared" si="38"/>
        <v>1</v>
      </c>
      <c r="O516" s="1" t="str">
        <f>IF(I516=0,"UNUSED",IF(A516="","MISSING ID",IF(K516=0,"UNEXPECTED ID",IF(N516&lt;&gt;1,"ID / ORDER DIFFERENCE",IF('Source build'!U516&lt;&gt;"INCLUDED","EXCLUDED SOURCE",IF(NOT(M516),"INVALID AMOUNT",IF('Source build'!Y516&lt;&gt;0,"CHANGED FIELDS","MATCH")))))))</f>
        <v>MATCH</v>
      </c>
      <c r="P516" s="1" t="str">
        <f t="shared" si="39"/>
        <v>2026-03</v>
      </c>
    </row>
    <row r="517" spans="1:16" ht="18.95" customHeight="1">
      <c r="A517" s="7" t="s">
        <v>1464</v>
      </c>
      <c r="B517" s="7" t="s">
        <v>1465</v>
      </c>
      <c r="C517" s="7" t="s">
        <v>548</v>
      </c>
      <c r="D517" s="7" t="s">
        <v>93</v>
      </c>
      <c r="E517" s="7" t="s">
        <v>46</v>
      </c>
      <c r="F517" s="7" t="s">
        <v>98</v>
      </c>
      <c r="G517" s="7" t="s">
        <v>1466</v>
      </c>
      <c r="I517" s="1">
        <f t="shared" si="35"/>
        <v>1</v>
      </c>
      <c r="J517" s="1" t="str">
        <f>'Source build'!A517</f>
        <v>L00511</v>
      </c>
      <c r="K517" s="1">
        <f>517</f>
        <v>517</v>
      </c>
      <c r="L517" s="10">
        <f t="shared" si="36"/>
        <v>7369</v>
      </c>
      <c r="M517" s="1">
        <f t="shared" si="37"/>
        <v>1</v>
      </c>
      <c r="N517" s="1">
        <f t="shared" si="38"/>
        <v>1</v>
      </c>
      <c r="O517" s="1" t="str">
        <f>IF(I517=0,"UNUSED",IF(A517="","MISSING ID",IF(K517=0,"UNEXPECTED ID",IF(N517&lt;&gt;1,"ID / ORDER DIFFERENCE",IF('Source build'!U517&lt;&gt;"INCLUDED","EXCLUDED SOURCE",IF(NOT(M517),"INVALID AMOUNT",IF('Source build'!Y517&lt;&gt;0,"CHANGED FIELDS","MATCH")))))))</f>
        <v>MATCH</v>
      </c>
      <c r="P517" s="1" t="str">
        <f t="shared" si="39"/>
        <v>2026-03</v>
      </c>
    </row>
    <row r="518" spans="1:16" ht="18.95" customHeight="1">
      <c r="A518" s="7" t="s">
        <v>1467</v>
      </c>
      <c r="B518" s="7" t="s">
        <v>1465</v>
      </c>
      <c r="C518" s="7" t="s">
        <v>548</v>
      </c>
      <c r="D518" s="7" t="s">
        <v>97</v>
      </c>
      <c r="E518" s="7" t="s">
        <v>47</v>
      </c>
      <c r="F518" s="7" t="s">
        <v>98</v>
      </c>
      <c r="G518" s="7" t="s">
        <v>1468</v>
      </c>
      <c r="I518" s="1">
        <f t="shared" si="35"/>
        <v>1</v>
      </c>
      <c r="J518" s="1" t="str">
        <f>'Source build'!A518</f>
        <v>L00512</v>
      </c>
      <c r="K518" s="1">
        <f>518</f>
        <v>518</v>
      </c>
      <c r="L518" s="10">
        <f t="shared" si="36"/>
        <v>22218</v>
      </c>
      <c r="M518" s="1">
        <f t="shared" si="37"/>
        <v>1</v>
      </c>
      <c r="N518" s="1">
        <f t="shared" si="38"/>
        <v>1</v>
      </c>
      <c r="O518" s="1" t="str">
        <f>IF(I518=0,"UNUSED",IF(A518="","MISSING ID",IF(K518=0,"UNEXPECTED ID",IF(N518&lt;&gt;1,"ID / ORDER DIFFERENCE",IF('Source build'!U518&lt;&gt;"INCLUDED","EXCLUDED SOURCE",IF(NOT(M518),"INVALID AMOUNT",IF('Source build'!Y518&lt;&gt;0,"CHANGED FIELDS","MATCH")))))))</f>
        <v>MATCH</v>
      </c>
      <c r="P518" s="1" t="str">
        <f t="shared" si="39"/>
        <v>2026-03</v>
      </c>
    </row>
    <row r="519" spans="1:16" ht="18.95" customHeight="1">
      <c r="A519" s="7" t="s">
        <v>1469</v>
      </c>
      <c r="B519" s="7" t="s">
        <v>1470</v>
      </c>
      <c r="C519" s="7" t="s">
        <v>554</v>
      </c>
      <c r="D519" s="7" t="s">
        <v>103</v>
      </c>
      <c r="E519" s="7" t="s">
        <v>48</v>
      </c>
      <c r="F519" s="7" t="s">
        <v>98</v>
      </c>
      <c r="G519" s="7" t="s">
        <v>1471</v>
      </c>
      <c r="I519" s="1">
        <f t="shared" ref="I519:I582" si="40">IF(AND(A519="",B519="",C519="",D519="",E519="",F519="",G519=""),0,1)</f>
        <v>1</v>
      </c>
      <c r="J519" s="1" t="str">
        <f>'Source build'!A519</f>
        <v>L00513</v>
      </c>
      <c r="K519" s="1">
        <f>519</f>
        <v>519</v>
      </c>
      <c r="L519" s="10">
        <f t="shared" ref="L519:L582" si="41">IFERROR(IF(ABS(VALUE(G519)*100-ROUND(VALUE(G519)*100,0))&lt;0.0000001,ROUND(VALUE(G519)*100,0),0),0)</f>
        <v>37215</v>
      </c>
      <c r="M519" s="1">
        <f t="shared" ref="M519:M582" si="42">--IF(I519=0,TRUE,IF(TRIM(G519)="",FALSE,IFERROR(AND(ISNUMBER(VALUE(G519)),ABS(VALUE(G519)*100-ROUND(VALUE(G519)*100,0))&lt;0.0000001,OR(ISNUMBER(G519),EXACT(G519,TEXT(VALUE(G519),"0.00"))),OR(AND(EXACT(F519,"sale"),VALUE(G519)&gt;0),AND(EXACT(F519,"refund"),VALUE(G519)&lt;0))),FALSE)))</f>
        <v>1</v>
      </c>
      <c r="N519" s="1">
        <f t="shared" ref="N519:N582" si="43">IF(I519=1,IF(EXACT(A519,J519),1,0),0)</f>
        <v>1</v>
      </c>
      <c r="O519" s="1" t="str">
        <f>IF(I519=0,"UNUSED",IF(A519="","MISSING ID",IF(K519=0,"UNEXPECTED ID",IF(N519&lt;&gt;1,"ID / ORDER DIFFERENCE",IF('Source build'!U519&lt;&gt;"INCLUDED","EXCLUDED SOURCE",IF(NOT(M519),"INVALID AMOUNT",IF('Source build'!Y519&lt;&gt;0,"CHANGED FIELDS","MATCH")))))))</f>
        <v>MATCH</v>
      </c>
      <c r="P519" s="1" t="str">
        <f t="shared" ref="P519:P582" si="44">IF(I519=1,LEFT(C519,7),"")</f>
        <v>2026-03</v>
      </c>
    </row>
    <row r="520" spans="1:16" ht="18.95" customHeight="1">
      <c r="A520" s="7" t="s">
        <v>1472</v>
      </c>
      <c r="B520" s="7" t="s">
        <v>1470</v>
      </c>
      <c r="C520" s="7" t="s">
        <v>554</v>
      </c>
      <c r="D520" s="7" t="s">
        <v>93</v>
      </c>
      <c r="E520" s="7" t="s">
        <v>46</v>
      </c>
      <c r="F520" s="7" t="s">
        <v>98</v>
      </c>
      <c r="G520" s="7" t="s">
        <v>1473</v>
      </c>
      <c r="I520" s="1">
        <f t="shared" si="40"/>
        <v>1</v>
      </c>
      <c r="J520" s="1" t="str">
        <f>'Source build'!A520</f>
        <v>L00514</v>
      </c>
      <c r="K520" s="1">
        <f>520</f>
        <v>520</v>
      </c>
      <c r="L520" s="10">
        <f t="shared" si="41"/>
        <v>14960</v>
      </c>
      <c r="M520" s="1">
        <f t="shared" si="42"/>
        <v>1</v>
      </c>
      <c r="N520" s="1">
        <f t="shared" si="43"/>
        <v>1</v>
      </c>
      <c r="O520" s="1" t="str">
        <f>IF(I520=0,"UNUSED",IF(A520="","MISSING ID",IF(K520=0,"UNEXPECTED ID",IF(N520&lt;&gt;1,"ID / ORDER DIFFERENCE",IF('Source build'!U520&lt;&gt;"INCLUDED","EXCLUDED SOURCE",IF(NOT(M520),"INVALID AMOUNT",IF('Source build'!Y520&lt;&gt;0,"CHANGED FIELDS","MATCH")))))))</f>
        <v>MATCH</v>
      </c>
      <c r="P520" s="1" t="str">
        <f t="shared" si="44"/>
        <v>2026-03</v>
      </c>
    </row>
    <row r="521" spans="1:16" ht="18.95" customHeight="1">
      <c r="A521" s="7" t="s">
        <v>1474</v>
      </c>
      <c r="B521" s="7" t="s">
        <v>1475</v>
      </c>
      <c r="C521" s="7" t="s">
        <v>560</v>
      </c>
      <c r="D521" s="7" t="s">
        <v>97</v>
      </c>
      <c r="E521" s="7" t="s">
        <v>47</v>
      </c>
      <c r="F521" s="7" t="s">
        <v>98</v>
      </c>
      <c r="G521" s="7" t="s">
        <v>1476</v>
      </c>
      <c r="I521" s="1">
        <f t="shared" si="40"/>
        <v>1</v>
      </c>
      <c r="J521" s="1" t="str">
        <f>'Source build'!A521</f>
        <v>L00515</v>
      </c>
      <c r="K521" s="1">
        <f>521</f>
        <v>521</v>
      </c>
      <c r="L521" s="10">
        <f t="shared" si="41"/>
        <v>30068</v>
      </c>
      <c r="M521" s="1">
        <f t="shared" si="42"/>
        <v>1</v>
      </c>
      <c r="N521" s="1">
        <f t="shared" si="43"/>
        <v>1</v>
      </c>
      <c r="O521" s="1" t="str">
        <f>IF(I521=0,"UNUSED",IF(A521="","MISSING ID",IF(K521=0,"UNEXPECTED ID",IF(N521&lt;&gt;1,"ID / ORDER DIFFERENCE",IF('Source build'!U521&lt;&gt;"INCLUDED","EXCLUDED SOURCE",IF(NOT(M521),"INVALID AMOUNT",IF('Source build'!Y521&lt;&gt;0,"CHANGED FIELDS","MATCH")))))))</f>
        <v>MATCH</v>
      </c>
      <c r="P521" s="1" t="str">
        <f t="shared" si="44"/>
        <v>2026-03</v>
      </c>
    </row>
    <row r="522" spans="1:16" ht="18.95" customHeight="1">
      <c r="A522" s="7" t="s">
        <v>1477</v>
      </c>
      <c r="B522" s="7" t="s">
        <v>1475</v>
      </c>
      <c r="C522" s="7" t="s">
        <v>560</v>
      </c>
      <c r="D522" s="7" t="s">
        <v>103</v>
      </c>
      <c r="E522" s="7" t="s">
        <v>48</v>
      </c>
      <c r="F522" s="7" t="s">
        <v>98</v>
      </c>
      <c r="G522" s="7" t="s">
        <v>1478</v>
      </c>
      <c r="I522" s="1">
        <f t="shared" si="40"/>
        <v>1</v>
      </c>
      <c r="J522" s="1" t="str">
        <f>'Source build'!A522</f>
        <v>L00516</v>
      </c>
      <c r="K522" s="1">
        <f>522</f>
        <v>522</v>
      </c>
      <c r="L522" s="10">
        <f t="shared" si="41"/>
        <v>7554</v>
      </c>
      <c r="M522" s="1">
        <f t="shared" si="42"/>
        <v>1</v>
      </c>
      <c r="N522" s="1">
        <f t="shared" si="43"/>
        <v>1</v>
      </c>
      <c r="O522" s="1" t="str">
        <f>IF(I522=0,"UNUSED",IF(A522="","MISSING ID",IF(K522=0,"UNEXPECTED ID",IF(N522&lt;&gt;1,"ID / ORDER DIFFERENCE",IF('Source build'!U522&lt;&gt;"INCLUDED","EXCLUDED SOURCE",IF(NOT(M522),"INVALID AMOUNT",IF('Source build'!Y522&lt;&gt;0,"CHANGED FIELDS","MATCH")))))))</f>
        <v>MATCH</v>
      </c>
      <c r="P522" s="1" t="str">
        <f t="shared" si="44"/>
        <v>2026-03</v>
      </c>
    </row>
    <row r="523" spans="1:16" ht="18.95" customHeight="1">
      <c r="A523" s="7" t="s">
        <v>1479</v>
      </c>
      <c r="B523" s="7" t="s">
        <v>1480</v>
      </c>
      <c r="C523" s="7" t="s">
        <v>566</v>
      </c>
      <c r="D523" s="7" t="s">
        <v>93</v>
      </c>
      <c r="E523" s="7" t="s">
        <v>46</v>
      </c>
      <c r="F523" s="7" t="s">
        <v>98</v>
      </c>
      <c r="G523" s="7" t="s">
        <v>1481</v>
      </c>
      <c r="I523" s="1">
        <f t="shared" si="40"/>
        <v>1</v>
      </c>
      <c r="J523" s="1" t="str">
        <f>'Source build'!A523</f>
        <v>L00517</v>
      </c>
      <c r="K523" s="1">
        <f>523</f>
        <v>523</v>
      </c>
      <c r="L523" s="10">
        <f t="shared" si="41"/>
        <v>22773</v>
      </c>
      <c r="M523" s="1">
        <f t="shared" si="42"/>
        <v>1</v>
      </c>
      <c r="N523" s="1">
        <f t="shared" si="43"/>
        <v>1</v>
      </c>
      <c r="O523" s="1" t="str">
        <f>IF(I523=0,"UNUSED",IF(A523="","MISSING ID",IF(K523=0,"UNEXPECTED ID",IF(N523&lt;&gt;1,"ID / ORDER DIFFERENCE",IF('Source build'!U523&lt;&gt;"INCLUDED","EXCLUDED SOURCE",IF(NOT(M523),"INVALID AMOUNT",IF('Source build'!Y523&lt;&gt;0,"CHANGED FIELDS","MATCH")))))))</f>
        <v>MATCH</v>
      </c>
      <c r="P523" s="1" t="str">
        <f t="shared" si="44"/>
        <v>2026-01</v>
      </c>
    </row>
    <row r="524" spans="1:16" ht="18.95" customHeight="1">
      <c r="A524" s="7" t="s">
        <v>1482</v>
      </c>
      <c r="B524" s="7" t="s">
        <v>1480</v>
      </c>
      <c r="C524" s="7" t="s">
        <v>566</v>
      </c>
      <c r="D524" s="7" t="s">
        <v>97</v>
      </c>
      <c r="E524" s="7" t="s">
        <v>47</v>
      </c>
      <c r="F524" s="7" t="s">
        <v>98</v>
      </c>
      <c r="G524" s="7" t="s">
        <v>1483</v>
      </c>
      <c r="I524" s="1">
        <f t="shared" si="40"/>
        <v>1</v>
      </c>
      <c r="J524" s="1" t="str">
        <f>'Source build'!A524</f>
        <v>L00518</v>
      </c>
      <c r="K524" s="1">
        <f>524</f>
        <v>524</v>
      </c>
      <c r="L524" s="10">
        <f t="shared" si="41"/>
        <v>38140</v>
      </c>
      <c r="M524" s="1">
        <f t="shared" si="42"/>
        <v>1</v>
      </c>
      <c r="N524" s="1">
        <f t="shared" si="43"/>
        <v>1</v>
      </c>
      <c r="O524" s="1" t="str">
        <f>IF(I524=0,"UNUSED",IF(A524="","MISSING ID",IF(K524=0,"UNEXPECTED ID",IF(N524&lt;&gt;1,"ID / ORDER DIFFERENCE",IF('Source build'!U524&lt;&gt;"INCLUDED","EXCLUDED SOURCE",IF(NOT(M524),"INVALID AMOUNT",IF('Source build'!Y524&lt;&gt;0,"CHANGED FIELDS","MATCH")))))))</f>
        <v>MATCH</v>
      </c>
      <c r="P524" s="1" t="str">
        <f t="shared" si="44"/>
        <v>2026-01</v>
      </c>
    </row>
    <row r="525" spans="1:16" ht="18.95" customHeight="1">
      <c r="A525" s="7" t="s">
        <v>1484</v>
      </c>
      <c r="B525" s="7" t="s">
        <v>1485</v>
      </c>
      <c r="C525" s="7" t="s">
        <v>572</v>
      </c>
      <c r="D525" s="7" t="s">
        <v>103</v>
      </c>
      <c r="E525" s="7" t="s">
        <v>48</v>
      </c>
      <c r="F525" s="7" t="s">
        <v>98</v>
      </c>
      <c r="G525" s="7" t="s">
        <v>1486</v>
      </c>
      <c r="I525" s="1">
        <f t="shared" si="40"/>
        <v>1</v>
      </c>
      <c r="J525" s="1" t="str">
        <f>'Source build'!A525</f>
        <v>L00519</v>
      </c>
      <c r="K525" s="1">
        <f>525</f>
        <v>525</v>
      </c>
      <c r="L525" s="10">
        <f t="shared" si="41"/>
        <v>15330</v>
      </c>
      <c r="M525" s="1">
        <f t="shared" si="42"/>
        <v>1</v>
      </c>
      <c r="N525" s="1">
        <f t="shared" si="43"/>
        <v>1</v>
      </c>
      <c r="O525" s="1" t="str">
        <f>IF(I525=0,"UNUSED",IF(A525="","MISSING ID",IF(K525=0,"UNEXPECTED ID",IF(N525&lt;&gt;1,"ID / ORDER DIFFERENCE",IF('Source build'!U525&lt;&gt;"INCLUDED","EXCLUDED SOURCE",IF(NOT(M525),"INVALID AMOUNT",IF('Source build'!Y525&lt;&gt;0,"CHANGED FIELDS","MATCH")))))))</f>
        <v>MATCH</v>
      </c>
      <c r="P525" s="1" t="str">
        <f t="shared" si="44"/>
        <v>2026-01</v>
      </c>
    </row>
    <row r="526" spans="1:16" ht="18.95" customHeight="1">
      <c r="A526" s="7" t="s">
        <v>1487</v>
      </c>
      <c r="B526" s="7" t="s">
        <v>1485</v>
      </c>
      <c r="C526" s="7" t="s">
        <v>572</v>
      </c>
      <c r="D526" s="7" t="s">
        <v>93</v>
      </c>
      <c r="E526" s="7" t="s">
        <v>46</v>
      </c>
      <c r="F526" s="7" t="s">
        <v>98</v>
      </c>
      <c r="G526" s="7" t="s">
        <v>1488</v>
      </c>
      <c r="I526" s="1">
        <f t="shared" si="40"/>
        <v>1</v>
      </c>
      <c r="J526" s="1" t="str">
        <f>'Source build'!A526</f>
        <v>L00520</v>
      </c>
      <c r="K526" s="1">
        <f>526</f>
        <v>526</v>
      </c>
      <c r="L526" s="10">
        <f t="shared" si="41"/>
        <v>30808</v>
      </c>
      <c r="M526" s="1">
        <f t="shared" si="42"/>
        <v>1</v>
      </c>
      <c r="N526" s="1">
        <f t="shared" si="43"/>
        <v>1</v>
      </c>
      <c r="O526" s="1" t="str">
        <f>IF(I526=0,"UNUSED",IF(A526="","MISSING ID",IF(K526=0,"UNEXPECTED ID",IF(N526&lt;&gt;1,"ID / ORDER DIFFERENCE",IF('Source build'!U526&lt;&gt;"INCLUDED","EXCLUDED SOURCE",IF(NOT(M526),"INVALID AMOUNT",IF('Source build'!Y526&lt;&gt;0,"CHANGED FIELDS","MATCH")))))))</f>
        <v>MATCH</v>
      </c>
      <c r="P526" s="1" t="str">
        <f t="shared" si="44"/>
        <v>2026-01</v>
      </c>
    </row>
    <row r="527" spans="1:16" ht="18.95" customHeight="1">
      <c r="A527" s="7" t="s">
        <v>1489</v>
      </c>
      <c r="B527" s="7" t="s">
        <v>1490</v>
      </c>
      <c r="C527" s="7" t="s">
        <v>578</v>
      </c>
      <c r="D527" s="7" t="s">
        <v>97</v>
      </c>
      <c r="E527" s="7" t="s">
        <v>47</v>
      </c>
      <c r="F527" s="7" t="s">
        <v>98</v>
      </c>
      <c r="G527" s="7" t="s">
        <v>1491</v>
      </c>
      <c r="I527" s="1">
        <f t="shared" si="40"/>
        <v>1</v>
      </c>
      <c r="J527" s="1" t="str">
        <f>'Source build'!A527</f>
        <v>L00521</v>
      </c>
      <c r="K527" s="1">
        <f>527</f>
        <v>527</v>
      </c>
      <c r="L527" s="10">
        <f t="shared" si="41"/>
        <v>7739</v>
      </c>
      <c r="M527" s="1">
        <f t="shared" si="42"/>
        <v>1</v>
      </c>
      <c r="N527" s="1">
        <f t="shared" si="43"/>
        <v>1</v>
      </c>
      <c r="O527" s="1" t="str">
        <f>IF(I527=0,"UNUSED",IF(A527="","MISSING ID",IF(K527=0,"UNEXPECTED ID",IF(N527&lt;&gt;1,"ID / ORDER DIFFERENCE",IF('Source build'!U527&lt;&gt;"INCLUDED","EXCLUDED SOURCE",IF(NOT(M527),"INVALID AMOUNT",IF('Source build'!Y527&lt;&gt;0,"CHANGED FIELDS","MATCH")))))))</f>
        <v>MATCH</v>
      </c>
      <c r="P527" s="1" t="str">
        <f t="shared" si="44"/>
        <v>2026-01</v>
      </c>
    </row>
    <row r="528" spans="1:16" ht="18.95" customHeight="1">
      <c r="A528" s="7" t="s">
        <v>1492</v>
      </c>
      <c r="B528" s="7" t="s">
        <v>1490</v>
      </c>
      <c r="C528" s="7" t="s">
        <v>578</v>
      </c>
      <c r="D528" s="7" t="s">
        <v>103</v>
      </c>
      <c r="E528" s="7" t="s">
        <v>48</v>
      </c>
      <c r="F528" s="7" t="s">
        <v>98</v>
      </c>
      <c r="G528" s="7" t="s">
        <v>1493</v>
      </c>
      <c r="I528" s="1">
        <f t="shared" si="40"/>
        <v>1</v>
      </c>
      <c r="J528" s="1" t="str">
        <f>'Source build'!A528</f>
        <v>L00522</v>
      </c>
      <c r="K528" s="1">
        <f>528</f>
        <v>528</v>
      </c>
      <c r="L528" s="10">
        <f t="shared" si="41"/>
        <v>23328</v>
      </c>
      <c r="M528" s="1">
        <f t="shared" si="42"/>
        <v>1</v>
      </c>
      <c r="N528" s="1">
        <f t="shared" si="43"/>
        <v>1</v>
      </c>
      <c r="O528" s="1" t="str">
        <f>IF(I528=0,"UNUSED",IF(A528="","MISSING ID",IF(K528=0,"UNEXPECTED ID",IF(N528&lt;&gt;1,"ID / ORDER DIFFERENCE",IF('Source build'!U528&lt;&gt;"INCLUDED","EXCLUDED SOURCE",IF(NOT(M528),"INVALID AMOUNT",IF('Source build'!Y528&lt;&gt;0,"CHANGED FIELDS","MATCH")))))))</f>
        <v>MATCH</v>
      </c>
      <c r="P528" s="1" t="str">
        <f t="shared" si="44"/>
        <v>2026-01</v>
      </c>
    </row>
    <row r="529" spans="1:16" ht="18.95" customHeight="1">
      <c r="A529" s="7" t="s">
        <v>1494</v>
      </c>
      <c r="B529" s="7" t="s">
        <v>1495</v>
      </c>
      <c r="C529" s="7" t="s">
        <v>584</v>
      </c>
      <c r="D529" s="7" t="s">
        <v>93</v>
      </c>
      <c r="E529" s="7" t="s">
        <v>46</v>
      </c>
      <c r="F529" s="7" t="s">
        <v>98</v>
      </c>
      <c r="G529" s="7" t="s">
        <v>1496</v>
      </c>
      <c r="I529" s="1">
        <f t="shared" si="40"/>
        <v>1</v>
      </c>
      <c r="J529" s="1" t="str">
        <f>'Source build'!A529</f>
        <v>L00523</v>
      </c>
      <c r="K529" s="1">
        <f>529</f>
        <v>529</v>
      </c>
      <c r="L529" s="10">
        <f t="shared" si="41"/>
        <v>39065</v>
      </c>
      <c r="M529" s="1">
        <f t="shared" si="42"/>
        <v>1</v>
      </c>
      <c r="N529" s="1">
        <f t="shared" si="43"/>
        <v>1</v>
      </c>
      <c r="O529" s="1" t="str">
        <f>IF(I529=0,"UNUSED",IF(A529="","MISSING ID",IF(K529=0,"UNEXPECTED ID",IF(N529&lt;&gt;1,"ID / ORDER DIFFERENCE",IF('Source build'!U529&lt;&gt;"INCLUDED","EXCLUDED SOURCE",IF(NOT(M529),"INVALID AMOUNT",IF('Source build'!Y529&lt;&gt;0,"CHANGED FIELDS","MATCH")))))))</f>
        <v>MATCH</v>
      </c>
      <c r="P529" s="1" t="str">
        <f t="shared" si="44"/>
        <v>2026-01</v>
      </c>
    </row>
    <row r="530" spans="1:16" ht="18.95" customHeight="1">
      <c r="A530" s="7" t="s">
        <v>1497</v>
      </c>
      <c r="B530" s="7" t="s">
        <v>1495</v>
      </c>
      <c r="C530" s="7" t="s">
        <v>584</v>
      </c>
      <c r="D530" s="7" t="s">
        <v>97</v>
      </c>
      <c r="E530" s="7" t="s">
        <v>47</v>
      </c>
      <c r="F530" s="7" t="s">
        <v>98</v>
      </c>
      <c r="G530" s="7" t="s">
        <v>1498</v>
      </c>
      <c r="I530" s="1">
        <f t="shared" si="40"/>
        <v>1</v>
      </c>
      <c r="J530" s="1" t="str">
        <f>'Source build'!A530</f>
        <v>L00524</v>
      </c>
      <c r="K530" s="1">
        <f>530</f>
        <v>530</v>
      </c>
      <c r="L530" s="10">
        <f t="shared" si="41"/>
        <v>15700</v>
      </c>
      <c r="M530" s="1">
        <f t="shared" si="42"/>
        <v>1</v>
      </c>
      <c r="N530" s="1">
        <f t="shared" si="43"/>
        <v>1</v>
      </c>
      <c r="O530" s="1" t="str">
        <f>IF(I530=0,"UNUSED",IF(A530="","MISSING ID",IF(K530=0,"UNEXPECTED ID",IF(N530&lt;&gt;1,"ID / ORDER DIFFERENCE",IF('Source build'!U530&lt;&gt;"INCLUDED","EXCLUDED SOURCE",IF(NOT(M530),"INVALID AMOUNT",IF('Source build'!Y530&lt;&gt;0,"CHANGED FIELDS","MATCH")))))))</f>
        <v>MATCH</v>
      </c>
      <c r="P530" s="1" t="str">
        <f t="shared" si="44"/>
        <v>2026-01</v>
      </c>
    </row>
    <row r="531" spans="1:16" ht="18.95" customHeight="1">
      <c r="A531" s="7" t="s">
        <v>1499</v>
      </c>
      <c r="B531" s="7" t="s">
        <v>1500</v>
      </c>
      <c r="C531" s="7" t="s">
        <v>590</v>
      </c>
      <c r="D531" s="7" t="s">
        <v>103</v>
      </c>
      <c r="E531" s="7" t="s">
        <v>48</v>
      </c>
      <c r="F531" s="7" t="s">
        <v>98</v>
      </c>
      <c r="G531" s="7" t="s">
        <v>1501</v>
      </c>
      <c r="I531" s="1">
        <f t="shared" si="40"/>
        <v>1</v>
      </c>
      <c r="J531" s="1" t="str">
        <f>'Source build'!A531</f>
        <v>L00525</v>
      </c>
      <c r="K531" s="1">
        <f>531</f>
        <v>531</v>
      </c>
      <c r="L531" s="10">
        <f t="shared" si="41"/>
        <v>31548</v>
      </c>
      <c r="M531" s="1">
        <f t="shared" si="42"/>
        <v>1</v>
      </c>
      <c r="N531" s="1">
        <f t="shared" si="43"/>
        <v>1</v>
      </c>
      <c r="O531" s="1" t="str">
        <f>IF(I531=0,"UNUSED",IF(A531="","MISSING ID",IF(K531=0,"UNEXPECTED ID",IF(N531&lt;&gt;1,"ID / ORDER DIFFERENCE",IF('Source build'!U531&lt;&gt;"INCLUDED","EXCLUDED SOURCE",IF(NOT(M531),"INVALID AMOUNT",IF('Source build'!Y531&lt;&gt;0,"CHANGED FIELDS","MATCH")))))))</f>
        <v>MATCH</v>
      </c>
      <c r="P531" s="1" t="str">
        <f t="shared" si="44"/>
        <v>2026-02</v>
      </c>
    </row>
    <row r="532" spans="1:16" ht="18.95" customHeight="1">
      <c r="A532" s="7" t="s">
        <v>1502</v>
      </c>
      <c r="B532" s="7" t="s">
        <v>1500</v>
      </c>
      <c r="C532" s="7" t="s">
        <v>590</v>
      </c>
      <c r="D532" s="7" t="s">
        <v>93</v>
      </c>
      <c r="E532" s="7" t="s">
        <v>46</v>
      </c>
      <c r="F532" s="7" t="s">
        <v>98</v>
      </c>
      <c r="G532" s="7" t="s">
        <v>1503</v>
      </c>
      <c r="I532" s="1">
        <f t="shared" si="40"/>
        <v>1</v>
      </c>
      <c r="J532" s="1" t="str">
        <f>'Source build'!A532</f>
        <v>L00526</v>
      </c>
      <c r="K532" s="1">
        <f>532</f>
        <v>532</v>
      </c>
      <c r="L532" s="10">
        <f t="shared" si="41"/>
        <v>7924</v>
      </c>
      <c r="M532" s="1">
        <f t="shared" si="42"/>
        <v>1</v>
      </c>
      <c r="N532" s="1">
        <f t="shared" si="43"/>
        <v>1</v>
      </c>
      <c r="O532" s="1" t="str">
        <f>IF(I532=0,"UNUSED",IF(A532="","MISSING ID",IF(K532=0,"UNEXPECTED ID",IF(N532&lt;&gt;1,"ID / ORDER DIFFERENCE",IF('Source build'!U532&lt;&gt;"INCLUDED","EXCLUDED SOURCE",IF(NOT(M532),"INVALID AMOUNT",IF('Source build'!Y532&lt;&gt;0,"CHANGED FIELDS","MATCH")))))))</f>
        <v>MATCH</v>
      </c>
      <c r="P532" s="1" t="str">
        <f t="shared" si="44"/>
        <v>2026-02</v>
      </c>
    </row>
    <row r="533" spans="1:16" ht="18.95" customHeight="1">
      <c r="A533" s="7" t="s">
        <v>1504</v>
      </c>
      <c r="B533" s="7" t="s">
        <v>1505</v>
      </c>
      <c r="C533" s="7" t="s">
        <v>596</v>
      </c>
      <c r="D533" s="7" t="s">
        <v>97</v>
      </c>
      <c r="E533" s="7" t="s">
        <v>47</v>
      </c>
      <c r="F533" s="7" t="s">
        <v>98</v>
      </c>
      <c r="G533" s="7" t="s">
        <v>1506</v>
      </c>
      <c r="I533" s="1">
        <f t="shared" si="40"/>
        <v>1</v>
      </c>
      <c r="J533" s="1" t="str">
        <f>'Source build'!A533</f>
        <v>L00527</v>
      </c>
      <c r="K533" s="1">
        <f>533</f>
        <v>533</v>
      </c>
      <c r="L533" s="10">
        <f t="shared" si="41"/>
        <v>23883</v>
      </c>
      <c r="M533" s="1">
        <f t="shared" si="42"/>
        <v>1</v>
      </c>
      <c r="N533" s="1">
        <f t="shared" si="43"/>
        <v>1</v>
      </c>
      <c r="O533" s="1" t="str">
        <f>IF(I533=0,"UNUSED",IF(A533="","MISSING ID",IF(K533=0,"UNEXPECTED ID",IF(N533&lt;&gt;1,"ID / ORDER DIFFERENCE",IF('Source build'!U533&lt;&gt;"INCLUDED","EXCLUDED SOURCE",IF(NOT(M533),"INVALID AMOUNT",IF('Source build'!Y533&lt;&gt;0,"CHANGED FIELDS","MATCH")))))))</f>
        <v>MATCH</v>
      </c>
      <c r="P533" s="1" t="str">
        <f t="shared" si="44"/>
        <v>2026-02</v>
      </c>
    </row>
    <row r="534" spans="1:16" ht="18.95" customHeight="1">
      <c r="A534" s="7" t="s">
        <v>1507</v>
      </c>
      <c r="B534" s="7" t="s">
        <v>1505</v>
      </c>
      <c r="C534" s="7" t="s">
        <v>596</v>
      </c>
      <c r="D534" s="7" t="s">
        <v>103</v>
      </c>
      <c r="E534" s="7" t="s">
        <v>48</v>
      </c>
      <c r="F534" s="7" t="s">
        <v>98</v>
      </c>
      <c r="G534" s="7" t="s">
        <v>1508</v>
      </c>
      <c r="I534" s="1">
        <f t="shared" si="40"/>
        <v>1</v>
      </c>
      <c r="J534" s="1" t="str">
        <f>'Source build'!A534</f>
        <v>L00528</v>
      </c>
      <c r="K534" s="1">
        <f>534</f>
        <v>534</v>
      </c>
      <c r="L534" s="10">
        <f t="shared" si="41"/>
        <v>39990</v>
      </c>
      <c r="M534" s="1">
        <f t="shared" si="42"/>
        <v>1</v>
      </c>
      <c r="N534" s="1">
        <f t="shared" si="43"/>
        <v>1</v>
      </c>
      <c r="O534" s="1" t="str">
        <f>IF(I534=0,"UNUSED",IF(A534="","MISSING ID",IF(K534=0,"UNEXPECTED ID",IF(N534&lt;&gt;1,"ID / ORDER DIFFERENCE",IF('Source build'!U534&lt;&gt;"INCLUDED","EXCLUDED SOURCE",IF(NOT(M534),"INVALID AMOUNT",IF('Source build'!Y534&lt;&gt;0,"CHANGED FIELDS","MATCH")))))))</f>
        <v>MATCH</v>
      </c>
      <c r="P534" s="1" t="str">
        <f t="shared" si="44"/>
        <v>2026-02</v>
      </c>
    </row>
    <row r="535" spans="1:16" ht="18.95" customHeight="1">
      <c r="A535" s="7" t="s">
        <v>1509</v>
      </c>
      <c r="B535" s="7" t="s">
        <v>1510</v>
      </c>
      <c r="C535" s="7" t="s">
        <v>602</v>
      </c>
      <c r="D535" s="7" t="s">
        <v>93</v>
      </c>
      <c r="E535" s="7" t="s">
        <v>46</v>
      </c>
      <c r="F535" s="7" t="s">
        <v>98</v>
      </c>
      <c r="G535" s="7" t="s">
        <v>1511</v>
      </c>
      <c r="I535" s="1">
        <f t="shared" si="40"/>
        <v>1</v>
      </c>
      <c r="J535" s="1" t="str">
        <f>'Source build'!A535</f>
        <v>L00529</v>
      </c>
      <c r="K535" s="1">
        <f>535</f>
        <v>535</v>
      </c>
      <c r="L535" s="10">
        <f t="shared" si="41"/>
        <v>16070</v>
      </c>
      <c r="M535" s="1">
        <f t="shared" si="42"/>
        <v>1</v>
      </c>
      <c r="N535" s="1">
        <f t="shared" si="43"/>
        <v>1</v>
      </c>
      <c r="O535" s="1" t="str">
        <f>IF(I535=0,"UNUSED",IF(A535="","MISSING ID",IF(K535=0,"UNEXPECTED ID",IF(N535&lt;&gt;1,"ID / ORDER DIFFERENCE",IF('Source build'!U535&lt;&gt;"INCLUDED","EXCLUDED SOURCE",IF(NOT(M535),"INVALID AMOUNT",IF('Source build'!Y535&lt;&gt;0,"CHANGED FIELDS","MATCH")))))))</f>
        <v>MATCH</v>
      </c>
      <c r="P535" s="1" t="str">
        <f t="shared" si="44"/>
        <v>2026-02</v>
      </c>
    </row>
    <row r="536" spans="1:16" ht="18.95" customHeight="1">
      <c r="A536" s="7" t="s">
        <v>1512</v>
      </c>
      <c r="B536" s="7" t="s">
        <v>1510</v>
      </c>
      <c r="C536" s="7" t="s">
        <v>602</v>
      </c>
      <c r="D536" s="7" t="s">
        <v>97</v>
      </c>
      <c r="E536" s="7" t="s">
        <v>47</v>
      </c>
      <c r="F536" s="7" t="s">
        <v>94</v>
      </c>
      <c r="G536" s="7" t="s">
        <v>1513</v>
      </c>
      <c r="I536" s="1">
        <f t="shared" si="40"/>
        <v>1</v>
      </c>
      <c r="J536" s="1" t="str">
        <f>'Source build'!A536</f>
        <v>L00530</v>
      </c>
      <c r="K536" s="1">
        <f>536</f>
        <v>536</v>
      </c>
      <c r="L536" s="10">
        <f t="shared" si="41"/>
        <v>-32288</v>
      </c>
      <c r="M536" s="1">
        <f t="shared" si="42"/>
        <v>1</v>
      </c>
      <c r="N536" s="1">
        <f t="shared" si="43"/>
        <v>1</v>
      </c>
      <c r="O536" s="1" t="str">
        <f>IF(I536=0,"UNUSED",IF(A536="","MISSING ID",IF(K536=0,"UNEXPECTED ID",IF(N536&lt;&gt;1,"ID / ORDER DIFFERENCE",IF('Source build'!U536&lt;&gt;"INCLUDED","EXCLUDED SOURCE",IF(NOT(M536),"INVALID AMOUNT",IF('Source build'!Y536&lt;&gt;0,"CHANGED FIELDS","MATCH")))))))</f>
        <v>MATCH</v>
      </c>
      <c r="P536" s="1" t="str">
        <f t="shared" si="44"/>
        <v>2026-02</v>
      </c>
    </row>
    <row r="537" spans="1:16" ht="18.95" customHeight="1">
      <c r="A537" s="7" t="s">
        <v>1514</v>
      </c>
      <c r="B537" s="7" t="s">
        <v>1515</v>
      </c>
      <c r="C537" s="7" t="s">
        <v>611</v>
      </c>
      <c r="D537" s="7" t="s">
        <v>103</v>
      </c>
      <c r="E537" s="7" t="s">
        <v>48</v>
      </c>
      <c r="F537" s="7" t="s">
        <v>98</v>
      </c>
      <c r="G537" s="7" t="s">
        <v>1516</v>
      </c>
      <c r="I537" s="1">
        <f t="shared" si="40"/>
        <v>1</v>
      </c>
      <c r="J537" s="1" t="str">
        <f>'Source build'!A537</f>
        <v>L00531</v>
      </c>
      <c r="K537" s="1">
        <f>537</f>
        <v>537</v>
      </c>
      <c r="L537" s="10">
        <f t="shared" si="41"/>
        <v>8109</v>
      </c>
      <c r="M537" s="1">
        <f t="shared" si="42"/>
        <v>1</v>
      </c>
      <c r="N537" s="1">
        <f t="shared" si="43"/>
        <v>1</v>
      </c>
      <c r="O537" s="1" t="str">
        <f>IF(I537=0,"UNUSED",IF(A537="","MISSING ID",IF(K537=0,"UNEXPECTED ID",IF(N537&lt;&gt;1,"ID / ORDER DIFFERENCE",IF('Source build'!U537&lt;&gt;"INCLUDED","EXCLUDED SOURCE",IF(NOT(M537),"INVALID AMOUNT",IF('Source build'!Y537&lt;&gt;0,"CHANGED FIELDS","MATCH")))))))</f>
        <v>MATCH</v>
      </c>
      <c r="P537" s="1" t="str">
        <f t="shared" si="44"/>
        <v>2026-02</v>
      </c>
    </row>
    <row r="538" spans="1:16" ht="18.95" customHeight="1">
      <c r="A538" s="7" t="s">
        <v>1517</v>
      </c>
      <c r="B538" s="7" t="s">
        <v>1515</v>
      </c>
      <c r="C538" s="7" t="s">
        <v>611</v>
      </c>
      <c r="D538" s="7" t="s">
        <v>93</v>
      </c>
      <c r="E538" s="7" t="s">
        <v>46</v>
      </c>
      <c r="F538" s="7" t="s">
        <v>98</v>
      </c>
      <c r="G538" s="7" t="s">
        <v>1518</v>
      </c>
      <c r="I538" s="1">
        <f t="shared" si="40"/>
        <v>1</v>
      </c>
      <c r="J538" s="1" t="str">
        <f>'Source build'!A538</f>
        <v>L00532</v>
      </c>
      <c r="K538" s="1">
        <f>538</f>
        <v>538</v>
      </c>
      <c r="L538" s="10">
        <f t="shared" si="41"/>
        <v>24438</v>
      </c>
      <c r="M538" s="1">
        <f t="shared" si="42"/>
        <v>1</v>
      </c>
      <c r="N538" s="1">
        <f t="shared" si="43"/>
        <v>1</v>
      </c>
      <c r="O538" s="1" t="str">
        <f>IF(I538=0,"UNUSED",IF(A538="","MISSING ID",IF(K538=0,"UNEXPECTED ID",IF(N538&lt;&gt;1,"ID / ORDER DIFFERENCE",IF('Source build'!U538&lt;&gt;"INCLUDED","EXCLUDED SOURCE",IF(NOT(M538),"INVALID AMOUNT",IF('Source build'!Y538&lt;&gt;0,"CHANGED FIELDS","MATCH")))))))</f>
        <v>MATCH</v>
      </c>
      <c r="P538" s="1" t="str">
        <f t="shared" si="44"/>
        <v>2026-02</v>
      </c>
    </row>
    <row r="539" spans="1:16" ht="18.95" customHeight="1">
      <c r="A539" s="7" t="s">
        <v>1519</v>
      </c>
      <c r="B539" s="7" t="s">
        <v>1520</v>
      </c>
      <c r="C539" s="7" t="s">
        <v>615</v>
      </c>
      <c r="D539" s="7" t="s">
        <v>97</v>
      </c>
      <c r="E539" s="7" t="s">
        <v>47</v>
      </c>
      <c r="F539" s="7" t="s">
        <v>98</v>
      </c>
      <c r="G539" s="7" t="s">
        <v>1521</v>
      </c>
      <c r="I539" s="1">
        <f t="shared" si="40"/>
        <v>1</v>
      </c>
      <c r="J539" s="1" t="str">
        <f>'Source build'!A539</f>
        <v>L00533</v>
      </c>
      <c r="K539" s="1">
        <f>539</f>
        <v>539</v>
      </c>
      <c r="L539" s="10">
        <f t="shared" si="41"/>
        <v>40915</v>
      </c>
      <c r="M539" s="1">
        <f t="shared" si="42"/>
        <v>1</v>
      </c>
      <c r="N539" s="1">
        <f t="shared" si="43"/>
        <v>1</v>
      </c>
      <c r="O539" s="1" t="str">
        <f>IF(I539=0,"UNUSED",IF(A539="","MISSING ID",IF(K539=0,"UNEXPECTED ID",IF(N539&lt;&gt;1,"ID / ORDER DIFFERENCE",IF('Source build'!U539&lt;&gt;"INCLUDED","EXCLUDED SOURCE",IF(NOT(M539),"INVALID AMOUNT",IF('Source build'!Y539&lt;&gt;0,"CHANGED FIELDS","MATCH")))))))</f>
        <v>MATCH</v>
      </c>
      <c r="P539" s="1" t="str">
        <f t="shared" si="44"/>
        <v>2026-03</v>
      </c>
    </row>
    <row r="540" spans="1:16" ht="18.95" customHeight="1">
      <c r="A540" s="7" t="s">
        <v>1522</v>
      </c>
      <c r="B540" s="7" t="s">
        <v>1520</v>
      </c>
      <c r="C540" s="7" t="s">
        <v>615</v>
      </c>
      <c r="D540" s="7" t="s">
        <v>103</v>
      </c>
      <c r="E540" s="7" t="s">
        <v>48</v>
      </c>
      <c r="F540" s="7" t="s">
        <v>98</v>
      </c>
      <c r="G540" s="7" t="s">
        <v>1523</v>
      </c>
      <c r="I540" s="1">
        <f t="shared" si="40"/>
        <v>1</v>
      </c>
      <c r="J540" s="1" t="str">
        <f>'Source build'!A540</f>
        <v>L00534</v>
      </c>
      <c r="K540" s="1">
        <f>540</f>
        <v>540</v>
      </c>
      <c r="L540" s="10">
        <f t="shared" si="41"/>
        <v>16440</v>
      </c>
      <c r="M540" s="1">
        <f t="shared" si="42"/>
        <v>1</v>
      </c>
      <c r="N540" s="1">
        <f t="shared" si="43"/>
        <v>1</v>
      </c>
      <c r="O540" s="1" t="str">
        <f>IF(I540=0,"UNUSED",IF(A540="","MISSING ID",IF(K540=0,"UNEXPECTED ID",IF(N540&lt;&gt;1,"ID / ORDER DIFFERENCE",IF('Source build'!U540&lt;&gt;"INCLUDED","EXCLUDED SOURCE",IF(NOT(M540),"INVALID AMOUNT",IF('Source build'!Y540&lt;&gt;0,"CHANGED FIELDS","MATCH")))))))</f>
        <v>MATCH</v>
      </c>
      <c r="P540" s="1" t="str">
        <f t="shared" si="44"/>
        <v>2026-03</v>
      </c>
    </row>
    <row r="541" spans="1:16" ht="18.95" customHeight="1">
      <c r="A541" s="7" t="s">
        <v>1524</v>
      </c>
      <c r="B541" s="7" t="s">
        <v>1525</v>
      </c>
      <c r="C541" s="7" t="s">
        <v>621</v>
      </c>
      <c r="D541" s="7" t="s">
        <v>93</v>
      </c>
      <c r="E541" s="7" t="s">
        <v>46</v>
      </c>
      <c r="F541" s="7" t="s">
        <v>98</v>
      </c>
      <c r="G541" s="7" t="s">
        <v>1526</v>
      </c>
      <c r="I541" s="1">
        <f t="shared" si="40"/>
        <v>1</v>
      </c>
      <c r="J541" s="1" t="str">
        <f>'Source build'!A541</f>
        <v>L00535</v>
      </c>
      <c r="K541" s="1">
        <f>541</f>
        <v>541</v>
      </c>
      <c r="L541" s="10">
        <f t="shared" si="41"/>
        <v>33028</v>
      </c>
      <c r="M541" s="1">
        <f t="shared" si="42"/>
        <v>1</v>
      </c>
      <c r="N541" s="1">
        <f t="shared" si="43"/>
        <v>1</v>
      </c>
      <c r="O541" s="1" t="str">
        <f>IF(I541=0,"UNUSED",IF(A541="","MISSING ID",IF(K541=0,"UNEXPECTED ID",IF(N541&lt;&gt;1,"ID / ORDER DIFFERENCE",IF('Source build'!U541&lt;&gt;"INCLUDED","EXCLUDED SOURCE",IF(NOT(M541),"INVALID AMOUNT",IF('Source build'!Y541&lt;&gt;0,"CHANGED FIELDS","MATCH")))))))</f>
        <v>MATCH</v>
      </c>
      <c r="P541" s="1" t="str">
        <f t="shared" si="44"/>
        <v>2026-03</v>
      </c>
    </row>
    <row r="542" spans="1:16" ht="18.95" customHeight="1">
      <c r="A542" s="7" t="s">
        <v>1527</v>
      </c>
      <c r="B542" s="7" t="s">
        <v>1525</v>
      </c>
      <c r="C542" s="7" t="s">
        <v>621</v>
      </c>
      <c r="D542" s="7" t="s">
        <v>97</v>
      </c>
      <c r="E542" s="7" t="s">
        <v>47</v>
      </c>
      <c r="F542" s="7" t="s">
        <v>98</v>
      </c>
      <c r="G542" s="7" t="s">
        <v>1528</v>
      </c>
      <c r="I542" s="1">
        <f t="shared" si="40"/>
        <v>1</v>
      </c>
      <c r="J542" s="1" t="str">
        <f>'Source build'!A542</f>
        <v>L00536</v>
      </c>
      <c r="K542" s="1">
        <f>542</f>
        <v>542</v>
      </c>
      <c r="L542" s="10">
        <f t="shared" si="41"/>
        <v>8294</v>
      </c>
      <c r="M542" s="1">
        <f t="shared" si="42"/>
        <v>1</v>
      </c>
      <c r="N542" s="1">
        <f t="shared" si="43"/>
        <v>1</v>
      </c>
      <c r="O542" s="1" t="str">
        <f>IF(I542=0,"UNUSED",IF(A542="","MISSING ID",IF(K542=0,"UNEXPECTED ID",IF(N542&lt;&gt;1,"ID / ORDER DIFFERENCE",IF('Source build'!U542&lt;&gt;"INCLUDED","EXCLUDED SOURCE",IF(NOT(M542),"INVALID AMOUNT",IF('Source build'!Y542&lt;&gt;0,"CHANGED FIELDS","MATCH")))))))</f>
        <v>MATCH</v>
      </c>
      <c r="P542" s="1" t="str">
        <f t="shared" si="44"/>
        <v>2026-03</v>
      </c>
    </row>
    <row r="543" spans="1:16" ht="18.95" customHeight="1">
      <c r="A543" s="7" t="s">
        <v>1529</v>
      </c>
      <c r="B543" s="7" t="s">
        <v>1530</v>
      </c>
      <c r="C543" s="7" t="s">
        <v>627</v>
      </c>
      <c r="D543" s="7" t="s">
        <v>103</v>
      </c>
      <c r="E543" s="7" t="s">
        <v>48</v>
      </c>
      <c r="F543" s="7" t="s">
        <v>98</v>
      </c>
      <c r="G543" s="7" t="s">
        <v>1531</v>
      </c>
      <c r="I543" s="1">
        <f t="shared" si="40"/>
        <v>1</v>
      </c>
      <c r="J543" s="1" t="str">
        <f>'Source build'!A543</f>
        <v>L00537</v>
      </c>
      <c r="K543" s="1">
        <f>543</f>
        <v>543</v>
      </c>
      <c r="L543" s="10">
        <f t="shared" si="41"/>
        <v>24993</v>
      </c>
      <c r="M543" s="1">
        <f t="shared" si="42"/>
        <v>1</v>
      </c>
      <c r="N543" s="1">
        <f t="shared" si="43"/>
        <v>1</v>
      </c>
      <c r="O543" s="1" t="str">
        <f>IF(I543=0,"UNUSED",IF(A543="","MISSING ID",IF(K543=0,"UNEXPECTED ID",IF(N543&lt;&gt;1,"ID / ORDER DIFFERENCE",IF('Source build'!U543&lt;&gt;"INCLUDED","EXCLUDED SOURCE",IF(NOT(M543),"INVALID AMOUNT",IF('Source build'!Y543&lt;&gt;0,"CHANGED FIELDS","MATCH")))))))</f>
        <v>MATCH</v>
      </c>
      <c r="P543" s="1" t="str">
        <f t="shared" si="44"/>
        <v>2026-03</v>
      </c>
    </row>
    <row r="544" spans="1:16" ht="18.95" customHeight="1">
      <c r="A544" s="7" t="s">
        <v>1532</v>
      </c>
      <c r="B544" s="7" t="s">
        <v>1530</v>
      </c>
      <c r="C544" s="7" t="s">
        <v>627</v>
      </c>
      <c r="D544" s="7" t="s">
        <v>93</v>
      </c>
      <c r="E544" s="7" t="s">
        <v>46</v>
      </c>
      <c r="F544" s="7" t="s">
        <v>98</v>
      </c>
      <c r="G544" s="7" t="s">
        <v>5136</v>
      </c>
      <c r="I544" s="1">
        <f t="shared" si="40"/>
        <v>1</v>
      </c>
      <c r="J544" s="1" t="str">
        <f>'Source build'!A544</f>
        <v>L00538</v>
      </c>
      <c r="K544" s="1">
        <f>544</f>
        <v>544</v>
      </c>
      <c r="L544" s="10">
        <f t="shared" si="41"/>
        <v>41840</v>
      </c>
      <c r="M544" s="1">
        <f t="shared" si="42"/>
        <v>1</v>
      </c>
      <c r="N544" s="1">
        <f t="shared" si="43"/>
        <v>1</v>
      </c>
      <c r="O544" s="1" t="str">
        <f>IF(I544=0,"UNUSED",IF(A544="","MISSING ID",IF(K544=0,"UNEXPECTED ID",IF(N544&lt;&gt;1,"ID / ORDER DIFFERENCE",IF('Source build'!U544&lt;&gt;"INCLUDED","EXCLUDED SOURCE",IF(NOT(M544),"INVALID AMOUNT",IF('Source build'!Y544&lt;&gt;0,"CHANGED FIELDS","MATCH")))))))</f>
        <v>MATCH</v>
      </c>
      <c r="P544" s="1" t="str">
        <f t="shared" si="44"/>
        <v>2026-03</v>
      </c>
    </row>
    <row r="545" spans="1:16" ht="18.95" customHeight="1">
      <c r="A545" s="7" t="s">
        <v>1534</v>
      </c>
      <c r="B545" s="7" t="s">
        <v>1535</v>
      </c>
      <c r="C545" s="7" t="s">
        <v>633</v>
      </c>
      <c r="D545" s="7" t="s">
        <v>97</v>
      </c>
      <c r="E545" s="7" t="s">
        <v>47</v>
      </c>
      <c r="F545" s="7" t="s">
        <v>98</v>
      </c>
      <c r="G545" s="7" t="s">
        <v>1536</v>
      </c>
      <c r="I545" s="1">
        <f t="shared" si="40"/>
        <v>1</v>
      </c>
      <c r="J545" s="1" t="str">
        <f>'Source build'!A545</f>
        <v>L00539</v>
      </c>
      <c r="K545" s="1">
        <f>545</f>
        <v>545</v>
      </c>
      <c r="L545" s="10">
        <f t="shared" si="41"/>
        <v>16810</v>
      </c>
      <c r="M545" s="1">
        <f t="shared" si="42"/>
        <v>1</v>
      </c>
      <c r="N545" s="1">
        <f t="shared" si="43"/>
        <v>1</v>
      </c>
      <c r="O545" s="1" t="str">
        <f>IF(I545=0,"UNUSED",IF(A545="","MISSING ID",IF(K545=0,"UNEXPECTED ID",IF(N545&lt;&gt;1,"ID / ORDER DIFFERENCE",IF('Source build'!U545&lt;&gt;"INCLUDED","EXCLUDED SOURCE",IF(NOT(M545),"INVALID AMOUNT",IF('Source build'!Y545&lt;&gt;0,"CHANGED FIELDS","MATCH")))))))</f>
        <v>MATCH</v>
      </c>
      <c r="P545" s="1" t="str">
        <f t="shared" si="44"/>
        <v>2026-03</v>
      </c>
    </row>
    <row r="546" spans="1:16" ht="18.95" customHeight="1">
      <c r="A546" s="7" t="s">
        <v>1537</v>
      </c>
      <c r="B546" s="7" t="s">
        <v>1535</v>
      </c>
      <c r="C546" s="7" t="s">
        <v>633</v>
      </c>
      <c r="D546" s="7" t="s">
        <v>103</v>
      </c>
      <c r="E546" s="7" t="s">
        <v>48</v>
      </c>
      <c r="F546" s="7" t="s">
        <v>98</v>
      </c>
      <c r="G546" s="7" t="s">
        <v>1538</v>
      </c>
      <c r="I546" s="1">
        <f t="shared" si="40"/>
        <v>1</v>
      </c>
      <c r="J546" s="1" t="str">
        <f>'Source build'!A546</f>
        <v>L00540</v>
      </c>
      <c r="K546" s="1">
        <f>546</f>
        <v>546</v>
      </c>
      <c r="L546" s="10">
        <f t="shared" si="41"/>
        <v>33768</v>
      </c>
      <c r="M546" s="1">
        <f t="shared" si="42"/>
        <v>1</v>
      </c>
      <c r="N546" s="1">
        <f t="shared" si="43"/>
        <v>1</v>
      </c>
      <c r="O546" s="1" t="str">
        <f>IF(I546=0,"UNUSED",IF(A546="","MISSING ID",IF(K546=0,"UNEXPECTED ID",IF(N546&lt;&gt;1,"ID / ORDER DIFFERENCE",IF('Source build'!U546&lt;&gt;"INCLUDED","EXCLUDED SOURCE",IF(NOT(M546),"INVALID AMOUNT",IF('Source build'!Y546&lt;&gt;0,"CHANGED FIELDS","MATCH")))))))</f>
        <v>MATCH</v>
      </c>
      <c r="P546" s="1" t="str">
        <f t="shared" si="44"/>
        <v>2026-03</v>
      </c>
    </row>
    <row r="547" spans="1:16" ht="18.95" customHeight="1">
      <c r="A547" s="7" t="s">
        <v>1539</v>
      </c>
      <c r="B547" s="7" t="s">
        <v>1540</v>
      </c>
      <c r="C547" s="7" t="s">
        <v>92</v>
      </c>
      <c r="D547" s="7" t="s">
        <v>93</v>
      </c>
      <c r="E547" s="7" t="s">
        <v>46</v>
      </c>
      <c r="F547" s="7" t="s">
        <v>98</v>
      </c>
      <c r="G547" s="7" t="s">
        <v>1541</v>
      </c>
      <c r="I547" s="1">
        <f t="shared" si="40"/>
        <v>1</v>
      </c>
      <c r="J547" s="1" t="str">
        <f>'Source build'!A547</f>
        <v>L00541</v>
      </c>
      <c r="K547" s="1">
        <f>547</f>
        <v>547</v>
      </c>
      <c r="L547" s="10">
        <f t="shared" si="41"/>
        <v>8479</v>
      </c>
      <c r="M547" s="1">
        <f t="shared" si="42"/>
        <v>1</v>
      </c>
      <c r="N547" s="1">
        <f t="shared" si="43"/>
        <v>1</v>
      </c>
      <c r="O547" s="1" t="str">
        <f>IF(I547=0,"UNUSED",IF(A547="","MISSING ID",IF(K547=0,"UNEXPECTED ID",IF(N547&lt;&gt;1,"ID / ORDER DIFFERENCE",IF('Source build'!U547&lt;&gt;"INCLUDED","EXCLUDED SOURCE",IF(NOT(M547),"INVALID AMOUNT",IF('Source build'!Y547&lt;&gt;0,"CHANGED FIELDS","MATCH")))))))</f>
        <v>MATCH</v>
      </c>
      <c r="P547" s="1" t="str">
        <f t="shared" si="44"/>
        <v>2026-01</v>
      </c>
    </row>
    <row r="548" spans="1:16" ht="18.95" customHeight="1">
      <c r="A548" s="7" t="s">
        <v>1542</v>
      </c>
      <c r="B548" s="7" t="s">
        <v>1540</v>
      </c>
      <c r="C548" s="7" t="s">
        <v>92</v>
      </c>
      <c r="D548" s="7" t="s">
        <v>97</v>
      </c>
      <c r="E548" s="7" t="s">
        <v>47</v>
      </c>
      <c r="F548" s="7" t="s">
        <v>98</v>
      </c>
      <c r="G548" s="7" t="s">
        <v>1543</v>
      </c>
      <c r="I548" s="1">
        <f t="shared" si="40"/>
        <v>1</v>
      </c>
      <c r="J548" s="1" t="str">
        <f>'Source build'!A548</f>
        <v>L00542</v>
      </c>
      <c r="K548" s="1">
        <f>548</f>
        <v>548</v>
      </c>
      <c r="L548" s="10">
        <f t="shared" si="41"/>
        <v>25548</v>
      </c>
      <c r="M548" s="1">
        <f t="shared" si="42"/>
        <v>1</v>
      </c>
      <c r="N548" s="1">
        <f t="shared" si="43"/>
        <v>1</v>
      </c>
      <c r="O548" s="1" t="str">
        <f>IF(I548=0,"UNUSED",IF(A548="","MISSING ID",IF(K548=0,"UNEXPECTED ID",IF(N548&lt;&gt;1,"ID / ORDER DIFFERENCE",IF('Source build'!U548&lt;&gt;"INCLUDED","EXCLUDED SOURCE",IF(NOT(M548),"INVALID AMOUNT",IF('Source build'!Y548&lt;&gt;0,"CHANGED FIELDS","MATCH")))))))</f>
        <v>MATCH</v>
      </c>
      <c r="P548" s="1" t="str">
        <f t="shared" si="44"/>
        <v>2026-01</v>
      </c>
    </row>
    <row r="549" spans="1:16" ht="18.95" customHeight="1">
      <c r="A549" s="7" t="s">
        <v>1544</v>
      </c>
      <c r="B549" s="7" t="s">
        <v>1545</v>
      </c>
      <c r="C549" s="7" t="s">
        <v>102</v>
      </c>
      <c r="D549" s="7" t="s">
        <v>103</v>
      </c>
      <c r="E549" s="7" t="s">
        <v>48</v>
      </c>
      <c r="F549" s="7" t="s">
        <v>98</v>
      </c>
      <c r="G549" s="7" t="s">
        <v>1546</v>
      </c>
      <c r="I549" s="1">
        <f t="shared" si="40"/>
        <v>1</v>
      </c>
      <c r="J549" s="1" t="str">
        <f>'Source build'!A549</f>
        <v>L00543</v>
      </c>
      <c r="K549" s="1">
        <f>549</f>
        <v>549</v>
      </c>
      <c r="L549" s="10">
        <f t="shared" si="41"/>
        <v>42765</v>
      </c>
      <c r="M549" s="1">
        <f t="shared" si="42"/>
        <v>1</v>
      </c>
      <c r="N549" s="1">
        <f t="shared" si="43"/>
        <v>1</v>
      </c>
      <c r="O549" s="1" t="str">
        <f>IF(I549=0,"UNUSED",IF(A549="","MISSING ID",IF(K549=0,"UNEXPECTED ID",IF(N549&lt;&gt;1,"ID / ORDER DIFFERENCE",IF('Source build'!U549&lt;&gt;"INCLUDED","EXCLUDED SOURCE",IF(NOT(M549),"INVALID AMOUNT",IF('Source build'!Y549&lt;&gt;0,"CHANGED FIELDS","MATCH")))))))</f>
        <v>MATCH</v>
      </c>
      <c r="P549" s="1" t="str">
        <f t="shared" si="44"/>
        <v>2026-01</v>
      </c>
    </row>
    <row r="550" spans="1:16" ht="18.95" customHeight="1">
      <c r="A550" s="7" t="s">
        <v>1547</v>
      </c>
      <c r="B550" s="7" t="s">
        <v>1545</v>
      </c>
      <c r="C550" s="7" t="s">
        <v>102</v>
      </c>
      <c r="D550" s="7" t="s">
        <v>93</v>
      </c>
      <c r="E550" s="7" t="s">
        <v>46</v>
      </c>
      <c r="F550" s="7" t="s">
        <v>98</v>
      </c>
      <c r="G550" s="7" t="s">
        <v>1548</v>
      </c>
      <c r="I550" s="1">
        <f t="shared" si="40"/>
        <v>1</v>
      </c>
      <c r="J550" s="1" t="str">
        <f>'Source build'!A550</f>
        <v>L00544</v>
      </c>
      <c r="K550" s="1">
        <f>550</f>
        <v>550</v>
      </c>
      <c r="L550" s="10">
        <f t="shared" si="41"/>
        <v>17180</v>
      </c>
      <c r="M550" s="1">
        <f t="shared" si="42"/>
        <v>1</v>
      </c>
      <c r="N550" s="1">
        <f t="shared" si="43"/>
        <v>1</v>
      </c>
      <c r="O550" s="1" t="str">
        <f>IF(I550=0,"UNUSED",IF(A550="","MISSING ID",IF(K550=0,"UNEXPECTED ID",IF(N550&lt;&gt;1,"ID / ORDER DIFFERENCE",IF('Source build'!U550&lt;&gt;"INCLUDED","EXCLUDED SOURCE",IF(NOT(M550),"INVALID AMOUNT",IF('Source build'!Y550&lt;&gt;0,"CHANGED FIELDS","MATCH")))))))</f>
        <v>MATCH</v>
      </c>
      <c r="P550" s="1" t="str">
        <f t="shared" si="44"/>
        <v>2026-01</v>
      </c>
    </row>
    <row r="551" spans="1:16" ht="18.95" customHeight="1">
      <c r="A551" s="7" t="s">
        <v>1549</v>
      </c>
      <c r="B551" s="7" t="s">
        <v>1550</v>
      </c>
      <c r="C551" s="7" t="s">
        <v>109</v>
      </c>
      <c r="D551" s="7" t="s">
        <v>97</v>
      </c>
      <c r="E551" s="7" t="s">
        <v>47</v>
      </c>
      <c r="F551" s="7" t="s">
        <v>98</v>
      </c>
      <c r="G551" s="7" t="s">
        <v>1551</v>
      </c>
      <c r="I551" s="1">
        <f t="shared" si="40"/>
        <v>1</v>
      </c>
      <c r="J551" s="1" t="str">
        <f>'Source build'!A551</f>
        <v>L00545</v>
      </c>
      <c r="K551" s="1">
        <f>551</f>
        <v>551</v>
      </c>
      <c r="L551" s="10">
        <f t="shared" si="41"/>
        <v>34508</v>
      </c>
      <c r="M551" s="1">
        <f t="shared" si="42"/>
        <v>1</v>
      </c>
      <c r="N551" s="1">
        <f t="shared" si="43"/>
        <v>1</v>
      </c>
      <c r="O551" s="1" t="str">
        <f>IF(I551=0,"UNUSED",IF(A551="","MISSING ID",IF(K551=0,"UNEXPECTED ID",IF(N551&lt;&gt;1,"ID / ORDER DIFFERENCE",IF('Source build'!U551&lt;&gt;"INCLUDED","EXCLUDED SOURCE",IF(NOT(M551),"INVALID AMOUNT",IF('Source build'!Y551&lt;&gt;0,"CHANGED FIELDS","MATCH")))))))</f>
        <v>MATCH</v>
      </c>
      <c r="P551" s="1" t="str">
        <f t="shared" si="44"/>
        <v>2026-01</v>
      </c>
    </row>
    <row r="552" spans="1:16" ht="18.95" customHeight="1">
      <c r="A552" s="7" t="s">
        <v>1552</v>
      </c>
      <c r="B552" s="7" t="s">
        <v>1550</v>
      </c>
      <c r="C552" s="7" t="s">
        <v>109</v>
      </c>
      <c r="D552" s="7" t="s">
        <v>103</v>
      </c>
      <c r="E552" s="7" t="s">
        <v>48</v>
      </c>
      <c r="F552" s="7" t="s">
        <v>98</v>
      </c>
      <c r="G552" s="7" t="s">
        <v>1553</v>
      </c>
      <c r="I552" s="1">
        <f t="shared" si="40"/>
        <v>1</v>
      </c>
      <c r="J552" s="1" t="str">
        <f>'Source build'!A552</f>
        <v>L00546</v>
      </c>
      <c r="K552" s="1">
        <f>552</f>
        <v>552</v>
      </c>
      <c r="L552" s="10">
        <f t="shared" si="41"/>
        <v>8664</v>
      </c>
      <c r="M552" s="1">
        <f t="shared" si="42"/>
        <v>1</v>
      </c>
      <c r="N552" s="1">
        <f t="shared" si="43"/>
        <v>1</v>
      </c>
      <c r="O552" s="1" t="str">
        <f>IF(I552=0,"UNUSED",IF(A552="","MISSING ID",IF(K552=0,"UNEXPECTED ID",IF(N552&lt;&gt;1,"ID / ORDER DIFFERENCE",IF('Source build'!U552&lt;&gt;"INCLUDED","EXCLUDED SOURCE",IF(NOT(M552),"INVALID AMOUNT",IF('Source build'!Y552&lt;&gt;0,"CHANGED FIELDS","MATCH")))))))</f>
        <v>MATCH</v>
      </c>
      <c r="P552" s="1" t="str">
        <f t="shared" si="44"/>
        <v>2026-01</v>
      </c>
    </row>
    <row r="553" spans="1:16" ht="18.95" customHeight="1">
      <c r="A553" s="7" t="s">
        <v>1554</v>
      </c>
      <c r="B553" s="7" t="s">
        <v>1555</v>
      </c>
      <c r="C553" s="7" t="s">
        <v>115</v>
      </c>
      <c r="D553" s="7" t="s">
        <v>93</v>
      </c>
      <c r="E553" s="7" t="s">
        <v>46</v>
      </c>
      <c r="F553" s="7" t="s">
        <v>98</v>
      </c>
      <c r="G553" s="7" t="s">
        <v>1556</v>
      </c>
      <c r="I553" s="1">
        <f t="shared" si="40"/>
        <v>1</v>
      </c>
      <c r="J553" s="1" t="str">
        <f>'Source build'!A553</f>
        <v>L00547</v>
      </c>
      <c r="K553" s="1">
        <f>553</f>
        <v>553</v>
      </c>
      <c r="L553" s="10">
        <f t="shared" si="41"/>
        <v>26103</v>
      </c>
      <c r="M553" s="1">
        <f t="shared" si="42"/>
        <v>1</v>
      </c>
      <c r="N553" s="1">
        <f t="shared" si="43"/>
        <v>1</v>
      </c>
      <c r="O553" s="1" t="str">
        <f>IF(I553=0,"UNUSED",IF(A553="","MISSING ID",IF(K553=0,"UNEXPECTED ID",IF(N553&lt;&gt;1,"ID / ORDER DIFFERENCE",IF('Source build'!U553&lt;&gt;"INCLUDED","EXCLUDED SOURCE",IF(NOT(M553),"INVALID AMOUNT",IF('Source build'!Y553&lt;&gt;0,"CHANGED FIELDS","MATCH")))))))</f>
        <v>MATCH</v>
      </c>
      <c r="P553" s="1" t="str">
        <f t="shared" si="44"/>
        <v>2026-01</v>
      </c>
    </row>
    <row r="554" spans="1:16" ht="18.95" customHeight="1">
      <c r="A554" s="7" t="s">
        <v>1557</v>
      </c>
      <c r="B554" s="7" t="s">
        <v>1555</v>
      </c>
      <c r="C554" s="7" t="s">
        <v>115</v>
      </c>
      <c r="D554" s="7" t="s">
        <v>97</v>
      </c>
      <c r="E554" s="7" t="s">
        <v>47</v>
      </c>
      <c r="F554" s="7" t="s">
        <v>98</v>
      </c>
      <c r="G554" s="7" t="s">
        <v>1558</v>
      </c>
      <c r="I554" s="1">
        <f t="shared" si="40"/>
        <v>1</v>
      </c>
      <c r="J554" s="1" t="str">
        <f>'Source build'!A554</f>
        <v>L00548</v>
      </c>
      <c r="K554" s="1">
        <f>554</f>
        <v>554</v>
      </c>
      <c r="L554" s="10">
        <f t="shared" si="41"/>
        <v>43690</v>
      </c>
      <c r="M554" s="1">
        <f t="shared" si="42"/>
        <v>1</v>
      </c>
      <c r="N554" s="1">
        <f t="shared" si="43"/>
        <v>1</v>
      </c>
      <c r="O554" s="1" t="str">
        <f>IF(I554=0,"UNUSED",IF(A554="","MISSING ID",IF(K554=0,"UNEXPECTED ID",IF(N554&lt;&gt;1,"ID / ORDER DIFFERENCE",IF('Source build'!U554&lt;&gt;"INCLUDED","EXCLUDED SOURCE",IF(NOT(M554),"INVALID AMOUNT",IF('Source build'!Y554&lt;&gt;0,"CHANGED FIELDS","MATCH")))))))</f>
        <v>MATCH</v>
      </c>
      <c r="P554" s="1" t="str">
        <f t="shared" si="44"/>
        <v>2026-01</v>
      </c>
    </row>
    <row r="555" spans="1:16" ht="18.95" customHeight="1">
      <c r="A555" s="7" t="s">
        <v>1559</v>
      </c>
      <c r="B555" s="7" t="s">
        <v>1560</v>
      </c>
      <c r="C555" s="7" t="s">
        <v>121</v>
      </c>
      <c r="D555" s="7" t="s">
        <v>103</v>
      </c>
      <c r="E555" s="7" t="s">
        <v>48</v>
      </c>
      <c r="F555" s="7" t="s">
        <v>98</v>
      </c>
      <c r="G555" s="7" t="s">
        <v>1561</v>
      </c>
      <c r="I555" s="1">
        <f t="shared" si="40"/>
        <v>1</v>
      </c>
      <c r="J555" s="1" t="str">
        <f>'Source build'!A555</f>
        <v>L00549</v>
      </c>
      <c r="K555" s="1">
        <f>555</f>
        <v>555</v>
      </c>
      <c r="L555" s="10">
        <f t="shared" si="41"/>
        <v>17550</v>
      </c>
      <c r="M555" s="1">
        <f t="shared" si="42"/>
        <v>1</v>
      </c>
      <c r="N555" s="1">
        <f t="shared" si="43"/>
        <v>1</v>
      </c>
      <c r="O555" s="1" t="str">
        <f>IF(I555=0,"UNUSED",IF(A555="","MISSING ID",IF(K555=0,"UNEXPECTED ID",IF(N555&lt;&gt;1,"ID / ORDER DIFFERENCE",IF('Source build'!U555&lt;&gt;"INCLUDED","EXCLUDED SOURCE",IF(NOT(M555),"INVALID AMOUNT",IF('Source build'!Y555&lt;&gt;0,"CHANGED FIELDS","MATCH")))))))</f>
        <v>MATCH</v>
      </c>
      <c r="P555" s="1" t="str">
        <f t="shared" si="44"/>
        <v>2026-01</v>
      </c>
    </row>
    <row r="556" spans="1:16" ht="18.95" customHeight="1">
      <c r="A556" s="7" t="s">
        <v>1562</v>
      </c>
      <c r="B556" s="7" t="s">
        <v>1560</v>
      </c>
      <c r="C556" s="7" t="s">
        <v>121</v>
      </c>
      <c r="D556" s="7" t="s">
        <v>93</v>
      </c>
      <c r="E556" s="7" t="s">
        <v>46</v>
      </c>
      <c r="F556" s="7" t="s">
        <v>98</v>
      </c>
      <c r="G556" s="7" t="s">
        <v>1563</v>
      </c>
      <c r="I556" s="1">
        <f t="shared" si="40"/>
        <v>1</v>
      </c>
      <c r="J556" s="1" t="str">
        <f>'Source build'!A556</f>
        <v>L00550</v>
      </c>
      <c r="K556" s="1">
        <f>556</f>
        <v>556</v>
      </c>
      <c r="L556" s="10">
        <f t="shared" si="41"/>
        <v>35248</v>
      </c>
      <c r="M556" s="1">
        <f t="shared" si="42"/>
        <v>1</v>
      </c>
      <c r="N556" s="1">
        <f t="shared" si="43"/>
        <v>1</v>
      </c>
      <c r="O556" s="1" t="str">
        <f>IF(I556=0,"UNUSED",IF(A556="","MISSING ID",IF(K556=0,"UNEXPECTED ID",IF(N556&lt;&gt;1,"ID / ORDER DIFFERENCE",IF('Source build'!U556&lt;&gt;"INCLUDED","EXCLUDED SOURCE",IF(NOT(M556),"INVALID AMOUNT",IF('Source build'!Y556&lt;&gt;0,"CHANGED FIELDS","MATCH")))))))</f>
        <v>MATCH</v>
      </c>
      <c r="P556" s="1" t="str">
        <f t="shared" si="44"/>
        <v>2026-01</v>
      </c>
    </row>
    <row r="557" spans="1:16" ht="18.95" customHeight="1">
      <c r="A557" s="7" t="s">
        <v>1564</v>
      </c>
      <c r="B557" s="7" t="s">
        <v>1565</v>
      </c>
      <c r="C557" s="7" t="s">
        <v>127</v>
      </c>
      <c r="D557" s="7" t="s">
        <v>97</v>
      </c>
      <c r="E557" s="7" t="s">
        <v>47</v>
      </c>
      <c r="F557" s="7" t="s">
        <v>98</v>
      </c>
      <c r="G557" s="7" t="s">
        <v>1566</v>
      </c>
      <c r="I557" s="1">
        <f t="shared" si="40"/>
        <v>1</v>
      </c>
      <c r="J557" s="1" t="str">
        <f>'Source build'!A557</f>
        <v>L00551</v>
      </c>
      <c r="K557" s="1">
        <f>557</f>
        <v>557</v>
      </c>
      <c r="L557" s="10">
        <f t="shared" si="41"/>
        <v>8849</v>
      </c>
      <c r="M557" s="1">
        <f t="shared" si="42"/>
        <v>1</v>
      </c>
      <c r="N557" s="1">
        <f t="shared" si="43"/>
        <v>1</v>
      </c>
      <c r="O557" s="1" t="str">
        <f>IF(I557=0,"UNUSED",IF(A557="","MISSING ID",IF(K557=0,"UNEXPECTED ID",IF(N557&lt;&gt;1,"ID / ORDER DIFFERENCE",IF('Source build'!U557&lt;&gt;"INCLUDED","EXCLUDED SOURCE",IF(NOT(M557),"INVALID AMOUNT",IF('Source build'!Y557&lt;&gt;0,"CHANGED FIELDS","MATCH")))))))</f>
        <v>MATCH</v>
      </c>
      <c r="P557" s="1" t="str">
        <f t="shared" si="44"/>
        <v>2026-02</v>
      </c>
    </row>
    <row r="558" spans="1:16" ht="18.95" customHeight="1">
      <c r="A558" s="7" t="s">
        <v>1567</v>
      </c>
      <c r="B558" s="7" t="s">
        <v>1565</v>
      </c>
      <c r="C558" s="7" t="s">
        <v>127</v>
      </c>
      <c r="D558" s="7" t="s">
        <v>103</v>
      </c>
      <c r="E558" s="7" t="s">
        <v>48</v>
      </c>
      <c r="F558" s="7" t="s">
        <v>98</v>
      </c>
      <c r="G558" s="7" t="s">
        <v>1568</v>
      </c>
      <c r="I558" s="1">
        <f t="shared" si="40"/>
        <v>1</v>
      </c>
      <c r="J558" s="1" t="str">
        <f>'Source build'!A558</f>
        <v>L00552</v>
      </c>
      <c r="K558" s="1">
        <f>558</f>
        <v>558</v>
      </c>
      <c r="L558" s="10">
        <f t="shared" si="41"/>
        <v>26658</v>
      </c>
      <c r="M558" s="1">
        <f t="shared" si="42"/>
        <v>1</v>
      </c>
      <c r="N558" s="1">
        <f t="shared" si="43"/>
        <v>1</v>
      </c>
      <c r="O558" s="1" t="str">
        <f>IF(I558=0,"UNUSED",IF(A558="","MISSING ID",IF(K558=0,"UNEXPECTED ID",IF(N558&lt;&gt;1,"ID / ORDER DIFFERENCE",IF('Source build'!U558&lt;&gt;"INCLUDED","EXCLUDED SOURCE",IF(NOT(M558),"INVALID AMOUNT",IF('Source build'!Y558&lt;&gt;0,"CHANGED FIELDS","MATCH")))))))</f>
        <v>MATCH</v>
      </c>
      <c r="P558" s="1" t="str">
        <f t="shared" si="44"/>
        <v>2026-02</v>
      </c>
    </row>
    <row r="559" spans="1:16" ht="18.95" customHeight="1">
      <c r="A559" s="7" t="s">
        <v>1569</v>
      </c>
      <c r="B559" s="7" t="s">
        <v>1570</v>
      </c>
      <c r="C559" s="7" t="s">
        <v>133</v>
      </c>
      <c r="D559" s="7" t="s">
        <v>93</v>
      </c>
      <c r="E559" s="7" t="s">
        <v>46</v>
      </c>
      <c r="F559" s="7" t="s">
        <v>94</v>
      </c>
      <c r="G559" s="7" t="s">
        <v>1571</v>
      </c>
      <c r="I559" s="1">
        <f t="shared" si="40"/>
        <v>1</v>
      </c>
      <c r="J559" s="1" t="str">
        <f>'Source build'!A559</f>
        <v>L00553</v>
      </c>
      <c r="K559" s="1">
        <f>559</f>
        <v>559</v>
      </c>
      <c r="L559" s="10">
        <f t="shared" si="41"/>
        <v>-44615</v>
      </c>
      <c r="M559" s="1">
        <f t="shared" si="42"/>
        <v>1</v>
      </c>
      <c r="N559" s="1">
        <f t="shared" si="43"/>
        <v>1</v>
      </c>
      <c r="O559" s="1" t="str">
        <f>IF(I559=0,"UNUSED",IF(A559="","MISSING ID",IF(K559=0,"UNEXPECTED ID",IF(N559&lt;&gt;1,"ID / ORDER DIFFERENCE",IF('Source build'!U559&lt;&gt;"INCLUDED","EXCLUDED SOURCE",IF(NOT(M559),"INVALID AMOUNT",IF('Source build'!Y559&lt;&gt;0,"CHANGED FIELDS","MATCH")))))))</f>
        <v>MATCH</v>
      </c>
      <c r="P559" s="1" t="str">
        <f t="shared" si="44"/>
        <v>2026-02</v>
      </c>
    </row>
    <row r="560" spans="1:16" ht="18.95" customHeight="1">
      <c r="A560" s="7" t="s">
        <v>1572</v>
      </c>
      <c r="B560" s="7" t="s">
        <v>1570</v>
      </c>
      <c r="C560" s="7" t="s">
        <v>133</v>
      </c>
      <c r="D560" s="7" t="s">
        <v>97</v>
      </c>
      <c r="E560" s="7" t="s">
        <v>47</v>
      </c>
      <c r="F560" s="7" t="s">
        <v>98</v>
      </c>
      <c r="G560" s="7" t="s">
        <v>1573</v>
      </c>
      <c r="I560" s="1">
        <f t="shared" si="40"/>
        <v>1</v>
      </c>
      <c r="J560" s="1" t="str">
        <f>'Source build'!A560</f>
        <v>L00554</v>
      </c>
      <c r="K560" s="1">
        <f>560</f>
        <v>560</v>
      </c>
      <c r="L560" s="10">
        <f t="shared" si="41"/>
        <v>17920</v>
      </c>
      <c r="M560" s="1">
        <f t="shared" si="42"/>
        <v>1</v>
      </c>
      <c r="N560" s="1">
        <f t="shared" si="43"/>
        <v>1</v>
      </c>
      <c r="O560" s="1" t="str">
        <f>IF(I560=0,"UNUSED",IF(A560="","MISSING ID",IF(K560=0,"UNEXPECTED ID",IF(N560&lt;&gt;1,"ID / ORDER DIFFERENCE",IF('Source build'!U560&lt;&gt;"INCLUDED","EXCLUDED SOURCE",IF(NOT(M560),"INVALID AMOUNT",IF('Source build'!Y560&lt;&gt;0,"CHANGED FIELDS","MATCH")))))))</f>
        <v>MATCH</v>
      </c>
      <c r="P560" s="1" t="str">
        <f t="shared" si="44"/>
        <v>2026-02</v>
      </c>
    </row>
    <row r="561" spans="1:16" ht="18.95" customHeight="1">
      <c r="A561" s="7" t="s">
        <v>1574</v>
      </c>
      <c r="B561" s="7" t="s">
        <v>1575</v>
      </c>
      <c r="C561" s="7" t="s">
        <v>139</v>
      </c>
      <c r="D561" s="7" t="s">
        <v>103</v>
      </c>
      <c r="E561" s="7" t="s">
        <v>48</v>
      </c>
      <c r="F561" s="7" t="s">
        <v>98</v>
      </c>
      <c r="G561" s="7" t="s">
        <v>1576</v>
      </c>
      <c r="I561" s="1">
        <f t="shared" si="40"/>
        <v>1</v>
      </c>
      <c r="J561" s="1" t="str">
        <f>'Source build'!A561</f>
        <v>L00555</v>
      </c>
      <c r="K561" s="1">
        <f>561</f>
        <v>561</v>
      </c>
      <c r="L561" s="10">
        <f t="shared" si="41"/>
        <v>35988</v>
      </c>
      <c r="M561" s="1">
        <f t="shared" si="42"/>
        <v>1</v>
      </c>
      <c r="N561" s="1">
        <f t="shared" si="43"/>
        <v>1</v>
      </c>
      <c r="O561" s="1" t="str">
        <f>IF(I561=0,"UNUSED",IF(A561="","MISSING ID",IF(K561=0,"UNEXPECTED ID",IF(N561&lt;&gt;1,"ID / ORDER DIFFERENCE",IF('Source build'!U561&lt;&gt;"INCLUDED","EXCLUDED SOURCE",IF(NOT(M561),"INVALID AMOUNT",IF('Source build'!Y561&lt;&gt;0,"CHANGED FIELDS","MATCH")))))))</f>
        <v>MATCH</v>
      </c>
      <c r="P561" s="1" t="str">
        <f t="shared" si="44"/>
        <v>2026-02</v>
      </c>
    </row>
    <row r="562" spans="1:16" ht="18.95" customHeight="1">
      <c r="A562" s="7" t="s">
        <v>1577</v>
      </c>
      <c r="B562" s="7" t="s">
        <v>1575</v>
      </c>
      <c r="C562" s="7" t="s">
        <v>139</v>
      </c>
      <c r="D562" s="7" t="s">
        <v>93</v>
      </c>
      <c r="E562" s="7" t="s">
        <v>46</v>
      </c>
      <c r="F562" s="7" t="s">
        <v>98</v>
      </c>
      <c r="G562" s="7" t="s">
        <v>1578</v>
      </c>
      <c r="I562" s="1">
        <f t="shared" si="40"/>
        <v>1</v>
      </c>
      <c r="J562" s="1" t="str">
        <f>'Source build'!A562</f>
        <v>L00556</v>
      </c>
      <c r="K562" s="1">
        <f>562</f>
        <v>562</v>
      </c>
      <c r="L562" s="10">
        <f t="shared" si="41"/>
        <v>9034</v>
      </c>
      <c r="M562" s="1">
        <f t="shared" si="42"/>
        <v>1</v>
      </c>
      <c r="N562" s="1">
        <f t="shared" si="43"/>
        <v>1</v>
      </c>
      <c r="O562" s="1" t="str">
        <f>IF(I562=0,"UNUSED",IF(A562="","MISSING ID",IF(K562=0,"UNEXPECTED ID",IF(N562&lt;&gt;1,"ID / ORDER DIFFERENCE",IF('Source build'!U562&lt;&gt;"INCLUDED","EXCLUDED SOURCE",IF(NOT(M562),"INVALID AMOUNT",IF('Source build'!Y562&lt;&gt;0,"CHANGED FIELDS","MATCH")))))))</f>
        <v>MATCH</v>
      </c>
      <c r="P562" s="1" t="str">
        <f t="shared" si="44"/>
        <v>2026-02</v>
      </c>
    </row>
    <row r="563" spans="1:16" ht="18.95" customHeight="1">
      <c r="A563" s="7" t="s">
        <v>1579</v>
      </c>
      <c r="B563" s="7" t="s">
        <v>1580</v>
      </c>
      <c r="C563" s="7" t="s">
        <v>145</v>
      </c>
      <c r="D563" s="7" t="s">
        <v>97</v>
      </c>
      <c r="E563" s="7" t="s">
        <v>47</v>
      </c>
      <c r="F563" s="7" t="s">
        <v>98</v>
      </c>
      <c r="G563" s="7" t="s">
        <v>1581</v>
      </c>
      <c r="I563" s="1">
        <f t="shared" si="40"/>
        <v>1</v>
      </c>
      <c r="J563" s="1" t="str">
        <f>'Source build'!A563</f>
        <v>L00557</v>
      </c>
      <c r="K563" s="1">
        <f>563</f>
        <v>563</v>
      </c>
      <c r="L563" s="10">
        <f t="shared" si="41"/>
        <v>27213</v>
      </c>
      <c r="M563" s="1">
        <f t="shared" si="42"/>
        <v>1</v>
      </c>
      <c r="N563" s="1">
        <f t="shared" si="43"/>
        <v>1</v>
      </c>
      <c r="O563" s="1" t="str">
        <f>IF(I563=0,"UNUSED",IF(A563="","MISSING ID",IF(K563=0,"UNEXPECTED ID",IF(N563&lt;&gt;1,"ID / ORDER DIFFERENCE",IF('Source build'!U563&lt;&gt;"INCLUDED","EXCLUDED SOURCE",IF(NOT(M563),"INVALID AMOUNT",IF('Source build'!Y563&lt;&gt;0,"CHANGED FIELDS","MATCH")))))))</f>
        <v>MATCH</v>
      </c>
      <c r="P563" s="1" t="str">
        <f t="shared" si="44"/>
        <v>2026-02</v>
      </c>
    </row>
    <row r="564" spans="1:16" ht="18.95" customHeight="1">
      <c r="A564" s="7" t="s">
        <v>1582</v>
      </c>
      <c r="B564" s="7" t="s">
        <v>1580</v>
      </c>
      <c r="C564" s="7" t="s">
        <v>145</v>
      </c>
      <c r="D564" s="7" t="s">
        <v>103</v>
      </c>
      <c r="E564" s="7" t="s">
        <v>48</v>
      </c>
      <c r="F564" s="7" t="s">
        <v>98</v>
      </c>
      <c r="G564" s="7" t="s">
        <v>1583</v>
      </c>
      <c r="I564" s="1">
        <f t="shared" si="40"/>
        <v>1</v>
      </c>
      <c r="J564" s="1" t="str">
        <f>'Source build'!A564</f>
        <v>L00558</v>
      </c>
      <c r="K564" s="1">
        <f>564</f>
        <v>564</v>
      </c>
      <c r="L564" s="10">
        <f t="shared" si="41"/>
        <v>45540</v>
      </c>
      <c r="M564" s="1">
        <f t="shared" si="42"/>
        <v>1</v>
      </c>
      <c r="N564" s="1">
        <f t="shared" si="43"/>
        <v>1</v>
      </c>
      <c r="O564" s="1" t="str">
        <f>IF(I564=0,"UNUSED",IF(A564="","MISSING ID",IF(K564=0,"UNEXPECTED ID",IF(N564&lt;&gt;1,"ID / ORDER DIFFERENCE",IF('Source build'!U564&lt;&gt;"INCLUDED","EXCLUDED SOURCE",IF(NOT(M564),"INVALID AMOUNT",IF('Source build'!Y564&lt;&gt;0,"CHANGED FIELDS","MATCH")))))))</f>
        <v>MATCH</v>
      </c>
      <c r="P564" s="1" t="str">
        <f t="shared" si="44"/>
        <v>2026-02</v>
      </c>
    </row>
    <row r="565" spans="1:16" ht="18.95" customHeight="1">
      <c r="A565" s="7" t="s">
        <v>1584</v>
      </c>
      <c r="B565" s="7" t="s">
        <v>1585</v>
      </c>
      <c r="C565" s="7" t="s">
        <v>151</v>
      </c>
      <c r="D565" s="7" t="s">
        <v>93</v>
      </c>
      <c r="E565" s="7" t="s">
        <v>46</v>
      </c>
      <c r="F565" s="7" t="s">
        <v>98</v>
      </c>
      <c r="G565" s="7" t="s">
        <v>1586</v>
      </c>
      <c r="I565" s="1">
        <f t="shared" si="40"/>
        <v>1</v>
      </c>
      <c r="J565" s="1" t="str">
        <f>'Source build'!A565</f>
        <v>L00559</v>
      </c>
      <c r="K565" s="1">
        <f>565</f>
        <v>565</v>
      </c>
      <c r="L565" s="10">
        <f t="shared" si="41"/>
        <v>18290</v>
      </c>
      <c r="M565" s="1">
        <f t="shared" si="42"/>
        <v>1</v>
      </c>
      <c r="N565" s="1">
        <f t="shared" si="43"/>
        <v>1</v>
      </c>
      <c r="O565" s="1" t="str">
        <f>IF(I565=0,"UNUSED",IF(A565="","MISSING ID",IF(K565=0,"UNEXPECTED ID",IF(N565&lt;&gt;1,"ID / ORDER DIFFERENCE",IF('Source build'!U565&lt;&gt;"INCLUDED","EXCLUDED SOURCE",IF(NOT(M565),"INVALID AMOUNT",IF('Source build'!Y565&lt;&gt;0,"CHANGED FIELDS","MATCH")))))))</f>
        <v>MATCH</v>
      </c>
      <c r="P565" s="1" t="str">
        <f t="shared" si="44"/>
        <v>2026-03</v>
      </c>
    </row>
    <row r="566" spans="1:16" ht="18.95" customHeight="1">
      <c r="A566" s="7" t="s">
        <v>1587</v>
      </c>
      <c r="B566" s="7" t="s">
        <v>1585</v>
      </c>
      <c r="C566" s="7" t="s">
        <v>151</v>
      </c>
      <c r="D566" s="7" t="s">
        <v>97</v>
      </c>
      <c r="E566" s="7" t="s">
        <v>47</v>
      </c>
      <c r="F566" s="7" t="s">
        <v>98</v>
      </c>
      <c r="G566" s="7" t="s">
        <v>1588</v>
      </c>
      <c r="I566" s="1">
        <f t="shared" si="40"/>
        <v>1</v>
      </c>
      <c r="J566" s="1" t="str">
        <f>'Source build'!A566</f>
        <v>L00560</v>
      </c>
      <c r="K566" s="1">
        <f>566</f>
        <v>566</v>
      </c>
      <c r="L566" s="10">
        <f t="shared" si="41"/>
        <v>36728</v>
      </c>
      <c r="M566" s="1">
        <f t="shared" si="42"/>
        <v>1</v>
      </c>
      <c r="N566" s="1">
        <f t="shared" si="43"/>
        <v>1</v>
      </c>
      <c r="O566" s="1" t="str">
        <f>IF(I566=0,"UNUSED",IF(A566="","MISSING ID",IF(K566=0,"UNEXPECTED ID",IF(N566&lt;&gt;1,"ID / ORDER DIFFERENCE",IF('Source build'!U566&lt;&gt;"INCLUDED","EXCLUDED SOURCE",IF(NOT(M566),"INVALID AMOUNT",IF('Source build'!Y566&lt;&gt;0,"CHANGED FIELDS","MATCH")))))))</f>
        <v>MATCH</v>
      </c>
      <c r="P566" s="1" t="str">
        <f t="shared" si="44"/>
        <v>2026-03</v>
      </c>
    </row>
    <row r="567" spans="1:16" ht="18.95" customHeight="1">
      <c r="A567" s="7" t="s">
        <v>1589</v>
      </c>
      <c r="B567" s="7" t="s">
        <v>1590</v>
      </c>
      <c r="C567" s="7" t="s">
        <v>157</v>
      </c>
      <c r="D567" s="7" t="s">
        <v>103</v>
      </c>
      <c r="E567" s="7" t="s">
        <v>48</v>
      </c>
      <c r="F567" s="7" t="s">
        <v>98</v>
      </c>
      <c r="G567" s="7" t="s">
        <v>1591</v>
      </c>
      <c r="I567" s="1">
        <f t="shared" si="40"/>
        <v>1</v>
      </c>
      <c r="J567" s="1" t="str">
        <f>'Source build'!A567</f>
        <v>L00561</v>
      </c>
      <c r="K567" s="1">
        <f>567</f>
        <v>567</v>
      </c>
      <c r="L567" s="10">
        <f t="shared" si="41"/>
        <v>9219</v>
      </c>
      <c r="M567" s="1">
        <f t="shared" si="42"/>
        <v>1</v>
      </c>
      <c r="N567" s="1">
        <f t="shared" si="43"/>
        <v>1</v>
      </c>
      <c r="O567" s="1" t="str">
        <f>IF(I567=0,"UNUSED",IF(A567="","MISSING ID",IF(K567=0,"UNEXPECTED ID",IF(N567&lt;&gt;1,"ID / ORDER DIFFERENCE",IF('Source build'!U567&lt;&gt;"INCLUDED","EXCLUDED SOURCE",IF(NOT(M567),"INVALID AMOUNT",IF('Source build'!Y567&lt;&gt;0,"CHANGED FIELDS","MATCH")))))))</f>
        <v>MATCH</v>
      </c>
      <c r="P567" s="1" t="str">
        <f t="shared" si="44"/>
        <v>2026-03</v>
      </c>
    </row>
    <row r="568" spans="1:16" ht="18.95" customHeight="1">
      <c r="A568" s="7" t="s">
        <v>1592</v>
      </c>
      <c r="B568" s="7" t="s">
        <v>1590</v>
      </c>
      <c r="C568" s="7" t="s">
        <v>157</v>
      </c>
      <c r="D568" s="7" t="s">
        <v>93</v>
      </c>
      <c r="E568" s="7" t="s">
        <v>46</v>
      </c>
      <c r="F568" s="7" t="s">
        <v>98</v>
      </c>
      <c r="G568" s="7" t="s">
        <v>1593</v>
      </c>
      <c r="I568" s="1">
        <f t="shared" si="40"/>
        <v>1</v>
      </c>
      <c r="J568" s="1" t="str">
        <f>'Source build'!A568</f>
        <v>L00562</v>
      </c>
      <c r="K568" s="1">
        <f>568</f>
        <v>568</v>
      </c>
      <c r="L568" s="10">
        <f t="shared" si="41"/>
        <v>27768</v>
      </c>
      <c r="M568" s="1">
        <f t="shared" si="42"/>
        <v>1</v>
      </c>
      <c r="N568" s="1">
        <f t="shared" si="43"/>
        <v>1</v>
      </c>
      <c r="O568" s="1" t="str">
        <f>IF(I568=0,"UNUSED",IF(A568="","MISSING ID",IF(K568=0,"UNEXPECTED ID",IF(N568&lt;&gt;1,"ID / ORDER DIFFERENCE",IF('Source build'!U568&lt;&gt;"INCLUDED","EXCLUDED SOURCE",IF(NOT(M568),"INVALID AMOUNT",IF('Source build'!Y568&lt;&gt;0,"CHANGED FIELDS","MATCH")))))))</f>
        <v>MATCH</v>
      </c>
      <c r="P568" s="1" t="str">
        <f t="shared" si="44"/>
        <v>2026-03</v>
      </c>
    </row>
    <row r="569" spans="1:16" ht="18.95" customHeight="1">
      <c r="A569" s="7" t="s">
        <v>1594</v>
      </c>
      <c r="B569" s="7" t="s">
        <v>1595</v>
      </c>
      <c r="C569" s="7" t="s">
        <v>163</v>
      </c>
      <c r="D569" s="7" t="s">
        <v>97</v>
      </c>
      <c r="E569" s="7" t="s">
        <v>47</v>
      </c>
      <c r="F569" s="7" t="s">
        <v>98</v>
      </c>
      <c r="G569" s="7" t="s">
        <v>1596</v>
      </c>
      <c r="I569" s="1">
        <f t="shared" si="40"/>
        <v>1</v>
      </c>
      <c r="J569" s="1" t="str">
        <f>'Source build'!A569</f>
        <v>L00563</v>
      </c>
      <c r="K569" s="1">
        <f>569</f>
        <v>569</v>
      </c>
      <c r="L569" s="10">
        <f t="shared" si="41"/>
        <v>46465</v>
      </c>
      <c r="M569" s="1">
        <f t="shared" si="42"/>
        <v>1</v>
      </c>
      <c r="N569" s="1">
        <f t="shared" si="43"/>
        <v>1</v>
      </c>
      <c r="O569" s="1" t="str">
        <f>IF(I569=0,"UNUSED",IF(A569="","MISSING ID",IF(K569=0,"UNEXPECTED ID",IF(N569&lt;&gt;1,"ID / ORDER DIFFERENCE",IF('Source build'!U569&lt;&gt;"INCLUDED","EXCLUDED SOURCE",IF(NOT(M569),"INVALID AMOUNT",IF('Source build'!Y569&lt;&gt;0,"CHANGED FIELDS","MATCH")))))))</f>
        <v>MATCH</v>
      </c>
      <c r="P569" s="1" t="str">
        <f t="shared" si="44"/>
        <v>2026-03</v>
      </c>
    </row>
    <row r="570" spans="1:16" ht="18.95" customHeight="1">
      <c r="A570" s="7" t="s">
        <v>1597</v>
      </c>
      <c r="B570" s="7" t="s">
        <v>1595</v>
      </c>
      <c r="C570" s="7" t="s">
        <v>163</v>
      </c>
      <c r="D570" s="7" t="s">
        <v>103</v>
      </c>
      <c r="E570" s="7" t="s">
        <v>48</v>
      </c>
      <c r="F570" s="7" t="s">
        <v>98</v>
      </c>
      <c r="G570" s="7" t="s">
        <v>1598</v>
      </c>
      <c r="I570" s="1">
        <f t="shared" si="40"/>
        <v>1</v>
      </c>
      <c r="J570" s="1" t="str">
        <f>'Source build'!A570</f>
        <v>L00564</v>
      </c>
      <c r="K570" s="1">
        <f>570</f>
        <v>570</v>
      </c>
      <c r="L570" s="10">
        <f t="shared" si="41"/>
        <v>18660</v>
      </c>
      <c r="M570" s="1">
        <f t="shared" si="42"/>
        <v>1</v>
      </c>
      <c r="N570" s="1">
        <f t="shared" si="43"/>
        <v>1</v>
      </c>
      <c r="O570" s="1" t="str">
        <f>IF(I570=0,"UNUSED",IF(A570="","MISSING ID",IF(K570=0,"UNEXPECTED ID",IF(N570&lt;&gt;1,"ID / ORDER DIFFERENCE",IF('Source build'!U570&lt;&gt;"INCLUDED","EXCLUDED SOURCE",IF(NOT(M570),"INVALID AMOUNT",IF('Source build'!Y570&lt;&gt;0,"CHANGED FIELDS","MATCH")))))))</f>
        <v>MATCH</v>
      </c>
      <c r="P570" s="1" t="str">
        <f t="shared" si="44"/>
        <v>2026-03</v>
      </c>
    </row>
    <row r="571" spans="1:16" ht="18.95" customHeight="1">
      <c r="A571" s="7" t="s">
        <v>1599</v>
      </c>
      <c r="B571" s="7" t="s">
        <v>1600</v>
      </c>
      <c r="C571" s="7" t="s">
        <v>169</v>
      </c>
      <c r="D571" s="7" t="s">
        <v>93</v>
      </c>
      <c r="E571" s="7" t="s">
        <v>46</v>
      </c>
      <c r="F571" s="7" t="s">
        <v>98</v>
      </c>
      <c r="G571" s="7" t="s">
        <v>1601</v>
      </c>
      <c r="I571" s="1">
        <f t="shared" si="40"/>
        <v>1</v>
      </c>
      <c r="J571" s="1" t="str">
        <f>'Source build'!A571</f>
        <v>L00565</v>
      </c>
      <c r="K571" s="1">
        <f>571</f>
        <v>571</v>
      </c>
      <c r="L571" s="10">
        <f t="shared" si="41"/>
        <v>37468</v>
      </c>
      <c r="M571" s="1">
        <f t="shared" si="42"/>
        <v>1</v>
      </c>
      <c r="N571" s="1">
        <f t="shared" si="43"/>
        <v>1</v>
      </c>
      <c r="O571" s="1" t="str">
        <f>IF(I571=0,"UNUSED",IF(A571="","MISSING ID",IF(K571=0,"UNEXPECTED ID",IF(N571&lt;&gt;1,"ID / ORDER DIFFERENCE",IF('Source build'!U571&lt;&gt;"INCLUDED","EXCLUDED SOURCE",IF(NOT(M571),"INVALID AMOUNT",IF('Source build'!Y571&lt;&gt;0,"CHANGED FIELDS","MATCH")))))))</f>
        <v>MATCH</v>
      </c>
      <c r="P571" s="1" t="str">
        <f t="shared" si="44"/>
        <v>2026-03</v>
      </c>
    </row>
    <row r="572" spans="1:16" ht="18.95" customHeight="1">
      <c r="A572" s="7" t="s">
        <v>1602</v>
      </c>
      <c r="B572" s="7" t="s">
        <v>1600</v>
      </c>
      <c r="C572" s="7" t="s">
        <v>169</v>
      </c>
      <c r="D572" s="7" t="s">
        <v>97</v>
      </c>
      <c r="E572" s="7" t="s">
        <v>47</v>
      </c>
      <c r="F572" s="7" t="s">
        <v>98</v>
      </c>
      <c r="G572" s="7" t="s">
        <v>1603</v>
      </c>
      <c r="I572" s="1">
        <f t="shared" si="40"/>
        <v>1</v>
      </c>
      <c r="J572" s="1" t="str">
        <f>'Source build'!A572</f>
        <v>L00566</v>
      </c>
      <c r="K572" s="1">
        <f>572</f>
        <v>572</v>
      </c>
      <c r="L572" s="10">
        <f t="shared" si="41"/>
        <v>9404</v>
      </c>
      <c r="M572" s="1">
        <f t="shared" si="42"/>
        <v>1</v>
      </c>
      <c r="N572" s="1">
        <f t="shared" si="43"/>
        <v>1</v>
      </c>
      <c r="O572" s="1" t="str">
        <f>IF(I572=0,"UNUSED",IF(A572="","MISSING ID",IF(K572=0,"UNEXPECTED ID",IF(N572&lt;&gt;1,"ID / ORDER DIFFERENCE",IF('Source build'!U572&lt;&gt;"INCLUDED","EXCLUDED SOURCE",IF(NOT(M572),"INVALID AMOUNT",IF('Source build'!Y572&lt;&gt;0,"CHANGED FIELDS","MATCH")))))))</f>
        <v>MATCH</v>
      </c>
      <c r="P572" s="1" t="str">
        <f t="shared" si="44"/>
        <v>2026-03</v>
      </c>
    </row>
    <row r="573" spans="1:16" ht="18.95" customHeight="1">
      <c r="A573" s="7" t="s">
        <v>1604</v>
      </c>
      <c r="B573" s="7" t="s">
        <v>1605</v>
      </c>
      <c r="C573" s="7" t="s">
        <v>175</v>
      </c>
      <c r="D573" s="7" t="s">
        <v>103</v>
      </c>
      <c r="E573" s="7" t="s">
        <v>48</v>
      </c>
      <c r="F573" s="7" t="s">
        <v>98</v>
      </c>
      <c r="G573" s="7" t="s">
        <v>1606</v>
      </c>
      <c r="I573" s="1">
        <f t="shared" si="40"/>
        <v>1</v>
      </c>
      <c r="J573" s="1" t="str">
        <f>'Source build'!A573</f>
        <v>L00567</v>
      </c>
      <c r="K573" s="1">
        <f>573</f>
        <v>573</v>
      </c>
      <c r="L573" s="10">
        <f t="shared" si="41"/>
        <v>28323</v>
      </c>
      <c r="M573" s="1">
        <f t="shared" si="42"/>
        <v>1</v>
      </c>
      <c r="N573" s="1">
        <f t="shared" si="43"/>
        <v>1</v>
      </c>
      <c r="O573" s="1" t="str">
        <f>IF(I573=0,"UNUSED",IF(A573="","MISSING ID",IF(K573=0,"UNEXPECTED ID",IF(N573&lt;&gt;1,"ID / ORDER DIFFERENCE",IF('Source build'!U573&lt;&gt;"INCLUDED","EXCLUDED SOURCE",IF(NOT(M573),"INVALID AMOUNT",IF('Source build'!Y573&lt;&gt;0,"CHANGED FIELDS","MATCH")))))))</f>
        <v>MATCH</v>
      </c>
      <c r="P573" s="1" t="str">
        <f t="shared" si="44"/>
        <v>2026-01</v>
      </c>
    </row>
    <row r="574" spans="1:16" ht="18.95" customHeight="1">
      <c r="A574" s="7" t="s">
        <v>1607</v>
      </c>
      <c r="B574" s="7" t="s">
        <v>1605</v>
      </c>
      <c r="C574" s="7" t="s">
        <v>175</v>
      </c>
      <c r="D574" s="7" t="s">
        <v>93</v>
      </c>
      <c r="E574" s="7" t="s">
        <v>46</v>
      </c>
      <c r="F574" s="7" t="s">
        <v>98</v>
      </c>
      <c r="G574" s="7" t="s">
        <v>1608</v>
      </c>
      <c r="I574" s="1">
        <f t="shared" si="40"/>
        <v>1</v>
      </c>
      <c r="J574" s="1" t="str">
        <f>'Source build'!A574</f>
        <v>L00568</v>
      </c>
      <c r="K574" s="1">
        <f>574</f>
        <v>574</v>
      </c>
      <c r="L574" s="10">
        <f t="shared" si="41"/>
        <v>47390</v>
      </c>
      <c r="M574" s="1">
        <f t="shared" si="42"/>
        <v>1</v>
      </c>
      <c r="N574" s="1">
        <f t="shared" si="43"/>
        <v>1</v>
      </c>
      <c r="O574" s="1" t="str">
        <f>IF(I574=0,"UNUSED",IF(A574="","MISSING ID",IF(K574=0,"UNEXPECTED ID",IF(N574&lt;&gt;1,"ID / ORDER DIFFERENCE",IF('Source build'!U574&lt;&gt;"INCLUDED","EXCLUDED SOURCE",IF(NOT(M574),"INVALID AMOUNT",IF('Source build'!Y574&lt;&gt;0,"CHANGED FIELDS","MATCH")))))))</f>
        <v>MATCH</v>
      </c>
      <c r="P574" s="1" t="str">
        <f t="shared" si="44"/>
        <v>2026-01</v>
      </c>
    </row>
    <row r="575" spans="1:16" ht="18.95" customHeight="1">
      <c r="A575" s="7" t="s">
        <v>1609</v>
      </c>
      <c r="B575" s="7" t="s">
        <v>1610</v>
      </c>
      <c r="C575" s="7" t="s">
        <v>181</v>
      </c>
      <c r="D575" s="7" t="s">
        <v>97</v>
      </c>
      <c r="E575" s="7" t="s">
        <v>47</v>
      </c>
      <c r="F575" s="7" t="s">
        <v>98</v>
      </c>
      <c r="G575" s="7" t="s">
        <v>1611</v>
      </c>
      <c r="I575" s="1">
        <f t="shared" si="40"/>
        <v>1</v>
      </c>
      <c r="J575" s="1" t="str">
        <f>'Source build'!A575</f>
        <v>L00569</v>
      </c>
      <c r="K575" s="1">
        <f>575</f>
        <v>575</v>
      </c>
      <c r="L575" s="10">
        <f t="shared" si="41"/>
        <v>19030</v>
      </c>
      <c r="M575" s="1">
        <f t="shared" si="42"/>
        <v>1</v>
      </c>
      <c r="N575" s="1">
        <f t="shared" si="43"/>
        <v>1</v>
      </c>
      <c r="O575" s="1" t="str">
        <f>IF(I575=0,"UNUSED",IF(A575="","MISSING ID",IF(K575=0,"UNEXPECTED ID",IF(N575&lt;&gt;1,"ID / ORDER DIFFERENCE",IF('Source build'!U575&lt;&gt;"INCLUDED","EXCLUDED SOURCE",IF(NOT(M575),"INVALID AMOUNT",IF('Source build'!Y575&lt;&gt;0,"CHANGED FIELDS","MATCH")))))))</f>
        <v>MATCH</v>
      </c>
      <c r="P575" s="1" t="str">
        <f t="shared" si="44"/>
        <v>2026-01</v>
      </c>
    </row>
    <row r="576" spans="1:16" ht="18.95" customHeight="1">
      <c r="A576" s="7" t="s">
        <v>1612</v>
      </c>
      <c r="B576" s="7" t="s">
        <v>1610</v>
      </c>
      <c r="C576" s="7" t="s">
        <v>181</v>
      </c>
      <c r="D576" s="7" t="s">
        <v>103</v>
      </c>
      <c r="E576" s="7" t="s">
        <v>48</v>
      </c>
      <c r="F576" s="7" t="s">
        <v>98</v>
      </c>
      <c r="G576" s="7" t="s">
        <v>1613</v>
      </c>
      <c r="I576" s="1">
        <f t="shared" si="40"/>
        <v>1</v>
      </c>
      <c r="J576" s="1" t="str">
        <f>'Source build'!A576</f>
        <v>L00570</v>
      </c>
      <c r="K576" s="1">
        <f>576</f>
        <v>576</v>
      </c>
      <c r="L576" s="10">
        <f t="shared" si="41"/>
        <v>38208</v>
      </c>
      <c r="M576" s="1">
        <f t="shared" si="42"/>
        <v>1</v>
      </c>
      <c r="N576" s="1">
        <f t="shared" si="43"/>
        <v>1</v>
      </c>
      <c r="O576" s="1" t="str">
        <f>IF(I576=0,"UNUSED",IF(A576="","MISSING ID",IF(K576=0,"UNEXPECTED ID",IF(N576&lt;&gt;1,"ID / ORDER DIFFERENCE",IF('Source build'!U576&lt;&gt;"INCLUDED","EXCLUDED SOURCE",IF(NOT(M576),"INVALID AMOUNT",IF('Source build'!Y576&lt;&gt;0,"CHANGED FIELDS","MATCH")))))))</f>
        <v>MATCH</v>
      </c>
      <c r="P576" s="1" t="str">
        <f t="shared" si="44"/>
        <v>2026-01</v>
      </c>
    </row>
    <row r="577" spans="1:16" ht="18.95" customHeight="1">
      <c r="A577" s="7" t="s">
        <v>1614</v>
      </c>
      <c r="B577" s="7" t="s">
        <v>1615</v>
      </c>
      <c r="C577" s="7" t="s">
        <v>187</v>
      </c>
      <c r="D577" s="7" t="s">
        <v>93</v>
      </c>
      <c r="E577" s="7" t="s">
        <v>46</v>
      </c>
      <c r="F577" s="7" t="s">
        <v>98</v>
      </c>
      <c r="G577" s="7" t="s">
        <v>1616</v>
      </c>
      <c r="I577" s="1">
        <f t="shared" si="40"/>
        <v>1</v>
      </c>
      <c r="J577" s="1" t="str">
        <f>'Source build'!A577</f>
        <v>L00571</v>
      </c>
      <c r="K577" s="1">
        <f>577</f>
        <v>577</v>
      </c>
      <c r="L577" s="10">
        <f t="shared" si="41"/>
        <v>9589</v>
      </c>
      <c r="M577" s="1">
        <f t="shared" si="42"/>
        <v>1</v>
      </c>
      <c r="N577" s="1">
        <f t="shared" si="43"/>
        <v>1</v>
      </c>
      <c r="O577" s="1" t="str">
        <f>IF(I577=0,"UNUSED",IF(A577="","MISSING ID",IF(K577=0,"UNEXPECTED ID",IF(N577&lt;&gt;1,"ID / ORDER DIFFERENCE",IF('Source build'!U577&lt;&gt;"INCLUDED","EXCLUDED SOURCE",IF(NOT(M577),"INVALID AMOUNT",IF('Source build'!Y577&lt;&gt;0,"CHANGED FIELDS","MATCH")))))))</f>
        <v>MATCH</v>
      </c>
      <c r="P577" s="1" t="str">
        <f t="shared" si="44"/>
        <v>2026-01</v>
      </c>
    </row>
    <row r="578" spans="1:16" ht="18.95" customHeight="1">
      <c r="A578" s="7" t="s">
        <v>1617</v>
      </c>
      <c r="B578" s="7" t="s">
        <v>1615</v>
      </c>
      <c r="C578" s="7" t="s">
        <v>187</v>
      </c>
      <c r="D578" s="7" t="s">
        <v>97</v>
      </c>
      <c r="E578" s="7" t="s">
        <v>47</v>
      </c>
      <c r="F578" s="7" t="s">
        <v>98</v>
      </c>
      <c r="G578" s="7" t="s">
        <v>1618</v>
      </c>
      <c r="I578" s="1">
        <f t="shared" si="40"/>
        <v>1</v>
      </c>
      <c r="J578" s="1" t="str">
        <f>'Source build'!A578</f>
        <v>L00572</v>
      </c>
      <c r="K578" s="1">
        <f>578</f>
        <v>578</v>
      </c>
      <c r="L578" s="10">
        <f t="shared" si="41"/>
        <v>28878</v>
      </c>
      <c r="M578" s="1">
        <f t="shared" si="42"/>
        <v>1</v>
      </c>
      <c r="N578" s="1">
        <f t="shared" si="43"/>
        <v>1</v>
      </c>
      <c r="O578" s="1" t="str">
        <f>IF(I578=0,"UNUSED",IF(A578="","MISSING ID",IF(K578=0,"UNEXPECTED ID",IF(N578&lt;&gt;1,"ID / ORDER DIFFERENCE",IF('Source build'!U578&lt;&gt;"INCLUDED","EXCLUDED SOURCE",IF(NOT(M578),"INVALID AMOUNT",IF('Source build'!Y578&lt;&gt;0,"CHANGED FIELDS","MATCH")))))))</f>
        <v>MATCH</v>
      </c>
      <c r="P578" s="1" t="str">
        <f t="shared" si="44"/>
        <v>2026-01</v>
      </c>
    </row>
    <row r="579" spans="1:16" ht="18.95" customHeight="1">
      <c r="A579" s="7" t="s">
        <v>1619</v>
      </c>
      <c r="B579" s="7" t="s">
        <v>1620</v>
      </c>
      <c r="C579" s="7" t="s">
        <v>193</v>
      </c>
      <c r="D579" s="7" t="s">
        <v>103</v>
      </c>
      <c r="E579" s="7" t="s">
        <v>48</v>
      </c>
      <c r="F579" s="7" t="s">
        <v>98</v>
      </c>
      <c r="G579" s="7" t="s">
        <v>1621</v>
      </c>
      <c r="I579" s="1">
        <f t="shared" si="40"/>
        <v>1</v>
      </c>
      <c r="J579" s="1" t="str">
        <f>'Source build'!A579</f>
        <v>L00573</v>
      </c>
      <c r="K579" s="1">
        <f>579</f>
        <v>579</v>
      </c>
      <c r="L579" s="10">
        <f t="shared" si="41"/>
        <v>48315</v>
      </c>
      <c r="M579" s="1">
        <f t="shared" si="42"/>
        <v>1</v>
      </c>
      <c r="N579" s="1">
        <f t="shared" si="43"/>
        <v>1</v>
      </c>
      <c r="O579" s="1" t="str">
        <f>IF(I579=0,"UNUSED",IF(A579="","MISSING ID",IF(K579=0,"UNEXPECTED ID",IF(N579&lt;&gt;1,"ID / ORDER DIFFERENCE",IF('Source build'!U579&lt;&gt;"INCLUDED","EXCLUDED SOURCE",IF(NOT(M579),"INVALID AMOUNT",IF('Source build'!Y579&lt;&gt;0,"CHANGED FIELDS","MATCH")))))))</f>
        <v>MATCH</v>
      </c>
      <c r="P579" s="1" t="str">
        <f t="shared" si="44"/>
        <v>2026-01</v>
      </c>
    </row>
    <row r="580" spans="1:16" ht="18.95" customHeight="1">
      <c r="A580" s="7" t="s">
        <v>1622</v>
      </c>
      <c r="B580" s="7" t="s">
        <v>1620</v>
      </c>
      <c r="C580" s="7" t="s">
        <v>193</v>
      </c>
      <c r="D580" s="7" t="s">
        <v>93</v>
      </c>
      <c r="E580" s="7" t="s">
        <v>46</v>
      </c>
      <c r="F580" s="7" t="s">
        <v>98</v>
      </c>
      <c r="G580" s="7" t="s">
        <v>1623</v>
      </c>
      <c r="I580" s="1">
        <f t="shared" si="40"/>
        <v>1</v>
      </c>
      <c r="J580" s="1" t="str">
        <f>'Source build'!A580</f>
        <v>L00574</v>
      </c>
      <c r="K580" s="1">
        <f>580</f>
        <v>580</v>
      </c>
      <c r="L580" s="10">
        <f t="shared" si="41"/>
        <v>19400</v>
      </c>
      <c r="M580" s="1">
        <f t="shared" si="42"/>
        <v>1</v>
      </c>
      <c r="N580" s="1">
        <f t="shared" si="43"/>
        <v>1</v>
      </c>
      <c r="O580" s="1" t="str">
        <f>IF(I580=0,"UNUSED",IF(A580="","MISSING ID",IF(K580=0,"UNEXPECTED ID",IF(N580&lt;&gt;1,"ID / ORDER DIFFERENCE",IF('Source build'!U580&lt;&gt;"INCLUDED","EXCLUDED SOURCE",IF(NOT(M580),"INVALID AMOUNT",IF('Source build'!Y580&lt;&gt;0,"CHANGED FIELDS","MATCH")))))))</f>
        <v>MATCH</v>
      </c>
      <c r="P580" s="1" t="str">
        <f t="shared" si="44"/>
        <v>2026-01</v>
      </c>
    </row>
    <row r="581" spans="1:16" ht="18.95" customHeight="1">
      <c r="A581" s="7" t="s">
        <v>1624</v>
      </c>
      <c r="B581" s="7" t="s">
        <v>1625</v>
      </c>
      <c r="C581" s="7" t="s">
        <v>200</v>
      </c>
      <c r="D581" s="7" t="s">
        <v>97</v>
      </c>
      <c r="E581" s="7" t="s">
        <v>47</v>
      </c>
      <c r="F581" s="7" t="s">
        <v>98</v>
      </c>
      <c r="G581" s="7" t="s">
        <v>1626</v>
      </c>
      <c r="I581" s="1">
        <f t="shared" si="40"/>
        <v>1</v>
      </c>
      <c r="J581" s="1" t="str">
        <f>'Source build'!A581</f>
        <v>L00575</v>
      </c>
      <c r="K581" s="1">
        <f>581</f>
        <v>581</v>
      </c>
      <c r="L581" s="10">
        <f t="shared" si="41"/>
        <v>38948</v>
      </c>
      <c r="M581" s="1">
        <f t="shared" si="42"/>
        <v>1</v>
      </c>
      <c r="N581" s="1">
        <f t="shared" si="43"/>
        <v>1</v>
      </c>
      <c r="O581" s="1" t="str">
        <f>IF(I581=0,"UNUSED",IF(A581="","MISSING ID",IF(K581=0,"UNEXPECTED ID",IF(N581&lt;&gt;1,"ID / ORDER DIFFERENCE",IF('Source build'!U581&lt;&gt;"INCLUDED","EXCLUDED SOURCE",IF(NOT(M581),"INVALID AMOUNT",IF('Source build'!Y581&lt;&gt;0,"CHANGED FIELDS","MATCH")))))))</f>
        <v>MATCH</v>
      </c>
      <c r="P581" s="1" t="str">
        <f t="shared" si="44"/>
        <v>2026-01</v>
      </c>
    </row>
    <row r="582" spans="1:16" ht="18.95" customHeight="1">
      <c r="A582" s="7" t="s">
        <v>1627</v>
      </c>
      <c r="B582" s="7" t="s">
        <v>1625</v>
      </c>
      <c r="C582" s="7" t="s">
        <v>200</v>
      </c>
      <c r="D582" s="7" t="s">
        <v>103</v>
      </c>
      <c r="E582" s="7" t="s">
        <v>48</v>
      </c>
      <c r="F582" s="7" t="s">
        <v>94</v>
      </c>
      <c r="G582" s="7" t="s">
        <v>1628</v>
      </c>
      <c r="I582" s="1">
        <f t="shared" si="40"/>
        <v>1</v>
      </c>
      <c r="J582" s="1" t="str">
        <f>'Source build'!A582</f>
        <v>L00576</v>
      </c>
      <c r="K582" s="1">
        <f>582</f>
        <v>582</v>
      </c>
      <c r="L582" s="10">
        <f t="shared" si="41"/>
        <v>-9774</v>
      </c>
      <c r="M582" s="1">
        <f t="shared" si="42"/>
        <v>1</v>
      </c>
      <c r="N582" s="1">
        <f t="shared" si="43"/>
        <v>1</v>
      </c>
      <c r="O582" s="1" t="str">
        <f>IF(I582=0,"UNUSED",IF(A582="","MISSING ID",IF(K582=0,"UNEXPECTED ID",IF(N582&lt;&gt;1,"ID / ORDER DIFFERENCE",IF('Source build'!U582&lt;&gt;"INCLUDED","EXCLUDED SOURCE",IF(NOT(M582),"INVALID AMOUNT",IF('Source build'!Y582&lt;&gt;0,"CHANGED FIELDS","MATCH")))))))</f>
        <v>MATCH</v>
      </c>
      <c r="P582" s="1" t="str">
        <f t="shared" si="44"/>
        <v>2026-01</v>
      </c>
    </row>
    <row r="583" spans="1:16" ht="18.95" customHeight="1">
      <c r="A583" s="7" t="s">
        <v>1629</v>
      </c>
      <c r="B583" s="7" t="s">
        <v>1630</v>
      </c>
      <c r="C583" s="7" t="s">
        <v>206</v>
      </c>
      <c r="D583" s="7" t="s">
        <v>93</v>
      </c>
      <c r="E583" s="7" t="s">
        <v>46</v>
      </c>
      <c r="F583" s="7" t="s">
        <v>98</v>
      </c>
      <c r="G583" s="7" t="s">
        <v>1631</v>
      </c>
      <c r="I583" s="1">
        <f t="shared" ref="I583:I646" si="45">IF(AND(A583="",B583="",C583="",D583="",E583="",F583="",G583=""),0,1)</f>
        <v>1</v>
      </c>
      <c r="J583" s="1" t="str">
        <f>'Source build'!A583</f>
        <v>L00577</v>
      </c>
      <c r="K583" s="1">
        <f>583</f>
        <v>583</v>
      </c>
      <c r="L583" s="10">
        <f t="shared" ref="L583:L646" si="46">IFERROR(IF(ABS(VALUE(G583)*100-ROUND(VALUE(G583)*100,0))&lt;0.0000001,ROUND(VALUE(G583)*100,0),0),0)</f>
        <v>29433</v>
      </c>
      <c r="M583" s="1">
        <f t="shared" ref="M583:M646" si="47">--IF(I583=0,TRUE,IF(TRIM(G583)="",FALSE,IFERROR(AND(ISNUMBER(VALUE(G583)),ABS(VALUE(G583)*100-ROUND(VALUE(G583)*100,0))&lt;0.0000001,OR(ISNUMBER(G583),EXACT(G583,TEXT(VALUE(G583),"0.00"))),OR(AND(EXACT(F583,"sale"),VALUE(G583)&gt;0),AND(EXACT(F583,"refund"),VALUE(G583)&lt;0))),FALSE)))</f>
        <v>1</v>
      </c>
      <c r="N583" s="1">
        <f t="shared" ref="N583:N646" si="48">IF(I583=1,IF(EXACT(A583,J583),1,0),0)</f>
        <v>1</v>
      </c>
      <c r="O583" s="1" t="str">
        <f>IF(I583=0,"UNUSED",IF(A583="","MISSING ID",IF(K583=0,"UNEXPECTED ID",IF(N583&lt;&gt;1,"ID / ORDER DIFFERENCE",IF('Source build'!U583&lt;&gt;"INCLUDED","EXCLUDED SOURCE",IF(NOT(M583),"INVALID AMOUNT",IF('Source build'!Y583&lt;&gt;0,"CHANGED FIELDS","MATCH")))))))</f>
        <v>MATCH</v>
      </c>
      <c r="P583" s="1" t="str">
        <f t="shared" ref="P583:P646" si="49">IF(I583=1,LEFT(C583,7),"")</f>
        <v>2026-02</v>
      </c>
    </row>
    <row r="584" spans="1:16" ht="18.95" customHeight="1">
      <c r="A584" s="7" t="s">
        <v>1632</v>
      </c>
      <c r="B584" s="7" t="s">
        <v>1630</v>
      </c>
      <c r="C584" s="7" t="s">
        <v>206</v>
      </c>
      <c r="D584" s="7" t="s">
        <v>97</v>
      </c>
      <c r="E584" s="7" t="s">
        <v>47</v>
      </c>
      <c r="F584" s="7" t="s">
        <v>98</v>
      </c>
      <c r="G584" s="7" t="s">
        <v>1633</v>
      </c>
      <c r="I584" s="1">
        <f t="shared" si="45"/>
        <v>1</v>
      </c>
      <c r="J584" s="1" t="str">
        <f>'Source build'!A584</f>
        <v>L00578</v>
      </c>
      <c r="K584" s="1">
        <f>584</f>
        <v>584</v>
      </c>
      <c r="L584" s="10">
        <f t="shared" si="46"/>
        <v>49240</v>
      </c>
      <c r="M584" s="1">
        <f t="shared" si="47"/>
        <v>1</v>
      </c>
      <c r="N584" s="1">
        <f t="shared" si="48"/>
        <v>1</v>
      </c>
      <c r="O584" s="1" t="str">
        <f>IF(I584=0,"UNUSED",IF(A584="","MISSING ID",IF(K584=0,"UNEXPECTED ID",IF(N584&lt;&gt;1,"ID / ORDER DIFFERENCE",IF('Source build'!U584&lt;&gt;"INCLUDED","EXCLUDED SOURCE",IF(NOT(M584),"INVALID AMOUNT",IF('Source build'!Y584&lt;&gt;0,"CHANGED FIELDS","MATCH")))))))</f>
        <v>MATCH</v>
      </c>
      <c r="P584" s="1" t="str">
        <f t="shared" si="49"/>
        <v>2026-02</v>
      </c>
    </row>
    <row r="585" spans="1:16" ht="18.95" customHeight="1">
      <c r="A585" s="7" t="s">
        <v>1634</v>
      </c>
      <c r="B585" s="7" t="s">
        <v>1635</v>
      </c>
      <c r="C585" s="7" t="s">
        <v>212</v>
      </c>
      <c r="D585" s="7" t="s">
        <v>103</v>
      </c>
      <c r="E585" s="7" t="s">
        <v>48</v>
      </c>
      <c r="F585" s="7" t="s">
        <v>98</v>
      </c>
      <c r="G585" s="7" t="s">
        <v>1636</v>
      </c>
      <c r="I585" s="1">
        <f t="shared" si="45"/>
        <v>1</v>
      </c>
      <c r="J585" s="1" t="str">
        <f>'Source build'!A585</f>
        <v>L00579</v>
      </c>
      <c r="K585" s="1">
        <f>585</f>
        <v>585</v>
      </c>
      <c r="L585" s="10">
        <f t="shared" si="46"/>
        <v>19770</v>
      </c>
      <c r="M585" s="1">
        <f t="shared" si="47"/>
        <v>1</v>
      </c>
      <c r="N585" s="1">
        <f t="shared" si="48"/>
        <v>1</v>
      </c>
      <c r="O585" s="1" t="str">
        <f>IF(I585=0,"UNUSED",IF(A585="","MISSING ID",IF(K585=0,"UNEXPECTED ID",IF(N585&lt;&gt;1,"ID / ORDER DIFFERENCE",IF('Source build'!U585&lt;&gt;"INCLUDED","EXCLUDED SOURCE",IF(NOT(M585),"INVALID AMOUNT",IF('Source build'!Y585&lt;&gt;0,"CHANGED FIELDS","MATCH")))))))</f>
        <v>MATCH</v>
      </c>
      <c r="P585" s="1" t="str">
        <f t="shared" si="49"/>
        <v>2026-02</v>
      </c>
    </row>
    <row r="586" spans="1:16" ht="18.95" customHeight="1">
      <c r="A586" s="7" t="s">
        <v>1637</v>
      </c>
      <c r="B586" s="7" t="s">
        <v>1635</v>
      </c>
      <c r="C586" s="7" t="s">
        <v>212</v>
      </c>
      <c r="D586" s="7" t="s">
        <v>93</v>
      </c>
      <c r="E586" s="7" t="s">
        <v>46</v>
      </c>
      <c r="F586" s="7" t="s">
        <v>98</v>
      </c>
      <c r="G586" s="7" t="s">
        <v>1638</v>
      </c>
      <c r="I586" s="1">
        <f t="shared" si="45"/>
        <v>1</v>
      </c>
      <c r="J586" s="1" t="str">
        <f>'Source build'!A586</f>
        <v>L00580</v>
      </c>
      <c r="K586" s="1">
        <f>586</f>
        <v>586</v>
      </c>
      <c r="L586" s="10">
        <f t="shared" si="46"/>
        <v>39688</v>
      </c>
      <c r="M586" s="1">
        <f t="shared" si="47"/>
        <v>1</v>
      </c>
      <c r="N586" s="1">
        <f t="shared" si="48"/>
        <v>1</v>
      </c>
      <c r="O586" s="1" t="str">
        <f>IF(I586=0,"UNUSED",IF(A586="","MISSING ID",IF(K586=0,"UNEXPECTED ID",IF(N586&lt;&gt;1,"ID / ORDER DIFFERENCE",IF('Source build'!U586&lt;&gt;"INCLUDED","EXCLUDED SOURCE",IF(NOT(M586),"INVALID AMOUNT",IF('Source build'!Y586&lt;&gt;0,"CHANGED FIELDS","MATCH")))))))</f>
        <v>MATCH</v>
      </c>
      <c r="P586" s="1" t="str">
        <f t="shared" si="49"/>
        <v>2026-02</v>
      </c>
    </row>
    <row r="587" spans="1:16" ht="18.95" customHeight="1">
      <c r="A587" s="7" t="s">
        <v>1639</v>
      </c>
      <c r="B587" s="7" t="s">
        <v>1640</v>
      </c>
      <c r="C587" s="7" t="s">
        <v>218</v>
      </c>
      <c r="D587" s="7" t="s">
        <v>97</v>
      </c>
      <c r="E587" s="7" t="s">
        <v>47</v>
      </c>
      <c r="F587" s="7" t="s">
        <v>98</v>
      </c>
      <c r="G587" s="7" t="s">
        <v>1641</v>
      </c>
      <c r="I587" s="1">
        <f t="shared" si="45"/>
        <v>1</v>
      </c>
      <c r="J587" s="1" t="str">
        <f>'Source build'!A587</f>
        <v>L00581</v>
      </c>
      <c r="K587" s="1">
        <f>587</f>
        <v>587</v>
      </c>
      <c r="L587" s="10">
        <f t="shared" si="46"/>
        <v>9959</v>
      </c>
      <c r="M587" s="1">
        <f t="shared" si="47"/>
        <v>1</v>
      </c>
      <c r="N587" s="1">
        <f t="shared" si="48"/>
        <v>1</v>
      </c>
      <c r="O587" s="1" t="str">
        <f>IF(I587=0,"UNUSED",IF(A587="","MISSING ID",IF(K587=0,"UNEXPECTED ID",IF(N587&lt;&gt;1,"ID / ORDER DIFFERENCE",IF('Source build'!U587&lt;&gt;"INCLUDED","EXCLUDED SOURCE",IF(NOT(M587),"INVALID AMOUNT",IF('Source build'!Y587&lt;&gt;0,"CHANGED FIELDS","MATCH")))))))</f>
        <v>MATCH</v>
      </c>
      <c r="P587" s="1" t="str">
        <f t="shared" si="49"/>
        <v>2026-02</v>
      </c>
    </row>
    <row r="588" spans="1:16" ht="18.95" customHeight="1">
      <c r="A588" s="7" t="s">
        <v>1642</v>
      </c>
      <c r="B588" s="7" t="s">
        <v>1640</v>
      </c>
      <c r="C588" s="7" t="s">
        <v>218</v>
      </c>
      <c r="D588" s="7" t="s">
        <v>103</v>
      </c>
      <c r="E588" s="7" t="s">
        <v>48</v>
      </c>
      <c r="F588" s="7" t="s">
        <v>98</v>
      </c>
      <c r="G588" s="7" t="s">
        <v>1644</v>
      </c>
      <c r="I588" s="1">
        <f t="shared" si="45"/>
        <v>1</v>
      </c>
      <c r="J588" s="1" t="str">
        <f>'Source build'!A588</f>
        <v>L00582</v>
      </c>
      <c r="K588" s="1">
        <f>588</f>
        <v>588</v>
      </c>
      <c r="L588" s="10">
        <f t="shared" si="46"/>
        <v>29988</v>
      </c>
      <c r="M588" s="1">
        <f t="shared" si="47"/>
        <v>1</v>
      </c>
      <c r="N588" s="1">
        <f t="shared" si="48"/>
        <v>1</v>
      </c>
      <c r="O588" s="1" t="str">
        <f>IF(I588=0,"UNUSED",IF(A588="","MISSING ID",IF(K588=0,"UNEXPECTED ID",IF(N588&lt;&gt;1,"ID / ORDER DIFFERENCE",IF('Source build'!U588&lt;&gt;"INCLUDED","EXCLUDED SOURCE",IF(NOT(M588),"INVALID AMOUNT",IF('Source build'!Y588&lt;&gt;0,"CHANGED FIELDS","MATCH")))))))</f>
        <v>MATCH</v>
      </c>
      <c r="P588" s="1" t="str">
        <f t="shared" si="49"/>
        <v>2026-02</v>
      </c>
    </row>
    <row r="589" spans="1:16" ht="18.95" customHeight="1">
      <c r="A589" s="7" t="s">
        <v>1645</v>
      </c>
      <c r="B589" s="7" t="s">
        <v>1646</v>
      </c>
      <c r="C589" s="7" t="s">
        <v>224</v>
      </c>
      <c r="D589" s="7" t="s">
        <v>93</v>
      </c>
      <c r="E589" s="7" t="s">
        <v>46</v>
      </c>
      <c r="F589" s="7" t="s">
        <v>98</v>
      </c>
      <c r="G589" s="7" t="s">
        <v>1647</v>
      </c>
      <c r="I589" s="1">
        <f t="shared" si="45"/>
        <v>1</v>
      </c>
      <c r="J589" s="1" t="str">
        <f>'Source build'!A589</f>
        <v>L00583</v>
      </c>
      <c r="K589" s="1">
        <f>589</f>
        <v>589</v>
      </c>
      <c r="L589" s="10">
        <f t="shared" si="46"/>
        <v>50165</v>
      </c>
      <c r="M589" s="1">
        <f t="shared" si="47"/>
        <v>1</v>
      </c>
      <c r="N589" s="1">
        <f t="shared" si="48"/>
        <v>1</v>
      </c>
      <c r="O589" s="1" t="str">
        <f>IF(I589=0,"UNUSED",IF(A589="","MISSING ID",IF(K589=0,"UNEXPECTED ID",IF(N589&lt;&gt;1,"ID / ORDER DIFFERENCE",IF('Source build'!U589&lt;&gt;"INCLUDED","EXCLUDED SOURCE",IF(NOT(M589),"INVALID AMOUNT",IF('Source build'!Y589&lt;&gt;0,"CHANGED FIELDS","MATCH")))))))</f>
        <v>MATCH</v>
      </c>
      <c r="P589" s="1" t="str">
        <f t="shared" si="49"/>
        <v>2026-02</v>
      </c>
    </row>
    <row r="590" spans="1:16" ht="18.95" customHeight="1">
      <c r="A590" s="7" t="s">
        <v>1648</v>
      </c>
      <c r="B590" s="7" t="s">
        <v>1646</v>
      </c>
      <c r="C590" s="7" t="s">
        <v>224</v>
      </c>
      <c r="D590" s="7" t="s">
        <v>97</v>
      </c>
      <c r="E590" s="7" t="s">
        <v>47</v>
      </c>
      <c r="F590" s="7" t="s">
        <v>98</v>
      </c>
      <c r="G590" s="7" t="s">
        <v>1649</v>
      </c>
      <c r="I590" s="1">
        <f t="shared" si="45"/>
        <v>1</v>
      </c>
      <c r="J590" s="1" t="str">
        <f>'Source build'!A590</f>
        <v>L00584</v>
      </c>
      <c r="K590" s="1">
        <f>590</f>
        <v>590</v>
      </c>
      <c r="L590" s="10">
        <f t="shared" si="46"/>
        <v>20140</v>
      </c>
      <c r="M590" s="1">
        <f t="shared" si="47"/>
        <v>1</v>
      </c>
      <c r="N590" s="1">
        <f t="shared" si="48"/>
        <v>1</v>
      </c>
      <c r="O590" s="1" t="str">
        <f>IF(I590=0,"UNUSED",IF(A590="","MISSING ID",IF(K590=0,"UNEXPECTED ID",IF(N590&lt;&gt;1,"ID / ORDER DIFFERENCE",IF('Source build'!U590&lt;&gt;"INCLUDED","EXCLUDED SOURCE",IF(NOT(M590),"INVALID AMOUNT",IF('Source build'!Y590&lt;&gt;0,"CHANGED FIELDS","MATCH")))))))</f>
        <v>MATCH</v>
      </c>
      <c r="P590" s="1" t="str">
        <f t="shared" si="49"/>
        <v>2026-02</v>
      </c>
    </row>
    <row r="591" spans="1:16" ht="18.95" customHeight="1">
      <c r="A591" s="7" t="s">
        <v>1650</v>
      </c>
      <c r="B591" s="7" t="s">
        <v>1651</v>
      </c>
      <c r="C591" s="7" t="s">
        <v>230</v>
      </c>
      <c r="D591" s="7" t="s">
        <v>103</v>
      </c>
      <c r="E591" s="7" t="s">
        <v>48</v>
      </c>
      <c r="F591" s="7" t="s">
        <v>98</v>
      </c>
      <c r="G591" s="7" t="s">
        <v>1652</v>
      </c>
      <c r="I591" s="1">
        <f t="shared" si="45"/>
        <v>1</v>
      </c>
      <c r="J591" s="1" t="str">
        <f>'Source build'!A591</f>
        <v>L00585</v>
      </c>
      <c r="K591" s="1">
        <f>591</f>
        <v>591</v>
      </c>
      <c r="L591" s="10">
        <f t="shared" si="46"/>
        <v>40428</v>
      </c>
      <c r="M591" s="1">
        <f t="shared" si="47"/>
        <v>1</v>
      </c>
      <c r="N591" s="1">
        <f t="shared" si="48"/>
        <v>1</v>
      </c>
      <c r="O591" s="1" t="str">
        <f>IF(I591=0,"UNUSED",IF(A591="","MISSING ID",IF(K591=0,"UNEXPECTED ID",IF(N591&lt;&gt;1,"ID / ORDER DIFFERENCE",IF('Source build'!U591&lt;&gt;"INCLUDED","EXCLUDED SOURCE",IF(NOT(M591),"INVALID AMOUNT",IF('Source build'!Y591&lt;&gt;0,"CHANGED FIELDS","MATCH")))))))</f>
        <v>MATCH</v>
      </c>
      <c r="P591" s="1" t="str">
        <f t="shared" si="49"/>
        <v>2026-03</v>
      </c>
    </row>
    <row r="592" spans="1:16" ht="18.95" customHeight="1">
      <c r="A592" s="7" t="s">
        <v>1653</v>
      </c>
      <c r="B592" s="7" t="s">
        <v>1651</v>
      </c>
      <c r="C592" s="7" t="s">
        <v>230</v>
      </c>
      <c r="D592" s="7" t="s">
        <v>93</v>
      </c>
      <c r="E592" s="7" t="s">
        <v>46</v>
      </c>
      <c r="F592" s="7" t="s">
        <v>98</v>
      </c>
      <c r="G592" s="7" t="s">
        <v>1654</v>
      </c>
      <c r="I592" s="1">
        <f t="shared" si="45"/>
        <v>1</v>
      </c>
      <c r="J592" s="1" t="str">
        <f>'Source build'!A592</f>
        <v>L00586</v>
      </c>
      <c r="K592" s="1">
        <f>592</f>
        <v>592</v>
      </c>
      <c r="L592" s="10">
        <f t="shared" si="46"/>
        <v>10144</v>
      </c>
      <c r="M592" s="1">
        <f t="shared" si="47"/>
        <v>1</v>
      </c>
      <c r="N592" s="1">
        <f t="shared" si="48"/>
        <v>1</v>
      </c>
      <c r="O592" s="1" t="str">
        <f>IF(I592=0,"UNUSED",IF(A592="","MISSING ID",IF(K592=0,"UNEXPECTED ID",IF(N592&lt;&gt;1,"ID / ORDER DIFFERENCE",IF('Source build'!U592&lt;&gt;"INCLUDED","EXCLUDED SOURCE",IF(NOT(M592),"INVALID AMOUNT",IF('Source build'!Y592&lt;&gt;0,"CHANGED FIELDS","MATCH")))))))</f>
        <v>MATCH</v>
      </c>
      <c r="P592" s="1" t="str">
        <f t="shared" si="49"/>
        <v>2026-03</v>
      </c>
    </row>
    <row r="593" spans="1:16" ht="18.95" customHeight="1">
      <c r="A593" s="7" t="s">
        <v>1655</v>
      </c>
      <c r="B593" s="7" t="s">
        <v>1656</v>
      </c>
      <c r="C593" s="7" t="s">
        <v>236</v>
      </c>
      <c r="D593" s="7" t="s">
        <v>97</v>
      </c>
      <c r="E593" s="7" t="s">
        <v>47</v>
      </c>
      <c r="F593" s="7" t="s">
        <v>98</v>
      </c>
      <c r="G593" s="7" t="s">
        <v>1657</v>
      </c>
      <c r="I593" s="1">
        <f t="shared" si="45"/>
        <v>1</v>
      </c>
      <c r="J593" s="1" t="str">
        <f>'Source build'!A593</f>
        <v>L00587</v>
      </c>
      <c r="K593" s="1">
        <f>593</f>
        <v>593</v>
      </c>
      <c r="L593" s="10">
        <f t="shared" si="46"/>
        <v>30543</v>
      </c>
      <c r="M593" s="1">
        <f t="shared" si="47"/>
        <v>1</v>
      </c>
      <c r="N593" s="1">
        <f t="shared" si="48"/>
        <v>1</v>
      </c>
      <c r="O593" s="1" t="str">
        <f>IF(I593=0,"UNUSED",IF(A593="","MISSING ID",IF(K593=0,"UNEXPECTED ID",IF(N593&lt;&gt;1,"ID / ORDER DIFFERENCE",IF('Source build'!U593&lt;&gt;"INCLUDED","EXCLUDED SOURCE",IF(NOT(M593),"INVALID AMOUNT",IF('Source build'!Y593&lt;&gt;0,"CHANGED FIELDS","MATCH")))))))</f>
        <v>MATCH</v>
      </c>
      <c r="P593" s="1" t="str">
        <f t="shared" si="49"/>
        <v>2026-03</v>
      </c>
    </row>
    <row r="594" spans="1:16" ht="18.95" customHeight="1">
      <c r="A594" s="7" t="s">
        <v>1658</v>
      </c>
      <c r="B594" s="7" t="s">
        <v>1656</v>
      </c>
      <c r="C594" s="7" t="s">
        <v>236</v>
      </c>
      <c r="D594" s="7" t="s">
        <v>103</v>
      </c>
      <c r="E594" s="7" t="s">
        <v>48</v>
      </c>
      <c r="F594" s="7" t="s">
        <v>98</v>
      </c>
      <c r="G594" s="7" t="s">
        <v>1659</v>
      </c>
      <c r="I594" s="1">
        <f t="shared" si="45"/>
        <v>1</v>
      </c>
      <c r="J594" s="1" t="str">
        <f>'Source build'!A594</f>
        <v>L00588</v>
      </c>
      <c r="K594" s="1">
        <f>594</f>
        <v>594</v>
      </c>
      <c r="L594" s="10">
        <f t="shared" si="46"/>
        <v>51090</v>
      </c>
      <c r="M594" s="1">
        <f t="shared" si="47"/>
        <v>1</v>
      </c>
      <c r="N594" s="1">
        <f t="shared" si="48"/>
        <v>1</v>
      </c>
      <c r="O594" s="1" t="str">
        <f>IF(I594=0,"UNUSED",IF(A594="","MISSING ID",IF(K594=0,"UNEXPECTED ID",IF(N594&lt;&gt;1,"ID / ORDER DIFFERENCE",IF('Source build'!U594&lt;&gt;"INCLUDED","EXCLUDED SOURCE",IF(NOT(M594),"INVALID AMOUNT",IF('Source build'!Y594&lt;&gt;0,"CHANGED FIELDS","MATCH")))))))</f>
        <v>MATCH</v>
      </c>
      <c r="P594" s="1" t="str">
        <f t="shared" si="49"/>
        <v>2026-03</v>
      </c>
    </row>
    <row r="595" spans="1:16" ht="18.95" customHeight="1">
      <c r="A595" s="7" t="s">
        <v>1660</v>
      </c>
      <c r="B595" s="7" t="s">
        <v>1661</v>
      </c>
      <c r="C595" s="7" t="s">
        <v>242</v>
      </c>
      <c r="D595" s="7" t="s">
        <v>93</v>
      </c>
      <c r="E595" s="7" t="s">
        <v>46</v>
      </c>
      <c r="F595" s="7" t="s">
        <v>98</v>
      </c>
      <c r="G595" s="7" t="s">
        <v>1662</v>
      </c>
      <c r="I595" s="1">
        <f t="shared" si="45"/>
        <v>1</v>
      </c>
      <c r="J595" s="1" t="str">
        <f>'Source build'!A595</f>
        <v>L00589</v>
      </c>
      <c r="K595" s="1">
        <f>595</f>
        <v>595</v>
      </c>
      <c r="L595" s="10">
        <f t="shared" si="46"/>
        <v>20510</v>
      </c>
      <c r="M595" s="1">
        <f t="shared" si="47"/>
        <v>1</v>
      </c>
      <c r="N595" s="1">
        <f t="shared" si="48"/>
        <v>1</v>
      </c>
      <c r="O595" s="1" t="str">
        <f>IF(I595=0,"UNUSED",IF(A595="","MISSING ID",IF(K595=0,"UNEXPECTED ID",IF(N595&lt;&gt;1,"ID / ORDER DIFFERENCE",IF('Source build'!U595&lt;&gt;"INCLUDED","EXCLUDED SOURCE",IF(NOT(M595),"INVALID AMOUNT",IF('Source build'!Y595&lt;&gt;0,"CHANGED FIELDS","MATCH")))))))</f>
        <v>MATCH</v>
      </c>
      <c r="P595" s="1" t="str">
        <f t="shared" si="49"/>
        <v>2026-03</v>
      </c>
    </row>
    <row r="596" spans="1:16" ht="18.95" customHeight="1">
      <c r="A596" s="7" t="s">
        <v>1663</v>
      </c>
      <c r="B596" s="7" t="s">
        <v>1661</v>
      </c>
      <c r="C596" s="7" t="s">
        <v>242</v>
      </c>
      <c r="D596" s="7" t="s">
        <v>97</v>
      </c>
      <c r="E596" s="7" t="s">
        <v>47</v>
      </c>
      <c r="F596" s="7" t="s">
        <v>98</v>
      </c>
      <c r="G596" s="7" t="s">
        <v>1664</v>
      </c>
      <c r="I596" s="1">
        <f t="shared" si="45"/>
        <v>1</v>
      </c>
      <c r="J596" s="1" t="str">
        <f>'Source build'!A596</f>
        <v>L00590</v>
      </c>
      <c r="K596" s="1">
        <f>596</f>
        <v>596</v>
      </c>
      <c r="L596" s="10">
        <f t="shared" si="46"/>
        <v>41168</v>
      </c>
      <c r="M596" s="1">
        <f t="shared" si="47"/>
        <v>1</v>
      </c>
      <c r="N596" s="1">
        <f t="shared" si="48"/>
        <v>1</v>
      </c>
      <c r="O596" s="1" t="str">
        <f>IF(I596=0,"UNUSED",IF(A596="","MISSING ID",IF(K596=0,"UNEXPECTED ID",IF(N596&lt;&gt;1,"ID / ORDER DIFFERENCE",IF('Source build'!U596&lt;&gt;"INCLUDED","EXCLUDED SOURCE",IF(NOT(M596),"INVALID AMOUNT",IF('Source build'!Y596&lt;&gt;0,"CHANGED FIELDS","MATCH")))))))</f>
        <v>MATCH</v>
      </c>
      <c r="P596" s="1" t="str">
        <f t="shared" si="49"/>
        <v>2026-03</v>
      </c>
    </row>
    <row r="597" spans="1:16" ht="18.95" customHeight="1">
      <c r="A597" s="7" t="s">
        <v>1665</v>
      </c>
      <c r="B597" s="7" t="s">
        <v>1666</v>
      </c>
      <c r="C597" s="7" t="s">
        <v>248</v>
      </c>
      <c r="D597" s="7" t="s">
        <v>103</v>
      </c>
      <c r="E597" s="7" t="s">
        <v>48</v>
      </c>
      <c r="F597" s="7" t="s">
        <v>98</v>
      </c>
      <c r="G597" s="7" t="s">
        <v>1667</v>
      </c>
      <c r="I597" s="1">
        <f t="shared" si="45"/>
        <v>1</v>
      </c>
      <c r="J597" s="1" t="str">
        <f>'Source build'!A597</f>
        <v>L00591</v>
      </c>
      <c r="K597" s="1">
        <f>597</f>
        <v>597</v>
      </c>
      <c r="L597" s="10">
        <f t="shared" si="46"/>
        <v>10329</v>
      </c>
      <c r="M597" s="1">
        <f t="shared" si="47"/>
        <v>1</v>
      </c>
      <c r="N597" s="1">
        <f t="shared" si="48"/>
        <v>1</v>
      </c>
      <c r="O597" s="1" t="str">
        <f>IF(I597=0,"UNUSED",IF(A597="","MISSING ID",IF(K597=0,"UNEXPECTED ID",IF(N597&lt;&gt;1,"ID / ORDER DIFFERENCE",IF('Source build'!U597&lt;&gt;"INCLUDED","EXCLUDED SOURCE",IF(NOT(M597),"INVALID AMOUNT",IF('Source build'!Y597&lt;&gt;0,"CHANGED FIELDS","MATCH")))))))</f>
        <v>MATCH</v>
      </c>
      <c r="P597" s="1" t="str">
        <f t="shared" si="49"/>
        <v>2026-03</v>
      </c>
    </row>
    <row r="598" spans="1:16" ht="18.95" customHeight="1">
      <c r="A598" s="7" t="s">
        <v>1668</v>
      </c>
      <c r="B598" s="7" t="s">
        <v>1666</v>
      </c>
      <c r="C598" s="7" t="s">
        <v>248</v>
      </c>
      <c r="D598" s="7" t="s">
        <v>93</v>
      </c>
      <c r="E598" s="7" t="s">
        <v>46</v>
      </c>
      <c r="F598" s="7" t="s">
        <v>98</v>
      </c>
      <c r="G598" s="7" t="s">
        <v>1669</v>
      </c>
      <c r="I598" s="1">
        <f t="shared" si="45"/>
        <v>1</v>
      </c>
      <c r="J598" s="1" t="str">
        <f>'Source build'!A598</f>
        <v>L00592</v>
      </c>
      <c r="K598" s="1">
        <f>598</f>
        <v>598</v>
      </c>
      <c r="L598" s="10">
        <f t="shared" si="46"/>
        <v>31098</v>
      </c>
      <c r="M598" s="1">
        <f t="shared" si="47"/>
        <v>1</v>
      </c>
      <c r="N598" s="1">
        <f t="shared" si="48"/>
        <v>1</v>
      </c>
      <c r="O598" s="1" t="str">
        <f>IF(I598=0,"UNUSED",IF(A598="","MISSING ID",IF(K598=0,"UNEXPECTED ID",IF(N598&lt;&gt;1,"ID / ORDER DIFFERENCE",IF('Source build'!U598&lt;&gt;"INCLUDED","EXCLUDED SOURCE",IF(NOT(M598),"INVALID AMOUNT",IF('Source build'!Y598&lt;&gt;0,"CHANGED FIELDS","MATCH")))))))</f>
        <v>MATCH</v>
      </c>
      <c r="P598" s="1" t="str">
        <f t="shared" si="49"/>
        <v>2026-03</v>
      </c>
    </row>
    <row r="599" spans="1:16" ht="18.95" customHeight="1">
      <c r="A599" s="7" t="s">
        <v>1670</v>
      </c>
      <c r="B599" s="7" t="s">
        <v>1671</v>
      </c>
      <c r="C599" s="7" t="s">
        <v>254</v>
      </c>
      <c r="D599" s="7" t="s">
        <v>97</v>
      </c>
      <c r="E599" s="7" t="s">
        <v>47</v>
      </c>
      <c r="F599" s="7" t="s">
        <v>98</v>
      </c>
      <c r="G599" s="7" t="s">
        <v>1672</v>
      </c>
      <c r="I599" s="1">
        <f t="shared" si="45"/>
        <v>1</v>
      </c>
      <c r="J599" s="1" t="str">
        <f>'Source build'!A599</f>
        <v>L00593</v>
      </c>
      <c r="K599" s="1">
        <f>599</f>
        <v>599</v>
      </c>
      <c r="L599" s="10">
        <f t="shared" si="46"/>
        <v>52015</v>
      </c>
      <c r="M599" s="1">
        <f t="shared" si="47"/>
        <v>1</v>
      </c>
      <c r="N599" s="1">
        <f t="shared" si="48"/>
        <v>1</v>
      </c>
      <c r="O599" s="1" t="str">
        <f>IF(I599=0,"UNUSED",IF(A599="","MISSING ID",IF(K599=0,"UNEXPECTED ID",IF(N599&lt;&gt;1,"ID / ORDER DIFFERENCE",IF('Source build'!U599&lt;&gt;"INCLUDED","EXCLUDED SOURCE",IF(NOT(M599),"INVALID AMOUNT",IF('Source build'!Y599&lt;&gt;0,"CHANGED FIELDS","MATCH")))))))</f>
        <v>MATCH</v>
      </c>
      <c r="P599" s="1" t="str">
        <f t="shared" si="49"/>
        <v>2026-01</v>
      </c>
    </row>
    <row r="600" spans="1:16" ht="18.95" customHeight="1">
      <c r="A600" s="7" t="s">
        <v>1673</v>
      </c>
      <c r="B600" s="7" t="s">
        <v>1671</v>
      </c>
      <c r="C600" s="7" t="s">
        <v>254</v>
      </c>
      <c r="D600" s="7" t="s">
        <v>103</v>
      </c>
      <c r="E600" s="7" t="s">
        <v>48</v>
      </c>
      <c r="F600" s="7" t="s">
        <v>98</v>
      </c>
      <c r="G600" s="7" t="s">
        <v>1674</v>
      </c>
      <c r="I600" s="1">
        <f t="shared" si="45"/>
        <v>1</v>
      </c>
      <c r="J600" s="1" t="str">
        <f>'Source build'!A600</f>
        <v>L00594</v>
      </c>
      <c r="K600" s="1">
        <f>600</f>
        <v>600</v>
      </c>
      <c r="L600" s="10">
        <f t="shared" si="46"/>
        <v>20880</v>
      </c>
      <c r="M600" s="1">
        <f t="shared" si="47"/>
        <v>1</v>
      </c>
      <c r="N600" s="1">
        <f t="shared" si="48"/>
        <v>1</v>
      </c>
      <c r="O600" s="1" t="str">
        <f>IF(I600=0,"UNUSED",IF(A600="","MISSING ID",IF(K600=0,"UNEXPECTED ID",IF(N600&lt;&gt;1,"ID / ORDER DIFFERENCE",IF('Source build'!U600&lt;&gt;"INCLUDED","EXCLUDED SOURCE",IF(NOT(M600),"INVALID AMOUNT",IF('Source build'!Y600&lt;&gt;0,"CHANGED FIELDS","MATCH")))))))</f>
        <v>MATCH</v>
      </c>
      <c r="P600" s="1" t="str">
        <f t="shared" si="49"/>
        <v>2026-01</v>
      </c>
    </row>
    <row r="601" spans="1:16" ht="18.95" customHeight="1">
      <c r="A601" s="7" t="s">
        <v>1675</v>
      </c>
      <c r="B601" s="7" t="s">
        <v>1676</v>
      </c>
      <c r="C601" s="7" t="s">
        <v>260</v>
      </c>
      <c r="D601" s="7" t="s">
        <v>93</v>
      </c>
      <c r="E601" s="7" t="s">
        <v>46</v>
      </c>
      <c r="F601" s="7" t="s">
        <v>98</v>
      </c>
      <c r="G601" s="7" t="s">
        <v>1677</v>
      </c>
      <c r="I601" s="1">
        <f t="shared" si="45"/>
        <v>1</v>
      </c>
      <c r="J601" s="1" t="str">
        <f>'Source build'!A601</f>
        <v>L00595</v>
      </c>
      <c r="K601" s="1">
        <f>601</f>
        <v>601</v>
      </c>
      <c r="L601" s="10">
        <f t="shared" si="46"/>
        <v>41908</v>
      </c>
      <c r="M601" s="1">
        <f t="shared" si="47"/>
        <v>1</v>
      </c>
      <c r="N601" s="1">
        <f t="shared" si="48"/>
        <v>1</v>
      </c>
      <c r="O601" s="1" t="str">
        <f>IF(I601=0,"UNUSED",IF(A601="","MISSING ID",IF(K601=0,"UNEXPECTED ID",IF(N601&lt;&gt;1,"ID / ORDER DIFFERENCE",IF('Source build'!U601&lt;&gt;"INCLUDED","EXCLUDED SOURCE",IF(NOT(M601),"INVALID AMOUNT",IF('Source build'!Y601&lt;&gt;0,"CHANGED FIELDS","MATCH")))))))</f>
        <v>MATCH</v>
      </c>
      <c r="P601" s="1" t="str">
        <f t="shared" si="49"/>
        <v>2026-01</v>
      </c>
    </row>
    <row r="602" spans="1:16" ht="18.95" customHeight="1">
      <c r="A602" s="7" t="s">
        <v>1678</v>
      </c>
      <c r="B602" s="7" t="s">
        <v>1676</v>
      </c>
      <c r="C602" s="7" t="s">
        <v>260</v>
      </c>
      <c r="D602" s="7" t="s">
        <v>97</v>
      </c>
      <c r="E602" s="7" t="s">
        <v>47</v>
      </c>
      <c r="F602" s="7" t="s">
        <v>98</v>
      </c>
      <c r="G602" s="7" t="s">
        <v>1679</v>
      </c>
      <c r="I602" s="1">
        <f t="shared" si="45"/>
        <v>1</v>
      </c>
      <c r="J602" s="1" t="str">
        <f>'Source build'!A602</f>
        <v>L00596</v>
      </c>
      <c r="K602" s="1">
        <f>602</f>
        <v>602</v>
      </c>
      <c r="L602" s="10">
        <f t="shared" si="46"/>
        <v>10514</v>
      </c>
      <c r="M602" s="1">
        <f t="shared" si="47"/>
        <v>1</v>
      </c>
      <c r="N602" s="1">
        <f t="shared" si="48"/>
        <v>1</v>
      </c>
      <c r="O602" s="1" t="str">
        <f>IF(I602=0,"UNUSED",IF(A602="","MISSING ID",IF(K602=0,"UNEXPECTED ID",IF(N602&lt;&gt;1,"ID / ORDER DIFFERENCE",IF('Source build'!U602&lt;&gt;"INCLUDED","EXCLUDED SOURCE",IF(NOT(M602),"INVALID AMOUNT",IF('Source build'!Y602&lt;&gt;0,"CHANGED FIELDS","MATCH")))))))</f>
        <v>MATCH</v>
      </c>
      <c r="P602" s="1" t="str">
        <f t="shared" si="49"/>
        <v>2026-01</v>
      </c>
    </row>
    <row r="603" spans="1:16" ht="18.95" customHeight="1">
      <c r="A603" s="7" t="s">
        <v>1680</v>
      </c>
      <c r="B603" s="7" t="s">
        <v>1681</v>
      </c>
      <c r="C603" s="7" t="s">
        <v>266</v>
      </c>
      <c r="D603" s="7" t="s">
        <v>103</v>
      </c>
      <c r="E603" s="7" t="s">
        <v>48</v>
      </c>
      <c r="F603" s="7" t="s">
        <v>98</v>
      </c>
      <c r="G603" s="7" t="s">
        <v>1682</v>
      </c>
      <c r="I603" s="1">
        <f t="shared" si="45"/>
        <v>1</v>
      </c>
      <c r="J603" s="1" t="str">
        <f>'Source build'!A603</f>
        <v>L00597</v>
      </c>
      <c r="K603" s="1">
        <f>603</f>
        <v>603</v>
      </c>
      <c r="L603" s="10">
        <f t="shared" si="46"/>
        <v>31653</v>
      </c>
      <c r="M603" s="1">
        <f t="shared" si="47"/>
        <v>1</v>
      </c>
      <c r="N603" s="1">
        <f t="shared" si="48"/>
        <v>1</v>
      </c>
      <c r="O603" s="1" t="str">
        <f>IF(I603=0,"UNUSED",IF(A603="","MISSING ID",IF(K603=0,"UNEXPECTED ID",IF(N603&lt;&gt;1,"ID / ORDER DIFFERENCE",IF('Source build'!U603&lt;&gt;"INCLUDED","EXCLUDED SOURCE",IF(NOT(M603),"INVALID AMOUNT",IF('Source build'!Y603&lt;&gt;0,"CHANGED FIELDS","MATCH")))))))</f>
        <v>MATCH</v>
      </c>
      <c r="P603" s="1" t="str">
        <f t="shared" si="49"/>
        <v>2026-01</v>
      </c>
    </row>
    <row r="604" spans="1:16" ht="18.95" customHeight="1">
      <c r="A604" s="7" t="s">
        <v>1683</v>
      </c>
      <c r="B604" s="7" t="s">
        <v>1681</v>
      </c>
      <c r="C604" s="7" t="s">
        <v>266</v>
      </c>
      <c r="D604" s="7" t="s">
        <v>93</v>
      </c>
      <c r="E604" s="7" t="s">
        <v>46</v>
      </c>
      <c r="F604" s="7" t="s">
        <v>98</v>
      </c>
      <c r="G604" s="7" t="s">
        <v>1684</v>
      </c>
      <c r="I604" s="1">
        <f t="shared" si="45"/>
        <v>1</v>
      </c>
      <c r="J604" s="1" t="str">
        <f>'Source build'!A604</f>
        <v>L00598</v>
      </c>
      <c r="K604" s="1">
        <f>604</f>
        <v>604</v>
      </c>
      <c r="L604" s="10">
        <f t="shared" si="46"/>
        <v>52940</v>
      </c>
      <c r="M604" s="1">
        <f t="shared" si="47"/>
        <v>1</v>
      </c>
      <c r="N604" s="1">
        <f t="shared" si="48"/>
        <v>1</v>
      </c>
      <c r="O604" s="1" t="str">
        <f>IF(I604=0,"UNUSED",IF(A604="","MISSING ID",IF(K604=0,"UNEXPECTED ID",IF(N604&lt;&gt;1,"ID / ORDER DIFFERENCE",IF('Source build'!U604&lt;&gt;"INCLUDED","EXCLUDED SOURCE",IF(NOT(M604),"INVALID AMOUNT",IF('Source build'!Y604&lt;&gt;0,"CHANGED FIELDS","MATCH")))))))</f>
        <v>MATCH</v>
      </c>
      <c r="P604" s="1" t="str">
        <f t="shared" si="49"/>
        <v>2026-01</v>
      </c>
    </row>
    <row r="605" spans="1:16" ht="18.95" customHeight="1">
      <c r="A605" s="7" t="s">
        <v>1685</v>
      </c>
      <c r="B605" s="7" t="s">
        <v>1686</v>
      </c>
      <c r="C605" s="7" t="s">
        <v>272</v>
      </c>
      <c r="D605" s="7" t="s">
        <v>97</v>
      </c>
      <c r="E605" s="7" t="s">
        <v>47</v>
      </c>
      <c r="F605" s="7" t="s">
        <v>94</v>
      </c>
      <c r="G605" s="7" t="s">
        <v>1687</v>
      </c>
      <c r="I605" s="1">
        <f t="shared" si="45"/>
        <v>1</v>
      </c>
      <c r="J605" s="1" t="str">
        <f>'Source build'!A605</f>
        <v>L00599</v>
      </c>
      <c r="K605" s="1">
        <f>605</f>
        <v>605</v>
      </c>
      <c r="L605" s="10">
        <f t="shared" si="46"/>
        <v>-21250</v>
      </c>
      <c r="M605" s="1">
        <f t="shared" si="47"/>
        <v>1</v>
      </c>
      <c r="N605" s="1">
        <f t="shared" si="48"/>
        <v>1</v>
      </c>
      <c r="O605" s="1" t="str">
        <f>IF(I605=0,"UNUSED",IF(A605="","MISSING ID",IF(K605=0,"UNEXPECTED ID",IF(N605&lt;&gt;1,"ID / ORDER DIFFERENCE",IF('Source build'!U605&lt;&gt;"INCLUDED","EXCLUDED SOURCE",IF(NOT(M605),"INVALID AMOUNT",IF('Source build'!Y605&lt;&gt;0,"CHANGED FIELDS","MATCH")))))))</f>
        <v>MATCH</v>
      </c>
      <c r="P605" s="1" t="str">
        <f t="shared" si="49"/>
        <v>2026-01</v>
      </c>
    </row>
    <row r="606" spans="1:16" ht="18.95" customHeight="1">
      <c r="A606" s="7" t="s">
        <v>1688</v>
      </c>
      <c r="B606" s="7" t="s">
        <v>1686</v>
      </c>
      <c r="C606" s="7" t="s">
        <v>272</v>
      </c>
      <c r="D606" s="7" t="s">
        <v>103</v>
      </c>
      <c r="E606" s="7" t="s">
        <v>48</v>
      </c>
      <c r="F606" s="7" t="s">
        <v>98</v>
      </c>
      <c r="G606" s="7" t="s">
        <v>1689</v>
      </c>
      <c r="I606" s="1">
        <f t="shared" si="45"/>
        <v>1</v>
      </c>
      <c r="J606" s="1" t="str">
        <f>'Source build'!A606</f>
        <v>L00600</v>
      </c>
      <c r="K606" s="1">
        <f>606</f>
        <v>606</v>
      </c>
      <c r="L606" s="10">
        <f t="shared" si="46"/>
        <v>42648</v>
      </c>
      <c r="M606" s="1">
        <f t="shared" si="47"/>
        <v>1</v>
      </c>
      <c r="N606" s="1">
        <f t="shared" si="48"/>
        <v>1</v>
      </c>
      <c r="O606" s="1" t="str">
        <f>IF(I606=0,"UNUSED",IF(A606="","MISSING ID",IF(K606=0,"UNEXPECTED ID",IF(N606&lt;&gt;1,"ID / ORDER DIFFERENCE",IF('Source build'!U606&lt;&gt;"INCLUDED","EXCLUDED SOURCE",IF(NOT(M606),"INVALID AMOUNT",IF('Source build'!Y606&lt;&gt;0,"CHANGED FIELDS","MATCH")))))))</f>
        <v>MATCH</v>
      </c>
      <c r="P606" s="1" t="str">
        <f t="shared" si="49"/>
        <v>2026-01</v>
      </c>
    </row>
    <row r="607" spans="1:16" ht="18.95" customHeight="1">
      <c r="A607" s="7" t="s">
        <v>1690</v>
      </c>
      <c r="B607" s="7" t="s">
        <v>1691</v>
      </c>
      <c r="C607" s="7" t="s">
        <v>278</v>
      </c>
      <c r="D607" s="7" t="s">
        <v>93</v>
      </c>
      <c r="E607" s="7" t="s">
        <v>46</v>
      </c>
      <c r="F607" s="7" t="s">
        <v>98</v>
      </c>
      <c r="G607" s="7" t="s">
        <v>1692</v>
      </c>
      <c r="I607" s="1">
        <f t="shared" si="45"/>
        <v>1</v>
      </c>
      <c r="J607" s="1" t="str">
        <f>'Source build'!A607</f>
        <v>L00601</v>
      </c>
      <c r="K607" s="1">
        <f>607</f>
        <v>607</v>
      </c>
      <c r="L607" s="10">
        <f t="shared" si="46"/>
        <v>10699</v>
      </c>
      <c r="M607" s="1">
        <f t="shared" si="47"/>
        <v>1</v>
      </c>
      <c r="N607" s="1">
        <f t="shared" si="48"/>
        <v>1</v>
      </c>
      <c r="O607" s="1" t="str">
        <f>IF(I607=0,"UNUSED",IF(A607="","MISSING ID",IF(K607=0,"UNEXPECTED ID",IF(N607&lt;&gt;1,"ID / ORDER DIFFERENCE",IF('Source build'!U607&lt;&gt;"INCLUDED","EXCLUDED SOURCE",IF(NOT(M607),"INVALID AMOUNT",IF('Source build'!Y607&lt;&gt;0,"CHANGED FIELDS","MATCH")))))))</f>
        <v>MATCH</v>
      </c>
      <c r="P607" s="1" t="str">
        <f t="shared" si="49"/>
        <v>2026-01</v>
      </c>
    </row>
    <row r="608" spans="1:16" ht="18.95" customHeight="1">
      <c r="A608" s="7" t="s">
        <v>1693</v>
      </c>
      <c r="B608" s="7" t="s">
        <v>1691</v>
      </c>
      <c r="C608" s="7" t="s">
        <v>278</v>
      </c>
      <c r="D608" s="7" t="s">
        <v>97</v>
      </c>
      <c r="E608" s="7" t="s">
        <v>47</v>
      </c>
      <c r="F608" s="7" t="s">
        <v>98</v>
      </c>
      <c r="G608" s="7" t="s">
        <v>1694</v>
      </c>
      <c r="I608" s="1">
        <f t="shared" si="45"/>
        <v>1</v>
      </c>
      <c r="J608" s="1" t="str">
        <f>'Source build'!A608</f>
        <v>L00602</v>
      </c>
      <c r="K608" s="1">
        <f>608</f>
        <v>608</v>
      </c>
      <c r="L608" s="10">
        <f t="shared" si="46"/>
        <v>32208</v>
      </c>
      <c r="M608" s="1">
        <f t="shared" si="47"/>
        <v>1</v>
      </c>
      <c r="N608" s="1">
        <f t="shared" si="48"/>
        <v>1</v>
      </c>
      <c r="O608" s="1" t="str">
        <f>IF(I608=0,"UNUSED",IF(A608="","MISSING ID",IF(K608=0,"UNEXPECTED ID",IF(N608&lt;&gt;1,"ID / ORDER DIFFERENCE",IF('Source build'!U608&lt;&gt;"INCLUDED","EXCLUDED SOURCE",IF(NOT(M608),"INVALID AMOUNT",IF('Source build'!Y608&lt;&gt;0,"CHANGED FIELDS","MATCH")))))))</f>
        <v>MATCH</v>
      </c>
      <c r="P608" s="1" t="str">
        <f t="shared" si="49"/>
        <v>2026-01</v>
      </c>
    </row>
    <row r="609" spans="1:16" ht="18.95" customHeight="1">
      <c r="A609" s="7" t="s">
        <v>1695</v>
      </c>
      <c r="B609" s="7" t="s">
        <v>1696</v>
      </c>
      <c r="C609" s="7" t="s">
        <v>284</v>
      </c>
      <c r="D609" s="7" t="s">
        <v>103</v>
      </c>
      <c r="E609" s="7" t="s">
        <v>48</v>
      </c>
      <c r="F609" s="7" t="s">
        <v>98</v>
      </c>
      <c r="G609" s="7" t="s">
        <v>1697</v>
      </c>
      <c r="I609" s="1">
        <f t="shared" si="45"/>
        <v>1</v>
      </c>
      <c r="J609" s="1" t="str">
        <f>'Source build'!A609</f>
        <v>L00603</v>
      </c>
      <c r="K609" s="1">
        <f>609</f>
        <v>609</v>
      </c>
      <c r="L609" s="10">
        <f t="shared" si="46"/>
        <v>53865</v>
      </c>
      <c r="M609" s="1">
        <f t="shared" si="47"/>
        <v>1</v>
      </c>
      <c r="N609" s="1">
        <f t="shared" si="48"/>
        <v>1</v>
      </c>
      <c r="O609" s="1" t="str">
        <f>IF(I609=0,"UNUSED",IF(A609="","MISSING ID",IF(K609=0,"UNEXPECTED ID",IF(N609&lt;&gt;1,"ID / ORDER DIFFERENCE",IF('Source build'!U609&lt;&gt;"INCLUDED","EXCLUDED SOURCE",IF(NOT(M609),"INVALID AMOUNT",IF('Source build'!Y609&lt;&gt;0,"CHANGED FIELDS","MATCH")))))))</f>
        <v>MATCH</v>
      </c>
      <c r="P609" s="1" t="str">
        <f t="shared" si="49"/>
        <v>2026-02</v>
      </c>
    </row>
    <row r="610" spans="1:16" ht="18.95" customHeight="1">
      <c r="A610" s="7" t="s">
        <v>1698</v>
      </c>
      <c r="B610" s="7" t="s">
        <v>1696</v>
      </c>
      <c r="C610" s="7" t="s">
        <v>284</v>
      </c>
      <c r="D610" s="7" t="s">
        <v>93</v>
      </c>
      <c r="E610" s="7" t="s">
        <v>46</v>
      </c>
      <c r="F610" s="7" t="s">
        <v>98</v>
      </c>
      <c r="G610" s="7" t="s">
        <v>1699</v>
      </c>
      <c r="I610" s="1">
        <f t="shared" si="45"/>
        <v>1</v>
      </c>
      <c r="J610" s="1" t="str">
        <f>'Source build'!A610</f>
        <v>L00604</v>
      </c>
      <c r="K610" s="1">
        <f>610</f>
        <v>610</v>
      </c>
      <c r="L610" s="10">
        <f t="shared" si="46"/>
        <v>21620</v>
      </c>
      <c r="M610" s="1">
        <f t="shared" si="47"/>
        <v>1</v>
      </c>
      <c r="N610" s="1">
        <f t="shared" si="48"/>
        <v>1</v>
      </c>
      <c r="O610" s="1" t="str">
        <f>IF(I610=0,"UNUSED",IF(A610="","MISSING ID",IF(K610=0,"UNEXPECTED ID",IF(N610&lt;&gt;1,"ID / ORDER DIFFERENCE",IF('Source build'!U610&lt;&gt;"INCLUDED","EXCLUDED SOURCE",IF(NOT(M610),"INVALID AMOUNT",IF('Source build'!Y610&lt;&gt;0,"CHANGED FIELDS","MATCH")))))))</f>
        <v>MATCH</v>
      </c>
      <c r="P610" s="1" t="str">
        <f t="shared" si="49"/>
        <v>2026-02</v>
      </c>
    </row>
    <row r="611" spans="1:16" ht="18.95" customHeight="1">
      <c r="A611" s="7" t="s">
        <v>1700</v>
      </c>
      <c r="B611" s="7" t="s">
        <v>1701</v>
      </c>
      <c r="C611" s="7" t="s">
        <v>290</v>
      </c>
      <c r="D611" s="7" t="s">
        <v>97</v>
      </c>
      <c r="E611" s="7" t="s">
        <v>47</v>
      </c>
      <c r="F611" s="7" t="s">
        <v>98</v>
      </c>
      <c r="G611" s="7" t="s">
        <v>1702</v>
      </c>
      <c r="I611" s="1">
        <f t="shared" si="45"/>
        <v>1</v>
      </c>
      <c r="J611" s="1" t="str">
        <f>'Source build'!A611</f>
        <v>L00605</v>
      </c>
      <c r="K611" s="1">
        <f>611</f>
        <v>611</v>
      </c>
      <c r="L611" s="10">
        <f t="shared" si="46"/>
        <v>43388</v>
      </c>
      <c r="M611" s="1">
        <f t="shared" si="47"/>
        <v>1</v>
      </c>
      <c r="N611" s="1">
        <f t="shared" si="48"/>
        <v>1</v>
      </c>
      <c r="O611" s="1" t="str">
        <f>IF(I611=0,"UNUSED",IF(A611="","MISSING ID",IF(K611=0,"UNEXPECTED ID",IF(N611&lt;&gt;1,"ID / ORDER DIFFERENCE",IF('Source build'!U611&lt;&gt;"INCLUDED","EXCLUDED SOURCE",IF(NOT(M611),"INVALID AMOUNT",IF('Source build'!Y611&lt;&gt;0,"CHANGED FIELDS","MATCH")))))))</f>
        <v>MATCH</v>
      </c>
      <c r="P611" s="1" t="str">
        <f t="shared" si="49"/>
        <v>2026-02</v>
      </c>
    </row>
    <row r="612" spans="1:16" ht="18.95" customHeight="1">
      <c r="A612" s="7" t="s">
        <v>1703</v>
      </c>
      <c r="B612" s="7" t="s">
        <v>1701</v>
      </c>
      <c r="C612" s="7" t="s">
        <v>290</v>
      </c>
      <c r="D612" s="7" t="s">
        <v>103</v>
      </c>
      <c r="E612" s="7" t="s">
        <v>48</v>
      </c>
      <c r="F612" s="7" t="s">
        <v>98</v>
      </c>
      <c r="G612" s="7" t="s">
        <v>1704</v>
      </c>
      <c r="I612" s="1">
        <f t="shared" si="45"/>
        <v>1</v>
      </c>
      <c r="J612" s="1" t="str">
        <f>'Source build'!A612</f>
        <v>L00606</v>
      </c>
      <c r="K612" s="1">
        <f>612</f>
        <v>612</v>
      </c>
      <c r="L612" s="10">
        <f t="shared" si="46"/>
        <v>10884</v>
      </c>
      <c r="M612" s="1">
        <f t="shared" si="47"/>
        <v>1</v>
      </c>
      <c r="N612" s="1">
        <f t="shared" si="48"/>
        <v>1</v>
      </c>
      <c r="O612" s="1" t="str">
        <f>IF(I612=0,"UNUSED",IF(A612="","MISSING ID",IF(K612=0,"UNEXPECTED ID",IF(N612&lt;&gt;1,"ID / ORDER DIFFERENCE",IF('Source build'!U612&lt;&gt;"INCLUDED","EXCLUDED SOURCE",IF(NOT(M612),"INVALID AMOUNT",IF('Source build'!Y612&lt;&gt;0,"CHANGED FIELDS","MATCH")))))))</f>
        <v>MATCH</v>
      </c>
      <c r="P612" s="1" t="str">
        <f t="shared" si="49"/>
        <v>2026-02</v>
      </c>
    </row>
    <row r="613" spans="1:16" ht="18.95" customHeight="1">
      <c r="A613" s="7" t="s">
        <v>1705</v>
      </c>
      <c r="B613" s="7" t="s">
        <v>1706</v>
      </c>
      <c r="C613" s="7" t="s">
        <v>296</v>
      </c>
      <c r="D613" s="7" t="s">
        <v>93</v>
      </c>
      <c r="E613" s="7" t="s">
        <v>46</v>
      </c>
      <c r="F613" s="7" t="s">
        <v>98</v>
      </c>
      <c r="G613" s="7" t="s">
        <v>1707</v>
      </c>
      <c r="I613" s="1">
        <f t="shared" si="45"/>
        <v>1</v>
      </c>
      <c r="J613" s="1" t="str">
        <f>'Source build'!A613</f>
        <v>L00607</v>
      </c>
      <c r="K613" s="1">
        <f>613</f>
        <v>613</v>
      </c>
      <c r="L613" s="10">
        <f t="shared" si="46"/>
        <v>32763</v>
      </c>
      <c r="M613" s="1">
        <f t="shared" si="47"/>
        <v>1</v>
      </c>
      <c r="N613" s="1">
        <f t="shared" si="48"/>
        <v>1</v>
      </c>
      <c r="O613" s="1" t="str">
        <f>IF(I613=0,"UNUSED",IF(A613="","MISSING ID",IF(K613=0,"UNEXPECTED ID",IF(N613&lt;&gt;1,"ID / ORDER DIFFERENCE",IF('Source build'!U613&lt;&gt;"INCLUDED","EXCLUDED SOURCE",IF(NOT(M613),"INVALID AMOUNT",IF('Source build'!Y613&lt;&gt;0,"CHANGED FIELDS","MATCH")))))))</f>
        <v>MATCH</v>
      </c>
      <c r="P613" s="1" t="str">
        <f t="shared" si="49"/>
        <v>2026-02</v>
      </c>
    </row>
    <row r="614" spans="1:16" ht="18.95" customHeight="1">
      <c r="A614" s="7" t="s">
        <v>1708</v>
      </c>
      <c r="B614" s="7" t="s">
        <v>1706</v>
      </c>
      <c r="C614" s="7" t="s">
        <v>296</v>
      </c>
      <c r="D614" s="7" t="s">
        <v>97</v>
      </c>
      <c r="E614" s="7" t="s">
        <v>47</v>
      </c>
      <c r="F614" s="7" t="s">
        <v>98</v>
      </c>
      <c r="G614" s="7" t="s">
        <v>1709</v>
      </c>
      <c r="I614" s="1">
        <f t="shared" si="45"/>
        <v>1</v>
      </c>
      <c r="J614" s="1" t="str">
        <f>'Source build'!A614</f>
        <v>L00608</v>
      </c>
      <c r="K614" s="1">
        <f>614</f>
        <v>614</v>
      </c>
      <c r="L614" s="10">
        <f t="shared" si="46"/>
        <v>54790</v>
      </c>
      <c r="M614" s="1">
        <f t="shared" si="47"/>
        <v>1</v>
      </c>
      <c r="N614" s="1">
        <f t="shared" si="48"/>
        <v>1</v>
      </c>
      <c r="O614" s="1" t="str">
        <f>IF(I614=0,"UNUSED",IF(A614="","MISSING ID",IF(K614=0,"UNEXPECTED ID",IF(N614&lt;&gt;1,"ID / ORDER DIFFERENCE",IF('Source build'!U614&lt;&gt;"INCLUDED","EXCLUDED SOURCE",IF(NOT(M614),"INVALID AMOUNT",IF('Source build'!Y614&lt;&gt;0,"CHANGED FIELDS","MATCH")))))))</f>
        <v>MATCH</v>
      </c>
      <c r="P614" s="1" t="str">
        <f t="shared" si="49"/>
        <v>2026-02</v>
      </c>
    </row>
    <row r="615" spans="1:16" ht="18.95" customHeight="1">
      <c r="A615" s="7" t="s">
        <v>1710</v>
      </c>
      <c r="B615" s="7" t="s">
        <v>1711</v>
      </c>
      <c r="C615" s="7" t="s">
        <v>302</v>
      </c>
      <c r="D615" s="7" t="s">
        <v>103</v>
      </c>
      <c r="E615" s="7" t="s">
        <v>48</v>
      </c>
      <c r="F615" s="7" t="s">
        <v>98</v>
      </c>
      <c r="G615" s="7" t="s">
        <v>1712</v>
      </c>
      <c r="I615" s="1">
        <f t="shared" si="45"/>
        <v>1</v>
      </c>
      <c r="J615" s="1" t="str">
        <f>'Source build'!A615</f>
        <v>L00609</v>
      </c>
      <c r="K615" s="1">
        <f>615</f>
        <v>615</v>
      </c>
      <c r="L615" s="10">
        <f t="shared" si="46"/>
        <v>21990</v>
      </c>
      <c r="M615" s="1">
        <f t="shared" si="47"/>
        <v>1</v>
      </c>
      <c r="N615" s="1">
        <f t="shared" si="48"/>
        <v>1</v>
      </c>
      <c r="O615" s="1" t="str">
        <f>IF(I615=0,"UNUSED",IF(A615="","MISSING ID",IF(K615=0,"UNEXPECTED ID",IF(N615&lt;&gt;1,"ID / ORDER DIFFERENCE",IF('Source build'!U615&lt;&gt;"INCLUDED","EXCLUDED SOURCE",IF(NOT(M615),"INVALID AMOUNT",IF('Source build'!Y615&lt;&gt;0,"CHANGED FIELDS","MATCH")))))))</f>
        <v>MATCH</v>
      </c>
      <c r="P615" s="1" t="str">
        <f t="shared" si="49"/>
        <v>2026-02</v>
      </c>
    </row>
    <row r="616" spans="1:16" ht="18.95" customHeight="1">
      <c r="A616" s="7" t="s">
        <v>1713</v>
      </c>
      <c r="B616" s="7" t="s">
        <v>1711</v>
      </c>
      <c r="C616" s="7" t="s">
        <v>302</v>
      </c>
      <c r="D616" s="7" t="s">
        <v>93</v>
      </c>
      <c r="E616" s="7" t="s">
        <v>46</v>
      </c>
      <c r="F616" s="7" t="s">
        <v>98</v>
      </c>
      <c r="G616" s="7" t="s">
        <v>1714</v>
      </c>
      <c r="I616" s="1">
        <f t="shared" si="45"/>
        <v>1</v>
      </c>
      <c r="J616" s="1" t="str">
        <f>'Source build'!A616</f>
        <v>L00610</v>
      </c>
      <c r="K616" s="1">
        <f>616</f>
        <v>616</v>
      </c>
      <c r="L616" s="10">
        <f t="shared" si="46"/>
        <v>44128</v>
      </c>
      <c r="M616" s="1">
        <f t="shared" si="47"/>
        <v>1</v>
      </c>
      <c r="N616" s="1">
        <f t="shared" si="48"/>
        <v>1</v>
      </c>
      <c r="O616" s="1" t="str">
        <f>IF(I616=0,"UNUSED",IF(A616="","MISSING ID",IF(K616=0,"UNEXPECTED ID",IF(N616&lt;&gt;1,"ID / ORDER DIFFERENCE",IF('Source build'!U616&lt;&gt;"INCLUDED","EXCLUDED SOURCE",IF(NOT(M616),"INVALID AMOUNT",IF('Source build'!Y616&lt;&gt;0,"CHANGED FIELDS","MATCH")))))))</f>
        <v>MATCH</v>
      </c>
      <c r="P616" s="1" t="str">
        <f t="shared" si="49"/>
        <v>2026-02</v>
      </c>
    </row>
    <row r="617" spans="1:16" ht="18.95" customHeight="1">
      <c r="A617" s="7" t="s">
        <v>1715</v>
      </c>
      <c r="B617" s="7" t="s">
        <v>1716</v>
      </c>
      <c r="C617" s="7" t="s">
        <v>308</v>
      </c>
      <c r="D617" s="7" t="s">
        <v>97</v>
      </c>
      <c r="E617" s="7" t="s">
        <v>47</v>
      </c>
      <c r="F617" s="7" t="s">
        <v>98</v>
      </c>
      <c r="G617" s="7" t="s">
        <v>1717</v>
      </c>
      <c r="I617" s="1">
        <f t="shared" si="45"/>
        <v>1</v>
      </c>
      <c r="J617" s="1" t="str">
        <f>'Source build'!A617</f>
        <v>L00611</v>
      </c>
      <c r="K617" s="1">
        <f>617</f>
        <v>617</v>
      </c>
      <c r="L617" s="10">
        <f t="shared" si="46"/>
        <v>11069</v>
      </c>
      <c r="M617" s="1">
        <f t="shared" si="47"/>
        <v>1</v>
      </c>
      <c r="N617" s="1">
        <f t="shared" si="48"/>
        <v>1</v>
      </c>
      <c r="O617" s="1" t="str">
        <f>IF(I617=0,"UNUSED",IF(A617="","MISSING ID",IF(K617=0,"UNEXPECTED ID",IF(N617&lt;&gt;1,"ID / ORDER DIFFERENCE",IF('Source build'!U617&lt;&gt;"INCLUDED","EXCLUDED SOURCE",IF(NOT(M617),"INVALID AMOUNT",IF('Source build'!Y617&lt;&gt;0,"CHANGED FIELDS","MATCH")))))))</f>
        <v>MATCH</v>
      </c>
      <c r="P617" s="1" t="str">
        <f t="shared" si="49"/>
        <v>2026-03</v>
      </c>
    </row>
    <row r="618" spans="1:16" ht="18.95" customHeight="1">
      <c r="A618" s="7" t="s">
        <v>1718</v>
      </c>
      <c r="B618" s="7" t="s">
        <v>1716</v>
      </c>
      <c r="C618" s="7" t="s">
        <v>308</v>
      </c>
      <c r="D618" s="7" t="s">
        <v>103</v>
      </c>
      <c r="E618" s="7" t="s">
        <v>48</v>
      </c>
      <c r="F618" s="7" t="s">
        <v>98</v>
      </c>
      <c r="G618" s="7" t="s">
        <v>1719</v>
      </c>
      <c r="I618" s="1">
        <f t="shared" si="45"/>
        <v>1</v>
      </c>
      <c r="J618" s="1" t="str">
        <f>'Source build'!A618</f>
        <v>L00612</v>
      </c>
      <c r="K618" s="1">
        <f>618</f>
        <v>618</v>
      </c>
      <c r="L618" s="10">
        <f t="shared" si="46"/>
        <v>33318</v>
      </c>
      <c r="M618" s="1">
        <f t="shared" si="47"/>
        <v>1</v>
      </c>
      <c r="N618" s="1">
        <f t="shared" si="48"/>
        <v>1</v>
      </c>
      <c r="O618" s="1" t="str">
        <f>IF(I618=0,"UNUSED",IF(A618="","MISSING ID",IF(K618=0,"UNEXPECTED ID",IF(N618&lt;&gt;1,"ID / ORDER DIFFERENCE",IF('Source build'!U618&lt;&gt;"INCLUDED","EXCLUDED SOURCE",IF(NOT(M618),"INVALID AMOUNT",IF('Source build'!Y618&lt;&gt;0,"CHANGED FIELDS","MATCH")))))))</f>
        <v>MATCH</v>
      </c>
      <c r="P618" s="1" t="str">
        <f t="shared" si="49"/>
        <v>2026-03</v>
      </c>
    </row>
    <row r="619" spans="1:16" ht="18.95" customHeight="1">
      <c r="A619" s="7" t="s">
        <v>1720</v>
      </c>
      <c r="B619" s="7" t="s">
        <v>1721</v>
      </c>
      <c r="C619" s="7" t="s">
        <v>314</v>
      </c>
      <c r="D619" s="7" t="s">
        <v>93</v>
      </c>
      <c r="E619" s="7" t="s">
        <v>46</v>
      </c>
      <c r="F619" s="7" t="s">
        <v>98</v>
      </c>
      <c r="G619" s="7" t="s">
        <v>1722</v>
      </c>
      <c r="I619" s="1">
        <f t="shared" si="45"/>
        <v>1</v>
      </c>
      <c r="J619" s="1" t="str">
        <f>'Source build'!A619</f>
        <v>L00613</v>
      </c>
      <c r="K619" s="1">
        <f>619</f>
        <v>619</v>
      </c>
      <c r="L619" s="10">
        <f t="shared" si="46"/>
        <v>55715</v>
      </c>
      <c r="M619" s="1">
        <f t="shared" si="47"/>
        <v>1</v>
      </c>
      <c r="N619" s="1">
        <f t="shared" si="48"/>
        <v>1</v>
      </c>
      <c r="O619" s="1" t="str">
        <f>IF(I619=0,"UNUSED",IF(A619="","MISSING ID",IF(K619=0,"UNEXPECTED ID",IF(N619&lt;&gt;1,"ID / ORDER DIFFERENCE",IF('Source build'!U619&lt;&gt;"INCLUDED","EXCLUDED SOURCE",IF(NOT(M619),"INVALID AMOUNT",IF('Source build'!Y619&lt;&gt;0,"CHANGED FIELDS","MATCH")))))))</f>
        <v>MATCH</v>
      </c>
      <c r="P619" s="1" t="str">
        <f t="shared" si="49"/>
        <v>2026-03</v>
      </c>
    </row>
    <row r="620" spans="1:16" ht="18.95" customHeight="1">
      <c r="A620" s="7" t="s">
        <v>1723</v>
      </c>
      <c r="B620" s="7" t="s">
        <v>1721</v>
      </c>
      <c r="C620" s="7" t="s">
        <v>314</v>
      </c>
      <c r="D620" s="7" t="s">
        <v>97</v>
      </c>
      <c r="E620" s="7" t="s">
        <v>47</v>
      </c>
      <c r="F620" s="7" t="s">
        <v>98</v>
      </c>
      <c r="G620" s="7" t="s">
        <v>1724</v>
      </c>
      <c r="I620" s="1">
        <f t="shared" si="45"/>
        <v>1</v>
      </c>
      <c r="J620" s="1" t="str">
        <f>'Source build'!A620</f>
        <v>L00614</v>
      </c>
      <c r="K620" s="1">
        <f>620</f>
        <v>620</v>
      </c>
      <c r="L620" s="10">
        <f t="shared" si="46"/>
        <v>22360</v>
      </c>
      <c r="M620" s="1">
        <f t="shared" si="47"/>
        <v>1</v>
      </c>
      <c r="N620" s="1">
        <f t="shared" si="48"/>
        <v>1</v>
      </c>
      <c r="O620" s="1" t="str">
        <f>IF(I620=0,"UNUSED",IF(A620="","MISSING ID",IF(K620=0,"UNEXPECTED ID",IF(N620&lt;&gt;1,"ID / ORDER DIFFERENCE",IF('Source build'!U620&lt;&gt;"INCLUDED","EXCLUDED SOURCE",IF(NOT(M620),"INVALID AMOUNT",IF('Source build'!Y620&lt;&gt;0,"CHANGED FIELDS","MATCH")))))))</f>
        <v>MATCH</v>
      </c>
      <c r="P620" s="1" t="str">
        <f t="shared" si="49"/>
        <v>2026-03</v>
      </c>
    </row>
    <row r="621" spans="1:16" ht="18.95" customHeight="1">
      <c r="A621" s="7" t="s">
        <v>1725</v>
      </c>
      <c r="B621" s="7" t="s">
        <v>1726</v>
      </c>
      <c r="C621" s="7" t="s">
        <v>320</v>
      </c>
      <c r="D621" s="7" t="s">
        <v>103</v>
      </c>
      <c r="E621" s="7" t="s">
        <v>48</v>
      </c>
      <c r="F621" s="7" t="s">
        <v>98</v>
      </c>
      <c r="G621" s="7" t="s">
        <v>1727</v>
      </c>
      <c r="I621" s="1">
        <f t="shared" si="45"/>
        <v>1</v>
      </c>
      <c r="J621" s="1" t="str">
        <f>'Source build'!A621</f>
        <v>L00615</v>
      </c>
      <c r="K621" s="1">
        <f>621</f>
        <v>621</v>
      </c>
      <c r="L621" s="10">
        <f t="shared" si="46"/>
        <v>44868</v>
      </c>
      <c r="M621" s="1">
        <f t="shared" si="47"/>
        <v>1</v>
      </c>
      <c r="N621" s="1">
        <f t="shared" si="48"/>
        <v>1</v>
      </c>
      <c r="O621" s="1" t="str">
        <f>IF(I621=0,"UNUSED",IF(A621="","MISSING ID",IF(K621=0,"UNEXPECTED ID",IF(N621&lt;&gt;1,"ID / ORDER DIFFERENCE",IF('Source build'!U621&lt;&gt;"INCLUDED","EXCLUDED SOURCE",IF(NOT(M621),"INVALID AMOUNT",IF('Source build'!Y621&lt;&gt;0,"CHANGED FIELDS","MATCH")))))))</f>
        <v>MATCH</v>
      </c>
      <c r="P621" s="1" t="str">
        <f t="shared" si="49"/>
        <v>2026-03</v>
      </c>
    </row>
    <row r="622" spans="1:16" ht="18.95" customHeight="1">
      <c r="A622" s="7" t="s">
        <v>1728</v>
      </c>
      <c r="B622" s="7" t="s">
        <v>1726</v>
      </c>
      <c r="C622" s="7" t="s">
        <v>320</v>
      </c>
      <c r="D622" s="7" t="s">
        <v>93</v>
      </c>
      <c r="E622" s="7" t="s">
        <v>46</v>
      </c>
      <c r="F622" s="7" t="s">
        <v>98</v>
      </c>
      <c r="G622" s="7" t="s">
        <v>1729</v>
      </c>
      <c r="I622" s="1">
        <f t="shared" si="45"/>
        <v>1</v>
      </c>
      <c r="J622" s="1" t="str">
        <f>'Source build'!A622</f>
        <v>L00616</v>
      </c>
      <c r="K622" s="1">
        <f>622</f>
        <v>622</v>
      </c>
      <c r="L622" s="10">
        <f t="shared" si="46"/>
        <v>11254</v>
      </c>
      <c r="M622" s="1">
        <f t="shared" si="47"/>
        <v>1</v>
      </c>
      <c r="N622" s="1">
        <f t="shared" si="48"/>
        <v>1</v>
      </c>
      <c r="O622" s="1" t="str">
        <f>IF(I622=0,"UNUSED",IF(A622="","MISSING ID",IF(K622=0,"UNEXPECTED ID",IF(N622&lt;&gt;1,"ID / ORDER DIFFERENCE",IF('Source build'!U622&lt;&gt;"INCLUDED","EXCLUDED SOURCE",IF(NOT(M622),"INVALID AMOUNT",IF('Source build'!Y622&lt;&gt;0,"CHANGED FIELDS","MATCH")))))))</f>
        <v>MATCH</v>
      </c>
      <c r="P622" s="1" t="str">
        <f t="shared" si="49"/>
        <v>2026-03</v>
      </c>
    </row>
    <row r="623" spans="1:16" ht="18.95" customHeight="1">
      <c r="A623" s="7" t="s">
        <v>1730</v>
      </c>
      <c r="B623" s="7" t="s">
        <v>1731</v>
      </c>
      <c r="C623" s="7" t="s">
        <v>326</v>
      </c>
      <c r="D623" s="7" t="s">
        <v>97</v>
      </c>
      <c r="E623" s="7" t="s">
        <v>47</v>
      </c>
      <c r="F623" s="7" t="s">
        <v>98</v>
      </c>
      <c r="G623" s="7" t="s">
        <v>1732</v>
      </c>
      <c r="I623" s="1">
        <f t="shared" si="45"/>
        <v>1</v>
      </c>
      <c r="J623" s="1" t="str">
        <f>'Source build'!A623</f>
        <v>L00617</v>
      </c>
      <c r="K623" s="1">
        <f>623</f>
        <v>623</v>
      </c>
      <c r="L623" s="10">
        <f t="shared" si="46"/>
        <v>33873</v>
      </c>
      <c r="M623" s="1">
        <f t="shared" si="47"/>
        <v>1</v>
      </c>
      <c r="N623" s="1">
        <f t="shared" si="48"/>
        <v>1</v>
      </c>
      <c r="O623" s="1" t="str">
        <f>IF(I623=0,"UNUSED",IF(A623="","MISSING ID",IF(K623=0,"UNEXPECTED ID",IF(N623&lt;&gt;1,"ID / ORDER DIFFERENCE",IF('Source build'!U623&lt;&gt;"INCLUDED","EXCLUDED SOURCE",IF(NOT(M623),"INVALID AMOUNT",IF('Source build'!Y623&lt;&gt;0,"CHANGED FIELDS","MATCH")))))))</f>
        <v>MATCH</v>
      </c>
      <c r="P623" s="1" t="str">
        <f t="shared" si="49"/>
        <v>2026-03</v>
      </c>
    </row>
    <row r="624" spans="1:16" ht="18.95" customHeight="1">
      <c r="A624" s="7" t="s">
        <v>1733</v>
      </c>
      <c r="B624" s="7" t="s">
        <v>1731</v>
      </c>
      <c r="C624" s="7" t="s">
        <v>326</v>
      </c>
      <c r="D624" s="7" t="s">
        <v>103</v>
      </c>
      <c r="E624" s="7" t="s">
        <v>48</v>
      </c>
      <c r="F624" s="7" t="s">
        <v>98</v>
      </c>
      <c r="G624" s="7" t="s">
        <v>1734</v>
      </c>
      <c r="I624" s="1">
        <f t="shared" si="45"/>
        <v>1</v>
      </c>
      <c r="J624" s="1" t="str">
        <f>'Source build'!A624</f>
        <v>L00618</v>
      </c>
      <c r="K624" s="1">
        <f>624</f>
        <v>624</v>
      </c>
      <c r="L624" s="10">
        <f t="shared" si="46"/>
        <v>56640</v>
      </c>
      <c r="M624" s="1">
        <f t="shared" si="47"/>
        <v>1</v>
      </c>
      <c r="N624" s="1">
        <f t="shared" si="48"/>
        <v>1</v>
      </c>
      <c r="O624" s="1" t="str">
        <f>IF(I624=0,"UNUSED",IF(A624="","MISSING ID",IF(K624=0,"UNEXPECTED ID",IF(N624&lt;&gt;1,"ID / ORDER DIFFERENCE",IF('Source build'!U624&lt;&gt;"INCLUDED","EXCLUDED SOURCE",IF(NOT(M624),"INVALID AMOUNT",IF('Source build'!Y624&lt;&gt;0,"CHANGED FIELDS","MATCH")))))))</f>
        <v>MATCH</v>
      </c>
      <c r="P624" s="1" t="str">
        <f t="shared" si="49"/>
        <v>2026-03</v>
      </c>
    </row>
    <row r="625" spans="1:16" ht="18.95" customHeight="1">
      <c r="A625" s="7" t="s">
        <v>1735</v>
      </c>
      <c r="B625" s="7" t="s">
        <v>1736</v>
      </c>
      <c r="C625" s="7" t="s">
        <v>332</v>
      </c>
      <c r="D625" s="7" t="s">
        <v>93</v>
      </c>
      <c r="E625" s="7" t="s">
        <v>46</v>
      </c>
      <c r="F625" s="7" t="s">
        <v>98</v>
      </c>
      <c r="G625" s="7" t="s">
        <v>1737</v>
      </c>
      <c r="I625" s="1">
        <f t="shared" si="45"/>
        <v>1</v>
      </c>
      <c r="J625" s="1" t="str">
        <f>'Source build'!A625</f>
        <v>L00619</v>
      </c>
      <c r="K625" s="1">
        <f>625</f>
        <v>625</v>
      </c>
      <c r="L625" s="10">
        <f t="shared" si="46"/>
        <v>22730</v>
      </c>
      <c r="M625" s="1">
        <f t="shared" si="47"/>
        <v>1</v>
      </c>
      <c r="N625" s="1">
        <f t="shared" si="48"/>
        <v>1</v>
      </c>
      <c r="O625" s="1" t="str">
        <f>IF(I625=0,"UNUSED",IF(A625="","MISSING ID",IF(K625=0,"UNEXPECTED ID",IF(N625&lt;&gt;1,"ID / ORDER DIFFERENCE",IF('Source build'!U625&lt;&gt;"INCLUDED","EXCLUDED SOURCE",IF(NOT(M625),"INVALID AMOUNT",IF('Source build'!Y625&lt;&gt;0,"CHANGED FIELDS","MATCH")))))))</f>
        <v>MATCH</v>
      </c>
      <c r="P625" s="1" t="str">
        <f t="shared" si="49"/>
        <v>2026-01</v>
      </c>
    </row>
    <row r="626" spans="1:16" ht="18.95" customHeight="1">
      <c r="A626" s="7" t="s">
        <v>1738</v>
      </c>
      <c r="B626" s="7" t="s">
        <v>1736</v>
      </c>
      <c r="C626" s="7" t="s">
        <v>332</v>
      </c>
      <c r="D626" s="7" t="s">
        <v>97</v>
      </c>
      <c r="E626" s="7" t="s">
        <v>47</v>
      </c>
      <c r="F626" s="7" t="s">
        <v>98</v>
      </c>
      <c r="G626" s="7" t="s">
        <v>1739</v>
      </c>
      <c r="I626" s="1">
        <f t="shared" si="45"/>
        <v>1</v>
      </c>
      <c r="J626" s="1" t="str">
        <f>'Source build'!A626</f>
        <v>L00620</v>
      </c>
      <c r="K626" s="1">
        <f>626</f>
        <v>626</v>
      </c>
      <c r="L626" s="10">
        <f t="shared" si="46"/>
        <v>45608</v>
      </c>
      <c r="M626" s="1">
        <f t="shared" si="47"/>
        <v>1</v>
      </c>
      <c r="N626" s="1">
        <f t="shared" si="48"/>
        <v>1</v>
      </c>
      <c r="O626" s="1" t="str">
        <f>IF(I626=0,"UNUSED",IF(A626="","MISSING ID",IF(K626=0,"UNEXPECTED ID",IF(N626&lt;&gt;1,"ID / ORDER DIFFERENCE",IF('Source build'!U626&lt;&gt;"INCLUDED","EXCLUDED SOURCE",IF(NOT(M626),"INVALID AMOUNT",IF('Source build'!Y626&lt;&gt;0,"CHANGED FIELDS","MATCH")))))))</f>
        <v>MATCH</v>
      </c>
      <c r="P626" s="1" t="str">
        <f t="shared" si="49"/>
        <v>2026-01</v>
      </c>
    </row>
    <row r="627" spans="1:16" ht="18.95" customHeight="1">
      <c r="A627" s="7" t="s">
        <v>1740</v>
      </c>
      <c r="B627" s="7" t="s">
        <v>1741</v>
      </c>
      <c r="C627" s="7" t="s">
        <v>338</v>
      </c>
      <c r="D627" s="7" t="s">
        <v>103</v>
      </c>
      <c r="E627" s="7" t="s">
        <v>48</v>
      </c>
      <c r="F627" s="7" t="s">
        <v>98</v>
      </c>
      <c r="G627" s="7" t="s">
        <v>1742</v>
      </c>
      <c r="I627" s="1">
        <f t="shared" si="45"/>
        <v>1</v>
      </c>
      <c r="J627" s="1" t="str">
        <f>'Source build'!A627</f>
        <v>L00621</v>
      </c>
      <c r="K627" s="1">
        <f>627</f>
        <v>627</v>
      </c>
      <c r="L627" s="10">
        <f t="shared" si="46"/>
        <v>11439</v>
      </c>
      <c r="M627" s="1">
        <f t="shared" si="47"/>
        <v>1</v>
      </c>
      <c r="N627" s="1">
        <f t="shared" si="48"/>
        <v>1</v>
      </c>
      <c r="O627" s="1" t="str">
        <f>IF(I627=0,"UNUSED",IF(A627="","MISSING ID",IF(K627=0,"UNEXPECTED ID",IF(N627&lt;&gt;1,"ID / ORDER DIFFERENCE",IF('Source build'!U627&lt;&gt;"INCLUDED","EXCLUDED SOURCE",IF(NOT(M627),"INVALID AMOUNT",IF('Source build'!Y627&lt;&gt;0,"CHANGED FIELDS","MATCH")))))))</f>
        <v>MATCH</v>
      </c>
      <c r="P627" s="1" t="str">
        <f t="shared" si="49"/>
        <v>2026-01</v>
      </c>
    </row>
    <row r="628" spans="1:16" ht="18.95" customHeight="1">
      <c r="A628" s="7" t="s">
        <v>1743</v>
      </c>
      <c r="B628" s="7" t="s">
        <v>1741</v>
      </c>
      <c r="C628" s="7" t="s">
        <v>338</v>
      </c>
      <c r="D628" s="7" t="s">
        <v>93</v>
      </c>
      <c r="E628" s="7" t="s">
        <v>46</v>
      </c>
      <c r="F628" s="7" t="s">
        <v>94</v>
      </c>
      <c r="G628" s="7" t="s">
        <v>1744</v>
      </c>
      <c r="I628" s="1">
        <f t="shared" si="45"/>
        <v>1</v>
      </c>
      <c r="J628" s="1" t="str">
        <f>'Source build'!A628</f>
        <v>L00622</v>
      </c>
      <c r="K628" s="1">
        <f>628</f>
        <v>628</v>
      </c>
      <c r="L628" s="10">
        <f t="shared" si="46"/>
        <v>-34428</v>
      </c>
      <c r="M628" s="1">
        <f t="shared" si="47"/>
        <v>1</v>
      </c>
      <c r="N628" s="1">
        <f t="shared" si="48"/>
        <v>1</v>
      </c>
      <c r="O628" s="1" t="str">
        <f>IF(I628=0,"UNUSED",IF(A628="","MISSING ID",IF(K628=0,"UNEXPECTED ID",IF(N628&lt;&gt;1,"ID / ORDER DIFFERENCE",IF('Source build'!U628&lt;&gt;"INCLUDED","EXCLUDED SOURCE",IF(NOT(M628),"INVALID AMOUNT",IF('Source build'!Y628&lt;&gt;0,"CHANGED FIELDS","MATCH")))))))</f>
        <v>MATCH</v>
      </c>
      <c r="P628" s="1" t="str">
        <f t="shared" si="49"/>
        <v>2026-01</v>
      </c>
    </row>
    <row r="629" spans="1:16" ht="18.95" customHeight="1">
      <c r="A629" s="7" t="s">
        <v>1745</v>
      </c>
      <c r="B629" s="7" t="s">
        <v>1746</v>
      </c>
      <c r="C629" s="7" t="s">
        <v>344</v>
      </c>
      <c r="D629" s="7" t="s">
        <v>97</v>
      </c>
      <c r="E629" s="7" t="s">
        <v>47</v>
      </c>
      <c r="F629" s="7" t="s">
        <v>98</v>
      </c>
      <c r="G629" s="7" t="s">
        <v>1747</v>
      </c>
      <c r="I629" s="1">
        <f t="shared" si="45"/>
        <v>1</v>
      </c>
      <c r="J629" s="1" t="str">
        <f>'Source build'!A629</f>
        <v>L00623</v>
      </c>
      <c r="K629" s="1">
        <f>629</f>
        <v>629</v>
      </c>
      <c r="L629" s="10">
        <f t="shared" si="46"/>
        <v>57565</v>
      </c>
      <c r="M629" s="1">
        <f t="shared" si="47"/>
        <v>1</v>
      </c>
      <c r="N629" s="1">
        <f t="shared" si="48"/>
        <v>1</v>
      </c>
      <c r="O629" s="1" t="str">
        <f>IF(I629=0,"UNUSED",IF(A629="","MISSING ID",IF(K629=0,"UNEXPECTED ID",IF(N629&lt;&gt;1,"ID / ORDER DIFFERENCE",IF('Source build'!U629&lt;&gt;"INCLUDED","EXCLUDED SOURCE",IF(NOT(M629),"INVALID AMOUNT",IF('Source build'!Y629&lt;&gt;0,"CHANGED FIELDS","MATCH")))))))</f>
        <v>MATCH</v>
      </c>
      <c r="P629" s="1" t="str">
        <f t="shared" si="49"/>
        <v>2026-01</v>
      </c>
    </row>
    <row r="630" spans="1:16" ht="18.95" customHeight="1">
      <c r="A630" s="7" t="s">
        <v>1748</v>
      </c>
      <c r="B630" s="7" t="s">
        <v>1746</v>
      </c>
      <c r="C630" s="7" t="s">
        <v>344</v>
      </c>
      <c r="D630" s="7" t="s">
        <v>103</v>
      </c>
      <c r="E630" s="7" t="s">
        <v>48</v>
      </c>
      <c r="F630" s="7" t="s">
        <v>98</v>
      </c>
      <c r="G630" s="7" t="s">
        <v>1749</v>
      </c>
      <c r="I630" s="1">
        <f t="shared" si="45"/>
        <v>1</v>
      </c>
      <c r="J630" s="1" t="str">
        <f>'Source build'!A630</f>
        <v>L00624</v>
      </c>
      <c r="K630" s="1">
        <f>630</f>
        <v>630</v>
      </c>
      <c r="L630" s="10">
        <f t="shared" si="46"/>
        <v>23100</v>
      </c>
      <c r="M630" s="1">
        <f t="shared" si="47"/>
        <v>1</v>
      </c>
      <c r="N630" s="1">
        <f t="shared" si="48"/>
        <v>1</v>
      </c>
      <c r="O630" s="1" t="str">
        <f>IF(I630=0,"UNUSED",IF(A630="","MISSING ID",IF(K630=0,"UNEXPECTED ID",IF(N630&lt;&gt;1,"ID / ORDER DIFFERENCE",IF('Source build'!U630&lt;&gt;"INCLUDED","EXCLUDED SOURCE",IF(NOT(M630),"INVALID AMOUNT",IF('Source build'!Y630&lt;&gt;0,"CHANGED FIELDS","MATCH")))))))</f>
        <v>MATCH</v>
      </c>
      <c r="P630" s="1" t="str">
        <f t="shared" si="49"/>
        <v>2026-01</v>
      </c>
    </row>
    <row r="631" spans="1:16" ht="18.95" customHeight="1">
      <c r="A631" s="7" t="s">
        <v>1750</v>
      </c>
      <c r="B631" s="7" t="s">
        <v>1751</v>
      </c>
      <c r="C631" s="7" t="s">
        <v>350</v>
      </c>
      <c r="D631" s="7" t="s">
        <v>93</v>
      </c>
      <c r="E631" s="7" t="s">
        <v>46</v>
      </c>
      <c r="F631" s="7" t="s">
        <v>98</v>
      </c>
      <c r="G631" s="7" t="s">
        <v>1752</v>
      </c>
      <c r="I631" s="1">
        <f t="shared" si="45"/>
        <v>1</v>
      </c>
      <c r="J631" s="1" t="str">
        <f>'Source build'!A631</f>
        <v>L00625</v>
      </c>
      <c r="K631" s="1">
        <f>631</f>
        <v>631</v>
      </c>
      <c r="L631" s="10">
        <f t="shared" si="46"/>
        <v>46348</v>
      </c>
      <c r="M631" s="1">
        <f t="shared" si="47"/>
        <v>1</v>
      </c>
      <c r="N631" s="1">
        <f t="shared" si="48"/>
        <v>1</v>
      </c>
      <c r="O631" s="1" t="str">
        <f>IF(I631=0,"UNUSED",IF(A631="","MISSING ID",IF(K631=0,"UNEXPECTED ID",IF(N631&lt;&gt;1,"ID / ORDER DIFFERENCE",IF('Source build'!U631&lt;&gt;"INCLUDED","EXCLUDED SOURCE",IF(NOT(M631),"INVALID AMOUNT",IF('Source build'!Y631&lt;&gt;0,"CHANGED FIELDS","MATCH")))))))</f>
        <v>MATCH</v>
      </c>
      <c r="P631" s="1" t="str">
        <f t="shared" si="49"/>
        <v>2026-01</v>
      </c>
    </row>
    <row r="632" spans="1:16" ht="18.95" customHeight="1">
      <c r="A632" s="7" t="s">
        <v>1753</v>
      </c>
      <c r="B632" s="7" t="s">
        <v>1751</v>
      </c>
      <c r="C632" s="7" t="s">
        <v>350</v>
      </c>
      <c r="D632" s="7" t="s">
        <v>97</v>
      </c>
      <c r="E632" s="7" t="s">
        <v>47</v>
      </c>
      <c r="F632" s="7" t="s">
        <v>98</v>
      </c>
      <c r="G632" s="7" t="s">
        <v>1754</v>
      </c>
      <c r="I632" s="1">
        <f t="shared" si="45"/>
        <v>1</v>
      </c>
      <c r="J632" s="1" t="str">
        <f>'Source build'!A632</f>
        <v>L00626</v>
      </c>
      <c r="K632" s="1">
        <f>632</f>
        <v>632</v>
      </c>
      <c r="L632" s="10">
        <f t="shared" si="46"/>
        <v>11624</v>
      </c>
      <c r="M632" s="1">
        <f t="shared" si="47"/>
        <v>1</v>
      </c>
      <c r="N632" s="1">
        <f t="shared" si="48"/>
        <v>1</v>
      </c>
      <c r="O632" s="1" t="str">
        <f>IF(I632=0,"UNUSED",IF(A632="","MISSING ID",IF(K632=0,"UNEXPECTED ID",IF(N632&lt;&gt;1,"ID / ORDER DIFFERENCE",IF('Source build'!U632&lt;&gt;"INCLUDED","EXCLUDED SOURCE",IF(NOT(M632),"INVALID AMOUNT",IF('Source build'!Y632&lt;&gt;0,"CHANGED FIELDS","MATCH")))))))</f>
        <v>MATCH</v>
      </c>
      <c r="P632" s="1" t="str">
        <f t="shared" si="49"/>
        <v>2026-01</v>
      </c>
    </row>
    <row r="633" spans="1:16" ht="18.95" customHeight="1">
      <c r="A633" s="7" t="s">
        <v>1755</v>
      </c>
      <c r="B633" s="7" t="s">
        <v>1756</v>
      </c>
      <c r="C633" s="7" t="s">
        <v>356</v>
      </c>
      <c r="D633" s="7" t="s">
        <v>103</v>
      </c>
      <c r="E633" s="7" t="s">
        <v>48</v>
      </c>
      <c r="F633" s="7" t="s">
        <v>98</v>
      </c>
      <c r="G633" s="7" t="s">
        <v>1757</v>
      </c>
      <c r="I633" s="1">
        <f t="shared" si="45"/>
        <v>1</v>
      </c>
      <c r="J633" s="1" t="str">
        <f>'Source build'!A633</f>
        <v>L00627</v>
      </c>
      <c r="K633" s="1">
        <f>633</f>
        <v>633</v>
      </c>
      <c r="L633" s="10">
        <f t="shared" si="46"/>
        <v>34983</v>
      </c>
      <c r="M633" s="1">
        <f t="shared" si="47"/>
        <v>1</v>
      </c>
      <c r="N633" s="1">
        <f t="shared" si="48"/>
        <v>1</v>
      </c>
      <c r="O633" s="1" t="str">
        <f>IF(I633=0,"UNUSED",IF(A633="","MISSING ID",IF(K633=0,"UNEXPECTED ID",IF(N633&lt;&gt;1,"ID / ORDER DIFFERENCE",IF('Source build'!U633&lt;&gt;"INCLUDED","EXCLUDED SOURCE",IF(NOT(M633),"INVALID AMOUNT",IF('Source build'!Y633&lt;&gt;0,"CHANGED FIELDS","MATCH")))))))</f>
        <v>MATCH</v>
      </c>
      <c r="P633" s="1" t="str">
        <f t="shared" si="49"/>
        <v>2026-02</v>
      </c>
    </row>
    <row r="634" spans="1:16" ht="18.95" customHeight="1">
      <c r="A634" s="7" t="s">
        <v>1758</v>
      </c>
      <c r="B634" s="7" t="s">
        <v>1756</v>
      </c>
      <c r="C634" s="7" t="s">
        <v>356</v>
      </c>
      <c r="D634" s="7" t="s">
        <v>93</v>
      </c>
      <c r="E634" s="7" t="s">
        <v>46</v>
      </c>
      <c r="F634" s="7" t="s">
        <v>98</v>
      </c>
      <c r="G634" s="7" t="s">
        <v>1759</v>
      </c>
      <c r="I634" s="1">
        <f t="shared" si="45"/>
        <v>1</v>
      </c>
      <c r="J634" s="1" t="str">
        <f>'Source build'!A634</f>
        <v>L00628</v>
      </c>
      <c r="K634" s="1">
        <f>634</f>
        <v>634</v>
      </c>
      <c r="L634" s="10">
        <f t="shared" si="46"/>
        <v>58490</v>
      </c>
      <c r="M634" s="1">
        <f t="shared" si="47"/>
        <v>1</v>
      </c>
      <c r="N634" s="1">
        <f t="shared" si="48"/>
        <v>1</v>
      </c>
      <c r="O634" s="1" t="str">
        <f>IF(I634=0,"UNUSED",IF(A634="","MISSING ID",IF(K634=0,"UNEXPECTED ID",IF(N634&lt;&gt;1,"ID / ORDER DIFFERENCE",IF('Source build'!U634&lt;&gt;"INCLUDED","EXCLUDED SOURCE",IF(NOT(M634),"INVALID AMOUNT",IF('Source build'!Y634&lt;&gt;0,"CHANGED FIELDS","MATCH")))))))</f>
        <v>MATCH</v>
      </c>
      <c r="P634" s="1" t="str">
        <f t="shared" si="49"/>
        <v>2026-02</v>
      </c>
    </row>
    <row r="635" spans="1:16" ht="18.95" customHeight="1">
      <c r="A635" s="7" t="s">
        <v>1760</v>
      </c>
      <c r="B635" s="7" t="s">
        <v>1761</v>
      </c>
      <c r="C635" s="7" t="s">
        <v>362</v>
      </c>
      <c r="D635" s="7" t="s">
        <v>97</v>
      </c>
      <c r="E635" s="7" t="s">
        <v>47</v>
      </c>
      <c r="F635" s="7" t="s">
        <v>98</v>
      </c>
      <c r="G635" s="7" t="s">
        <v>1762</v>
      </c>
      <c r="I635" s="1">
        <f t="shared" si="45"/>
        <v>1</v>
      </c>
      <c r="J635" s="1" t="str">
        <f>'Source build'!A635</f>
        <v>L00629</v>
      </c>
      <c r="K635" s="1">
        <f>635</f>
        <v>635</v>
      </c>
      <c r="L635" s="10">
        <f t="shared" si="46"/>
        <v>23470</v>
      </c>
      <c r="M635" s="1">
        <f t="shared" si="47"/>
        <v>1</v>
      </c>
      <c r="N635" s="1">
        <f t="shared" si="48"/>
        <v>1</v>
      </c>
      <c r="O635" s="1" t="str">
        <f>IF(I635=0,"UNUSED",IF(A635="","MISSING ID",IF(K635=0,"UNEXPECTED ID",IF(N635&lt;&gt;1,"ID / ORDER DIFFERENCE",IF('Source build'!U635&lt;&gt;"INCLUDED","EXCLUDED SOURCE",IF(NOT(M635),"INVALID AMOUNT",IF('Source build'!Y635&lt;&gt;0,"CHANGED FIELDS","MATCH")))))))</f>
        <v>MATCH</v>
      </c>
      <c r="P635" s="1" t="str">
        <f t="shared" si="49"/>
        <v>2026-02</v>
      </c>
    </row>
    <row r="636" spans="1:16" ht="18.95" customHeight="1">
      <c r="A636" s="7" t="s">
        <v>1763</v>
      </c>
      <c r="B636" s="7" t="s">
        <v>1761</v>
      </c>
      <c r="C636" s="7" t="s">
        <v>362</v>
      </c>
      <c r="D636" s="7" t="s">
        <v>103</v>
      </c>
      <c r="E636" s="7" t="s">
        <v>48</v>
      </c>
      <c r="F636" s="7" t="s">
        <v>98</v>
      </c>
      <c r="G636" s="7" t="s">
        <v>1764</v>
      </c>
      <c r="I636" s="1">
        <f t="shared" si="45"/>
        <v>1</v>
      </c>
      <c r="J636" s="1" t="str">
        <f>'Source build'!A636</f>
        <v>L00630</v>
      </c>
      <c r="K636" s="1">
        <f>636</f>
        <v>636</v>
      </c>
      <c r="L636" s="10">
        <f t="shared" si="46"/>
        <v>47088</v>
      </c>
      <c r="M636" s="1">
        <f t="shared" si="47"/>
        <v>1</v>
      </c>
      <c r="N636" s="1">
        <f t="shared" si="48"/>
        <v>1</v>
      </c>
      <c r="O636" s="1" t="str">
        <f>IF(I636=0,"UNUSED",IF(A636="","MISSING ID",IF(K636=0,"UNEXPECTED ID",IF(N636&lt;&gt;1,"ID / ORDER DIFFERENCE",IF('Source build'!U636&lt;&gt;"INCLUDED","EXCLUDED SOURCE",IF(NOT(M636),"INVALID AMOUNT",IF('Source build'!Y636&lt;&gt;0,"CHANGED FIELDS","MATCH")))))))</f>
        <v>MATCH</v>
      </c>
      <c r="P636" s="1" t="str">
        <f t="shared" si="49"/>
        <v>2026-02</v>
      </c>
    </row>
    <row r="637" spans="1:16" ht="18.95" customHeight="1">
      <c r="A637" s="7" t="s">
        <v>1765</v>
      </c>
      <c r="B637" s="7" t="s">
        <v>1766</v>
      </c>
      <c r="C637" s="7" t="s">
        <v>368</v>
      </c>
      <c r="D637" s="7" t="s">
        <v>93</v>
      </c>
      <c r="E637" s="7" t="s">
        <v>46</v>
      </c>
      <c r="F637" s="7" t="s">
        <v>98</v>
      </c>
      <c r="G637" s="7" t="s">
        <v>1767</v>
      </c>
      <c r="I637" s="1">
        <f t="shared" si="45"/>
        <v>1</v>
      </c>
      <c r="J637" s="1" t="str">
        <f>'Source build'!A637</f>
        <v>L00631</v>
      </c>
      <c r="K637" s="1">
        <f>637</f>
        <v>637</v>
      </c>
      <c r="L637" s="10">
        <f t="shared" si="46"/>
        <v>11809</v>
      </c>
      <c r="M637" s="1">
        <f t="shared" si="47"/>
        <v>1</v>
      </c>
      <c r="N637" s="1">
        <f t="shared" si="48"/>
        <v>1</v>
      </c>
      <c r="O637" s="1" t="str">
        <f>IF(I637=0,"UNUSED",IF(A637="","MISSING ID",IF(K637=0,"UNEXPECTED ID",IF(N637&lt;&gt;1,"ID / ORDER DIFFERENCE",IF('Source build'!U637&lt;&gt;"INCLUDED","EXCLUDED SOURCE",IF(NOT(M637),"INVALID AMOUNT",IF('Source build'!Y637&lt;&gt;0,"CHANGED FIELDS","MATCH")))))))</f>
        <v>MATCH</v>
      </c>
      <c r="P637" s="1" t="str">
        <f t="shared" si="49"/>
        <v>2026-02</v>
      </c>
    </row>
    <row r="638" spans="1:16" ht="18.95" customHeight="1">
      <c r="A638" s="7" t="s">
        <v>1768</v>
      </c>
      <c r="B638" s="7" t="s">
        <v>1766</v>
      </c>
      <c r="C638" s="7" t="s">
        <v>368</v>
      </c>
      <c r="D638" s="7" t="s">
        <v>97</v>
      </c>
      <c r="E638" s="7" t="s">
        <v>47</v>
      </c>
      <c r="F638" s="7" t="s">
        <v>98</v>
      </c>
      <c r="G638" s="7" t="s">
        <v>1769</v>
      </c>
      <c r="I638" s="1">
        <f t="shared" si="45"/>
        <v>1</v>
      </c>
      <c r="J638" s="1" t="str">
        <f>'Source build'!A638</f>
        <v>L00632</v>
      </c>
      <c r="K638" s="1">
        <f>638</f>
        <v>638</v>
      </c>
      <c r="L638" s="10">
        <f t="shared" si="46"/>
        <v>35538</v>
      </c>
      <c r="M638" s="1">
        <f t="shared" si="47"/>
        <v>1</v>
      </c>
      <c r="N638" s="1">
        <f t="shared" si="48"/>
        <v>1</v>
      </c>
      <c r="O638" s="1" t="str">
        <f>IF(I638=0,"UNUSED",IF(A638="","MISSING ID",IF(K638=0,"UNEXPECTED ID",IF(N638&lt;&gt;1,"ID / ORDER DIFFERENCE",IF('Source build'!U638&lt;&gt;"INCLUDED","EXCLUDED SOURCE",IF(NOT(M638),"INVALID AMOUNT",IF('Source build'!Y638&lt;&gt;0,"CHANGED FIELDS","MATCH")))))))</f>
        <v>MATCH</v>
      </c>
      <c r="P638" s="1" t="str">
        <f t="shared" si="49"/>
        <v>2026-02</v>
      </c>
    </row>
    <row r="639" spans="1:16" ht="18.95" customHeight="1">
      <c r="A639" s="7" t="s">
        <v>1770</v>
      </c>
      <c r="B639" s="7" t="s">
        <v>1771</v>
      </c>
      <c r="C639" s="7" t="s">
        <v>374</v>
      </c>
      <c r="D639" s="7" t="s">
        <v>103</v>
      </c>
      <c r="E639" s="7" t="s">
        <v>48</v>
      </c>
      <c r="F639" s="7" t="s">
        <v>98</v>
      </c>
      <c r="G639" s="7" t="s">
        <v>1772</v>
      </c>
      <c r="I639" s="1">
        <f t="shared" si="45"/>
        <v>1</v>
      </c>
      <c r="J639" s="1" t="str">
        <f>'Source build'!A639</f>
        <v>L00633</v>
      </c>
      <c r="K639" s="1">
        <f>639</f>
        <v>639</v>
      </c>
      <c r="L639" s="10">
        <f t="shared" si="46"/>
        <v>59415</v>
      </c>
      <c r="M639" s="1">
        <f t="shared" si="47"/>
        <v>1</v>
      </c>
      <c r="N639" s="1">
        <f t="shared" si="48"/>
        <v>1</v>
      </c>
      <c r="O639" s="1" t="str">
        <f>IF(I639=0,"UNUSED",IF(A639="","MISSING ID",IF(K639=0,"UNEXPECTED ID",IF(N639&lt;&gt;1,"ID / ORDER DIFFERENCE",IF('Source build'!U639&lt;&gt;"INCLUDED","EXCLUDED SOURCE",IF(NOT(M639),"INVALID AMOUNT",IF('Source build'!Y639&lt;&gt;0,"CHANGED FIELDS","MATCH")))))))</f>
        <v>MATCH</v>
      </c>
      <c r="P639" s="1" t="str">
        <f t="shared" si="49"/>
        <v>2026-02</v>
      </c>
    </row>
    <row r="640" spans="1:16" ht="18.95" customHeight="1">
      <c r="A640" s="7" t="s">
        <v>1773</v>
      </c>
      <c r="B640" s="7" t="s">
        <v>1771</v>
      </c>
      <c r="C640" s="7" t="s">
        <v>374</v>
      </c>
      <c r="D640" s="7" t="s">
        <v>93</v>
      </c>
      <c r="E640" s="7" t="s">
        <v>46</v>
      </c>
      <c r="F640" s="7" t="s">
        <v>98</v>
      </c>
      <c r="G640" s="7" t="s">
        <v>1774</v>
      </c>
      <c r="I640" s="1">
        <f t="shared" si="45"/>
        <v>1</v>
      </c>
      <c r="J640" s="1" t="str">
        <f>'Source build'!A640</f>
        <v>L00634</v>
      </c>
      <c r="K640" s="1">
        <f>640</f>
        <v>640</v>
      </c>
      <c r="L640" s="10">
        <f t="shared" si="46"/>
        <v>23840</v>
      </c>
      <c r="M640" s="1">
        <f t="shared" si="47"/>
        <v>1</v>
      </c>
      <c r="N640" s="1">
        <f t="shared" si="48"/>
        <v>1</v>
      </c>
      <c r="O640" s="1" t="str">
        <f>IF(I640=0,"UNUSED",IF(A640="","MISSING ID",IF(K640=0,"UNEXPECTED ID",IF(N640&lt;&gt;1,"ID / ORDER DIFFERENCE",IF('Source build'!U640&lt;&gt;"INCLUDED","EXCLUDED SOURCE",IF(NOT(M640),"INVALID AMOUNT",IF('Source build'!Y640&lt;&gt;0,"CHANGED FIELDS","MATCH")))))))</f>
        <v>MATCH</v>
      </c>
      <c r="P640" s="1" t="str">
        <f t="shared" si="49"/>
        <v>2026-02</v>
      </c>
    </row>
    <row r="641" spans="1:16" ht="18.95" customHeight="1">
      <c r="A641" s="7" t="s">
        <v>1775</v>
      </c>
      <c r="B641" s="7" t="s">
        <v>1776</v>
      </c>
      <c r="C641" s="7" t="s">
        <v>380</v>
      </c>
      <c r="D641" s="7" t="s">
        <v>97</v>
      </c>
      <c r="E641" s="7" t="s">
        <v>47</v>
      </c>
      <c r="F641" s="7" t="s">
        <v>98</v>
      </c>
      <c r="G641" s="7" t="s">
        <v>1777</v>
      </c>
      <c r="I641" s="1">
        <f t="shared" si="45"/>
        <v>1</v>
      </c>
      <c r="J641" s="1" t="str">
        <f>'Source build'!A641</f>
        <v>L00635</v>
      </c>
      <c r="K641" s="1">
        <f>641</f>
        <v>641</v>
      </c>
      <c r="L641" s="10">
        <f t="shared" si="46"/>
        <v>47828</v>
      </c>
      <c r="M641" s="1">
        <f t="shared" si="47"/>
        <v>1</v>
      </c>
      <c r="N641" s="1">
        <f t="shared" si="48"/>
        <v>1</v>
      </c>
      <c r="O641" s="1" t="str">
        <f>IF(I641=0,"UNUSED",IF(A641="","MISSING ID",IF(K641=0,"UNEXPECTED ID",IF(N641&lt;&gt;1,"ID / ORDER DIFFERENCE",IF('Source build'!U641&lt;&gt;"INCLUDED","EXCLUDED SOURCE",IF(NOT(M641),"INVALID AMOUNT",IF('Source build'!Y641&lt;&gt;0,"CHANGED FIELDS","MATCH")))))))</f>
        <v>MATCH</v>
      </c>
      <c r="P641" s="1" t="str">
        <f t="shared" si="49"/>
        <v>2026-03</v>
      </c>
    </row>
    <row r="642" spans="1:16" ht="18.95" customHeight="1">
      <c r="A642" s="7" t="s">
        <v>1778</v>
      </c>
      <c r="B642" s="7" t="s">
        <v>1776</v>
      </c>
      <c r="C642" s="7" t="s">
        <v>380</v>
      </c>
      <c r="D642" s="7" t="s">
        <v>103</v>
      </c>
      <c r="E642" s="7" t="s">
        <v>48</v>
      </c>
      <c r="F642" s="7" t="s">
        <v>98</v>
      </c>
      <c r="G642" s="7" t="s">
        <v>1779</v>
      </c>
      <c r="I642" s="1">
        <f t="shared" si="45"/>
        <v>1</v>
      </c>
      <c r="J642" s="1" t="str">
        <f>'Source build'!A642</f>
        <v>L00636</v>
      </c>
      <c r="K642" s="1">
        <f>642</f>
        <v>642</v>
      </c>
      <c r="L642" s="10">
        <f t="shared" si="46"/>
        <v>11994</v>
      </c>
      <c r="M642" s="1">
        <f t="shared" si="47"/>
        <v>1</v>
      </c>
      <c r="N642" s="1">
        <f t="shared" si="48"/>
        <v>1</v>
      </c>
      <c r="O642" s="1" t="str">
        <f>IF(I642=0,"UNUSED",IF(A642="","MISSING ID",IF(K642=0,"UNEXPECTED ID",IF(N642&lt;&gt;1,"ID / ORDER DIFFERENCE",IF('Source build'!U642&lt;&gt;"INCLUDED","EXCLUDED SOURCE",IF(NOT(M642),"INVALID AMOUNT",IF('Source build'!Y642&lt;&gt;0,"CHANGED FIELDS","MATCH")))))))</f>
        <v>MATCH</v>
      </c>
      <c r="P642" s="1" t="str">
        <f t="shared" si="49"/>
        <v>2026-03</v>
      </c>
    </row>
    <row r="643" spans="1:16" ht="18.95" customHeight="1">
      <c r="A643" s="7" t="s">
        <v>1780</v>
      </c>
      <c r="B643" s="7" t="s">
        <v>1781</v>
      </c>
      <c r="C643" s="7" t="s">
        <v>386</v>
      </c>
      <c r="D643" s="7" t="s">
        <v>93</v>
      </c>
      <c r="E643" s="7" t="s">
        <v>46</v>
      </c>
      <c r="F643" s="7" t="s">
        <v>98</v>
      </c>
      <c r="G643" s="7" t="s">
        <v>1782</v>
      </c>
      <c r="I643" s="1">
        <f t="shared" si="45"/>
        <v>1</v>
      </c>
      <c r="J643" s="1" t="str">
        <f>'Source build'!A643</f>
        <v>L00637</v>
      </c>
      <c r="K643" s="1">
        <f>643</f>
        <v>643</v>
      </c>
      <c r="L643" s="10">
        <f t="shared" si="46"/>
        <v>36093</v>
      </c>
      <c r="M643" s="1">
        <f t="shared" si="47"/>
        <v>1</v>
      </c>
      <c r="N643" s="1">
        <f t="shared" si="48"/>
        <v>1</v>
      </c>
      <c r="O643" s="1" t="str">
        <f>IF(I643=0,"UNUSED",IF(A643="","MISSING ID",IF(K643=0,"UNEXPECTED ID",IF(N643&lt;&gt;1,"ID / ORDER DIFFERENCE",IF('Source build'!U643&lt;&gt;"INCLUDED","EXCLUDED SOURCE",IF(NOT(M643),"INVALID AMOUNT",IF('Source build'!Y643&lt;&gt;0,"CHANGED FIELDS","MATCH")))))))</f>
        <v>MATCH</v>
      </c>
      <c r="P643" s="1" t="str">
        <f t="shared" si="49"/>
        <v>2026-03</v>
      </c>
    </row>
    <row r="644" spans="1:16" ht="18.95" customHeight="1">
      <c r="A644" s="7" t="s">
        <v>1783</v>
      </c>
      <c r="B644" s="7" t="s">
        <v>1781</v>
      </c>
      <c r="C644" s="7" t="s">
        <v>386</v>
      </c>
      <c r="D644" s="7" t="s">
        <v>97</v>
      </c>
      <c r="E644" s="7" t="s">
        <v>47</v>
      </c>
      <c r="F644" s="7" t="s">
        <v>98</v>
      </c>
      <c r="G644" s="7" t="s">
        <v>1784</v>
      </c>
      <c r="I644" s="1">
        <f t="shared" si="45"/>
        <v>1</v>
      </c>
      <c r="J644" s="1" t="str">
        <f>'Source build'!A644</f>
        <v>L00638</v>
      </c>
      <c r="K644" s="1">
        <f>644</f>
        <v>644</v>
      </c>
      <c r="L644" s="10">
        <f t="shared" si="46"/>
        <v>60340</v>
      </c>
      <c r="M644" s="1">
        <f t="shared" si="47"/>
        <v>1</v>
      </c>
      <c r="N644" s="1">
        <f t="shared" si="48"/>
        <v>1</v>
      </c>
      <c r="O644" s="1" t="str">
        <f>IF(I644=0,"UNUSED",IF(A644="","MISSING ID",IF(K644=0,"UNEXPECTED ID",IF(N644&lt;&gt;1,"ID / ORDER DIFFERENCE",IF('Source build'!U644&lt;&gt;"INCLUDED","EXCLUDED SOURCE",IF(NOT(M644),"INVALID AMOUNT",IF('Source build'!Y644&lt;&gt;0,"CHANGED FIELDS","MATCH")))))))</f>
        <v>MATCH</v>
      </c>
      <c r="P644" s="1" t="str">
        <f t="shared" si="49"/>
        <v>2026-03</v>
      </c>
    </row>
    <row r="645" spans="1:16" ht="18.95" customHeight="1">
      <c r="A645" s="7" t="s">
        <v>1785</v>
      </c>
      <c r="B645" s="7" t="s">
        <v>1786</v>
      </c>
      <c r="C645" s="7" t="s">
        <v>392</v>
      </c>
      <c r="D645" s="7" t="s">
        <v>103</v>
      </c>
      <c r="E645" s="7" t="s">
        <v>48</v>
      </c>
      <c r="F645" s="7" t="s">
        <v>98</v>
      </c>
      <c r="G645" s="7" t="s">
        <v>1787</v>
      </c>
      <c r="I645" s="1">
        <f t="shared" si="45"/>
        <v>1</v>
      </c>
      <c r="J645" s="1" t="str">
        <f>'Source build'!A645</f>
        <v>L00639</v>
      </c>
      <c r="K645" s="1">
        <f>645</f>
        <v>645</v>
      </c>
      <c r="L645" s="10">
        <f t="shared" si="46"/>
        <v>24210</v>
      </c>
      <c r="M645" s="1">
        <f t="shared" si="47"/>
        <v>1</v>
      </c>
      <c r="N645" s="1">
        <f t="shared" si="48"/>
        <v>1</v>
      </c>
      <c r="O645" s="1" t="str">
        <f>IF(I645=0,"UNUSED",IF(A645="","MISSING ID",IF(K645=0,"UNEXPECTED ID",IF(N645&lt;&gt;1,"ID / ORDER DIFFERENCE",IF('Source build'!U645&lt;&gt;"INCLUDED","EXCLUDED SOURCE",IF(NOT(M645),"INVALID AMOUNT",IF('Source build'!Y645&lt;&gt;0,"CHANGED FIELDS","MATCH")))))))</f>
        <v>MATCH</v>
      </c>
      <c r="P645" s="1" t="str">
        <f t="shared" si="49"/>
        <v>2026-03</v>
      </c>
    </row>
    <row r="646" spans="1:16" ht="18.95" customHeight="1">
      <c r="A646" s="7" t="s">
        <v>1788</v>
      </c>
      <c r="B646" s="7" t="s">
        <v>1786</v>
      </c>
      <c r="C646" s="7" t="s">
        <v>392</v>
      </c>
      <c r="D646" s="7" t="s">
        <v>93</v>
      </c>
      <c r="E646" s="7" t="s">
        <v>46</v>
      </c>
      <c r="F646" s="7" t="s">
        <v>98</v>
      </c>
      <c r="G646" s="7" t="s">
        <v>1789</v>
      </c>
      <c r="I646" s="1">
        <f t="shared" si="45"/>
        <v>1</v>
      </c>
      <c r="J646" s="1" t="str">
        <f>'Source build'!A646</f>
        <v>L00640</v>
      </c>
      <c r="K646" s="1">
        <f>646</f>
        <v>646</v>
      </c>
      <c r="L646" s="10">
        <f t="shared" si="46"/>
        <v>48568</v>
      </c>
      <c r="M646" s="1">
        <f t="shared" si="47"/>
        <v>1</v>
      </c>
      <c r="N646" s="1">
        <f t="shared" si="48"/>
        <v>1</v>
      </c>
      <c r="O646" s="1" t="str">
        <f>IF(I646=0,"UNUSED",IF(A646="","MISSING ID",IF(K646=0,"UNEXPECTED ID",IF(N646&lt;&gt;1,"ID / ORDER DIFFERENCE",IF('Source build'!U646&lt;&gt;"INCLUDED","EXCLUDED SOURCE",IF(NOT(M646),"INVALID AMOUNT",IF('Source build'!Y646&lt;&gt;0,"CHANGED FIELDS","MATCH")))))))</f>
        <v>MATCH</v>
      </c>
      <c r="P646" s="1" t="str">
        <f t="shared" si="49"/>
        <v>2026-03</v>
      </c>
    </row>
    <row r="647" spans="1:16" ht="18.95" customHeight="1">
      <c r="A647" s="7" t="s">
        <v>1790</v>
      </c>
      <c r="B647" s="7" t="s">
        <v>1791</v>
      </c>
      <c r="C647" s="7" t="s">
        <v>398</v>
      </c>
      <c r="D647" s="7" t="s">
        <v>97</v>
      </c>
      <c r="E647" s="7" t="s">
        <v>47</v>
      </c>
      <c r="F647" s="7" t="s">
        <v>98</v>
      </c>
      <c r="G647" s="7" t="s">
        <v>5137</v>
      </c>
      <c r="I647" s="1">
        <f t="shared" ref="I647:I710" si="50">IF(AND(A647="",B647="",C647="",D647="",E647="",F647="",G647=""),0,1)</f>
        <v>1</v>
      </c>
      <c r="J647" s="1" t="str">
        <f>'Source build'!A647</f>
        <v>L00641</v>
      </c>
      <c r="K647" s="1">
        <f>647</f>
        <v>647</v>
      </c>
      <c r="L647" s="10">
        <f t="shared" ref="L647:L710" si="51">IFERROR(IF(ABS(VALUE(G647)*100-ROUND(VALUE(G647)*100,0))&lt;0.0000001,ROUND(VALUE(G647)*100,0),0),0)</f>
        <v>12179</v>
      </c>
      <c r="M647" s="1">
        <f t="shared" ref="M647:M710" si="52">--IF(I647=0,TRUE,IF(TRIM(G647)="",FALSE,IFERROR(AND(ISNUMBER(VALUE(G647)),ABS(VALUE(G647)*100-ROUND(VALUE(G647)*100,0))&lt;0.0000001,OR(ISNUMBER(G647),EXACT(G647,TEXT(VALUE(G647),"0.00"))),OR(AND(EXACT(F647,"sale"),VALUE(G647)&gt;0),AND(EXACT(F647,"refund"),VALUE(G647)&lt;0))),FALSE)))</f>
        <v>1</v>
      </c>
      <c r="N647" s="1">
        <f t="shared" ref="N647:N710" si="53">IF(I647=1,IF(EXACT(A647,J647),1,0),0)</f>
        <v>1</v>
      </c>
      <c r="O647" s="1" t="str">
        <f>IF(I647=0,"UNUSED",IF(A647="","MISSING ID",IF(K647=0,"UNEXPECTED ID",IF(N647&lt;&gt;1,"ID / ORDER DIFFERENCE",IF('Source build'!U647&lt;&gt;"INCLUDED","EXCLUDED SOURCE",IF(NOT(M647),"INVALID AMOUNT",IF('Source build'!Y647&lt;&gt;0,"CHANGED FIELDS","MATCH")))))))</f>
        <v>MATCH</v>
      </c>
      <c r="P647" s="1" t="str">
        <f t="shared" ref="P647:P710" si="54">IF(I647=1,LEFT(C647,7),"")</f>
        <v>2026-03</v>
      </c>
    </row>
    <row r="648" spans="1:16" ht="18.95" customHeight="1">
      <c r="A648" s="7" t="s">
        <v>1793</v>
      </c>
      <c r="B648" s="7" t="s">
        <v>1791</v>
      </c>
      <c r="C648" s="7" t="s">
        <v>398</v>
      </c>
      <c r="D648" s="7" t="s">
        <v>103</v>
      </c>
      <c r="E648" s="7" t="s">
        <v>48</v>
      </c>
      <c r="F648" s="7" t="s">
        <v>98</v>
      </c>
      <c r="G648" s="7" t="s">
        <v>1794</v>
      </c>
      <c r="I648" s="1">
        <f t="shared" si="50"/>
        <v>1</v>
      </c>
      <c r="J648" s="1" t="str">
        <f>'Source build'!A648</f>
        <v>L00642</v>
      </c>
      <c r="K648" s="1">
        <f>648</f>
        <v>648</v>
      </c>
      <c r="L648" s="10">
        <f t="shared" si="51"/>
        <v>36648</v>
      </c>
      <c r="M648" s="1">
        <f t="shared" si="52"/>
        <v>1</v>
      </c>
      <c r="N648" s="1">
        <f t="shared" si="53"/>
        <v>1</v>
      </c>
      <c r="O648" s="1" t="str">
        <f>IF(I648=0,"UNUSED",IF(A648="","MISSING ID",IF(K648=0,"UNEXPECTED ID",IF(N648&lt;&gt;1,"ID / ORDER DIFFERENCE",IF('Source build'!U648&lt;&gt;"INCLUDED","EXCLUDED SOURCE",IF(NOT(M648),"INVALID AMOUNT",IF('Source build'!Y648&lt;&gt;0,"CHANGED FIELDS","MATCH")))))))</f>
        <v>MATCH</v>
      </c>
      <c r="P648" s="1" t="str">
        <f t="shared" si="54"/>
        <v>2026-03</v>
      </c>
    </row>
    <row r="649" spans="1:16" ht="18.95" customHeight="1">
      <c r="A649" s="7" t="s">
        <v>1795</v>
      </c>
      <c r="B649" s="7" t="s">
        <v>1796</v>
      </c>
      <c r="C649" s="7" t="s">
        <v>404</v>
      </c>
      <c r="D649" s="7" t="s">
        <v>93</v>
      </c>
      <c r="E649" s="7" t="s">
        <v>46</v>
      </c>
      <c r="F649" s="7" t="s">
        <v>98</v>
      </c>
      <c r="G649" s="7" t="s">
        <v>1797</v>
      </c>
      <c r="I649" s="1">
        <f t="shared" si="50"/>
        <v>1</v>
      </c>
      <c r="J649" s="1" t="str">
        <f>'Source build'!A649</f>
        <v>L00643</v>
      </c>
      <c r="K649" s="1">
        <f>649</f>
        <v>649</v>
      </c>
      <c r="L649" s="10">
        <f t="shared" si="51"/>
        <v>61265</v>
      </c>
      <c r="M649" s="1">
        <f t="shared" si="52"/>
        <v>1</v>
      </c>
      <c r="N649" s="1">
        <f t="shared" si="53"/>
        <v>1</v>
      </c>
      <c r="O649" s="1" t="str">
        <f>IF(I649=0,"UNUSED",IF(A649="","MISSING ID",IF(K649=0,"UNEXPECTED ID",IF(N649&lt;&gt;1,"ID / ORDER DIFFERENCE",IF('Source build'!U649&lt;&gt;"INCLUDED","EXCLUDED SOURCE",IF(NOT(M649),"INVALID AMOUNT",IF('Source build'!Y649&lt;&gt;0,"CHANGED FIELDS","MATCH")))))))</f>
        <v>MATCH</v>
      </c>
      <c r="P649" s="1" t="str">
        <f t="shared" si="54"/>
        <v>2026-03</v>
      </c>
    </row>
    <row r="650" spans="1:16" ht="18.95" customHeight="1">
      <c r="A650" s="7" t="s">
        <v>1798</v>
      </c>
      <c r="B650" s="7" t="s">
        <v>1796</v>
      </c>
      <c r="C650" s="7" t="s">
        <v>404</v>
      </c>
      <c r="D650" s="7" t="s">
        <v>97</v>
      </c>
      <c r="E650" s="7" t="s">
        <v>47</v>
      </c>
      <c r="F650" s="7" t="s">
        <v>98</v>
      </c>
      <c r="G650" s="7" t="s">
        <v>1799</v>
      </c>
      <c r="I650" s="1">
        <f t="shared" si="50"/>
        <v>1</v>
      </c>
      <c r="J650" s="1" t="str">
        <f>'Source build'!A650</f>
        <v>L00644</v>
      </c>
      <c r="K650" s="1">
        <f>650</f>
        <v>650</v>
      </c>
      <c r="L650" s="10">
        <f t="shared" si="51"/>
        <v>24580</v>
      </c>
      <c r="M650" s="1">
        <f t="shared" si="52"/>
        <v>1</v>
      </c>
      <c r="N650" s="1">
        <f t="shared" si="53"/>
        <v>1</v>
      </c>
      <c r="O650" s="1" t="str">
        <f>IF(I650=0,"UNUSED",IF(A650="","MISSING ID",IF(K650=0,"UNEXPECTED ID",IF(N650&lt;&gt;1,"ID / ORDER DIFFERENCE",IF('Source build'!U650&lt;&gt;"INCLUDED","EXCLUDED SOURCE",IF(NOT(M650),"INVALID AMOUNT",IF('Source build'!Y650&lt;&gt;0,"CHANGED FIELDS","MATCH")))))))</f>
        <v>MATCH</v>
      </c>
      <c r="P650" s="1" t="str">
        <f t="shared" si="54"/>
        <v>2026-03</v>
      </c>
    </row>
    <row r="651" spans="1:16" ht="18.95" customHeight="1">
      <c r="A651" s="7" t="s">
        <v>1800</v>
      </c>
      <c r="B651" s="7" t="s">
        <v>1801</v>
      </c>
      <c r="C651" s="7" t="s">
        <v>410</v>
      </c>
      <c r="D651" s="7" t="s">
        <v>103</v>
      </c>
      <c r="E651" s="7" t="s">
        <v>48</v>
      </c>
      <c r="F651" s="7" t="s">
        <v>94</v>
      </c>
      <c r="G651" s="7" t="s">
        <v>1802</v>
      </c>
      <c r="I651" s="1">
        <f t="shared" si="50"/>
        <v>1</v>
      </c>
      <c r="J651" s="1" t="str">
        <f>'Source build'!A651</f>
        <v>L00645</v>
      </c>
      <c r="K651" s="1">
        <f>651</f>
        <v>651</v>
      </c>
      <c r="L651" s="10">
        <f t="shared" si="51"/>
        <v>-49308</v>
      </c>
      <c r="M651" s="1">
        <f t="shared" si="52"/>
        <v>1</v>
      </c>
      <c r="N651" s="1">
        <f t="shared" si="53"/>
        <v>1</v>
      </c>
      <c r="O651" s="1" t="str">
        <f>IF(I651=0,"UNUSED",IF(A651="","MISSING ID",IF(K651=0,"UNEXPECTED ID",IF(N651&lt;&gt;1,"ID / ORDER DIFFERENCE",IF('Source build'!U651&lt;&gt;"INCLUDED","EXCLUDED SOURCE",IF(NOT(M651),"INVALID AMOUNT",IF('Source build'!Y651&lt;&gt;0,"CHANGED FIELDS","MATCH")))))))</f>
        <v>MATCH</v>
      </c>
      <c r="P651" s="1" t="str">
        <f t="shared" si="54"/>
        <v>2026-01</v>
      </c>
    </row>
    <row r="652" spans="1:16" ht="18.95" customHeight="1">
      <c r="A652" s="7" t="s">
        <v>1803</v>
      </c>
      <c r="B652" s="7" t="s">
        <v>1801</v>
      </c>
      <c r="C652" s="7" t="s">
        <v>410</v>
      </c>
      <c r="D652" s="7" t="s">
        <v>93</v>
      </c>
      <c r="E652" s="7" t="s">
        <v>46</v>
      </c>
      <c r="F652" s="7" t="s">
        <v>98</v>
      </c>
      <c r="G652" s="7" t="s">
        <v>1804</v>
      </c>
      <c r="I652" s="1">
        <f t="shared" si="50"/>
        <v>1</v>
      </c>
      <c r="J652" s="1" t="str">
        <f>'Source build'!A652</f>
        <v>L00646</v>
      </c>
      <c r="K652" s="1">
        <f>652</f>
        <v>652</v>
      </c>
      <c r="L652" s="10">
        <f t="shared" si="51"/>
        <v>12364</v>
      </c>
      <c r="M652" s="1">
        <f t="shared" si="52"/>
        <v>1</v>
      </c>
      <c r="N652" s="1">
        <f t="shared" si="53"/>
        <v>1</v>
      </c>
      <c r="O652" s="1" t="str">
        <f>IF(I652=0,"UNUSED",IF(A652="","MISSING ID",IF(K652=0,"UNEXPECTED ID",IF(N652&lt;&gt;1,"ID / ORDER DIFFERENCE",IF('Source build'!U652&lt;&gt;"INCLUDED","EXCLUDED SOURCE",IF(NOT(M652),"INVALID AMOUNT",IF('Source build'!Y652&lt;&gt;0,"CHANGED FIELDS","MATCH")))))))</f>
        <v>MATCH</v>
      </c>
      <c r="P652" s="1" t="str">
        <f t="shared" si="54"/>
        <v>2026-01</v>
      </c>
    </row>
    <row r="653" spans="1:16" ht="18.95" customHeight="1">
      <c r="A653" s="7" t="s">
        <v>1805</v>
      </c>
      <c r="B653" s="7" t="s">
        <v>1806</v>
      </c>
      <c r="C653" s="7" t="s">
        <v>416</v>
      </c>
      <c r="D653" s="7" t="s">
        <v>97</v>
      </c>
      <c r="E653" s="7" t="s">
        <v>47</v>
      </c>
      <c r="F653" s="7" t="s">
        <v>98</v>
      </c>
      <c r="G653" s="7" t="s">
        <v>1807</v>
      </c>
      <c r="I653" s="1">
        <f t="shared" si="50"/>
        <v>1</v>
      </c>
      <c r="J653" s="1" t="str">
        <f>'Source build'!A653</f>
        <v>L00647</v>
      </c>
      <c r="K653" s="1">
        <f>653</f>
        <v>653</v>
      </c>
      <c r="L653" s="10">
        <f t="shared" si="51"/>
        <v>37203</v>
      </c>
      <c r="M653" s="1">
        <f t="shared" si="52"/>
        <v>1</v>
      </c>
      <c r="N653" s="1">
        <f t="shared" si="53"/>
        <v>1</v>
      </c>
      <c r="O653" s="1" t="str">
        <f>IF(I653=0,"UNUSED",IF(A653="","MISSING ID",IF(K653=0,"UNEXPECTED ID",IF(N653&lt;&gt;1,"ID / ORDER DIFFERENCE",IF('Source build'!U653&lt;&gt;"INCLUDED","EXCLUDED SOURCE",IF(NOT(M653),"INVALID AMOUNT",IF('Source build'!Y653&lt;&gt;0,"CHANGED FIELDS","MATCH")))))))</f>
        <v>MATCH</v>
      </c>
      <c r="P653" s="1" t="str">
        <f t="shared" si="54"/>
        <v>2026-01</v>
      </c>
    </row>
    <row r="654" spans="1:16" ht="18.95" customHeight="1">
      <c r="A654" s="7" t="s">
        <v>1808</v>
      </c>
      <c r="B654" s="7" t="s">
        <v>1806</v>
      </c>
      <c r="C654" s="7" t="s">
        <v>416</v>
      </c>
      <c r="D654" s="7" t="s">
        <v>103</v>
      </c>
      <c r="E654" s="7" t="s">
        <v>48</v>
      </c>
      <c r="F654" s="7" t="s">
        <v>98</v>
      </c>
      <c r="G654" s="7" t="s">
        <v>1809</v>
      </c>
      <c r="I654" s="1">
        <f t="shared" si="50"/>
        <v>1</v>
      </c>
      <c r="J654" s="1" t="str">
        <f>'Source build'!A654</f>
        <v>L00648</v>
      </c>
      <c r="K654" s="1">
        <f>654</f>
        <v>654</v>
      </c>
      <c r="L654" s="10">
        <f t="shared" si="51"/>
        <v>62190</v>
      </c>
      <c r="M654" s="1">
        <f t="shared" si="52"/>
        <v>1</v>
      </c>
      <c r="N654" s="1">
        <f t="shared" si="53"/>
        <v>1</v>
      </c>
      <c r="O654" s="1" t="str">
        <f>IF(I654=0,"UNUSED",IF(A654="","MISSING ID",IF(K654=0,"UNEXPECTED ID",IF(N654&lt;&gt;1,"ID / ORDER DIFFERENCE",IF('Source build'!U654&lt;&gt;"INCLUDED","EXCLUDED SOURCE",IF(NOT(M654),"INVALID AMOUNT",IF('Source build'!Y654&lt;&gt;0,"CHANGED FIELDS","MATCH")))))))</f>
        <v>MATCH</v>
      </c>
      <c r="P654" s="1" t="str">
        <f t="shared" si="54"/>
        <v>2026-01</v>
      </c>
    </row>
    <row r="655" spans="1:16" ht="18.95" customHeight="1">
      <c r="A655" s="7" t="s">
        <v>1810</v>
      </c>
      <c r="B655" s="7" t="s">
        <v>1811</v>
      </c>
      <c r="C655" s="7" t="s">
        <v>422</v>
      </c>
      <c r="D655" s="7" t="s">
        <v>93</v>
      </c>
      <c r="E655" s="7" t="s">
        <v>46</v>
      </c>
      <c r="F655" s="7" t="s">
        <v>98</v>
      </c>
      <c r="G655" s="7" t="s">
        <v>1812</v>
      </c>
      <c r="I655" s="1">
        <f t="shared" si="50"/>
        <v>1</v>
      </c>
      <c r="J655" s="1" t="str">
        <f>'Source build'!A655</f>
        <v>L00649</v>
      </c>
      <c r="K655" s="1">
        <f>655</f>
        <v>655</v>
      </c>
      <c r="L655" s="10">
        <f t="shared" si="51"/>
        <v>24950</v>
      </c>
      <c r="M655" s="1">
        <f t="shared" si="52"/>
        <v>1</v>
      </c>
      <c r="N655" s="1">
        <f t="shared" si="53"/>
        <v>1</v>
      </c>
      <c r="O655" s="1" t="str">
        <f>IF(I655=0,"UNUSED",IF(A655="","MISSING ID",IF(K655=0,"UNEXPECTED ID",IF(N655&lt;&gt;1,"ID / ORDER DIFFERENCE",IF('Source build'!U655&lt;&gt;"INCLUDED","EXCLUDED SOURCE",IF(NOT(M655),"INVALID AMOUNT",IF('Source build'!Y655&lt;&gt;0,"CHANGED FIELDS","MATCH")))))))</f>
        <v>MATCH</v>
      </c>
      <c r="P655" s="1" t="str">
        <f t="shared" si="54"/>
        <v>2026-01</v>
      </c>
    </row>
    <row r="656" spans="1:16" ht="18.95" customHeight="1">
      <c r="A656" s="7" t="s">
        <v>1813</v>
      </c>
      <c r="B656" s="7" t="s">
        <v>1811</v>
      </c>
      <c r="C656" s="7" t="s">
        <v>422</v>
      </c>
      <c r="D656" s="7" t="s">
        <v>97</v>
      </c>
      <c r="E656" s="7" t="s">
        <v>47</v>
      </c>
      <c r="F656" s="7" t="s">
        <v>98</v>
      </c>
      <c r="G656" s="7" t="s">
        <v>1814</v>
      </c>
      <c r="I656" s="1">
        <f t="shared" si="50"/>
        <v>1</v>
      </c>
      <c r="J656" s="1" t="str">
        <f>'Source build'!A656</f>
        <v>L00650</v>
      </c>
      <c r="K656" s="1">
        <f>656</f>
        <v>656</v>
      </c>
      <c r="L656" s="10">
        <f t="shared" si="51"/>
        <v>2048</v>
      </c>
      <c r="M656" s="1">
        <f t="shared" si="52"/>
        <v>1</v>
      </c>
      <c r="N656" s="1">
        <f t="shared" si="53"/>
        <v>1</v>
      </c>
      <c r="O656" s="1" t="str">
        <f>IF(I656=0,"UNUSED",IF(A656="","MISSING ID",IF(K656=0,"UNEXPECTED ID",IF(N656&lt;&gt;1,"ID / ORDER DIFFERENCE",IF('Source build'!U656&lt;&gt;"INCLUDED","EXCLUDED SOURCE",IF(NOT(M656),"INVALID AMOUNT",IF('Source build'!Y656&lt;&gt;0,"CHANGED FIELDS","MATCH")))))))</f>
        <v>MATCH</v>
      </c>
      <c r="P656" s="1" t="str">
        <f t="shared" si="54"/>
        <v>2026-01</v>
      </c>
    </row>
    <row r="657" spans="1:16" ht="18.95" customHeight="1">
      <c r="A657" s="7" t="s">
        <v>1815</v>
      </c>
      <c r="B657" s="7" t="s">
        <v>1816</v>
      </c>
      <c r="C657" s="7" t="s">
        <v>428</v>
      </c>
      <c r="D657" s="7" t="s">
        <v>103</v>
      </c>
      <c r="E657" s="7" t="s">
        <v>48</v>
      </c>
      <c r="F657" s="7" t="s">
        <v>98</v>
      </c>
      <c r="G657" s="7" t="s">
        <v>1817</v>
      </c>
      <c r="I657" s="1">
        <f t="shared" si="50"/>
        <v>1</v>
      </c>
      <c r="J657" s="1" t="str">
        <f>'Source build'!A657</f>
        <v>L00651</v>
      </c>
      <c r="K657" s="1">
        <f>657</f>
        <v>657</v>
      </c>
      <c r="L657" s="10">
        <f t="shared" si="51"/>
        <v>549</v>
      </c>
      <c r="M657" s="1">
        <f t="shared" si="52"/>
        <v>1</v>
      </c>
      <c r="N657" s="1">
        <f t="shared" si="53"/>
        <v>1</v>
      </c>
      <c r="O657" s="1" t="str">
        <f>IF(I657=0,"UNUSED",IF(A657="","MISSING ID",IF(K657=0,"UNEXPECTED ID",IF(N657&lt;&gt;1,"ID / ORDER DIFFERENCE",IF('Source build'!U657&lt;&gt;"INCLUDED","EXCLUDED SOURCE",IF(NOT(M657),"INVALID AMOUNT",IF('Source build'!Y657&lt;&gt;0,"CHANGED FIELDS","MATCH")))))))</f>
        <v>MATCH</v>
      </c>
      <c r="P657" s="1" t="str">
        <f t="shared" si="54"/>
        <v>2026-01</v>
      </c>
    </row>
    <row r="658" spans="1:16" ht="18.95" customHeight="1">
      <c r="A658" s="7" t="s">
        <v>1818</v>
      </c>
      <c r="B658" s="7" t="s">
        <v>1816</v>
      </c>
      <c r="C658" s="7" t="s">
        <v>428</v>
      </c>
      <c r="D658" s="7" t="s">
        <v>93</v>
      </c>
      <c r="E658" s="7" t="s">
        <v>46</v>
      </c>
      <c r="F658" s="7" t="s">
        <v>98</v>
      </c>
      <c r="G658" s="7" t="s">
        <v>1819</v>
      </c>
      <c r="I658" s="1">
        <f t="shared" si="50"/>
        <v>1</v>
      </c>
      <c r="J658" s="1" t="str">
        <f>'Source build'!A658</f>
        <v>L00652</v>
      </c>
      <c r="K658" s="1">
        <f>658</f>
        <v>658</v>
      </c>
      <c r="L658" s="10">
        <f t="shared" si="51"/>
        <v>1758</v>
      </c>
      <c r="M658" s="1">
        <f t="shared" si="52"/>
        <v>1</v>
      </c>
      <c r="N658" s="1">
        <f t="shared" si="53"/>
        <v>1</v>
      </c>
      <c r="O658" s="1" t="str">
        <f>IF(I658=0,"UNUSED",IF(A658="","MISSING ID",IF(K658=0,"UNEXPECTED ID",IF(N658&lt;&gt;1,"ID / ORDER DIFFERENCE",IF('Source build'!U658&lt;&gt;"INCLUDED","EXCLUDED SOURCE",IF(NOT(M658),"INVALID AMOUNT",IF('Source build'!Y658&lt;&gt;0,"CHANGED FIELDS","MATCH")))))))</f>
        <v>MATCH</v>
      </c>
      <c r="P658" s="1" t="str">
        <f t="shared" si="54"/>
        <v>2026-01</v>
      </c>
    </row>
    <row r="659" spans="1:16" ht="18.95" customHeight="1">
      <c r="A659" s="7" t="s">
        <v>1820</v>
      </c>
      <c r="B659" s="7" t="s">
        <v>1821</v>
      </c>
      <c r="C659" s="7" t="s">
        <v>434</v>
      </c>
      <c r="D659" s="7" t="s">
        <v>97</v>
      </c>
      <c r="E659" s="7" t="s">
        <v>47</v>
      </c>
      <c r="F659" s="7" t="s">
        <v>98</v>
      </c>
      <c r="G659" s="7" t="s">
        <v>1822</v>
      </c>
      <c r="I659" s="1">
        <f t="shared" si="50"/>
        <v>1</v>
      </c>
      <c r="J659" s="1" t="str">
        <f>'Source build'!A659</f>
        <v>L00653</v>
      </c>
      <c r="K659" s="1">
        <f>659</f>
        <v>659</v>
      </c>
      <c r="L659" s="10">
        <f t="shared" si="51"/>
        <v>3115</v>
      </c>
      <c r="M659" s="1">
        <f t="shared" si="52"/>
        <v>1</v>
      </c>
      <c r="N659" s="1">
        <f t="shared" si="53"/>
        <v>1</v>
      </c>
      <c r="O659" s="1" t="str">
        <f>IF(I659=0,"UNUSED",IF(A659="","MISSING ID",IF(K659=0,"UNEXPECTED ID",IF(N659&lt;&gt;1,"ID / ORDER DIFFERENCE",IF('Source build'!U659&lt;&gt;"INCLUDED","EXCLUDED SOURCE",IF(NOT(M659),"INVALID AMOUNT",IF('Source build'!Y659&lt;&gt;0,"CHANGED FIELDS","MATCH")))))))</f>
        <v>MATCH</v>
      </c>
      <c r="P659" s="1" t="str">
        <f t="shared" si="54"/>
        <v>2026-02</v>
      </c>
    </row>
    <row r="660" spans="1:16" ht="18.95" customHeight="1">
      <c r="A660" s="7" t="s">
        <v>1823</v>
      </c>
      <c r="B660" s="7" t="s">
        <v>1821</v>
      </c>
      <c r="C660" s="7" t="s">
        <v>434</v>
      </c>
      <c r="D660" s="7" t="s">
        <v>103</v>
      </c>
      <c r="E660" s="7" t="s">
        <v>48</v>
      </c>
      <c r="F660" s="7" t="s">
        <v>98</v>
      </c>
      <c r="G660" s="7" t="s">
        <v>1824</v>
      </c>
      <c r="I660" s="1">
        <f t="shared" si="50"/>
        <v>1</v>
      </c>
      <c r="J660" s="1" t="str">
        <f>'Source build'!A660</f>
        <v>L00654</v>
      </c>
      <c r="K660" s="1">
        <f>660</f>
        <v>660</v>
      </c>
      <c r="L660" s="10">
        <f t="shared" si="51"/>
        <v>1320</v>
      </c>
      <c r="M660" s="1">
        <f t="shared" si="52"/>
        <v>1</v>
      </c>
      <c r="N660" s="1">
        <f t="shared" si="53"/>
        <v>1</v>
      </c>
      <c r="O660" s="1" t="str">
        <f>IF(I660=0,"UNUSED",IF(A660="","MISSING ID",IF(K660=0,"UNEXPECTED ID",IF(N660&lt;&gt;1,"ID / ORDER DIFFERENCE",IF('Source build'!U660&lt;&gt;"INCLUDED","EXCLUDED SOURCE",IF(NOT(M660),"INVALID AMOUNT",IF('Source build'!Y660&lt;&gt;0,"CHANGED FIELDS","MATCH")))))))</f>
        <v>MATCH</v>
      </c>
      <c r="P660" s="1" t="str">
        <f t="shared" si="54"/>
        <v>2026-02</v>
      </c>
    </row>
    <row r="661" spans="1:16" ht="18.95" customHeight="1">
      <c r="A661" s="7" t="s">
        <v>1825</v>
      </c>
      <c r="B661" s="7" t="s">
        <v>1826</v>
      </c>
      <c r="C661" s="7" t="s">
        <v>440</v>
      </c>
      <c r="D661" s="7" t="s">
        <v>93</v>
      </c>
      <c r="E661" s="7" t="s">
        <v>46</v>
      </c>
      <c r="F661" s="7" t="s">
        <v>98</v>
      </c>
      <c r="G661" s="7" t="s">
        <v>1827</v>
      </c>
      <c r="I661" s="1">
        <f t="shared" si="50"/>
        <v>1</v>
      </c>
      <c r="J661" s="1" t="str">
        <f>'Source build'!A661</f>
        <v>L00655</v>
      </c>
      <c r="K661" s="1">
        <f>661</f>
        <v>661</v>
      </c>
      <c r="L661" s="10">
        <f t="shared" si="51"/>
        <v>2788</v>
      </c>
      <c r="M661" s="1">
        <f t="shared" si="52"/>
        <v>1</v>
      </c>
      <c r="N661" s="1">
        <f t="shared" si="53"/>
        <v>1</v>
      </c>
      <c r="O661" s="1" t="str">
        <f>IF(I661=0,"UNUSED",IF(A661="","MISSING ID",IF(K661=0,"UNEXPECTED ID",IF(N661&lt;&gt;1,"ID / ORDER DIFFERENCE",IF('Source build'!U661&lt;&gt;"INCLUDED","EXCLUDED SOURCE",IF(NOT(M661),"INVALID AMOUNT",IF('Source build'!Y661&lt;&gt;0,"CHANGED FIELDS","MATCH")))))))</f>
        <v>MATCH</v>
      </c>
      <c r="P661" s="1" t="str">
        <f t="shared" si="54"/>
        <v>2026-02</v>
      </c>
    </row>
    <row r="662" spans="1:16" ht="18.95" customHeight="1">
      <c r="A662" s="7" t="s">
        <v>1828</v>
      </c>
      <c r="B662" s="7" t="s">
        <v>1826</v>
      </c>
      <c r="C662" s="7" t="s">
        <v>440</v>
      </c>
      <c r="D662" s="7" t="s">
        <v>97</v>
      </c>
      <c r="E662" s="7" t="s">
        <v>47</v>
      </c>
      <c r="F662" s="7" t="s">
        <v>98</v>
      </c>
      <c r="G662" s="7" t="s">
        <v>1829</v>
      </c>
      <c r="I662" s="1">
        <f t="shared" si="50"/>
        <v>1</v>
      </c>
      <c r="J662" s="1" t="str">
        <f>'Source build'!A662</f>
        <v>L00656</v>
      </c>
      <c r="K662" s="1">
        <f>662</f>
        <v>662</v>
      </c>
      <c r="L662" s="10">
        <f t="shared" si="51"/>
        <v>734</v>
      </c>
      <c r="M662" s="1">
        <f t="shared" si="52"/>
        <v>1</v>
      </c>
      <c r="N662" s="1">
        <f t="shared" si="53"/>
        <v>1</v>
      </c>
      <c r="O662" s="1" t="str">
        <f>IF(I662=0,"UNUSED",IF(A662="","MISSING ID",IF(K662=0,"UNEXPECTED ID",IF(N662&lt;&gt;1,"ID / ORDER DIFFERENCE",IF('Source build'!U662&lt;&gt;"INCLUDED","EXCLUDED SOURCE",IF(NOT(M662),"INVALID AMOUNT",IF('Source build'!Y662&lt;&gt;0,"CHANGED FIELDS","MATCH")))))))</f>
        <v>MATCH</v>
      </c>
      <c r="P662" s="1" t="str">
        <f t="shared" si="54"/>
        <v>2026-02</v>
      </c>
    </row>
    <row r="663" spans="1:16" ht="18.95" customHeight="1">
      <c r="A663" s="7" t="s">
        <v>1830</v>
      </c>
      <c r="B663" s="7" t="s">
        <v>1831</v>
      </c>
      <c r="C663" s="7" t="s">
        <v>446</v>
      </c>
      <c r="D663" s="7" t="s">
        <v>103</v>
      </c>
      <c r="E663" s="7" t="s">
        <v>48</v>
      </c>
      <c r="F663" s="7" t="s">
        <v>98</v>
      </c>
      <c r="G663" s="7" t="s">
        <v>1832</v>
      </c>
      <c r="I663" s="1">
        <f t="shared" si="50"/>
        <v>1</v>
      </c>
      <c r="J663" s="1" t="str">
        <f>'Source build'!A663</f>
        <v>L00657</v>
      </c>
      <c r="K663" s="1">
        <f>663</f>
        <v>663</v>
      </c>
      <c r="L663" s="10">
        <f t="shared" si="51"/>
        <v>2313</v>
      </c>
      <c r="M663" s="1">
        <f t="shared" si="52"/>
        <v>1</v>
      </c>
      <c r="N663" s="1">
        <f t="shared" si="53"/>
        <v>1</v>
      </c>
      <c r="O663" s="1" t="str">
        <f>IF(I663=0,"UNUSED",IF(A663="","MISSING ID",IF(K663=0,"UNEXPECTED ID",IF(N663&lt;&gt;1,"ID / ORDER DIFFERENCE",IF('Source build'!U663&lt;&gt;"INCLUDED","EXCLUDED SOURCE",IF(NOT(M663),"INVALID AMOUNT",IF('Source build'!Y663&lt;&gt;0,"CHANGED FIELDS","MATCH")))))))</f>
        <v>MATCH</v>
      </c>
      <c r="P663" s="1" t="str">
        <f t="shared" si="54"/>
        <v>2026-02</v>
      </c>
    </row>
    <row r="664" spans="1:16" ht="18.95" customHeight="1">
      <c r="A664" s="7" t="s">
        <v>1833</v>
      </c>
      <c r="B664" s="7" t="s">
        <v>1831</v>
      </c>
      <c r="C664" s="7" t="s">
        <v>446</v>
      </c>
      <c r="D664" s="7" t="s">
        <v>93</v>
      </c>
      <c r="E664" s="7" t="s">
        <v>46</v>
      </c>
      <c r="F664" s="7" t="s">
        <v>98</v>
      </c>
      <c r="G664" s="7" t="s">
        <v>1834</v>
      </c>
      <c r="I664" s="1">
        <f t="shared" si="50"/>
        <v>1</v>
      </c>
      <c r="J664" s="1" t="str">
        <f>'Source build'!A664</f>
        <v>L00658</v>
      </c>
      <c r="K664" s="1">
        <f>664</f>
        <v>664</v>
      </c>
      <c r="L664" s="10">
        <f t="shared" si="51"/>
        <v>4040</v>
      </c>
      <c r="M664" s="1">
        <f t="shared" si="52"/>
        <v>1</v>
      </c>
      <c r="N664" s="1">
        <f t="shared" si="53"/>
        <v>1</v>
      </c>
      <c r="O664" s="1" t="str">
        <f>IF(I664=0,"UNUSED",IF(A664="","MISSING ID",IF(K664=0,"UNEXPECTED ID",IF(N664&lt;&gt;1,"ID / ORDER DIFFERENCE",IF('Source build'!U664&lt;&gt;"INCLUDED","EXCLUDED SOURCE",IF(NOT(M664),"INVALID AMOUNT",IF('Source build'!Y664&lt;&gt;0,"CHANGED FIELDS","MATCH")))))))</f>
        <v>MATCH</v>
      </c>
      <c r="P664" s="1" t="str">
        <f t="shared" si="54"/>
        <v>2026-02</v>
      </c>
    </row>
    <row r="665" spans="1:16" ht="18.95" customHeight="1">
      <c r="A665" s="7" t="s">
        <v>1835</v>
      </c>
      <c r="B665" s="7" t="s">
        <v>1836</v>
      </c>
      <c r="C665" s="7" t="s">
        <v>452</v>
      </c>
      <c r="D665" s="7" t="s">
        <v>97</v>
      </c>
      <c r="E665" s="7" t="s">
        <v>47</v>
      </c>
      <c r="F665" s="7" t="s">
        <v>98</v>
      </c>
      <c r="G665" s="7" t="s">
        <v>1837</v>
      </c>
      <c r="I665" s="1">
        <f t="shared" si="50"/>
        <v>1</v>
      </c>
      <c r="J665" s="1" t="str">
        <f>'Source build'!A665</f>
        <v>L00659</v>
      </c>
      <c r="K665" s="1">
        <f>665</f>
        <v>665</v>
      </c>
      <c r="L665" s="10">
        <f t="shared" si="51"/>
        <v>1690</v>
      </c>
      <c r="M665" s="1">
        <f t="shared" si="52"/>
        <v>1</v>
      </c>
      <c r="N665" s="1">
        <f t="shared" si="53"/>
        <v>1</v>
      </c>
      <c r="O665" s="1" t="str">
        <f>IF(I665=0,"UNUSED",IF(A665="","MISSING ID",IF(K665=0,"UNEXPECTED ID",IF(N665&lt;&gt;1,"ID / ORDER DIFFERENCE",IF('Source build'!U665&lt;&gt;"INCLUDED","EXCLUDED SOURCE",IF(NOT(M665),"INVALID AMOUNT",IF('Source build'!Y665&lt;&gt;0,"CHANGED FIELDS","MATCH")))))))</f>
        <v>MATCH</v>
      </c>
      <c r="P665" s="1" t="str">
        <f t="shared" si="54"/>
        <v>2026-02</v>
      </c>
    </row>
    <row r="666" spans="1:16" ht="18.95" customHeight="1">
      <c r="A666" s="7" t="s">
        <v>1838</v>
      </c>
      <c r="B666" s="7" t="s">
        <v>1836</v>
      </c>
      <c r="C666" s="7" t="s">
        <v>452</v>
      </c>
      <c r="D666" s="7" t="s">
        <v>103</v>
      </c>
      <c r="E666" s="7" t="s">
        <v>48</v>
      </c>
      <c r="F666" s="7" t="s">
        <v>98</v>
      </c>
      <c r="G666" s="7" t="s">
        <v>1839</v>
      </c>
      <c r="I666" s="1">
        <f t="shared" si="50"/>
        <v>1</v>
      </c>
      <c r="J666" s="1" t="str">
        <f>'Source build'!A666</f>
        <v>L00660</v>
      </c>
      <c r="K666" s="1">
        <f>666</f>
        <v>666</v>
      </c>
      <c r="L666" s="10">
        <f t="shared" si="51"/>
        <v>3528</v>
      </c>
      <c r="M666" s="1">
        <f t="shared" si="52"/>
        <v>1</v>
      </c>
      <c r="N666" s="1">
        <f t="shared" si="53"/>
        <v>1</v>
      </c>
      <c r="O666" s="1" t="str">
        <f>IF(I666=0,"UNUSED",IF(A666="","MISSING ID",IF(K666=0,"UNEXPECTED ID",IF(N666&lt;&gt;1,"ID / ORDER DIFFERENCE",IF('Source build'!U666&lt;&gt;"INCLUDED","EXCLUDED SOURCE",IF(NOT(M666),"INVALID AMOUNT",IF('Source build'!Y666&lt;&gt;0,"CHANGED FIELDS","MATCH")))))))</f>
        <v>MATCH</v>
      </c>
      <c r="P666" s="1" t="str">
        <f t="shared" si="54"/>
        <v>2026-02</v>
      </c>
    </row>
    <row r="667" spans="1:16" ht="18.95" customHeight="1">
      <c r="A667" s="7" t="s">
        <v>1840</v>
      </c>
      <c r="B667" s="7" t="s">
        <v>1841</v>
      </c>
      <c r="C667" s="7" t="s">
        <v>458</v>
      </c>
      <c r="D667" s="7" t="s">
        <v>93</v>
      </c>
      <c r="E667" s="7" t="s">
        <v>46</v>
      </c>
      <c r="F667" s="7" t="s">
        <v>98</v>
      </c>
      <c r="G667" s="7" t="s">
        <v>1842</v>
      </c>
      <c r="I667" s="1">
        <f t="shared" si="50"/>
        <v>1</v>
      </c>
      <c r="J667" s="1" t="str">
        <f>'Source build'!A667</f>
        <v>L00661</v>
      </c>
      <c r="K667" s="1">
        <f>667</f>
        <v>667</v>
      </c>
      <c r="L667" s="10">
        <f t="shared" si="51"/>
        <v>919</v>
      </c>
      <c r="M667" s="1">
        <f t="shared" si="52"/>
        <v>1</v>
      </c>
      <c r="N667" s="1">
        <f t="shared" si="53"/>
        <v>1</v>
      </c>
      <c r="O667" s="1" t="str">
        <f>IF(I667=0,"UNUSED",IF(A667="","MISSING ID",IF(K667=0,"UNEXPECTED ID",IF(N667&lt;&gt;1,"ID / ORDER DIFFERENCE",IF('Source build'!U667&lt;&gt;"INCLUDED","EXCLUDED SOURCE",IF(NOT(M667),"INVALID AMOUNT",IF('Source build'!Y667&lt;&gt;0,"CHANGED FIELDS","MATCH")))))))</f>
        <v>MATCH</v>
      </c>
      <c r="P667" s="1" t="str">
        <f t="shared" si="54"/>
        <v>2026-03</v>
      </c>
    </row>
    <row r="668" spans="1:16" ht="18.95" customHeight="1">
      <c r="A668" s="7" t="s">
        <v>1843</v>
      </c>
      <c r="B668" s="7" t="s">
        <v>1841</v>
      </c>
      <c r="C668" s="7" t="s">
        <v>458</v>
      </c>
      <c r="D668" s="7" t="s">
        <v>97</v>
      </c>
      <c r="E668" s="7" t="s">
        <v>47</v>
      </c>
      <c r="F668" s="7" t="s">
        <v>98</v>
      </c>
      <c r="G668" s="7" t="s">
        <v>1844</v>
      </c>
      <c r="I668" s="1">
        <f t="shared" si="50"/>
        <v>1</v>
      </c>
      <c r="J668" s="1" t="str">
        <f>'Source build'!A668</f>
        <v>L00662</v>
      </c>
      <c r="K668" s="1">
        <f>668</f>
        <v>668</v>
      </c>
      <c r="L668" s="10">
        <f t="shared" si="51"/>
        <v>2868</v>
      </c>
      <c r="M668" s="1">
        <f t="shared" si="52"/>
        <v>1</v>
      </c>
      <c r="N668" s="1">
        <f t="shared" si="53"/>
        <v>1</v>
      </c>
      <c r="O668" s="1" t="str">
        <f>IF(I668=0,"UNUSED",IF(A668="","MISSING ID",IF(K668=0,"UNEXPECTED ID",IF(N668&lt;&gt;1,"ID / ORDER DIFFERENCE",IF('Source build'!U668&lt;&gt;"INCLUDED","EXCLUDED SOURCE",IF(NOT(M668),"INVALID AMOUNT",IF('Source build'!Y668&lt;&gt;0,"CHANGED FIELDS","MATCH")))))))</f>
        <v>MATCH</v>
      </c>
      <c r="P668" s="1" t="str">
        <f t="shared" si="54"/>
        <v>2026-03</v>
      </c>
    </row>
    <row r="669" spans="1:16" ht="18.95" customHeight="1">
      <c r="A669" s="7" t="s">
        <v>1845</v>
      </c>
      <c r="B669" s="7" t="s">
        <v>1846</v>
      </c>
      <c r="C669" s="7" t="s">
        <v>464</v>
      </c>
      <c r="D669" s="7" t="s">
        <v>103</v>
      </c>
      <c r="E669" s="7" t="s">
        <v>48</v>
      </c>
      <c r="F669" s="7" t="s">
        <v>98</v>
      </c>
      <c r="G669" s="7" t="s">
        <v>1847</v>
      </c>
      <c r="I669" s="1">
        <f t="shared" si="50"/>
        <v>1</v>
      </c>
      <c r="J669" s="1" t="str">
        <f>'Source build'!A669</f>
        <v>L00663</v>
      </c>
      <c r="K669" s="1">
        <f>669</f>
        <v>669</v>
      </c>
      <c r="L669" s="10">
        <f t="shared" si="51"/>
        <v>4965</v>
      </c>
      <c r="M669" s="1">
        <f t="shared" si="52"/>
        <v>1</v>
      </c>
      <c r="N669" s="1">
        <f t="shared" si="53"/>
        <v>1</v>
      </c>
      <c r="O669" s="1" t="str">
        <f>IF(I669=0,"UNUSED",IF(A669="","MISSING ID",IF(K669=0,"UNEXPECTED ID",IF(N669&lt;&gt;1,"ID / ORDER DIFFERENCE",IF('Source build'!U669&lt;&gt;"INCLUDED","EXCLUDED SOURCE",IF(NOT(M669),"INVALID AMOUNT",IF('Source build'!Y669&lt;&gt;0,"CHANGED FIELDS","MATCH")))))))</f>
        <v>MATCH</v>
      </c>
      <c r="P669" s="1" t="str">
        <f t="shared" si="54"/>
        <v>2026-03</v>
      </c>
    </row>
    <row r="670" spans="1:16" ht="18.95" customHeight="1">
      <c r="A670" s="7" t="s">
        <v>1848</v>
      </c>
      <c r="B670" s="7" t="s">
        <v>1846</v>
      </c>
      <c r="C670" s="7" t="s">
        <v>464</v>
      </c>
      <c r="D670" s="7" t="s">
        <v>93</v>
      </c>
      <c r="E670" s="7" t="s">
        <v>46</v>
      </c>
      <c r="F670" s="7" t="s">
        <v>98</v>
      </c>
      <c r="G670" s="7" t="s">
        <v>1849</v>
      </c>
      <c r="I670" s="1">
        <f t="shared" si="50"/>
        <v>1</v>
      </c>
      <c r="J670" s="1" t="str">
        <f>'Source build'!A670</f>
        <v>L00664</v>
      </c>
      <c r="K670" s="1">
        <f>670</f>
        <v>670</v>
      </c>
      <c r="L670" s="10">
        <f t="shared" si="51"/>
        <v>2060</v>
      </c>
      <c r="M670" s="1">
        <f t="shared" si="52"/>
        <v>1</v>
      </c>
      <c r="N670" s="1">
        <f t="shared" si="53"/>
        <v>1</v>
      </c>
      <c r="O670" s="1" t="str">
        <f>IF(I670=0,"UNUSED",IF(A670="","MISSING ID",IF(K670=0,"UNEXPECTED ID",IF(N670&lt;&gt;1,"ID / ORDER DIFFERENCE",IF('Source build'!U670&lt;&gt;"INCLUDED","EXCLUDED SOURCE",IF(NOT(M670),"INVALID AMOUNT",IF('Source build'!Y670&lt;&gt;0,"CHANGED FIELDS","MATCH")))))))</f>
        <v>MATCH</v>
      </c>
      <c r="P670" s="1" t="str">
        <f t="shared" si="54"/>
        <v>2026-03</v>
      </c>
    </row>
    <row r="671" spans="1:16" ht="18.95" customHeight="1">
      <c r="A671" s="7" t="s">
        <v>1850</v>
      </c>
      <c r="B671" s="7" t="s">
        <v>1851</v>
      </c>
      <c r="C671" s="7" t="s">
        <v>470</v>
      </c>
      <c r="D671" s="7" t="s">
        <v>97</v>
      </c>
      <c r="E671" s="7" t="s">
        <v>47</v>
      </c>
      <c r="F671" s="7" t="s">
        <v>98</v>
      </c>
      <c r="G671" s="7" t="s">
        <v>1852</v>
      </c>
      <c r="I671" s="1">
        <f t="shared" si="50"/>
        <v>1</v>
      </c>
      <c r="J671" s="1" t="str">
        <f>'Source build'!A671</f>
        <v>L00665</v>
      </c>
      <c r="K671" s="1">
        <f>671</f>
        <v>671</v>
      </c>
      <c r="L671" s="10">
        <f t="shared" si="51"/>
        <v>4268</v>
      </c>
      <c r="M671" s="1">
        <f t="shared" si="52"/>
        <v>1</v>
      </c>
      <c r="N671" s="1">
        <f t="shared" si="53"/>
        <v>1</v>
      </c>
      <c r="O671" s="1" t="str">
        <f>IF(I671=0,"UNUSED",IF(A671="","MISSING ID",IF(K671=0,"UNEXPECTED ID",IF(N671&lt;&gt;1,"ID / ORDER DIFFERENCE",IF('Source build'!U671&lt;&gt;"INCLUDED","EXCLUDED SOURCE",IF(NOT(M671),"INVALID AMOUNT",IF('Source build'!Y671&lt;&gt;0,"CHANGED FIELDS","MATCH")))))))</f>
        <v>MATCH</v>
      </c>
      <c r="P671" s="1" t="str">
        <f t="shared" si="54"/>
        <v>2026-03</v>
      </c>
    </row>
    <row r="672" spans="1:16" ht="18.95" customHeight="1">
      <c r="A672" s="7" t="s">
        <v>1853</v>
      </c>
      <c r="B672" s="7" t="s">
        <v>1851</v>
      </c>
      <c r="C672" s="7" t="s">
        <v>470</v>
      </c>
      <c r="D672" s="7" t="s">
        <v>103</v>
      </c>
      <c r="E672" s="7" t="s">
        <v>48</v>
      </c>
      <c r="F672" s="7" t="s">
        <v>98</v>
      </c>
      <c r="G672" s="7" t="s">
        <v>1854</v>
      </c>
      <c r="I672" s="1">
        <f t="shared" si="50"/>
        <v>1</v>
      </c>
      <c r="J672" s="1" t="str">
        <f>'Source build'!A672</f>
        <v>L00666</v>
      </c>
      <c r="K672" s="1">
        <f>672</f>
        <v>672</v>
      </c>
      <c r="L672" s="10">
        <f t="shared" si="51"/>
        <v>1104</v>
      </c>
      <c r="M672" s="1">
        <f t="shared" si="52"/>
        <v>1</v>
      </c>
      <c r="N672" s="1">
        <f t="shared" si="53"/>
        <v>1</v>
      </c>
      <c r="O672" s="1" t="str">
        <f>IF(I672=0,"UNUSED",IF(A672="","MISSING ID",IF(K672=0,"UNEXPECTED ID",IF(N672&lt;&gt;1,"ID / ORDER DIFFERENCE",IF('Source build'!U672&lt;&gt;"INCLUDED","EXCLUDED SOURCE",IF(NOT(M672),"INVALID AMOUNT",IF('Source build'!Y672&lt;&gt;0,"CHANGED FIELDS","MATCH")))))))</f>
        <v>MATCH</v>
      </c>
      <c r="P672" s="1" t="str">
        <f t="shared" si="54"/>
        <v>2026-03</v>
      </c>
    </row>
    <row r="673" spans="1:16" ht="18.95" customHeight="1">
      <c r="A673" s="7" t="s">
        <v>1855</v>
      </c>
      <c r="B673" s="7" t="s">
        <v>1856</v>
      </c>
      <c r="C673" s="7" t="s">
        <v>476</v>
      </c>
      <c r="D673" s="7" t="s">
        <v>93</v>
      </c>
      <c r="E673" s="7" t="s">
        <v>46</v>
      </c>
      <c r="F673" s="7" t="s">
        <v>98</v>
      </c>
      <c r="G673" s="7" t="s">
        <v>1857</v>
      </c>
      <c r="I673" s="1">
        <f t="shared" si="50"/>
        <v>1</v>
      </c>
      <c r="J673" s="1" t="str">
        <f>'Source build'!A673</f>
        <v>L00667</v>
      </c>
      <c r="K673" s="1">
        <f>673</f>
        <v>673</v>
      </c>
      <c r="L673" s="10">
        <f t="shared" si="51"/>
        <v>3423</v>
      </c>
      <c r="M673" s="1">
        <f t="shared" si="52"/>
        <v>1</v>
      </c>
      <c r="N673" s="1">
        <f t="shared" si="53"/>
        <v>1</v>
      </c>
      <c r="O673" s="1" t="str">
        <f>IF(I673=0,"UNUSED",IF(A673="","MISSING ID",IF(K673=0,"UNEXPECTED ID",IF(N673&lt;&gt;1,"ID / ORDER DIFFERENCE",IF('Source build'!U673&lt;&gt;"INCLUDED","EXCLUDED SOURCE",IF(NOT(M673),"INVALID AMOUNT",IF('Source build'!Y673&lt;&gt;0,"CHANGED FIELDS","MATCH")))))))</f>
        <v>MATCH</v>
      </c>
      <c r="P673" s="1" t="str">
        <f t="shared" si="54"/>
        <v>2026-03</v>
      </c>
    </row>
    <row r="674" spans="1:16" ht="18.95" customHeight="1">
      <c r="A674" s="7" t="s">
        <v>1858</v>
      </c>
      <c r="B674" s="7" t="s">
        <v>1856</v>
      </c>
      <c r="C674" s="7" t="s">
        <v>476</v>
      </c>
      <c r="D674" s="7" t="s">
        <v>97</v>
      </c>
      <c r="E674" s="7" t="s">
        <v>47</v>
      </c>
      <c r="F674" s="7" t="s">
        <v>94</v>
      </c>
      <c r="G674" s="7" t="s">
        <v>1859</v>
      </c>
      <c r="I674" s="1">
        <f t="shared" si="50"/>
        <v>1</v>
      </c>
      <c r="J674" s="1" t="str">
        <f>'Source build'!A674</f>
        <v>L00668</v>
      </c>
      <c r="K674" s="1">
        <f>674</f>
        <v>674</v>
      </c>
      <c r="L674" s="10">
        <f t="shared" si="51"/>
        <v>-5890</v>
      </c>
      <c r="M674" s="1">
        <f t="shared" si="52"/>
        <v>1</v>
      </c>
      <c r="N674" s="1">
        <f t="shared" si="53"/>
        <v>1</v>
      </c>
      <c r="O674" s="1" t="str">
        <f>IF(I674=0,"UNUSED",IF(A674="","MISSING ID",IF(K674=0,"UNEXPECTED ID",IF(N674&lt;&gt;1,"ID / ORDER DIFFERENCE",IF('Source build'!U674&lt;&gt;"INCLUDED","EXCLUDED SOURCE",IF(NOT(M674),"INVALID AMOUNT",IF('Source build'!Y674&lt;&gt;0,"CHANGED FIELDS","MATCH")))))))</f>
        <v>MATCH</v>
      </c>
      <c r="P674" s="1" t="str">
        <f t="shared" si="54"/>
        <v>2026-03</v>
      </c>
    </row>
    <row r="675" spans="1:16" ht="18.95" customHeight="1">
      <c r="A675" s="7" t="s">
        <v>1860</v>
      </c>
      <c r="B675" s="7" t="s">
        <v>1861</v>
      </c>
      <c r="C675" s="7" t="s">
        <v>482</v>
      </c>
      <c r="D675" s="7" t="s">
        <v>103</v>
      </c>
      <c r="E675" s="7" t="s">
        <v>48</v>
      </c>
      <c r="F675" s="7" t="s">
        <v>98</v>
      </c>
      <c r="G675" s="7" t="s">
        <v>1862</v>
      </c>
      <c r="I675" s="1">
        <f t="shared" si="50"/>
        <v>1</v>
      </c>
      <c r="J675" s="1" t="str">
        <f>'Source build'!A675</f>
        <v>L00669</v>
      </c>
      <c r="K675" s="1">
        <f>675</f>
        <v>675</v>
      </c>
      <c r="L675" s="10">
        <f t="shared" si="51"/>
        <v>2430</v>
      </c>
      <c r="M675" s="1">
        <f t="shared" si="52"/>
        <v>1</v>
      </c>
      <c r="N675" s="1">
        <f t="shared" si="53"/>
        <v>1</v>
      </c>
      <c r="O675" s="1" t="str">
        <f>IF(I675=0,"UNUSED",IF(A675="","MISSING ID",IF(K675=0,"UNEXPECTED ID",IF(N675&lt;&gt;1,"ID / ORDER DIFFERENCE",IF('Source build'!U675&lt;&gt;"INCLUDED","EXCLUDED SOURCE",IF(NOT(M675),"INVALID AMOUNT",IF('Source build'!Y675&lt;&gt;0,"CHANGED FIELDS","MATCH")))))))</f>
        <v>MATCH</v>
      </c>
      <c r="P675" s="1" t="str">
        <f t="shared" si="54"/>
        <v>2026-03</v>
      </c>
    </row>
    <row r="676" spans="1:16" ht="18.95" customHeight="1">
      <c r="A676" s="7" t="s">
        <v>1863</v>
      </c>
      <c r="B676" s="7" t="s">
        <v>1861</v>
      </c>
      <c r="C676" s="7" t="s">
        <v>482</v>
      </c>
      <c r="D676" s="7" t="s">
        <v>93</v>
      </c>
      <c r="E676" s="7" t="s">
        <v>46</v>
      </c>
      <c r="F676" s="7" t="s">
        <v>98</v>
      </c>
      <c r="G676" s="7" t="s">
        <v>1864</v>
      </c>
      <c r="I676" s="1">
        <f t="shared" si="50"/>
        <v>1</v>
      </c>
      <c r="J676" s="1" t="str">
        <f>'Source build'!A676</f>
        <v>L00670</v>
      </c>
      <c r="K676" s="1">
        <f>676</f>
        <v>676</v>
      </c>
      <c r="L676" s="10">
        <f t="shared" si="51"/>
        <v>5008</v>
      </c>
      <c r="M676" s="1">
        <f t="shared" si="52"/>
        <v>1</v>
      </c>
      <c r="N676" s="1">
        <f t="shared" si="53"/>
        <v>1</v>
      </c>
      <c r="O676" s="1" t="str">
        <f>IF(I676=0,"UNUSED",IF(A676="","MISSING ID",IF(K676=0,"UNEXPECTED ID",IF(N676&lt;&gt;1,"ID / ORDER DIFFERENCE",IF('Source build'!U676&lt;&gt;"INCLUDED","EXCLUDED SOURCE",IF(NOT(M676),"INVALID AMOUNT",IF('Source build'!Y676&lt;&gt;0,"CHANGED FIELDS","MATCH")))))))</f>
        <v>MATCH</v>
      </c>
      <c r="P676" s="1" t="str">
        <f t="shared" si="54"/>
        <v>2026-03</v>
      </c>
    </row>
    <row r="677" spans="1:16" ht="18.95" customHeight="1">
      <c r="A677" s="7" t="s">
        <v>1865</v>
      </c>
      <c r="B677" s="7" t="s">
        <v>1866</v>
      </c>
      <c r="C677" s="7" t="s">
        <v>488</v>
      </c>
      <c r="D677" s="7" t="s">
        <v>97</v>
      </c>
      <c r="E677" s="7" t="s">
        <v>47</v>
      </c>
      <c r="F677" s="7" t="s">
        <v>98</v>
      </c>
      <c r="G677" s="7" t="s">
        <v>1867</v>
      </c>
      <c r="I677" s="1">
        <f t="shared" si="50"/>
        <v>1</v>
      </c>
      <c r="J677" s="1" t="str">
        <f>'Source build'!A677</f>
        <v>L00671</v>
      </c>
      <c r="K677" s="1">
        <f>677</f>
        <v>677</v>
      </c>
      <c r="L677" s="10">
        <f t="shared" si="51"/>
        <v>1289</v>
      </c>
      <c r="M677" s="1">
        <f t="shared" si="52"/>
        <v>1</v>
      </c>
      <c r="N677" s="1">
        <f t="shared" si="53"/>
        <v>1</v>
      </c>
      <c r="O677" s="1" t="str">
        <f>IF(I677=0,"UNUSED",IF(A677="","MISSING ID",IF(K677=0,"UNEXPECTED ID",IF(N677&lt;&gt;1,"ID / ORDER DIFFERENCE",IF('Source build'!U677&lt;&gt;"INCLUDED","EXCLUDED SOURCE",IF(NOT(M677),"INVALID AMOUNT",IF('Source build'!Y677&lt;&gt;0,"CHANGED FIELDS","MATCH")))))))</f>
        <v>MATCH</v>
      </c>
      <c r="P677" s="1" t="str">
        <f t="shared" si="54"/>
        <v>2026-01</v>
      </c>
    </row>
    <row r="678" spans="1:16" ht="18.95" customHeight="1">
      <c r="A678" s="7" t="s">
        <v>1868</v>
      </c>
      <c r="B678" s="7" t="s">
        <v>1866</v>
      </c>
      <c r="C678" s="7" t="s">
        <v>488</v>
      </c>
      <c r="D678" s="7" t="s">
        <v>103</v>
      </c>
      <c r="E678" s="7" t="s">
        <v>48</v>
      </c>
      <c r="F678" s="7" t="s">
        <v>98</v>
      </c>
      <c r="G678" s="7" t="s">
        <v>1869</v>
      </c>
      <c r="I678" s="1">
        <f t="shared" si="50"/>
        <v>1</v>
      </c>
      <c r="J678" s="1" t="str">
        <f>'Source build'!A678</f>
        <v>L00672</v>
      </c>
      <c r="K678" s="1">
        <f>678</f>
        <v>678</v>
      </c>
      <c r="L678" s="10">
        <f t="shared" si="51"/>
        <v>3978</v>
      </c>
      <c r="M678" s="1">
        <f t="shared" si="52"/>
        <v>1</v>
      </c>
      <c r="N678" s="1">
        <f t="shared" si="53"/>
        <v>1</v>
      </c>
      <c r="O678" s="1" t="str">
        <f>IF(I678=0,"UNUSED",IF(A678="","MISSING ID",IF(K678=0,"UNEXPECTED ID",IF(N678&lt;&gt;1,"ID / ORDER DIFFERENCE",IF('Source build'!U678&lt;&gt;"INCLUDED","EXCLUDED SOURCE",IF(NOT(M678),"INVALID AMOUNT",IF('Source build'!Y678&lt;&gt;0,"CHANGED FIELDS","MATCH")))))))</f>
        <v>MATCH</v>
      </c>
      <c r="P678" s="1" t="str">
        <f t="shared" si="54"/>
        <v>2026-01</v>
      </c>
    </row>
    <row r="679" spans="1:16" ht="18.95" customHeight="1">
      <c r="A679" s="7" t="s">
        <v>1870</v>
      </c>
      <c r="B679" s="7" t="s">
        <v>1871</v>
      </c>
      <c r="C679" s="7" t="s">
        <v>494</v>
      </c>
      <c r="D679" s="7" t="s">
        <v>93</v>
      </c>
      <c r="E679" s="7" t="s">
        <v>46</v>
      </c>
      <c r="F679" s="7" t="s">
        <v>98</v>
      </c>
      <c r="G679" s="7" t="s">
        <v>1872</v>
      </c>
      <c r="I679" s="1">
        <f t="shared" si="50"/>
        <v>1</v>
      </c>
      <c r="J679" s="1" t="str">
        <f>'Source build'!A679</f>
        <v>L00673</v>
      </c>
      <c r="K679" s="1">
        <f>679</f>
        <v>679</v>
      </c>
      <c r="L679" s="10">
        <f t="shared" si="51"/>
        <v>6815</v>
      </c>
      <c r="M679" s="1">
        <f t="shared" si="52"/>
        <v>1</v>
      </c>
      <c r="N679" s="1">
        <f t="shared" si="53"/>
        <v>1</v>
      </c>
      <c r="O679" s="1" t="str">
        <f>IF(I679=0,"UNUSED",IF(A679="","MISSING ID",IF(K679=0,"UNEXPECTED ID",IF(N679&lt;&gt;1,"ID / ORDER DIFFERENCE",IF('Source build'!U679&lt;&gt;"INCLUDED","EXCLUDED SOURCE",IF(NOT(M679),"INVALID AMOUNT",IF('Source build'!Y679&lt;&gt;0,"CHANGED FIELDS","MATCH")))))))</f>
        <v>MATCH</v>
      </c>
      <c r="P679" s="1" t="str">
        <f t="shared" si="54"/>
        <v>2026-01</v>
      </c>
    </row>
    <row r="680" spans="1:16" ht="18.95" customHeight="1">
      <c r="A680" s="7" t="s">
        <v>1873</v>
      </c>
      <c r="B680" s="7" t="s">
        <v>1871</v>
      </c>
      <c r="C680" s="7" t="s">
        <v>494</v>
      </c>
      <c r="D680" s="7" t="s">
        <v>97</v>
      </c>
      <c r="E680" s="7" t="s">
        <v>47</v>
      </c>
      <c r="F680" s="7" t="s">
        <v>98</v>
      </c>
      <c r="G680" s="7" t="s">
        <v>1874</v>
      </c>
      <c r="I680" s="1">
        <f t="shared" si="50"/>
        <v>1</v>
      </c>
      <c r="J680" s="1" t="str">
        <f>'Source build'!A680</f>
        <v>L00674</v>
      </c>
      <c r="K680" s="1">
        <f>680</f>
        <v>680</v>
      </c>
      <c r="L680" s="10">
        <f t="shared" si="51"/>
        <v>2800</v>
      </c>
      <c r="M680" s="1">
        <f t="shared" si="52"/>
        <v>1</v>
      </c>
      <c r="N680" s="1">
        <f t="shared" si="53"/>
        <v>1</v>
      </c>
      <c r="O680" s="1" t="str">
        <f>IF(I680=0,"UNUSED",IF(A680="","MISSING ID",IF(K680=0,"UNEXPECTED ID",IF(N680&lt;&gt;1,"ID / ORDER DIFFERENCE",IF('Source build'!U680&lt;&gt;"INCLUDED","EXCLUDED SOURCE",IF(NOT(M680),"INVALID AMOUNT",IF('Source build'!Y680&lt;&gt;0,"CHANGED FIELDS","MATCH")))))))</f>
        <v>MATCH</v>
      </c>
      <c r="P680" s="1" t="str">
        <f t="shared" si="54"/>
        <v>2026-01</v>
      </c>
    </row>
    <row r="681" spans="1:16" ht="18.95" customHeight="1">
      <c r="A681" s="7" t="s">
        <v>1875</v>
      </c>
      <c r="B681" s="7" t="s">
        <v>1876</v>
      </c>
      <c r="C681" s="7" t="s">
        <v>500</v>
      </c>
      <c r="D681" s="7" t="s">
        <v>103</v>
      </c>
      <c r="E681" s="7" t="s">
        <v>48</v>
      </c>
      <c r="F681" s="7" t="s">
        <v>98</v>
      </c>
      <c r="G681" s="7" t="s">
        <v>1877</v>
      </c>
      <c r="I681" s="1">
        <f t="shared" si="50"/>
        <v>1</v>
      </c>
      <c r="J681" s="1" t="str">
        <f>'Source build'!A681</f>
        <v>L00675</v>
      </c>
      <c r="K681" s="1">
        <f>681</f>
        <v>681</v>
      </c>
      <c r="L681" s="10">
        <f t="shared" si="51"/>
        <v>5748</v>
      </c>
      <c r="M681" s="1">
        <f t="shared" si="52"/>
        <v>1</v>
      </c>
      <c r="N681" s="1">
        <f t="shared" si="53"/>
        <v>1</v>
      </c>
      <c r="O681" s="1" t="str">
        <f>IF(I681=0,"UNUSED",IF(A681="","MISSING ID",IF(K681=0,"UNEXPECTED ID",IF(N681&lt;&gt;1,"ID / ORDER DIFFERENCE",IF('Source build'!U681&lt;&gt;"INCLUDED","EXCLUDED SOURCE",IF(NOT(M681),"INVALID AMOUNT",IF('Source build'!Y681&lt;&gt;0,"CHANGED FIELDS","MATCH")))))))</f>
        <v>MATCH</v>
      </c>
      <c r="P681" s="1" t="str">
        <f t="shared" si="54"/>
        <v>2026-01</v>
      </c>
    </row>
    <row r="682" spans="1:16" ht="18.95" customHeight="1">
      <c r="A682" s="7" t="s">
        <v>1878</v>
      </c>
      <c r="B682" s="7" t="s">
        <v>1876</v>
      </c>
      <c r="C682" s="7" t="s">
        <v>500</v>
      </c>
      <c r="D682" s="7" t="s">
        <v>93</v>
      </c>
      <c r="E682" s="7" t="s">
        <v>46</v>
      </c>
      <c r="F682" s="7" t="s">
        <v>98</v>
      </c>
      <c r="G682" s="7" t="s">
        <v>1879</v>
      </c>
      <c r="I682" s="1">
        <f t="shared" si="50"/>
        <v>1</v>
      </c>
      <c r="J682" s="1" t="str">
        <f>'Source build'!A682</f>
        <v>L00676</v>
      </c>
      <c r="K682" s="1">
        <f>682</f>
        <v>682</v>
      </c>
      <c r="L682" s="10">
        <f t="shared" si="51"/>
        <v>1474</v>
      </c>
      <c r="M682" s="1">
        <f t="shared" si="52"/>
        <v>1</v>
      </c>
      <c r="N682" s="1">
        <f t="shared" si="53"/>
        <v>1</v>
      </c>
      <c r="O682" s="1" t="str">
        <f>IF(I682=0,"UNUSED",IF(A682="","MISSING ID",IF(K682=0,"UNEXPECTED ID",IF(N682&lt;&gt;1,"ID / ORDER DIFFERENCE",IF('Source build'!U682&lt;&gt;"INCLUDED","EXCLUDED SOURCE",IF(NOT(M682),"INVALID AMOUNT",IF('Source build'!Y682&lt;&gt;0,"CHANGED FIELDS","MATCH")))))))</f>
        <v>MATCH</v>
      </c>
      <c r="P682" s="1" t="str">
        <f t="shared" si="54"/>
        <v>2026-01</v>
      </c>
    </row>
    <row r="683" spans="1:16" ht="18.95" customHeight="1">
      <c r="A683" s="7" t="s">
        <v>1880</v>
      </c>
      <c r="B683" s="7" t="s">
        <v>1881</v>
      </c>
      <c r="C683" s="7" t="s">
        <v>506</v>
      </c>
      <c r="D683" s="7" t="s">
        <v>97</v>
      </c>
      <c r="E683" s="7" t="s">
        <v>47</v>
      </c>
      <c r="F683" s="7" t="s">
        <v>98</v>
      </c>
      <c r="G683" s="7" t="s">
        <v>1882</v>
      </c>
      <c r="I683" s="1">
        <f t="shared" si="50"/>
        <v>1</v>
      </c>
      <c r="J683" s="1" t="str">
        <f>'Source build'!A683</f>
        <v>L00677</v>
      </c>
      <c r="K683" s="1">
        <f>683</f>
        <v>683</v>
      </c>
      <c r="L683" s="10">
        <f t="shared" si="51"/>
        <v>4533</v>
      </c>
      <c r="M683" s="1">
        <f t="shared" si="52"/>
        <v>1</v>
      </c>
      <c r="N683" s="1">
        <f t="shared" si="53"/>
        <v>1</v>
      </c>
      <c r="O683" s="1" t="str">
        <f>IF(I683=0,"UNUSED",IF(A683="","MISSING ID",IF(K683=0,"UNEXPECTED ID",IF(N683&lt;&gt;1,"ID / ORDER DIFFERENCE",IF('Source build'!U683&lt;&gt;"INCLUDED","EXCLUDED SOURCE",IF(NOT(M683),"INVALID AMOUNT",IF('Source build'!Y683&lt;&gt;0,"CHANGED FIELDS","MATCH")))))))</f>
        <v>MATCH</v>
      </c>
      <c r="P683" s="1" t="str">
        <f t="shared" si="54"/>
        <v>2026-01</v>
      </c>
    </row>
    <row r="684" spans="1:16" ht="18.95" customHeight="1">
      <c r="A684" s="7" t="s">
        <v>1883</v>
      </c>
      <c r="B684" s="7" t="s">
        <v>1881</v>
      </c>
      <c r="C684" s="7" t="s">
        <v>506</v>
      </c>
      <c r="D684" s="7" t="s">
        <v>103</v>
      </c>
      <c r="E684" s="7" t="s">
        <v>48</v>
      </c>
      <c r="F684" s="7" t="s">
        <v>98</v>
      </c>
      <c r="G684" s="7" t="s">
        <v>1884</v>
      </c>
      <c r="I684" s="1">
        <f t="shared" si="50"/>
        <v>1</v>
      </c>
      <c r="J684" s="1" t="str">
        <f>'Source build'!A684</f>
        <v>L00678</v>
      </c>
      <c r="K684" s="1">
        <f>684</f>
        <v>684</v>
      </c>
      <c r="L684" s="10">
        <f t="shared" si="51"/>
        <v>7740</v>
      </c>
      <c r="M684" s="1">
        <f t="shared" si="52"/>
        <v>1</v>
      </c>
      <c r="N684" s="1">
        <f t="shared" si="53"/>
        <v>1</v>
      </c>
      <c r="O684" s="1" t="str">
        <f>IF(I684=0,"UNUSED",IF(A684="","MISSING ID",IF(K684=0,"UNEXPECTED ID",IF(N684&lt;&gt;1,"ID / ORDER DIFFERENCE",IF('Source build'!U684&lt;&gt;"INCLUDED","EXCLUDED SOURCE",IF(NOT(M684),"INVALID AMOUNT",IF('Source build'!Y684&lt;&gt;0,"CHANGED FIELDS","MATCH")))))))</f>
        <v>MATCH</v>
      </c>
      <c r="P684" s="1" t="str">
        <f t="shared" si="54"/>
        <v>2026-01</v>
      </c>
    </row>
    <row r="685" spans="1:16" ht="18.95" customHeight="1">
      <c r="A685" s="7" t="s">
        <v>1885</v>
      </c>
      <c r="B685" s="7" t="s">
        <v>1886</v>
      </c>
      <c r="C685" s="7" t="s">
        <v>512</v>
      </c>
      <c r="D685" s="7" t="s">
        <v>93</v>
      </c>
      <c r="E685" s="7" t="s">
        <v>46</v>
      </c>
      <c r="F685" s="7" t="s">
        <v>98</v>
      </c>
      <c r="G685" s="7" t="s">
        <v>1887</v>
      </c>
      <c r="I685" s="1">
        <f t="shared" si="50"/>
        <v>1</v>
      </c>
      <c r="J685" s="1" t="str">
        <f>'Source build'!A685</f>
        <v>L00679</v>
      </c>
      <c r="K685" s="1">
        <f>685</f>
        <v>685</v>
      </c>
      <c r="L685" s="10">
        <f t="shared" si="51"/>
        <v>3170</v>
      </c>
      <c r="M685" s="1">
        <f t="shared" si="52"/>
        <v>1</v>
      </c>
      <c r="N685" s="1">
        <f t="shared" si="53"/>
        <v>1</v>
      </c>
      <c r="O685" s="1" t="str">
        <f>IF(I685=0,"UNUSED",IF(A685="","MISSING ID",IF(K685=0,"UNEXPECTED ID",IF(N685&lt;&gt;1,"ID / ORDER DIFFERENCE",IF('Source build'!U685&lt;&gt;"INCLUDED","EXCLUDED SOURCE",IF(NOT(M685),"INVALID AMOUNT",IF('Source build'!Y685&lt;&gt;0,"CHANGED FIELDS","MATCH")))))))</f>
        <v>MATCH</v>
      </c>
      <c r="P685" s="1" t="str">
        <f t="shared" si="54"/>
        <v>2026-02</v>
      </c>
    </row>
    <row r="686" spans="1:16" ht="18.95" customHeight="1">
      <c r="A686" s="7" t="s">
        <v>1888</v>
      </c>
      <c r="B686" s="7" t="s">
        <v>1886</v>
      </c>
      <c r="C686" s="7" t="s">
        <v>512</v>
      </c>
      <c r="D686" s="7" t="s">
        <v>97</v>
      </c>
      <c r="E686" s="7" t="s">
        <v>47</v>
      </c>
      <c r="F686" s="7" t="s">
        <v>98</v>
      </c>
      <c r="G686" s="7" t="s">
        <v>1889</v>
      </c>
      <c r="I686" s="1">
        <f t="shared" si="50"/>
        <v>1</v>
      </c>
      <c r="J686" s="1" t="str">
        <f>'Source build'!A686</f>
        <v>L00680</v>
      </c>
      <c r="K686" s="1">
        <f>686</f>
        <v>686</v>
      </c>
      <c r="L686" s="10">
        <f t="shared" si="51"/>
        <v>6488</v>
      </c>
      <c r="M686" s="1">
        <f t="shared" si="52"/>
        <v>1</v>
      </c>
      <c r="N686" s="1">
        <f t="shared" si="53"/>
        <v>1</v>
      </c>
      <c r="O686" s="1" t="str">
        <f>IF(I686=0,"UNUSED",IF(A686="","MISSING ID",IF(K686=0,"UNEXPECTED ID",IF(N686&lt;&gt;1,"ID / ORDER DIFFERENCE",IF('Source build'!U686&lt;&gt;"INCLUDED","EXCLUDED SOURCE",IF(NOT(M686),"INVALID AMOUNT",IF('Source build'!Y686&lt;&gt;0,"CHANGED FIELDS","MATCH")))))))</f>
        <v>MATCH</v>
      </c>
      <c r="P686" s="1" t="str">
        <f t="shared" si="54"/>
        <v>2026-02</v>
      </c>
    </row>
    <row r="687" spans="1:16" ht="18.95" customHeight="1">
      <c r="A687" s="7" t="s">
        <v>1890</v>
      </c>
      <c r="B687" s="7" t="s">
        <v>1891</v>
      </c>
      <c r="C687" s="7" t="s">
        <v>518</v>
      </c>
      <c r="D687" s="7" t="s">
        <v>103</v>
      </c>
      <c r="E687" s="7" t="s">
        <v>48</v>
      </c>
      <c r="F687" s="7" t="s">
        <v>98</v>
      </c>
      <c r="G687" s="7" t="s">
        <v>1892</v>
      </c>
      <c r="I687" s="1">
        <f t="shared" si="50"/>
        <v>1</v>
      </c>
      <c r="J687" s="1" t="str">
        <f>'Source build'!A687</f>
        <v>L00681</v>
      </c>
      <c r="K687" s="1">
        <f>687</f>
        <v>687</v>
      </c>
      <c r="L687" s="10">
        <f t="shared" si="51"/>
        <v>1659</v>
      </c>
      <c r="M687" s="1">
        <f t="shared" si="52"/>
        <v>1</v>
      </c>
      <c r="N687" s="1">
        <f t="shared" si="53"/>
        <v>1</v>
      </c>
      <c r="O687" s="1" t="str">
        <f>IF(I687=0,"UNUSED",IF(A687="","MISSING ID",IF(K687=0,"UNEXPECTED ID",IF(N687&lt;&gt;1,"ID / ORDER DIFFERENCE",IF('Source build'!U687&lt;&gt;"INCLUDED","EXCLUDED SOURCE",IF(NOT(M687),"INVALID AMOUNT",IF('Source build'!Y687&lt;&gt;0,"CHANGED FIELDS","MATCH")))))))</f>
        <v>MATCH</v>
      </c>
      <c r="P687" s="1" t="str">
        <f t="shared" si="54"/>
        <v>2026-02</v>
      </c>
    </row>
    <row r="688" spans="1:16" ht="18.95" customHeight="1">
      <c r="A688" s="7" t="s">
        <v>1893</v>
      </c>
      <c r="B688" s="7" t="s">
        <v>1891</v>
      </c>
      <c r="C688" s="7" t="s">
        <v>518</v>
      </c>
      <c r="D688" s="7" t="s">
        <v>93</v>
      </c>
      <c r="E688" s="7" t="s">
        <v>46</v>
      </c>
      <c r="F688" s="7" t="s">
        <v>98</v>
      </c>
      <c r="G688" s="7" t="s">
        <v>1894</v>
      </c>
      <c r="I688" s="1">
        <f t="shared" si="50"/>
        <v>1</v>
      </c>
      <c r="J688" s="1" t="str">
        <f>'Source build'!A688</f>
        <v>L00682</v>
      </c>
      <c r="K688" s="1">
        <f>688</f>
        <v>688</v>
      </c>
      <c r="L688" s="10">
        <f t="shared" si="51"/>
        <v>5088</v>
      </c>
      <c r="M688" s="1">
        <f t="shared" si="52"/>
        <v>1</v>
      </c>
      <c r="N688" s="1">
        <f t="shared" si="53"/>
        <v>1</v>
      </c>
      <c r="O688" s="1" t="str">
        <f>IF(I688=0,"UNUSED",IF(A688="","MISSING ID",IF(K688=0,"UNEXPECTED ID",IF(N688&lt;&gt;1,"ID / ORDER DIFFERENCE",IF('Source build'!U688&lt;&gt;"INCLUDED","EXCLUDED SOURCE",IF(NOT(M688),"INVALID AMOUNT",IF('Source build'!Y688&lt;&gt;0,"CHANGED FIELDS","MATCH")))))))</f>
        <v>MATCH</v>
      </c>
      <c r="P688" s="1" t="str">
        <f t="shared" si="54"/>
        <v>2026-02</v>
      </c>
    </row>
    <row r="689" spans="1:16" ht="18.95" customHeight="1">
      <c r="A689" s="7" t="s">
        <v>1895</v>
      </c>
      <c r="B689" s="7" t="s">
        <v>1896</v>
      </c>
      <c r="C689" s="7" t="s">
        <v>524</v>
      </c>
      <c r="D689" s="7" t="s">
        <v>97</v>
      </c>
      <c r="E689" s="7" t="s">
        <v>47</v>
      </c>
      <c r="F689" s="7" t="s">
        <v>98</v>
      </c>
      <c r="G689" s="7" t="s">
        <v>1897</v>
      </c>
      <c r="I689" s="1">
        <f t="shared" si="50"/>
        <v>1</v>
      </c>
      <c r="J689" s="1" t="str">
        <f>'Source build'!A689</f>
        <v>L00683</v>
      </c>
      <c r="K689" s="1">
        <f>689</f>
        <v>689</v>
      </c>
      <c r="L689" s="10">
        <f t="shared" si="51"/>
        <v>8665</v>
      </c>
      <c r="M689" s="1">
        <f t="shared" si="52"/>
        <v>1</v>
      </c>
      <c r="N689" s="1">
        <f t="shared" si="53"/>
        <v>1</v>
      </c>
      <c r="O689" s="1" t="str">
        <f>IF(I689=0,"UNUSED",IF(A689="","MISSING ID",IF(K689=0,"UNEXPECTED ID",IF(N689&lt;&gt;1,"ID / ORDER DIFFERENCE",IF('Source build'!U689&lt;&gt;"INCLUDED","EXCLUDED SOURCE",IF(NOT(M689),"INVALID AMOUNT",IF('Source build'!Y689&lt;&gt;0,"CHANGED FIELDS","MATCH")))))))</f>
        <v>MATCH</v>
      </c>
      <c r="P689" s="1" t="str">
        <f t="shared" si="54"/>
        <v>2026-02</v>
      </c>
    </row>
    <row r="690" spans="1:16" ht="18.95" customHeight="1">
      <c r="A690" s="7" t="s">
        <v>1898</v>
      </c>
      <c r="B690" s="7" t="s">
        <v>1896</v>
      </c>
      <c r="C690" s="7" t="s">
        <v>524</v>
      </c>
      <c r="D690" s="7" t="s">
        <v>103</v>
      </c>
      <c r="E690" s="7" t="s">
        <v>48</v>
      </c>
      <c r="F690" s="7" t="s">
        <v>98</v>
      </c>
      <c r="G690" s="7" t="s">
        <v>1899</v>
      </c>
      <c r="I690" s="1">
        <f t="shared" si="50"/>
        <v>1</v>
      </c>
      <c r="J690" s="1" t="str">
        <f>'Source build'!A690</f>
        <v>L00684</v>
      </c>
      <c r="K690" s="1">
        <f>690</f>
        <v>690</v>
      </c>
      <c r="L690" s="10">
        <f t="shared" si="51"/>
        <v>3540</v>
      </c>
      <c r="M690" s="1">
        <f t="shared" si="52"/>
        <v>1</v>
      </c>
      <c r="N690" s="1">
        <f t="shared" si="53"/>
        <v>1</v>
      </c>
      <c r="O690" s="1" t="str">
        <f>IF(I690=0,"UNUSED",IF(A690="","MISSING ID",IF(K690=0,"UNEXPECTED ID",IF(N690&lt;&gt;1,"ID / ORDER DIFFERENCE",IF('Source build'!U690&lt;&gt;"INCLUDED","EXCLUDED SOURCE",IF(NOT(M690),"INVALID AMOUNT",IF('Source build'!Y690&lt;&gt;0,"CHANGED FIELDS","MATCH")))))))</f>
        <v>MATCH</v>
      </c>
      <c r="P690" s="1" t="str">
        <f t="shared" si="54"/>
        <v>2026-02</v>
      </c>
    </row>
    <row r="691" spans="1:16" ht="18.95" customHeight="1">
      <c r="A691" s="7" t="s">
        <v>1900</v>
      </c>
      <c r="B691" s="7" t="s">
        <v>1901</v>
      </c>
      <c r="C691" s="7" t="s">
        <v>530</v>
      </c>
      <c r="D691" s="7" t="s">
        <v>93</v>
      </c>
      <c r="E691" s="7" t="s">
        <v>46</v>
      </c>
      <c r="F691" s="7" t="s">
        <v>98</v>
      </c>
      <c r="G691" s="7" t="s">
        <v>1902</v>
      </c>
      <c r="I691" s="1">
        <f t="shared" si="50"/>
        <v>1</v>
      </c>
      <c r="J691" s="1" t="str">
        <f>'Source build'!A691</f>
        <v>L00685</v>
      </c>
      <c r="K691" s="1">
        <f>691</f>
        <v>691</v>
      </c>
      <c r="L691" s="10">
        <f t="shared" si="51"/>
        <v>7228</v>
      </c>
      <c r="M691" s="1">
        <f t="shared" si="52"/>
        <v>1</v>
      </c>
      <c r="N691" s="1">
        <f t="shared" si="53"/>
        <v>1</v>
      </c>
      <c r="O691" s="1" t="str">
        <f>IF(I691=0,"UNUSED",IF(A691="","MISSING ID",IF(K691=0,"UNEXPECTED ID",IF(N691&lt;&gt;1,"ID / ORDER DIFFERENCE",IF('Source build'!U691&lt;&gt;"INCLUDED","EXCLUDED SOURCE",IF(NOT(M691),"INVALID AMOUNT",IF('Source build'!Y691&lt;&gt;0,"CHANGED FIELDS","MATCH")))))))</f>
        <v>MATCH</v>
      </c>
      <c r="P691" s="1" t="str">
        <f t="shared" si="54"/>
        <v>2026-02</v>
      </c>
    </row>
    <row r="692" spans="1:16" ht="18.95" customHeight="1">
      <c r="A692" s="7" t="s">
        <v>1903</v>
      </c>
      <c r="B692" s="7" t="s">
        <v>1901</v>
      </c>
      <c r="C692" s="7" t="s">
        <v>530</v>
      </c>
      <c r="D692" s="7" t="s">
        <v>97</v>
      </c>
      <c r="E692" s="7" t="s">
        <v>47</v>
      </c>
      <c r="F692" s="7" t="s">
        <v>98</v>
      </c>
      <c r="G692" s="7" t="s">
        <v>1904</v>
      </c>
      <c r="I692" s="1">
        <f t="shared" si="50"/>
        <v>1</v>
      </c>
      <c r="J692" s="1" t="str">
        <f>'Source build'!A692</f>
        <v>L00686</v>
      </c>
      <c r="K692" s="1">
        <f>692</f>
        <v>692</v>
      </c>
      <c r="L692" s="10">
        <f t="shared" si="51"/>
        <v>1844</v>
      </c>
      <c r="M692" s="1">
        <f t="shared" si="52"/>
        <v>1</v>
      </c>
      <c r="N692" s="1">
        <f t="shared" si="53"/>
        <v>1</v>
      </c>
      <c r="O692" s="1" t="str">
        <f>IF(I692=0,"UNUSED",IF(A692="","MISSING ID",IF(K692=0,"UNEXPECTED ID",IF(N692&lt;&gt;1,"ID / ORDER DIFFERENCE",IF('Source build'!U692&lt;&gt;"INCLUDED","EXCLUDED SOURCE",IF(NOT(M692),"INVALID AMOUNT",IF('Source build'!Y692&lt;&gt;0,"CHANGED FIELDS","MATCH")))))))</f>
        <v>MATCH</v>
      </c>
      <c r="P692" s="1" t="str">
        <f t="shared" si="54"/>
        <v>2026-02</v>
      </c>
    </row>
    <row r="693" spans="1:16" ht="18.95" customHeight="1">
      <c r="A693" s="7" t="s">
        <v>1905</v>
      </c>
      <c r="B693" s="7" t="s">
        <v>1906</v>
      </c>
      <c r="C693" s="7" t="s">
        <v>536</v>
      </c>
      <c r="D693" s="7" t="s">
        <v>103</v>
      </c>
      <c r="E693" s="7" t="s">
        <v>48</v>
      </c>
      <c r="F693" s="7" t="s">
        <v>98</v>
      </c>
      <c r="G693" s="7" t="s">
        <v>1907</v>
      </c>
      <c r="I693" s="1">
        <f t="shared" si="50"/>
        <v>1</v>
      </c>
      <c r="J693" s="1" t="str">
        <f>'Source build'!A693</f>
        <v>L00687</v>
      </c>
      <c r="K693" s="1">
        <f>693</f>
        <v>693</v>
      </c>
      <c r="L693" s="10">
        <f t="shared" si="51"/>
        <v>5643</v>
      </c>
      <c r="M693" s="1">
        <f t="shared" si="52"/>
        <v>1</v>
      </c>
      <c r="N693" s="1">
        <f t="shared" si="53"/>
        <v>1</v>
      </c>
      <c r="O693" s="1" t="str">
        <f>IF(I693=0,"UNUSED",IF(A693="","MISSING ID",IF(K693=0,"UNEXPECTED ID",IF(N693&lt;&gt;1,"ID / ORDER DIFFERENCE",IF('Source build'!U693&lt;&gt;"INCLUDED","EXCLUDED SOURCE",IF(NOT(M693),"INVALID AMOUNT",IF('Source build'!Y693&lt;&gt;0,"CHANGED FIELDS","MATCH")))))))</f>
        <v>MATCH</v>
      </c>
      <c r="P693" s="1" t="str">
        <f t="shared" si="54"/>
        <v>2026-03</v>
      </c>
    </row>
    <row r="694" spans="1:16" ht="18.95" customHeight="1">
      <c r="A694" s="7" t="s">
        <v>1908</v>
      </c>
      <c r="B694" s="7" t="s">
        <v>1906</v>
      </c>
      <c r="C694" s="7" t="s">
        <v>536</v>
      </c>
      <c r="D694" s="7" t="s">
        <v>93</v>
      </c>
      <c r="E694" s="7" t="s">
        <v>46</v>
      </c>
      <c r="F694" s="7" t="s">
        <v>98</v>
      </c>
      <c r="G694" s="7" t="s">
        <v>1909</v>
      </c>
      <c r="I694" s="1">
        <f t="shared" si="50"/>
        <v>1</v>
      </c>
      <c r="J694" s="1" t="str">
        <f>'Source build'!A694</f>
        <v>L00688</v>
      </c>
      <c r="K694" s="1">
        <f>694</f>
        <v>694</v>
      </c>
      <c r="L694" s="10">
        <f t="shared" si="51"/>
        <v>9590</v>
      </c>
      <c r="M694" s="1">
        <f t="shared" si="52"/>
        <v>1</v>
      </c>
      <c r="N694" s="1">
        <f t="shared" si="53"/>
        <v>1</v>
      </c>
      <c r="O694" s="1" t="str">
        <f>IF(I694=0,"UNUSED",IF(A694="","MISSING ID",IF(K694=0,"UNEXPECTED ID",IF(N694&lt;&gt;1,"ID / ORDER DIFFERENCE",IF('Source build'!U694&lt;&gt;"INCLUDED","EXCLUDED SOURCE",IF(NOT(M694),"INVALID AMOUNT",IF('Source build'!Y694&lt;&gt;0,"CHANGED FIELDS","MATCH")))))))</f>
        <v>MATCH</v>
      </c>
      <c r="P694" s="1" t="str">
        <f t="shared" si="54"/>
        <v>2026-03</v>
      </c>
    </row>
    <row r="695" spans="1:16" ht="18.95" customHeight="1">
      <c r="A695" s="7" t="s">
        <v>1910</v>
      </c>
      <c r="B695" s="7" t="s">
        <v>1911</v>
      </c>
      <c r="C695" s="7" t="s">
        <v>542</v>
      </c>
      <c r="D695" s="7" t="s">
        <v>97</v>
      </c>
      <c r="E695" s="7" t="s">
        <v>47</v>
      </c>
      <c r="F695" s="7" t="s">
        <v>98</v>
      </c>
      <c r="G695" s="7" t="s">
        <v>1912</v>
      </c>
      <c r="I695" s="1">
        <f t="shared" si="50"/>
        <v>1</v>
      </c>
      <c r="J695" s="1" t="str">
        <f>'Source build'!A695</f>
        <v>L00689</v>
      </c>
      <c r="K695" s="1">
        <f>695</f>
        <v>695</v>
      </c>
      <c r="L695" s="10">
        <f t="shared" si="51"/>
        <v>3910</v>
      </c>
      <c r="M695" s="1">
        <f t="shared" si="52"/>
        <v>1</v>
      </c>
      <c r="N695" s="1">
        <f t="shared" si="53"/>
        <v>1</v>
      </c>
      <c r="O695" s="1" t="str">
        <f>IF(I695=0,"UNUSED",IF(A695="","MISSING ID",IF(K695=0,"UNEXPECTED ID",IF(N695&lt;&gt;1,"ID / ORDER DIFFERENCE",IF('Source build'!U695&lt;&gt;"INCLUDED","EXCLUDED SOURCE",IF(NOT(M695),"INVALID AMOUNT",IF('Source build'!Y695&lt;&gt;0,"CHANGED FIELDS","MATCH")))))))</f>
        <v>MATCH</v>
      </c>
      <c r="P695" s="1" t="str">
        <f t="shared" si="54"/>
        <v>2026-03</v>
      </c>
    </row>
    <row r="696" spans="1:16" ht="18.95" customHeight="1">
      <c r="A696" s="7" t="s">
        <v>1913</v>
      </c>
      <c r="B696" s="7" t="s">
        <v>1911</v>
      </c>
      <c r="C696" s="7" t="s">
        <v>542</v>
      </c>
      <c r="D696" s="7" t="s">
        <v>103</v>
      </c>
      <c r="E696" s="7" t="s">
        <v>48</v>
      </c>
      <c r="F696" s="7" t="s">
        <v>98</v>
      </c>
      <c r="G696" s="7" t="s">
        <v>1914</v>
      </c>
      <c r="I696" s="1">
        <f t="shared" si="50"/>
        <v>1</v>
      </c>
      <c r="J696" s="1" t="str">
        <f>'Source build'!A696</f>
        <v>L00690</v>
      </c>
      <c r="K696" s="1">
        <f>696</f>
        <v>696</v>
      </c>
      <c r="L696" s="10">
        <f t="shared" si="51"/>
        <v>7968</v>
      </c>
      <c r="M696" s="1">
        <f t="shared" si="52"/>
        <v>1</v>
      </c>
      <c r="N696" s="1">
        <f t="shared" si="53"/>
        <v>1</v>
      </c>
      <c r="O696" s="1" t="str">
        <f>IF(I696=0,"UNUSED",IF(A696="","MISSING ID",IF(K696=0,"UNEXPECTED ID",IF(N696&lt;&gt;1,"ID / ORDER DIFFERENCE",IF('Source build'!U696&lt;&gt;"INCLUDED","EXCLUDED SOURCE",IF(NOT(M696),"INVALID AMOUNT",IF('Source build'!Y696&lt;&gt;0,"CHANGED FIELDS","MATCH")))))))</f>
        <v>MATCH</v>
      </c>
      <c r="P696" s="1" t="str">
        <f t="shared" si="54"/>
        <v>2026-03</v>
      </c>
    </row>
    <row r="697" spans="1:16" ht="18.95" customHeight="1">
      <c r="A697" s="7" t="s">
        <v>1915</v>
      </c>
      <c r="B697" s="7" t="s">
        <v>1916</v>
      </c>
      <c r="C697" s="7" t="s">
        <v>548</v>
      </c>
      <c r="D697" s="7" t="s">
        <v>93</v>
      </c>
      <c r="E697" s="7" t="s">
        <v>46</v>
      </c>
      <c r="F697" s="7" t="s">
        <v>94</v>
      </c>
      <c r="G697" s="7" t="s">
        <v>1917</v>
      </c>
      <c r="I697" s="1">
        <f t="shared" si="50"/>
        <v>1</v>
      </c>
      <c r="J697" s="1" t="str">
        <f>'Source build'!A697</f>
        <v>L00691</v>
      </c>
      <c r="K697" s="1">
        <f>697</f>
        <v>697</v>
      </c>
      <c r="L697" s="10">
        <f t="shared" si="51"/>
        <v>-2029</v>
      </c>
      <c r="M697" s="1">
        <f t="shared" si="52"/>
        <v>1</v>
      </c>
      <c r="N697" s="1">
        <f t="shared" si="53"/>
        <v>1</v>
      </c>
      <c r="O697" s="1" t="str">
        <f>IF(I697=0,"UNUSED",IF(A697="","MISSING ID",IF(K697=0,"UNEXPECTED ID",IF(N697&lt;&gt;1,"ID / ORDER DIFFERENCE",IF('Source build'!U697&lt;&gt;"INCLUDED","EXCLUDED SOURCE",IF(NOT(M697),"INVALID AMOUNT",IF('Source build'!Y697&lt;&gt;0,"CHANGED FIELDS","MATCH")))))))</f>
        <v>MATCH</v>
      </c>
      <c r="P697" s="1" t="str">
        <f t="shared" si="54"/>
        <v>2026-03</v>
      </c>
    </row>
    <row r="698" spans="1:16" ht="18.95" customHeight="1">
      <c r="A698" s="7" t="s">
        <v>1918</v>
      </c>
      <c r="B698" s="7" t="s">
        <v>1916</v>
      </c>
      <c r="C698" s="7" t="s">
        <v>548</v>
      </c>
      <c r="D698" s="7" t="s">
        <v>97</v>
      </c>
      <c r="E698" s="7" t="s">
        <v>47</v>
      </c>
      <c r="F698" s="7" t="s">
        <v>98</v>
      </c>
      <c r="G698" s="7" t="s">
        <v>1919</v>
      </c>
      <c r="I698" s="1">
        <f t="shared" si="50"/>
        <v>1</v>
      </c>
      <c r="J698" s="1" t="str">
        <f>'Source build'!A698</f>
        <v>L00692</v>
      </c>
      <c r="K698" s="1">
        <f>698</f>
        <v>698</v>
      </c>
      <c r="L698" s="10">
        <f t="shared" si="51"/>
        <v>6198</v>
      </c>
      <c r="M698" s="1">
        <f t="shared" si="52"/>
        <v>1</v>
      </c>
      <c r="N698" s="1">
        <f t="shared" si="53"/>
        <v>1</v>
      </c>
      <c r="O698" s="1" t="str">
        <f>IF(I698=0,"UNUSED",IF(A698="","MISSING ID",IF(K698=0,"UNEXPECTED ID",IF(N698&lt;&gt;1,"ID / ORDER DIFFERENCE",IF('Source build'!U698&lt;&gt;"INCLUDED","EXCLUDED SOURCE",IF(NOT(M698),"INVALID AMOUNT",IF('Source build'!Y698&lt;&gt;0,"CHANGED FIELDS","MATCH")))))))</f>
        <v>MATCH</v>
      </c>
      <c r="P698" s="1" t="str">
        <f t="shared" si="54"/>
        <v>2026-03</v>
      </c>
    </row>
    <row r="699" spans="1:16" ht="18.95" customHeight="1">
      <c r="A699" s="7" t="s">
        <v>1920</v>
      </c>
      <c r="B699" s="7" t="s">
        <v>1921</v>
      </c>
      <c r="C699" s="7" t="s">
        <v>554</v>
      </c>
      <c r="D699" s="7" t="s">
        <v>103</v>
      </c>
      <c r="E699" s="7" t="s">
        <v>48</v>
      </c>
      <c r="F699" s="7" t="s">
        <v>98</v>
      </c>
      <c r="G699" s="7" t="s">
        <v>1922</v>
      </c>
      <c r="I699" s="1">
        <f t="shared" si="50"/>
        <v>1</v>
      </c>
      <c r="J699" s="1" t="str">
        <f>'Source build'!A699</f>
        <v>L00693</v>
      </c>
      <c r="K699" s="1">
        <f>699</f>
        <v>699</v>
      </c>
      <c r="L699" s="10">
        <f t="shared" si="51"/>
        <v>10515</v>
      </c>
      <c r="M699" s="1">
        <f t="shared" si="52"/>
        <v>1</v>
      </c>
      <c r="N699" s="1">
        <f t="shared" si="53"/>
        <v>1</v>
      </c>
      <c r="O699" s="1" t="str">
        <f>IF(I699=0,"UNUSED",IF(A699="","MISSING ID",IF(K699=0,"UNEXPECTED ID",IF(N699&lt;&gt;1,"ID / ORDER DIFFERENCE",IF('Source build'!U699&lt;&gt;"INCLUDED","EXCLUDED SOURCE",IF(NOT(M699),"INVALID AMOUNT",IF('Source build'!Y699&lt;&gt;0,"CHANGED FIELDS","MATCH")))))))</f>
        <v>MATCH</v>
      </c>
      <c r="P699" s="1" t="str">
        <f t="shared" si="54"/>
        <v>2026-03</v>
      </c>
    </row>
    <row r="700" spans="1:16" ht="18.95" customHeight="1">
      <c r="A700" s="7" t="s">
        <v>1923</v>
      </c>
      <c r="B700" s="7" t="s">
        <v>1921</v>
      </c>
      <c r="C700" s="7" t="s">
        <v>554</v>
      </c>
      <c r="D700" s="7" t="s">
        <v>93</v>
      </c>
      <c r="E700" s="7" t="s">
        <v>46</v>
      </c>
      <c r="F700" s="7" t="s">
        <v>98</v>
      </c>
      <c r="G700" s="7" t="s">
        <v>1924</v>
      </c>
      <c r="I700" s="1">
        <f t="shared" si="50"/>
        <v>1</v>
      </c>
      <c r="J700" s="1" t="str">
        <f>'Source build'!A700</f>
        <v>L00694</v>
      </c>
      <c r="K700" s="1">
        <f>700</f>
        <v>700</v>
      </c>
      <c r="L700" s="10">
        <f t="shared" si="51"/>
        <v>4280</v>
      </c>
      <c r="M700" s="1">
        <f t="shared" si="52"/>
        <v>1</v>
      </c>
      <c r="N700" s="1">
        <f t="shared" si="53"/>
        <v>1</v>
      </c>
      <c r="O700" s="1" t="str">
        <f>IF(I700=0,"UNUSED",IF(A700="","MISSING ID",IF(K700=0,"UNEXPECTED ID",IF(N700&lt;&gt;1,"ID / ORDER DIFFERENCE",IF('Source build'!U700&lt;&gt;"INCLUDED","EXCLUDED SOURCE",IF(NOT(M700),"INVALID AMOUNT",IF('Source build'!Y700&lt;&gt;0,"CHANGED FIELDS","MATCH")))))))</f>
        <v>MATCH</v>
      </c>
      <c r="P700" s="1" t="str">
        <f t="shared" si="54"/>
        <v>2026-03</v>
      </c>
    </row>
    <row r="701" spans="1:16" ht="18.95" customHeight="1">
      <c r="A701" s="7" t="s">
        <v>1925</v>
      </c>
      <c r="B701" s="7" t="s">
        <v>1926</v>
      </c>
      <c r="C701" s="7" t="s">
        <v>560</v>
      </c>
      <c r="D701" s="7" t="s">
        <v>97</v>
      </c>
      <c r="E701" s="7" t="s">
        <v>47</v>
      </c>
      <c r="F701" s="7" t="s">
        <v>98</v>
      </c>
      <c r="G701" s="7" t="s">
        <v>1927</v>
      </c>
      <c r="I701" s="1">
        <f t="shared" si="50"/>
        <v>1</v>
      </c>
      <c r="J701" s="1" t="str">
        <f>'Source build'!A701</f>
        <v>L00695</v>
      </c>
      <c r="K701" s="1">
        <f>701</f>
        <v>701</v>
      </c>
      <c r="L701" s="10">
        <f t="shared" si="51"/>
        <v>8708</v>
      </c>
      <c r="M701" s="1">
        <f t="shared" si="52"/>
        <v>1</v>
      </c>
      <c r="N701" s="1">
        <f t="shared" si="53"/>
        <v>1</v>
      </c>
      <c r="O701" s="1" t="str">
        <f>IF(I701=0,"UNUSED",IF(A701="","MISSING ID",IF(K701=0,"UNEXPECTED ID",IF(N701&lt;&gt;1,"ID / ORDER DIFFERENCE",IF('Source build'!U701&lt;&gt;"INCLUDED","EXCLUDED SOURCE",IF(NOT(M701),"INVALID AMOUNT",IF('Source build'!Y701&lt;&gt;0,"CHANGED FIELDS","MATCH")))))))</f>
        <v>MATCH</v>
      </c>
      <c r="P701" s="1" t="str">
        <f t="shared" si="54"/>
        <v>2026-03</v>
      </c>
    </row>
    <row r="702" spans="1:16" ht="18.95" customHeight="1">
      <c r="A702" s="7" t="s">
        <v>1928</v>
      </c>
      <c r="B702" s="7" t="s">
        <v>1926</v>
      </c>
      <c r="C702" s="7" t="s">
        <v>560</v>
      </c>
      <c r="D702" s="7" t="s">
        <v>103</v>
      </c>
      <c r="E702" s="7" t="s">
        <v>48</v>
      </c>
      <c r="F702" s="7" t="s">
        <v>98</v>
      </c>
      <c r="G702" s="7" t="s">
        <v>1929</v>
      </c>
      <c r="I702" s="1">
        <f t="shared" si="50"/>
        <v>1</v>
      </c>
      <c r="J702" s="1" t="str">
        <f>'Source build'!A702</f>
        <v>L00696</v>
      </c>
      <c r="K702" s="1">
        <f>702</f>
        <v>702</v>
      </c>
      <c r="L702" s="10">
        <f t="shared" si="51"/>
        <v>2214</v>
      </c>
      <c r="M702" s="1">
        <f t="shared" si="52"/>
        <v>1</v>
      </c>
      <c r="N702" s="1">
        <f t="shared" si="53"/>
        <v>1</v>
      </c>
      <c r="O702" s="1" t="str">
        <f>IF(I702=0,"UNUSED",IF(A702="","MISSING ID",IF(K702=0,"UNEXPECTED ID",IF(N702&lt;&gt;1,"ID / ORDER DIFFERENCE",IF('Source build'!U702&lt;&gt;"INCLUDED","EXCLUDED SOURCE",IF(NOT(M702),"INVALID AMOUNT",IF('Source build'!Y702&lt;&gt;0,"CHANGED FIELDS","MATCH")))))))</f>
        <v>MATCH</v>
      </c>
      <c r="P702" s="1" t="str">
        <f t="shared" si="54"/>
        <v>2026-03</v>
      </c>
    </row>
    <row r="703" spans="1:16" ht="18.95" customHeight="1">
      <c r="A703" s="7" t="s">
        <v>1930</v>
      </c>
      <c r="B703" s="7" t="s">
        <v>1931</v>
      </c>
      <c r="C703" s="7" t="s">
        <v>566</v>
      </c>
      <c r="D703" s="7" t="s">
        <v>93</v>
      </c>
      <c r="E703" s="7" t="s">
        <v>46</v>
      </c>
      <c r="F703" s="7" t="s">
        <v>98</v>
      </c>
      <c r="G703" s="7" t="s">
        <v>1932</v>
      </c>
      <c r="I703" s="1">
        <f t="shared" si="50"/>
        <v>1</v>
      </c>
      <c r="J703" s="1" t="str">
        <f>'Source build'!A703</f>
        <v>L00697</v>
      </c>
      <c r="K703" s="1">
        <f>703</f>
        <v>703</v>
      </c>
      <c r="L703" s="10">
        <f t="shared" si="51"/>
        <v>6753</v>
      </c>
      <c r="M703" s="1">
        <f t="shared" si="52"/>
        <v>1</v>
      </c>
      <c r="N703" s="1">
        <f t="shared" si="53"/>
        <v>1</v>
      </c>
      <c r="O703" s="1" t="str">
        <f>IF(I703=0,"UNUSED",IF(A703="","MISSING ID",IF(K703=0,"UNEXPECTED ID",IF(N703&lt;&gt;1,"ID / ORDER DIFFERENCE",IF('Source build'!U703&lt;&gt;"INCLUDED","EXCLUDED SOURCE",IF(NOT(M703),"INVALID AMOUNT",IF('Source build'!Y703&lt;&gt;0,"CHANGED FIELDS","MATCH")))))))</f>
        <v>MATCH</v>
      </c>
      <c r="P703" s="1" t="str">
        <f t="shared" si="54"/>
        <v>2026-01</v>
      </c>
    </row>
    <row r="704" spans="1:16" ht="18.95" customHeight="1">
      <c r="A704" s="7" t="s">
        <v>1933</v>
      </c>
      <c r="B704" s="7" t="s">
        <v>1931</v>
      </c>
      <c r="C704" s="7" t="s">
        <v>566</v>
      </c>
      <c r="D704" s="7" t="s">
        <v>97</v>
      </c>
      <c r="E704" s="7" t="s">
        <v>47</v>
      </c>
      <c r="F704" s="7" t="s">
        <v>98</v>
      </c>
      <c r="G704" s="7" t="s">
        <v>1934</v>
      </c>
      <c r="I704" s="1">
        <f t="shared" si="50"/>
        <v>1</v>
      </c>
      <c r="J704" s="1" t="str">
        <f>'Source build'!A704</f>
        <v>L00698</v>
      </c>
      <c r="K704" s="1">
        <f>704</f>
        <v>704</v>
      </c>
      <c r="L704" s="10">
        <f t="shared" si="51"/>
        <v>11440</v>
      </c>
      <c r="M704" s="1">
        <f t="shared" si="52"/>
        <v>1</v>
      </c>
      <c r="N704" s="1">
        <f t="shared" si="53"/>
        <v>1</v>
      </c>
      <c r="O704" s="1" t="str">
        <f>IF(I704=0,"UNUSED",IF(A704="","MISSING ID",IF(K704=0,"UNEXPECTED ID",IF(N704&lt;&gt;1,"ID / ORDER DIFFERENCE",IF('Source build'!U704&lt;&gt;"INCLUDED","EXCLUDED SOURCE",IF(NOT(M704),"INVALID AMOUNT",IF('Source build'!Y704&lt;&gt;0,"CHANGED FIELDS","MATCH")))))))</f>
        <v>MATCH</v>
      </c>
      <c r="P704" s="1" t="str">
        <f t="shared" si="54"/>
        <v>2026-01</v>
      </c>
    </row>
    <row r="705" spans="1:16" ht="18.95" customHeight="1">
      <c r="A705" s="7" t="s">
        <v>1935</v>
      </c>
      <c r="B705" s="7" t="s">
        <v>1936</v>
      </c>
      <c r="C705" s="7" t="s">
        <v>572</v>
      </c>
      <c r="D705" s="7" t="s">
        <v>103</v>
      </c>
      <c r="E705" s="7" t="s">
        <v>48</v>
      </c>
      <c r="F705" s="7" t="s">
        <v>98</v>
      </c>
      <c r="G705" s="7" t="s">
        <v>1937</v>
      </c>
      <c r="I705" s="1">
        <f t="shared" si="50"/>
        <v>1</v>
      </c>
      <c r="J705" s="1" t="str">
        <f>'Source build'!A705</f>
        <v>L00699</v>
      </c>
      <c r="K705" s="1">
        <f>705</f>
        <v>705</v>
      </c>
      <c r="L705" s="10">
        <f t="shared" si="51"/>
        <v>4650</v>
      </c>
      <c r="M705" s="1">
        <f t="shared" si="52"/>
        <v>1</v>
      </c>
      <c r="N705" s="1">
        <f t="shared" si="53"/>
        <v>1</v>
      </c>
      <c r="O705" s="1" t="str">
        <f>IF(I705=0,"UNUSED",IF(A705="","MISSING ID",IF(K705=0,"UNEXPECTED ID",IF(N705&lt;&gt;1,"ID / ORDER DIFFERENCE",IF('Source build'!U705&lt;&gt;"INCLUDED","EXCLUDED SOURCE",IF(NOT(M705),"INVALID AMOUNT",IF('Source build'!Y705&lt;&gt;0,"CHANGED FIELDS","MATCH")))))))</f>
        <v>MATCH</v>
      </c>
      <c r="P705" s="1" t="str">
        <f t="shared" si="54"/>
        <v>2026-01</v>
      </c>
    </row>
    <row r="706" spans="1:16" ht="18.95" customHeight="1">
      <c r="A706" s="7" t="s">
        <v>1938</v>
      </c>
      <c r="B706" s="7" t="s">
        <v>1936</v>
      </c>
      <c r="C706" s="7" t="s">
        <v>572</v>
      </c>
      <c r="D706" s="7" t="s">
        <v>93</v>
      </c>
      <c r="E706" s="7" t="s">
        <v>46</v>
      </c>
      <c r="F706" s="7" t="s">
        <v>98</v>
      </c>
      <c r="G706" s="7" t="s">
        <v>1939</v>
      </c>
      <c r="I706" s="1">
        <f t="shared" si="50"/>
        <v>1</v>
      </c>
      <c r="J706" s="1" t="str">
        <f>'Source build'!A706</f>
        <v>L00700</v>
      </c>
      <c r="K706" s="1">
        <f>706</f>
        <v>706</v>
      </c>
      <c r="L706" s="10">
        <f t="shared" si="51"/>
        <v>9448</v>
      </c>
      <c r="M706" s="1">
        <f t="shared" si="52"/>
        <v>1</v>
      </c>
      <c r="N706" s="1">
        <f t="shared" si="53"/>
        <v>1</v>
      </c>
      <c r="O706" s="1" t="str">
        <f>IF(I706=0,"UNUSED",IF(A706="","MISSING ID",IF(K706=0,"UNEXPECTED ID",IF(N706&lt;&gt;1,"ID / ORDER DIFFERENCE",IF('Source build'!U706&lt;&gt;"INCLUDED","EXCLUDED SOURCE",IF(NOT(M706),"INVALID AMOUNT",IF('Source build'!Y706&lt;&gt;0,"CHANGED FIELDS","MATCH")))))))</f>
        <v>MATCH</v>
      </c>
      <c r="P706" s="1" t="str">
        <f t="shared" si="54"/>
        <v>2026-01</v>
      </c>
    </row>
    <row r="707" spans="1:16" ht="18.95" customHeight="1">
      <c r="A707" s="7" t="s">
        <v>1940</v>
      </c>
      <c r="B707" s="7" t="s">
        <v>1941</v>
      </c>
      <c r="C707" s="7" t="s">
        <v>578</v>
      </c>
      <c r="D707" s="7" t="s">
        <v>97</v>
      </c>
      <c r="E707" s="7" t="s">
        <v>47</v>
      </c>
      <c r="F707" s="7" t="s">
        <v>98</v>
      </c>
      <c r="G707" s="7" t="s">
        <v>1942</v>
      </c>
      <c r="I707" s="1">
        <f t="shared" si="50"/>
        <v>1</v>
      </c>
      <c r="J707" s="1" t="str">
        <f>'Source build'!A707</f>
        <v>L00701</v>
      </c>
      <c r="K707" s="1">
        <f>707</f>
        <v>707</v>
      </c>
      <c r="L707" s="10">
        <f t="shared" si="51"/>
        <v>2399</v>
      </c>
      <c r="M707" s="1">
        <f t="shared" si="52"/>
        <v>1</v>
      </c>
      <c r="N707" s="1">
        <f t="shared" si="53"/>
        <v>1</v>
      </c>
      <c r="O707" s="1" t="str">
        <f>IF(I707=0,"UNUSED",IF(A707="","MISSING ID",IF(K707=0,"UNEXPECTED ID",IF(N707&lt;&gt;1,"ID / ORDER DIFFERENCE",IF('Source build'!U707&lt;&gt;"INCLUDED","EXCLUDED SOURCE",IF(NOT(M707),"INVALID AMOUNT",IF('Source build'!Y707&lt;&gt;0,"CHANGED FIELDS","MATCH")))))))</f>
        <v>MATCH</v>
      </c>
      <c r="P707" s="1" t="str">
        <f t="shared" si="54"/>
        <v>2026-01</v>
      </c>
    </row>
    <row r="708" spans="1:16" ht="18.95" customHeight="1">
      <c r="A708" s="7" t="s">
        <v>1943</v>
      </c>
      <c r="B708" s="7" t="s">
        <v>1941</v>
      </c>
      <c r="C708" s="7" t="s">
        <v>578</v>
      </c>
      <c r="D708" s="7" t="s">
        <v>103</v>
      </c>
      <c r="E708" s="7" t="s">
        <v>48</v>
      </c>
      <c r="F708" s="7" t="s">
        <v>98</v>
      </c>
      <c r="G708" s="7" t="s">
        <v>1944</v>
      </c>
      <c r="I708" s="1">
        <f t="shared" si="50"/>
        <v>1</v>
      </c>
      <c r="J708" s="1" t="str">
        <f>'Source build'!A708</f>
        <v>L00702</v>
      </c>
      <c r="K708" s="1">
        <f>708</f>
        <v>708</v>
      </c>
      <c r="L708" s="10">
        <f t="shared" si="51"/>
        <v>7308</v>
      </c>
      <c r="M708" s="1">
        <f t="shared" si="52"/>
        <v>1</v>
      </c>
      <c r="N708" s="1">
        <f t="shared" si="53"/>
        <v>1</v>
      </c>
      <c r="O708" s="1" t="str">
        <f>IF(I708=0,"UNUSED",IF(A708="","MISSING ID",IF(K708=0,"UNEXPECTED ID",IF(N708&lt;&gt;1,"ID / ORDER DIFFERENCE",IF('Source build'!U708&lt;&gt;"INCLUDED","EXCLUDED SOURCE",IF(NOT(M708),"INVALID AMOUNT",IF('Source build'!Y708&lt;&gt;0,"CHANGED FIELDS","MATCH")))))))</f>
        <v>MATCH</v>
      </c>
      <c r="P708" s="1" t="str">
        <f t="shared" si="54"/>
        <v>2026-01</v>
      </c>
    </row>
    <row r="709" spans="1:16" ht="18.95" customHeight="1">
      <c r="A709" s="7" t="s">
        <v>1945</v>
      </c>
      <c r="B709" s="7" t="s">
        <v>1946</v>
      </c>
      <c r="C709" s="7" t="s">
        <v>584</v>
      </c>
      <c r="D709" s="7" t="s">
        <v>93</v>
      </c>
      <c r="E709" s="7" t="s">
        <v>46</v>
      </c>
      <c r="F709" s="7" t="s">
        <v>98</v>
      </c>
      <c r="G709" s="7" t="s">
        <v>1947</v>
      </c>
      <c r="I709" s="1">
        <f t="shared" si="50"/>
        <v>1</v>
      </c>
      <c r="J709" s="1" t="str">
        <f>'Source build'!A709</f>
        <v>L00703</v>
      </c>
      <c r="K709" s="1">
        <f>709</f>
        <v>709</v>
      </c>
      <c r="L709" s="10">
        <f t="shared" si="51"/>
        <v>12365</v>
      </c>
      <c r="M709" s="1">
        <f t="shared" si="52"/>
        <v>1</v>
      </c>
      <c r="N709" s="1">
        <f t="shared" si="53"/>
        <v>1</v>
      </c>
      <c r="O709" s="1" t="str">
        <f>IF(I709=0,"UNUSED",IF(A709="","MISSING ID",IF(K709=0,"UNEXPECTED ID",IF(N709&lt;&gt;1,"ID / ORDER DIFFERENCE",IF('Source build'!U709&lt;&gt;"INCLUDED","EXCLUDED SOURCE",IF(NOT(M709),"INVALID AMOUNT",IF('Source build'!Y709&lt;&gt;0,"CHANGED FIELDS","MATCH")))))))</f>
        <v>MATCH</v>
      </c>
      <c r="P709" s="1" t="str">
        <f t="shared" si="54"/>
        <v>2026-01</v>
      </c>
    </row>
    <row r="710" spans="1:16" ht="18.95" customHeight="1">
      <c r="A710" s="7" t="s">
        <v>1948</v>
      </c>
      <c r="B710" s="7" t="s">
        <v>1946</v>
      </c>
      <c r="C710" s="7" t="s">
        <v>584</v>
      </c>
      <c r="D710" s="7" t="s">
        <v>97</v>
      </c>
      <c r="E710" s="7" t="s">
        <v>47</v>
      </c>
      <c r="F710" s="7" t="s">
        <v>98</v>
      </c>
      <c r="G710" s="7" t="s">
        <v>1949</v>
      </c>
      <c r="I710" s="1">
        <f t="shared" si="50"/>
        <v>1</v>
      </c>
      <c r="J710" s="1" t="str">
        <f>'Source build'!A710</f>
        <v>L00704</v>
      </c>
      <c r="K710" s="1">
        <f>710</f>
        <v>710</v>
      </c>
      <c r="L710" s="10">
        <f t="shared" si="51"/>
        <v>5020</v>
      </c>
      <c r="M710" s="1">
        <f t="shared" si="52"/>
        <v>1</v>
      </c>
      <c r="N710" s="1">
        <f t="shared" si="53"/>
        <v>1</v>
      </c>
      <c r="O710" s="1" t="str">
        <f>IF(I710=0,"UNUSED",IF(A710="","MISSING ID",IF(K710=0,"UNEXPECTED ID",IF(N710&lt;&gt;1,"ID / ORDER DIFFERENCE",IF('Source build'!U710&lt;&gt;"INCLUDED","EXCLUDED SOURCE",IF(NOT(M710),"INVALID AMOUNT",IF('Source build'!Y710&lt;&gt;0,"CHANGED FIELDS","MATCH")))))))</f>
        <v>MATCH</v>
      </c>
      <c r="P710" s="1" t="str">
        <f t="shared" si="54"/>
        <v>2026-01</v>
      </c>
    </row>
    <row r="711" spans="1:16" ht="18.95" customHeight="1">
      <c r="A711" s="7" t="s">
        <v>1950</v>
      </c>
      <c r="B711" s="7" t="s">
        <v>1951</v>
      </c>
      <c r="C711" s="7" t="s">
        <v>590</v>
      </c>
      <c r="D711" s="7" t="s">
        <v>103</v>
      </c>
      <c r="E711" s="7" t="s">
        <v>48</v>
      </c>
      <c r="F711" s="7" t="s">
        <v>98</v>
      </c>
      <c r="G711" s="7" t="s">
        <v>1952</v>
      </c>
      <c r="I711" s="1">
        <f t="shared" ref="I711:I774" si="55">IF(AND(A711="",B711="",C711="",D711="",E711="",F711="",G711=""),0,1)</f>
        <v>1</v>
      </c>
      <c r="J711" s="1" t="str">
        <f>'Source build'!A711</f>
        <v>L00705</v>
      </c>
      <c r="K711" s="1">
        <f>711</f>
        <v>711</v>
      </c>
      <c r="L711" s="10">
        <f t="shared" ref="L711:L774" si="56">IFERROR(IF(ABS(VALUE(G711)*100-ROUND(VALUE(G711)*100,0))&lt;0.0000001,ROUND(VALUE(G711)*100,0),0),0)</f>
        <v>10188</v>
      </c>
      <c r="M711" s="1">
        <f t="shared" ref="M711:M774" si="57">--IF(I711=0,TRUE,IF(TRIM(G711)="",FALSE,IFERROR(AND(ISNUMBER(VALUE(G711)),ABS(VALUE(G711)*100-ROUND(VALUE(G711)*100,0))&lt;0.0000001,OR(ISNUMBER(G711),EXACT(G711,TEXT(VALUE(G711),"0.00"))),OR(AND(EXACT(F711,"sale"),VALUE(G711)&gt;0),AND(EXACT(F711,"refund"),VALUE(G711)&lt;0))),FALSE)))</f>
        <v>1</v>
      </c>
      <c r="N711" s="1">
        <f t="shared" ref="N711:N774" si="58">IF(I711=1,IF(EXACT(A711,J711),1,0),0)</f>
        <v>1</v>
      </c>
      <c r="O711" s="1" t="str">
        <f>IF(I711=0,"UNUSED",IF(A711="","MISSING ID",IF(K711=0,"UNEXPECTED ID",IF(N711&lt;&gt;1,"ID / ORDER DIFFERENCE",IF('Source build'!U711&lt;&gt;"INCLUDED","EXCLUDED SOURCE",IF(NOT(M711),"INVALID AMOUNT",IF('Source build'!Y711&lt;&gt;0,"CHANGED FIELDS","MATCH")))))))</f>
        <v>MATCH</v>
      </c>
      <c r="P711" s="1" t="str">
        <f t="shared" ref="P711:P774" si="59">IF(I711=1,LEFT(C711,7),"")</f>
        <v>2026-02</v>
      </c>
    </row>
    <row r="712" spans="1:16" ht="18.95" customHeight="1">
      <c r="A712" s="7" t="s">
        <v>1953</v>
      </c>
      <c r="B712" s="7" t="s">
        <v>1951</v>
      </c>
      <c r="C712" s="7" t="s">
        <v>590</v>
      </c>
      <c r="D712" s="7" t="s">
        <v>93</v>
      </c>
      <c r="E712" s="7" t="s">
        <v>46</v>
      </c>
      <c r="F712" s="7" t="s">
        <v>98</v>
      </c>
      <c r="G712" s="7" t="s">
        <v>1954</v>
      </c>
      <c r="I712" s="1">
        <f t="shared" si="55"/>
        <v>1</v>
      </c>
      <c r="J712" s="1" t="str">
        <f>'Source build'!A712</f>
        <v>L00706</v>
      </c>
      <c r="K712" s="1">
        <f>712</f>
        <v>712</v>
      </c>
      <c r="L712" s="10">
        <f t="shared" si="56"/>
        <v>2584</v>
      </c>
      <c r="M712" s="1">
        <f t="shared" si="57"/>
        <v>1</v>
      </c>
      <c r="N712" s="1">
        <f t="shared" si="58"/>
        <v>1</v>
      </c>
      <c r="O712" s="1" t="str">
        <f>IF(I712=0,"UNUSED",IF(A712="","MISSING ID",IF(K712=0,"UNEXPECTED ID",IF(N712&lt;&gt;1,"ID / ORDER DIFFERENCE",IF('Source build'!U712&lt;&gt;"INCLUDED","EXCLUDED SOURCE",IF(NOT(M712),"INVALID AMOUNT",IF('Source build'!Y712&lt;&gt;0,"CHANGED FIELDS","MATCH")))))))</f>
        <v>MATCH</v>
      </c>
      <c r="P712" s="1" t="str">
        <f t="shared" si="59"/>
        <v>2026-02</v>
      </c>
    </row>
    <row r="713" spans="1:16" ht="18.95" customHeight="1">
      <c r="A713" s="7" t="s">
        <v>1955</v>
      </c>
      <c r="B713" s="7" t="s">
        <v>1956</v>
      </c>
      <c r="C713" s="7" t="s">
        <v>596</v>
      </c>
      <c r="D713" s="7" t="s">
        <v>97</v>
      </c>
      <c r="E713" s="7" t="s">
        <v>47</v>
      </c>
      <c r="F713" s="7" t="s">
        <v>98</v>
      </c>
      <c r="G713" s="7" t="s">
        <v>1957</v>
      </c>
      <c r="I713" s="1">
        <f t="shared" si="55"/>
        <v>1</v>
      </c>
      <c r="J713" s="1" t="str">
        <f>'Source build'!A713</f>
        <v>L00707</v>
      </c>
      <c r="K713" s="1">
        <f>713</f>
        <v>713</v>
      </c>
      <c r="L713" s="10">
        <f t="shared" si="56"/>
        <v>7863</v>
      </c>
      <c r="M713" s="1">
        <f t="shared" si="57"/>
        <v>1</v>
      </c>
      <c r="N713" s="1">
        <f t="shared" si="58"/>
        <v>1</v>
      </c>
      <c r="O713" s="1" t="str">
        <f>IF(I713=0,"UNUSED",IF(A713="","MISSING ID",IF(K713=0,"UNEXPECTED ID",IF(N713&lt;&gt;1,"ID / ORDER DIFFERENCE",IF('Source build'!U713&lt;&gt;"INCLUDED","EXCLUDED SOURCE",IF(NOT(M713),"INVALID AMOUNT",IF('Source build'!Y713&lt;&gt;0,"CHANGED FIELDS","MATCH")))))))</f>
        <v>MATCH</v>
      </c>
      <c r="P713" s="1" t="str">
        <f t="shared" si="59"/>
        <v>2026-02</v>
      </c>
    </row>
    <row r="714" spans="1:16" ht="18.95" customHeight="1">
      <c r="A714" s="7" t="s">
        <v>1958</v>
      </c>
      <c r="B714" s="7" t="s">
        <v>1956</v>
      </c>
      <c r="C714" s="7" t="s">
        <v>596</v>
      </c>
      <c r="D714" s="7" t="s">
        <v>103</v>
      </c>
      <c r="E714" s="7" t="s">
        <v>48</v>
      </c>
      <c r="F714" s="7" t="s">
        <v>98</v>
      </c>
      <c r="G714" s="7" t="s">
        <v>1959</v>
      </c>
      <c r="I714" s="1">
        <f t="shared" si="55"/>
        <v>1</v>
      </c>
      <c r="J714" s="1" t="str">
        <f>'Source build'!A714</f>
        <v>L00708</v>
      </c>
      <c r="K714" s="1">
        <f>714</f>
        <v>714</v>
      </c>
      <c r="L714" s="10">
        <f t="shared" si="56"/>
        <v>13290</v>
      </c>
      <c r="M714" s="1">
        <f t="shared" si="57"/>
        <v>1</v>
      </c>
      <c r="N714" s="1">
        <f t="shared" si="58"/>
        <v>1</v>
      </c>
      <c r="O714" s="1" t="str">
        <f>IF(I714=0,"UNUSED",IF(A714="","MISSING ID",IF(K714=0,"UNEXPECTED ID",IF(N714&lt;&gt;1,"ID / ORDER DIFFERENCE",IF('Source build'!U714&lt;&gt;"INCLUDED","EXCLUDED SOURCE",IF(NOT(M714),"INVALID AMOUNT",IF('Source build'!Y714&lt;&gt;0,"CHANGED FIELDS","MATCH")))))))</f>
        <v>MATCH</v>
      </c>
      <c r="P714" s="1" t="str">
        <f t="shared" si="59"/>
        <v>2026-02</v>
      </c>
    </row>
    <row r="715" spans="1:16" ht="18.95" customHeight="1">
      <c r="A715" s="7" t="s">
        <v>1960</v>
      </c>
      <c r="B715" s="7" t="s">
        <v>1961</v>
      </c>
      <c r="C715" s="7" t="s">
        <v>602</v>
      </c>
      <c r="D715" s="7" t="s">
        <v>93</v>
      </c>
      <c r="E715" s="7" t="s">
        <v>46</v>
      </c>
      <c r="F715" s="7" t="s">
        <v>98</v>
      </c>
      <c r="G715" s="7" t="s">
        <v>1962</v>
      </c>
      <c r="I715" s="1">
        <f t="shared" si="55"/>
        <v>1</v>
      </c>
      <c r="J715" s="1" t="str">
        <f>'Source build'!A715</f>
        <v>L00709</v>
      </c>
      <c r="K715" s="1">
        <f>715</f>
        <v>715</v>
      </c>
      <c r="L715" s="10">
        <f t="shared" si="56"/>
        <v>5390</v>
      </c>
      <c r="M715" s="1">
        <f t="shared" si="57"/>
        <v>1</v>
      </c>
      <c r="N715" s="1">
        <f t="shared" si="58"/>
        <v>1</v>
      </c>
      <c r="O715" s="1" t="str">
        <f>IF(I715=0,"UNUSED",IF(A715="","MISSING ID",IF(K715=0,"UNEXPECTED ID",IF(N715&lt;&gt;1,"ID / ORDER DIFFERENCE",IF('Source build'!U715&lt;&gt;"INCLUDED","EXCLUDED SOURCE",IF(NOT(M715),"INVALID AMOUNT",IF('Source build'!Y715&lt;&gt;0,"CHANGED FIELDS","MATCH")))))))</f>
        <v>MATCH</v>
      </c>
      <c r="P715" s="1" t="str">
        <f t="shared" si="59"/>
        <v>2026-02</v>
      </c>
    </row>
    <row r="716" spans="1:16" ht="18.95" customHeight="1">
      <c r="A716" s="7" t="s">
        <v>1963</v>
      </c>
      <c r="B716" s="7" t="s">
        <v>1961</v>
      </c>
      <c r="C716" s="7" t="s">
        <v>602</v>
      </c>
      <c r="D716" s="7" t="s">
        <v>97</v>
      </c>
      <c r="E716" s="7" t="s">
        <v>47</v>
      </c>
      <c r="F716" s="7" t="s">
        <v>98</v>
      </c>
      <c r="G716" s="7" t="s">
        <v>1964</v>
      </c>
      <c r="I716" s="1">
        <f t="shared" si="55"/>
        <v>1</v>
      </c>
      <c r="J716" s="1" t="str">
        <f>'Source build'!A716</f>
        <v>L00710</v>
      </c>
      <c r="K716" s="1">
        <f>716</f>
        <v>716</v>
      </c>
      <c r="L716" s="10">
        <f t="shared" si="56"/>
        <v>10928</v>
      </c>
      <c r="M716" s="1">
        <f t="shared" si="57"/>
        <v>1</v>
      </c>
      <c r="N716" s="1">
        <f t="shared" si="58"/>
        <v>1</v>
      </c>
      <c r="O716" s="1" t="str">
        <f>IF(I716=0,"UNUSED",IF(A716="","MISSING ID",IF(K716=0,"UNEXPECTED ID",IF(N716&lt;&gt;1,"ID / ORDER DIFFERENCE",IF('Source build'!U716&lt;&gt;"INCLUDED","EXCLUDED SOURCE",IF(NOT(M716),"INVALID AMOUNT",IF('Source build'!Y716&lt;&gt;0,"CHANGED FIELDS","MATCH")))))))</f>
        <v>MATCH</v>
      </c>
      <c r="P716" s="1" t="str">
        <f t="shared" si="59"/>
        <v>2026-02</v>
      </c>
    </row>
    <row r="717" spans="1:16" ht="18.95" customHeight="1">
      <c r="A717" s="7" t="s">
        <v>1965</v>
      </c>
      <c r="B717" s="7" t="s">
        <v>1966</v>
      </c>
      <c r="C717" s="7" t="s">
        <v>611</v>
      </c>
      <c r="D717" s="7" t="s">
        <v>103</v>
      </c>
      <c r="E717" s="7" t="s">
        <v>48</v>
      </c>
      <c r="F717" s="7" t="s">
        <v>98</v>
      </c>
      <c r="G717" s="7" t="s">
        <v>1967</v>
      </c>
      <c r="I717" s="1">
        <f t="shared" si="55"/>
        <v>1</v>
      </c>
      <c r="J717" s="1" t="str">
        <f>'Source build'!A717</f>
        <v>L00711</v>
      </c>
      <c r="K717" s="1">
        <f>717</f>
        <v>717</v>
      </c>
      <c r="L717" s="10">
        <f t="shared" si="56"/>
        <v>2769</v>
      </c>
      <c r="M717" s="1">
        <f t="shared" si="57"/>
        <v>1</v>
      </c>
      <c r="N717" s="1">
        <f t="shared" si="58"/>
        <v>1</v>
      </c>
      <c r="O717" s="1" t="str">
        <f>IF(I717=0,"UNUSED",IF(A717="","MISSING ID",IF(K717=0,"UNEXPECTED ID",IF(N717&lt;&gt;1,"ID / ORDER DIFFERENCE",IF('Source build'!U717&lt;&gt;"INCLUDED","EXCLUDED SOURCE",IF(NOT(M717),"INVALID AMOUNT",IF('Source build'!Y717&lt;&gt;0,"CHANGED FIELDS","MATCH")))))))</f>
        <v>MATCH</v>
      </c>
      <c r="P717" s="1" t="str">
        <f t="shared" si="59"/>
        <v>2026-02</v>
      </c>
    </row>
    <row r="718" spans="1:16" ht="18.95" customHeight="1">
      <c r="A718" s="7" t="s">
        <v>1968</v>
      </c>
      <c r="B718" s="7" t="s">
        <v>1966</v>
      </c>
      <c r="C718" s="7" t="s">
        <v>611</v>
      </c>
      <c r="D718" s="7" t="s">
        <v>93</v>
      </c>
      <c r="E718" s="7" t="s">
        <v>46</v>
      </c>
      <c r="F718" s="7" t="s">
        <v>98</v>
      </c>
      <c r="G718" s="7" t="s">
        <v>1969</v>
      </c>
      <c r="I718" s="1">
        <f t="shared" si="55"/>
        <v>1</v>
      </c>
      <c r="J718" s="1" t="str">
        <f>'Source build'!A718</f>
        <v>L00712</v>
      </c>
      <c r="K718" s="1">
        <f>718</f>
        <v>718</v>
      </c>
      <c r="L718" s="10">
        <f t="shared" si="56"/>
        <v>8418</v>
      </c>
      <c r="M718" s="1">
        <f t="shared" si="57"/>
        <v>1</v>
      </c>
      <c r="N718" s="1">
        <f t="shared" si="58"/>
        <v>1</v>
      </c>
      <c r="O718" s="1" t="str">
        <f>IF(I718=0,"UNUSED",IF(A718="","MISSING ID",IF(K718=0,"UNEXPECTED ID",IF(N718&lt;&gt;1,"ID / ORDER DIFFERENCE",IF('Source build'!U718&lt;&gt;"INCLUDED","EXCLUDED SOURCE",IF(NOT(M718),"INVALID AMOUNT",IF('Source build'!Y718&lt;&gt;0,"CHANGED FIELDS","MATCH")))))))</f>
        <v>MATCH</v>
      </c>
      <c r="P718" s="1" t="str">
        <f t="shared" si="59"/>
        <v>2026-02</v>
      </c>
    </row>
    <row r="719" spans="1:16" ht="18.95" customHeight="1">
      <c r="A719" s="7" t="s">
        <v>1970</v>
      </c>
      <c r="B719" s="7" t="s">
        <v>1971</v>
      </c>
      <c r="C719" s="7" t="s">
        <v>615</v>
      </c>
      <c r="D719" s="7" t="s">
        <v>97</v>
      </c>
      <c r="E719" s="7" t="s">
        <v>47</v>
      </c>
      <c r="F719" s="7" t="s">
        <v>98</v>
      </c>
      <c r="G719" s="7" t="s">
        <v>1972</v>
      </c>
      <c r="I719" s="1">
        <f t="shared" si="55"/>
        <v>1</v>
      </c>
      <c r="J719" s="1" t="str">
        <f>'Source build'!A719</f>
        <v>L00713</v>
      </c>
      <c r="K719" s="1">
        <f>719</f>
        <v>719</v>
      </c>
      <c r="L719" s="10">
        <f t="shared" si="56"/>
        <v>14215</v>
      </c>
      <c r="M719" s="1">
        <f t="shared" si="57"/>
        <v>1</v>
      </c>
      <c r="N719" s="1">
        <f t="shared" si="58"/>
        <v>1</v>
      </c>
      <c r="O719" s="1" t="str">
        <f>IF(I719=0,"UNUSED",IF(A719="","MISSING ID",IF(K719=0,"UNEXPECTED ID",IF(N719&lt;&gt;1,"ID / ORDER DIFFERENCE",IF('Source build'!U719&lt;&gt;"INCLUDED","EXCLUDED SOURCE",IF(NOT(M719),"INVALID AMOUNT",IF('Source build'!Y719&lt;&gt;0,"CHANGED FIELDS","MATCH")))))))</f>
        <v>MATCH</v>
      </c>
      <c r="P719" s="1" t="str">
        <f t="shared" si="59"/>
        <v>2026-03</v>
      </c>
    </row>
    <row r="720" spans="1:16" ht="18.95" customHeight="1">
      <c r="A720" s="7" t="s">
        <v>1973</v>
      </c>
      <c r="B720" s="7" t="s">
        <v>1971</v>
      </c>
      <c r="C720" s="7" t="s">
        <v>615</v>
      </c>
      <c r="D720" s="7" t="s">
        <v>103</v>
      </c>
      <c r="E720" s="7" t="s">
        <v>48</v>
      </c>
      <c r="F720" s="7" t="s">
        <v>94</v>
      </c>
      <c r="G720" s="7" t="s">
        <v>1974</v>
      </c>
      <c r="I720" s="1">
        <f t="shared" si="55"/>
        <v>1</v>
      </c>
      <c r="J720" s="1" t="str">
        <f>'Source build'!A720</f>
        <v>L00714</v>
      </c>
      <c r="K720" s="1">
        <f>720</f>
        <v>720</v>
      </c>
      <c r="L720" s="10">
        <f t="shared" si="56"/>
        <v>-5760</v>
      </c>
      <c r="M720" s="1">
        <f t="shared" si="57"/>
        <v>1</v>
      </c>
      <c r="N720" s="1">
        <f t="shared" si="58"/>
        <v>1</v>
      </c>
      <c r="O720" s="1" t="str">
        <f>IF(I720=0,"UNUSED",IF(A720="","MISSING ID",IF(K720=0,"UNEXPECTED ID",IF(N720&lt;&gt;1,"ID / ORDER DIFFERENCE",IF('Source build'!U720&lt;&gt;"INCLUDED","EXCLUDED SOURCE",IF(NOT(M720),"INVALID AMOUNT",IF('Source build'!Y720&lt;&gt;0,"CHANGED FIELDS","MATCH")))))))</f>
        <v>MATCH</v>
      </c>
      <c r="P720" s="1" t="str">
        <f t="shared" si="59"/>
        <v>2026-03</v>
      </c>
    </row>
    <row r="721" spans="1:16" ht="18.95" customHeight="1">
      <c r="A721" s="7" t="s">
        <v>1975</v>
      </c>
      <c r="B721" s="7" t="s">
        <v>1976</v>
      </c>
      <c r="C721" s="7" t="s">
        <v>621</v>
      </c>
      <c r="D721" s="7" t="s">
        <v>93</v>
      </c>
      <c r="E721" s="7" t="s">
        <v>46</v>
      </c>
      <c r="F721" s="7" t="s">
        <v>98</v>
      </c>
      <c r="G721" s="7" t="s">
        <v>1977</v>
      </c>
      <c r="I721" s="1">
        <f t="shared" si="55"/>
        <v>1</v>
      </c>
      <c r="J721" s="1" t="str">
        <f>'Source build'!A721</f>
        <v>L00715</v>
      </c>
      <c r="K721" s="1">
        <f>721</f>
        <v>721</v>
      </c>
      <c r="L721" s="10">
        <f t="shared" si="56"/>
        <v>11668</v>
      </c>
      <c r="M721" s="1">
        <f t="shared" si="57"/>
        <v>1</v>
      </c>
      <c r="N721" s="1">
        <f t="shared" si="58"/>
        <v>1</v>
      </c>
      <c r="O721" s="1" t="str">
        <f>IF(I721=0,"UNUSED",IF(A721="","MISSING ID",IF(K721=0,"UNEXPECTED ID",IF(N721&lt;&gt;1,"ID / ORDER DIFFERENCE",IF('Source build'!U721&lt;&gt;"INCLUDED","EXCLUDED SOURCE",IF(NOT(M721),"INVALID AMOUNT",IF('Source build'!Y721&lt;&gt;0,"CHANGED FIELDS","MATCH")))))))</f>
        <v>MATCH</v>
      </c>
      <c r="P721" s="1" t="str">
        <f t="shared" si="59"/>
        <v>2026-03</v>
      </c>
    </row>
    <row r="722" spans="1:16" ht="18.95" customHeight="1">
      <c r="A722" s="7" t="s">
        <v>1978</v>
      </c>
      <c r="B722" s="7" t="s">
        <v>1976</v>
      </c>
      <c r="C722" s="7" t="s">
        <v>621</v>
      </c>
      <c r="D722" s="7" t="s">
        <v>97</v>
      </c>
      <c r="E722" s="7" t="s">
        <v>47</v>
      </c>
      <c r="F722" s="7" t="s">
        <v>98</v>
      </c>
      <c r="G722" s="7" t="s">
        <v>1979</v>
      </c>
      <c r="I722" s="1">
        <f t="shared" si="55"/>
        <v>1</v>
      </c>
      <c r="J722" s="1" t="str">
        <f>'Source build'!A722</f>
        <v>L00716</v>
      </c>
      <c r="K722" s="1">
        <f>722</f>
        <v>722</v>
      </c>
      <c r="L722" s="10">
        <f t="shared" si="56"/>
        <v>2954</v>
      </c>
      <c r="M722" s="1">
        <f t="shared" si="57"/>
        <v>1</v>
      </c>
      <c r="N722" s="1">
        <f t="shared" si="58"/>
        <v>1</v>
      </c>
      <c r="O722" s="1" t="str">
        <f>IF(I722=0,"UNUSED",IF(A722="","MISSING ID",IF(K722=0,"UNEXPECTED ID",IF(N722&lt;&gt;1,"ID / ORDER DIFFERENCE",IF('Source build'!U722&lt;&gt;"INCLUDED","EXCLUDED SOURCE",IF(NOT(M722),"INVALID AMOUNT",IF('Source build'!Y722&lt;&gt;0,"CHANGED FIELDS","MATCH")))))))</f>
        <v>MATCH</v>
      </c>
      <c r="P722" s="1" t="str">
        <f t="shared" si="59"/>
        <v>2026-03</v>
      </c>
    </row>
    <row r="723" spans="1:16" ht="18.95" customHeight="1">
      <c r="A723" s="7" t="s">
        <v>1980</v>
      </c>
      <c r="B723" s="7" t="s">
        <v>1981</v>
      </c>
      <c r="C723" s="7" t="s">
        <v>627</v>
      </c>
      <c r="D723" s="7" t="s">
        <v>103</v>
      </c>
      <c r="E723" s="7" t="s">
        <v>48</v>
      </c>
      <c r="F723" s="7" t="s">
        <v>98</v>
      </c>
      <c r="G723" s="7" t="s">
        <v>1982</v>
      </c>
      <c r="I723" s="1">
        <f t="shared" si="55"/>
        <v>1</v>
      </c>
      <c r="J723" s="1" t="str">
        <f>'Source build'!A723</f>
        <v>L00717</v>
      </c>
      <c r="K723" s="1">
        <f>723</f>
        <v>723</v>
      </c>
      <c r="L723" s="10">
        <f t="shared" si="56"/>
        <v>8973</v>
      </c>
      <c r="M723" s="1">
        <f t="shared" si="57"/>
        <v>1</v>
      </c>
      <c r="N723" s="1">
        <f t="shared" si="58"/>
        <v>1</v>
      </c>
      <c r="O723" s="1" t="str">
        <f>IF(I723=0,"UNUSED",IF(A723="","MISSING ID",IF(K723=0,"UNEXPECTED ID",IF(N723&lt;&gt;1,"ID / ORDER DIFFERENCE",IF('Source build'!U723&lt;&gt;"INCLUDED","EXCLUDED SOURCE",IF(NOT(M723),"INVALID AMOUNT",IF('Source build'!Y723&lt;&gt;0,"CHANGED FIELDS","MATCH")))))))</f>
        <v>MATCH</v>
      </c>
      <c r="P723" s="1" t="str">
        <f t="shared" si="59"/>
        <v>2026-03</v>
      </c>
    </row>
    <row r="724" spans="1:16" ht="18.95" customHeight="1">
      <c r="A724" s="7" t="s">
        <v>1983</v>
      </c>
      <c r="B724" s="7" t="s">
        <v>1981</v>
      </c>
      <c r="C724" s="7" t="s">
        <v>627</v>
      </c>
      <c r="D724" s="7" t="s">
        <v>93</v>
      </c>
      <c r="E724" s="7" t="s">
        <v>46</v>
      </c>
      <c r="F724" s="7" t="s">
        <v>98</v>
      </c>
      <c r="G724" s="7" t="s">
        <v>1984</v>
      </c>
      <c r="I724" s="1">
        <f t="shared" si="55"/>
        <v>1</v>
      </c>
      <c r="J724" s="1" t="str">
        <f>'Source build'!A724</f>
        <v>L00718</v>
      </c>
      <c r="K724" s="1">
        <f>724</f>
        <v>724</v>
      </c>
      <c r="L724" s="10">
        <f t="shared" si="56"/>
        <v>15140</v>
      </c>
      <c r="M724" s="1">
        <f t="shared" si="57"/>
        <v>1</v>
      </c>
      <c r="N724" s="1">
        <f t="shared" si="58"/>
        <v>1</v>
      </c>
      <c r="O724" s="1" t="str">
        <f>IF(I724=0,"UNUSED",IF(A724="","MISSING ID",IF(K724=0,"UNEXPECTED ID",IF(N724&lt;&gt;1,"ID / ORDER DIFFERENCE",IF('Source build'!U724&lt;&gt;"INCLUDED","EXCLUDED SOURCE",IF(NOT(M724),"INVALID AMOUNT",IF('Source build'!Y724&lt;&gt;0,"CHANGED FIELDS","MATCH")))))))</f>
        <v>MATCH</v>
      </c>
      <c r="P724" s="1" t="str">
        <f t="shared" si="59"/>
        <v>2026-03</v>
      </c>
    </row>
    <row r="725" spans="1:16" ht="18.95" customHeight="1">
      <c r="A725" s="7" t="s">
        <v>1985</v>
      </c>
      <c r="B725" s="7" t="s">
        <v>1986</v>
      </c>
      <c r="C725" s="7" t="s">
        <v>633</v>
      </c>
      <c r="D725" s="7" t="s">
        <v>97</v>
      </c>
      <c r="E725" s="7" t="s">
        <v>47</v>
      </c>
      <c r="F725" s="7" t="s">
        <v>98</v>
      </c>
      <c r="G725" s="7" t="s">
        <v>1988</v>
      </c>
      <c r="I725" s="1">
        <f t="shared" si="55"/>
        <v>1</v>
      </c>
      <c r="J725" s="1" t="str">
        <f>'Source build'!A725</f>
        <v>L00719</v>
      </c>
      <c r="K725" s="1">
        <f>725</f>
        <v>725</v>
      </c>
      <c r="L725" s="10">
        <f t="shared" si="56"/>
        <v>6130</v>
      </c>
      <c r="M725" s="1">
        <f t="shared" si="57"/>
        <v>1</v>
      </c>
      <c r="N725" s="1">
        <f t="shared" si="58"/>
        <v>1</v>
      </c>
      <c r="O725" s="1" t="str">
        <f>IF(I725=0,"UNUSED",IF(A725="","MISSING ID",IF(K725=0,"UNEXPECTED ID",IF(N725&lt;&gt;1,"ID / ORDER DIFFERENCE",IF('Source build'!U725&lt;&gt;"INCLUDED","EXCLUDED SOURCE",IF(NOT(M725),"INVALID AMOUNT",IF('Source build'!Y725&lt;&gt;0,"CHANGED FIELDS","MATCH")))))))</f>
        <v>MATCH</v>
      </c>
      <c r="P725" s="1" t="str">
        <f t="shared" si="59"/>
        <v>2026-03</v>
      </c>
    </row>
    <row r="726" spans="1:16" ht="18.95" customHeight="1">
      <c r="A726" s="7" t="s">
        <v>1989</v>
      </c>
      <c r="B726" s="7" t="s">
        <v>1986</v>
      </c>
      <c r="C726" s="7" t="s">
        <v>633</v>
      </c>
      <c r="D726" s="7" t="s">
        <v>103</v>
      </c>
      <c r="E726" s="7" t="s">
        <v>48</v>
      </c>
      <c r="F726" s="7" t="s">
        <v>98</v>
      </c>
      <c r="G726" s="7" t="s">
        <v>1990</v>
      </c>
      <c r="I726" s="1">
        <f t="shared" si="55"/>
        <v>1</v>
      </c>
      <c r="J726" s="1" t="str">
        <f>'Source build'!A726</f>
        <v>L00720</v>
      </c>
      <c r="K726" s="1">
        <f>726</f>
        <v>726</v>
      </c>
      <c r="L726" s="10">
        <f t="shared" si="56"/>
        <v>12408</v>
      </c>
      <c r="M726" s="1">
        <f t="shared" si="57"/>
        <v>1</v>
      </c>
      <c r="N726" s="1">
        <f t="shared" si="58"/>
        <v>1</v>
      </c>
      <c r="O726" s="1" t="str">
        <f>IF(I726=0,"UNUSED",IF(A726="","MISSING ID",IF(K726=0,"UNEXPECTED ID",IF(N726&lt;&gt;1,"ID / ORDER DIFFERENCE",IF('Source build'!U726&lt;&gt;"INCLUDED","EXCLUDED SOURCE",IF(NOT(M726),"INVALID AMOUNT",IF('Source build'!Y726&lt;&gt;0,"CHANGED FIELDS","MATCH")))))))</f>
        <v>MATCH</v>
      </c>
      <c r="P726" s="1" t="str">
        <f t="shared" si="59"/>
        <v>2026-03</v>
      </c>
    </row>
    <row r="727" spans="1:16" ht="18.95" customHeight="1">
      <c r="A727" s="7" t="s">
        <v>1991</v>
      </c>
      <c r="B727" s="7" t="s">
        <v>1992</v>
      </c>
      <c r="C727" s="7" t="s">
        <v>92</v>
      </c>
      <c r="D727" s="7" t="s">
        <v>93</v>
      </c>
      <c r="E727" s="7" t="s">
        <v>46</v>
      </c>
      <c r="F727" s="7" t="s">
        <v>98</v>
      </c>
      <c r="G727" s="7" t="s">
        <v>1993</v>
      </c>
      <c r="I727" s="1">
        <f t="shared" si="55"/>
        <v>1</v>
      </c>
      <c r="J727" s="1" t="str">
        <f>'Source build'!A727</f>
        <v>L00721</v>
      </c>
      <c r="K727" s="1">
        <f>727</f>
        <v>727</v>
      </c>
      <c r="L727" s="10">
        <f t="shared" si="56"/>
        <v>3139</v>
      </c>
      <c r="M727" s="1">
        <f t="shared" si="57"/>
        <v>1</v>
      </c>
      <c r="N727" s="1">
        <f t="shared" si="58"/>
        <v>1</v>
      </c>
      <c r="O727" s="1" t="str">
        <f>IF(I727=0,"UNUSED",IF(A727="","MISSING ID",IF(K727=0,"UNEXPECTED ID",IF(N727&lt;&gt;1,"ID / ORDER DIFFERENCE",IF('Source build'!U727&lt;&gt;"INCLUDED","EXCLUDED SOURCE",IF(NOT(M727),"INVALID AMOUNT",IF('Source build'!Y727&lt;&gt;0,"CHANGED FIELDS","MATCH")))))))</f>
        <v>MATCH</v>
      </c>
      <c r="P727" s="1" t="str">
        <f t="shared" si="59"/>
        <v>2026-01</v>
      </c>
    </row>
    <row r="728" spans="1:16" ht="18.95" customHeight="1">
      <c r="A728" s="7" t="s">
        <v>1994</v>
      </c>
      <c r="B728" s="7" t="s">
        <v>1992</v>
      </c>
      <c r="C728" s="7" t="s">
        <v>92</v>
      </c>
      <c r="D728" s="7" t="s">
        <v>97</v>
      </c>
      <c r="E728" s="7" t="s">
        <v>47</v>
      </c>
      <c r="F728" s="7" t="s">
        <v>98</v>
      </c>
      <c r="G728" s="7" t="s">
        <v>1995</v>
      </c>
      <c r="I728" s="1">
        <f t="shared" si="55"/>
        <v>1</v>
      </c>
      <c r="J728" s="1" t="str">
        <f>'Source build'!A728</f>
        <v>L00722</v>
      </c>
      <c r="K728" s="1">
        <f>728</f>
        <v>728</v>
      </c>
      <c r="L728" s="10">
        <f t="shared" si="56"/>
        <v>9528</v>
      </c>
      <c r="M728" s="1">
        <f t="shared" si="57"/>
        <v>1</v>
      </c>
      <c r="N728" s="1">
        <f t="shared" si="58"/>
        <v>1</v>
      </c>
      <c r="O728" s="1" t="str">
        <f>IF(I728=0,"UNUSED",IF(A728="","MISSING ID",IF(K728=0,"UNEXPECTED ID",IF(N728&lt;&gt;1,"ID / ORDER DIFFERENCE",IF('Source build'!U728&lt;&gt;"INCLUDED","EXCLUDED SOURCE",IF(NOT(M728),"INVALID AMOUNT",IF('Source build'!Y728&lt;&gt;0,"CHANGED FIELDS","MATCH")))))))</f>
        <v>MATCH</v>
      </c>
      <c r="P728" s="1" t="str">
        <f t="shared" si="59"/>
        <v>2026-01</v>
      </c>
    </row>
    <row r="729" spans="1:16" ht="18.95" customHeight="1">
      <c r="A729" s="7" t="s">
        <v>1996</v>
      </c>
      <c r="B729" s="7" t="s">
        <v>1997</v>
      </c>
      <c r="C729" s="7" t="s">
        <v>102</v>
      </c>
      <c r="D729" s="7" t="s">
        <v>103</v>
      </c>
      <c r="E729" s="7" t="s">
        <v>48</v>
      </c>
      <c r="F729" s="7" t="s">
        <v>98</v>
      </c>
      <c r="G729" s="7" t="s">
        <v>1998</v>
      </c>
      <c r="I729" s="1">
        <f t="shared" si="55"/>
        <v>1</v>
      </c>
      <c r="J729" s="1" t="str">
        <f>'Source build'!A729</f>
        <v>L00723</v>
      </c>
      <c r="K729" s="1">
        <f>729</f>
        <v>729</v>
      </c>
      <c r="L729" s="10">
        <f t="shared" si="56"/>
        <v>16065</v>
      </c>
      <c r="M729" s="1">
        <f t="shared" si="57"/>
        <v>1</v>
      </c>
      <c r="N729" s="1">
        <f t="shared" si="58"/>
        <v>1</v>
      </c>
      <c r="O729" s="1" t="str">
        <f>IF(I729=0,"UNUSED",IF(A729="","MISSING ID",IF(K729=0,"UNEXPECTED ID",IF(N729&lt;&gt;1,"ID / ORDER DIFFERENCE",IF('Source build'!U729&lt;&gt;"INCLUDED","EXCLUDED SOURCE",IF(NOT(M729),"INVALID AMOUNT",IF('Source build'!Y729&lt;&gt;0,"CHANGED FIELDS","MATCH")))))))</f>
        <v>MATCH</v>
      </c>
      <c r="P729" s="1" t="str">
        <f t="shared" si="59"/>
        <v>2026-01</v>
      </c>
    </row>
    <row r="730" spans="1:16" ht="18.95" customHeight="1">
      <c r="A730" s="7" t="s">
        <v>1999</v>
      </c>
      <c r="B730" s="7" t="s">
        <v>1997</v>
      </c>
      <c r="C730" s="7" t="s">
        <v>102</v>
      </c>
      <c r="D730" s="7" t="s">
        <v>93</v>
      </c>
      <c r="E730" s="7" t="s">
        <v>46</v>
      </c>
      <c r="F730" s="7" t="s">
        <v>98</v>
      </c>
      <c r="G730" s="7" t="s">
        <v>2000</v>
      </c>
      <c r="I730" s="1">
        <f t="shared" si="55"/>
        <v>1</v>
      </c>
      <c r="J730" s="1" t="str">
        <f>'Source build'!A730</f>
        <v>L00724</v>
      </c>
      <c r="K730" s="1">
        <f>730</f>
        <v>730</v>
      </c>
      <c r="L730" s="10">
        <f t="shared" si="56"/>
        <v>6500</v>
      </c>
      <c r="M730" s="1">
        <f t="shared" si="57"/>
        <v>1</v>
      </c>
      <c r="N730" s="1">
        <f t="shared" si="58"/>
        <v>1</v>
      </c>
      <c r="O730" s="1" t="str">
        <f>IF(I730=0,"UNUSED",IF(A730="","MISSING ID",IF(K730=0,"UNEXPECTED ID",IF(N730&lt;&gt;1,"ID / ORDER DIFFERENCE",IF('Source build'!U730&lt;&gt;"INCLUDED","EXCLUDED SOURCE",IF(NOT(M730),"INVALID AMOUNT",IF('Source build'!Y730&lt;&gt;0,"CHANGED FIELDS","MATCH")))))))</f>
        <v>MATCH</v>
      </c>
      <c r="P730" s="1" t="str">
        <f t="shared" si="59"/>
        <v>2026-01</v>
      </c>
    </row>
    <row r="731" spans="1:16" ht="18.95" customHeight="1">
      <c r="A731" s="7" t="s">
        <v>2001</v>
      </c>
      <c r="B731" s="7" t="s">
        <v>2002</v>
      </c>
      <c r="C731" s="7" t="s">
        <v>109</v>
      </c>
      <c r="D731" s="7" t="s">
        <v>97</v>
      </c>
      <c r="E731" s="7" t="s">
        <v>47</v>
      </c>
      <c r="F731" s="7" t="s">
        <v>98</v>
      </c>
      <c r="G731" s="7" t="s">
        <v>2003</v>
      </c>
      <c r="I731" s="1">
        <f t="shared" si="55"/>
        <v>1</v>
      </c>
      <c r="J731" s="1" t="str">
        <f>'Source build'!A731</f>
        <v>L00725</v>
      </c>
      <c r="K731" s="1">
        <f>731</f>
        <v>731</v>
      </c>
      <c r="L731" s="10">
        <f t="shared" si="56"/>
        <v>13148</v>
      </c>
      <c r="M731" s="1">
        <f t="shared" si="57"/>
        <v>1</v>
      </c>
      <c r="N731" s="1">
        <f t="shared" si="58"/>
        <v>1</v>
      </c>
      <c r="O731" s="1" t="str">
        <f>IF(I731=0,"UNUSED",IF(A731="","MISSING ID",IF(K731=0,"UNEXPECTED ID",IF(N731&lt;&gt;1,"ID / ORDER DIFFERENCE",IF('Source build'!U731&lt;&gt;"INCLUDED","EXCLUDED SOURCE",IF(NOT(M731),"INVALID AMOUNT",IF('Source build'!Y731&lt;&gt;0,"CHANGED FIELDS","MATCH")))))))</f>
        <v>MATCH</v>
      </c>
      <c r="P731" s="1" t="str">
        <f t="shared" si="59"/>
        <v>2026-01</v>
      </c>
    </row>
    <row r="732" spans="1:16" ht="18.95" customHeight="1">
      <c r="A732" s="7" t="s">
        <v>2004</v>
      </c>
      <c r="B732" s="7" t="s">
        <v>2002</v>
      </c>
      <c r="C732" s="7" t="s">
        <v>109</v>
      </c>
      <c r="D732" s="7" t="s">
        <v>103</v>
      </c>
      <c r="E732" s="7" t="s">
        <v>48</v>
      </c>
      <c r="F732" s="7" t="s">
        <v>98</v>
      </c>
      <c r="G732" s="7" t="s">
        <v>2005</v>
      </c>
      <c r="I732" s="1">
        <f t="shared" si="55"/>
        <v>1</v>
      </c>
      <c r="J732" s="1" t="str">
        <f>'Source build'!A732</f>
        <v>L00726</v>
      </c>
      <c r="K732" s="1">
        <f>732</f>
        <v>732</v>
      </c>
      <c r="L732" s="10">
        <f t="shared" si="56"/>
        <v>3324</v>
      </c>
      <c r="M732" s="1">
        <f t="shared" si="57"/>
        <v>1</v>
      </c>
      <c r="N732" s="1">
        <f t="shared" si="58"/>
        <v>1</v>
      </c>
      <c r="O732" s="1" t="str">
        <f>IF(I732=0,"UNUSED",IF(A732="","MISSING ID",IF(K732=0,"UNEXPECTED ID",IF(N732&lt;&gt;1,"ID / ORDER DIFFERENCE",IF('Source build'!U732&lt;&gt;"INCLUDED","EXCLUDED SOURCE",IF(NOT(M732),"INVALID AMOUNT",IF('Source build'!Y732&lt;&gt;0,"CHANGED FIELDS","MATCH")))))))</f>
        <v>MATCH</v>
      </c>
      <c r="P732" s="1" t="str">
        <f t="shared" si="59"/>
        <v>2026-01</v>
      </c>
    </row>
    <row r="733" spans="1:16" ht="18.95" customHeight="1">
      <c r="A733" s="7" t="s">
        <v>2006</v>
      </c>
      <c r="B733" s="7" t="s">
        <v>2007</v>
      </c>
      <c r="C733" s="7" t="s">
        <v>115</v>
      </c>
      <c r="D733" s="7" t="s">
        <v>93</v>
      </c>
      <c r="E733" s="7" t="s">
        <v>46</v>
      </c>
      <c r="F733" s="7" t="s">
        <v>98</v>
      </c>
      <c r="G733" s="7" t="s">
        <v>2008</v>
      </c>
      <c r="I733" s="1">
        <f t="shared" si="55"/>
        <v>1</v>
      </c>
      <c r="J733" s="1" t="str">
        <f>'Source build'!A733</f>
        <v>L00727</v>
      </c>
      <c r="K733" s="1">
        <f>733</f>
        <v>733</v>
      </c>
      <c r="L733" s="10">
        <f t="shared" si="56"/>
        <v>10083</v>
      </c>
      <c r="M733" s="1">
        <f t="shared" si="57"/>
        <v>1</v>
      </c>
      <c r="N733" s="1">
        <f t="shared" si="58"/>
        <v>1</v>
      </c>
      <c r="O733" s="1" t="str">
        <f>IF(I733=0,"UNUSED",IF(A733="","MISSING ID",IF(K733=0,"UNEXPECTED ID",IF(N733&lt;&gt;1,"ID / ORDER DIFFERENCE",IF('Source build'!U733&lt;&gt;"INCLUDED","EXCLUDED SOURCE",IF(NOT(M733),"INVALID AMOUNT",IF('Source build'!Y733&lt;&gt;0,"CHANGED FIELDS","MATCH")))))))</f>
        <v>MATCH</v>
      </c>
      <c r="P733" s="1" t="str">
        <f t="shared" si="59"/>
        <v>2026-01</v>
      </c>
    </row>
    <row r="734" spans="1:16" ht="18.95" customHeight="1">
      <c r="A734" s="7" t="s">
        <v>2009</v>
      </c>
      <c r="B734" s="7" t="s">
        <v>2007</v>
      </c>
      <c r="C734" s="7" t="s">
        <v>115</v>
      </c>
      <c r="D734" s="7" t="s">
        <v>97</v>
      </c>
      <c r="E734" s="7" t="s">
        <v>47</v>
      </c>
      <c r="F734" s="7" t="s">
        <v>98</v>
      </c>
      <c r="G734" s="7" t="s">
        <v>2010</v>
      </c>
      <c r="I734" s="1">
        <f t="shared" si="55"/>
        <v>1</v>
      </c>
      <c r="J734" s="1" t="str">
        <f>'Source build'!A734</f>
        <v>L00728</v>
      </c>
      <c r="K734" s="1">
        <f>734</f>
        <v>734</v>
      </c>
      <c r="L734" s="10">
        <f t="shared" si="56"/>
        <v>16990</v>
      </c>
      <c r="M734" s="1">
        <f t="shared" si="57"/>
        <v>1</v>
      </c>
      <c r="N734" s="1">
        <f t="shared" si="58"/>
        <v>1</v>
      </c>
      <c r="O734" s="1" t="str">
        <f>IF(I734=0,"UNUSED",IF(A734="","MISSING ID",IF(K734=0,"UNEXPECTED ID",IF(N734&lt;&gt;1,"ID / ORDER DIFFERENCE",IF('Source build'!U734&lt;&gt;"INCLUDED","EXCLUDED SOURCE",IF(NOT(M734),"INVALID AMOUNT",IF('Source build'!Y734&lt;&gt;0,"CHANGED FIELDS","MATCH")))))))</f>
        <v>MATCH</v>
      </c>
      <c r="P734" s="1" t="str">
        <f t="shared" si="59"/>
        <v>2026-01</v>
      </c>
    </row>
    <row r="735" spans="1:16" ht="18.95" customHeight="1">
      <c r="A735" s="7" t="s">
        <v>2011</v>
      </c>
      <c r="B735" s="7" t="s">
        <v>2012</v>
      </c>
      <c r="C735" s="7" t="s">
        <v>121</v>
      </c>
      <c r="D735" s="7" t="s">
        <v>103</v>
      </c>
      <c r="E735" s="7" t="s">
        <v>48</v>
      </c>
      <c r="F735" s="7" t="s">
        <v>98</v>
      </c>
      <c r="G735" s="7" t="s">
        <v>2013</v>
      </c>
      <c r="I735" s="1">
        <f t="shared" si="55"/>
        <v>1</v>
      </c>
      <c r="J735" s="1" t="str">
        <f>'Source build'!A735</f>
        <v>L00729</v>
      </c>
      <c r="K735" s="1">
        <f>735</f>
        <v>735</v>
      </c>
      <c r="L735" s="10">
        <f t="shared" si="56"/>
        <v>6870</v>
      </c>
      <c r="M735" s="1">
        <f t="shared" si="57"/>
        <v>1</v>
      </c>
      <c r="N735" s="1">
        <f t="shared" si="58"/>
        <v>1</v>
      </c>
      <c r="O735" s="1" t="str">
        <f>IF(I735=0,"UNUSED",IF(A735="","MISSING ID",IF(K735=0,"UNEXPECTED ID",IF(N735&lt;&gt;1,"ID / ORDER DIFFERENCE",IF('Source build'!U735&lt;&gt;"INCLUDED","EXCLUDED SOURCE",IF(NOT(M735),"INVALID AMOUNT",IF('Source build'!Y735&lt;&gt;0,"CHANGED FIELDS","MATCH")))))))</f>
        <v>MATCH</v>
      </c>
      <c r="P735" s="1" t="str">
        <f t="shared" si="59"/>
        <v>2026-01</v>
      </c>
    </row>
    <row r="736" spans="1:16" ht="18.95" customHeight="1">
      <c r="A736" s="7" t="s">
        <v>2014</v>
      </c>
      <c r="B736" s="7" t="s">
        <v>2012</v>
      </c>
      <c r="C736" s="7" t="s">
        <v>121</v>
      </c>
      <c r="D736" s="7" t="s">
        <v>93</v>
      </c>
      <c r="E736" s="7" t="s">
        <v>46</v>
      </c>
      <c r="F736" s="7" t="s">
        <v>98</v>
      </c>
      <c r="G736" s="7" t="s">
        <v>2015</v>
      </c>
      <c r="I736" s="1">
        <f t="shared" si="55"/>
        <v>1</v>
      </c>
      <c r="J736" s="1" t="str">
        <f>'Source build'!A736</f>
        <v>L00730</v>
      </c>
      <c r="K736" s="1">
        <f>736</f>
        <v>736</v>
      </c>
      <c r="L736" s="10">
        <f t="shared" si="56"/>
        <v>13888</v>
      </c>
      <c r="M736" s="1">
        <f t="shared" si="57"/>
        <v>1</v>
      </c>
      <c r="N736" s="1">
        <f t="shared" si="58"/>
        <v>1</v>
      </c>
      <c r="O736" s="1" t="str">
        <f>IF(I736=0,"UNUSED",IF(A736="","MISSING ID",IF(K736=0,"UNEXPECTED ID",IF(N736&lt;&gt;1,"ID / ORDER DIFFERENCE",IF('Source build'!U736&lt;&gt;"INCLUDED","EXCLUDED SOURCE",IF(NOT(M736),"INVALID AMOUNT",IF('Source build'!Y736&lt;&gt;0,"CHANGED FIELDS","MATCH")))))))</f>
        <v>MATCH</v>
      </c>
      <c r="P736" s="1" t="str">
        <f t="shared" si="59"/>
        <v>2026-01</v>
      </c>
    </row>
    <row r="737" spans="1:16" ht="18.95" customHeight="1">
      <c r="A737" s="7" t="s">
        <v>2016</v>
      </c>
      <c r="B737" s="7" t="s">
        <v>2017</v>
      </c>
      <c r="C737" s="7" t="s">
        <v>127</v>
      </c>
      <c r="D737" s="7" t="s">
        <v>97</v>
      </c>
      <c r="E737" s="7" t="s">
        <v>47</v>
      </c>
      <c r="F737" s="7" t="s">
        <v>98</v>
      </c>
      <c r="G737" s="7" t="s">
        <v>2018</v>
      </c>
      <c r="I737" s="1">
        <f t="shared" si="55"/>
        <v>1</v>
      </c>
      <c r="J737" s="1" t="str">
        <f>'Source build'!A737</f>
        <v>L00731</v>
      </c>
      <c r="K737" s="1">
        <f>737</f>
        <v>737</v>
      </c>
      <c r="L737" s="10">
        <f t="shared" si="56"/>
        <v>3509</v>
      </c>
      <c r="M737" s="1">
        <f t="shared" si="57"/>
        <v>1</v>
      </c>
      <c r="N737" s="1">
        <f t="shared" si="58"/>
        <v>1</v>
      </c>
      <c r="O737" s="1" t="str">
        <f>IF(I737=0,"UNUSED",IF(A737="","MISSING ID",IF(K737=0,"UNEXPECTED ID",IF(N737&lt;&gt;1,"ID / ORDER DIFFERENCE",IF('Source build'!U737&lt;&gt;"INCLUDED","EXCLUDED SOURCE",IF(NOT(M737),"INVALID AMOUNT",IF('Source build'!Y737&lt;&gt;0,"CHANGED FIELDS","MATCH")))))))</f>
        <v>MATCH</v>
      </c>
      <c r="P737" s="1" t="str">
        <f t="shared" si="59"/>
        <v>2026-02</v>
      </c>
    </row>
    <row r="738" spans="1:16" ht="18.95" customHeight="1">
      <c r="A738" s="7" t="s">
        <v>2019</v>
      </c>
      <c r="B738" s="7" t="s">
        <v>2017</v>
      </c>
      <c r="C738" s="7" t="s">
        <v>127</v>
      </c>
      <c r="D738" s="7" t="s">
        <v>103</v>
      </c>
      <c r="E738" s="7" t="s">
        <v>48</v>
      </c>
      <c r="F738" s="7" t="s">
        <v>98</v>
      </c>
      <c r="G738" s="7" t="s">
        <v>2020</v>
      </c>
      <c r="I738" s="1">
        <f t="shared" si="55"/>
        <v>1</v>
      </c>
      <c r="J738" s="1" t="str">
        <f>'Source build'!A738</f>
        <v>L00732</v>
      </c>
      <c r="K738" s="1">
        <f>738</f>
        <v>738</v>
      </c>
      <c r="L738" s="10">
        <f t="shared" si="56"/>
        <v>10638</v>
      </c>
      <c r="M738" s="1">
        <f t="shared" si="57"/>
        <v>1</v>
      </c>
      <c r="N738" s="1">
        <f t="shared" si="58"/>
        <v>1</v>
      </c>
      <c r="O738" s="1" t="str">
        <f>IF(I738=0,"UNUSED",IF(A738="","MISSING ID",IF(K738=0,"UNEXPECTED ID",IF(N738&lt;&gt;1,"ID / ORDER DIFFERENCE",IF('Source build'!U738&lt;&gt;"INCLUDED","EXCLUDED SOURCE",IF(NOT(M738),"INVALID AMOUNT",IF('Source build'!Y738&lt;&gt;0,"CHANGED FIELDS","MATCH")))))))</f>
        <v>MATCH</v>
      </c>
      <c r="P738" s="1" t="str">
        <f t="shared" si="59"/>
        <v>2026-02</v>
      </c>
    </row>
    <row r="739" spans="1:16" ht="18.95" customHeight="1">
      <c r="A739" s="7" t="s">
        <v>2021</v>
      </c>
      <c r="B739" s="7" t="s">
        <v>2022</v>
      </c>
      <c r="C739" s="7" t="s">
        <v>133</v>
      </c>
      <c r="D739" s="7" t="s">
        <v>93</v>
      </c>
      <c r="E739" s="7" t="s">
        <v>46</v>
      </c>
      <c r="F739" s="7" t="s">
        <v>98</v>
      </c>
      <c r="G739" s="7" t="s">
        <v>2023</v>
      </c>
      <c r="I739" s="1">
        <f t="shared" si="55"/>
        <v>1</v>
      </c>
      <c r="J739" s="1" t="str">
        <f>'Source build'!A739</f>
        <v>L00733</v>
      </c>
      <c r="K739" s="1">
        <f>739</f>
        <v>739</v>
      </c>
      <c r="L739" s="10">
        <f t="shared" si="56"/>
        <v>17915</v>
      </c>
      <c r="M739" s="1">
        <f t="shared" si="57"/>
        <v>1</v>
      </c>
      <c r="N739" s="1">
        <f t="shared" si="58"/>
        <v>1</v>
      </c>
      <c r="O739" s="1" t="str">
        <f>IF(I739=0,"UNUSED",IF(A739="","MISSING ID",IF(K739=0,"UNEXPECTED ID",IF(N739&lt;&gt;1,"ID / ORDER DIFFERENCE",IF('Source build'!U739&lt;&gt;"INCLUDED","EXCLUDED SOURCE",IF(NOT(M739),"INVALID AMOUNT",IF('Source build'!Y739&lt;&gt;0,"CHANGED FIELDS","MATCH")))))))</f>
        <v>MATCH</v>
      </c>
      <c r="P739" s="1" t="str">
        <f t="shared" si="59"/>
        <v>2026-02</v>
      </c>
    </row>
    <row r="740" spans="1:16" ht="18.95" customHeight="1">
      <c r="A740" s="7" t="s">
        <v>2024</v>
      </c>
      <c r="B740" s="7" t="s">
        <v>2022</v>
      </c>
      <c r="C740" s="7" t="s">
        <v>133</v>
      </c>
      <c r="D740" s="7" t="s">
        <v>97</v>
      </c>
      <c r="E740" s="7" t="s">
        <v>47</v>
      </c>
      <c r="F740" s="7" t="s">
        <v>98</v>
      </c>
      <c r="G740" s="7" t="s">
        <v>2025</v>
      </c>
      <c r="I740" s="1">
        <f t="shared" si="55"/>
        <v>1</v>
      </c>
      <c r="J740" s="1" t="str">
        <f>'Source build'!A740</f>
        <v>L00734</v>
      </c>
      <c r="K740" s="1">
        <f>740</f>
        <v>740</v>
      </c>
      <c r="L740" s="10">
        <f t="shared" si="56"/>
        <v>7240</v>
      </c>
      <c r="M740" s="1">
        <f t="shared" si="57"/>
        <v>1</v>
      </c>
      <c r="N740" s="1">
        <f t="shared" si="58"/>
        <v>1</v>
      </c>
      <c r="O740" s="1" t="str">
        <f>IF(I740=0,"UNUSED",IF(A740="","MISSING ID",IF(K740=0,"UNEXPECTED ID",IF(N740&lt;&gt;1,"ID / ORDER DIFFERENCE",IF('Source build'!U740&lt;&gt;"INCLUDED","EXCLUDED SOURCE",IF(NOT(M740),"INVALID AMOUNT",IF('Source build'!Y740&lt;&gt;0,"CHANGED FIELDS","MATCH")))))))</f>
        <v>MATCH</v>
      </c>
      <c r="P740" s="1" t="str">
        <f t="shared" si="59"/>
        <v>2026-02</v>
      </c>
    </row>
    <row r="741" spans="1:16" ht="18.95" customHeight="1">
      <c r="A741" s="7" t="s">
        <v>2026</v>
      </c>
      <c r="B741" s="7" t="s">
        <v>2027</v>
      </c>
      <c r="C741" s="7" t="s">
        <v>139</v>
      </c>
      <c r="D741" s="7" t="s">
        <v>103</v>
      </c>
      <c r="E741" s="7" t="s">
        <v>48</v>
      </c>
      <c r="F741" s="7" t="s">
        <v>98</v>
      </c>
      <c r="G741" s="7" t="s">
        <v>2028</v>
      </c>
      <c r="I741" s="1">
        <f t="shared" si="55"/>
        <v>1</v>
      </c>
      <c r="J741" s="1" t="str">
        <f>'Source build'!A741</f>
        <v>L00735</v>
      </c>
      <c r="K741" s="1">
        <f>741</f>
        <v>741</v>
      </c>
      <c r="L741" s="10">
        <f t="shared" si="56"/>
        <v>14628</v>
      </c>
      <c r="M741" s="1">
        <f t="shared" si="57"/>
        <v>1</v>
      </c>
      <c r="N741" s="1">
        <f t="shared" si="58"/>
        <v>1</v>
      </c>
      <c r="O741" s="1" t="str">
        <f>IF(I741=0,"UNUSED",IF(A741="","MISSING ID",IF(K741=0,"UNEXPECTED ID",IF(N741&lt;&gt;1,"ID / ORDER DIFFERENCE",IF('Source build'!U741&lt;&gt;"INCLUDED","EXCLUDED SOURCE",IF(NOT(M741),"INVALID AMOUNT",IF('Source build'!Y741&lt;&gt;0,"CHANGED FIELDS","MATCH")))))))</f>
        <v>MATCH</v>
      </c>
      <c r="P741" s="1" t="str">
        <f t="shared" si="59"/>
        <v>2026-02</v>
      </c>
    </row>
    <row r="742" spans="1:16" ht="18.95" customHeight="1">
      <c r="A742" s="7" t="s">
        <v>2029</v>
      </c>
      <c r="B742" s="7" t="s">
        <v>2027</v>
      </c>
      <c r="C742" s="7" t="s">
        <v>139</v>
      </c>
      <c r="D742" s="7" t="s">
        <v>93</v>
      </c>
      <c r="E742" s="7" t="s">
        <v>46</v>
      </c>
      <c r="F742" s="7" t="s">
        <v>98</v>
      </c>
      <c r="G742" s="7" t="s">
        <v>2030</v>
      </c>
      <c r="I742" s="1">
        <f t="shared" si="55"/>
        <v>1</v>
      </c>
      <c r="J742" s="1" t="str">
        <f>'Source build'!A742</f>
        <v>L00736</v>
      </c>
      <c r="K742" s="1">
        <f>742</f>
        <v>742</v>
      </c>
      <c r="L742" s="10">
        <f t="shared" si="56"/>
        <v>3694</v>
      </c>
      <c r="M742" s="1">
        <f t="shared" si="57"/>
        <v>1</v>
      </c>
      <c r="N742" s="1">
        <f t="shared" si="58"/>
        <v>1</v>
      </c>
      <c r="O742" s="1" t="str">
        <f>IF(I742=0,"UNUSED",IF(A742="","MISSING ID",IF(K742=0,"UNEXPECTED ID",IF(N742&lt;&gt;1,"ID / ORDER DIFFERENCE",IF('Source build'!U742&lt;&gt;"INCLUDED","EXCLUDED SOURCE",IF(NOT(M742),"INVALID AMOUNT",IF('Source build'!Y742&lt;&gt;0,"CHANGED FIELDS","MATCH")))))))</f>
        <v>MATCH</v>
      </c>
      <c r="P742" s="1" t="str">
        <f t="shared" si="59"/>
        <v>2026-02</v>
      </c>
    </row>
    <row r="743" spans="1:16" ht="18.95" customHeight="1">
      <c r="A743" s="7" t="s">
        <v>2031</v>
      </c>
      <c r="B743" s="7" t="s">
        <v>2032</v>
      </c>
      <c r="C743" s="7" t="s">
        <v>145</v>
      </c>
      <c r="D743" s="7" t="s">
        <v>97</v>
      </c>
      <c r="E743" s="7" t="s">
        <v>47</v>
      </c>
      <c r="F743" s="7" t="s">
        <v>94</v>
      </c>
      <c r="G743" s="7" t="s">
        <v>2033</v>
      </c>
      <c r="I743" s="1">
        <f t="shared" si="55"/>
        <v>1</v>
      </c>
      <c r="J743" s="1" t="str">
        <f>'Source build'!A743</f>
        <v>L00737</v>
      </c>
      <c r="K743" s="1">
        <f>743</f>
        <v>743</v>
      </c>
      <c r="L743" s="10">
        <f t="shared" si="56"/>
        <v>-11193</v>
      </c>
      <c r="M743" s="1">
        <f t="shared" si="57"/>
        <v>1</v>
      </c>
      <c r="N743" s="1">
        <f t="shared" si="58"/>
        <v>1</v>
      </c>
      <c r="O743" s="1" t="str">
        <f>IF(I743=0,"UNUSED",IF(A743="","MISSING ID",IF(K743=0,"UNEXPECTED ID",IF(N743&lt;&gt;1,"ID / ORDER DIFFERENCE",IF('Source build'!U743&lt;&gt;"INCLUDED","EXCLUDED SOURCE",IF(NOT(M743),"INVALID AMOUNT",IF('Source build'!Y743&lt;&gt;0,"CHANGED FIELDS","MATCH")))))))</f>
        <v>MATCH</v>
      </c>
      <c r="P743" s="1" t="str">
        <f t="shared" si="59"/>
        <v>2026-02</v>
      </c>
    </row>
    <row r="744" spans="1:16" ht="18.95" customHeight="1">
      <c r="A744" s="7" t="s">
        <v>2034</v>
      </c>
      <c r="B744" s="7" t="s">
        <v>2032</v>
      </c>
      <c r="C744" s="7" t="s">
        <v>145</v>
      </c>
      <c r="D744" s="7" t="s">
        <v>103</v>
      </c>
      <c r="E744" s="7" t="s">
        <v>48</v>
      </c>
      <c r="F744" s="7" t="s">
        <v>98</v>
      </c>
      <c r="G744" s="7" t="s">
        <v>2035</v>
      </c>
      <c r="I744" s="1">
        <f t="shared" si="55"/>
        <v>1</v>
      </c>
      <c r="J744" s="1" t="str">
        <f>'Source build'!A744</f>
        <v>L00738</v>
      </c>
      <c r="K744" s="1">
        <f>744</f>
        <v>744</v>
      </c>
      <c r="L744" s="10">
        <f t="shared" si="56"/>
        <v>18840</v>
      </c>
      <c r="M744" s="1">
        <f t="shared" si="57"/>
        <v>1</v>
      </c>
      <c r="N744" s="1">
        <f t="shared" si="58"/>
        <v>1</v>
      </c>
      <c r="O744" s="1" t="str">
        <f>IF(I744=0,"UNUSED",IF(A744="","MISSING ID",IF(K744=0,"UNEXPECTED ID",IF(N744&lt;&gt;1,"ID / ORDER DIFFERENCE",IF('Source build'!U744&lt;&gt;"INCLUDED","EXCLUDED SOURCE",IF(NOT(M744),"INVALID AMOUNT",IF('Source build'!Y744&lt;&gt;0,"CHANGED FIELDS","MATCH")))))))</f>
        <v>MATCH</v>
      </c>
      <c r="P744" s="1" t="str">
        <f t="shared" si="59"/>
        <v>2026-02</v>
      </c>
    </row>
    <row r="745" spans="1:16" ht="18.95" customHeight="1">
      <c r="A745" s="7" t="s">
        <v>2036</v>
      </c>
      <c r="B745" s="7" t="s">
        <v>2037</v>
      </c>
      <c r="C745" s="7" t="s">
        <v>151</v>
      </c>
      <c r="D745" s="7" t="s">
        <v>93</v>
      </c>
      <c r="E745" s="7" t="s">
        <v>46</v>
      </c>
      <c r="F745" s="7" t="s">
        <v>98</v>
      </c>
      <c r="G745" s="7" t="s">
        <v>2038</v>
      </c>
      <c r="I745" s="1">
        <f t="shared" si="55"/>
        <v>1</v>
      </c>
      <c r="J745" s="1" t="str">
        <f>'Source build'!A745</f>
        <v>L00739</v>
      </c>
      <c r="K745" s="1">
        <f>745</f>
        <v>745</v>
      </c>
      <c r="L745" s="10">
        <f t="shared" si="56"/>
        <v>7610</v>
      </c>
      <c r="M745" s="1">
        <f t="shared" si="57"/>
        <v>1</v>
      </c>
      <c r="N745" s="1">
        <f t="shared" si="58"/>
        <v>1</v>
      </c>
      <c r="O745" s="1" t="str">
        <f>IF(I745=0,"UNUSED",IF(A745="","MISSING ID",IF(K745=0,"UNEXPECTED ID",IF(N745&lt;&gt;1,"ID / ORDER DIFFERENCE",IF('Source build'!U745&lt;&gt;"INCLUDED","EXCLUDED SOURCE",IF(NOT(M745),"INVALID AMOUNT",IF('Source build'!Y745&lt;&gt;0,"CHANGED FIELDS","MATCH")))))))</f>
        <v>MATCH</v>
      </c>
      <c r="P745" s="1" t="str">
        <f t="shared" si="59"/>
        <v>2026-03</v>
      </c>
    </row>
    <row r="746" spans="1:16" ht="18.95" customHeight="1">
      <c r="A746" s="7" t="s">
        <v>2039</v>
      </c>
      <c r="B746" s="7" t="s">
        <v>2037</v>
      </c>
      <c r="C746" s="7" t="s">
        <v>151</v>
      </c>
      <c r="D746" s="7" t="s">
        <v>97</v>
      </c>
      <c r="E746" s="7" t="s">
        <v>47</v>
      </c>
      <c r="F746" s="7" t="s">
        <v>98</v>
      </c>
      <c r="G746" s="7" t="s">
        <v>2040</v>
      </c>
      <c r="I746" s="1">
        <f t="shared" si="55"/>
        <v>1</v>
      </c>
      <c r="J746" s="1" t="str">
        <f>'Source build'!A746</f>
        <v>L00740</v>
      </c>
      <c r="K746" s="1">
        <f>746</f>
        <v>746</v>
      </c>
      <c r="L746" s="10">
        <f t="shared" si="56"/>
        <v>15368</v>
      </c>
      <c r="M746" s="1">
        <f t="shared" si="57"/>
        <v>1</v>
      </c>
      <c r="N746" s="1">
        <f t="shared" si="58"/>
        <v>1</v>
      </c>
      <c r="O746" s="1" t="str">
        <f>IF(I746=0,"UNUSED",IF(A746="","MISSING ID",IF(K746=0,"UNEXPECTED ID",IF(N746&lt;&gt;1,"ID / ORDER DIFFERENCE",IF('Source build'!U746&lt;&gt;"INCLUDED","EXCLUDED SOURCE",IF(NOT(M746),"INVALID AMOUNT",IF('Source build'!Y746&lt;&gt;0,"CHANGED FIELDS","MATCH")))))))</f>
        <v>MATCH</v>
      </c>
      <c r="P746" s="1" t="str">
        <f t="shared" si="59"/>
        <v>2026-03</v>
      </c>
    </row>
    <row r="747" spans="1:16" ht="18.95" customHeight="1">
      <c r="A747" s="7" t="s">
        <v>2041</v>
      </c>
      <c r="B747" s="7" t="s">
        <v>2042</v>
      </c>
      <c r="C747" s="7" t="s">
        <v>157</v>
      </c>
      <c r="D747" s="7" t="s">
        <v>103</v>
      </c>
      <c r="E747" s="7" t="s">
        <v>48</v>
      </c>
      <c r="F747" s="7" t="s">
        <v>98</v>
      </c>
      <c r="G747" s="7" t="s">
        <v>2043</v>
      </c>
      <c r="I747" s="1">
        <f t="shared" si="55"/>
        <v>1</v>
      </c>
      <c r="J747" s="1" t="str">
        <f>'Source build'!A747</f>
        <v>L00741</v>
      </c>
      <c r="K747" s="1">
        <f>747</f>
        <v>747</v>
      </c>
      <c r="L747" s="10">
        <f t="shared" si="56"/>
        <v>3879</v>
      </c>
      <c r="M747" s="1">
        <f t="shared" si="57"/>
        <v>1</v>
      </c>
      <c r="N747" s="1">
        <f t="shared" si="58"/>
        <v>1</v>
      </c>
      <c r="O747" s="1" t="str">
        <f>IF(I747=0,"UNUSED",IF(A747="","MISSING ID",IF(K747=0,"UNEXPECTED ID",IF(N747&lt;&gt;1,"ID / ORDER DIFFERENCE",IF('Source build'!U747&lt;&gt;"INCLUDED","EXCLUDED SOURCE",IF(NOT(M747),"INVALID AMOUNT",IF('Source build'!Y747&lt;&gt;0,"CHANGED FIELDS","MATCH")))))))</f>
        <v>MATCH</v>
      </c>
      <c r="P747" s="1" t="str">
        <f t="shared" si="59"/>
        <v>2026-03</v>
      </c>
    </row>
    <row r="748" spans="1:16" ht="18.95" customHeight="1">
      <c r="A748" s="7" t="s">
        <v>2044</v>
      </c>
      <c r="B748" s="7" t="s">
        <v>2042</v>
      </c>
      <c r="C748" s="7" t="s">
        <v>157</v>
      </c>
      <c r="D748" s="7" t="s">
        <v>93</v>
      </c>
      <c r="E748" s="7" t="s">
        <v>46</v>
      </c>
      <c r="F748" s="7" t="s">
        <v>98</v>
      </c>
      <c r="G748" s="7" t="s">
        <v>2045</v>
      </c>
      <c r="I748" s="1">
        <f t="shared" si="55"/>
        <v>1</v>
      </c>
      <c r="J748" s="1" t="str">
        <f>'Source build'!A748</f>
        <v>L00742</v>
      </c>
      <c r="K748" s="1">
        <f>748</f>
        <v>748</v>
      </c>
      <c r="L748" s="10">
        <f t="shared" si="56"/>
        <v>11748</v>
      </c>
      <c r="M748" s="1">
        <f t="shared" si="57"/>
        <v>1</v>
      </c>
      <c r="N748" s="1">
        <f t="shared" si="58"/>
        <v>1</v>
      </c>
      <c r="O748" s="1" t="str">
        <f>IF(I748=0,"UNUSED",IF(A748="","MISSING ID",IF(K748=0,"UNEXPECTED ID",IF(N748&lt;&gt;1,"ID / ORDER DIFFERENCE",IF('Source build'!U748&lt;&gt;"INCLUDED","EXCLUDED SOURCE",IF(NOT(M748),"INVALID AMOUNT",IF('Source build'!Y748&lt;&gt;0,"CHANGED FIELDS","MATCH")))))))</f>
        <v>MATCH</v>
      </c>
      <c r="P748" s="1" t="str">
        <f t="shared" si="59"/>
        <v>2026-03</v>
      </c>
    </row>
    <row r="749" spans="1:16" ht="18.95" customHeight="1">
      <c r="A749" s="7" t="s">
        <v>2046</v>
      </c>
      <c r="B749" s="7" t="s">
        <v>2047</v>
      </c>
      <c r="C749" s="7" t="s">
        <v>163</v>
      </c>
      <c r="D749" s="7" t="s">
        <v>97</v>
      </c>
      <c r="E749" s="7" t="s">
        <v>47</v>
      </c>
      <c r="F749" s="7" t="s">
        <v>98</v>
      </c>
      <c r="G749" s="7" t="s">
        <v>2048</v>
      </c>
      <c r="I749" s="1">
        <f t="shared" si="55"/>
        <v>1</v>
      </c>
      <c r="J749" s="1" t="str">
        <f>'Source build'!A749</f>
        <v>L00743</v>
      </c>
      <c r="K749" s="1">
        <f>749</f>
        <v>749</v>
      </c>
      <c r="L749" s="10">
        <f t="shared" si="56"/>
        <v>19765</v>
      </c>
      <c r="M749" s="1">
        <f t="shared" si="57"/>
        <v>1</v>
      </c>
      <c r="N749" s="1">
        <f t="shared" si="58"/>
        <v>1</v>
      </c>
      <c r="O749" s="1" t="str">
        <f>IF(I749=0,"UNUSED",IF(A749="","MISSING ID",IF(K749=0,"UNEXPECTED ID",IF(N749&lt;&gt;1,"ID / ORDER DIFFERENCE",IF('Source build'!U749&lt;&gt;"INCLUDED","EXCLUDED SOURCE",IF(NOT(M749),"INVALID AMOUNT",IF('Source build'!Y749&lt;&gt;0,"CHANGED FIELDS","MATCH")))))))</f>
        <v>MATCH</v>
      </c>
      <c r="P749" s="1" t="str">
        <f t="shared" si="59"/>
        <v>2026-03</v>
      </c>
    </row>
    <row r="750" spans="1:16" ht="18.95" customHeight="1">
      <c r="A750" s="7" t="s">
        <v>2049</v>
      </c>
      <c r="B750" s="7" t="s">
        <v>2047</v>
      </c>
      <c r="C750" s="7" t="s">
        <v>163</v>
      </c>
      <c r="D750" s="7" t="s">
        <v>103</v>
      </c>
      <c r="E750" s="7" t="s">
        <v>48</v>
      </c>
      <c r="F750" s="7" t="s">
        <v>98</v>
      </c>
      <c r="G750" s="7" t="s">
        <v>5138</v>
      </c>
      <c r="I750" s="1">
        <f t="shared" si="55"/>
        <v>1</v>
      </c>
      <c r="J750" s="1" t="str">
        <f>'Source build'!A750</f>
        <v>L00744</v>
      </c>
      <c r="K750" s="1">
        <f>750</f>
        <v>750</v>
      </c>
      <c r="L750" s="10">
        <f t="shared" si="56"/>
        <v>7980</v>
      </c>
      <c r="M750" s="1">
        <f t="shared" si="57"/>
        <v>1</v>
      </c>
      <c r="N750" s="1">
        <f t="shared" si="58"/>
        <v>1</v>
      </c>
      <c r="O750" s="1" t="str">
        <f>IF(I750=0,"UNUSED",IF(A750="","MISSING ID",IF(K750=0,"UNEXPECTED ID",IF(N750&lt;&gt;1,"ID / ORDER DIFFERENCE",IF('Source build'!U750&lt;&gt;"INCLUDED","EXCLUDED SOURCE",IF(NOT(M750),"INVALID AMOUNT",IF('Source build'!Y750&lt;&gt;0,"CHANGED FIELDS","MATCH")))))))</f>
        <v>MATCH</v>
      </c>
      <c r="P750" s="1" t="str">
        <f t="shared" si="59"/>
        <v>2026-03</v>
      </c>
    </row>
    <row r="751" spans="1:16" ht="18.95" customHeight="1">
      <c r="A751" s="7" t="s">
        <v>2051</v>
      </c>
      <c r="B751" s="7" t="s">
        <v>2052</v>
      </c>
      <c r="C751" s="7" t="s">
        <v>169</v>
      </c>
      <c r="D751" s="7" t="s">
        <v>93</v>
      </c>
      <c r="E751" s="7" t="s">
        <v>46</v>
      </c>
      <c r="F751" s="7" t="s">
        <v>98</v>
      </c>
      <c r="G751" s="7" t="s">
        <v>2053</v>
      </c>
      <c r="I751" s="1">
        <f t="shared" si="55"/>
        <v>1</v>
      </c>
      <c r="J751" s="1" t="str">
        <f>'Source build'!A751</f>
        <v>L00745</v>
      </c>
      <c r="K751" s="1">
        <f>751</f>
        <v>751</v>
      </c>
      <c r="L751" s="10">
        <f t="shared" si="56"/>
        <v>16108</v>
      </c>
      <c r="M751" s="1">
        <f t="shared" si="57"/>
        <v>1</v>
      </c>
      <c r="N751" s="1">
        <f t="shared" si="58"/>
        <v>1</v>
      </c>
      <c r="O751" s="1" t="str">
        <f>IF(I751=0,"UNUSED",IF(A751="","MISSING ID",IF(K751=0,"UNEXPECTED ID",IF(N751&lt;&gt;1,"ID / ORDER DIFFERENCE",IF('Source build'!U751&lt;&gt;"INCLUDED","EXCLUDED SOURCE",IF(NOT(M751),"INVALID AMOUNT",IF('Source build'!Y751&lt;&gt;0,"CHANGED FIELDS","MATCH")))))))</f>
        <v>MATCH</v>
      </c>
      <c r="P751" s="1" t="str">
        <f t="shared" si="59"/>
        <v>2026-03</v>
      </c>
    </row>
    <row r="752" spans="1:16" ht="18.95" customHeight="1">
      <c r="A752" s="7" t="s">
        <v>2054</v>
      </c>
      <c r="B752" s="7" t="s">
        <v>2052</v>
      </c>
      <c r="C752" s="7" t="s">
        <v>169</v>
      </c>
      <c r="D752" s="7" t="s">
        <v>97</v>
      </c>
      <c r="E752" s="7" t="s">
        <v>47</v>
      </c>
      <c r="F752" s="7" t="s">
        <v>98</v>
      </c>
      <c r="G752" s="7" t="s">
        <v>2055</v>
      </c>
      <c r="I752" s="1">
        <f t="shared" si="55"/>
        <v>1</v>
      </c>
      <c r="J752" s="1" t="str">
        <f>'Source build'!A752</f>
        <v>L00746</v>
      </c>
      <c r="K752" s="1">
        <f>752</f>
        <v>752</v>
      </c>
      <c r="L752" s="10">
        <f t="shared" si="56"/>
        <v>4064</v>
      </c>
      <c r="M752" s="1">
        <f t="shared" si="57"/>
        <v>1</v>
      </c>
      <c r="N752" s="1">
        <f t="shared" si="58"/>
        <v>1</v>
      </c>
      <c r="O752" s="1" t="str">
        <f>IF(I752=0,"UNUSED",IF(A752="","MISSING ID",IF(K752=0,"UNEXPECTED ID",IF(N752&lt;&gt;1,"ID / ORDER DIFFERENCE",IF('Source build'!U752&lt;&gt;"INCLUDED","EXCLUDED SOURCE",IF(NOT(M752),"INVALID AMOUNT",IF('Source build'!Y752&lt;&gt;0,"CHANGED FIELDS","MATCH")))))))</f>
        <v>MATCH</v>
      </c>
      <c r="P752" s="1" t="str">
        <f t="shared" si="59"/>
        <v>2026-03</v>
      </c>
    </row>
    <row r="753" spans="1:16" ht="18.95" customHeight="1">
      <c r="A753" s="7" t="s">
        <v>2056</v>
      </c>
      <c r="B753" s="7" t="s">
        <v>2057</v>
      </c>
      <c r="C753" s="7" t="s">
        <v>175</v>
      </c>
      <c r="D753" s="7" t="s">
        <v>103</v>
      </c>
      <c r="E753" s="7" t="s">
        <v>48</v>
      </c>
      <c r="F753" s="7" t="s">
        <v>98</v>
      </c>
      <c r="G753" s="7" t="s">
        <v>2058</v>
      </c>
      <c r="I753" s="1">
        <f t="shared" si="55"/>
        <v>1</v>
      </c>
      <c r="J753" s="1" t="str">
        <f>'Source build'!A753</f>
        <v>L00747</v>
      </c>
      <c r="K753" s="1">
        <f>753</f>
        <v>753</v>
      </c>
      <c r="L753" s="10">
        <f t="shared" si="56"/>
        <v>12303</v>
      </c>
      <c r="M753" s="1">
        <f t="shared" si="57"/>
        <v>1</v>
      </c>
      <c r="N753" s="1">
        <f t="shared" si="58"/>
        <v>1</v>
      </c>
      <c r="O753" s="1" t="str">
        <f>IF(I753=0,"UNUSED",IF(A753="","MISSING ID",IF(K753=0,"UNEXPECTED ID",IF(N753&lt;&gt;1,"ID / ORDER DIFFERENCE",IF('Source build'!U753&lt;&gt;"INCLUDED","EXCLUDED SOURCE",IF(NOT(M753),"INVALID AMOUNT",IF('Source build'!Y753&lt;&gt;0,"CHANGED FIELDS","MATCH")))))))</f>
        <v>MATCH</v>
      </c>
      <c r="P753" s="1" t="str">
        <f t="shared" si="59"/>
        <v>2026-01</v>
      </c>
    </row>
    <row r="754" spans="1:16" ht="18.95" customHeight="1">
      <c r="A754" s="7" t="s">
        <v>2059</v>
      </c>
      <c r="B754" s="7" t="s">
        <v>2057</v>
      </c>
      <c r="C754" s="7" t="s">
        <v>175</v>
      </c>
      <c r="D754" s="7" t="s">
        <v>93</v>
      </c>
      <c r="E754" s="7" t="s">
        <v>46</v>
      </c>
      <c r="F754" s="7" t="s">
        <v>98</v>
      </c>
      <c r="G754" s="7" t="s">
        <v>2060</v>
      </c>
      <c r="I754" s="1">
        <f t="shared" si="55"/>
        <v>1</v>
      </c>
      <c r="J754" s="1" t="str">
        <f>'Source build'!A754</f>
        <v>L00748</v>
      </c>
      <c r="K754" s="1">
        <f>754</f>
        <v>754</v>
      </c>
      <c r="L754" s="10">
        <f t="shared" si="56"/>
        <v>20690</v>
      </c>
      <c r="M754" s="1">
        <f t="shared" si="57"/>
        <v>1</v>
      </c>
      <c r="N754" s="1">
        <f t="shared" si="58"/>
        <v>1</v>
      </c>
      <c r="O754" s="1" t="str">
        <f>IF(I754=0,"UNUSED",IF(A754="","MISSING ID",IF(K754=0,"UNEXPECTED ID",IF(N754&lt;&gt;1,"ID / ORDER DIFFERENCE",IF('Source build'!U754&lt;&gt;"INCLUDED","EXCLUDED SOURCE",IF(NOT(M754),"INVALID AMOUNT",IF('Source build'!Y754&lt;&gt;0,"CHANGED FIELDS","MATCH")))))))</f>
        <v>MATCH</v>
      </c>
      <c r="P754" s="1" t="str">
        <f t="shared" si="59"/>
        <v>2026-01</v>
      </c>
    </row>
    <row r="755" spans="1:16" ht="18.95" customHeight="1">
      <c r="A755" s="7" t="s">
        <v>2061</v>
      </c>
      <c r="B755" s="7" t="s">
        <v>2062</v>
      </c>
      <c r="C755" s="7" t="s">
        <v>181</v>
      </c>
      <c r="D755" s="7" t="s">
        <v>97</v>
      </c>
      <c r="E755" s="7" t="s">
        <v>47</v>
      </c>
      <c r="F755" s="7" t="s">
        <v>98</v>
      </c>
      <c r="G755" s="7" t="s">
        <v>2063</v>
      </c>
      <c r="I755" s="1">
        <f t="shared" si="55"/>
        <v>1</v>
      </c>
      <c r="J755" s="1" t="str">
        <f>'Source build'!A755</f>
        <v>L00749</v>
      </c>
      <c r="K755" s="1">
        <f>755</f>
        <v>755</v>
      </c>
      <c r="L755" s="10">
        <f t="shared" si="56"/>
        <v>8350</v>
      </c>
      <c r="M755" s="1">
        <f t="shared" si="57"/>
        <v>1</v>
      </c>
      <c r="N755" s="1">
        <f t="shared" si="58"/>
        <v>1</v>
      </c>
      <c r="O755" s="1" t="str">
        <f>IF(I755=0,"UNUSED",IF(A755="","MISSING ID",IF(K755=0,"UNEXPECTED ID",IF(N755&lt;&gt;1,"ID / ORDER DIFFERENCE",IF('Source build'!U755&lt;&gt;"INCLUDED","EXCLUDED SOURCE",IF(NOT(M755),"INVALID AMOUNT",IF('Source build'!Y755&lt;&gt;0,"CHANGED FIELDS","MATCH")))))))</f>
        <v>MATCH</v>
      </c>
      <c r="P755" s="1" t="str">
        <f t="shared" si="59"/>
        <v>2026-01</v>
      </c>
    </row>
    <row r="756" spans="1:16" ht="18.95" customHeight="1">
      <c r="A756" s="7" t="s">
        <v>2064</v>
      </c>
      <c r="B756" s="7" t="s">
        <v>2062</v>
      </c>
      <c r="C756" s="7" t="s">
        <v>181</v>
      </c>
      <c r="D756" s="7" t="s">
        <v>103</v>
      </c>
      <c r="E756" s="7" t="s">
        <v>48</v>
      </c>
      <c r="F756" s="7" t="s">
        <v>98</v>
      </c>
      <c r="G756" s="7" t="s">
        <v>2065</v>
      </c>
      <c r="I756" s="1">
        <f t="shared" si="55"/>
        <v>1</v>
      </c>
      <c r="J756" s="1" t="str">
        <f>'Source build'!A756</f>
        <v>L00750</v>
      </c>
      <c r="K756" s="1">
        <f>756</f>
        <v>756</v>
      </c>
      <c r="L756" s="10">
        <f t="shared" si="56"/>
        <v>16848</v>
      </c>
      <c r="M756" s="1">
        <f t="shared" si="57"/>
        <v>1</v>
      </c>
      <c r="N756" s="1">
        <f t="shared" si="58"/>
        <v>1</v>
      </c>
      <c r="O756" s="1" t="str">
        <f>IF(I756=0,"UNUSED",IF(A756="","MISSING ID",IF(K756=0,"UNEXPECTED ID",IF(N756&lt;&gt;1,"ID / ORDER DIFFERENCE",IF('Source build'!U756&lt;&gt;"INCLUDED","EXCLUDED SOURCE",IF(NOT(M756),"INVALID AMOUNT",IF('Source build'!Y756&lt;&gt;0,"CHANGED FIELDS","MATCH")))))))</f>
        <v>MATCH</v>
      </c>
      <c r="P756" s="1" t="str">
        <f t="shared" si="59"/>
        <v>2026-01</v>
      </c>
    </row>
    <row r="757" spans="1:16" ht="18.95" customHeight="1">
      <c r="A757" s="7" t="s">
        <v>2066</v>
      </c>
      <c r="B757" s="7" t="s">
        <v>2067</v>
      </c>
      <c r="C757" s="7" t="s">
        <v>187</v>
      </c>
      <c r="D757" s="7" t="s">
        <v>93</v>
      </c>
      <c r="E757" s="7" t="s">
        <v>46</v>
      </c>
      <c r="F757" s="7" t="s">
        <v>98</v>
      </c>
      <c r="G757" s="7" t="s">
        <v>2068</v>
      </c>
      <c r="I757" s="1">
        <f t="shared" si="55"/>
        <v>1</v>
      </c>
      <c r="J757" s="1" t="str">
        <f>'Source build'!A757</f>
        <v>L00751</v>
      </c>
      <c r="K757" s="1">
        <f>757</f>
        <v>757</v>
      </c>
      <c r="L757" s="10">
        <f t="shared" si="56"/>
        <v>4249</v>
      </c>
      <c r="M757" s="1">
        <f t="shared" si="57"/>
        <v>1</v>
      </c>
      <c r="N757" s="1">
        <f t="shared" si="58"/>
        <v>1</v>
      </c>
      <c r="O757" s="1" t="str">
        <f>IF(I757=0,"UNUSED",IF(A757="","MISSING ID",IF(K757=0,"UNEXPECTED ID",IF(N757&lt;&gt;1,"ID / ORDER DIFFERENCE",IF('Source build'!U757&lt;&gt;"INCLUDED","EXCLUDED SOURCE",IF(NOT(M757),"INVALID AMOUNT",IF('Source build'!Y757&lt;&gt;0,"CHANGED FIELDS","MATCH")))))))</f>
        <v>MATCH</v>
      </c>
      <c r="P757" s="1" t="str">
        <f t="shared" si="59"/>
        <v>2026-01</v>
      </c>
    </row>
    <row r="758" spans="1:16" ht="18.95" customHeight="1">
      <c r="A758" s="7" t="s">
        <v>2069</v>
      </c>
      <c r="B758" s="7" t="s">
        <v>2067</v>
      </c>
      <c r="C758" s="7" t="s">
        <v>187</v>
      </c>
      <c r="D758" s="7" t="s">
        <v>97</v>
      </c>
      <c r="E758" s="7" t="s">
        <v>47</v>
      </c>
      <c r="F758" s="7" t="s">
        <v>98</v>
      </c>
      <c r="G758" s="7" t="s">
        <v>2070</v>
      </c>
      <c r="I758" s="1">
        <f t="shared" si="55"/>
        <v>1</v>
      </c>
      <c r="J758" s="1" t="str">
        <f>'Source build'!A758</f>
        <v>L00752</v>
      </c>
      <c r="K758" s="1">
        <f>758</f>
        <v>758</v>
      </c>
      <c r="L758" s="10">
        <f t="shared" si="56"/>
        <v>12858</v>
      </c>
      <c r="M758" s="1">
        <f t="shared" si="57"/>
        <v>1</v>
      </c>
      <c r="N758" s="1">
        <f t="shared" si="58"/>
        <v>1</v>
      </c>
      <c r="O758" s="1" t="str">
        <f>IF(I758=0,"UNUSED",IF(A758="","MISSING ID",IF(K758=0,"UNEXPECTED ID",IF(N758&lt;&gt;1,"ID / ORDER DIFFERENCE",IF('Source build'!U758&lt;&gt;"INCLUDED","EXCLUDED SOURCE",IF(NOT(M758),"INVALID AMOUNT",IF('Source build'!Y758&lt;&gt;0,"CHANGED FIELDS","MATCH")))))))</f>
        <v>MATCH</v>
      </c>
      <c r="P758" s="1" t="str">
        <f t="shared" si="59"/>
        <v>2026-01</v>
      </c>
    </row>
    <row r="759" spans="1:16" ht="18.95" customHeight="1">
      <c r="A759" s="7" t="s">
        <v>2071</v>
      </c>
      <c r="B759" s="7" t="s">
        <v>2072</v>
      </c>
      <c r="C759" s="7" t="s">
        <v>193</v>
      </c>
      <c r="D759" s="7" t="s">
        <v>103</v>
      </c>
      <c r="E759" s="7" t="s">
        <v>48</v>
      </c>
      <c r="F759" s="7" t="s">
        <v>98</v>
      </c>
      <c r="G759" s="7" t="s">
        <v>2073</v>
      </c>
      <c r="I759" s="1">
        <f t="shared" si="55"/>
        <v>1</v>
      </c>
      <c r="J759" s="1" t="str">
        <f>'Source build'!A759</f>
        <v>L00753</v>
      </c>
      <c r="K759" s="1">
        <f>759</f>
        <v>759</v>
      </c>
      <c r="L759" s="10">
        <f t="shared" si="56"/>
        <v>21615</v>
      </c>
      <c r="M759" s="1">
        <f t="shared" si="57"/>
        <v>1</v>
      </c>
      <c r="N759" s="1">
        <f t="shared" si="58"/>
        <v>1</v>
      </c>
      <c r="O759" s="1" t="str">
        <f>IF(I759=0,"UNUSED",IF(A759="","MISSING ID",IF(K759=0,"UNEXPECTED ID",IF(N759&lt;&gt;1,"ID / ORDER DIFFERENCE",IF('Source build'!U759&lt;&gt;"INCLUDED","EXCLUDED SOURCE",IF(NOT(M759),"INVALID AMOUNT",IF('Source build'!Y759&lt;&gt;0,"CHANGED FIELDS","MATCH")))))))</f>
        <v>MATCH</v>
      </c>
      <c r="P759" s="1" t="str">
        <f t="shared" si="59"/>
        <v>2026-01</v>
      </c>
    </row>
    <row r="760" spans="1:16" ht="18.95" customHeight="1">
      <c r="A760" s="7" t="s">
        <v>2074</v>
      </c>
      <c r="B760" s="7" t="s">
        <v>2072</v>
      </c>
      <c r="C760" s="7" t="s">
        <v>193</v>
      </c>
      <c r="D760" s="7" t="s">
        <v>93</v>
      </c>
      <c r="E760" s="7" t="s">
        <v>46</v>
      </c>
      <c r="F760" s="7" t="s">
        <v>98</v>
      </c>
      <c r="G760" s="7" t="s">
        <v>2075</v>
      </c>
      <c r="I760" s="1">
        <f t="shared" si="55"/>
        <v>1</v>
      </c>
      <c r="J760" s="1" t="str">
        <f>'Source build'!A760</f>
        <v>L00754</v>
      </c>
      <c r="K760" s="1">
        <f>760</f>
        <v>760</v>
      </c>
      <c r="L760" s="10">
        <f t="shared" si="56"/>
        <v>8720</v>
      </c>
      <c r="M760" s="1">
        <f t="shared" si="57"/>
        <v>1</v>
      </c>
      <c r="N760" s="1">
        <f t="shared" si="58"/>
        <v>1</v>
      </c>
      <c r="O760" s="1" t="str">
        <f>IF(I760=0,"UNUSED",IF(A760="","MISSING ID",IF(K760=0,"UNEXPECTED ID",IF(N760&lt;&gt;1,"ID / ORDER DIFFERENCE",IF('Source build'!U760&lt;&gt;"INCLUDED","EXCLUDED SOURCE",IF(NOT(M760),"INVALID AMOUNT",IF('Source build'!Y760&lt;&gt;0,"CHANGED FIELDS","MATCH")))))))</f>
        <v>MATCH</v>
      </c>
      <c r="P760" s="1" t="str">
        <f t="shared" si="59"/>
        <v>2026-01</v>
      </c>
    </row>
    <row r="761" spans="1:16" ht="18.95" customHeight="1">
      <c r="A761" s="7" t="s">
        <v>2076</v>
      </c>
      <c r="B761" s="7" t="s">
        <v>2077</v>
      </c>
      <c r="C761" s="7" t="s">
        <v>200</v>
      </c>
      <c r="D761" s="7" t="s">
        <v>97</v>
      </c>
      <c r="E761" s="7" t="s">
        <v>47</v>
      </c>
      <c r="F761" s="7" t="s">
        <v>98</v>
      </c>
      <c r="G761" s="7" t="s">
        <v>2078</v>
      </c>
      <c r="I761" s="1">
        <f t="shared" si="55"/>
        <v>1</v>
      </c>
      <c r="J761" s="1" t="str">
        <f>'Source build'!A761</f>
        <v>L00755</v>
      </c>
      <c r="K761" s="1">
        <f>761</f>
        <v>761</v>
      </c>
      <c r="L761" s="10">
        <f t="shared" si="56"/>
        <v>17588</v>
      </c>
      <c r="M761" s="1">
        <f t="shared" si="57"/>
        <v>1</v>
      </c>
      <c r="N761" s="1">
        <f t="shared" si="58"/>
        <v>1</v>
      </c>
      <c r="O761" s="1" t="str">
        <f>IF(I761=0,"UNUSED",IF(A761="","MISSING ID",IF(K761=0,"UNEXPECTED ID",IF(N761&lt;&gt;1,"ID / ORDER DIFFERENCE",IF('Source build'!U761&lt;&gt;"INCLUDED","EXCLUDED SOURCE",IF(NOT(M761),"INVALID AMOUNT",IF('Source build'!Y761&lt;&gt;0,"CHANGED FIELDS","MATCH")))))))</f>
        <v>MATCH</v>
      </c>
      <c r="P761" s="1" t="str">
        <f t="shared" si="59"/>
        <v>2026-01</v>
      </c>
    </row>
    <row r="762" spans="1:16" ht="18.95" customHeight="1">
      <c r="A762" s="7" t="s">
        <v>2079</v>
      </c>
      <c r="B762" s="7" t="s">
        <v>2077</v>
      </c>
      <c r="C762" s="7" t="s">
        <v>200</v>
      </c>
      <c r="D762" s="7" t="s">
        <v>103</v>
      </c>
      <c r="E762" s="7" t="s">
        <v>48</v>
      </c>
      <c r="F762" s="7" t="s">
        <v>98</v>
      </c>
      <c r="G762" s="7" t="s">
        <v>2080</v>
      </c>
      <c r="I762" s="1">
        <f t="shared" si="55"/>
        <v>1</v>
      </c>
      <c r="J762" s="1" t="str">
        <f>'Source build'!A762</f>
        <v>L00756</v>
      </c>
      <c r="K762" s="1">
        <f>762</f>
        <v>762</v>
      </c>
      <c r="L762" s="10">
        <f t="shared" si="56"/>
        <v>4434</v>
      </c>
      <c r="M762" s="1">
        <f t="shared" si="57"/>
        <v>1</v>
      </c>
      <c r="N762" s="1">
        <f t="shared" si="58"/>
        <v>1</v>
      </c>
      <c r="O762" s="1" t="str">
        <f>IF(I762=0,"UNUSED",IF(A762="","MISSING ID",IF(K762=0,"UNEXPECTED ID",IF(N762&lt;&gt;1,"ID / ORDER DIFFERENCE",IF('Source build'!U762&lt;&gt;"INCLUDED","EXCLUDED SOURCE",IF(NOT(M762),"INVALID AMOUNT",IF('Source build'!Y762&lt;&gt;0,"CHANGED FIELDS","MATCH")))))))</f>
        <v>MATCH</v>
      </c>
      <c r="P762" s="1" t="str">
        <f t="shared" si="59"/>
        <v>2026-01</v>
      </c>
    </row>
    <row r="763" spans="1:16" ht="18.95" customHeight="1">
      <c r="A763" s="7" t="s">
        <v>2081</v>
      </c>
      <c r="B763" s="7" t="s">
        <v>2082</v>
      </c>
      <c r="C763" s="7" t="s">
        <v>206</v>
      </c>
      <c r="D763" s="7" t="s">
        <v>93</v>
      </c>
      <c r="E763" s="7" t="s">
        <v>46</v>
      </c>
      <c r="F763" s="7" t="s">
        <v>98</v>
      </c>
      <c r="G763" s="7" t="s">
        <v>2083</v>
      </c>
      <c r="I763" s="1">
        <f t="shared" si="55"/>
        <v>1</v>
      </c>
      <c r="J763" s="1" t="str">
        <f>'Source build'!A763</f>
        <v>L00757</v>
      </c>
      <c r="K763" s="1">
        <f>763</f>
        <v>763</v>
      </c>
      <c r="L763" s="10">
        <f t="shared" si="56"/>
        <v>13413</v>
      </c>
      <c r="M763" s="1">
        <f t="shared" si="57"/>
        <v>1</v>
      </c>
      <c r="N763" s="1">
        <f t="shared" si="58"/>
        <v>1</v>
      </c>
      <c r="O763" s="1" t="str">
        <f>IF(I763=0,"UNUSED",IF(A763="","MISSING ID",IF(K763=0,"UNEXPECTED ID",IF(N763&lt;&gt;1,"ID / ORDER DIFFERENCE",IF('Source build'!U763&lt;&gt;"INCLUDED","EXCLUDED SOURCE",IF(NOT(M763),"INVALID AMOUNT",IF('Source build'!Y763&lt;&gt;0,"CHANGED FIELDS","MATCH")))))))</f>
        <v>MATCH</v>
      </c>
      <c r="P763" s="1" t="str">
        <f t="shared" si="59"/>
        <v>2026-02</v>
      </c>
    </row>
    <row r="764" spans="1:16" ht="18.95" customHeight="1">
      <c r="A764" s="7" t="s">
        <v>2084</v>
      </c>
      <c r="B764" s="7" t="s">
        <v>2082</v>
      </c>
      <c r="C764" s="7" t="s">
        <v>206</v>
      </c>
      <c r="D764" s="7" t="s">
        <v>97</v>
      </c>
      <c r="E764" s="7" t="s">
        <v>47</v>
      </c>
      <c r="F764" s="7" t="s">
        <v>98</v>
      </c>
      <c r="G764" s="7" t="s">
        <v>2085</v>
      </c>
      <c r="I764" s="1">
        <f t="shared" si="55"/>
        <v>1</v>
      </c>
      <c r="J764" s="1" t="str">
        <f>'Source build'!A764</f>
        <v>L00758</v>
      </c>
      <c r="K764" s="1">
        <f>764</f>
        <v>764</v>
      </c>
      <c r="L764" s="10">
        <f t="shared" si="56"/>
        <v>22540</v>
      </c>
      <c r="M764" s="1">
        <f t="shared" si="57"/>
        <v>1</v>
      </c>
      <c r="N764" s="1">
        <f t="shared" si="58"/>
        <v>1</v>
      </c>
      <c r="O764" s="1" t="str">
        <f>IF(I764=0,"UNUSED",IF(A764="","MISSING ID",IF(K764=0,"UNEXPECTED ID",IF(N764&lt;&gt;1,"ID / ORDER DIFFERENCE",IF('Source build'!U764&lt;&gt;"INCLUDED","EXCLUDED SOURCE",IF(NOT(M764),"INVALID AMOUNT",IF('Source build'!Y764&lt;&gt;0,"CHANGED FIELDS","MATCH")))))))</f>
        <v>MATCH</v>
      </c>
      <c r="P764" s="1" t="str">
        <f t="shared" si="59"/>
        <v>2026-02</v>
      </c>
    </row>
    <row r="765" spans="1:16" ht="18.95" customHeight="1">
      <c r="A765" s="7" t="s">
        <v>2086</v>
      </c>
      <c r="B765" s="7" t="s">
        <v>2087</v>
      </c>
      <c r="C765" s="7" t="s">
        <v>212</v>
      </c>
      <c r="D765" s="7" t="s">
        <v>103</v>
      </c>
      <c r="E765" s="7" t="s">
        <v>48</v>
      </c>
      <c r="F765" s="7" t="s">
        <v>98</v>
      </c>
      <c r="G765" s="7" t="s">
        <v>2088</v>
      </c>
      <c r="I765" s="1">
        <f t="shared" si="55"/>
        <v>1</v>
      </c>
      <c r="J765" s="1" t="str">
        <f>'Source build'!A765</f>
        <v>L00759</v>
      </c>
      <c r="K765" s="1">
        <f>765</f>
        <v>765</v>
      </c>
      <c r="L765" s="10">
        <f t="shared" si="56"/>
        <v>9090</v>
      </c>
      <c r="M765" s="1">
        <f t="shared" si="57"/>
        <v>1</v>
      </c>
      <c r="N765" s="1">
        <f t="shared" si="58"/>
        <v>1</v>
      </c>
      <c r="O765" s="1" t="str">
        <f>IF(I765=0,"UNUSED",IF(A765="","MISSING ID",IF(K765=0,"UNEXPECTED ID",IF(N765&lt;&gt;1,"ID / ORDER DIFFERENCE",IF('Source build'!U765&lt;&gt;"INCLUDED","EXCLUDED SOURCE",IF(NOT(M765),"INVALID AMOUNT",IF('Source build'!Y765&lt;&gt;0,"CHANGED FIELDS","MATCH")))))))</f>
        <v>MATCH</v>
      </c>
      <c r="P765" s="1" t="str">
        <f t="shared" si="59"/>
        <v>2026-02</v>
      </c>
    </row>
    <row r="766" spans="1:16" ht="18.95" customHeight="1">
      <c r="A766" s="7" t="s">
        <v>2089</v>
      </c>
      <c r="B766" s="7" t="s">
        <v>2087</v>
      </c>
      <c r="C766" s="7" t="s">
        <v>212</v>
      </c>
      <c r="D766" s="7" t="s">
        <v>93</v>
      </c>
      <c r="E766" s="7" t="s">
        <v>46</v>
      </c>
      <c r="F766" s="7" t="s">
        <v>94</v>
      </c>
      <c r="G766" s="7" t="s">
        <v>2090</v>
      </c>
      <c r="I766" s="1">
        <f t="shared" si="55"/>
        <v>1</v>
      </c>
      <c r="J766" s="1" t="str">
        <f>'Source build'!A766</f>
        <v>L00760</v>
      </c>
      <c r="K766" s="1">
        <f>766</f>
        <v>766</v>
      </c>
      <c r="L766" s="10">
        <f t="shared" si="56"/>
        <v>-18328</v>
      </c>
      <c r="M766" s="1">
        <f t="shared" si="57"/>
        <v>1</v>
      </c>
      <c r="N766" s="1">
        <f t="shared" si="58"/>
        <v>1</v>
      </c>
      <c r="O766" s="1" t="str">
        <f>IF(I766=0,"UNUSED",IF(A766="","MISSING ID",IF(K766=0,"UNEXPECTED ID",IF(N766&lt;&gt;1,"ID / ORDER DIFFERENCE",IF('Source build'!U766&lt;&gt;"INCLUDED","EXCLUDED SOURCE",IF(NOT(M766),"INVALID AMOUNT",IF('Source build'!Y766&lt;&gt;0,"CHANGED FIELDS","MATCH")))))))</f>
        <v>MATCH</v>
      </c>
      <c r="P766" s="1" t="str">
        <f t="shared" si="59"/>
        <v>2026-02</v>
      </c>
    </row>
    <row r="767" spans="1:16" ht="18.95" customHeight="1">
      <c r="A767" s="7" t="s">
        <v>2091</v>
      </c>
      <c r="B767" s="7" t="s">
        <v>2092</v>
      </c>
      <c r="C767" s="7" t="s">
        <v>218</v>
      </c>
      <c r="D767" s="7" t="s">
        <v>97</v>
      </c>
      <c r="E767" s="7" t="s">
        <v>47</v>
      </c>
      <c r="F767" s="7" t="s">
        <v>98</v>
      </c>
      <c r="G767" s="7" t="s">
        <v>2093</v>
      </c>
      <c r="I767" s="1">
        <f t="shared" si="55"/>
        <v>1</v>
      </c>
      <c r="J767" s="1" t="str">
        <f>'Source build'!A767</f>
        <v>L00761</v>
      </c>
      <c r="K767" s="1">
        <f>767</f>
        <v>767</v>
      </c>
      <c r="L767" s="10">
        <f t="shared" si="56"/>
        <v>4619</v>
      </c>
      <c r="M767" s="1">
        <f t="shared" si="57"/>
        <v>1</v>
      </c>
      <c r="N767" s="1">
        <f t="shared" si="58"/>
        <v>1</v>
      </c>
      <c r="O767" s="1" t="str">
        <f>IF(I767=0,"UNUSED",IF(A767="","MISSING ID",IF(K767=0,"UNEXPECTED ID",IF(N767&lt;&gt;1,"ID / ORDER DIFFERENCE",IF('Source build'!U767&lt;&gt;"INCLUDED","EXCLUDED SOURCE",IF(NOT(M767),"INVALID AMOUNT",IF('Source build'!Y767&lt;&gt;0,"CHANGED FIELDS","MATCH")))))))</f>
        <v>MATCH</v>
      </c>
      <c r="P767" s="1" t="str">
        <f t="shared" si="59"/>
        <v>2026-02</v>
      </c>
    </row>
    <row r="768" spans="1:16" ht="18.95" customHeight="1">
      <c r="A768" s="7" t="s">
        <v>2094</v>
      </c>
      <c r="B768" s="7" t="s">
        <v>2092</v>
      </c>
      <c r="C768" s="7" t="s">
        <v>218</v>
      </c>
      <c r="D768" s="7" t="s">
        <v>103</v>
      </c>
      <c r="E768" s="7" t="s">
        <v>48</v>
      </c>
      <c r="F768" s="7" t="s">
        <v>98</v>
      </c>
      <c r="G768" s="7" t="s">
        <v>2095</v>
      </c>
      <c r="I768" s="1">
        <f t="shared" si="55"/>
        <v>1</v>
      </c>
      <c r="J768" s="1" t="str">
        <f>'Source build'!A768</f>
        <v>L00762</v>
      </c>
      <c r="K768" s="1">
        <f>768</f>
        <v>768</v>
      </c>
      <c r="L768" s="10">
        <f t="shared" si="56"/>
        <v>13968</v>
      </c>
      <c r="M768" s="1">
        <f t="shared" si="57"/>
        <v>1</v>
      </c>
      <c r="N768" s="1">
        <f t="shared" si="58"/>
        <v>1</v>
      </c>
      <c r="O768" s="1" t="str">
        <f>IF(I768=0,"UNUSED",IF(A768="","MISSING ID",IF(K768=0,"UNEXPECTED ID",IF(N768&lt;&gt;1,"ID / ORDER DIFFERENCE",IF('Source build'!U768&lt;&gt;"INCLUDED","EXCLUDED SOURCE",IF(NOT(M768),"INVALID AMOUNT",IF('Source build'!Y768&lt;&gt;0,"CHANGED FIELDS","MATCH")))))))</f>
        <v>MATCH</v>
      </c>
      <c r="P768" s="1" t="str">
        <f t="shared" si="59"/>
        <v>2026-02</v>
      </c>
    </row>
    <row r="769" spans="1:16" ht="18.95" customHeight="1">
      <c r="A769" s="7" t="s">
        <v>2096</v>
      </c>
      <c r="B769" s="7" t="s">
        <v>2097</v>
      </c>
      <c r="C769" s="7" t="s">
        <v>224</v>
      </c>
      <c r="D769" s="7" t="s">
        <v>93</v>
      </c>
      <c r="E769" s="7" t="s">
        <v>46</v>
      </c>
      <c r="F769" s="7" t="s">
        <v>98</v>
      </c>
      <c r="G769" s="7" t="s">
        <v>2098</v>
      </c>
      <c r="I769" s="1">
        <f t="shared" si="55"/>
        <v>1</v>
      </c>
      <c r="J769" s="1" t="str">
        <f>'Source build'!A769</f>
        <v>L00763</v>
      </c>
      <c r="K769" s="1">
        <f>769</f>
        <v>769</v>
      </c>
      <c r="L769" s="10">
        <f t="shared" si="56"/>
        <v>23465</v>
      </c>
      <c r="M769" s="1">
        <f t="shared" si="57"/>
        <v>1</v>
      </c>
      <c r="N769" s="1">
        <f t="shared" si="58"/>
        <v>1</v>
      </c>
      <c r="O769" s="1" t="str">
        <f>IF(I769=0,"UNUSED",IF(A769="","MISSING ID",IF(K769=0,"UNEXPECTED ID",IF(N769&lt;&gt;1,"ID / ORDER DIFFERENCE",IF('Source build'!U769&lt;&gt;"INCLUDED","EXCLUDED SOURCE",IF(NOT(M769),"INVALID AMOUNT",IF('Source build'!Y769&lt;&gt;0,"CHANGED FIELDS","MATCH")))))))</f>
        <v>MATCH</v>
      </c>
      <c r="P769" s="1" t="str">
        <f t="shared" si="59"/>
        <v>2026-02</v>
      </c>
    </row>
    <row r="770" spans="1:16" ht="18.95" customHeight="1">
      <c r="A770" s="7" t="s">
        <v>2099</v>
      </c>
      <c r="B770" s="7" t="s">
        <v>2097</v>
      </c>
      <c r="C770" s="7" t="s">
        <v>224</v>
      </c>
      <c r="D770" s="7" t="s">
        <v>97</v>
      </c>
      <c r="E770" s="7" t="s">
        <v>47</v>
      </c>
      <c r="F770" s="7" t="s">
        <v>98</v>
      </c>
      <c r="G770" s="7" t="s">
        <v>2100</v>
      </c>
      <c r="I770" s="1">
        <f t="shared" si="55"/>
        <v>1</v>
      </c>
      <c r="J770" s="1" t="str">
        <f>'Source build'!A770</f>
        <v>L00764</v>
      </c>
      <c r="K770" s="1">
        <f>770</f>
        <v>770</v>
      </c>
      <c r="L770" s="10">
        <f t="shared" si="56"/>
        <v>9460</v>
      </c>
      <c r="M770" s="1">
        <f t="shared" si="57"/>
        <v>1</v>
      </c>
      <c r="N770" s="1">
        <f t="shared" si="58"/>
        <v>1</v>
      </c>
      <c r="O770" s="1" t="str">
        <f>IF(I770=0,"UNUSED",IF(A770="","MISSING ID",IF(K770=0,"UNEXPECTED ID",IF(N770&lt;&gt;1,"ID / ORDER DIFFERENCE",IF('Source build'!U770&lt;&gt;"INCLUDED","EXCLUDED SOURCE",IF(NOT(M770),"INVALID AMOUNT",IF('Source build'!Y770&lt;&gt;0,"CHANGED FIELDS","MATCH")))))))</f>
        <v>MATCH</v>
      </c>
      <c r="P770" s="1" t="str">
        <f t="shared" si="59"/>
        <v>2026-02</v>
      </c>
    </row>
    <row r="771" spans="1:16" ht="18.95" customHeight="1">
      <c r="A771" s="7" t="s">
        <v>2101</v>
      </c>
      <c r="B771" s="7" t="s">
        <v>2102</v>
      </c>
      <c r="C771" s="7" t="s">
        <v>230</v>
      </c>
      <c r="D771" s="7" t="s">
        <v>103</v>
      </c>
      <c r="E771" s="7" t="s">
        <v>48</v>
      </c>
      <c r="F771" s="7" t="s">
        <v>98</v>
      </c>
      <c r="G771" s="7" t="s">
        <v>2103</v>
      </c>
      <c r="I771" s="1">
        <f t="shared" si="55"/>
        <v>1</v>
      </c>
      <c r="J771" s="1" t="str">
        <f>'Source build'!A771</f>
        <v>L00765</v>
      </c>
      <c r="K771" s="1">
        <f>771</f>
        <v>771</v>
      </c>
      <c r="L771" s="10">
        <f t="shared" si="56"/>
        <v>19068</v>
      </c>
      <c r="M771" s="1">
        <f t="shared" si="57"/>
        <v>1</v>
      </c>
      <c r="N771" s="1">
        <f t="shared" si="58"/>
        <v>1</v>
      </c>
      <c r="O771" s="1" t="str">
        <f>IF(I771=0,"UNUSED",IF(A771="","MISSING ID",IF(K771=0,"UNEXPECTED ID",IF(N771&lt;&gt;1,"ID / ORDER DIFFERENCE",IF('Source build'!U771&lt;&gt;"INCLUDED","EXCLUDED SOURCE",IF(NOT(M771),"INVALID AMOUNT",IF('Source build'!Y771&lt;&gt;0,"CHANGED FIELDS","MATCH")))))))</f>
        <v>MATCH</v>
      </c>
      <c r="P771" s="1" t="str">
        <f t="shared" si="59"/>
        <v>2026-03</v>
      </c>
    </row>
    <row r="772" spans="1:16" ht="18.95" customHeight="1">
      <c r="A772" s="7" t="s">
        <v>2104</v>
      </c>
      <c r="B772" s="7" t="s">
        <v>2102</v>
      </c>
      <c r="C772" s="7" t="s">
        <v>230</v>
      </c>
      <c r="D772" s="7" t="s">
        <v>93</v>
      </c>
      <c r="E772" s="7" t="s">
        <v>46</v>
      </c>
      <c r="F772" s="7" t="s">
        <v>98</v>
      </c>
      <c r="G772" s="7" t="s">
        <v>2105</v>
      </c>
      <c r="I772" s="1">
        <f t="shared" si="55"/>
        <v>1</v>
      </c>
      <c r="J772" s="1" t="str">
        <f>'Source build'!A772</f>
        <v>L00766</v>
      </c>
      <c r="K772" s="1">
        <f>772</f>
        <v>772</v>
      </c>
      <c r="L772" s="10">
        <f t="shared" si="56"/>
        <v>4804</v>
      </c>
      <c r="M772" s="1">
        <f t="shared" si="57"/>
        <v>1</v>
      </c>
      <c r="N772" s="1">
        <f t="shared" si="58"/>
        <v>1</v>
      </c>
      <c r="O772" s="1" t="str">
        <f>IF(I772=0,"UNUSED",IF(A772="","MISSING ID",IF(K772=0,"UNEXPECTED ID",IF(N772&lt;&gt;1,"ID / ORDER DIFFERENCE",IF('Source build'!U772&lt;&gt;"INCLUDED","EXCLUDED SOURCE",IF(NOT(M772),"INVALID AMOUNT",IF('Source build'!Y772&lt;&gt;0,"CHANGED FIELDS","MATCH")))))))</f>
        <v>MATCH</v>
      </c>
      <c r="P772" s="1" t="str">
        <f t="shared" si="59"/>
        <v>2026-03</v>
      </c>
    </row>
    <row r="773" spans="1:16" ht="18.95" customHeight="1">
      <c r="A773" s="7" t="s">
        <v>2106</v>
      </c>
      <c r="B773" s="7" t="s">
        <v>2107</v>
      </c>
      <c r="C773" s="7" t="s">
        <v>236</v>
      </c>
      <c r="D773" s="7" t="s">
        <v>97</v>
      </c>
      <c r="E773" s="7" t="s">
        <v>47</v>
      </c>
      <c r="F773" s="7" t="s">
        <v>98</v>
      </c>
      <c r="G773" s="7" t="s">
        <v>2108</v>
      </c>
      <c r="I773" s="1">
        <f t="shared" si="55"/>
        <v>1</v>
      </c>
      <c r="J773" s="1" t="str">
        <f>'Source build'!A773</f>
        <v>L00767</v>
      </c>
      <c r="K773" s="1">
        <f>773</f>
        <v>773</v>
      </c>
      <c r="L773" s="10">
        <f t="shared" si="56"/>
        <v>14523</v>
      </c>
      <c r="M773" s="1">
        <f t="shared" si="57"/>
        <v>1</v>
      </c>
      <c r="N773" s="1">
        <f t="shared" si="58"/>
        <v>1</v>
      </c>
      <c r="O773" s="1" t="str">
        <f>IF(I773=0,"UNUSED",IF(A773="","MISSING ID",IF(K773=0,"UNEXPECTED ID",IF(N773&lt;&gt;1,"ID / ORDER DIFFERENCE",IF('Source build'!U773&lt;&gt;"INCLUDED","EXCLUDED SOURCE",IF(NOT(M773),"INVALID AMOUNT",IF('Source build'!Y773&lt;&gt;0,"CHANGED FIELDS","MATCH")))))))</f>
        <v>MATCH</v>
      </c>
      <c r="P773" s="1" t="str">
        <f t="shared" si="59"/>
        <v>2026-03</v>
      </c>
    </row>
    <row r="774" spans="1:16" ht="18.95" customHeight="1">
      <c r="A774" s="7" t="s">
        <v>2109</v>
      </c>
      <c r="B774" s="7" t="s">
        <v>2107</v>
      </c>
      <c r="C774" s="7" t="s">
        <v>236</v>
      </c>
      <c r="D774" s="7" t="s">
        <v>103</v>
      </c>
      <c r="E774" s="7" t="s">
        <v>48</v>
      </c>
      <c r="F774" s="7" t="s">
        <v>98</v>
      </c>
      <c r="G774" s="7" t="s">
        <v>2110</v>
      </c>
      <c r="I774" s="1">
        <f t="shared" si="55"/>
        <v>1</v>
      </c>
      <c r="J774" s="1" t="str">
        <f>'Source build'!A774</f>
        <v>L00768</v>
      </c>
      <c r="K774" s="1">
        <f>774</f>
        <v>774</v>
      </c>
      <c r="L774" s="10">
        <f t="shared" si="56"/>
        <v>24390</v>
      </c>
      <c r="M774" s="1">
        <f t="shared" si="57"/>
        <v>1</v>
      </c>
      <c r="N774" s="1">
        <f t="shared" si="58"/>
        <v>1</v>
      </c>
      <c r="O774" s="1" t="str">
        <f>IF(I774=0,"UNUSED",IF(A774="","MISSING ID",IF(K774=0,"UNEXPECTED ID",IF(N774&lt;&gt;1,"ID / ORDER DIFFERENCE",IF('Source build'!U774&lt;&gt;"INCLUDED","EXCLUDED SOURCE",IF(NOT(M774),"INVALID AMOUNT",IF('Source build'!Y774&lt;&gt;0,"CHANGED FIELDS","MATCH")))))))</f>
        <v>MATCH</v>
      </c>
      <c r="P774" s="1" t="str">
        <f t="shared" si="59"/>
        <v>2026-03</v>
      </c>
    </row>
    <row r="775" spans="1:16" ht="18.95" customHeight="1">
      <c r="A775" s="7" t="s">
        <v>2111</v>
      </c>
      <c r="B775" s="7" t="s">
        <v>2112</v>
      </c>
      <c r="C775" s="7" t="s">
        <v>242</v>
      </c>
      <c r="D775" s="7" t="s">
        <v>93</v>
      </c>
      <c r="E775" s="7" t="s">
        <v>46</v>
      </c>
      <c r="F775" s="7" t="s">
        <v>98</v>
      </c>
      <c r="G775" s="7" t="s">
        <v>2113</v>
      </c>
      <c r="I775" s="1">
        <f t="shared" ref="I775:I838" si="60">IF(AND(A775="",B775="",C775="",D775="",E775="",F775="",G775=""),0,1)</f>
        <v>1</v>
      </c>
      <c r="J775" s="1" t="str">
        <f>'Source build'!A775</f>
        <v>L00769</v>
      </c>
      <c r="K775" s="1">
        <f>775</f>
        <v>775</v>
      </c>
      <c r="L775" s="10">
        <f t="shared" ref="L775:L838" si="61">IFERROR(IF(ABS(VALUE(G775)*100-ROUND(VALUE(G775)*100,0))&lt;0.0000001,ROUND(VALUE(G775)*100,0),0),0)</f>
        <v>9830</v>
      </c>
      <c r="M775" s="1">
        <f t="shared" ref="M775:M838" si="62">--IF(I775=0,TRUE,IF(TRIM(G775)="",FALSE,IFERROR(AND(ISNUMBER(VALUE(G775)),ABS(VALUE(G775)*100-ROUND(VALUE(G775)*100,0))&lt;0.0000001,OR(ISNUMBER(G775),EXACT(G775,TEXT(VALUE(G775),"0.00"))),OR(AND(EXACT(F775,"sale"),VALUE(G775)&gt;0),AND(EXACT(F775,"refund"),VALUE(G775)&lt;0))),FALSE)))</f>
        <v>1</v>
      </c>
      <c r="N775" s="1">
        <f t="shared" ref="N775:N838" si="63">IF(I775=1,IF(EXACT(A775,J775),1,0),0)</f>
        <v>1</v>
      </c>
      <c r="O775" s="1" t="str">
        <f>IF(I775=0,"UNUSED",IF(A775="","MISSING ID",IF(K775=0,"UNEXPECTED ID",IF(N775&lt;&gt;1,"ID / ORDER DIFFERENCE",IF('Source build'!U775&lt;&gt;"INCLUDED","EXCLUDED SOURCE",IF(NOT(M775),"INVALID AMOUNT",IF('Source build'!Y775&lt;&gt;0,"CHANGED FIELDS","MATCH")))))))</f>
        <v>MATCH</v>
      </c>
      <c r="P775" s="1" t="str">
        <f t="shared" ref="P775:P838" si="64">IF(I775=1,LEFT(C775,7),"")</f>
        <v>2026-03</v>
      </c>
    </row>
    <row r="776" spans="1:16" ht="18.95" customHeight="1">
      <c r="A776" s="7" t="s">
        <v>2114</v>
      </c>
      <c r="B776" s="7" t="s">
        <v>2112</v>
      </c>
      <c r="C776" s="7" t="s">
        <v>242</v>
      </c>
      <c r="D776" s="7" t="s">
        <v>97</v>
      </c>
      <c r="E776" s="7" t="s">
        <v>47</v>
      </c>
      <c r="F776" s="7" t="s">
        <v>98</v>
      </c>
      <c r="G776" s="7" t="s">
        <v>2115</v>
      </c>
      <c r="I776" s="1">
        <f t="shared" si="60"/>
        <v>1</v>
      </c>
      <c r="J776" s="1" t="str">
        <f>'Source build'!A776</f>
        <v>L00770</v>
      </c>
      <c r="K776" s="1">
        <f>776</f>
        <v>776</v>
      </c>
      <c r="L776" s="10">
        <f t="shared" si="61"/>
        <v>19808</v>
      </c>
      <c r="M776" s="1">
        <f t="shared" si="62"/>
        <v>1</v>
      </c>
      <c r="N776" s="1">
        <f t="shared" si="63"/>
        <v>1</v>
      </c>
      <c r="O776" s="1" t="str">
        <f>IF(I776=0,"UNUSED",IF(A776="","MISSING ID",IF(K776=0,"UNEXPECTED ID",IF(N776&lt;&gt;1,"ID / ORDER DIFFERENCE",IF('Source build'!U776&lt;&gt;"INCLUDED","EXCLUDED SOURCE",IF(NOT(M776),"INVALID AMOUNT",IF('Source build'!Y776&lt;&gt;0,"CHANGED FIELDS","MATCH")))))))</f>
        <v>MATCH</v>
      </c>
      <c r="P776" s="1" t="str">
        <f t="shared" si="64"/>
        <v>2026-03</v>
      </c>
    </row>
    <row r="777" spans="1:16" ht="18.95" customHeight="1">
      <c r="A777" s="7" t="s">
        <v>2116</v>
      </c>
      <c r="B777" s="7" t="s">
        <v>2117</v>
      </c>
      <c r="C777" s="7" t="s">
        <v>248</v>
      </c>
      <c r="D777" s="7" t="s">
        <v>103</v>
      </c>
      <c r="E777" s="7" t="s">
        <v>48</v>
      </c>
      <c r="F777" s="7" t="s">
        <v>98</v>
      </c>
      <c r="G777" s="7" t="s">
        <v>2118</v>
      </c>
      <c r="I777" s="1">
        <f t="shared" si="60"/>
        <v>1</v>
      </c>
      <c r="J777" s="1" t="str">
        <f>'Source build'!A777</f>
        <v>L00771</v>
      </c>
      <c r="K777" s="1">
        <f>777</f>
        <v>777</v>
      </c>
      <c r="L777" s="10">
        <f t="shared" si="61"/>
        <v>4989</v>
      </c>
      <c r="M777" s="1">
        <f t="shared" si="62"/>
        <v>1</v>
      </c>
      <c r="N777" s="1">
        <f t="shared" si="63"/>
        <v>1</v>
      </c>
      <c r="O777" s="1" t="str">
        <f>IF(I777=0,"UNUSED",IF(A777="","MISSING ID",IF(K777=0,"UNEXPECTED ID",IF(N777&lt;&gt;1,"ID / ORDER DIFFERENCE",IF('Source build'!U777&lt;&gt;"INCLUDED","EXCLUDED SOURCE",IF(NOT(M777),"INVALID AMOUNT",IF('Source build'!Y777&lt;&gt;0,"CHANGED FIELDS","MATCH")))))))</f>
        <v>MATCH</v>
      </c>
      <c r="P777" s="1" t="str">
        <f t="shared" si="64"/>
        <v>2026-03</v>
      </c>
    </row>
    <row r="778" spans="1:16" ht="18.95" customHeight="1">
      <c r="A778" s="7" t="s">
        <v>2119</v>
      </c>
      <c r="B778" s="7" t="s">
        <v>2117</v>
      </c>
      <c r="C778" s="7" t="s">
        <v>248</v>
      </c>
      <c r="D778" s="7" t="s">
        <v>93</v>
      </c>
      <c r="E778" s="7" t="s">
        <v>46</v>
      </c>
      <c r="F778" s="7" t="s">
        <v>98</v>
      </c>
      <c r="G778" s="7" t="s">
        <v>2120</v>
      </c>
      <c r="I778" s="1">
        <f t="shared" si="60"/>
        <v>1</v>
      </c>
      <c r="J778" s="1" t="str">
        <f>'Source build'!A778</f>
        <v>L00772</v>
      </c>
      <c r="K778" s="1">
        <f>778</f>
        <v>778</v>
      </c>
      <c r="L778" s="10">
        <f t="shared" si="61"/>
        <v>15078</v>
      </c>
      <c r="M778" s="1">
        <f t="shared" si="62"/>
        <v>1</v>
      </c>
      <c r="N778" s="1">
        <f t="shared" si="63"/>
        <v>1</v>
      </c>
      <c r="O778" s="1" t="str">
        <f>IF(I778=0,"UNUSED",IF(A778="","MISSING ID",IF(K778=0,"UNEXPECTED ID",IF(N778&lt;&gt;1,"ID / ORDER DIFFERENCE",IF('Source build'!U778&lt;&gt;"INCLUDED","EXCLUDED SOURCE",IF(NOT(M778),"INVALID AMOUNT",IF('Source build'!Y778&lt;&gt;0,"CHANGED FIELDS","MATCH")))))))</f>
        <v>MATCH</v>
      </c>
      <c r="P778" s="1" t="str">
        <f t="shared" si="64"/>
        <v>2026-03</v>
      </c>
    </row>
    <row r="779" spans="1:16" ht="18.95" customHeight="1">
      <c r="A779" s="7" t="s">
        <v>2121</v>
      </c>
      <c r="B779" s="7" t="s">
        <v>2122</v>
      </c>
      <c r="C779" s="7" t="s">
        <v>254</v>
      </c>
      <c r="D779" s="7" t="s">
        <v>97</v>
      </c>
      <c r="E779" s="7" t="s">
        <v>47</v>
      </c>
      <c r="F779" s="7" t="s">
        <v>98</v>
      </c>
      <c r="G779" s="7" t="s">
        <v>2123</v>
      </c>
      <c r="I779" s="1">
        <f t="shared" si="60"/>
        <v>1</v>
      </c>
      <c r="J779" s="1" t="str">
        <f>'Source build'!A779</f>
        <v>L00773</v>
      </c>
      <c r="K779" s="1">
        <f>779</f>
        <v>779</v>
      </c>
      <c r="L779" s="10">
        <f t="shared" si="61"/>
        <v>25315</v>
      </c>
      <c r="M779" s="1">
        <f t="shared" si="62"/>
        <v>1</v>
      </c>
      <c r="N779" s="1">
        <f t="shared" si="63"/>
        <v>1</v>
      </c>
      <c r="O779" s="1" t="str">
        <f>IF(I779=0,"UNUSED",IF(A779="","MISSING ID",IF(K779=0,"UNEXPECTED ID",IF(N779&lt;&gt;1,"ID / ORDER DIFFERENCE",IF('Source build'!U779&lt;&gt;"INCLUDED","EXCLUDED SOURCE",IF(NOT(M779),"INVALID AMOUNT",IF('Source build'!Y779&lt;&gt;0,"CHANGED FIELDS","MATCH")))))))</f>
        <v>MATCH</v>
      </c>
      <c r="P779" s="1" t="str">
        <f t="shared" si="64"/>
        <v>2026-01</v>
      </c>
    </row>
    <row r="780" spans="1:16" ht="18.95" customHeight="1">
      <c r="A780" s="7" t="s">
        <v>2124</v>
      </c>
      <c r="B780" s="7" t="s">
        <v>2122</v>
      </c>
      <c r="C780" s="7" t="s">
        <v>254</v>
      </c>
      <c r="D780" s="7" t="s">
        <v>103</v>
      </c>
      <c r="E780" s="7" t="s">
        <v>48</v>
      </c>
      <c r="F780" s="7" t="s">
        <v>98</v>
      </c>
      <c r="G780" s="7" t="s">
        <v>2125</v>
      </c>
      <c r="I780" s="1">
        <f t="shared" si="60"/>
        <v>1</v>
      </c>
      <c r="J780" s="1" t="str">
        <f>'Source build'!A780</f>
        <v>L00774</v>
      </c>
      <c r="K780" s="1">
        <f>780</f>
        <v>780</v>
      </c>
      <c r="L780" s="10">
        <f t="shared" si="61"/>
        <v>10200</v>
      </c>
      <c r="M780" s="1">
        <f t="shared" si="62"/>
        <v>1</v>
      </c>
      <c r="N780" s="1">
        <f t="shared" si="63"/>
        <v>1</v>
      </c>
      <c r="O780" s="1" t="str">
        <f>IF(I780=0,"UNUSED",IF(A780="","MISSING ID",IF(K780=0,"UNEXPECTED ID",IF(N780&lt;&gt;1,"ID / ORDER DIFFERENCE",IF('Source build'!U780&lt;&gt;"INCLUDED","EXCLUDED SOURCE",IF(NOT(M780),"INVALID AMOUNT",IF('Source build'!Y780&lt;&gt;0,"CHANGED FIELDS","MATCH")))))))</f>
        <v>MATCH</v>
      </c>
      <c r="P780" s="1" t="str">
        <f t="shared" si="64"/>
        <v>2026-01</v>
      </c>
    </row>
    <row r="781" spans="1:16" ht="18.95" customHeight="1">
      <c r="A781" s="7" t="s">
        <v>2126</v>
      </c>
      <c r="B781" s="7" t="s">
        <v>2127</v>
      </c>
      <c r="C781" s="7" t="s">
        <v>260</v>
      </c>
      <c r="D781" s="7" t="s">
        <v>93</v>
      </c>
      <c r="E781" s="7" t="s">
        <v>46</v>
      </c>
      <c r="F781" s="7" t="s">
        <v>98</v>
      </c>
      <c r="G781" s="7" t="s">
        <v>2128</v>
      </c>
      <c r="I781" s="1">
        <f t="shared" si="60"/>
        <v>1</v>
      </c>
      <c r="J781" s="1" t="str">
        <f>'Source build'!A781</f>
        <v>L00775</v>
      </c>
      <c r="K781" s="1">
        <f>781</f>
        <v>781</v>
      </c>
      <c r="L781" s="10">
        <f t="shared" si="61"/>
        <v>20548</v>
      </c>
      <c r="M781" s="1">
        <f t="shared" si="62"/>
        <v>1</v>
      </c>
      <c r="N781" s="1">
        <f t="shared" si="63"/>
        <v>1</v>
      </c>
      <c r="O781" s="1" t="str">
        <f>IF(I781=0,"UNUSED",IF(A781="","MISSING ID",IF(K781=0,"UNEXPECTED ID",IF(N781&lt;&gt;1,"ID / ORDER DIFFERENCE",IF('Source build'!U781&lt;&gt;"INCLUDED","EXCLUDED SOURCE",IF(NOT(M781),"INVALID AMOUNT",IF('Source build'!Y781&lt;&gt;0,"CHANGED FIELDS","MATCH")))))))</f>
        <v>MATCH</v>
      </c>
      <c r="P781" s="1" t="str">
        <f t="shared" si="64"/>
        <v>2026-01</v>
      </c>
    </row>
    <row r="782" spans="1:16" ht="18.95" customHeight="1">
      <c r="A782" s="7" t="s">
        <v>2129</v>
      </c>
      <c r="B782" s="7" t="s">
        <v>2127</v>
      </c>
      <c r="C782" s="7" t="s">
        <v>260</v>
      </c>
      <c r="D782" s="7" t="s">
        <v>97</v>
      </c>
      <c r="E782" s="7" t="s">
        <v>47</v>
      </c>
      <c r="F782" s="7" t="s">
        <v>98</v>
      </c>
      <c r="G782" s="7" t="s">
        <v>2130</v>
      </c>
      <c r="I782" s="1">
        <f t="shared" si="60"/>
        <v>1</v>
      </c>
      <c r="J782" s="1" t="str">
        <f>'Source build'!A782</f>
        <v>L00776</v>
      </c>
      <c r="K782" s="1">
        <f>782</f>
        <v>782</v>
      </c>
      <c r="L782" s="10">
        <f t="shared" si="61"/>
        <v>5174</v>
      </c>
      <c r="M782" s="1">
        <f t="shared" si="62"/>
        <v>1</v>
      </c>
      <c r="N782" s="1">
        <f t="shared" si="63"/>
        <v>1</v>
      </c>
      <c r="O782" s="1" t="str">
        <f>IF(I782=0,"UNUSED",IF(A782="","MISSING ID",IF(K782=0,"UNEXPECTED ID",IF(N782&lt;&gt;1,"ID / ORDER DIFFERENCE",IF('Source build'!U782&lt;&gt;"INCLUDED","EXCLUDED SOURCE",IF(NOT(M782),"INVALID AMOUNT",IF('Source build'!Y782&lt;&gt;0,"CHANGED FIELDS","MATCH")))))))</f>
        <v>MATCH</v>
      </c>
      <c r="P782" s="1" t="str">
        <f t="shared" si="64"/>
        <v>2026-01</v>
      </c>
    </row>
    <row r="783" spans="1:16" ht="18.95" customHeight="1">
      <c r="A783" s="7" t="s">
        <v>2131</v>
      </c>
      <c r="B783" s="7" t="s">
        <v>2132</v>
      </c>
      <c r="C783" s="7" t="s">
        <v>266</v>
      </c>
      <c r="D783" s="7" t="s">
        <v>103</v>
      </c>
      <c r="E783" s="7" t="s">
        <v>48</v>
      </c>
      <c r="F783" s="7" t="s">
        <v>98</v>
      </c>
      <c r="G783" s="7" t="s">
        <v>2133</v>
      </c>
      <c r="I783" s="1">
        <f t="shared" si="60"/>
        <v>1</v>
      </c>
      <c r="J783" s="1" t="str">
        <f>'Source build'!A783</f>
        <v>L00777</v>
      </c>
      <c r="K783" s="1">
        <f>783</f>
        <v>783</v>
      </c>
      <c r="L783" s="10">
        <f t="shared" si="61"/>
        <v>15633</v>
      </c>
      <c r="M783" s="1">
        <f t="shared" si="62"/>
        <v>1</v>
      </c>
      <c r="N783" s="1">
        <f t="shared" si="63"/>
        <v>1</v>
      </c>
      <c r="O783" s="1" t="str">
        <f>IF(I783=0,"UNUSED",IF(A783="","MISSING ID",IF(K783=0,"UNEXPECTED ID",IF(N783&lt;&gt;1,"ID / ORDER DIFFERENCE",IF('Source build'!U783&lt;&gt;"INCLUDED","EXCLUDED SOURCE",IF(NOT(M783),"INVALID AMOUNT",IF('Source build'!Y783&lt;&gt;0,"CHANGED FIELDS","MATCH")))))))</f>
        <v>MATCH</v>
      </c>
      <c r="P783" s="1" t="str">
        <f t="shared" si="64"/>
        <v>2026-01</v>
      </c>
    </row>
    <row r="784" spans="1:16" ht="18.95" customHeight="1">
      <c r="A784" s="7" t="s">
        <v>2134</v>
      </c>
      <c r="B784" s="7" t="s">
        <v>2132</v>
      </c>
      <c r="C784" s="7" t="s">
        <v>266</v>
      </c>
      <c r="D784" s="7" t="s">
        <v>93</v>
      </c>
      <c r="E784" s="7" t="s">
        <v>46</v>
      </c>
      <c r="F784" s="7" t="s">
        <v>98</v>
      </c>
      <c r="G784" s="7" t="s">
        <v>2135</v>
      </c>
      <c r="I784" s="1">
        <f t="shared" si="60"/>
        <v>1</v>
      </c>
      <c r="J784" s="1" t="str">
        <f>'Source build'!A784</f>
        <v>L00778</v>
      </c>
      <c r="K784" s="1">
        <f>784</f>
        <v>784</v>
      </c>
      <c r="L784" s="10">
        <f t="shared" si="61"/>
        <v>26240</v>
      </c>
      <c r="M784" s="1">
        <f t="shared" si="62"/>
        <v>1</v>
      </c>
      <c r="N784" s="1">
        <f t="shared" si="63"/>
        <v>1</v>
      </c>
      <c r="O784" s="1" t="str">
        <f>IF(I784=0,"UNUSED",IF(A784="","MISSING ID",IF(K784=0,"UNEXPECTED ID",IF(N784&lt;&gt;1,"ID / ORDER DIFFERENCE",IF('Source build'!U784&lt;&gt;"INCLUDED","EXCLUDED SOURCE",IF(NOT(M784),"INVALID AMOUNT",IF('Source build'!Y784&lt;&gt;0,"CHANGED FIELDS","MATCH")))))))</f>
        <v>MATCH</v>
      </c>
      <c r="P784" s="1" t="str">
        <f t="shared" si="64"/>
        <v>2026-01</v>
      </c>
    </row>
    <row r="785" spans="1:16" ht="18.95" customHeight="1">
      <c r="A785" s="7" t="s">
        <v>2136</v>
      </c>
      <c r="B785" s="7" t="s">
        <v>2137</v>
      </c>
      <c r="C785" s="7" t="s">
        <v>272</v>
      </c>
      <c r="D785" s="7" t="s">
        <v>97</v>
      </c>
      <c r="E785" s="7" t="s">
        <v>47</v>
      </c>
      <c r="F785" s="7" t="s">
        <v>98</v>
      </c>
      <c r="G785" s="7" t="s">
        <v>2138</v>
      </c>
      <c r="I785" s="1">
        <f t="shared" si="60"/>
        <v>1</v>
      </c>
      <c r="J785" s="1" t="str">
        <f>'Source build'!A785</f>
        <v>L00779</v>
      </c>
      <c r="K785" s="1">
        <f>785</f>
        <v>785</v>
      </c>
      <c r="L785" s="10">
        <f t="shared" si="61"/>
        <v>10570</v>
      </c>
      <c r="M785" s="1">
        <f t="shared" si="62"/>
        <v>1</v>
      </c>
      <c r="N785" s="1">
        <f t="shared" si="63"/>
        <v>1</v>
      </c>
      <c r="O785" s="1" t="str">
        <f>IF(I785=0,"UNUSED",IF(A785="","MISSING ID",IF(K785=0,"UNEXPECTED ID",IF(N785&lt;&gt;1,"ID / ORDER DIFFERENCE",IF('Source build'!U785&lt;&gt;"INCLUDED","EXCLUDED SOURCE",IF(NOT(M785),"INVALID AMOUNT",IF('Source build'!Y785&lt;&gt;0,"CHANGED FIELDS","MATCH")))))))</f>
        <v>MATCH</v>
      </c>
      <c r="P785" s="1" t="str">
        <f t="shared" si="64"/>
        <v>2026-01</v>
      </c>
    </row>
    <row r="786" spans="1:16" ht="18.95" customHeight="1">
      <c r="A786" s="7" t="s">
        <v>2139</v>
      </c>
      <c r="B786" s="7" t="s">
        <v>2137</v>
      </c>
      <c r="C786" s="7" t="s">
        <v>272</v>
      </c>
      <c r="D786" s="7" t="s">
        <v>103</v>
      </c>
      <c r="E786" s="7" t="s">
        <v>48</v>
      </c>
      <c r="F786" s="7" t="s">
        <v>98</v>
      </c>
      <c r="G786" s="7" t="s">
        <v>2140</v>
      </c>
      <c r="I786" s="1">
        <f t="shared" si="60"/>
        <v>1</v>
      </c>
      <c r="J786" s="1" t="str">
        <f>'Source build'!A786</f>
        <v>L00780</v>
      </c>
      <c r="K786" s="1">
        <f>786</f>
        <v>786</v>
      </c>
      <c r="L786" s="10">
        <f t="shared" si="61"/>
        <v>21288</v>
      </c>
      <c r="M786" s="1">
        <f t="shared" si="62"/>
        <v>1</v>
      </c>
      <c r="N786" s="1">
        <f t="shared" si="63"/>
        <v>1</v>
      </c>
      <c r="O786" s="1" t="str">
        <f>IF(I786=0,"UNUSED",IF(A786="","MISSING ID",IF(K786=0,"UNEXPECTED ID",IF(N786&lt;&gt;1,"ID / ORDER DIFFERENCE",IF('Source build'!U786&lt;&gt;"INCLUDED","EXCLUDED SOURCE",IF(NOT(M786),"INVALID AMOUNT",IF('Source build'!Y786&lt;&gt;0,"CHANGED FIELDS","MATCH")))))))</f>
        <v>MATCH</v>
      </c>
      <c r="P786" s="1" t="str">
        <f t="shared" si="64"/>
        <v>2026-01</v>
      </c>
    </row>
    <row r="787" spans="1:16" ht="18.95" customHeight="1">
      <c r="A787" s="7" t="s">
        <v>2141</v>
      </c>
      <c r="B787" s="7" t="s">
        <v>2142</v>
      </c>
      <c r="C787" s="7" t="s">
        <v>278</v>
      </c>
      <c r="D787" s="7" t="s">
        <v>93</v>
      </c>
      <c r="E787" s="7" t="s">
        <v>46</v>
      </c>
      <c r="F787" s="7" t="s">
        <v>98</v>
      </c>
      <c r="G787" s="7" t="s">
        <v>2143</v>
      </c>
      <c r="I787" s="1">
        <f t="shared" si="60"/>
        <v>1</v>
      </c>
      <c r="J787" s="1" t="str">
        <f>'Source build'!A787</f>
        <v>L00781</v>
      </c>
      <c r="K787" s="1">
        <f>787</f>
        <v>787</v>
      </c>
      <c r="L787" s="10">
        <f t="shared" si="61"/>
        <v>5359</v>
      </c>
      <c r="M787" s="1">
        <f t="shared" si="62"/>
        <v>1</v>
      </c>
      <c r="N787" s="1">
        <f t="shared" si="63"/>
        <v>1</v>
      </c>
      <c r="O787" s="1" t="str">
        <f>IF(I787=0,"UNUSED",IF(A787="","MISSING ID",IF(K787=0,"UNEXPECTED ID",IF(N787&lt;&gt;1,"ID / ORDER DIFFERENCE",IF('Source build'!U787&lt;&gt;"INCLUDED","EXCLUDED SOURCE",IF(NOT(M787),"INVALID AMOUNT",IF('Source build'!Y787&lt;&gt;0,"CHANGED FIELDS","MATCH")))))))</f>
        <v>MATCH</v>
      </c>
      <c r="P787" s="1" t="str">
        <f t="shared" si="64"/>
        <v>2026-01</v>
      </c>
    </row>
    <row r="788" spans="1:16" ht="18.95" customHeight="1">
      <c r="A788" s="7" t="s">
        <v>2144</v>
      </c>
      <c r="B788" s="7" t="s">
        <v>2142</v>
      </c>
      <c r="C788" s="7" t="s">
        <v>278</v>
      </c>
      <c r="D788" s="7" t="s">
        <v>97</v>
      </c>
      <c r="E788" s="7" t="s">
        <v>47</v>
      </c>
      <c r="F788" s="7" t="s">
        <v>98</v>
      </c>
      <c r="G788" s="7" t="s">
        <v>2145</v>
      </c>
      <c r="I788" s="1">
        <f t="shared" si="60"/>
        <v>1</v>
      </c>
      <c r="J788" s="1" t="str">
        <f>'Source build'!A788</f>
        <v>L00782</v>
      </c>
      <c r="K788" s="1">
        <f>788</f>
        <v>788</v>
      </c>
      <c r="L788" s="10">
        <f t="shared" si="61"/>
        <v>16188</v>
      </c>
      <c r="M788" s="1">
        <f t="shared" si="62"/>
        <v>1</v>
      </c>
      <c r="N788" s="1">
        <f t="shared" si="63"/>
        <v>1</v>
      </c>
      <c r="O788" s="1" t="str">
        <f>IF(I788=0,"UNUSED",IF(A788="","MISSING ID",IF(K788=0,"UNEXPECTED ID",IF(N788&lt;&gt;1,"ID / ORDER DIFFERENCE",IF('Source build'!U788&lt;&gt;"INCLUDED","EXCLUDED SOURCE",IF(NOT(M788),"INVALID AMOUNT",IF('Source build'!Y788&lt;&gt;0,"CHANGED FIELDS","MATCH")))))))</f>
        <v>MATCH</v>
      </c>
      <c r="P788" s="1" t="str">
        <f t="shared" si="64"/>
        <v>2026-01</v>
      </c>
    </row>
    <row r="789" spans="1:16" ht="18.95" customHeight="1">
      <c r="A789" s="7" t="s">
        <v>2146</v>
      </c>
      <c r="B789" s="7" t="s">
        <v>2147</v>
      </c>
      <c r="C789" s="7" t="s">
        <v>284</v>
      </c>
      <c r="D789" s="7" t="s">
        <v>103</v>
      </c>
      <c r="E789" s="7" t="s">
        <v>48</v>
      </c>
      <c r="F789" s="7" t="s">
        <v>94</v>
      </c>
      <c r="G789" s="7" t="s">
        <v>2148</v>
      </c>
      <c r="I789" s="1">
        <f t="shared" si="60"/>
        <v>1</v>
      </c>
      <c r="J789" s="1" t="str">
        <f>'Source build'!A789</f>
        <v>L00783</v>
      </c>
      <c r="K789" s="1">
        <f>789</f>
        <v>789</v>
      </c>
      <c r="L789" s="10">
        <f t="shared" si="61"/>
        <v>-27165</v>
      </c>
      <c r="M789" s="1">
        <f t="shared" si="62"/>
        <v>1</v>
      </c>
      <c r="N789" s="1">
        <f t="shared" si="63"/>
        <v>1</v>
      </c>
      <c r="O789" s="1" t="str">
        <f>IF(I789=0,"UNUSED",IF(A789="","MISSING ID",IF(K789=0,"UNEXPECTED ID",IF(N789&lt;&gt;1,"ID / ORDER DIFFERENCE",IF('Source build'!U789&lt;&gt;"INCLUDED","EXCLUDED SOURCE",IF(NOT(M789),"INVALID AMOUNT",IF('Source build'!Y789&lt;&gt;0,"CHANGED FIELDS","MATCH")))))))</f>
        <v>MATCH</v>
      </c>
      <c r="P789" s="1" t="str">
        <f t="shared" si="64"/>
        <v>2026-02</v>
      </c>
    </row>
    <row r="790" spans="1:16" ht="18.95" customHeight="1">
      <c r="A790" s="7" t="s">
        <v>2149</v>
      </c>
      <c r="B790" s="7" t="s">
        <v>2147</v>
      </c>
      <c r="C790" s="7" t="s">
        <v>284</v>
      </c>
      <c r="D790" s="7" t="s">
        <v>93</v>
      </c>
      <c r="E790" s="7" t="s">
        <v>46</v>
      </c>
      <c r="F790" s="7" t="s">
        <v>98</v>
      </c>
      <c r="G790" s="7" t="s">
        <v>2150</v>
      </c>
      <c r="I790" s="1">
        <f t="shared" si="60"/>
        <v>1</v>
      </c>
      <c r="J790" s="1" t="str">
        <f>'Source build'!A790</f>
        <v>L00784</v>
      </c>
      <c r="K790" s="1">
        <f>790</f>
        <v>790</v>
      </c>
      <c r="L790" s="10">
        <f t="shared" si="61"/>
        <v>10940</v>
      </c>
      <c r="M790" s="1">
        <f t="shared" si="62"/>
        <v>1</v>
      </c>
      <c r="N790" s="1">
        <f t="shared" si="63"/>
        <v>1</v>
      </c>
      <c r="O790" s="1" t="str">
        <f>IF(I790=0,"UNUSED",IF(A790="","MISSING ID",IF(K790=0,"UNEXPECTED ID",IF(N790&lt;&gt;1,"ID / ORDER DIFFERENCE",IF('Source build'!U790&lt;&gt;"INCLUDED","EXCLUDED SOURCE",IF(NOT(M790),"INVALID AMOUNT",IF('Source build'!Y790&lt;&gt;0,"CHANGED FIELDS","MATCH")))))))</f>
        <v>MATCH</v>
      </c>
      <c r="P790" s="1" t="str">
        <f t="shared" si="64"/>
        <v>2026-02</v>
      </c>
    </row>
    <row r="791" spans="1:16" ht="18.95" customHeight="1">
      <c r="A791" s="7" t="s">
        <v>2151</v>
      </c>
      <c r="B791" s="7" t="s">
        <v>2152</v>
      </c>
      <c r="C791" s="7" t="s">
        <v>290</v>
      </c>
      <c r="D791" s="7" t="s">
        <v>97</v>
      </c>
      <c r="E791" s="7" t="s">
        <v>47</v>
      </c>
      <c r="F791" s="7" t="s">
        <v>98</v>
      </c>
      <c r="G791" s="7" t="s">
        <v>2153</v>
      </c>
      <c r="I791" s="1">
        <f t="shared" si="60"/>
        <v>1</v>
      </c>
      <c r="J791" s="1" t="str">
        <f>'Source build'!A791</f>
        <v>L00785</v>
      </c>
      <c r="K791" s="1">
        <f>791</f>
        <v>791</v>
      </c>
      <c r="L791" s="10">
        <f t="shared" si="61"/>
        <v>22028</v>
      </c>
      <c r="M791" s="1">
        <f t="shared" si="62"/>
        <v>1</v>
      </c>
      <c r="N791" s="1">
        <f t="shared" si="63"/>
        <v>1</v>
      </c>
      <c r="O791" s="1" t="str">
        <f>IF(I791=0,"UNUSED",IF(A791="","MISSING ID",IF(K791=0,"UNEXPECTED ID",IF(N791&lt;&gt;1,"ID / ORDER DIFFERENCE",IF('Source build'!U791&lt;&gt;"INCLUDED","EXCLUDED SOURCE",IF(NOT(M791),"INVALID AMOUNT",IF('Source build'!Y791&lt;&gt;0,"CHANGED FIELDS","MATCH")))))))</f>
        <v>MATCH</v>
      </c>
      <c r="P791" s="1" t="str">
        <f t="shared" si="64"/>
        <v>2026-02</v>
      </c>
    </row>
    <row r="792" spans="1:16" ht="18.95" customHeight="1">
      <c r="A792" s="7" t="s">
        <v>2154</v>
      </c>
      <c r="B792" s="7" t="s">
        <v>2152</v>
      </c>
      <c r="C792" s="7" t="s">
        <v>290</v>
      </c>
      <c r="D792" s="7" t="s">
        <v>103</v>
      </c>
      <c r="E792" s="7" t="s">
        <v>48</v>
      </c>
      <c r="F792" s="7" t="s">
        <v>98</v>
      </c>
      <c r="G792" s="7" t="s">
        <v>2155</v>
      </c>
      <c r="I792" s="1">
        <f t="shared" si="60"/>
        <v>1</v>
      </c>
      <c r="J792" s="1" t="str">
        <f>'Source build'!A792</f>
        <v>L00786</v>
      </c>
      <c r="K792" s="1">
        <f>792</f>
        <v>792</v>
      </c>
      <c r="L792" s="10">
        <f t="shared" si="61"/>
        <v>5544</v>
      </c>
      <c r="M792" s="1">
        <f t="shared" si="62"/>
        <v>1</v>
      </c>
      <c r="N792" s="1">
        <f t="shared" si="63"/>
        <v>1</v>
      </c>
      <c r="O792" s="1" t="str">
        <f>IF(I792=0,"UNUSED",IF(A792="","MISSING ID",IF(K792=0,"UNEXPECTED ID",IF(N792&lt;&gt;1,"ID / ORDER DIFFERENCE",IF('Source build'!U792&lt;&gt;"INCLUDED","EXCLUDED SOURCE",IF(NOT(M792),"INVALID AMOUNT",IF('Source build'!Y792&lt;&gt;0,"CHANGED FIELDS","MATCH")))))))</f>
        <v>MATCH</v>
      </c>
      <c r="P792" s="1" t="str">
        <f t="shared" si="64"/>
        <v>2026-02</v>
      </c>
    </row>
    <row r="793" spans="1:16" ht="18.95" customHeight="1">
      <c r="A793" s="7" t="s">
        <v>2156</v>
      </c>
      <c r="B793" s="7" t="s">
        <v>2157</v>
      </c>
      <c r="C793" s="7" t="s">
        <v>296</v>
      </c>
      <c r="D793" s="7" t="s">
        <v>93</v>
      </c>
      <c r="E793" s="7" t="s">
        <v>46</v>
      </c>
      <c r="F793" s="7" t="s">
        <v>98</v>
      </c>
      <c r="G793" s="7" t="s">
        <v>2158</v>
      </c>
      <c r="I793" s="1">
        <f t="shared" si="60"/>
        <v>1</v>
      </c>
      <c r="J793" s="1" t="str">
        <f>'Source build'!A793</f>
        <v>L00787</v>
      </c>
      <c r="K793" s="1">
        <f>793</f>
        <v>793</v>
      </c>
      <c r="L793" s="10">
        <f t="shared" si="61"/>
        <v>16743</v>
      </c>
      <c r="M793" s="1">
        <f t="shared" si="62"/>
        <v>1</v>
      </c>
      <c r="N793" s="1">
        <f t="shared" si="63"/>
        <v>1</v>
      </c>
      <c r="O793" s="1" t="str">
        <f>IF(I793=0,"UNUSED",IF(A793="","MISSING ID",IF(K793=0,"UNEXPECTED ID",IF(N793&lt;&gt;1,"ID / ORDER DIFFERENCE",IF('Source build'!U793&lt;&gt;"INCLUDED","EXCLUDED SOURCE",IF(NOT(M793),"INVALID AMOUNT",IF('Source build'!Y793&lt;&gt;0,"CHANGED FIELDS","MATCH")))))))</f>
        <v>MATCH</v>
      </c>
      <c r="P793" s="1" t="str">
        <f t="shared" si="64"/>
        <v>2026-02</v>
      </c>
    </row>
    <row r="794" spans="1:16" ht="18.95" customHeight="1">
      <c r="A794" s="7" t="s">
        <v>2159</v>
      </c>
      <c r="B794" s="7" t="s">
        <v>2157</v>
      </c>
      <c r="C794" s="7" t="s">
        <v>296</v>
      </c>
      <c r="D794" s="7" t="s">
        <v>97</v>
      </c>
      <c r="E794" s="7" t="s">
        <v>47</v>
      </c>
      <c r="F794" s="7" t="s">
        <v>98</v>
      </c>
      <c r="G794" s="7" t="s">
        <v>2160</v>
      </c>
      <c r="I794" s="1">
        <f t="shared" si="60"/>
        <v>1</v>
      </c>
      <c r="J794" s="1" t="str">
        <f>'Source build'!A794</f>
        <v>L00788</v>
      </c>
      <c r="K794" s="1">
        <f>794</f>
        <v>794</v>
      </c>
      <c r="L794" s="10">
        <f t="shared" si="61"/>
        <v>28090</v>
      </c>
      <c r="M794" s="1">
        <f t="shared" si="62"/>
        <v>1</v>
      </c>
      <c r="N794" s="1">
        <f t="shared" si="63"/>
        <v>1</v>
      </c>
      <c r="O794" s="1" t="str">
        <f>IF(I794=0,"UNUSED",IF(A794="","MISSING ID",IF(K794=0,"UNEXPECTED ID",IF(N794&lt;&gt;1,"ID / ORDER DIFFERENCE",IF('Source build'!U794&lt;&gt;"INCLUDED","EXCLUDED SOURCE",IF(NOT(M794),"INVALID AMOUNT",IF('Source build'!Y794&lt;&gt;0,"CHANGED FIELDS","MATCH")))))))</f>
        <v>MATCH</v>
      </c>
      <c r="P794" s="1" t="str">
        <f t="shared" si="64"/>
        <v>2026-02</v>
      </c>
    </row>
    <row r="795" spans="1:16" ht="18.95" customHeight="1">
      <c r="A795" s="7" t="s">
        <v>2161</v>
      </c>
      <c r="B795" s="7" t="s">
        <v>2162</v>
      </c>
      <c r="C795" s="7" t="s">
        <v>302</v>
      </c>
      <c r="D795" s="7" t="s">
        <v>103</v>
      </c>
      <c r="E795" s="7" t="s">
        <v>48</v>
      </c>
      <c r="F795" s="7" t="s">
        <v>98</v>
      </c>
      <c r="G795" s="7" t="s">
        <v>2163</v>
      </c>
      <c r="I795" s="1">
        <f t="shared" si="60"/>
        <v>1</v>
      </c>
      <c r="J795" s="1" t="str">
        <f>'Source build'!A795</f>
        <v>L00789</v>
      </c>
      <c r="K795" s="1">
        <f>795</f>
        <v>795</v>
      </c>
      <c r="L795" s="10">
        <f t="shared" si="61"/>
        <v>11310</v>
      </c>
      <c r="M795" s="1">
        <f t="shared" si="62"/>
        <v>1</v>
      </c>
      <c r="N795" s="1">
        <f t="shared" si="63"/>
        <v>1</v>
      </c>
      <c r="O795" s="1" t="str">
        <f>IF(I795=0,"UNUSED",IF(A795="","MISSING ID",IF(K795=0,"UNEXPECTED ID",IF(N795&lt;&gt;1,"ID / ORDER DIFFERENCE",IF('Source build'!U795&lt;&gt;"INCLUDED","EXCLUDED SOURCE",IF(NOT(M795),"INVALID AMOUNT",IF('Source build'!Y795&lt;&gt;0,"CHANGED FIELDS","MATCH")))))))</f>
        <v>MATCH</v>
      </c>
      <c r="P795" s="1" t="str">
        <f t="shared" si="64"/>
        <v>2026-02</v>
      </c>
    </row>
    <row r="796" spans="1:16" ht="18.95" customHeight="1">
      <c r="A796" s="7" t="s">
        <v>2164</v>
      </c>
      <c r="B796" s="7" t="s">
        <v>2162</v>
      </c>
      <c r="C796" s="7" t="s">
        <v>302</v>
      </c>
      <c r="D796" s="7" t="s">
        <v>93</v>
      </c>
      <c r="E796" s="7" t="s">
        <v>46</v>
      </c>
      <c r="F796" s="7" t="s">
        <v>98</v>
      </c>
      <c r="G796" s="7" t="s">
        <v>2165</v>
      </c>
      <c r="I796" s="1">
        <f t="shared" si="60"/>
        <v>1</v>
      </c>
      <c r="J796" s="1" t="str">
        <f>'Source build'!A796</f>
        <v>L00790</v>
      </c>
      <c r="K796" s="1">
        <f>796</f>
        <v>796</v>
      </c>
      <c r="L796" s="10">
        <f t="shared" si="61"/>
        <v>22768</v>
      </c>
      <c r="M796" s="1">
        <f t="shared" si="62"/>
        <v>1</v>
      </c>
      <c r="N796" s="1">
        <f t="shared" si="63"/>
        <v>1</v>
      </c>
      <c r="O796" s="1" t="str">
        <f>IF(I796=0,"UNUSED",IF(A796="","MISSING ID",IF(K796=0,"UNEXPECTED ID",IF(N796&lt;&gt;1,"ID / ORDER DIFFERENCE",IF('Source build'!U796&lt;&gt;"INCLUDED","EXCLUDED SOURCE",IF(NOT(M796),"INVALID AMOUNT",IF('Source build'!Y796&lt;&gt;0,"CHANGED FIELDS","MATCH")))))))</f>
        <v>MATCH</v>
      </c>
      <c r="P796" s="1" t="str">
        <f t="shared" si="64"/>
        <v>2026-02</v>
      </c>
    </row>
    <row r="797" spans="1:16" ht="18.95" customHeight="1">
      <c r="A797" s="7" t="s">
        <v>2166</v>
      </c>
      <c r="B797" s="7" t="s">
        <v>2167</v>
      </c>
      <c r="C797" s="7" t="s">
        <v>308</v>
      </c>
      <c r="D797" s="7" t="s">
        <v>97</v>
      </c>
      <c r="E797" s="7" t="s">
        <v>47</v>
      </c>
      <c r="F797" s="7" t="s">
        <v>98</v>
      </c>
      <c r="G797" s="7" t="s">
        <v>2168</v>
      </c>
      <c r="I797" s="1">
        <f t="shared" si="60"/>
        <v>1</v>
      </c>
      <c r="J797" s="1" t="str">
        <f>'Source build'!A797</f>
        <v>L00791</v>
      </c>
      <c r="K797" s="1">
        <f>797</f>
        <v>797</v>
      </c>
      <c r="L797" s="10">
        <f t="shared" si="61"/>
        <v>5729</v>
      </c>
      <c r="M797" s="1">
        <f t="shared" si="62"/>
        <v>1</v>
      </c>
      <c r="N797" s="1">
        <f t="shared" si="63"/>
        <v>1</v>
      </c>
      <c r="O797" s="1" t="str">
        <f>IF(I797=0,"UNUSED",IF(A797="","MISSING ID",IF(K797=0,"UNEXPECTED ID",IF(N797&lt;&gt;1,"ID / ORDER DIFFERENCE",IF('Source build'!U797&lt;&gt;"INCLUDED","EXCLUDED SOURCE",IF(NOT(M797),"INVALID AMOUNT",IF('Source build'!Y797&lt;&gt;0,"CHANGED FIELDS","MATCH")))))))</f>
        <v>MATCH</v>
      </c>
      <c r="P797" s="1" t="str">
        <f t="shared" si="64"/>
        <v>2026-03</v>
      </c>
    </row>
    <row r="798" spans="1:16" ht="18.95" customHeight="1">
      <c r="A798" s="7" t="s">
        <v>2169</v>
      </c>
      <c r="B798" s="7" t="s">
        <v>2167</v>
      </c>
      <c r="C798" s="7" t="s">
        <v>308</v>
      </c>
      <c r="D798" s="7" t="s">
        <v>103</v>
      </c>
      <c r="E798" s="7" t="s">
        <v>48</v>
      </c>
      <c r="F798" s="7" t="s">
        <v>98</v>
      </c>
      <c r="G798" s="7" t="s">
        <v>2170</v>
      </c>
      <c r="I798" s="1">
        <f t="shared" si="60"/>
        <v>1</v>
      </c>
      <c r="J798" s="1" t="str">
        <f>'Source build'!A798</f>
        <v>L00792</v>
      </c>
      <c r="K798" s="1">
        <f>798</f>
        <v>798</v>
      </c>
      <c r="L798" s="10">
        <f t="shared" si="61"/>
        <v>17298</v>
      </c>
      <c r="M798" s="1">
        <f t="shared" si="62"/>
        <v>1</v>
      </c>
      <c r="N798" s="1">
        <f t="shared" si="63"/>
        <v>1</v>
      </c>
      <c r="O798" s="1" t="str">
        <f>IF(I798=0,"UNUSED",IF(A798="","MISSING ID",IF(K798=0,"UNEXPECTED ID",IF(N798&lt;&gt;1,"ID / ORDER DIFFERENCE",IF('Source build'!U798&lt;&gt;"INCLUDED","EXCLUDED SOURCE",IF(NOT(M798),"INVALID AMOUNT",IF('Source build'!Y798&lt;&gt;0,"CHANGED FIELDS","MATCH")))))))</f>
        <v>MATCH</v>
      </c>
      <c r="P798" s="1" t="str">
        <f t="shared" si="64"/>
        <v>2026-03</v>
      </c>
    </row>
    <row r="799" spans="1:16" ht="18.95" customHeight="1">
      <c r="A799" s="7" t="s">
        <v>2171</v>
      </c>
      <c r="B799" s="7" t="s">
        <v>2172</v>
      </c>
      <c r="C799" s="7" t="s">
        <v>314</v>
      </c>
      <c r="D799" s="7" t="s">
        <v>93</v>
      </c>
      <c r="E799" s="7" t="s">
        <v>46</v>
      </c>
      <c r="F799" s="7" t="s">
        <v>98</v>
      </c>
      <c r="G799" s="7" t="s">
        <v>2173</v>
      </c>
      <c r="I799" s="1">
        <f t="shared" si="60"/>
        <v>1</v>
      </c>
      <c r="J799" s="1" t="str">
        <f>'Source build'!A799</f>
        <v>L00793</v>
      </c>
      <c r="K799" s="1">
        <f>799</f>
        <v>799</v>
      </c>
      <c r="L799" s="10">
        <f t="shared" si="61"/>
        <v>29015</v>
      </c>
      <c r="M799" s="1">
        <f t="shared" si="62"/>
        <v>1</v>
      </c>
      <c r="N799" s="1">
        <f t="shared" si="63"/>
        <v>1</v>
      </c>
      <c r="O799" s="1" t="str">
        <f>IF(I799=0,"UNUSED",IF(A799="","MISSING ID",IF(K799=0,"UNEXPECTED ID",IF(N799&lt;&gt;1,"ID / ORDER DIFFERENCE",IF('Source build'!U799&lt;&gt;"INCLUDED","EXCLUDED SOURCE",IF(NOT(M799),"INVALID AMOUNT",IF('Source build'!Y799&lt;&gt;0,"CHANGED FIELDS","MATCH")))))))</f>
        <v>MATCH</v>
      </c>
      <c r="P799" s="1" t="str">
        <f t="shared" si="64"/>
        <v>2026-03</v>
      </c>
    </row>
    <row r="800" spans="1:16" ht="18.95" customHeight="1">
      <c r="A800" s="7" t="s">
        <v>2174</v>
      </c>
      <c r="B800" s="7" t="s">
        <v>2172</v>
      </c>
      <c r="C800" s="7" t="s">
        <v>314</v>
      </c>
      <c r="D800" s="7" t="s">
        <v>97</v>
      </c>
      <c r="E800" s="7" t="s">
        <v>47</v>
      </c>
      <c r="F800" s="7" t="s">
        <v>98</v>
      </c>
      <c r="G800" s="7" t="s">
        <v>2175</v>
      </c>
      <c r="I800" s="1">
        <f t="shared" si="60"/>
        <v>1</v>
      </c>
      <c r="J800" s="1" t="str">
        <f>'Source build'!A800</f>
        <v>L00794</v>
      </c>
      <c r="K800" s="1">
        <f>800</f>
        <v>800</v>
      </c>
      <c r="L800" s="10">
        <f t="shared" si="61"/>
        <v>11680</v>
      </c>
      <c r="M800" s="1">
        <f t="shared" si="62"/>
        <v>1</v>
      </c>
      <c r="N800" s="1">
        <f t="shared" si="63"/>
        <v>1</v>
      </c>
      <c r="O800" s="1" t="str">
        <f>IF(I800=0,"UNUSED",IF(A800="","MISSING ID",IF(K800=0,"UNEXPECTED ID",IF(N800&lt;&gt;1,"ID / ORDER DIFFERENCE",IF('Source build'!U800&lt;&gt;"INCLUDED","EXCLUDED SOURCE",IF(NOT(M800),"INVALID AMOUNT",IF('Source build'!Y800&lt;&gt;0,"CHANGED FIELDS","MATCH")))))))</f>
        <v>MATCH</v>
      </c>
      <c r="P800" s="1" t="str">
        <f t="shared" si="64"/>
        <v>2026-03</v>
      </c>
    </row>
    <row r="801" spans="1:16" ht="18.95" customHeight="1">
      <c r="A801" s="7" t="s">
        <v>2176</v>
      </c>
      <c r="B801" s="7" t="s">
        <v>2177</v>
      </c>
      <c r="C801" s="7" t="s">
        <v>320</v>
      </c>
      <c r="D801" s="7" t="s">
        <v>103</v>
      </c>
      <c r="E801" s="7" t="s">
        <v>48</v>
      </c>
      <c r="F801" s="7" t="s">
        <v>98</v>
      </c>
      <c r="G801" s="7" t="s">
        <v>2178</v>
      </c>
      <c r="I801" s="1">
        <f t="shared" si="60"/>
        <v>1</v>
      </c>
      <c r="J801" s="1" t="str">
        <f>'Source build'!A801</f>
        <v>L00795</v>
      </c>
      <c r="K801" s="1">
        <f>801</f>
        <v>801</v>
      </c>
      <c r="L801" s="10">
        <f t="shared" si="61"/>
        <v>23508</v>
      </c>
      <c r="M801" s="1">
        <f t="shared" si="62"/>
        <v>1</v>
      </c>
      <c r="N801" s="1">
        <f t="shared" si="63"/>
        <v>1</v>
      </c>
      <c r="O801" s="1" t="str">
        <f>IF(I801=0,"UNUSED",IF(A801="","MISSING ID",IF(K801=0,"UNEXPECTED ID",IF(N801&lt;&gt;1,"ID / ORDER DIFFERENCE",IF('Source build'!U801&lt;&gt;"INCLUDED","EXCLUDED SOURCE",IF(NOT(M801),"INVALID AMOUNT",IF('Source build'!Y801&lt;&gt;0,"CHANGED FIELDS","MATCH")))))))</f>
        <v>MATCH</v>
      </c>
      <c r="P801" s="1" t="str">
        <f t="shared" si="64"/>
        <v>2026-03</v>
      </c>
    </row>
    <row r="802" spans="1:16" ht="18.95" customHeight="1">
      <c r="A802" s="7" t="s">
        <v>2179</v>
      </c>
      <c r="B802" s="7" t="s">
        <v>2177</v>
      </c>
      <c r="C802" s="7" t="s">
        <v>320</v>
      </c>
      <c r="D802" s="7" t="s">
        <v>93</v>
      </c>
      <c r="E802" s="7" t="s">
        <v>46</v>
      </c>
      <c r="F802" s="7" t="s">
        <v>98</v>
      </c>
      <c r="G802" s="7" t="s">
        <v>2180</v>
      </c>
      <c r="I802" s="1">
        <f t="shared" si="60"/>
        <v>1</v>
      </c>
      <c r="J802" s="1" t="str">
        <f>'Source build'!A802</f>
        <v>L00796</v>
      </c>
      <c r="K802" s="1">
        <f>802</f>
        <v>802</v>
      </c>
      <c r="L802" s="10">
        <f t="shared" si="61"/>
        <v>5914</v>
      </c>
      <c r="M802" s="1">
        <f t="shared" si="62"/>
        <v>1</v>
      </c>
      <c r="N802" s="1">
        <f t="shared" si="63"/>
        <v>1</v>
      </c>
      <c r="O802" s="1" t="str">
        <f>IF(I802=0,"UNUSED",IF(A802="","MISSING ID",IF(K802=0,"UNEXPECTED ID",IF(N802&lt;&gt;1,"ID / ORDER DIFFERENCE",IF('Source build'!U802&lt;&gt;"INCLUDED","EXCLUDED SOURCE",IF(NOT(M802),"INVALID AMOUNT",IF('Source build'!Y802&lt;&gt;0,"CHANGED FIELDS","MATCH")))))))</f>
        <v>MATCH</v>
      </c>
      <c r="P802" s="1" t="str">
        <f t="shared" si="64"/>
        <v>2026-03</v>
      </c>
    </row>
    <row r="803" spans="1:16" ht="18.95" customHeight="1">
      <c r="A803" s="7" t="s">
        <v>2181</v>
      </c>
      <c r="B803" s="7" t="s">
        <v>2182</v>
      </c>
      <c r="C803" s="7" t="s">
        <v>326</v>
      </c>
      <c r="D803" s="7" t="s">
        <v>97</v>
      </c>
      <c r="E803" s="7" t="s">
        <v>47</v>
      </c>
      <c r="F803" s="7" t="s">
        <v>98</v>
      </c>
      <c r="G803" s="7" t="s">
        <v>2183</v>
      </c>
      <c r="I803" s="1">
        <f t="shared" si="60"/>
        <v>1</v>
      </c>
      <c r="J803" s="1" t="str">
        <f>'Source build'!A803</f>
        <v>L00797</v>
      </c>
      <c r="K803" s="1">
        <f>803</f>
        <v>803</v>
      </c>
      <c r="L803" s="10">
        <f t="shared" si="61"/>
        <v>17853</v>
      </c>
      <c r="M803" s="1">
        <f t="shared" si="62"/>
        <v>1</v>
      </c>
      <c r="N803" s="1">
        <f t="shared" si="63"/>
        <v>1</v>
      </c>
      <c r="O803" s="1" t="str">
        <f>IF(I803=0,"UNUSED",IF(A803="","MISSING ID",IF(K803=0,"UNEXPECTED ID",IF(N803&lt;&gt;1,"ID / ORDER DIFFERENCE",IF('Source build'!U803&lt;&gt;"INCLUDED","EXCLUDED SOURCE",IF(NOT(M803),"INVALID AMOUNT",IF('Source build'!Y803&lt;&gt;0,"CHANGED FIELDS","MATCH")))))))</f>
        <v>MATCH</v>
      </c>
      <c r="P803" s="1" t="str">
        <f t="shared" si="64"/>
        <v>2026-03</v>
      </c>
    </row>
    <row r="804" spans="1:16" ht="18.95" customHeight="1">
      <c r="A804" s="7" t="s">
        <v>2184</v>
      </c>
      <c r="B804" s="7" t="s">
        <v>2182</v>
      </c>
      <c r="C804" s="7" t="s">
        <v>326</v>
      </c>
      <c r="D804" s="7" t="s">
        <v>103</v>
      </c>
      <c r="E804" s="7" t="s">
        <v>48</v>
      </c>
      <c r="F804" s="7" t="s">
        <v>98</v>
      </c>
      <c r="G804" s="7" t="s">
        <v>2185</v>
      </c>
      <c r="I804" s="1">
        <f t="shared" si="60"/>
        <v>1</v>
      </c>
      <c r="J804" s="1" t="str">
        <f>'Source build'!A804</f>
        <v>L00798</v>
      </c>
      <c r="K804" s="1">
        <f>804</f>
        <v>804</v>
      </c>
      <c r="L804" s="10">
        <f t="shared" si="61"/>
        <v>29940</v>
      </c>
      <c r="M804" s="1">
        <f t="shared" si="62"/>
        <v>1</v>
      </c>
      <c r="N804" s="1">
        <f t="shared" si="63"/>
        <v>1</v>
      </c>
      <c r="O804" s="1" t="str">
        <f>IF(I804=0,"UNUSED",IF(A804="","MISSING ID",IF(K804=0,"UNEXPECTED ID",IF(N804&lt;&gt;1,"ID / ORDER DIFFERENCE",IF('Source build'!U804&lt;&gt;"INCLUDED","EXCLUDED SOURCE",IF(NOT(M804),"INVALID AMOUNT",IF('Source build'!Y804&lt;&gt;0,"CHANGED FIELDS","MATCH")))))))</f>
        <v>MATCH</v>
      </c>
      <c r="P804" s="1" t="str">
        <f t="shared" si="64"/>
        <v>2026-03</v>
      </c>
    </row>
    <row r="805" spans="1:16" ht="18.95" customHeight="1">
      <c r="A805" s="7" t="s">
        <v>2186</v>
      </c>
      <c r="B805" s="7" t="s">
        <v>2187</v>
      </c>
      <c r="C805" s="7" t="s">
        <v>332</v>
      </c>
      <c r="D805" s="7" t="s">
        <v>93</v>
      </c>
      <c r="E805" s="7" t="s">
        <v>46</v>
      </c>
      <c r="F805" s="7" t="s">
        <v>98</v>
      </c>
      <c r="G805" s="7" t="s">
        <v>2188</v>
      </c>
      <c r="I805" s="1">
        <f t="shared" si="60"/>
        <v>1</v>
      </c>
      <c r="J805" s="1" t="str">
        <f>'Source build'!A805</f>
        <v>L00799</v>
      </c>
      <c r="K805" s="1">
        <f>805</f>
        <v>805</v>
      </c>
      <c r="L805" s="10">
        <f t="shared" si="61"/>
        <v>12050</v>
      </c>
      <c r="M805" s="1">
        <f t="shared" si="62"/>
        <v>1</v>
      </c>
      <c r="N805" s="1">
        <f t="shared" si="63"/>
        <v>1</v>
      </c>
      <c r="O805" s="1" t="str">
        <f>IF(I805=0,"UNUSED",IF(A805="","MISSING ID",IF(K805=0,"UNEXPECTED ID",IF(N805&lt;&gt;1,"ID / ORDER DIFFERENCE",IF('Source build'!U805&lt;&gt;"INCLUDED","EXCLUDED SOURCE",IF(NOT(M805),"INVALID AMOUNT",IF('Source build'!Y805&lt;&gt;0,"CHANGED FIELDS","MATCH")))))))</f>
        <v>MATCH</v>
      </c>
      <c r="P805" s="1" t="str">
        <f t="shared" si="64"/>
        <v>2026-01</v>
      </c>
    </row>
    <row r="806" spans="1:16" ht="18.95" customHeight="1">
      <c r="A806" s="7" t="s">
        <v>2189</v>
      </c>
      <c r="B806" s="7" t="s">
        <v>2187</v>
      </c>
      <c r="C806" s="7" t="s">
        <v>332</v>
      </c>
      <c r="D806" s="7" t="s">
        <v>97</v>
      </c>
      <c r="E806" s="7" t="s">
        <v>47</v>
      </c>
      <c r="F806" s="7" t="s">
        <v>98</v>
      </c>
      <c r="G806" s="7" t="s">
        <v>2190</v>
      </c>
      <c r="I806" s="1">
        <f t="shared" si="60"/>
        <v>1</v>
      </c>
      <c r="J806" s="1" t="str">
        <f>'Source build'!A806</f>
        <v>L00800</v>
      </c>
      <c r="K806" s="1">
        <f>806</f>
        <v>806</v>
      </c>
      <c r="L806" s="10">
        <f t="shared" si="61"/>
        <v>24248</v>
      </c>
      <c r="M806" s="1">
        <f t="shared" si="62"/>
        <v>1</v>
      </c>
      <c r="N806" s="1">
        <f t="shared" si="63"/>
        <v>1</v>
      </c>
      <c r="O806" s="1" t="str">
        <f>IF(I806=0,"UNUSED",IF(A806="","MISSING ID",IF(K806=0,"UNEXPECTED ID",IF(N806&lt;&gt;1,"ID / ORDER DIFFERENCE",IF('Source build'!U806&lt;&gt;"INCLUDED","EXCLUDED SOURCE",IF(NOT(M806),"INVALID AMOUNT",IF('Source build'!Y806&lt;&gt;0,"CHANGED FIELDS","MATCH")))))))</f>
        <v>MATCH</v>
      </c>
      <c r="P806" s="1" t="str">
        <f t="shared" si="64"/>
        <v>2026-01</v>
      </c>
    </row>
    <row r="807" spans="1:16" ht="18.95" customHeight="1">
      <c r="A807" s="7" t="s">
        <v>2191</v>
      </c>
      <c r="B807" s="7" t="s">
        <v>2192</v>
      </c>
      <c r="C807" s="7" t="s">
        <v>338</v>
      </c>
      <c r="D807" s="7" t="s">
        <v>103</v>
      </c>
      <c r="E807" s="7" t="s">
        <v>48</v>
      </c>
      <c r="F807" s="7" t="s">
        <v>98</v>
      </c>
      <c r="G807" s="7" t="s">
        <v>2193</v>
      </c>
      <c r="I807" s="1">
        <f t="shared" si="60"/>
        <v>1</v>
      </c>
      <c r="J807" s="1" t="str">
        <f>'Source build'!A807</f>
        <v>L00801</v>
      </c>
      <c r="K807" s="1">
        <f>807</f>
        <v>807</v>
      </c>
      <c r="L807" s="10">
        <f t="shared" si="61"/>
        <v>6099</v>
      </c>
      <c r="M807" s="1">
        <f t="shared" si="62"/>
        <v>1</v>
      </c>
      <c r="N807" s="1">
        <f t="shared" si="63"/>
        <v>1</v>
      </c>
      <c r="O807" s="1" t="str">
        <f>IF(I807=0,"UNUSED",IF(A807="","MISSING ID",IF(K807=0,"UNEXPECTED ID",IF(N807&lt;&gt;1,"ID / ORDER DIFFERENCE",IF('Source build'!U807&lt;&gt;"INCLUDED","EXCLUDED SOURCE",IF(NOT(M807),"INVALID AMOUNT",IF('Source build'!Y807&lt;&gt;0,"CHANGED FIELDS","MATCH")))))))</f>
        <v>MATCH</v>
      </c>
      <c r="P807" s="1" t="str">
        <f t="shared" si="64"/>
        <v>2026-01</v>
      </c>
    </row>
    <row r="808" spans="1:16" ht="18.95" customHeight="1">
      <c r="A808" s="7" t="s">
        <v>2194</v>
      </c>
      <c r="B808" s="7" t="s">
        <v>2192</v>
      </c>
      <c r="C808" s="7" t="s">
        <v>338</v>
      </c>
      <c r="D808" s="7" t="s">
        <v>93</v>
      </c>
      <c r="E808" s="7" t="s">
        <v>46</v>
      </c>
      <c r="F808" s="7" t="s">
        <v>98</v>
      </c>
      <c r="G808" s="7" t="s">
        <v>2195</v>
      </c>
      <c r="I808" s="1">
        <f t="shared" si="60"/>
        <v>1</v>
      </c>
      <c r="J808" s="1" t="str">
        <f>'Source build'!A808</f>
        <v>L00802</v>
      </c>
      <c r="K808" s="1">
        <f>808</f>
        <v>808</v>
      </c>
      <c r="L808" s="10">
        <f t="shared" si="61"/>
        <v>18408</v>
      </c>
      <c r="M808" s="1">
        <f t="shared" si="62"/>
        <v>1</v>
      </c>
      <c r="N808" s="1">
        <f t="shared" si="63"/>
        <v>1</v>
      </c>
      <c r="O808" s="1" t="str">
        <f>IF(I808=0,"UNUSED",IF(A808="","MISSING ID",IF(K808=0,"UNEXPECTED ID",IF(N808&lt;&gt;1,"ID / ORDER DIFFERENCE",IF('Source build'!U808&lt;&gt;"INCLUDED","EXCLUDED SOURCE",IF(NOT(M808),"INVALID AMOUNT",IF('Source build'!Y808&lt;&gt;0,"CHANGED FIELDS","MATCH")))))))</f>
        <v>MATCH</v>
      </c>
      <c r="P808" s="1" t="str">
        <f t="shared" si="64"/>
        <v>2026-01</v>
      </c>
    </row>
    <row r="809" spans="1:16" ht="18.95" customHeight="1">
      <c r="A809" s="7" t="s">
        <v>2196</v>
      </c>
      <c r="B809" s="7" t="s">
        <v>2197</v>
      </c>
      <c r="C809" s="7" t="s">
        <v>344</v>
      </c>
      <c r="D809" s="7" t="s">
        <v>97</v>
      </c>
      <c r="E809" s="7" t="s">
        <v>47</v>
      </c>
      <c r="F809" s="7" t="s">
        <v>98</v>
      </c>
      <c r="G809" s="7" t="s">
        <v>2198</v>
      </c>
      <c r="I809" s="1">
        <f t="shared" si="60"/>
        <v>1</v>
      </c>
      <c r="J809" s="1" t="str">
        <f>'Source build'!A809</f>
        <v>L00803</v>
      </c>
      <c r="K809" s="1">
        <f>809</f>
        <v>809</v>
      </c>
      <c r="L809" s="10">
        <f t="shared" si="61"/>
        <v>30865</v>
      </c>
      <c r="M809" s="1">
        <f t="shared" si="62"/>
        <v>1</v>
      </c>
      <c r="N809" s="1">
        <f t="shared" si="63"/>
        <v>1</v>
      </c>
      <c r="O809" s="1" t="str">
        <f>IF(I809=0,"UNUSED",IF(A809="","MISSING ID",IF(K809=0,"UNEXPECTED ID",IF(N809&lt;&gt;1,"ID / ORDER DIFFERENCE",IF('Source build'!U809&lt;&gt;"INCLUDED","EXCLUDED SOURCE",IF(NOT(M809),"INVALID AMOUNT",IF('Source build'!Y809&lt;&gt;0,"CHANGED FIELDS","MATCH")))))))</f>
        <v>MATCH</v>
      </c>
      <c r="P809" s="1" t="str">
        <f t="shared" si="64"/>
        <v>2026-01</v>
      </c>
    </row>
    <row r="810" spans="1:16" ht="18.95" customHeight="1">
      <c r="A810" s="7" t="s">
        <v>2199</v>
      </c>
      <c r="B810" s="7" t="s">
        <v>2197</v>
      </c>
      <c r="C810" s="7" t="s">
        <v>344</v>
      </c>
      <c r="D810" s="7" t="s">
        <v>103</v>
      </c>
      <c r="E810" s="7" t="s">
        <v>48</v>
      </c>
      <c r="F810" s="7" t="s">
        <v>98</v>
      </c>
      <c r="G810" s="7" t="s">
        <v>2200</v>
      </c>
      <c r="I810" s="1">
        <f t="shared" si="60"/>
        <v>1</v>
      </c>
      <c r="J810" s="1" t="str">
        <f>'Source build'!A810</f>
        <v>L00804</v>
      </c>
      <c r="K810" s="1">
        <f>810</f>
        <v>810</v>
      </c>
      <c r="L810" s="10">
        <f t="shared" si="61"/>
        <v>12420</v>
      </c>
      <c r="M810" s="1">
        <f t="shared" si="62"/>
        <v>1</v>
      </c>
      <c r="N810" s="1">
        <f t="shared" si="63"/>
        <v>1</v>
      </c>
      <c r="O810" s="1" t="str">
        <f>IF(I810=0,"UNUSED",IF(A810="","MISSING ID",IF(K810=0,"UNEXPECTED ID",IF(N810&lt;&gt;1,"ID / ORDER DIFFERENCE",IF('Source build'!U810&lt;&gt;"INCLUDED","EXCLUDED SOURCE",IF(NOT(M810),"INVALID AMOUNT",IF('Source build'!Y810&lt;&gt;0,"CHANGED FIELDS","MATCH")))))))</f>
        <v>MATCH</v>
      </c>
      <c r="P810" s="1" t="str">
        <f t="shared" si="64"/>
        <v>2026-01</v>
      </c>
    </row>
    <row r="811" spans="1:16" ht="18.95" customHeight="1">
      <c r="A811" s="7" t="s">
        <v>2201</v>
      </c>
      <c r="B811" s="7" t="s">
        <v>2202</v>
      </c>
      <c r="C811" s="7" t="s">
        <v>350</v>
      </c>
      <c r="D811" s="7" t="s">
        <v>93</v>
      </c>
      <c r="E811" s="7" t="s">
        <v>46</v>
      </c>
      <c r="F811" s="7" t="s">
        <v>98</v>
      </c>
      <c r="G811" s="7" t="s">
        <v>2203</v>
      </c>
      <c r="I811" s="1">
        <f t="shared" si="60"/>
        <v>1</v>
      </c>
      <c r="J811" s="1" t="str">
        <f>'Source build'!A811</f>
        <v>L00805</v>
      </c>
      <c r="K811" s="1">
        <f>811</f>
        <v>811</v>
      </c>
      <c r="L811" s="10">
        <f t="shared" si="61"/>
        <v>24988</v>
      </c>
      <c r="M811" s="1">
        <f t="shared" si="62"/>
        <v>1</v>
      </c>
      <c r="N811" s="1">
        <f t="shared" si="63"/>
        <v>1</v>
      </c>
      <c r="O811" s="1" t="str">
        <f>IF(I811=0,"UNUSED",IF(A811="","MISSING ID",IF(K811=0,"UNEXPECTED ID",IF(N811&lt;&gt;1,"ID / ORDER DIFFERENCE",IF('Source build'!U811&lt;&gt;"INCLUDED","EXCLUDED SOURCE",IF(NOT(M811),"INVALID AMOUNT",IF('Source build'!Y811&lt;&gt;0,"CHANGED FIELDS","MATCH")))))))</f>
        <v>MATCH</v>
      </c>
      <c r="P811" s="1" t="str">
        <f t="shared" si="64"/>
        <v>2026-01</v>
      </c>
    </row>
    <row r="812" spans="1:16" ht="18.95" customHeight="1">
      <c r="A812" s="7" t="s">
        <v>2204</v>
      </c>
      <c r="B812" s="7" t="s">
        <v>2202</v>
      </c>
      <c r="C812" s="7" t="s">
        <v>350</v>
      </c>
      <c r="D812" s="7" t="s">
        <v>97</v>
      </c>
      <c r="E812" s="7" t="s">
        <v>47</v>
      </c>
      <c r="F812" s="7" t="s">
        <v>94</v>
      </c>
      <c r="G812" s="7" t="s">
        <v>2205</v>
      </c>
      <c r="I812" s="1">
        <f t="shared" si="60"/>
        <v>1</v>
      </c>
      <c r="J812" s="1" t="str">
        <f>'Source build'!A812</f>
        <v>L00806</v>
      </c>
      <c r="K812" s="1">
        <f>812</f>
        <v>812</v>
      </c>
      <c r="L812" s="10">
        <f t="shared" si="61"/>
        <v>-6284</v>
      </c>
      <c r="M812" s="1">
        <f t="shared" si="62"/>
        <v>1</v>
      </c>
      <c r="N812" s="1">
        <f t="shared" si="63"/>
        <v>1</v>
      </c>
      <c r="O812" s="1" t="str">
        <f>IF(I812=0,"UNUSED",IF(A812="","MISSING ID",IF(K812=0,"UNEXPECTED ID",IF(N812&lt;&gt;1,"ID / ORDER DIFFERENCE",IF('Source build'!U812&lt;&gt;"INCLUDED","EXCLUDED SOURCE",IF(NOT(M812),"INVALID AMOUNT",IF('Source build'!Y812&lt;&gt;0,"CHANGED FIELDS","MATCH")))))))</f>
        <v>MATCH</v>
      </c>
      <c r="P812" s="1" t="str">
        <f t="shared" si="64"/>
        <v>2026-01</v>
      </c>
    </row>
    <row r="813" spans="1:16" ht="18.95" customHeight="1">
      <c r="A813" s="7" t="s">
        <v>2206</v>
      </c>
      <c r="B813" s="7" t="s">
        <v>2207</v>
      </c>
      <c r="C813" s="7" t="s">
        <v>356</v>
      </c>
      <c r="D813" s="7" t="s">
        <v>103</v>
      </c>
      <c r="E813" s="7" t="s">
        <v>48</v>
      </c>
      <c r="F813" s="7" t="s">
        <v>98</v>
      </c>
      <c r="G813" s="7" t="s">
        <v>2208</v>
      </c>
      <c r="I813" s="1">
        <f t="shared" si="60"/>
        <v>1</v>
      </c>
      <c r="J813" s="1" t="str">
        <f>'Source build'!A813</f>
        <v>L00807</v>
      </c>
      <c r="K813" s="1">
        <f>813</f>
        <v>813</v>
      </c>
      <c r="L813" s="10">
        <f t="shared" si="61"/>
        <v>18963</v>
      </c>
      <c r="M813" s="1">
        <f t="shared" si="62"/>
        <v>1</v>
      </c>
      <c r="N813" s="1">
        <f t="shared" si="63"/>
        <v>1</v>
      </c>
      <c r="O813" s="1" t="str">
        <f>IF(I813=0,"UNUSED",IF(A813="","MISSING ID",IF(K813=0,"UNEXPECTED ID",IF(N813&lt;&gt;1,"ID / ORDER DIFFERENCE",IF('Source build'!U813&lt;&gt;"INCLUDED","EXCLUDED SOURCE",IF(NOT(M813),"INVALID AMOUNT",IF('Source build'!Y813&lt;&gt;0,"CHANGED FIELDS","MATCH")))))))</f>
        <v>MATCH</v>
      </c>
      <c r="P813" s="1" t="str">
        <f t="shared" si="64"/>
        <v>2026-02</v>
      </c>
    </row>
    <row r="814" spans="1:16" ht="18.95" customHeight="1">
      <c r="A814" s="7" t="s">
        <v>2209</v>
      </c>
      <c r="B814" s="7" t="s">
        <v>2207</v>
      </c>
      <c r="C814" s="7" t="s">
        <v>356</v>
      </c>
      <c r="D814" s="7" t="s">
        <v>93</v>
      </c>
      <c r="E814" s="7" t="s">
        <v>46</v>
      </c>
      <c r="F814" s="7" t="s">
        <v>98</v>
      </c>
      <c r="G814" s="7" t="s">
        <v>2210</v>
      </c>
      <c r="I814" s="1">
        <f t="shared" si="60"/>
        <v>1</v>
      </c>
      <c r="J814" s="1" t="str">
        <f>'Source build'!A814</f>
        <v>L00808</v>
      </c>
      <c r="K814" s="1">
        <f>814</f>
        <v>814</v>
      </c>
      <c r="L814" s="10">
        <f t="shared" si="61"/>
        <v>31790</v>
      </c>
      <c r="M814" s="1">
        <f t="shared" si="62"/>
        <v>1</v>
      </c>
      <c r="N814" s="1">
        <f t="shared" si="63"/>
        <v>1</v>
      </c>
      <c r="O814" s="1" t="str">
        <f>IF(I814=0,"UNUSED",IF(A814="","MISSING ID",IF(K814=0,"UNEXPECTED ID",IF(N814&lt;&gt;1,"ID / ORDER DIFFERENCE",IF('Source build'!U814&lt;&gt;"INCLUDED","EXCLUDED SOURCE",IF(NOT(M814),"INVALID AMOUNT",IF('Source build'!Y814&lt;&gt;0,"CHANGED FIELDS","MATCH")))))))</f>
        <v>MATCH</v>
      </c>
      <c r="P814" s="1" t="str">
        <f t="shared" si="64"/>
        <v>2026-02</v>
      </c>
    </row>
    <row r="815" spans="1:16" ht="18.95" customHeight="1">
      <c r="A815" s="7" t="s">
        <v>2211</v>
      </c>
      <c r="B815" s="7" t="s">
        <v>2212</v>
      </c>
      <c r="C815" s="7" t="s">
        <v>362</v>
      </c>
      <c r="D815" s="7" t="s">
        <v>97</v>
      </c>
      <c r="E815" s="7" t="s">
        <v>47</v>
      </c>
      <c r="F815" s="7" t="s">
        <v>98</v>
      </c>
      <c r="G815" s="7" t="s">
        <v>2213</v>
      </c>
      <c r="I815" s="1">
        <f t="shared" si="60"/>
        <v>1</v>
      </c>
      <c r="J815" s="1" t="str">
        <f>'Source build'!A815</f>
        <v>L00809</v>
      </c>
      <c r="K815" s="1">
        <f>815</f>
        <v>815</v>
      </c>
      <c r="L815" s="10">
        <f t="shared" si="61"/>
        <v>12790</v>
      </c>
      <c r="M815" s="1">
        <f t="shared" si="62"/>
        <v>1</v>
      </c>
      <c r="N815" s="1">
        <f t="shared" si="63"/>
        <v>1</v>
      </c>
      <c r="O815" s="1" t="str">
        <f>IF(I815=0,"UNUSED",IF(A815="","MISSING ID",IF(K815=0,"UNEXPECTED ID",IF(N815&lt;&gt;1,"ID / ORDER DIFFERENCE",IF('Source build'!U815&lt;&gt;"INCLUDED","EXCLUDED SOURCE",IF(NOT(M815),"INVALID AMOUNT",IF('Source build'!Y815&lt;&gt;0,"CHANGED FIELDS","MATCH")))))))</f>
        <v>MATCH</v>
      </c>
      <c r="P815" s="1" t="str">
        <f t="shared" si="64"/>
        <v>2026-02</v>
      </c>
    </row>
    <row r="816" spans="1:16" ht="18.95" customHeight="1">
      <c r="A816" s="7" t="s">
        <v>2214</v>
      </c>
      <c r="B816" s="7" t="s">
        <v>2212</v>
      </c>
      <c r="C816" s="7" t="s">
        <v>362</v>
      </c>
      <c r="D816" s="7" t="s">
        <v>103</v>
      </c>
      <c r="E816" s="7" t="s">
        <v>48</v>
      </c>
      <c r="F816" s="7" t="s">
        <v>98</v>
      </c>
      <c r="G816" s="7" t="s">
        <v>2215</v>
      </c>
      <c r="I816" s="1">
        <f t="shared" si="60"/>
        <v>1</v>
      </c>
      <c r="J816" s="1" t="str">
        <f>'Source build'!A816</f>
        <v>L00810</v>
      </c>
      <c r="K816" s="1">
        <f>816</f>
        <v>816</v>
      </c>
      <c r="L816" s="10">
        <f t="shared" si="61"/>
        <v>25728</v>
      </c>
      <c r="M816" s="1">
        <f t="shared" si="62"/>
        <v>1</v>
      </c>
      <c r="N816" s="1">
        <f t="shared" si="63"/>
        <v>1</v>
      </c>
      <c r="O816" s="1" t="str">
        <f>IF(I816=0,"UNUSED",IF(A816="","MISSING ID",IF(K816=0,"UNEXPECTED ID",IF(N816&lt;&gt;1,"ID / ORDER DIFFERENCE",IF('Source build'!U816&lt;&gt;"INCLUDED","EXCLUDED SOURCE",IF(NOT(M816),"INVALID AMOUNT",IF('Source build'!Y816&lt;&gt;0,"CHANGED FIELDS","MATCH")))))))</f>
        <v>MATCH</v>
      </c>
      <c r="P816" s="1" t="str">
        <f t="shared" si="64"/>
        <v>2026-02</v>
      </c>
    </row>
    <row r="817" spans="1:16" ht="18.95" customHeight="1">
      <c r="A817" s="7" t="s">
        <v>2216</v>
      </c>
      <c r="B817" s="7" t="s">
        <v>2217</v>
      </c>
      <c r="C817" s="7" t="s">
        <v>368</v>
      </c>
      <c r="D817" s="7" t="s">
        <v>93</v>
      </c>
      <c r="E817" s="7" t="s">
        <v>46</v>
      </c>
      <c r="F817" s="7" t="s">
        <v>98</v>
      </c>
      <c r="G817" s="7" t="s">
        <v>2218</v>
      </c>
      <c r="I817" s="1">
        <f t="shared" si="60"/>
        <v>1</v>
      </c>
      <c r="J817" s="1" t="str">
        <f>'Source build'!A817</f>
        <v>L00811</v>
      </c>
      <c r="K817" s="1">
        <f>817</f>
        <v>817</v>
      </c>
      <c r="L817" s="10">
        <f t="shared" si="61"/>
        <v>6469</v>
      </c>
      <c r="M817" s="1">
        <f t="shared" si="62"/>
        <v>1</v>
      </c>
      <c r="N817" s="1">
        <f t="shared" si="63"/>
        <v>1</v>
      </c>
      <c r="O817" s="1" t="str">
        <f>IF(I817=0,"UNUSED",IF(A817="","MISSING ID",IF(K817=0,"UNEXPECTED ID",IF(N817&lt;&gt;1,"ID / ORDER DIFFERENCE",IF('Source build'!U817&lt;&gt;"INCLUDED","EXCLUDED SOURCE",IF(NOT(M817),"INVALID AMOUNT",IF('Source build'!Y817&lt;&gt;0,"CHANGED FIELDS","MATCH")))))))</f>
        <v>MATCH</v>
      </c>
      <c r="P817" s="1" t="str">
        <f t="shared" si="64"/>
        <v>2026-02</v>
      </c>
    </row>
    <row r="818" spans="1:16" ht="18.95" customHeight="1">
      <c r="A818" s="7" t="s">
        <v>2219</v>
      </c>
      <c r="B818" s="7" t="s">
        <v>2217</v>
      </c>
      <c r="C818" s="7" t="s">
        <v>368</v>
      </c>
      <c r="D818" s="7" t="s">
        <v>97</v>
      </c>
      <c r="E818" s="7" t="s">
        <v>47</v>
      </c>
      <c r="F818" s="7" t="s">
        <v>98</v>
      </c>
      <c r="G818" s="7" t="s">
        <v>2220</v>
      </c>
      <c r="I818" s="1">
        <f t="shared" si="60"/>
        <v>1</v>
      </c>
      <c r="J818" s="1" t="str">
        <f>'Source build'!A818</f>
        <v>L00812</v>
      </c>
      <c r="K818" s="1">
        <f>818</f>
        <v>818</v>
      </c>
      <c r="L818" s="10">
        <f t="shared" si="61"/>
        <v>19518</v>
      </c>
      <c r="M818" s="1">
        <f t="shared" si="62"/>
        <v>1</v>
      </c>
      <c r="N818" s="1">
        <f t="shared" si="63"/>
        <v>1</v>
      </c>
      <c r="O818" s="1" t="str">
        <f>IF(I818=0,"UNUSED",IF(A818="","MISSING ID",IF(K818=0,"UNEXPECTED ID",IF(N818&lt;&gt;1,"ID / ORDER DIFFERENCE",IF('Source build'!U818&lt;&gt;"INCLUDED","EXCLUDED SOURCE",IF(NOT(M818),"INVALID AMOUNT",IF('Source build'!Y818&lt;&gt;0,"CHANGED FIELDS","MATCH")))))))</f>
        <v>MATCH</v>
      </c>
      <c r="P818" s="1" t="str">
        <f t="shared" si="64"/>
        <v>2026-02</v>
      </c>
    </row>
    <row r="819" spans="1:16" ht="18.95" customHeight="1">
      <c r="A819" s="7" t="s">
        <v>2221</v>
      </c>
      <c r="B819" s="7" t="s">
        <v>2222</v>
      </c>
      <c r="C819" s="7" t="s">
        <v>374</v>
      </c>
      <c r="D819" s="7" t="s">
        <v>103</v>
      </c>
      <c r="E819" s="7" t="s">
        <v>48</v>
      </c>
      <c r="F819" s="7" t="s">
        <v>98</v>
      </c>
      <c r="G819" s="7" t="s">
        <v>2223</v>
      </c>
      <c r="I819" s="1">
        <f t="shared" si="60"/>
        <v>1</v>
      </c>
      <c r="J819" s="1" t="str">
        <f>'Source build'!A819</f>
        <v>L00813</v>
      </c>
      <c r="K819" s="1">
        <f>819</f>
        <v>819</v>
      </c>
      <c r="L819" s="10">
        <f t="shared" si="61"/>
        <v>32715</v>
      </c>
      <c r="M819" s="1">
        <f t="shared" si="62"/>
        <v>1</v>
      </c>
      <c r="N819" s="1">
        <f t="shared" si="63"/>
        <v>1</v>
      </c>
      <c r="O819" s="1" t="str">
        <f>IF(I819=0,"UNUSED",IF(A819="","MISSING ID",IF(K819=0,"UNEXPECTED ID",IF(N819&lt;&gt;1,"ID / ORDER DIFFERENCE",IF('Source build'!U819&lt;&gt;"INCLUDED","EXCLUDED SOURCE",IF(NOT(M819),"INVALID AMOUNT",IF('Source build'!Y819&lt;&gt;0,"CHANGED FIELDS","MATCH")))))))</f>
        <v>MATCH</v>
      </c>
      <c r="P819" s="1" t="str">
        <f t="shared" si="64"/>
        <v>2026-02</v>
      </c>
    </row>
    <row r="820" spans="1:16" ht="18.95" customHeight="1">
      <c r="A820" s="7" t="s">
        <v>2224</v>
      </c>
      <c r="B820" s="7" t="s">
        <v>2222</v>
      </c>
      <c r="C820" s="7" t="s">
        <v>374</v>
      </c>
      <c r="D820" s="7" t="s">
        <v>93</v>
      </c>
      <c r="E820" s="7" t="s">
        <v>46</v>
      </c>
      <c r="F820" s="7" t="s">
        <v>98</v>
      </c>
      <c r="G820" s="7" t="s">
        <v>2225</v>
      </c>
      <c r="I820" s="1">
        <f t="shared" si="60"/>
        <v>1</v>
      </c>
      <c r="J820" s="1" t="str">
        <f>'Source build'!A820</f>
        <v>L00814</v>
      </c>
      <c r="K820" s="1">
        <f>820</f>
        <v>820</v>
      </c>
      <c r="L820" s="10">
        <f t="shared" si="61"/>
        <v>13160</v>
      </c>
      <c r="M820" s="1">
        <f t="shared" si="62"/>
        <v>1</v>
      </c>
      <c r="N820" s="1">
        <f t="shared" si="63"/>
        <v>1</v>
      </c>
      <c r="O820" s="1" t="str">
        <f>IF(I820=0,"UNUSED",IF(A820="","MISSING ID",IF(K820=0,"UNEXPECTED ID",IF(N820&lt;&gt;1,"ID / ORDER DIFFERENCE",IF('Source build'!U820&lt;&gt;"INCLUDED","EXCLUDED SOURCE",IF(NOT(M820),"INVALID AMOUNT",IF('Source build'!Y820&lt;&gt;0,"CHANGED FIELDS","MATCH")))))))</f>
        <v>MATCH</v>
      </c>
      <c r="P820" s="1" t="str">
        <f t="shared" si="64"/>
        <v>2026-02</v>
      </c>
    </row>
    <row r="821" spans="1:16" ht="18.95" customHeight="1">
      <c r="A821" s="7" t="s">
        <v>2226</v>
      </c>
      <c r="B821" s="7" t="s">
        <v>2227</v>
      </c>
      <c r="C821" s="7" t="s">
        <v>380</v>
      </c>
      <c r="D821" s="7" t="s">
        <v>97</v>
      </c>
      <c r="E821" s="7" t="s">
        <v>47</v>
      </c>
      <c r="F821" s="7" t="s">
        <v>98</v>
      </c>
      <c r="G821" s="7" t="s">
        <v>2228</v>
      </c>
      <c r="I821" s="1">
        <f t="shared" si="60"/>
        <v>1</v>
      </c>
      <c r="J821" s="1" t="str">
        <f>'Source build'!A821</f>
        <v>L00815</v>
      </c>
      <c r="K821" s="1">
        <f>821</f>
        <v>821</v>
      </c>
      <c r="L821" s="10">
        <f t="shared" si="61"/>
        <v>26468</v>
      </c>
      <c r="M821" s="1">
        <f t="shared" si="62"/>
        <v>1</v>
      </c>
      <c r="N821" s="1">
        <f t="shared" si="63"/>
        <v>1</v>
      </c>
      <c r="O821" s="1" t="str">
        <f>IF(I821=0,"UNUSED",IF(A821="","MISSING ID",IF(K821=0,"UNEXPECTED ID",IF(N821&lt;&gt;1,"ID / ORDER DIFFERENCE",IF('Source build'!U821&lt;&gt;"INCLUDED","EXCLUDED SOURCE",IF(NOT(M821),"INVALID AMOUNT",IF('Source build'!Y821&lt;&gt;0,"CHANGED FIELDS","MATCH")))))))</f>
        <v>MATCH</v>
      </c>
      <c r="P821" s="1" t="str">
        <f t="shared" si="64"/>
        <v>2026-03</v>
      </c>
    </row>
    <row r="822" spans="1:16" ht="18.95" customHeight="1">
      <c r="A822" s="7" t="s">
        <v>2229</v>
      </c>
      <c r="B822" s="7" t="s">
        <v>2227</v>
      </c>
      <c r="C822" s="7" t="s">
        <v>380</v>
      </c>
      <c r="D822" s="7" t="s">
        <v>103</v>
      </c>
      <c r="E822" s="7" t="s">
        <v>48</v>
      </c>
      <c r="F822" s="7" t="s">
        <v>98</v>
      </c>
      <c r="G822" s="7" t="s">
        <v>2230</v>
      </c>
      <c r="I822" s="1">
        <f t="shared" si="60"/>
        <v>1</v>
      </c>
      <c r="J822" s="1" t="str">
        <f>'Source build'!A822</f>
        <v>L00816</v>
      </c>
      <c r="K822" s="1">
        <f>822</f>
        <v>822</v>
      </c>
      <c r="L822" s="10">
        <f t="shared" si="61"/>
        <v>6654</v>
      </c>
      <c r="M822" s="1">
        <f t="shared" si="62"/>
        <v>1</v>
      </c>
      <c r="N822" s="1">
        <f t="shared" si="63"/>
        <v>1</v>
      </c>
      <c r="O822" s="1" t="str">
        <f>IF(I822=0,"UNUSED",IF(A822="","MISSING ID",IF(K822=0,"UNEXPECTED ID",IF(N822&lt;&gt;1,"ID / ORDER DIFFERENCE",IF('Source build'!U822&lt;&gt;"INCLUDED","EXCLUDED SOURCE",IF(NOT(M822),"INVALID AMOUNT",IF('Source build'!Y822&lt;&gt;0,"CHANGED FIELDS","MATCH")))))))</f>
        <v>MATCH</v>
      </c>
      <c r="P822" s="1" t="str">
        <f t="shared" si="64"/>
        <v>2026-03</v>
      </c>
    </row>
    <row r="823" spans="1:16" ht="18.95" customHeight="1">
      <c r="A823" s="7" t="s">
        <v>2231</v>
      </c>
      <c r="B823" s="7" t="s">
        <v>2232</v>
      </c>
      <c r="C823" s="7" t="s">
        <v>386</v>
      </c>
      <c r="D823" s="7" t="s">
        <v>93</v>
      </c>
      <c r="E823" s="7" t="s">
        <v>46</v>
      </c>
      <c r="F823" s="7" t="s">
        <v>98</v>
      </c>
      <c r="G823" s="7" t="s">
        <v>2233</v>
      </c>
      <c r="I823" s="1">
        <f t="shared" si="60"/>
        <v>1</v>
      </c>
      <c r="J823" s="1" t="str">
        <f>'Source build'!A823</f>
        <v>L00817</v>
      </c>
      <c r="K823" s="1">
        <f>823</f>
        <v>823</v>
      </c>
      <c r="L823" s="10">
        <f t="shared" si="61"/>
        <v>20073</v>
      </c>
      <c r="M823" s="1">
        <f t="shared" si="62"/>
        <v>1</v>
      </c>
      <c r="N823" s="1">
        <f t="shared" si="63"/>
        <v>1</v>
      </c>
      <c r="O823" s="1" t="str">
        <f>IF(I823=0,"UNUSED",IF(A823="","MISSING ID",IF(K823=0,"UNEXPECTED ID",IF(N823&lt;&gt;1,"ID / ORDER DIFFERENCE",IF('Source build'!U823&lt;&gt;"INCLUDED","EXCLUDED SOURCE",IF(NOT(M823),"INVALID AMOUNT",IF('Source build'!Y823&lt;&gt;0,"CHANGED FIELDS","MATCH")))))))</f>
        <v>MATCH</v>
      </c>
      <c r="P823" s="1" t="str">
        <f t="shared" si="64"/>
        <v>2026-03</v>
      </c>
    </row>
    <row r="824" spans="1:16" ht="18.95" customHeight="1">
      <c r="A824" s="7" t="s">
        <v>2234</v>
      </c>
      <c r="B824" s="7" t="s">
        <v>2232</v>
      </c>
      <c r="C824" s="7" t="s">
        <v>386</v>
      </c>
      <c r="D824" s="7" t="s">
        <v>97</v>
      </c>
      <c r="E824" s="7" t="s">
        <v>47</v>
      </c>
      <c r="F824" s="7" t="s">
        <v>98</v>
      </c>
      <c r="G824" s="7" t="s">
        <v>2235</v>
      </c>
      <c r="I824" s="1">
        <f t="shared" si="60"/>
        <v>1</v>
      </c>
      <c r="J824" s="1" t="str">
        <f>'Source build'!A824</f>
        <v>L00818</v>
      </c>
      <c r="K824" s="1">
        <f>824</f>
        <v>824</v>
      </c>
      <c r="L824" s="10">
        <f t="shared" si="61"/>
        <v>33640</v>
      </c>
      <c r="M824" s="1">
        <f t="shared" si="62"/>
        <v>1</v>
      </c>
      <c r="N824" s="1">
        <f t="shared" si="63"/>
        <v>1</v>
      </c>
      <c r="O824" s="1" t="str">
        <f>IF(I824=0,"UNUSED",IF(A824="","MISSING ID",IF(K824=0,"UNEXPECTED ID",IF(N824&lt;&gt;1,"ID / ORDER DIFFERENCE",IF('Source build'!U824&lt;&gt;"INCLUDED","EXCLUDED SOURCE",IF(NOT(M824),"INVALID AMOUNT",IF('Source build'!Y824&lt;&gt;0,"CHANGED FIELDS","MATCH")))))))</f>
        <v>MATCH</v>
      </c>
      <c r="P824" s="1" t="str">
        <f t="shared" si="64"/>
        <v>2026-03</v>
      </c>
    </row>
    <row r="825" spans="1:16" ht="18.95" customHeight="1">
      <c r="A825" s="7" t="s">
        <v>2236</v>
      </c>
      <c r="B825" s="7" t="s">
        <v>2237</v>
      </c>
      <c r="C825" s="7" t="s">
        <v>392</v>
      </c>
      <c r="D825" s="7" t="s">
        <v>103</v>
      </c>
      <c r="E825" s="7" t="s">
        <v>48</v>
      </c>
      <c r="F825" s="7" t="s">
        <v>98</v>
      </c>
      <c r="G825" s="7" t="s">
        <v>2238</v>
      </c>
      <c r="I825" s="1">
        <f t="shared" si="60"/>
        <v>1</v>
      </c>
      <c r="J825" s="1" t="str">
        <f>'Source build'!A825</f>
        <v>L00819</v>
      </c>
      <c r="K825" s="1">
        <f>825</f>
        <v>825</v>
      </c>
      <c r="L825" s="10">
        <f t="shared" si="61"/>
        <v>13530</v>
      </c>
      <c r="M825" s="1">
        <f t="shared" si="62"/>
        <v>1</v>
      </c>
      <c r="N825" s="1">
        <f t="shared" si="63"/>
        <v>1</v>
      </c>
      <c r="O825" s="1" t="str">
        <f>IF(I825=0,"UNUSED",IF(A825="","MISSING ID",IF(K825=0,"UNEXPECTED ID",IF(N825&lt;&gt;1,"ID / ORDER DIFFERENCE",IF('Source build'!U825&lt;&gt;"INCLUDED","EXCLUDED SOURCE",IF(NOT(M825),"INVALID AMOUNT",IF('Source build'!Y825&lt;&gt;0,"CHANGED FIELDS","MATCH")))))))</f>
        <v>MATCH</v>
      </c>
      <c r="P825" s="1" t="str">
        <f t="shared" si="64"/>
        <v>2026-03</v>
      </c>
    </row>
    <row r="826" spans="1:16" ht="18.95" customHeight="1">
      <c r="A826" s="7" t="s">
        <v>2239</v>
      </c>
      <c r="B826" s="7" t="s">
        <v>2237</v>
      </c>
      <c r="C826" s="7" t="s">
        <v>392</v>
      </c>
      <c r="D826" s="7" t="s">
        <v>93</v>
      </c>
      <c r="E826" s="7" t="s">
        <v>46</v>
      </c>
      <c r="F826" s="7" t="s">
        <v>98</v>
      </c>
      <c r="G826" s="7" t="s">
        <v>2240</v>
      </c>
      <c r="I826" s="1">
        <f t="shared" si="60"/>
        <v>1</v>
      </c>
      <c r="J826" s="1" t="str">
        <f>'Source build'!A826</f>
        <v>L00820</v>
      </c>
      <c r="K826" s="1">
        <f>826</f>
        <v>826</v>
      </c>
      <c r="L826" s="10">
        <f t="shared" si="61"/>
        <v>27208</v>
      </c>
      <c r="M826" s="1">
        <f t="shared" si="62"/>
        <v>1</v>
      </c>
      <c r="N826" s="1">
        <f t="shared" si="63"/>
        <v>1</v>
      </c>
      <c r="O826" s="1" t="str">
        <f>IF(I826=0,"UNUSED",IF(A826="","MISSING ID",IF(K826=0,"UNEXPECTED ID",IF(N826&lt;&gt;1,"ID / ORDER DIFFERENCE",IF('Source build'!U826&lt;&gt;"INCLUDED","EXCLUDED SOURCE",IF(NOT(M826),"INVALID AMOUNT",IF('Source build'!Y826&lt;&gt;0,"CHANGED FIELDS","MATCH")))))))</f>
        <v>MATCH</v>
      </c>
      <c r="P826" s="1" t="str">
        <f t="shared" si="64"/>
        <v>2026-03</v>
      </c>
    </row>
    <row r="827" spans="1:16" ht="18.95" customHeight="1">
      <c r="A827" s="7" t="s">
        <v>2241</v>
      </c>
      <c r="B827" s="7" t="s">
        <v>2242</v>
      </c>
      <c r="C827" s="7" t="s">
        <v>398</v>
      </c>
      <c r="D827" s="7" t="s">
        <v>97</v>
      </c>
      <c r="E827" s="7" t="s">
        <v>47</v>
      </c>
      <c r="F827" s="7" t="s">
        <v>98</v>
      </c>
      <c r="G827" s="7" t="s">
        <v>2243</v>
      </c>
      <c r="I827" s="1">
        <f t="shared" si="60"/>
        <v>1</v>
      </c>
      <c r="J827" s="1" t="str">
        <f>'Source build'!A827</f>
        <v>L00821</v>
      </c>
      <c r="K827" s="1">
        <f>827</f>
        <v>827</v>
      </c>
      <c r="L827" s="10">
        <f t="shared" si="61"/>
        <v>6839</v>
      </c>
      <c r="M827" s="1">
        <f t="shared" si="62"/>
        <v>1</v>
      </c>
      <c r="N827" s="1">
        <f t="shared" si="63"/>
        <v>1</v>
      </c>
      <c r="O827" s="1" t="str">
        <f>IF(I827=0,"UNUSED",IF(A827="","MISSING ID",IF(K827=0,"UNEXPECTED ID",IF(N827&lt;&gt;1,"ID / ORDER DIFFERENCE",IF('Source build'!U827&lt;&gt;"INCLUDED","EXCLUDED SOURCE",IF(NOT(M827),"INVALID AMOUNT",IF('Source build'!Y827&lt;&gt;0,"CHANGED FIELDS","MATCH")))))))</f>
        <v>MATCH</v>
      </c>
      <c r="P827" s="1" t="str">
        <f t="shared" si="64"/>
        <v>2026-03</v>
      </c>
    </row>
    <row r="828" spans="1:16" ht="18.95" customHeight="1">
      <c r="A828" s="7" t="s">
        <v>2244</v>
      </c>
      <c r="B828" s="7" t="s">
        <v>2242</v>
      </c>
      <c r="C828" s="7" t="s">
        <v>398</v>
      </c>
      <c r="D828" s="7" t="s">
        <v>103</v>
      </c>
      <c r="E828" s="7" t="s">
        <v>48</v>
      </c>
      <c r="F828" s="7" t="s">
        <v>98</v>
      </c>
      <c r="G828" s="7" t="s">
        <v>2245</v>
      </c>
      <c r="I828" s="1">
        <f t="shared" si="60"/>
        <v>1</v>
      </c>
      <c r="J828" s="1" t="str">
        <f>'Source build'!A828</f>
        <v>L00822</v>
      </c>
      <c r="K828" s="1">
        <f>828</f>
        <v>828</v>
      </c>
      <c r="L828" s="10">
        <f t="shared" si="61"/>
        <v>20628</v>
      </c>
      <c r="M828" s="1">
        <f t="shared" si="62"/>
        <v>1</v>
      </c>
      <c r="N828" s="1">
        <f t="shared" si="63"/>
        <v>1</v>
      </c>
      <c r="O828" s="1" t="str">
        <f>IF(I828=0,"UNUSED",IF(A828="","MISSING ID",IF(K828=0,"UNEXPECTED ID",IF(N828&lt;&gt;1,"ID / ORDER DIFFERENCE",IF('Source build'!U828&lt;&gt;"INCLUDED","EXCLUDED SOURCE",IF(NOT(M828),"INVALID AMOUNT",IF('Source build'!Y828&lt;&gt;0,"CHANGED FIELDS","MATCH")))))))</f>
        <v>MATCH</v>
      </c>
      <c r="P828" s="1" t="str">
        <f t="shared" si="64"/>
        <v>2026-03</v>
      </c>
    </row>
    <row r="829" spans="1:16" ht="18.95" customHeight="1">
      <c r="A829" s="7" t="s">
        <v>2246</v>
      </c>
      <c r="B829" s="7" t="s">
        <v>2247</v>
      </c>
      <c r="C829" s="7" t="s">
        <v>404</v>
      </c>
      <c r="D829" s="7" t="s">
        <v>93</v>
      </c>
      <c r="E829" s="7" t="s">
        <v>46</v>
      </c>
      <c r="F829" s="7" t="s">
        <v>98</v>
      </c>
      <c r="G829" s="7" t="s">
        <v>2248</v>
      </c>
      <c r="I829" s="1">
        <f t="shared" si="60"/>
        <v>1</v>
      </c>
      <c r="J829" s="1" t="str">
        <f>'Source build'!A829</f>
        <v>L00823</v>
      </c>
      <c r="K829" s="1">
        <f>829</f>
        <v>829</v>
      </c>
      <c r="L829" s="10">
        <f t="shared" si="61"/>
        <v>34565</v>
      </c>
      <c r="M829" s="1">
        <f t="shared" si="62"/>
        <v>1</v>
      </c>
      <c r="N829" s="1">
        <f t="shared" si="63"/>
        <v>1</v>
      </c>
      <c r="O829" s="1" t="str">
        <f>IF(I829=0,"UNUSED",IF(A829="","MISSING ID",IF(K829=0,"UNEXPECTED ID",IF(N829&lt;&gt;1,"ID / ORDER DIFFERENCE",IF('Source build'!U829&lt;&gt;"INCLUDED","EXCLUDED SOURCE",IF(NOT(M829),"INVALID AMOUNT",IF('Source build'!Y829&lt;&gt;0,"CHANGED FIELDS","MATCH")))))))</f>
        <v>MATCH</v>
      </c>
      <c r="P829" s="1" t="str">
        <f t="shared" si="64"/>
        <v>2026-03</v>
      </c>
    </row>
    <row r="830" spans="1:16" ht="18.95" customHeight="1">
      <c r="A830" s="7" t="s">
        <v>2249</v>
      </c>
      <c r="B830" s="7" t="s">
        <v>2247</v>
      </c>
      <c r="C830" s="7" t="s">
        <v>404</v>
      </c>
      <c r="D830" s="7" t="s">
        <v>97</v>
      </c>
      <c r="E830" s="7" t="s">
        <v>47</v>
      </c>
      <c r="F830" s="7" t="s">
        <v>98</v>
      </c>
      <c r="G830" s="7" t="s">
        <v>2250</v>
      </c>
      <c r="I830" s="1">
        <f t="shared" si="60"/>
        <v>1</v>
      </c>
      <c r="J830" s="1" t="str">
        <f>'Source build'!A830</f>
        <v>L00824</v>
      </c>
      <c r="K830" s="1">
        <f>830</f>
        <v>830</v>
      </c>
      <c r="L830" s="10">
        <f t="shared" si="61"/>
        <v>13900</v>
      </c>
      <c r="M830" s="1">
        <f t="shared" si="62"/>
        <v>1</v>
      </c>
      <c r="N830" s="1">
        <f t="shared" si="63"/>
        <v>1</v>
      </c>
      <c r="O830" s="1" t="str">
        <f>IF(I830=0,"UNUSED",IF(A830="","MISSING ID",IF(K830=0,"UNEXPECTED ID",IF(N830&lt;&gt;1,"ID / ORDER DIFFERENCE",IF('Source build'!U830&lt;&gt;"INCLUDED","EXCLUDED SOURCE",IF(NOT(M830),"INVALID AMOUNT",IF('Source build'!Y830&lt;&gt;0,"CHANGED FIELDS","MATCH")))))))</f>
        <v>MATCH</v>
      </c>
      <c r="P830" s="1" t="str">
        <f t="shared" si="64"/>
        <v>2026-03</v>
      </c>
    </row>
    <row r="831" spans="1:16" ht="18.95" customHeight="1">
      <c r="A831" s="7" t="s">
        <v>2251</v>
      </c>
      <c r="B831" s="7" t="s">
        <v>2252</v>
      </c>
      <c r="C831" s="7" t="s">
        <v>410</v>
      </c>
      <c r="D831" s="7" t="s">
        <v>103</v>
      </c>
      <c r="E831" s="7" t="s">
        <v>48</v>
      </c>
      <c r="F831" s="7" t="s">
        <v>98</v>
      </c>
      <c r="G831" s="7" t="s">
        <v>2253</v>
      </c>
      <c r="I831" s="1">
        <f t="shared" si="60"/>
        <v>1</v>
      </c>
      <c r="J831" s="1" t="str">
        <f>'Source build'!A831</f>
        <v>L00825</v>
      </c>
      <c r="K831" s="1">
        <f>831</f>
        <v>831</v>
      </c>
      <c r="L831" s="10">
        <f t="shared" si="61"/>
        <v>27948</v>
      </c>
      <c r="M831" s="1">
        <f t="shared" si="62"/>
        <v>1</v>
      </c>
      <c r="N831" s="1">
        <f t="shared" si="63"/>
        <v>1</v>
      </c>
      <c r="O831" s="1" t="str">
        <f>IF(I831=0,"UNUSED",IF(A831="","MISSING ID",IF(K831=0,"UNEXPECTED ID",IF(N831&lt;&gt;1,"ID / ORDER DIFFERENCE",IF('Source build'!U831&lt;&gt;"INCLUDED","EXCLUDED SOURCE",IF(NOT(M831),"INVALID AMOUNT",IF('Source build'!Y831&lt;&gt;0,"CHANGED FIELDS","MATCH")))))))</f>
        <v>MATCH</v>
      </c>
      <c r="P831" s="1" t="str">
        <f t="shared" si="64"/>
        <v>2026-01</v>
      </c>
    </row>
    <row r="832" spans="1:16" ht="18.95" customHeight="1">
      <c r="A832" s="7" t="s">
        <v>2254</v>
      </c>
      <c r="B832" s="7" t="s">
        <v>2252</v>
      </c>
      <c r="C832" s="7" t="s">
        <v>410</v>
      </c>
      <c r="D832" s="7" t="s">
        <v>93</v>
      </c>
      <c r="E832" s="7" t="s">
        <v>46</v>
      </c>
      <c r="F832" s="7" t="s">
        <v>98</v>
      </c>
      <c r="G832" s="7" t="s">
        <v>2255</v>
      </c>
      <c r="I832" s="1">
        <f t="shared" si="60"/>
        <v>1</v>
      </c>
      <c r="J832" s="1" t="str">
        <f>'Source build'!A832</f>
        <v>L00826</v>
      </c>
      <c r="K832" s="1">
        <f>832</f>
        <v>832</v>
      </c>
      <c r="L832" s="10">
        <f t="shared" si="61"/>
        <v>7024</v>
      </c>
      <c r="M832" s="1">
        <f t="shared" si="62"/>
        <v>1</v>
      </c>
      <c r="N832" s="1">
        <f t="shared" si="63"/>
        <v>1</v>
      </c>
      <c r="O832" s="1" t="str">
        <f>IF(I832=0,"UNUSED",IF(A832="","MISSING ID",IF(K832=0,"UNEXPECTED ID",IF(N832&lt;&gt;1,"ID / ORDER DIFFERENCE",IF('Source build'!U832&lt;&gt;"INCLUDED","EXCLUDED SOURCE",IF(NOT(M832),"INVALID AMOUNT",IF('Source build'!Y832&lt;&gt;0,"CHANGED FIELDS","MATCH")))))))</f>
        <v>MATCH</v>
      </c>
      <c r="P832" s="1" t="str">
        <f t="shared" si="64"/>
        <v>2026-01</v>
      </c>
    </row>
    <row r="833" spans="1:16" ht="18.95" customHeight="1">
      <c r="A833" s="7" t="s">
        <v>2256</v>
      </c>
      <c r="B833" s="7" t="s">
        <v>2257</v>
      </c>
      <c r="C833" s="7" t="s">
        <v>416</v>
      </c>
      <c r="D833" s="7" t="s">
        <v>97</v>
      </c>
      <c r="E833" s="7" t="s">
        <v>47</v>
      </c>
      <c r="F833" s="7" t="s">
        <v>98</v>
      </c>
      <c r="G833" s="7" t="s">
        <v>2258</v>
      </c>
      <c r="I833" s="1">
        <f t="shared" si="60"/>
        <v>1</v>
      </c>
      <c r="J833" s="1" t="str">
        <f>'Source build'!A833</f>
        <v>L00827</v>
      </c>
      <c r="K833" s="1">
        <f>833</f>
        <v>833</v>
      </c>
      <c r="L833" s="10">
        <f t="shared" si="61"/>
        <v>21183</v>
      </c>
      <c r="M833" s="1">
        <f t="shared" si="62"/>
        <v>1</v>
      </c>
      <c r="N833" s="1">
        <f t="shared" si="63"/>
        <v>1</v>
      </c>
      <c r="O833" s="1" t="str">
        <f>IF(I833=0,"UNUSED",IF(A833="","MISSING ID",IF(K833=0,"UNEXPECTED ID",IF(N833&lt;&gt;1,"ID / ORDER DIFFERENCE",IF('Source build'!U833&lt;&gt;"INCLUDED","EXCLUDED SOURCE",IF(NOT(M833),"INVALID AMOUNT",IF('Source build'!Y833&lt;&gt;0,"CHANGED FIELDS","MATCH")))))))</f>
        <v>MATCH</v>
      </c>
      <c r="P833" s="1" t="str">
        <f t="shared" si="64"/>
        <v>2026-01</v>
      </c>
    </row>
    <row r="834" spans="1:16" ht="18.95" customHeight="1">
      <c r="A834" s="7" t="s">
        <v>2259</v>
      </c>
      <c r="B834" s="7" t="s">
        <v>2257</v>
      </c>
      <c r="C834" s="7" t="s">
        <v>416</v>
      </c>
      <c r="D834" s="7" t="s">
        <v>103</v>
      </c>
      <c r="E834" s="7" t="s">
        <v>48</v>
      </c>
      <c r="F834" s="7" t="s">
        <v>98</v>
      </c>
      <c r="G834" s="7" t="s">
        <v>2260</v>
      </c>
      <c r="I834" s="1">
        <f t="shared" si="60"/>
        <v>1</v>
      </c>
      <c r="J834" s="1" t="str">
        <f>'Source build'!A834</f>
        <v>L00828</v>
      </c>
      <c r="K834" s="1">
        <f>834</f>
        <v>834</v>
      </c>
      <c r="L834" s="10">
        <f t="shared" si="61"/>
        <v>35490</v>
      </c>
      <c r="M834" s="1">
        <f t="shared" si="62"/>
        <v>1</v>
      </c>
      <c r="N834" s="1">
        <f t="shared" si="63"/>
        <v>1</v>
      </c>
      <c r="O834" s="1" t="str">
        <f>IF(I834=0,"UNUSED",IF(A834="","MISSING ID",IF(K834=0,"UNEXPECTED ID",IF(N834&lt;&gt;1,"ID / ORDER DIFFERENCE",IF('Source build'!U834&lt;&gt;"INCLUDED","EXCLUDED SOURCE",IF(NOT(M834),"INVALID AMOUNT",IF('Source build'!Y834&lt;&gt;0,"CHANGED FIELDS","MATCH")))))))</f>
        <v>MATCH</v>
      </c>
      <c r="P834" s="1" t="str">
        <f t="shared" si="64"/>
        <v>2026-01</v>
      </c>
    </row>
    <row r="835" spans="1:16" ht="18.95" customHeight="1">
      <c r="A835" s="7" t="s">
        <v>2261</v>
      </c>
      <c r="B835" s="7" t="s">
        <v>2262</v>
      </c>
      <c r="C835" s="7" t="s">
        <v>422</v>
      </c>
      <c r="D835" s="7" t="s">
        <v>93</v>
      </c>
      <c r="E835" s="7" t="s">
        <v>46</v>
      </c>
      <c r="F835" s="7" t="s">
        <v>94</v>
      </c>
      <c r="G835" s="7" t="s">
        <v>2263</v>
      </c>
      <c r="I835" s="1">
        <f t="shared" si="60"/>
        <v>1</v>
      </c>
      <c r="J835" s="1" t="str">
        <f>'Source build'!A835</f>
        <v>L00829</v>
      </c>
      <c r="K835" s="1">
        <f>835</f>
        <v>835</v>
      </c>
      <c r="L835" s="10">
        <f t="shared" si="61"/>
        <v>-14270</v>
      </c>
      <c r="M835" s="1">
        <f t="shared" si="62"/>
        <v>1</v>
      </c>
      <c r="N835" s="1">
        <f t="shared" si="63"/>
        <v>1</v>
      </c>
      <c r="O835" s="1" t="str">
        <f>IF(I835=0,"UNUSED",IF(A835="","MISSING ID",IF(K835=0,"UNEXPECTED ID",IF(N835&lt;&gt;1,"ID / ORDER DIFFERENCE",IF('Source build'!U835&lt;&gt;"INCLUDED","EXCLUDED SOURCE",IF(NOT(M835),"INVALID AMOUNT",IF('Source build'!Y835&lt;&gt;0,"CHANGED FIELDS","MATCH")))))))</f>
        <v>MATCH</v>
      </c>
      <c r="P835" s="1" t="str">
        <f t="shared" si="64"/>
        <v>2026-01</v>
      </c>
    </row>
    <row r="836" spans="1:16" ht="18.95" customHeight="1">
      <c r="A836" s="7" t="s">
        <v>2264</v>
      </c>
      <c r="B836" s="7" t="s">
        <v>2262</v>
      </c>
      <c r="C836" s="7" t="s">
        <v>422</v>
      </c>
      <c r="D836" s="7" t="s">
        <v>97</v>
      </c>
      <c r="E836" s="7" t="s">
        <v>47</v>
      </c>
      <c r="F836" s="7" t="s">
        <v>98</v>
      </c>
      <c r="G836" s="7" t="s">
        <v>2265</v>
      </c>
      <c r="I836" s="1">
        <f t="shared" si="60"/>
        <v>1</v>
      </c>
      <c r="J836" s="1" t="str">
        <f>'Source build'!A836</f>
        <v>L00830</v>
      </c>
      <c r="K836" s="1">
        <f>836</f>
        <v>836</v>
      </c>
      <c r="L836" s="10">
        <f t="shared" si="61"/>
        <v>28688</v>
      </c>
      <c r="M836" s="1">
        <f t="shared" si="62"/>
        <v>1</v>
      </c>
      <c r="N836" s="1">
        <f t="shared" si="63"/>
        <v>1</v>
      </c>
      <c r="O836" s="1" t="str">
        <f>IF(I836=0,"UNUSED",IF(A836="","MISSING ID",IF(K836=0,"UNEXPECTED ID",IF(N836&lt;&gt;1,"ID / ORDER DIFFERENCE",IF('Source build'!U836&lt;&gt;"INCLUDED","EXCLUDED SOURCE",IF(NOT(M836),"INVALID AMOUNT",IF('Source build'!Y836&lt;&gt;0,"CHANGED FIELDS","MATCH")))))))</f>
        <v>MATCH</v>
      </c>
      <c r="P836" s="1" t="str">
        <f t="shared" si="64"/>
        <v>2026-01</v>
      </c>
    </row>
    <row r="837" spans="1:16" ht="18.95" customHeight="1">
      <c r="A837" s="7" t="s">
        <v>2266</v>
      </c>
      <c r="B837" s="7" t="s">
        <v>2267</v>
      </c>
      <c r="C837" s="7" t="s">
        <v>428</v>
      </c>
      <c r="D837" s="7" t="s">
        <v>103</v>
      </c>
      <c r="E837" s="7" t="s">
        <v>48</v>
      </c>
      <c r="F837" s="7" t="s">
        <v>98</v>
      </c>
      <c r="G837" s="7" t="s">
        <v>2268</v>
      </c>
      <c r="I837" s="1">
        <f t="shared" si="60"/>
        <v>1</v>
      </c>
      <c r="J837" s="1" t="str">
        <f>'Source build'!A837</f>
        <v>L00831</v>
      </c>
      <c r="K837" s="1">
        <f>837</f>
        <v>837</v>
      </c>
      <c r="L837" s="10">
        <f t="shared" si="61"/>
        <v>7209</v>
      </c>
      <c r="M837" s="1">
        <f t="shared" si="62"/>
        <v>1</v>
      </c>
      <c r="N837" s="1">
        <f t="shared" si="63"/>
        <v>1</v>
      </c>
      <c r="O837" s="1" t="str">
        <f>IF(I837=0,"UNUSED",IF(A837="","MISSING ID",IF(K837=0,"UNEXPECTED ID",IF(N837&lt;&gt;1,"ID / ORDER DIFFERENCE",IF('Source build'!U837&lt;&gt;"INCLUDED","EXCLUDED SOURCE",IF(NOT(M837),"INVALID AMOUNT",IF('Source build'!Y837&lt;&gt;0,"CHANGED FIELDS","MATCH")))))))</f>
        <v>MATCH</v>
      </c>
      <c r="P837" s="1" t="str">
        <f t="shared" si="64"/>
        <v>2026-01</v>
      </c>
    </row>
    <row r="838" spans="1:16" ht="18.95" customHeight="1">
      <c r="A838" s="7" t="s">
        <v>2269</v>
      </c>
      <c r="B838" s="7" t="s">
        <v>2267</v>
      </c>
      <c r="C838" s="7" t="s">
        <v>428</v>
      </c>
      <c r="D838" s="7" t="s">
        <v>93</v>
      </c>
      <c r="E838" s="7" t="s">
        <v>46</v>
      </c>
      <c r="F838" s="7" t="s">
        <v>98</v>
      </c>
      <c r="G838" s="7" t="s">
        <v>2270</v>
      </c>
      <c r="I838" s="1">
        <f t="shared" si="60"/>
        <v>1</v>
      </c>
      <c r="J838" s="1" t="str">
        <f>'Source build'!A838</f>
        <v>L00832</v>
      </c>
      <c r="K838" s="1">
        <f>838</f>
        <v>838</v>
      </c>
      <c r="L838" s="10">
        <f t="shared" si="61"/>
        <v>21738</v>
      </c>
      <c r="M838" s="1">
        <f t="shared" si="62"/>
        <v>1</v>
      </c>
      <c r="N838" s="1">
        <f t="shared" si="63"/>
        <v>1</v>
      </c>
      <c r="O838" s="1" t="str">
        <f>IF(I838=0,"UNUSED",IF(A838="","MISSING ID",IF(K838=0,"UNEXPECTED ID",IF(N838&lt;&gt;1,"ID / ORDER DIFFERENCE",IF('Source build'!U838&lt;&gt;"INCLUDED","EXCLUDED SOURCE",IF(NOT(M838),"INVALID AMOUNT",IF('Source build'!Y838&lt;&gt;0,"CHANGED FIELDS","MATCH")))))))</f>
        <v>MATCH</v>
      </c>
      <c r="P838" s="1" t="str">
        <f t="shared" si="64"/>
        <v>2026-01</v>
      </c>
    </row>
    <row r="839" spans="1:16" ht="18.95" customHeight="1">
      <c r="A839" s="7" t="s">
        <v>2271</v>
      </c>
      <c r="B839" s="7" t="s">
        <v>2272</v>
      </c>
      <c r="C839" s="7" t="s">
        <v>434</v>
      </c>
      <c r="D839" s="7" t="s">
        <v>97</v>
      </c>
      <c r="E839" s="7" t="s">
        <v>47</v>
      </c>
      <c r="F839" s="7" t="s">
        <v>98</v>
      </c>
      <c r="G839" s="7" t="s">
        <v>2273</v>
      </c>
      <c r="I839" s="1">
        <f t="shared" ref="I839:I902" si="65">IF(AND(A839="",B839="",C839="",D839="",E839="",F839="",G839=""),0,1)</f>
        <v>1</v>
      </c>
      <c r="J839" s="1" t="str">
        <f>'Source build'!A839</f>
        <v>L00833</v>
      </c>
      <c r="K839" s="1">
        <f>839</f>
        <v>839</v>
      </c>
      <c r="L839" s="10">
        <f t="shared" ref="L839:L902" si="66">IFERROR(IF(ABS(VALUE(G839)*100-ROUND(VALUE(G839)*100,0))&lt;0.0000001,ROUND(VALUE(G839)*100,0),0),0)</f>
        <v>36415</v>
      </c>
      <c r="M839" s="1">
        <f t="shared" ref="M839:M902" si="67">--IF(I839=0,TRUE,IF(TRIM(G839)="",FALSE,IFERROR(AND(ISNUMBER(VALUE(G839)),ABS(VALUE(G839)*100-ROUND(VALUE(G839)*100,0))&lt;0.0000001,OR(ISNUMBER(G839),EXACT(G839,TEXT(VALUE(G839),"0.00"))),OR(AND(EXACT(F839,"sale"),VALUE(G839)&gt;0),AND(EXACT(F839,"refund"),VALUE(G839)&lt;0))),FALSE)))</f>
        <v>1</v>
      </c>
      <c r="N839" s="1">
        <f t="shared" ref="N839:N902" si="68">IF(I839=1,IF(EXACT(A839,J839),1,0),0)</f>
        <v>1</v>
      </c>
      <c r="O839" s="1" t="str">
        <f>IF(I839=0,"UNUSED",IF(A839="","MISSING ID",IF(K839=0,"UNEXPECTED ID",IF(N839&lt;&gt;1,"ID / ORDER DIFFERENCE",IF('Source build'!U839&lt;&gt;"INCLUDED","EXCLUDED SOURCE",IF(NOT(M839),"INVALID AMOUNT",IF('Source build'!Y839&lt;&gt;0,"CHANGED FIELDS","MATCH")))))))</f>
        <v>MATCH</v>
      </c>
      <c r="P839" s="1" t="str">
        <f t="shared" ref="P839:P902" si="69">IF(I839=1,LEFT(C839,7),"")</f>
        <v>2026-02</v>
      </c>
    </row>
    <row r="840" spans="1:16" ht="18.95" customHeight="1">
      <c r="A840" s="7" t="s">
        <v>2274</v>
      </c>
      <c r="B840" s="7" t="s">
        <v>2272</v>
      </c>
      <c r="C840" s="7" t="s">
        <v>434</v>
      </c>
      <c r="D840" s="7" t="s">
        <v>103</v>
      </c>
      <c r="E840" s="7" t="s">
        <v>48</v>
      </c>
      <c r="F840" s="7" t="s">
        <v>98</v>
      </c>
      <c r="G840" s="7" t="s">
        <v>2275</v>
      </c>
      <c r="I840" s="1">
        <f t="shared" si="65"/>
        <v>1</v>
      </c>
      <c r="J840" s="1" t="str">
        <f>'Source build'!A840</f>
        <v>L00834</v>
      </c>
      <c r="K840" s="1">
        <f>840</f>
        <v>840</v>
      </c>
      <c r="L840" s="10">
        <f t="shared" si="66"/>
        <v>14640</v>
      </c>
      <c r="M840" s="1">
        <f t="shared" si="67"/>
        <v>1</v>
      </c>
      <c r="N840" s="1">
        <f t="shared" si="68"/>
        <v>1</v>
      </c>
      <c r="O840" s="1" t="str">
        <f>IF(I840=0,"UNUSED",IF(A840="","MISSING ID",IF(K840=0,"UNEXPECTED ID",IF(N840&lt;&gt;1,"ID / ORDER DIFFERENCE",IF('Source build'!U840&lt;&gt;"INCLUDED","EXCLUDED SOURCE",IF(NOT(M840),"INVALID AMOUNT",IF('Source build'!Y840&lt;&gt;0,"CHANGED FIELDS","MATCH")))))))</f>
        <v>MATCH</v>
      </c>
      <c r="P840" s="1" t="str">
        <f t="shared" si="69"/>
        <v>2026-02</v>
      </c>
    </row>
    <row r="841" spans="1:16" ht="18.95" customHeight="1">
      <c r="A841" s="7" t="s">
        <v>2276</v>
      </c>
      <c r="B841" s="7" t="s">
        <v>2277</v>
      </c>
      <c r="C841" s="7" t="s">
        <v>440</v>
      </c>
      <c r="D841" s="7" t="s">
        <v>93</v>
      </c>
      <c r="E841" s="7" t="s">
        <v>46</v>
      </c>
      <c r="F841" s="7" t="s">
        <v>98</v>
      </c>
      <c r="G841" s="7" t="s">
        <v>2278</v>
      </c>
      <c r="I841" s="1">
        <f t="shared" si="65"/>
        <v>1</v>
      </c>
      <c r="J841" s="1" t="str">
        <f>'Source build'!A841</f>
        <v>L00835</v>
      </c>
      <c r="K841" s="1">
        <f>841</f>
        <v>841</v>
      </c>
      <c r="L841" s="10">
        <f t="shared" si="66"/>
        <v>29428</v>
      </c>
      <c r="M841" s="1">
        <f t="shared" si="67"/>
        <v>1</v>
      </c>
      <c r="N841" s="1">
        <f t="shared" si="68"/>
        <v>1</v>
      </c>
      <c r="O841" s="1" t="str">
        <f>IF(I841=0,"UNUSED",IF(A841="","MISSING ID",IF(K841=0,"UNEXPECTED ID",IF(N841&lt;&gt;1,"ID / ORDER DIFFERENCE",IF('Source build'!U841&lt;&gt;"INCLUDED","EXCLUDED SOURCE",IF(NOT(M841),"INVALID AMOUNT",IF('Source build'!Y841&lt;&gt;0,"CHANGED FIELDS","MATCH")))))))</f>
        <v>MATCH</v>
      </c>
      <c r="P841" s="1" t="str">
        <f t="shared" si="69"/>
        <v>2026-02</v>
      </c>
    </row>
    <row r="842" spans="1:16" ht="18.95" customHeight="1">
      <c r="A842" s="7" t="s">
        <v>2279</v>
      </c>
      <c r="B842" s="7" t="s">
        <v>2277</v>
      </c>
      <c r="C842" s="7" t="s">
        <v>440</v>
      </c>
      <c r="D842" s="7" t="s">
        <v>97</v>
      </c>
      <c r="E842" s="7" t="s">
        <v>47</v>
      </c>
      <c r="F842" s="7" t="s">
        <v>98</v>
      </c>
      <c r="G842" s="7" t="s">
        <v>2280</v>
      </c>
      <c r="I842" s="1">
        <f t="shared" si="65"/>
        <v>1</v>
      </c>
      <c r="J842" s="1" t="str">
        <f>'Source build'!A842</f>
        <v>L00836</v>
      </c>
      <c r="K842" s="1">
        <f>842</f>
        <v>842</v>
      </c>
      <c r="L842" s="10">
        <f t="shared" si="66"/>
        <v>7394</v>
      </c>
      <c r="M842" s="1">
        <f t="shared" si="67"/>
        <v>1</v>
      </c>
      <c r="N842" s="1">
        <f t="shared" si="68"/>
        <v>1</v>
      </c>
      <c r="O842" s="1" t="str">
        <f>IF(I842=0,"UNUSED",IF(A842="","MISSING ID",IF(K842=0,"UNEXPECTED ID",IF(N842&lt;&gt;1,"ID / ORDER DIFFERENCE",IF('Source build'!U842&lt;&gt;"INCLUDED","EXCLUDED SOURCE",IF(NOT(M842),"INVALID AMOUNT",IF('Source build'!Y842&lt;&gt;0,"CHANGED FIELDS","MATCH")))))))</f>
        <v>MATCH</v>
      </c>
      <c r="P842" s="1" t="str">
        <f t="shared" si="69"/>
        <v>2026-02</v>
      </c>
    </row>
    <row r="843" spans="1:16" ht="18.95" customHeight="1">
      <c r="A843" s="7" t="s">
        <v>2281</v>
      </c>
      <c r="B843" s="7" t="s">
        <v>2282</v>
      </c>
      <c r="C843" s="7" t="s">
        <v>446</v>
      </c>
      <c r="D843" s="7" t="s">
        <v>103</v>
      </c>
      <c r="E843" s="7" t="s">
        <v>48</v>
      </c>
      <c r="F843" s="7" t="s">
        <v>98</v>
      </c>
      <c r="G843" s="7" t="s">
        <v>2283</v>
      </c>
      <c r="I843" s="1">
        <f t="shared" si="65"/>
        <v>1</v>
      </c>
      <c r="J843" s="1" t="str">
        <f>'Source build'!A843</f>
        <v>L00837</v>
      </c>
      <c r="K843" s="1">
        <f>843</f>
        <v>843</v>
      </c>
      <c r="L843" s="10">
        <f t="shared" si="66"/>
        <v>22293</v>
      </c>
      <c r="M843" s="1">
        <f t="shared" si="67"/>
        <v>1</v>
      </c>
      <c r="N843" s="1">
        <f t="shared" si="68"/>
        <v>1</v>
      </c>
      <c r="O843" s="1" t="str">
        <f>IF(I843=0,"UNUSED",IF(A843="","MISSING ID",IF(K843=0,"UNEXPECTED ID",IF(N843&lt;&gt;1,"ID / ORDER DIFFERENCE",IF('Source build'!U843&lt;&gt;"INCLUDED","EXCLUDED SOURCE",IF(NOT(M843),"INVALID AMOUNT",IF('Source build'!Y843&lt;&gt;0,"CHANGED FIELDS","MATCH")))))))</f>
        <v>MATCH</v>
      </c>
      <c r="P843" s="1" t="str">
        <f t="shared" si="69"/>
        <v>2026-02</v>
      </c>
    </row>
    <row r="844" spans="1:16" ht="18.95" customHeight="1">
      <c r="A844" s="7" t="s">
        <v>2284</v>
      </c>
      <c r="B844" s="7" t="s">
        <v>2282</v>
      </c>
      <c r="C844" s="7" t="s">
        <v>446</v>
      </c>
      <c r="D844" s="7" t="s">
        <v>93</v>
      </c>
      <c r="E844" s="7" t="s">
        <v>46</v>
      </c>
      <c r="F844" s="7" t="s">
        <v>98</v>
      </c>
      <c r="G844" s="7" t="s">
        <v>2285</v>
      </c>
      <c r="I844" s="1">
        <f t="shared" si="65"/>
        <v>1</v>
      </c>
      <c r="J844" s="1" t="str">
        <f>'Source build'!A844</f>
        <v>L00838</v>
      </c>
      <c r="K844" s="1">
        <f>844</f>
        <v>844</v>
      </c>
      <c r="L844" s="10">
        <f t="shared" si="66"/>
        <v>37340</v>
      </c>
      <c r="M844" s="1">
        <f t="shared" si="67"/>
        <v>1</v>
      </c>
      <c r="N844" s="1">
        <f t="shared" si="68"/>
        <v>1</v>
      </c>
      <c r="O844" s="1" t="str">
        <f>IF(I844=0,"UNUSED",IF(A844="","MISSING ID",IF(K844=0,"UNEXPECTED ID",IF(N844&lt;&gt;1,"ID / ORDER DIFFERENCE",IF('Source build'!U844&lt;&gt;"INCLUDED","EXCLUDED SOURCE",IF(NOT(M844),"INVALID AMOUNT",IF('Source build'!Y844&lt;&gt;0,"CHANGED FIELDS","MATCH")))))))</f>
        <v>MATCH</v>
      </c>
      <c r="P844" s="1" t="str">
        <f t="shared" si="69"/>
        <v>2026-02</v>
      </c>
    </row>
    <row r="845" spans="1:16" ht="18.95" customHeight="1">
      <c r="A845" s="7" t="s">
        <v>2286</v>
      </c>
      <c r="B845" s="7" t="s">
        <v>2287</v>
      </c>
      <c r="C845" s="7" t="s">
        <v>452</v>
      </c>
      <c r="D845" s="7" t="s">
        <v>97</v>
      </c>
      <c r="E845" s="7" t="s">
        <v>47</v>
      </c>
      <c r="F845" s="7" t="s">
        <v>98</v>
      </c>
      <c r="G845" s="7" t="s">
        <v>2288</v>
      </c>
      <c r="I845" s="1">
        <f t="shared" si="65"/>
        <v>1</v>
      </c>
      <c r="J845" s="1" t="str">
        <f>'Source build'!A845</f>
        <v>L00839</v>
      </c>
      <c r="K845" s="1">
        <f>845</f>
        <v>845</v>
      </c>
      <c r="L845" s="10">
        <f t="shared" si="66"/>
        <v>15010</v>
      </c>
      <c r="M845" s="1">
        <f t="shared" si="67"/>
        <v>1</v>
      </c>
      <c r="N845" s="1">
        <f t="shared" si="68"/>
        <v>1</v>
      </c>
      <c r="O845" s="1" t="str">
        <f>IF(I845=0,"UNUSED",IF(A845="","MISSING ID",IF(K845=0,"UNEXPECTED ID",IF(N845&lt;&gt;1,"ID / ORDER DIFFERENCE",IF('Source build'!U845&lt;&gt;"INCLUDED","EXCLUDED SOURCE",IF(NOT(M845),"INVALID AMOUNT",IF('Source build'!Y845&lt;&gt;0,"CHANGED FIELDS","MATCH")))))))</f>
        <v>MATCH</v>
      </c>
      <c r="P845" s="1" t="str">
        <f t="shared" si="69"/>
        <v>2026-02</v>
      </c>
    </row>
    <row r="846" spans="1:16" ht="18.95" customHeight="1">
      <c r="A846" s="7" t="s">
        <v>2289</v>
      </c>
      <c r="B846" s="7" t="s">
        <v>2287</v>
      </c>
      <c r="C846" s="7" t="s">
        <v>452</v>
      </c>
      <c r="D846" s="7" t="s">
        <v>103</v>
      </c>
      <c r="E846" s="7" t="s">
        <v>48</v>
      </c>
      <c r="F846" s="7" t="s">
        <v>98</v>
      </c>
      <c r="G846" s="7" t="s">
        <v>2290</v>
      </c>
      <c r="I846" s="1">
        <f t="shared" si="65"/>
        <v>1</v>
      </c>
      <c r="J846" s="1" t="str">
        <f>'Source build'!A846</f>
        <v>L00840</v>
      </c>
      <c r="K846" s="1">
        <f>846</f>
        <v>846</v>
      </c>
      <c r="L846" s="10">
        <f t="shared" si="66"/>
        <v>30168</v>
      </c>
      <c r="M846" s="1">
        <f t="shared" si="67"/>
        <v>1</v>
      </c>
      <c r="N846" s="1">
        <f t="shared" si="68"/>
        <v>1</v>
      </c>
      <c r="O846" s="1" t="str">
        <f>IF(I846=0,"UNUSED",IF(A846="","MISSING ID",IF(K846=0,"UNEXPECTED ID",IF(N846&lt;&gt;1,"ID / ORDER DIFFERENCE",IF('Source build'!U846&lt;&gt;"INCLUDED","EXCLUDED SOURCE",IF(NOT(M846),"INVALID AMOUNT",IF('Source build'!Y846&lt;&gt;0,"CHANGED FIELDS","MATCH")))))))</f>
        <v>MATCH</v>
      </c>
      <c r="P846" s="1" t="str">
        <f t="shared" si="69"/>
        <v>2026-02</v>
      </c>
    </row>
    <row r="847" spans="1:16" ht="18.95" customHeight="1">
      <c r="A847" s="7" t="s">
        <v>2291</v>
      </c>
      <c r="B847" s="7" t="s">
        <v>2292</v>
      </c>
      <c r="C847" s="7" t="s">
        <v>458</v>
      </c>
      <c r="D847" s="7" t="s">
        <v>93</v>
      </c>
      <c r="E847" s="7" t="s">
        <v>46</v>
      </c>
      <c r="F847" s="7" t="s">
        <v>98</v>
      </c>
      <c r="G847" s="7" t="s">
        <v>2293</v>
      </c>
      <c r="I847" s="1">
        <f t="shared" si="65"/>
        <v>1</v>
      </c>
      <c r="J847" s="1" t="str">
        <f>'Source build'!A847</f>
        <v>L00841</v>
      </c>
      <c r="K847" s="1">
        <f>847</f>
        <v>847</v>
      </c>
      <c r="L847" s="10">
        <f t="shared" si="66"/>
        <v>7579</v>
      </c>
      <c r="M847" s="1">
        <f t="shared" si="67"/>
        <v>1</v>
      </c>
      <c r="N847" s="1">
        <f t="shared" si="68"/>
        <v>1</v>
      </c>
      <c r="O847" s="1" t="str">
        <f>IF(I847=0,"UNUSED",IF(A847="","MISSING ID",IF(K847=0,"UNEXPECTED ID",IF(N847&lt;&gt;1,"ID / ORDER DIFFERENCE",IF('Source build'!U847&lt;&gt;"INCLUDED","EXCLUDED SOURCE",IF(NOT(M847),"INVALID AMOUNT",IF('Source build'!Y847&lt;&gt;0,"CHANGED FIELDS","MATCH")))))))</f>
        <v>MATCH</v>
      </c>
      <c r="P847" s="1" t="str">
        <f t="shared" si="69"/>
        <v>2026-03</v>
      </c>
    </row>
    <row r="848" spans="1:16" ht="18.95" customHeight="1">
      <c r="A848" s="7" t="s">
        <v>2294</v>
      </c>
      <c r="B848" s="7" t="s">
        <v>2292</v>
      </c>
      <c r="C848" s="7" t="s">
        <v>458</v>
      </c>
      <c r="D848" s="7" t="s">
        <v>97</v>
      </c>
      <c r="E848" s="7" t="s">
        <v>47</v>
      </c>
      <c r="F848" s="7" t="s">
        <v>98</v>
      </c>
      <c r="G848" s="7" t="s">
        <v>2295</v>
      </c>
      <c r="I848" s="1">
        <f t="shared" si="65"/>
        <v>1</v>
      </c>
      <c r="J848" s="1" t="str">
        <f>'Source build'!A848</f>
        <v>L00842</v>
      </c>
      <c r="K848" s="1">
        <f>848</f>
        <v>848</v>
      </c>
      <c r="L848" s="10">
        <f t="shared" si="66"/>
        <v>22848</v>
      </c>
      <c r="M848" s="1">
        <f t="shared" si="67"/>
        <v>1</v>
      </c>
      <c r="N848" s="1">
        <f t="shared" si="68"/>
        <v>1</v>
      </c>
      <c r="O848" s="1" t="str">
        <f>IF(I848=0,"UNUSED",IF(A848="","MISSING ID",IF(K848=0,"UNEXPECTED ID",IF(N848&lt;&gt;1,"ID / ORDER DIFFERENCE",IF('Source build'!U848&lt;&gt;"INCLUDED","EXCLUDED SOURCE",IF(NOT(M848),"INVALID AMOUNT",IF('Source build'!Y848&lt;&gt;0,"CHANGED FIELDS","MATCH")))))))</f>
        <v>MATCH</v>
      </c>
      <c r="P848" s="1" t="str">
        <f t="shared" si="69"/>
        <v>2026-03</v>
      </c>
    </row>
    <row r="849" spans="1:16" ht="18.95" customHeight="1">
      <c r="A849" s="7" t="s">
        <v>2296</v>
      </c>
      <c r="B849" s="7" t="s">
        <v>2297</v>
      </c>
      <c r="C849" s="7" t="s">
        <v>464</v>
      </c>
      <c r="D849" s="7" t="s">
        <v>103</v>
      </c>
      <c r="E849" s="7" t="s">
        <v>48</v>
      </c>
      <c r="F849" s="7" t="s">
        <v>98</v>
      </c>
      <c r="G849" s="7" t="s">
        <v>2298</v>
      </c>
      <c r="I849" s="1">
        <f t="shared" si="65"/>
        <v>1</v>
      </c>
      <c r="J849" s="1" t="str">
        <f>'Source build'!A849</f>
        <v>L00843</v>
      </c>
      <c r="K849" s="1">
        <f>849</f>
        <v>849</v>
      </c>
      <c r="L849" s="10">
        <f t="shared" si="66"/>
        <v>38265</v>
      </c>
      <c r="M849" s="1">
        <f t="shared" si="67"/>
        <v>1</v>
      </c>
      <c r="N849" s="1">
        <f t="shared" si="68"/>
        <v>1</v>
      </c>
      <c r="O849" s="1" t="str">
        <f>IF(I849=0,"UNUSED",IF(A849="","MISSING ID",IF(K849=0,"UNEXPECTED ID",IF(N849&lt;&gt;1,"ID / ORDER DIFFERENCE",IF('Source build'!U849&lt;&gt;"INCLUDED","EXCLUDED SOURCE",IF(NOT(M849),"INVALID AMOUNT",IF('Source build'!Y849&lt;&gt;0,"CHANGED FIELDS","MATCH")))))))</f>
        <v>MATCH</v>
      </c>
      <c r="P849" s="1" t="str">
        <f t="shared" si="69"/>
        <v>2026-03</v>
      </c>
    </row>
    <row r="850" spans="1:16" ht="18.95" customHeight="1">
      <c r="A850" s="7" t="s">
        <v>2299</v>
      </c>
      <c r="B850" s="7" t="s">
        <v>2297</v>
      </c>
      <c r="C850" s="7" t="s">
        <v>464</v>
      </c>
      <c r="D850" s="7" t="s">
        <v>93</v>
      </c>
      <c r="E850" s="7" t="s">
        <v>46</v>
      </c>
      <c r="F850" s="7" t="s">
        <v>98</v>
      </c>
      <c r="G850" s="7" t="s">
        <v>2300</v>
      </c>
      <c r="I850" s="1">
        <f t="shared" si="65"/>
        <v>1</v>
      </c>
      <c r="J850" s="1" t="str">
        <f>'Source build'!A850</f>
        <v>L00844</v>
      </c>
      <c r="K850" s="1">
        <f>850</f>
        <v>850</v>
      </c>
      <c r="L850" s="10">
        <f t="shared" si="66"/>
        <v>15380</v>
      </c>
      <c r="M850" s="1">
        <f t="shared" si="67"/>
        <v>1</v>
      </c>
      <c r="N850" s="1">
        <f t="shared" si="68"/>
        <v>1</v>
      </c>
      <c r="O850" s="1" t="str">
        <f>IF(I850=0,"UNUSED",IF(A850="","MISSING ID",IF(K850=0,"UNEXPECTED ID",IF(N850&lt;&gt;1,"ID / ORDER DIFFERENCE",IF('Source build'!U850&lt;&gt;"INCLUDED","EXCLUDED SOURCE",IF(NOT(M850),"INVALID AMOUNT",IF('Source build'!Y850&lt;&gt;0,"CHANGED FIELDS","MATCH")))))))</f>
        <v>MATCH</v>
      </c>
      <c r="P850" s="1" t="str">
        <f t="shared" si="69"/>
        <v>2026-03</v>
      </c>
    </row>
    <row r="851" spans="1:16" ht="18.95" customHeight="1">
      <c r="A851" s="7" t="s">
        <v>2301</v>
      </c>
      <c r="B851" s="7" t="s">
        <v>2302</v>
      </c>
      <c r="C851" s="7" t="s">
        <v>470</v>
      </c>
      <c r="D851" s="7" t="s">
        <v>97</v>
      </c>
      <c r="E851" s="7" t="s">
        <v>47</v>
      </c>
      <c r="F851" s="7" t="s">
        <v>98</v>
      </c>
      <c r="G851" s="7" t="s">
        <v>2303</v>
      </c>
      <c r="I851" s="1">
        <f t="shared" si="65"/>
        <v>1</v>
      </c>
      <c r="J851" s="1" t="str">
        <f>'Source build'!A851</f>
        <v>L00845</v>
      </c>
      <c r="K851" s="1">
        <f>851</f>
        <v>851</v>
      </c>
      <c r="L851" s="10">
        <f t="shared" si="66"/>
        <v>30908</v>
      </c>
      <c r="M851" s="1">
        <f t="shared" si="67"/>
        <v>1</v>
      </c>
      <c r="N851" s="1">
        <f t="shared" si="68"/>
        <v>1</v>
      </c>
      <c r="O851" s="1" t="str">
        <f>IF(I851=0,"UNUSED",IF(A851="","MISSING ID",IF(K851=0,"UNEXPECTED ID",IF(N851&lt;&gt;1,"ID / ORDER DIFFERENCE",IF('Source build'!U851&lt;&gt;"INCLUDED","EXCLUDED SOURCE",IF(NOT(M851),"INVALID AMOUNT",IF('Source build'!Y851&lt;&gt;0,"CHANGED FIELDS","MATCH")))))))</f>
        <v>MATCH</v>
      </c>
      <c r="P851" s="1" t="str">
        <f t="shared" si="69"/>
        <v>2026-03</v>
      </c>
    </row>
    <row r="852" spans="1:16" ht="18.95" customHeight="1">
      <c r="A852" s="7" t="s">
        <v>2304</v>
      </c>
      <c r="B852" s="7" t="s">
        <v>2302</v>
      </c>
      <c r="C852" s="7" t="s">
        <v>470</v>
      </c>
      <c r="D852" s="7" t="s">
        <v>103</v>
      </c>
      <c r="E852" s="7" t="s">
        <v>48</v>
      </c>
      <c r="F852" s="7" t="s">
        <v>98</v>
      </c>
      <c r="G852" s="7" t="s">
        <v>2305</v>
      </c>
      <c r="I852" s="1">
        <f t="shared" si="65"/>
        <v>1</v>
      </c>
      <c r="J852" s="1" t="str">
        <f>'Source build'!A852</f>
        <v>L00846</v>
      </c>
      <c r="K852" s="1">
        <f>852</f>
        <v>852</v>
      </c>
      <c r="L852" s="10">
        <f t="shared" si="66"/>
        <v>7764</v>
      </c>
      <c r="M852" s="1">
        <f t="shared" si="67"/>
        <v>1</v>
      </c>
      <c r="N852" s="1">
        <f t="shared" si="68"/>
        <v>1</v>
      </c>
      <c r="O852" s="1" t="str">
        <f>IF(I852=0,"UNUSED",IF(A852="","MISSING ID",IF(K852=0,"UNEXPECTED ID",IF(N852&lt;&gt;1,"ID / ORDER DIFFERENCE",IF('Source build'!U852&lt;&gt;"INCLUDED","EXCLUDED SOURCE",IF(NOT(M852),"INVALID AMOUNT",IF('Source build'!Y852&lt;&gt;0,"CHANGED FIELDS","MATCH")))))))</f>
        <v>MATCH</v>
      </c>
      <c r="P852" s="1" t="str">
        <f t="shared" si="69"/>
        <v>2026-03</v>
      </c>
    </row>
    <row r="853" spans="1:16" ht="18.95" customHeight="1">
      <c r="A853" s="7" t="s">
        <v>2306</v>
      </c>
      <c r="B853" s="7" t="s">
        <v>2307</v>
      </c>
      <c r="C853" s="7" t="s">
        <v>476</v>
      </c>
      <c r="D853" s="7" t="s">
        <v>93</v>
      </c>
      <c r="E853" s="7" t="s">
        <v>46</v>
      </c>
      <c r="F853" s="7" t="s">
        <v>98</v>
      </c>
      <c r="G853" s="7" t="s">
        <v>5139</v>
      </c>
      <c r="I853" s="1">
        <f t="shared" si="65"/>
        <v>1</v>
      </c>
      <c r="J853" s="1" t="str">
        <f>'Source build'!A853</f>
        <v>L00847</v>
      </c>
      <c r="K853" s="1">
        <f>853</f>
        <v>853</v>
      </c>
      <c r="L853" s="10">
        <f t="shared" si="66"/>
        <v>23403</v>
      </c>
      <c r="M853" s="1">
        <f t="shared" si="67"/>
        <v>1</v>
      </c>
      <c r="N853" s="1">
        <f t="shared" si="68"/>
        <v>1</v>
      </c>
      <c r="O853" s="1" t="str">
        <f>IF(I853=0,"UNUSED",IF(A853="","MISSING ID",IF(K853=0,"UNEXPECTED ID",IF(N853&lt;&gt;1,"ID / ORDER DIFFERENCE",IF('Source build'!U853&lt;&gt;"INCLUDED","EXCLUDED SOURCE",IF(NOT(M853),"INVALID AMOUNT",IF('Source build'!Y853&lt;&gt;0,"CHANGED FIELDS","MATCH")))))))</f>
        <v>MATCH</v>
      </c>
      <c r="P853" s="1" t="str">
        <f t="shared" si="69"/>
        <v>2026-03</v>
      </c>
    </row>
    <row r="854" spans="1:16" ht="18.95" customHeight="1">
      <c r="A854" s="7" t="s">
        <v>2309</v>
      </c>
      <c r="B854" s="7" t="s">
        <v>2307</v>
      </c>
      <c r="C854" s="7" t="s">
        <v>476</v>
      </c>
      <c r="D854" s="7" t="s">
        <v>97</v>
      </c>
      <c r="E854" s="7" t="s">
        <v>47</v>
      </c>
      <c r="F854" s="7" t="s">
        <v>98</v>
      </c>
      <c r="G854" s="7" t="s">
        <v>2310</v>
      </c>
      <c r="I854" s="1">
        <f t="shared" si="65"/>
        <v>1</v>
      </c>
      <c r="J854" s="1" t="str">
        <f>'Source build'!A854</f>
        <v>L00848</v>
      </c>
      <c r="K854" s="1">
        <f>854</f>
        <v>854</v>
      </c>
      <c r="L854" s="10">
        <f t="shared" si="66"/>
        <v>39190</v>
      </c>
      <c r="M854" s="1">
        <f t="shared" si="67"/>
        <v>1</v>
      </c>
      <c r="N854" s="1">
        <f t="shared" si="68"/>
        <v>1</v>
      </c>
      <c r="O854" s="1" t="str">
        <f>IF(I854=0,"UNUSED",IF(A854="","MISSING ID",IF(K854=0,"UNEXPECTED ID",IF(N854&lt;&gt;1,"ID / ORDER DIFFERENCE",IF('Source build'!U854&lt;&gt;"INCLUDED","EXCLUDED SOURCE",IF(NOT(M854),"INVALID AMOUNT",IF('Source build'!Y854&lt;&gt;0,"CHANGED FIELDS","MATCH")))))))</f>
        <v>MATCH</v>
      </c>
      <c r="P854" s="1" t="str">
        <f t="shared" si="69"/>
        <v>2026-03</v>
      </c>
    </row>
    <row r="855" spans="1:16" ht="18.95" customHeight="1">
      <c r="A855" s="7" t="s">
        <v>2311</v>
      </c>
      <c r="B855" s="7" t="s">
        <v>2312</v>
      </c>
      <c r="C855" s="7" t="s">
        <v>482</v>
      </c>
      <c r="D855" s="7" t="s">
        <v>103</v>
      </c>
      <c r="E855" s="7" t="s">
        <v>48</v>
      </c>
      <c r="F855" s="7" t="s">
        <v>98</v>
      </c>
      <c r="G855" s="7" t="s">
        <v>2313</v>
      </c>
      <c r="I855" s="1">
        <f t="shared" si="65"/>
        <v>1</v>
      </c>
      <c r="J855" s="1" t="str">
        <f>'Source build'!A855</f>
        <v>L00849</v>
      </c>
      <c r="K855" s="1">
        <f>855</f>
        <v>855</v>
      </c>
      <c r="L855" s="10">
        <f t="shared" si="66"/>
        <v>15750</v>
      </c>
      <c r="M855" s="1">
        <f t="shared" si="67"/>
        <v>1</v>
      </c>
      <c r="N855" s="1">
        <f t="shared" si="68"/>
        <v>1</v>
      </c>
      <c r="O855" s="1" t="str">
        <f>IF(I855=0,"UNUSED",IF(A855="","MISSING ID",IF(K855=0,"UNEXPECTED ID",IF(N855&lt;&gt;1,"ID / ORDER DIFFERENCE",IF('Source build'!U855&lt;&gt;"INCLUDED","EXCLUDED SOURCE",IF(NOT(M855),"INVALID AMOUNT",IF('Source build'!Y855&lt;&gt;0,"CHANGED FIELDS","MATCH")))))))</f>
        <v>MATCH</v>
      </c>
      <c r="P855" s="1" t="str">
        <f t="shared" si="69"/>
        <v>2026-03</v>
      </c>
    </row>
    <row r="856" spans="1:16" ht="18.95" customHeight="1">
      <c r="A856" s="7" t="s">
        <v>2314</v>
      </c>
      <c r="B856" s="7" t="s">
        <v>2312</v>
      </c>
      <c r="C856" s="7" t="s">
        <v>482</v>
      </c>
      <c r="D856" s="7" t="s">
        <v>93</v>
      </c>
      <c r="E856" s="7" t="s">
        <v>46</v>
      </c>
      <c r="F856" s="7" t="s">
        <v>98</v>
      </c>
      <c r="G856" s="7" t="s">
        <v>2315</v>
      </c>
      <c r="I856" s="1">
        <f t="shared" si="65"/>
        <v>1</v>
      </c>
      <c r="J856" s="1" t="str">
        <f>'Source build'!A856</f>
        <v>L00850</v>
      </c>
      <c r="K856" s="1">
        <f>856</f>
        <v>856</v>
      </c>
      <c r="L856" s="10">
        <f t="shared" si="66"/>
        <v>31648</v>
      </c>
      <c r="M856" s="1">
        <f t="shared" si="67"/>
        <v>1</v>
      </c>
      <c r="N856" s="1">
        <f t="shared" si="68"/>
        <v>1</v>
      </c>
      <c r="O856" s="1" t="str">
        <f>IF(I856=0,"UNUSED",IF(A856="","MISSING ID",IF(K856=0,"UNEXPECTED ID",IF(N856&lt;&gt;1,"ID / ORDER DIFFERENCE",IF('Source build'!U856&lt;&gt;"INCLUDED","EXCLUDED SOURCE",IF(NOT(M856),"INVALID AMOUNT",IF('Source build'!Y856&lt;&gt;0,"CHANGED FIELDS","MATCH")))))))</f>
        <v>MATCH</v>
      </c>
      <c r="P856" s="1" t="str">
        <f t="shared" si="69"/>
        <v>2026-03</v>
      </c>
    </row>
    <row r="857" spans="1:16" ht="18.95" customHeight="1">
      <c r="A857" s="7" t="s">
        <v>2316</v>
      </c>
      <c r="B857" s="7" t="s">
        <v>2317</v>
      </c>
      <c r="C857" s="7" t="s">
        <v>488</v>
      </c>
      <c r="D857" s="7" t="s">
        <v>97</v>
      </c>
      <c r="E857" s="7" t="s">
        <v>47</v>
      </c>
      <c r="F857" s="7" t="s">
        <v>98</v>
      </c>
      <c r="G857" s="7" t="s">
        <v>2318</v>
      </c>
      <c r="I857" s="1">
        <f t="shared" si="65"/>
        <v>1</v>
      </c>
      <c r="J857" s="1" t="str">
        <f>'Source build'!A857</f>
        <v>L00851</v>
      </c>
      <c r="K857" s="1">
        <f>857</f>
        <v>857</v>
      </c>
      <c r="L857" s="10">
        <f t="shared" si="66"/>
        <v>7949</v>
      </c>
      <c r="M857" s="1">
        <f t="shared" si="67"/>
        <v>1</v>
      </c>
      <c r="N857" s="1">
        <f t="shared" si="68"/>
        <v>1</v>
      </c>
      <c r="O857" s="1" t="str">
        <f>IF(I857=0,"UNUSED",IF(A857="","MISSING ID",IF(K857=0,"UNEXPECTED ID",IF(N857&lt;&gt;1,"ID / ORDER DIFFERENCE",IF('Source build'!U857&lt;&gt;"INCLUDED","EXCLUDED SOURCE",IF(NOT(M857),"INVALID AMOUNT",IF('Source build'!Y857&lt;&gt;0,"CHANGED FIELDS","MATCH")))))))</f>
        <v>MATCH</v>
      </c>
      <c r="P857" s="1" t="str">
        <f t="shared" si="69"/>
        <v>2026-01</v>
      </c>
    </row>
    <row r="858" spans="1:16" ht="18.95" customHeight="1">
      <c r="A858" s="7" t="s">
        <v>2319</v>
      </c>
      <c r="B858" s="7" t="s">
        <v>2317</v>
      </c>
      <c r="C858" s="7" t="s">
        <v>488</v>
      </c>
      <c r="D858" s="7" t="s">
        <v>103</v>
      </c>
      <c r="E858" s="7" t="s">
        <v>48</v>
      </c>
      <c r="F858" s="7" t="s">
        <v>94</v>
      </c>
      <c r="G858" s="7" t="s">
        <v>2320</v>
      </c>
      <c r="I858" s="1">
        <f t="shared" si="65"/>
        <v>1</v>
      </c>
      <c r="J858" s="1" t="str">
        <f>'Source build'!A858</f>
        <v>L00852</v>
      </c>
      <c r="K858" s="1">
        <f>858</f>
        <v>858</v>
      </c>
      <c r="L858" s="10">
        <f t="shared" si="66"/>
        <v>-23958</v>
      </c>
      <c r="M858" s="1">
        <f t="shared" si="67"/>
        <v>1</v>
      </c>
      <c r="N858" s="1">
        <f t="shared" si="68"/>
        <v>1</v>
      </c>
      <c r="O858" s="1" t="str">
        <f>IF(I858=0,"UNUSED",IF(A858="","MISSING ID",IF(K858=0,"UNEXPECTED ID",IF(N858&lt;&gt;1,"ID / ORDER DIFFERENCE",IF('Source build'!U858&lt;&gt;"INCLUDED","EXCLUDED SOURCE",IF(NOT(M858),"INVALID AMOUNT",IF('Source build'!Y858&lt;&gt;0,"CHANGED FIELDS","MATCH")))))))</f>
        <v>MATCH</v>
      </c>
      <c r="P858" s="1" t="str">
        <f t="shared" si="69"/>
        <v>2026-01</v>
      </c>
    </row>
    <row r="859" spans="1:16" ht="18.95" customHeight="1">
      <c r="A859" s="7" t="s">
        <v>2321</v>
      </c>
      <c r="B859" s="7" t="s">
        <v>2322</v>
      </c>
      <c r="C859" s="7" t="s">
        <v>494</v>
      </c>
      <c r="D859" s="7" t="s">
        <v>93</v>
      </c>
      <c r="E859" s="7" t="s">
        <v>46</v>
      </c>
      <c r="F859" s="7" t="s">
        <v>98</v>
      </c>
      <c r="G859" s="7" t="s">
        <v>2323</v>
      </c>
      <c r="I859" s="1">
        <f t="shared" si="65"/>
        <v>1</v>
      </c>
      <c r="J859" s="1" t="str">
        <f>'Source build'!A859</f>
        <v>L00853</v>
      </c>
      <c r="K859" s="1">
        <f>859</f>
        <v>859</v>
      </c>
      <c r="L859" s="10">
        <f t="shared" si="66"/>
        <v>40115</v>
      </c>
      <c r="M859" s="1">
        <f t="shared" si="67"/>
        <v>1</v>
      </c>
      <c r="N859" s="1">
        <f t="shared" si="68"/>
        <v>1</v>
      </c>
      <c r="O859" s="1" t="str">
        <f>IF(I859=0,"UNUSED",IF(A859="","MISSING ID",IF(K859=0,"UNEXPECTED ID",IF(N859&lt;&gt;1,"ID / ORDER DIFFERENCE",IF('Source build'!U859&lt;&gt;"INCLUDED","EXCLUDED SOURCE",IF(NOT(M859),"INVALID AMOUNT",IF('Source build'!Y859&lt;&gt;0,"CHANGED FIELDS","MATCH")))))))</f>
        <v>MATCH</v>
      </c>
      <c r="P859" s="1" t="str">
        <f t="shared" si="69"/>
        <v>2026-01</v>
      </c>
    </row>
    <row r="860" spans="1:16" ht="18.95" customHeight="1">
      <c r="A860" s="7" t="s">
        <v>2324</v>
      </c>
      <c r="B860" s="7" t="s">
        <v>2322</v>
      </c>
      <c r="C860" s="7" t="s">
        <v>494</v>
      </c>
      <c r="D860" s="7" t="s">
        <v>97</v>
      </c>
      <c r="E860" s="7" t="s">
        <v>47</v>
      </c>
      <c r="F860" s="7" t="s">
        <v>98</v>
      </c>
      <c r="G860" s="7" t="s">
        <v>2325</v>
      </c>
      <c r="I860" s="1">
        <f t="shared" si="65"/>
        <v>1</v>
      </c>
      <c r="J860" s="1" t="str">
        <f>'Source build'!A860</f>
        <v>L00854</v>
      </c>
      <c r="K860" s="1">
        <f>860</f>
        <v>860</v>
      </c>
      <c r="L860" s="10">
        <f t="shared" si="66"/>
        <v>16120</v>
      </c>
      <c r="M860" s="1">
        <f t="shared" si="67"/>
        <v>1</v>
      </c>
      <c r="N860" s="1">
        <f t="shared" si="68"/>
        <v>1</v>
      </c>
      <c r="O860" s="1" t="str">
        <f>IF(I860=0,"UNUSED",IF(A860="","MISSING ID",IF(K860=0,"UNEXPECTED ID",IF(N860&lt;&gt;1,"ID / ORDER DIFFERENCE",IF('Source build'!U860&lt;&gt;"INCLUDED","EXCLUDED SOURCE",IF(NOT(M860),"INVALID AMOUNT",IF('Source build'!Y860&lt;&gt;0,"CHANGED FIELDS","MATCH")))))))</f>
        <v>MATCH</v>
      </c>
      <c r="P860" s="1" t="str">
        <f t="shared" si="69"/>
        <v>2026-01</v>
      </c>
    </row>
    <row r="861" spans="1:16" ht="18.95" customHeight="1">
      <c r="A861" s="7" t="s">
        <v>2326</v>
      </c>
      <c r="B861" s="7" t="s">
        <v>2327</v>
      </c>
      <c r="C861" s="7" t="s">
        <v>500</v>
      </c>
      <c r="D861" s="7" t="s">
        <v>103</v>
      </c>
      <c r="E861" s="7" t="s">
        <v>48</v>
      </c>
      <c r="F861" s="7" t="s">
        <v>98</v>
      </c>
      <c r="G861" s="7" t="s">
        <v>2328</v>
      </c>
      <c r="I861" s="1">
        <f t="shared" si="65"/>
        <v>1</v>
      </c>
      <c r="J861" s="1" t="str">
        <f>'Source build'!A861</f>
        <v>L00855</v>
      </c>
      <c r="K861" s="1">
        <f>861</f>
        <v>861</v>
      </c>
      <c r="L861" s="10">
        <f t="shared" si="66"/>
        <v>32388</v>
      </c>
      <c r="M861" s="1">
        <f t="shared" si="67"/>
        <v>1</v>
      </c>
      <c r="N861" s="1">
        <f t="shared" si="68"/>
        <v>1</v>
      </c>
      <c r="O861" s="1" t="str">
        <f>IF(I861=0,"UNUSED",IF(A861="","MISSING ID",IF(K861=0,"UNEXPECTED ID",IF(N861&lt;&gt;1,"ID / ORDER DIFFERENCE",IF('Source build'!U861&lt;&gt;"INCLUDED","EXCLUDED SOURCE",IF(NOT(M861),"INVALID AMOUNT",IF('Source build'!Y861&lt;&gt;0,"CHANGED FIELDS","MATCH")))))))</f>
        <v>MATCH</v>
      </c>
      <c r="P861" s="1" t="str">
        <f t="shared" si="69"/>
        <v>2026-01</v>
      </c>
    </row>
    <row r="862" spans="1:16" ht="18.95" customHeight="1">
      <c r="A862" s="7" t="s">
        <v>2329</v>
      </c>
      <c r="B862" s="7" t="s">
        <v>2327</v>
      </c>
      <c r="C862" s="7" t="s">
        <v>500</v>
      </c>
      <c r="D862" s="7" t="s">
        <v>93</v>
      </c>
      <c r="E862" s="7" t="s">
        <v>46</v>
      </c>
      <c r="F862" s="7" t="s">
        <v>98</v>
      </c>
      <c r="G862" s="7" t="s">
        <v>2331</v>
      </c>
      <c r="I862" s="1">
        <f t="shared" si="65"/>
        <v>1</v>
      </c>
      <c r="J862" s="1" t="str">
        <f>'Source build'!A862</f>
        <v>L00856</v>
      </c>
      <c r="K862" s="1">
        <f>862</f>
        <v>862</v>
      </c>
      <c r="L862" s="10">
        <f t="shared" si="66"/>
        <v>8134</v>
      </c>
      <c r="M862" s="1">
        <f t="shared" si="67"/>
        <v>1</v>
      </c>
      <c r="N862" s="1">
        <f t="shared" si="68"/>
        <v>1</v>
      </c>
      <c r="O862" s="1" t="str">
        <f>IF(I862=0,"UNUSED",IF(A862="","MISSING ID",IF(K862=0,"UNEXPECTED ID",IF(N862&lt;&gt;1,"ID / ORDER DIFFERENCE",IF('Source build'!U862&lt;&gt;"INCLUDED","EXCLUDED SOURCE",IF(NOT(M862),"INVALID AMOUNT",IF('Source build'!Y862&lt;&gt;0,"CHANGED FIELDS","MATCH")))))))</f>
        <v>MATCH</v>
      </c>
      <c r="P862" s="1" t="str">
        <f t="shared" si="69"/>
        <v>2026-01</v>
      </c>
    </row>
    <row r="863" spans="1:16" ht="18.95" customHeight="1">
      <c r="A863" s="7" t="s">
        <v>2332</v>
      </c>
      <c r="B863" s="7" t="s">
        <v>2333</v>
      </c>
      <c r="C863" s="7" t="s">
        <v>506</v>
      </c>
      <c r="D863" s="7" t="s">
        <v>97</v>
      </c>
      <c r="E863" s="7" t="s">
        <v>47</v>
      </c>
      <c r="F863" s="7" t="s">
        <v>98</v>
      </c>
      <c r="G863" s="7" t="s">
        <v>2334</v>
      </c>
      <c r="I863" s="1">
        <f t="shared" si="65"/>
        <v>1</v>
      </c>
      <c r="J863" s="1" t="str">
        <f>'Source build'!A863</f>
        <v>L00857</v>
      </c>
      <c r="K863" s="1">
        <f>863</f>
        <v>863</v>
      </c>
      <c r="L863" s="10">
        <f t="shared" si="66"/>
        <v>24513</v>
      </c>
      <c r="M863" s="1">
        <f t="shared" si="67"/>
        <v>1</v>
      </c>
      <c r="N863" s="1">
        <f t="shared" si="68"/>
        <v>1</v>
      </c>
      <c r="O863" s="1" t="str">
        <f>IF(I863=0,"UNUSED",IF(A863="","MISSING ID",IF(K863=0,"UNEXPECTED ID",IF(N863&lt;&gt;1,"ID / ORDER DIFFERENCE",IF('Source build'!U863&lt;&gt;"INCLUDED","EXCLUDED SOURCE",IF(NOT(M863),"INVALID AMOUNT",IF('Source build'!Y863&lt;&gt;0,"CHANGED FIELDS","MATCH")))))))</f>
        <v>MATCH</v>
      </c>
      <c r="P863" s="1" t="str">
        <f t="shared" si="69"/>
        <v>2026-01</v>
      </c>
    </row>
    <row r="864" spans="1:16" ht="18.95" customHeight="1">
      <c r="A864" s="7" t="s">
        <v>2335</v>
      </c>
      <c r="B864" s="7" t="s">
        <v>2333</v>
      </c>
      <c r="C864" s="7" t="s">
        <v>506</v>
      </c>
      <c r="D864" s="7" t="s">
        <v>103</v>
      </c>
      <c r="E864" s="7" t="s">
        <v>48</v>
      </c>
      <c r="F864" s="7" t="s">
        <v>98</v>
      </c>
      <c r="G864" s="7" t="s">
        <v>2336</v>
      </c>
      <c r="I864" s="1">
        <f t="shared" si="65"/>
        <v>1</v>
      </c>
      <c r="J864" s="1" t="str">
        <f>'Source build'!A864</f>
        <v>L00858</v>
      </c>
      <c r="K864" s="1">
        <f>864</f>
        <v>864</v>
      </c>
      <c r="L864" s="10">
        <f t="shared" si="66"/>
        <v>41040</v>
      </c>
      <c r="M864" s="1">
        <f t="shared" si="67"/>
        <v>1</v>
      </c>
      <c r="N864" s="1">
        <f t="shared" si="68"/>
        <v>1</v>
      </c>
      <c r="O864" s="1" t="str">
        <f>IF(I864=0,"UNUSED",IF(A864="","MISSING ID",IF(K864=0,"UNEXPECTED ID",IF(N864&lt;&gt;1,"ID / ORDER DIFFERENCE",IF('Source build'!U864&lt;&gt;"INCLUDED","EXCLUDED SOURCE",IF(NOT(M864),"INVALID AMOUNT",IF('Source build'!Y864&lt;&gt;0,"CHANGED FIELDS","MATCH")))))))</f>
        <v>MATCH</v>
      </c>
      <c r="P864" s="1" t="str">
        <f t="shared" si="69"/>
        <v>2026-01</v>
      </c>
    </row>
    <row r="865" spans="1:16" ht="18.95" customHeight="1">
      <c r="A865" s="7" t="s">
        <v>2337</v>
      </c>
      <c r="B865" s="7" t="s">
        <v>2338</v>
      </c>
      <c r="C865" s="7" t="s">
        <v>512</v>
      </c>
      <c r="D865" s="7" t="s">
        <v>93</v>
      </c>
      <c r="E865" s="7" t="s">
        <v>46</v>
      </c>
      <c r="F865" s="7" t="s">
        <v>98</v>
      </c>
      <c r="G865" s="7" t="s">
        <v>2339</v>
      </c>
      <c r="I865" s="1">
        <f t="shared" si="65"/>
        <v>1</v>
      </c>
      <c r="J865" s="1" t="str">
        <f>'Source build'!A865</f>
        <v>L00859</v>
      </c>
      <c r="K865" s="1">
        <f>865</f>
        <v>865</v>
      </c>
      <c r="L865" s="10">
        <f t="shared" si="66"/>
        <v>16490</v>
      </c>
      <c r="M865" s="1">
        <f t="shared" si="67"/>
        <v>1</v>
      </c>
      <c r="N865" s="1">
        <f t="shared" si="68"/>
        <v>1</v>
      </c>
      <c r="O865" s="1" t="str">
        <f>IF(I865=0,"UNUSED",IF(A865="","MISSING ID",IF(K865=0,"UNEXPECTED ID",IF(N865&lt;&gt;1,"ID / ORDER DIFFERENCE",IF('Source build'!U865&lt;&gt;"INCLUDED","EXCLUDED SOURCE",IF(NOT(M865),"INVALID AMOUNT",IF('Source build'!Y865&lt;&gt;0,"CHANGED FIELDS","MATCH")))))))</f>
        <v>MATCH</v>
      </c>
      <c r="P865" s="1" t="str">
        <f t="shared" si="69"/>
        <v>2026-02</v>
      </c>
    </row>
    <row r="866" spans="1:16" ht="18.95" customHeight="1">
      <c r="A866" s="7" t="s">
        <v>2340</v>
      </c>
      <c r="B866" s="7" t="s">
        <v>2338</v>
      </c>
      <c r="C866" s="7" t="s">
        <v>512</v>
      </c>
      <c r="D866" s="7" t="s">
        <v>97</v>
      </c>
      <c r="E866" s="7" t="s">
        <v>47</v>
      </c>
      <c r="F866" s="7" t="s">
        <v>98</v>
      </c>
      <c r="G866" s="7" t="s">
        <v>2341</v>
      </c>
      <c r="I866" s="1">
        <f t="shared" si="65"/>
        <v>1</v>
      </c>
      <c r="J866" s="1" t="str">
        <f>'Source build'!A866</f>
        <v>L00860</v>
      </c>
      <c r="K866" s="1">
        <f>866</f>
        <v>866</v>
      </c>
      <c r="L866" s="10">
        <f t="shared" si="66"/>
        <v>33128</v>
      </c>
      <c r="M866" s="1">
        <f t="shared" si="67"/>
        <v>1</v>
      </c>
      <c r="N866" s="1">
        <f t="shared" si="68"/>
        <v>1</v>
      </c>
      <c r="O866" s="1" t="str">
        <f>IF(I866=0,"UNUSED",IF(A866="","MISSING ID",IF(K866=0,"UNEXPECTED ID",IF(N866&lt;&gt;1,"ID / ORDER DIFFERENCE",IF('Source build'!U866&lt;&gt;"INCLUDED","EXCLUDED SOURCE",IF(NOT(M866),"INVALID AMOUNT",IF('Source build'!Y866&lt;&gt;0,"CHANGED FIELDS","MATCH")))))))</f>
        <v>MATCH</v>
      </c>
      <c r="P866" s="1" t="str">
        <f t="shared" si="69"/>
        <v>2026-02</v>
      </c>
    </row>
    <row r="867" spans="1:16" ht="18.95" customHeight="1">
      <c r="A867" s="7" t="s">
        <v>2342</v>
      </c>
      <c r="B867" s="7" t="s">
        <v>2343</v>
      </c>
      <c r="C867" s="7" t="s">
        <v>518</v>
      </c>
      <c r="D867" s="7" t="s">
        <v>103</v>
      </c>
      <c r="E867" s="7" t="s">
        <v>48</v>
      </c>
      <c r="F867" s="7" t="s">
        <v>98</v>
      </c>
      <c r="G867" s="7" t="s">
        <v>2344</v>
      </c>
      <c r="I867" s="1">
        <f t="shared" si="65"/>
        <v>1</v>
      </c>
      <c r="J867" s="1" t="str">
        <f>'Source build'!A867</f>
        <v>L00861</v>
      </c>
      <c r="K867" s="1">
        <f>867</f>
        <v>867</v>
      </c>
      <c r="L867" s="10">
        <f t="shared" si="66"/>
        <v>8319</v>
      </c>
      <c r="M867" s="1">
        <f t="shared" si="67"/>
        <v>1</v>
      </c>
      <c r="N867" s="1">
        <f t="shared" si="68"/>
        <v>1</v>
      </c>
      <c r="O867" s="1" t="str">
        <f>IF(I867=0,"UNUSED",IF(A867="","MISSING ID",IF(K867=0,"UNEXPECTED ID",IF(N867&lt;&gt;1,"ID / ORDER DIFFERENCE",IF('Source build'!U867&lt;&gt;"INCLUDED","EXCLUDED SOURCE",IF(NOT(M867),"INVALID AMOUNT",IF('Source build'!Y867&lt;&gt;0,"CHANGED FIELDS","MATCH")))))))</f>
        <v>MATCH</v>
      </c>
      <c r="P867" s="1" t="str">
        <f t="shared" si="69"/>
        <v>2026-02</v>
      </c>
    </row>
    <row r="868" spans="1:16" ht="18.95" customHeight="1">
      <c r="A868" s="7" t="s">
        <v>2345</v>
      </c>
      <c r="B868" s="7" t="s">
        <v>2343</v>
      </c>
      <c r="C868" s="7" t="s">
        <v>518</v>
      </c>
      <c r="D868" s="7" t="s">
        <v>93</v>
      </c>
      <c r="E868" s="7" t="s">
        <v>46</v>
      </c>
      <c r="F868" s="7" t="s">
        <v>98</v>
      </c>
      <c r="G868" s="7" t="s">
        <v>2346</v>
      </c>
      <c r="I868" s="1">
        <f t="shared" si="65"/>
        <v>1</v>
      </c>
      <c r="J868" s="1" t="str">
        <f>'Source build'!A868</f>
        <v>L00862</v>
      </c>
      <c r="K868" s="1">
        <f>868</f>
        <v>868</v>
      </c>
      <c r="L868" s="10">
        <f t="shared" si="66"/>
        <v>25068</v>
      </c>
      <c r="M868" s="1">
        <f t="shared" si="67"/>
        <v>1</v>
      </c>
      <c r="N868" s="1">
        <f t="shared" si="68"/>
        <v>1</v>
      </c>
      <c r="O868" s="1" t="str">
        <f>IF(I868=0,"UNUSED",IF(A868="","MISSING ID",IF(K868=0,"UNEXPECTED ID",IF(N868&lt;&gt;1,"ID / ORDER DIFFERENCE",IF('Source build'!U868&lt;&gt;"INCLUDED","EXCLUDED SOURCE",IF(NOT(M868),"INVALID AMOUNT",IF('Source build'!Y868&lt;&gt;0,"CHANGED FIELDS","MATCH")))))))</f>
        <v>MATCH</v>
      </c>
      <c r="P868" s="1" t="str">
        <f t="shared" si="69"/>
        <v>2026-02</v>
      </c>
    </row>
    <row r="869" spans="1:16" ht="18.95" customHeight="1">
      <c r="A869" s="7" t="s">
        <v>2347</v>
      </c>
      <c r="B869" s="7" t="s">
        <v>2348</v>
      </c>
      <c r="C869" s="7" t="s">
        <v>524</v>
      </c>
      <c r="D869" s="7" t="s">
        <v>97</v>
      </c>
      <c r="E869" s="7" t="s">
        <v>47</v>
      </c>
      <c r="F869" s="7" t="s">
        <v>98</v>
      </c>
      <c r="G869" s="7" t="s">
        <v>2349</v>
      </c>
      <c r="I869" s="1">
        <f t="shared" si="65"/>
        <v>1</v>
      </c>
      <c r="J869" s="1" t="str">
        <f>'Source build'!A869</f>
        <v>L00863</v>
      </c>
      <c r="K869" s="1">
        <f>869</f>
        <v>869</v>
      </c>
      <c r="L869" s="10">
        <f t="shared" si="66"/>
        <v>41965</v>
      </c>
      <c r="M869" s="1">
        <f t="shared" si="67"/>
        <v>1</v>
      </c>
      <c r="N869" s="1">
        <f t="shared" si="68"/>
        <v>1</v>
      </c>
      <c r="O869" s="1" t="str">
        <f>IF(I869=0,"UNUSED",IF(A869="","MISSING ID",IF(K869=0,"UNEXPECTED ID",IF(N869&lt;&gt;1,"ID / ORDER DIFFERENCE",IF('Source build'!U869&lt;&gt;"INCLUDED","EXCLUDED SOURCE",IF(NOT(M869),"INVALID AMOUNT",IF('Source build'!Y869&lt;&gt;0,"CHANGED FIELDS","MATCH")))))))</f>
        <v>MATCH</v>
      </c>
      <c r="P869" s="1" t="str">
        <f t="shared" si="69"/>
        <v>2026-02</v>
      </c>
    </row>
    <row r="870" spans="1:16" ht="18.95" customHeight="1">
      <c r="A870" s="7" t="s">
        <v>2350</v>
      </c>
      <c r="B870" s="7" t="s">
        <v>2348</v>
      </c>
      <c r="C870" s="7" t="s">
        <v>524</v>
      </c>
      <c r="D870" s="7" t="s">
        <v>103</v>
      </c>
      <c r="E870" s="7" t="s">
        <v>48</v>
      </c>
      <c r="F870" s="7" t="s">
        <v>98</v>
      </c>
      <c r="G870" s="7" t="s">
        <v>2351</v>
      </c>
      <c r="I870" s="1">
        <f t="shared" si="65"/>
        <v>1</v>
      </c>
      <c r="J870" s="1" t="str">
        <f>'Source build'!A870</f>
        <v>L00864</v>
      </c>
      <c r="K870" s="1">
        <f>870</f>
        <v>870</v>
      </c>
      <c r="L870" s="10">
        <f t="shared" si="66"/>
        <v>16860</v>
      </c>
      <c r="M870" s="1">
        <f t="shared" si="67"/>
        <v>1</v>
      </c>
      <c r="N870" s="1">
        <f t="shared" si="68"/>
        <v>1</v>
      </c>
      <c r="O870" s="1" t="str">
        <f>IF(I870=0,"UNUSED",IF(A870="","MISSING ID",IF(K870=0,"UNEXPECTED ID",IF(N870&lt;&gt;1,"ID / ORDER DIFFERENCE",IF('Source build'!U870&lt;&gt;"INCLUDED","EXCLUDED SOURCE",IF(NOT(M870),"INVALID AMOUNT",IF('Source build'!Y870&lt;&gt;0,"CHANGED FIELDS","MATCH")))))))</f>
        <v>MATCH</v>
      </c>
      <c r="P870" s="1" t="str">
        <f t="shared" si="69"/>
        <v>2026-02</v>
      </c>
    </row>
    <row r="871" spans="1:16" ht="18.95" customHeight="1">
      <c r="A871" s="7" t="s">
        <v>2352</v>
      </c>
      <c r="B871" s="7" t="s">
        <v>2353</v>
      </c>
      <c r="C871" s="7" t="s">
        <v>530</v>
      </c>
      <c r="D871" s="7" t="s">
        <v>93</v>
      </c>
      <c r="E871" s="7" t="s">
        <v>46</v>
      </c>
      <c r="F871" s="7" t="s">
        <v>98</v>
      </c>
      <c r="G871" s="7" t="s">
        <v>2354</v>
      </c>
      <c r="I871" s="1">
        <f t="shared" si="65"/>
        <v>1</v>
      </c>
      <c r="J871" s="1" t="str">
        <f>'Source build'!A871</f>
        <v>L00865</v>
      </c>
      <c r="K871" s="1">
        <f>871</f>
        <v>871</v>
      </c>
      <c r="L871" s="10">
        <f t="shared" si="66"/>
        <v>33868</v>
      </c>
      <c r="M871" s="1">
        <f t="shared" si="67"/>
        <v>1</v>
      </c>
      <c r="N871" s="1">
        <f t="shared" si="68"/>
        <v>1</v>
      </c>
      <c r="O871" s="1" t="str">
        <f>IF(I871=0,"UNUSED",IF(A871="","MISSING ID",IF(K871=0,"UNEXPECTED ID",IF(N871&lt;&gt;1,"ID / ORDER DIFFERENCE",IF('Source build'!U871&lt;&gt;"INCLUDED","EXCLUDED SOURCE",IF(NOT(M871),"INVALID AMOUNT",IF('Source build'!Y871&lt;&gt;0,"CHANGED FIELDS","MATCH")))))))</f>
        <v>MATCH</v>
      </c>
      <c r="P871" s="1" t="str">
        <f t="shared" si="69"/>
        <v>2026-02</v>
      </c>
    </row>
    <row r="872" spans="1:16" ht="18.95" customHeight="1">
      <c r="A872" s="7" t="s">
        <v>2355</v>
      </c>
      <c r="B872" s="7" t="s">
        <v>2353</v>
      </c>
      <c r="C872" s="7" t="s">
        <v>530</v>
      </c>
      <c r="D872" s="7" t="s">
        <v>97</v>
      </c>
      <c r="E872" s="7" t="s">
        <v>47</v>
      </c>
      <c r="F872" s="7" t="s">
        <v>98</v>
      </c>
      <c r="G872" s="7" t="s">
        <v>2356</v>
      </c>
      <c r="I872" s="1">
        <f t="shared" si="65"/>
        <v>1</v>
      </c>
      <c r="J872" s="1" t="str">
        <f>'Source build'!A872</f>
        <v>L00866</v>
      </c>
      <c r="K872" s="1">
        <f>872</f>
        <v>872</v>
      </c>
      <c r="L872" s="10">
        <f t="shared" si="66"/>
        <v>8504</v>
      </c>
      <c r="M872" s="1">
        <f t="shared" si="67"/>
        <v>1</v>
      </c>
      <c r="N872" s="1">
        <f t="shared" si="68"/>
        <v>1</v>
      </c>
      <c r="O872" s="1" t="str">
        <f>IF(I872=0,"UNUSED",IF(A872="","MISSING ID",IF(K872=0,"UNEXPECTED ID",IF(N872&lt;&gt;1,"ID / ORDER DIFFERENCE",IF('Source build'!U872&lt;&gt;"INCLUDED","EXCLUDED SOURCE",IF(NOT(M872),"INVALID AMOUNT",IF('Source build'!Y872&lt;&gt;0,"CHANGED FIELDS","MATCH")))))))</f>
        <v>MATCH</v>
      </c>
      <c r="P872" s="1" t="str">
        <f t="shared" si="69"/>
        <v>2026-02</v>
      </c>
    </row>
    <row r="873" spans="1:16" ht="18.95" customHeight="1">
      <c r="A873" s="7" t="s">
        <v>2357</v>
      </c>
      <c r="B873" s="7" t="s">
        <v>2358</v>
      </c>
      <c r="C873" s="7" t="s">
        <v>536</v>
      </c>
      <c r="D873" s="7" t="s">
        <v>103</v>
      </c>
      <c r="E873" s="7" t="s">
        <v>48</v>
      </c>
      <c r="F873" s="7" t="s">
        <v>98</v>
      </c>
      <c r="G873" s="7" t="s">
        <v>2359</v>
      </c>
      <c r="I873" s="1">
        <f t="shared" si="65"/>
        <v>1</v>
      </c>
      <c r="J873" s="1" t="str">
        <f>'Source build'!A873</f>
        <v>L00867</v>
      </c>
      <c r="K873" s="1">
        <f>873</f>
        <v>873</v>
      </c>
      <c r="L873" s="10">
        <f t="shared" si="66"/>
        <v>25623</v>
      </c>
      <c r="M873" s="1">
        <f t="shared" si="67"/>
        <v>1</v>
      </c>
      <c r="N873" s="1">
        <f t="shared" si="68"/>
        <v>1</v>
      </c>
      <c r="O873" s="1" t="str">
        <f>IF(I873=0,"UNUSED",IF(A873="","MISSING ID",IF(K873=0,"UNEXPECTED ID",IF(N873&lt;&gt;1,"ID / ORDER DIFFERENCE",IF('Source build'!U873&lt;&gt;"INCLUDED","EXCLUDED SOURCE",IF(NOT(M873),"INVALID AMOUNT",IF('Source build'!Y873&lt;&gt;0,"CHANGED FIELDS","MATCH")))))))</f>
        <v>MATCH</v>
      </c>
      <c r="P873" s="1" t="str">
        <f t="shared" si="69"/>
        <v>2026-03</v>
      </c>
    </row>
    <row r="874" spans="1:16" ht="18.95" customHeight="1">
      <c r="A874" s="7" t="s">
        <v>2360</v>
      </c>
      <c r="B874" s="7" t="s">
        <v>2358</v>
      </c>
      <c r="C874" s="7" t="s">
        <v>536</v>
      </c>
      <c r="D874" s="7" t="s">
        <v>93</v>
      </c>
      <c r="E874" s="7" t="s">
        <v>46</v>
      </c>
      <c r="F874" s="7" t="s">
        <v>98</v>
      </c>
      <c r="G874" s="7" t="s">
        <v>2361</v>
      </c>
      <c r="I874" s="1">
        <f t="shared" si="65"/>
        <v>1</v>
      </c>
      <c r="J874" s="1" t="str">
        <f>'Source build'!A874</f>
        <v>L00868</v>
      </c>
      <c r="K874" s="1">
        <f>874</f>
        <v>874</v>
      </c>
      <c r="L874" s="10">
        <f t="shared" si="66"/>
        <v>42890</v>
      </c>
      <c r="M874" s="1">
        <f t="shared" si="67"/>
        <v>1</v>
      </c>
      <c r="N874" s="1">
        <f t="shared" si="68"/>
        <v>1</v>
      </c>
      <c r="O874" s="1" t="str">
        <f>IF(I874=0,"UNUSED",IF(A874="","MISSING ID",IF(K874=0,"UNEXPECTED ID",IF(N874&lt;&gt;1,"ID / ORDER DIFFERENCE",IF('Source build'!U874&lt;&gt;"INCLUDED","EXCLUDED SOURCE",IF(NOT(M874),"INVALID AMOUNT",IF('Source build'!Y874&lt;&gt;0,"CHANGED FIELDS","MATCH")))))))</f>
        <v>MATCH</v>
      </c>
      <c r="P874" s="1" t="str">
        <f t="shared" si="69"/>
        <v>2026-03</v>
      </c>
    </row>
    <row r="875" spans="1:16" ht="18.95" customHeight="1">
      <c r="A875" s="7" t="s">
        <v>2362</v>
      </c>
      <c r="B875" s="7" t="s">
        <v>2363</v>
      </c>
      <c r="C875" s="7" t="s">
        <v>542</v>
      </c>
      <c r="D875" s="7" t="s">
        <v>97</v>
      </c>
      <c r="E875" s="7" t="s">
        <v>47</v>
      </c>
      <c r="F875" s="7" t="s">
        <v>98</v>
      </c>
      <c r="G875" s="7" t="s">
        <v>2364</v>
      </c>
      <c r="I875" s="1">
        <f t="shared" si="65"/>
        <v>1</v>
      </c>
      <c r="J875" s="1" t="str">
        <f>'Source build'!A875</f>
        <v>L00869</v>
      </c>
      <c r="K875" s="1">
        <f>875</f>
        <v>875</v>
      </c>
      <c r="L875" s="10">
        <f t="shared" si="66"/>
        <v>17230</v>
      </c>
      <c r="M875" s="1">
        <f t="shared" si="67"/>
        <v>1</v>
      </c>
      <c r="N875" s="1">
        <f t="shared" si="68"/>
        <v>1</v>
      </c>
      <c r="O875" s="1" t="str">
        <f>IF(I875=0,"UNUSED",IF(A875="","MISSING ID",IF(K875=0,"UNEXPECTED ID",IF(N875&lt;&gt;1,"ID / ORDER DIFFERENCE",IF('Source build'!U875&lt;&gt;"INCLUDED","EXCLUDED SOURCE",IF(NOT(M875),"INVALID AMOUNT",IF('Source build'!Y875&lt;&gt;0,"CHANGED FIELDS","MATCH")))))))</f>
        <v>MATCH</v>
      </c>
      <c r="P875" s="1" t="str">
        <f t="shared" si="69"/>
        <v>2026-03</v>
      </c>
    </row>
    <row r="876" spans="1:16" ht="18.95" customHeight="1">
      <c r="A876" s="7" t="s">
        <v>2365</v>
      </c>
      <c r="B876" s="7" t="s">
        <v>2363</v>
      </c>
      <c r="C876" s="7" t="s">
        <v>542</v>
      </c>
      <c r="D876" s="7" t="s">
        <v>103</v>
      </c>
      <c r="E876" s="7" t="s">
        <v>48</v>
      </c>
      <c r="F876" s="7" t="s">
        <v>98</v>
      </c>
      <c r="G876" s="7" t="s">
        <v>2366</v>
      </c>
      <c r="I876" s="1">
        <f t="shared" si="65"/>
        <v>1</v>
      </c>
      <c r="J876" s="1" t="str">
        <f>'Source build'!A876</f>
        <v>L00870</v>
      </c>
      <c r="K876" s="1">
        <f>876</f>
        <v>876</v>
      </c>
      <c r="L876" s="10">
        <f t="shared" si="66"/>
        <v>34608</v>
      </c>
      <c r="M876" s="1">
        <f t="shared" si="67"/>
        <v>1</v>
      </c>
      <c r="N876" s="1">
        <f t="shared" si="68"/>
        <v>1</v>
      </c>
      <c r="O876" s="1" t="str">
        <f>IF(I876=0,"UNUSED",IF(A876="","MISSING ID",IF(K876=0,"UNEXPECTED ID",IF(N876&lt;&gt;1,"ID / ORDER DIFFERENCE",IF('Source build'!U876&lt;&gt;"INCLUDED","EXCLUDED SOURCE",IF(NOT(M876),"INVALID AMOUNT",IF('Source build'!Y876&lt;&gt;0,"CHANGED FIELDS","MATCH")))))))</f>
        <v>MATCH</v>
      </c>
      <c r="P876" s="1" t="str">
        <f t="shared" si="69"/>
        <v>2026-03</v>
      </c>
    </row>
    <row r="877" spans="1:16" ht="18.95" customHeight="1">
      <c r="A877" s="7" t="s">
        <v>2367</v>
      </c>
      <c r="B877" s="7" t="s">
        <v>2368</v>
      </c>
      <c r="C877" s="7" t="s">
        <v>548</v>
      </c>
      <c r="D877" s="7" t="s">
        <v>93</v>
      </c>
      <c r="E877" s="7" t="s">
        <v>46</v>
      </c>
      <c r="F877" s="7" t="s">
        <v>98</v>
      </c>
      <c r="G877" s="7" t="s">
        <v>2369</v>
      </c>
      <c r="I877" s="1">
        <f t="shared" si="65"/>
        <v>1</v>
      </c>
      <c r="J877" s="1" t="str">
        <f>'Source build'!A877</f>
        <v>L00871</v>
      </c>
      <c r="K877" s="1">
        <f>877</f>
        <v>877</v>
      </c>
      <c r="L877" s="10">
        <f t="shared" si="66"/>
        <v>8689</v>
      </c>
      <c r="M877" s="1">
        <f t="shared" si="67"/>
        <v>1</v>
      </c>
      <c r="N877" s="1">
        <f t="shared" si="68"/>
        <v>1</v>
      </c>
      <c r="O877" s="1" t="str">
        <f>IF(I877=0,"UNUSED",IF(A877="","MISSING ID",IF(K877=0,"UNEXPECTED ID",IF(N877&lt;&gt;1,"ID / ORDER DIFFERENCE",IF('Source build'!U877&lt;&gt;"INCLUDED","EXCLUDED SOURCE",IF(NOT(M877),"INVALID AMOUNT",IF('Source build'!Y877&lt;&gt;0,"CHANGED FIELDS","MATCH")))))))</f>
        <v>MATCH</v>
      </c>
      <c r="P877" s="1" t="str">
        <f t="shared" si="69"/>
        <v>2026-03</v>
      </c>
    </row>
    <row r="878" spans="1:16" ht="18.95" customHeight="1">
      <c r="A878" s="7" t="s">
        <v>2370</v>
      </c>
      <c r="B878" s="7" t="s">
        <v>2368</v>
      </c>
      <c r="C878" s="7" t="s">
        <v>548</v>
      </c>
      <c r="D878" s="7" t="s">
        <v>97</v>
      </c>
      <c r="E878" s="7" t="s">
        <v>47</v>
      </c>
      <c r="F878" s="7" t="s">
        <v>98</v>
      </c>
      <c r="G878" s="7" t="s">
        <v>2371</v>
      </c>
      <c r="I878" s="1">
        <f t="shared" si="65"/>
        <v>1</v>
      </c>
      <c r="J878" s="1" t="str">
        <f>'Source build'!A878</f>
        <v>L00872</v>
      </c>
      <c r="K878" s="1">
        <f>878</f>
        <v>878</v>
      </c>
      <c r="L878" s="10">
        <f t="shared" si="66"/>
        <v>26178</v>
      </c>
      <c r="M878" s="1">
        <f t="shared" si="67"/>
        <v>1</v>
      </c>
      <c r="N878" s="1">
        <f t="shared" si="68"/>
        <v>1</v>
      </c>
      <c r="O878" s="1" t="str">
        <f>IF(I878=0,"UNUSED",IF(A878="","MISSING ID",IF(K878=0,"UNEXPECTED ID",IF(N878&lt;&gt;1,"ID / ORDER DIFFERENCE",IF('Source build'!U878&lt;&gt;"INCLUDED","EXCLUDED SOURCE",IF(NOT(M878),"INVALID AMOUNT",IF('Source build'!Y878&lt;&gt;0,"CHANGED FIELDS","MATCH")))))))</f>
        <v>MATCH</v>
      </c>
      <c r="P878" s="1" t="str">
        <f t="shared" si="69"/>
        <v>2026-03</v>
      </c>
    </row>
    <row r="879" spans="1:16" ht="18.95" customHeight="1">
      <c r="A879" s="7" t="s">
        <v>2372</v>
      </c>
      <c r="B879" s="7" t="s">
        <v>2373</v>
      </c>
      <c r="C879" s="7" t="s">
        <v>554</v>
      </c>
      <c r="D879" s="7" t="s">
        <v>103</v>
      </c>
      <c r="E879" s="7" t="s">
        <v>48</v>
      </c>
      <c r="F879" s="7" t="s">
        <v>98</v>
      </c>
      <c r="G879" s="7" t="s">
        <v>2374</v>
      </c>
      <c r="I879" s="1">
        <f t="shared" si="65"/>
        <v>1</v>
      </c>
      <c r="J879" s="1" t="str">
        <f>'Source build'!A879</f>
        <v>L00873</v>
      </c>
      <c r="K879" s="1">
        <f>879</f>
        <v>879</v>
      </c>
      <c r="L879" s="10">
        <f t="shared" si="66"/>
        <v>43815</v>
      </c>
      <c r="M879" s="1">
        <f t="shared" si="67"/>
        <v>1</v>
      </c>
      <c r="N879" s="1">
        <f t="shared" si="68"/>
        <v>1</v>
      </c>
      <c r="O879" s="1" t="str">
        <f>IF(I879=0,"UNUSED",IF(A879="","MISSING ID",IF(K879=0,"UNEXPECTED ID",IF(N879&lt;&gt;1,"ID / ORDER DIFFERENCE",IF('Source build'!U879&lt;&gt;"INCLUDED","EXCLUDED SOURCE",IF(NOT(M879),"INVALID AMOUNT",IF('Source build'!Y879&lt;&gt;0,"CHANGED FIELDS","MATCH")))))))</f>
        <v>MATCH</v>
      </c>
      <c r="P879" s="1" t="str">
        <f t="shared" si="69"/>
        <v>2026-03</v>
      </c>
    </row>
    <row r="880" spans="1:16" ht="18.95" customHeight="1">
      <c r="A880" s="7" t="s">
        <v>2375</v>
      </c>
      <c r="B880" s="7" t="s">
        <v>2373</v>
      </c>
      <c r="C880" s="7" t="s">
        <v>554</v>
      </c>
      <c r="D880" s="7" t="s">
        <v>93</v>
      </c>
      <c r="E880" s="7" t="s">
        <v>46</v>
      </c>
      <c r="F880" s="7" t="s">
        <v>98</v>
      </c>
      <c r="G880" s="7" t="s">
        <v>2376</v>
      </c>
      <c r="I880" s="1">
        <f t="shared" si="65"/>
        <v>1</v>
      </c>
      <c r="J880" s="1" t="str">
        <f>'Source build'!A880</f>
        <v>L00874</v>
      </c>
      <c r="K880" s="1">
        <f>880</f>
        <v>880</v>
      </c>
      <c r="L880" s="10">
        <f t="shared" si="66"/>
        <v>17600</v>
      </c>
      <c r="M880" s="1">
        <f t="shared" si="67"/>
        <v>1</v>
      </c>
      <c r="N880" s="1">
        <f t="shared" si="68"/>
        <v>1</v>
      </c>
      <c r="O880" s="1" t="str">
        <f>IF(I880=0,"UNUSED",IF(A880="","MISSING ID",IF(K880=0,"UNEXPECTED ID",IF(N880&lt;&gt;1,"ID / ORDER DIFFERENCE",IF('Source build'!U880&lt;&gt;"INCLUDED","EXCLUDED SOURCE",IF(NOT(M880),"INVALID AMOUNT",IF('Source build'!Y880&lt;&gt;0,"CHANGED FIELDS","MATCH")))))))</f>
        <v>MATCH</v>
      </c>
      <c r="P880" s="1" t="str">
        <f t="shared" si="69"/>
        <v>2026-03</v>
      </c>
    </row>
    <row r="881" spans="1:16" ht="18.95" customHeight="1">
      <c r="A881" s="7" t="s">
        <v>2377</v>
      </c>
      <c r="B881" s="7" t="s">
        <v>2378</v>
      </c>
      <c r="C881" s="7" t="s">
        <v>560</v>
      </c>
      <c r="D881" s="7" t="s">
        <v>97</v>
      </c>
      <c r="E881" s="7" t="s">
        <v>47</v>
      </c>
      <c r="F881" s="7" t="s">
        <v>94</v>
      </c>
      <c r="G881" s="7" t="s">
        <v>2379</v>
      </c>
      <c r="I881" s="1">
        <f t="shared" si="65"/>
        <v>1</v>
      </c>
      <c r="J881" s="1" t="str">
        <f>'Source build'!A881</f>
        <v>L00875</v>
      </c>
      <c r="K881" s="1">
        <f>881</f>
        <v>881</v>
      </c>
      <c r="L881" s="10">
        <f t="shared" si="66"/>
        <v>-35348</v>
      </c>
      <c r="M881" s="1">
        <f t="shared" si="67"/>
        <v>1</v>
      </c>
      <c r="N881" s="1">
        <f t="shared" si="68"/>
        <v>1</v>
      </c>
      <c r="O881" s="1" t="str">
        <f>IF(I881=0,"UNUSED",IF(A881="","MISSING ID",IF(K881=0,"UNEXPECTED ID",IF(N881&lt;&gt;1,"ID / ORDER DIFFERENCE",IF('Source build'!U881&lt;&gt;"INCLUDED","EXCLUDED SOURCE",IF(NOT(M881),"INVALID AMOUNT",IF('Source build'!Y881&lt;&gt;0,"CHANGED FIELDS","MATCH")))))))</f>
        <v>MATCH</v>
      </c>
      <c r="P881" s="1" t="str">
        <f t="shared" si="69"/>
        <v>2026-03</v>
      </c>
    </row>
    <row r="882" spans="1:16" ht="18.95" customHeight="1">
      <c r="A882" s="7" t="s">
        <v>2380</v>
      </c>
      <c r="B882" s="7" t="s">
        <v>2378</v>
      </c>
      <c r="C882" s="7" t="s">
        <v>560</v>
      </c>
      <c r="D882" s="7" t="s">
        <v>103</v>
      </c>
      <c r="E882" s="7" t="s">
        <v>48</v>
      </c>
      <c r="F882" s="7" t="s">
        <v>98</v>
      </c>
      <c r="G882" s="7" t="s">
        <v>2381</v>
      </c>
      <c r="I882" s="1">
        <f t="shared" si="65"/>
        <v>1</v>
      </c>
      <c r="J882" s="1" t="str">
        <f>'Source build'!A882</f>
        <v>L00876</v>
      </c>
      <c r="K882" s="1">
        <f>882</f>
        <v>882</v>
      </c>
      <c r="L882" s="10">
        <f t="shared" si="66"/>
        <v>8874</v>
      </c>
      <c r="M882" s="1">
        <f t="shared" si="67"/>
        <v>1</v>
      </c>
      <c r="N882" s="1">
        <f t="shared" si="68"/>
        <v>1</v>
      </c>
      <c r="O882" s="1" t="str">
        <f>IF(I882=0,"UNUSED",IF(A882="","MISSING ID",IF(K882=0,"UNEXPECTED ID",IF(N882&lt;&gt;1,"ID / ORDER DIFFERENCE",IF('Source build'!U882&lt;&gt;"INCLUDED","EXCLUDED SOURCE",IF(NOT(M882),"INVALID AMOUNT",IF('Source build'!Y882&lt;&gt;0,"CHANGED FIELDS","MATCH")))))))</f>
        <v>MATCH</v>
      </c>
      <c r="P882" s="1" t="str">
        <f t="shared" si="69"/>
        <v>2026-03</v>
      </c>
    </row>
    <row r="883" spans="1:16" ht="18.95" customHeight="1">
      <c r="A883" s="7" t="s">
        <v>2382</v>
      </c>
      <c r="B883" s="7" t="s">
        <v>2383</v>
      </c>
      <c r="C883" s="7" t="s">
        <v>566</v>
      </c>
      <c r="D883" s="7" t="s">
        <v>93</v>
      </c>
      <c r="E883" s="7" t="s">
        <v>46</v>
      </c>
      <c r="F883" s="7" t="s">
        <v>98</v>
      </c>
      <c r="G883" s="7" t="s">
        <v>2384</v>
      </c>
      <c r="I883" s="1">
        <f t="shared" si="65"/>
        <v>1</v>
      </c>
      <c r="J883" s="1" t="str">
        <f>'Source build'!A883</f>
        <v>L00877</v>
      </c>
      <c r="K883" s="1">
        <f>883</f>
        <v>883</v>
      </c>
      <c r="L883" s="10">
        <f t="shared" si="66"/>
        <v>26733</v>
      </c>
      <c r="M883" s="1">
        <f t="shared" si="67"/>
        <v>1</v>
      </c>
      <c r="N883" s="1">
        <f t="shared" si="68"/>
        <v>1</v>
      </c>
      <c r="O883" s="1" t="str">
        <f>IF(I883=0,"UNUSED",IF(A883="","MISSING ID",IF(K883=0,"UNEXPECTED ID",IF(N883&lt;&gt;1,"ID / ORDER DIFFERENCE",IF('Source build'!U883&lt;&gt;"INCLUDED","EXCLUDED SOURCE",IF(NOT(M883),"INVALID AMOUNT",IF('Source build'!Y883&lt;&gt;0,"CHANGED FIELDS","MATCH")))))))</f>
        <v>MATCH</v>
      </c>
      <c r="P883" s="1" t="str">
        <f t="shared" si="69"/>
        <v>2026-01</v>
      </c>
    </row>
    <row r="884" spans="1:16" ht="18.95" customHeight="1">
      <c r="A884" s="7" t="s">
        <v>2385</v>
      </c>
      <c r="B884" s="7" t="s">
        <v>2383</v>
      </c>
      <c r="C884" s="7" t="s">
        <v>566</v>
      </c>
      <c r="D884" s="7" t="s">
        <v>97</v>
      </c>
      <c r="E884" s="7" t="s">
        <v>47</v>
      </c>
      <c r="F884" s="7" t="s">
        <v>98</v>
      </c>
      <c r="G884" s="7" t="s">
        <v>2386</v>
      </c>
      <c r="I884" s="1">
        <f t="shared" si="65"/>
        <v>1</v>
      </c>
      <c r="J884" s="1" t="str">
        <f>'Source build'!A884</f>
        <v>L00878</v>
      </c>
      <c r="K884" s="1">
        <f>884</f>
        <v>884</v>
      </c>
      <c r="L884" s="10">
        <f t="shared" si="66"/>
        <v>44740</v>
      </c>
      <c r="M884" s="1">
        <f t="shared" si="67"/>
        <v>1</v>
      </c>
      <c r="N884" s="1">
        <f t="shared" si="68"/>
        <v>1</v>
      </c>
      <c r="O884" s="1" t="str">
        <f>IF(I884=0,"UNUSED",IF(A884="","MISSING ID",IF(K884=0,"UNEXPECTED ID",IF(N884&lt;&gt;1,"ID / ORDER DIFFERENCE",IF('Source build'!U884&lt;&gt;"INCLUDED","EXCLUDED SOURCE",IF(NOT(M884),"INVALID AMOUNT",IF('Source build'!Y884&lt;&gt;0,"CHANGED FIELDS","MATCH")))))))</f>
        <v>MATCH</v>
      </c>
      <c r="P884" s="1" t="str">
        <f t="shared" si="69"/>
        <v>2026-01</v>
      </c>
    </row>
    <row r="885" spans="1:16" ht="18.95" customHeight="1">
      <c r="A885" s="7" t="s">
        <v>2387</v>
      </c>
      <c r="B885" s="7" t="s">
        <v>2388</v>
      </c>
      <c r="C885" s="7" t="s">
        <v>572</v>
      </c>
      <c r="D885" s="7" t="s">
        <v>103</v>
      </c>
      <c r="E885" s="7" t="s">
        <v>48</v>
      </c>
      <c r="F885" s="7" t="s">
        <v>98</v>
      </c>
      <c r="G885" s="7" t="s">
        <v>2389</v>
      </c>
      <c r="I885" s="1">
        <f t="shared" si="65"/>
        <v>1</v>
      </c>
      <c r="J885" s="1" t="str">
        <f>'Source build'!A885</f>
        <v>L00879</v>
      </c>
      <c r="K885" s="1">
        <f>885</f>
        <v>885</v>
      </c>
      <c r="L885" s="10">
        <f t="shared" si="66"/>
        <v>17970</v>
      </c>
      <c r="M885" s="1">
        <f t="shared" si="67"/>
        <v>1</v>
      </c>
      <c r="N885" s="1">
        <f t="shared" si="68"/>
        <v>1</v>
      </c>
      <c r="O885" s="1" t="str">
        <f>IF(I885=0,"UNUSED",IF(A885="","MISSING ID",IF(K885=0,"UNEXPECTED ID",IF(N885&lt;&gt;1,"ID / ORDER DIFFERENCE",IF('Source build'!U885&lt;&gt;"INCLUDED","EXCLUDED SOURCE",IF(NOT(M885),"INVALID AMOUNT",IF('Source build'!Y885&lt;&gt;0,"CHANGED FIELDS","MATCH")))))))</f>
        <v>MATCH</v>
      </c>
      <c r="P885" s="1" t="str">
        <f t="shared" si="69"/>
        <v>2026-01</v>
      </c>
    </row>
    <row r="886" spans="1:16" ht="18.95" customHeight="1">
      <c r="A886" s="7" t="s">
        <v>2390</v>
      </c>
      <c r="B886" s="7" t="s">
        <v>2388</v>
      </c>
      <c r="C886" s="7" t="s">
        <v>572</v>
      </c>
      <c r="D886" s="7" t="s">
        <v>93</v>
      </c>
      <c r="E886" s="7" t="s">
        <v>46</v>
      </c>
      <c r="F886" s="7" t="s">
        <v>98</v>
      </c>
      <c r="G886" s="7" t="s">
        <v>2391</v>
      </c>
      <c r="I886" s="1">
        <f t="shared" si="65"/>
        <v>1</v>
      </c>
      <c r="J886" s="1" t="str">
        <f>'Source build'!A886</f>
        <v>L00880</v>
      </c>
      <c r="K886" s="1">
        <f>886</f>
        <v>886</v>
      </c>
      <c r="L886" s="10">
        <f t="shared" si="66"/>
        <v>36088</v>
      </c>
      <c r="M886" s="1">
        <f t="shared" si="67"/>
        <v>1</v>
      </c>
      <c r="N886" s="1">
        <f t="shared" si="68"/>
        <v>1</v>
      </c>
      <c r="O886" s="1" t="str">
        <f>IF(I886=0,"UNUSED",IF(A886="","MISSING ID",IF(K886=0,"UNEXPECTED ID",IF(N886&lt;&gt;1,"ID / ORDER DIFFERENCE",IF('Source build'!U886&lt;&gt;"INCLUDED","EXCLUDED SOURCE",IF(NOT(M886),"INVALID AMOUNT",IF('Source build'!Y886&lt;&gt;0,"CHANGED FIELDS","MATCH")))))))</f>
        <v>MATCH</v>
      </c>
      <c r="P886" s="1" t="str">
        <f t="shared" si="69"/>
        <v>2026-01</v>
      </c>
    </row>
    <row r="887" spans="1:16" ht="18.95" customHeight="1">
      <c r="A887" s="7" t="s">
        <v>2392</v>
      </c>
      <c r="B887" s="7" t="s">
        <v>2393</v>
      </c>
      <c r="C887" s="7" t="s">
        <v>578</v>
      </c>
      <c r="D887" s="7" t="s">
        <v>97</v>
      </c>
      <c r="E887" s="7" t="s">
        <v>47</v>
      </c>
      <c r="F887" s="7" t="s">
        <v>98</v>
      </c>
      <c r="G887" s="7" t="s">
        <v>2394</v>
      </c>
      <c r="I887" s="1">
        <f t="shared" si="65"/>
        <v>1</v>
      </c>
      <c r="J887" s="1" t="str">
        <f>'Source build'!A887</f>
        <v>L00881</v>
      </c>
      <c r="K887" s="1">
        <f>887</f>
        <v>887</v>
      </c>
      <c r="L887" s="10">
        <f t="shared" si="66"/>
        <v>9059</v>
      </c>
      <c r="M887" s="1">
        <f t="shared" si="67"/>
        <v>1</v>
      </c>
      <c r="N887" s="1">
        <f t="shared" si="68"/>
        <v>1</v>
      </c>
      <c r="O887" s="1" t="str">
        <f>IF(I887=0,"UNUSED",IF(A887="","MISSING ID",IF(K887=0,"UNEXPECTED ID",IF(N887&lt;&gt;1,"ID / ORDER DIFFERENCE",IF('Source build'!U887&lt;&gt;"INCLUDED","EXCLUDED SOURCE",IF(NOT(M887),"INVALID AMOUNT",IF('Source build'!Y887&lt;&gt;0,"CHANGED FIELDS","MATCH")))))))</f>
        <v>MATCH</v>
      </c>
      <c r="P887" s="1" t="str">
        <f t="shared" si="69"/>
        <v>2026-01</v>
      </c>
    </row>
    <row r="888" spans="1:16" ht="18.95" customHeight="1">
      <c r="A888" s="7" t="s">
        <v>2395</v>
      </c>
      <c r="B888" s="7" t="s">
        <v>2393</v>
      </c>
      <c r="C888" s="7" t="s">
        <v>578</v>
      </c>
      <c r="D888" s="7" t="s">
        <v>103</v>
      </c>
      <c r="E888" s="7" t="s">
        <v>48</v>
      </c>
      <c r="F888" s="7" t="s">
        <v>98</v>
      </c>
      <c r="G888" s="7" t="s">
        <v>2396</v>
      </c>
      <c r="I888" s="1">
        <f t="shared" si="65"/>
        <v>1</v>
      </c>
      <c r="J888" s="1" t="str">
        <f>'Source build'!A888</f>
        <v>L00882</v>
      </c>
      <c r="K888" s="1">
        <f>888</f>
        <v>888</v>
      </c>
      <c r="L888" s="10">
        <f t="shared" si="66"/>
        <v>27288</v>
      </c>
      <c r="M888" s="1">
        <f t="shared" si="67"/>
        <v>1</v>
      </c>
      <c r="N888" s="1">
        <f t="shared" si="68"/>
        <v>1</v>
      </c>
      <c r="O888" s="1" t="str">
        <f>IF(I888=0,"UNUSED",IF(A888="","MISSING ID",IF(K888=0,"UNEXPECTED ID",IF(N888&lt;&gt;1,"ID / ORDER DIFFERENCE",IF('Source build'!U888&lt;&gt;"INCLUDED","EXCLUDED SOURCE",IF(NOT(M888),"INVALID AMOUNT",IF('Source build'!Y888&lt;&gt;0,"CHANGED FIELDS","MATCH")))))))</f>
        <v>MATCH</v>
      </c>
      <c r="P888" s="1" t="str">
        <f t="shared" si="69"/>
        <v>2026-01</v>
      </c>
    </row>
    <row r="889" spans="1:16" ht="18.95" customHeight="1">
      <c r="A889" s="7" t="s">
        <v>2397</v>
      </c>
      <c r="B889" s="7" t="s">
        <v>2398</v>
      </c>
      <c r="C889" s="7" t="s">
        <v>584</v>
      </c>
      <c r="D889" s="7" t="s">
        <v>93</v>
      </c>
      <c r="E889" s="7" t="s">
        <v>46</v>
      </c>
      <c r="F889" s="7" t="s">
        <v>98</v>
      </c>
      <c r="G889" s="7" t="s">
        <v>2399</v>
      </c>
      <c r="I889" s="1">
        <f t="shared" si="65"/>
        <v>1</v>
      </c>
      <c r="J889" s="1" t="str">
        <f>'Source build'!A889</f>
        <v>L00883</v>
      </c>
      <c r="K889" s="1">
        <f>889</f>
        <v>889</v>
      </c>
      <c r="L889" s="10">
        <f t="shared" si="66"/>
        <v>45665</v>
      </c>
      <c r="M889" s="1">
        <f t="shared" si="67"/>
        <v>1</v>
      </c>
      <c r="N889" s="1">
        <f t="shared" si="68"/>
        <v>1</v>
      </c>
      <c r="O889" s="1" t="str">
        <f>IF(I889=0,"UNUSED",IF(A889="","MISSING ID",IF(K889=0,"UNEXPECTED ID",IF(N889&lt;&gt;1,"ID / ORDER DIFFERENCE",IF('Source build'!U889&lt;&gt;"INCLUDED","EXCLUDED SOURCE",IF(NOT(M889),"INVALID AMOUNT",IF('Source build'!Y889&lt;&gt;0,"CHANGED FIELDS","MATCH")))))))</f>
        <v>MATCH</v>
      </c>
      <c r="P889" s="1" t="str">
        <f t="shared" si="69"/>
        <v>2026-01</v>
      </c>
    </row>
    <row r="890" spans="1:16" ht="18.95" customHeight="1">
      <c r="A890" s="7" t="s">
        <v>2400</v>
      </c>
      <c r="B890" s="7" t="s">
        <v>2398</v>
      </c>
      <c r="C890" s="7" t="s">
        <v>584</v>
      </c>
      <c r="D890" s="7" t="s">
        <v>97</v>
      </c>
      <c r="E890" s="7" t="s">
        <v>47</v>
      </c>
      <c r="F890" s="7" t="s">
        <v>98</v>
      </c>
      <c r="G890" s="7" t="s">
        <v>2401</v>
      </c>
      <c r="I890" s="1">
        <f t="shared" si="65"/>
        <v>1</v>
      </c>
      <c r="J890" s="1" t="str">
        <f>'Source build'!A890</f>
        <v>L00884</v>
      </c>
      <c r="K890" s="1">
        <f>890</f>
        <v>890</v>
      </c>
      <c r="L890" s="10">
        <f t="shared" si="66"/>
        <v>18340</v>
      </c>
      <c r="M890" s="1">
        <f t="shared" si="67"/>
        <v>1</v>
      </c>
      <c r="N890" s="1">
        <f t="shared" si="68"/>
        <v>1</v>
      </c>
      <c r="O890" s="1" t="str">
        <f>IF(I890=0,"UNUSED",IF(A890="","MISSING ID",IF(K890=0,"UNEXPECTED ID",IF(N890&lt;&gt;1,"ID / ORDER DIFFERENCE",IF('Source build'!U890&lt;&gt;"INCLUDED","EXCLUDED SOURCE",IF(NOT(M890),"INVALID AMOUNT",IF('Source build'!Y890&lt;&gt;0,"CHANGED FIELDS","MATCH")))))))</f>
        <v>MATCH</v>
      </c>
      <c r="P890" s="1" t="str">
        <f t="shared" si="69"/>
        <v>2026-01</v>
      </c>
    </row>
    <row r="891" spans="1:16" ht="18.95" customHeight="1">
      <c r="A891" s="7" t="s">
        <v>2402</v>
      </c>
      <c r="B891" s="7" t="s">
        <v>2403</v>
      </c>
      <c r="C891" s="7" t="s">
        <v>590</v>
      </c>
      <c r="D891" s="7" t="s">
        <v>103</v>
      </c>
      <c r="E891" s="7" t="s">
        <v>48</v>
      </c>
      <c r="F891" s="7" t="s">
        <v>98</v>
      </c>
      <c r="G891" s="7" t="s">
        <v>2404</v>
      </c>
      <c r="I891" s="1">
        <f t="shared" si="65"/>
        <v>1</v>
      </c>
      <c r="J891" s="1" t="str">
        <f>'Source build'!A891</f>
        <v>L00885</v>
      </c>
      <c r="K891" s="1">
        <f>891</f>
        <v>891</v>
      </c>
      <c r="L891" s="10">
        <f t="shared" si="66"/>
        <v>36828</v>
      </c>
      <c r="M891" s="1">
        <f t="shared" si="67"/>
        <v>1</v>
      </c>
      <c r="N891" s="1">
        <f t="shared" si="68"/>
        <v>1</v>
      </c>
      <c r="O891" s="1" t="str">
        <f>IF(I891=0,"UNUSED",IF(A891="","MISSING ID",IF(K891=0,"UNEXPECTED ID",IF(N891&lt;&gt;1,"ID / ORDER DIFFERENCE",IF('Source build'!U891&lt;&gt;"INCLUDED","EXCLUDED SOURCE",IF(NOT(M891),"INVALID AMOUNT",IF('Source build'!Y891&lt;&gt;0,"CHANGED FIELDS","MATCH")))))))</f>
        <v>MATCH</v>
      </c>
      <c r="P891" s="1" t="str">
        <f t="shared" si="69"/>
        <v>2026-02</v>
      </c>
    </row>
    <row r="892" spans="1:16" ht="18.95" customHeight="1">
      <c r="A892" s="7" t="s">
        <v>2405</v>
      </c>
      <c r="B892" s="7" t="s">
        <v>2403</v>
      </c>
      <c r="C892" s="7" t="s">
        <v>590</v>
      </c>
      <c r="D892" s="7" t="s">
        <v>93</v>
      </c>
      <c r="E892" s="7" t="s">
        <v>46</v>
      </c>
      <c r="F892" s="7" t="s">
        <v>98</v>
      </c>
      <c r="G892" s="7" t="s">
        <v>2406</v>
      </c>
      <c r="I892" s="1">
        <f t="shared" si="65"/>
        <v>1</v>
      </c>
      <c r="J892" s="1" t="str">
        <f>'Source build'!A892</f>
        <v>L00886</v>
      </c>
      <c r="K892" s="1">
        <f>892</f>
        <v>892</v>
      </c>
      <c r="L892" s="10">
        <f t="shared" si="66"/>
        <v>9244</v>
      </c>
      <c r="M892" s="1">
        <f t="shared" si="67"/>
        <v>1</v>
      </c>
      <c r="N892" s="1">
        <f t="shared" si="68"/>
        <v>1</v>
      </c>
      <c r="O892" s="1" t="str">
        <f>IF(I892=0,"UNUSED",IF(A892="","MISSING ID",IF(K892=0,"UNEXPECTED ID",IF(N892&lt;&gt;1,"ID / ORDER DIFFERENCE",IF('Source build'!U892&lt;&gt;"INCLUDED","EXCLUDED SOURCE",IF(NOT(M892),"INVALID AMOUNT",IF('Source build'!Y892&lt;&gt;0,"CHANGED FIELDS","MATCH")))))))</f>
        <v>MATCH</v>
      </c>
      <c r="P892" s="1" t="str">
        <f t="shared" si="69"/>
        <v>2026-02</v>
      </c>
    </row>
    <row r="893" spans="1:16" ht="18.95" customHeight="1">
      <c r="A893" s="7" t="s">
        <v>2407</v>
      </c>
      <c r="B893" s="7" t="s">
        <v>2408</v>
      </c>
      <c r="C893" s="7" t="s">
        <v>596</v>
      </c>
      <c r="D893" s="7" t="s">
        <v>97</v>
      </c>
      <c r="E893" s="7" t="s">
        <v>47</v>
      </c>
      <c r="F893" s="7" t="s">
        <v>98</v>
      </c>
      <c r="G893" s="7" t="s">
        <v>2409</v>
      </c>
      <c r="I893" s="1">
        <f t="shared" si="65"/>
        <v>1</v>
      </c>
      <c r="J893" s="1" t="str">
        <f>'Source build'!A893</f>
        <v>L00887</v>
      </c>
      <c r="K893" s="1">
        <f>893</f>
        <v>893</v>
      </c>
      <c r="L893" s="10">
        <f t="shared" si="66"/>
        <v>27843</v>
      </c>
      <c r="M893" s="1">
        <f t="shared" si="67"/>
        <v>1</v>
      </c>
      <c r="N893" s="1">
        <f t="shared" si="68"/>
        <v>1</v>
      </c>
      <c r="O893" s="1" t="str">
        <f>IF(I893=0,"UNUSED",IF(A893="","MISSING ID",IF(K893=0,"UNEXPECTED ID",IF(N893&lt;&gt;1,"ID / ORDER DIFFERENCE",IF('Source build'!U893&lt;&gt;"INCLUDED","EXCLUDED SOURCE",IF(NOT(M893),"INVALID AMOUNT",IF('Source build'!Y893&lt;&gt;0,"CHANGED FIELDS","MATCH")))))))</f>
        <v>MATCH</v>
      </c>
      <c r="P893" s="1" t="str">
        <f t="shared" si="69"/>
        <v>2026-02</v>
      </c>
    </row>
    <row r="894" spans="1:16" ht="18.95" customHeight="1">
      <c r="A894" s="7" t="s">
        <v>2410</v>
      </c>
      <c r="B894" s="7" t="s">
        <v>2408</v>
      </c>
      <c r="C894" s="7" t="s">
        <v>596</v>
      </c>
      <c r="D894" s="7" t="s">
        <v>103</v>
      </c>
      <c r="E894" s="7" t="s">
        <v>48</v>
      </c>
      <c r="F894" s="7" t="s">
        <v>98</v>
      </c>
      <c r="G894" s="7" t="s">
        <v>2411</v>
      </c>
      <c r="I894" s="1">
        <f t="shared" si="65"/>
        <v>1</v>
      </c>
      <c r="J894" s="1" t="str">
        <f>'Source build'!A894</f>
        <v>L00888</v>
      </c>
      <c r="K894" s="1">
        <f>894</f>
        <v>894</v>
      </c>
      <c r="L894" s="10">
        <f t="shared" si="66"/>
        <v>46590</v>
      </c>
      <c r="M894" s="1">
        <f t="shared" si="67"/>
        <v>1</v>
      </c>
      <c r="N894" s="1">
        <f t="shared" si="68"/>
        <v>1</v>
      </c>
      <c r="O894" s="1" t="str">
        <f>IF(I894=0,"UNUSED",IF(A894="","MISSING ID",IF(K894=0,"UNEXPECTED ID",IF(N894&lt;&gt;1,"ID / ORDER DIFFERENCE",IF('Source build'!U894&lt;&gt;"INCLUDED","EXCLUDED SOURCE",IF(NOT(M894),"INVALID AMOUNT",IF('Source build'!Y894&lt;&gt;0,"CHANGED FIELDS","MATCH")))))))</f>
        <v>MATCH</v>
      </c>
      <c r="P894" s="1" t="str">
        <f t="shared" si="69"/>
        <v>2026-02</v>
      </c>
    </row>
    <row r="895" spans="1:16" ht="18.95" customHeight="1">
      <c r="A895" s="7" t="s">
        <v>2412</v>
      </c>
      <c r="B895" s="7" t="s">
        <v>2413</v>
      </c>
      <c r="C895" s="7" t="s">
        <v>602</v>
      </c>
      <c r="D895" s="7" t="s">
        <v>93</v>
      </c>
      <c r="E895" s="7" t="s">
        <v>46</v>
      </c>
      <c r="F895" s="7" t="s">
        <v>98</v>
      </c>
      <c r="G895" s="7" t="s">
        <v>2414</v>
      </c>
      <c r="I895" s="1">
        <f t="shared" si="65"/>
        <v>1</v>
      </c>
      <c r="J895" s="1" t="str">
        <f>'Source build'!A895</f>
        <v>L00889</v>
      </c>
      <c r="K895" s="1">
        <f>895</f>
        <v>895</v>
      </c>
      <c r="L895" s="10">
        <f t="shared" si="66"/>
        <v>18710</v>
      </c>
      <c r="M895" s="1">
        <f t="shared" si="67"/>
        <v>1</v>
      </c>
      <c r="N895" s="1">
        <f t="shared" si="68"/>
        <v>1</v>
      </c>
      <c r="O895" s="1" t="str">
        <f>IF(I895=0,"UNUSED",IF(A895="","MISSING ID",IF(K895=0,"UNEXPECTED ID",IF(N895&lt;&gt;1,"ID / ORDER DIFFERENCE",IF('Source build'!U895&lt;&gt;"INCLUDED","EXCLUDED SOURCE",IF(NOT(M895),"INVALID AMOUNT",IF('Source build'!Y895&lt;&gt;0,"CHANGED FIELDS","MATCH")))))))</f>
        <v>MATCH</v>
      </c>
      <c r="P895" s="1" t="str">
        <f t="shared" si="69"/>
        <v>2026-02</v>
      </c>
    </row>
    <row r="896" spans="1:16" ht="18.95" customHeight="1">
      <c r="A896" s="7" t="s">
        <v>2415</v>
      </c>
      <c r="B896" s="7" t="s">
        <v>2413</v>
      </c>
      <c r="C896" s="7" t="s">
        <v>602</v>
      </c>
      <c r="D896" s="7" t="s">
        <v>97</v>
      </c>
      <c r="E896" s="7" t="s">
        <v>47</v>
      </c>
      <c r="F896" s="7" t="s">
        <v>98</v>
      </c>
      <c r="G896" s="7" t="s">
        <v>2416</v>
      </c>
      <c r="I896" s="1">
        <f t="shared" si="65"/>
        <v>1</v>
      </c>
      <c r="J896" s="1" t="str">
        <f>'Source build'!A896</f>
        <v>L00890</v>
      </c>
      <c r="K896" s="1">
        <f>896</f>
        <v>896</v>
      </c>
      <c r="L896" s="10">
        <f t="shared" si="66"/>
        <v>37568</v>
      </c>
      <c r="M896" s="1">
        <f t="shared" si="67"/>
        <v>1</v>
      </c>
      <c r="N896" s="1">
        <f t="shared" si="68"/>
        <v>1</v>
      </c>
      <c r="O896" s="1" t="str">
        <f>IF(I896=0,"UNUSED",IF(A896="","MISSING ID",IF(K896=0,"UNEXPECTED ID",IF(N896&lt;&gt;1,"ID / ORDER DIFFERENCE",IF('Source build'!U896&lt;&gt;"INCLUDED","EXCLUDED SOURCE",IF(NOT(M896),"INVALID AMOUNT",IF('Source build'!Y896&lt;&gt;0,"CHANGED FIELDS","MATCH")))))))</f>
        <v>MATCH</v>
      </c>
      <c r="P896" s="1" t="str">
        <f t="shared" si="69"/>
        <v>2026-02</v>
      </c>
    </row>
    <row r="897" spans="1:16" ht="18.95" customHeight="1">
      <c r="A897" s="7" t="s">
        <v>2417</v>
      </c>
      <c r="B897" s="7" t="s">
        <v>2418</v>
      </c>
      <c r="C897" s="7" t="s">
        <v>611</v>
      </c>
      <c r="D897" s="7" t="s">
        <v>103</v>
      </c>
      <c r="E897" s="7" t="s">
        <v>48</v>
      </c>
      <c r="F897" s="7" t="s">
        <v>98</v>
      </c>
      <c r="G897" s="7" t="s">
        <v>2419</v>
      </c>
      <c r="I897" s="1">
        <f t="shared" si="65"/>
        <v>1</v>
      </c>
      <c r="J897" s="1" t="str">
        <f>'Source build'!A897</f>
        <v>L00891</v>
      </c>
      <c r="K897" s="1">
        <f>897</f>
        <v>897</v>
      </c>
      <c r="L897" s="10">
        <f t="shared" si="66"/>
        <v>9429</v>
      </c>
      <c r="M897" s="1">
        <f t="shared" si="67"/>
        <v>1</v>
      </c>
      <c r="N897" s="1">
        <f t="shared" si="68"/>
        <v>1</v>
      </c>
      <c r="O897" s="1" t="str">
        <f>IF(I897=0,"UNUSED",IF(A897="","MISSING ID",IF(K897=0,"UNEXPECTED ID",IF(N897&lt;&gt;1,"ID / ORDER DIFFERENCE",IF('Source build'!U897&lt;&gt;"INCLUDED","EXCLUDED SOURCE",IF(NOT(M897),"INVALID AMOUNT",IF('Source build'!Y897&lt;&gt;0,"CHANGED FIELDS","MATCH")))))))</f>
        <v>MATCH</v>
      </c>
      <c r="P897" s="1" t="str">
        <f t="shared" si="69"/>
        <v>2026-02</v>
      </c>
    </row>
    <row r="898" spans="1:16" ht="18.95" customHeight="1">
      <c r="A898" s="7" t="s">
        <v>2420</v>
      </c>
      <c r="B898" s="7" t="s">
        <v>2418</v>
      </c>
      <c r="C898" s="7" t="s">
        <v>611</v>
      </c>
      <c r="D898" s="7" t="s">
        <v>93</v>
      </c>
      <c r="E898" s="7" t="s">
        <v>46</v>
      </c>
      <c r="F898" s="7" t="s">
        <v>98</v>
      </c>
      <c r="G898" s="7" t="s">
        <v>2421</v>
      </c>
      <c r="I898" s="1">
        <f t="shared" si="65"/>
        <v>1</v>
      </c>
      <c r="J898" s="1" t="str">
        <f>'Source build'!A898</f>
        <v>L00892</v>
      </c>
      <c r="K898" s="1">
        <f>898</f>
        <v>898</v>
      </c>
      <c r="L898" s="10">
        <f t="shared" si="66"/>
        <v>28398</v>
      </c>
      <c r="M898" s="1">
        <f t="shared" si="67"/>
        <v>1</v>
      </c>
      <c r="N898" s="1">
        <f t="shared" si="68"/>
        <v>1</v>
      </c>
      <c r="O898" s="1" t="str">
        <f>IF(I898=0,"UNUSED",IF(A898="","MISSING ID",IF(K898=0,"UNEXPECTED ID",IF(N898&lt;&gt;1,"ID / ORDER DIFFERENCE",IF('Source build'!U898&lt;&gt;"INCLUDED","EXCLUDED SOURCE",IF(NOT(M898),"INVALID AMOUNT",IF('Source build'!Y898&lt;&gt;0,"CHANGED FIELDS","MATCH")))))))</f>
        <v>MATCH</v>
      </c>
      <c r="P898" s="1" t="str">
        <f t="shared" si="69"/>
        <v>2026-02</v>
      </c>
    </row>
    <row r="899" spans="1:16" ht="18.95" customHeight="1">
      <c r="A899" s="7" t="s">
        <v>2422</v>
      </c>
      <c r="B899" s="7" t="s">
        <v>2423</v>
      </c>
      <c r="C899" s="7" t="s">
        <v>615</v>
      </c>
      <c r="D899" s="7" t="s">
        <v>97</v>
      </c>
      <c r="E899" s="7" t="s">
        <v>47</v>
      </c>
      <c r="F899" s="7" t="s">
        <v>98</v>
      </c>
      <c r="G899" s="7" t="s">
        <v>2424</v>
      </c>
      <c r="I899" s="1">
        <f t="shared" si="65"/>
        <v>1</v>
      </c>
      <c r="J899" s="1" t="str">
        <f>'Source build'!A899</f>
        <v>L00893</v>
      </c>
      <c r="K899" s="1">
        <f>899</f>
        <v>899</v>
      </c>
      <c r="L899" s="10">
        <f t="shared" si="66"/>
        <v>47515</v>
      </c>
      <c r="M899" s="1">
        <f t="shared" si="67"/>
        <v>1</v>
      </c>
      <c r="N899" s="1">
        <f t="shared" si="68"/>
        <v>1</v>
      </c>
      <c r="O899" s="1" t="str">
        <f>IF(I899=0,"UNUSED",IF(A899="","MISSING ID",IF(K899=0,"UNEXPECTED ID",IF(N899&lt;&gt;1,"ID / ORDER DIFFERENCE",IF('Source build'!U899&lt;&gt;"INCLUDED","EXCLUDED SOURCE",IF(NOT(M899),"INVALID AMOUNT",IF('Source build'!Y899&lt;&gt;0,"CHANGED FIELDS","MATCH")))))))</f>
        <v>MATCH</v>
      </c>
      <c r="P899" s="1" t="str">
        <f t="shared" si="69"/>
        <v>2026-03</v>
      </c>
    </row>
    <row r="900" spans="1:16" ht="18.95" customHeight="1">
      <c r="A900" s="7" t="s">
        <v>2425</v>
      </c>
      <c r="B900" s="7" t="s">
        <v>2423</v>
      </c>
      <c r="C900" s="7" t="s">
        <v>615</v>
      </c>
      <c r="D900" s="7" t="s">
        <v>103</v>
      </c>
      <c r="E900" s="7" t="s">
        <v>48</v>
      </c>
      <c r="F900" s="7" t="s">
        <v>98</v>
      </c>
      <c r="G900" s="7" t="s">
        <v>2426</v>
      </c>
      <c r="I900" s="1">
        <f t="shared" si="65"/>
        <v>1</v>
      </c>
      <c r="J900" s="1" t="str">
        <f>'Source build'!A900</f>
        <v>L00894</v>
      </c>
      <c r="K900" s="1">
        <f>900</f>
        <v>900</v>
      </c>
      <c r="L900" s="10">
        <f t="shared" si="66"/>
        <v>19080</v>
      </c>
      <c r="M900" s="1">
        <f t="shared" si="67"/>
        <v>1</v>
      </c>
      <c r="N900" s="1">
        <f t="shared" si="68"/>
        <v>1</v>
      </c>
      <c r="O900" s="1" t="str">
        <f>IF(I900=0,"UNUSED",IF(A900="","MISSING ID",IF(K900=0,"UNEXPECTED ID",IF(N900&lt;&gt;1,"ID / ORDER DIFFERENCE",IF('Source build'!U900&lt;&gt;"INCLUDED","EXCLUDED SOURCE",IF(NOT(M900),"INVALID AMOUNT",IF('Source build'!Y900&lt;&gt;0,"CHANGED FIELDS","MATCH")))))))</f>
        <v>MATCH</v>
      </c>
      <c r="P900" s="1" t="str">
        <f t="shared" si="69"/>
        <v>2026-03</v>
      </c>
    </row>
    <row r="901" spans="1:16" ht="18.95" customHeight="1">
      <c r="A901" s="7" t="s">
        <v>2427</v>
      </c>
      <c r="B901" s="7" t="s">
        <v>2428</v>
      </c>
      <c r="C901" s="7" t="s">
        <v>621</v>
      </c>
      <c r="D901" s="7" t="s">
        <v>93</v>
      </c>
      <c r="E901" s="7" t="s">
        <v>46</v>
      </c>
      <c r="F901" s="7" t="s">
        <v>98</v>
      </c>
      <c r="G901" s="7" t="s">
        <v>2429</v>
      </c>
      <c r="I901" s="1">
        <f t="shared" si="65"/>
        <v>1</v>
      </c>
      <c r="J901" s="1" t="str">
        <f>'Source build'!A901</f>
        <v>L00895</v>
      </c>
      <c r="K901" s="1">
        <f>901</f>
        <v>901</v>
      </c>
      <c r="L901" s="10">
        <f t="shared" si="66"/>
        <v>38308</v>
      </c>
      <c r="M901" s="1">
        <f t="shared" si="67"/>
        <v>1</v>
      </c>
      <c r="N901" s="1">
        <f t="shared" si="68"/>
        <v>1</v>
      </c>
      <c r="O901" s="1" t="str">
        <f>IF(I901=0,"UNUSED",IF(A901="","MISSING ID",IF(K901=0,"UNEXPECTED ID",IF(N901&lt;&gt;1,"ID / ORDER DIFFERENCE",IF('Source build'!U901&lt;&gt;"INCLUDED","EXCLUDED SOURCE",IF(NOT(M901),"INVALID AMOUNT",IF('Source build'!Y901&lt;&gt;0,"CHANGED FIELDS","MATCH")))))))</f>
        <v>MATCH</v>
      </c>
      <c r="P901" s="1" t="str">
        <f t="shared" si="69"/>
        <v>2026-03</v>
      </c>
    </row>
    <row r="902" spans="1:16" ht="18.95" customHeight="1">
      <c r="A902" s="7" t="s">
        <v>2430</v>
      </c>
      <c r="B902" s="7" t="s">
        <v>2428</v>
      </c>
      <c r="C902" s="7" t="s">
        <v>621</v>
      </c>
      <c r="D902" s="7" t="s">
        <v>97</v>
      </c>
      <c r="E902" s="7" t="s">
        <v>47</v>
      </c>
      <c r="F902" s="7" t="s">
        <v>98</v>
      </c>
      <c r="G902" s="7" t="s">
        <v>2431</v>
      </c>
      <c r="I902" s="1">
        <f t="shared" si="65"/>
        <v>1</v>
      </c>
      <c r="J902" s="1" t="str">
        <f>'Source build'!A902</f>
        <v>L00896</v>
      </c>
      <c r="K902" s="1">
        <f>902</f>
        <v>902</v>
      </c>
      <c r="L902" s="10">
        <f t="shared" si="66"/>
        <v>9614</v>
      </c>
      <c r="M902" s="1">
        <f t="shared" si="67"/>
        <v>1</v>
      </c>
      <c r="N902" s="1">
        <f t="shared" si="68"/>
        <v>1</v>
      </c>
      <c r="O902" s="1" t="str">
        <f>IF(I902=0,"UNUSED",IF(A902="","MISSING ID",IF(K902=0,"UNEXPECTED ID",IF(N902&lt;&gt;1,"ID / ORDER DIFFERENCE",IF('Source build'!U902&lt;&gt;"INCLUDED","EXCLUDED SOURCE",IF(NOT(M902),"INVALID AMOUNT",IF('Source build'!Y902&lt;&gt;0,"CHANGED FIELDS","MATCH")))))))</f>
        <v>MATCH</v>
      </c>
      <c r="P902" s="1" t="str">
        <f t="shared" si="69"/>
        <v>2026-03</v>
      </c>
    </row>
    <row r="903" spans="1:16" ht="18.95" customHeight="1">
      <c r="A903" s="7" t="s">
        <v>2432</v>
      </c>
      <c r="B903" s="7" t="s">
        <v>2433</v>
      </c>
      <c r="C903" s="7" t="s">
        <v>627</v>
      </c>
      <c r="D903" s="7" t="s">
        <v>103</v>
      </c>
      <c r="E903" s="7" t="s">
        <v>48</v>
      </c>
      <c r="F903" s="7" t="s">
        <v>98</v>
      </c>
      <c r="G903" s="7" t="s">
        <v>2434</v>
      </c>
      <c r="I903" s="1">
        <f t="shared" ref="I903:I966" si="70">IF(AND(A903="",B903="",C903="",D903="",E903="",F903="",G903=""),0,1)</f>
        <v>1</v>
      </c>
      <c r="J903" s="1" t="str">
        <f>'Source build'!A903</f>
        <v>L00897</v>
      </c>
      <c r="K903" s="1">
        <f>903</f>
        <v>903</v>
      </c>
      <c r="L903" s="10">
        <f t="shared" ref="L903:L966" si="71">IFERROR(IF(ABS(VALUE(G903)*100-ROUND(VALUE(G903)*100,0))&lt;0.0000001,ROUND(VALUE(G903)*100,0),0),0)</f>
        <v>28953</v>
      </c>
      <c r="M903" s="1">
        <f t="shared" ref="M903:M966" si="72">--IF(I903=0,TRUE,IF(TRIM(G903)="",FALSE,IFERROR(AND(ISNUMBER(VALUE(G903)),ABS(VALUE(G903)*100-ROUND(VALUE(G903)*100,0))&lt;0.0000001,OR(ISNUMBER(G903),EXACT(G903,TEXT(VALUE(G903),"0.00"))),OR(AND(EXACT(F903,"sale"),VALUE(G903)&gt;0),AND(EXACT(F903,"refund"),VALUE(G903)&lt;0))),FALSE)))</f>
        <v>1</v>
      </c>
      <c r="N903" s="1">
        <f t="shared" ref="N903:N966" si="73">IF(I903=1,IF(EXACT(A903,J903),1,0),0)</f>
        <v>1</v>
      </c>
      <c r="O903" s="1" t="str">
        <f>IF(I903=0,"UNUSED",IF(A903="","MISSING ID",IF(K903=0,"UNEXPECTED ID",IF(N903&lt;&gt;1,"ID / ORDER DIFFERENCE",IF('Source build'!U903&lt;&gt;"INCLUDED","EXCLUDED SOURCE",IF(NOT(M903),"INVALID AMOUNT",IF('Source build'!Y903&lt;&gt;0,"CHANGED FIELDS","MATCH")))))))</f>
        <v>MATCH</v>
      </c>
      <c r="P903" s="1" t="str">
        <f t="shared" ref="P903:P966" si="74">IF(I903=1,LEFT(C903,7),"")</f>
        <v>2026-03</v>
      </c>
    </row>
    <row r="904" spans="1:16" ht="18.95" customHeight="1">
      <c r="A904" s="7" t="s">
        <v>2435</v>
      </c>
      <c r="B904" s="7" t="s">
        <v>2433</v>
      </c>
      <c r="C904" s="7" t="s">
        <v>627</v>
      </c>
      <c r="D904" s="7" t="s">
        <v>93</v>
      </c>
      <c r="E904" s="7" t="s">
        <v>46</v>
      </c>
      <c r="F904" s="7" t="s">
        <v>94</v>
      </c>
      <c r="G904" s="7" t="s">
        <v>2436</v>
      </c>
      <c r="I904" s="1">
        <f t="shared" si="70"/>
        <v>1</v>
      </c>
      <c r="J904" s="1" t="str">
        <f>'Source build'!A904</f>
        <v>L00898</v>
      </c>
      <c r="K904" s="1">
        <f>904</f>
        <v>904</v>
      </c>
      <c r="L904" s="10">
        <f t="shared" si="71"/>
        <v>-48440</v>
      </c>
      <c r="M904" s="1">
        <f t="shared" si="72"/>
        <v>1</v>
      </c>
      <c r="N904" s="1">
        <f t="shared" si="73"/>
        <v>1</v>
      </c>
      <c r="O904" s="1" t="str">
        <f>IF(I904=0,"UNUSED",IF(A904="","MISSING ID",IF(K904=0,"UNEXPECTED ID",IF(N904&lt;&gt;1,"ID / ORDER DIFFERENCE",IF('Source build'!U904&lt;&gt;"INCLUDED","EXCLUDED SOURCE",IF(NOT(M904),"INVALID AMOUNT",IF('Source build'!Y904&lt;&gt;0,"CHANGED FIELDS","MATCH")))))))</f>
        <v>MATCH</v>
      </c>
      <c r="P904" s="1" t="str">
        <f t="shared" si="74"/>
        <v>2026-03</v>
      </c>
    </row>
    <row r="905" spans="1:16" ht="18.95" customHeight="1">
      <c r="A905" s="7" t="s">
        <v>2437</v>
      </c>
      <c r="B905" s="7" t="s">
        <v>2438</v>
      </c>
      <c r="C905" s="7" t="s">
        <v>633</v>
      </c>
      <c r="D905" s="7" t="s">
        <v>97</v>
      </c>
      <c r="E905" s="7" t="s">
        <v>47</v>
      </c>
      <c r="F905" s="7" t="s">
        <v>98</v>
      </c>
      <c r="G905" s="7" t="s">
        <v>2439</v>
      </c>
      <c r="I905" s="1">
        <f t="shared" si="70"/>
        <v>1</v>
      </c>
      <c r="J905" s="1" t="str">
        <f>'Source build'!A905</f>
        <v>L00899</v>
      </c>
      <c r="K905" s="1">
        <f>905</f>
        <v>905</v>
      </c>
      <c r="L905" s="10">
        <f t="shared" si="71"/>
        <v>19450</v>
      </c>
      <c r="M905" s="1">
        <f t="shared" si="72"/>
        <v>1</v>
      </c>
      <c r="N905" s="1">
        <f t="shared" si="73"/>
        <v>1</v>
      </c>
      <c r="O905" s="1" t="str">
        <f>IF(I905=0,"UNUSED",IF(A905="","MISSING ID",IF(K905=0,"UNEXPECTED ID",IF(N905&lt;&gt;1,"ID / ORDER DIFFERENCE",IF('Source build'!U905&lt;&gt;"INCLUDED","EXCLUDED SOURCE",IF(NOT(M905),"INVALID AMOUNT",IF('Source build'!Y905&lt;&gt;0,"CHANGED FIELDS","MATCH")))))))</f>
        <v>MATCH</v>
      </c>
      <c r="P905" s="1" t="str">
        <f t="shared" si="74"/>
        <v>2026-03</v>
      </c>
    </row>
    <row r="906" spans="1:16" ht="18.95" customHeight="1">
      <c r="A906" s="7" t="s">
        <v>2440</v>
      </c>
      <c r="B906" s="7" t="s">
        <v>2438</v>
      </c>
      <c r="C906" s="7" t="s">
        <v>633</v>
      </c>
      <c r="D906" s="7" t="s">
        <v>103</v>
      </c>
      <c r="E906" s="7" t="s">
        <v>48</v>
      </c>
      <c r="F906" s="7" t="s">
        <v>98</v>
      </c>
      <c r="G906" s="7" t="s">
        <v>2441</v>
      </c>
      <c r="I906" s="1">
        <f t="shared" si="70"/>
        <v>1</v>
      </c>
      <c r="J906" s="1" t="str">
        <f>'Source build'!A906</f>
        <v>L00900</v>
      </c>
      <c r="K906" s="1">
        <f>906</f>
        <v>906</v>
      </c>
      <c r="L906" s="10">
        <f t="shared" si="71"/>
        <v>39048</v>
      </c>
      <c r="M906" s="1">
        <f t="shared" si="72"/>
        <v>1</v>
      </c>
      <c r="N906" s="1">
        <f t="shared" si="73"/>
        <v>1</v>
      </c>
      <c r="O906" s="1" t="str">
        <f>IF(I906=0,"UNUSED",IF(A906="","MISSING ID",IF(K906=0,"UNEXPECTED ID",IF(N906&lt;&gt;1,"ID / ORDER DIFFERENCE",IF('Source build'!U906&lt;&gt;"INCLUDED","EXCLUDED SOURCE",IF(NOT(M906),"INVALID AMOUNT",IF('Source build'!Y906&lt;&gt;0,"CHANGED FIELDS","MATCH")))))))</f>
        <v>MATCH</v>
      </c>
      <c r="P906" s="1" t="str">
        <f t="shared" si="74"/>
        <v>2026-03</v>
      </c>
    </row>
    <row r="907" spans="1:16" ht="18.95" customHeight="1">
      <c r="A907" s="7" t="s">
        <v>2442</v>
      </c>
      <c r="B907" s="7" t="s">
        <v>2443</v>
      </c>
      <c r="C907" s="7" t="s">
        <v>92</v>
      </c>
      <c r="D907" s="7" t="s">
        <v>93</v>
      </c>
      <c r="E907" s="7" t="s">
        <v>46</v>
      </c>
      <c r="F907" s="7" t="s">
        <v>98</v>
      </c>
      <c r="G907" s="7" t="s">
        <v>2444</v>
      </c>
      <c r="I907" s="1">
        <f t="shared" si="70"/>
        <v>1</v>
      </c>
      <c r="J907" s="1" t="str">
        <f>'Source build'!A907</f>
        <v>L00901</v>
      </c>
      <c r="K907" s="1">
        <f>907</f>
        <v>907</v>
      </c>
      <c r="L907" s="10">
        <f t="shared" si="71"/>
        <v>9799</v>
      </c>
      <c r="M907" s="1">
        <f t="shared" si="72"/>
        <v>1</v>
      </c>
      <c r="N907" s="1">
        <f t="shared" si="73"/>
        <v>1</v>
      </c>
      <c r="O907" s="1" t="str">
        <f>IF(I907=0,"UNUSED",IF(A907="","MISSING ID",IF(K907=0,"UNEXPECTED ID",IF(N907&lt;&gt;1,"ID / ORDER DIFFERENCE",IF('Source build'!U907&lt;&gt;"INCLUDED","EXCLUDED SOURCE",IF(NOT(M907),"INVALID AMOUNT",IF('Source build'!Y907&lt;&gt;0,"CHANGED FIELDS","MATCH")))))))</f>
        <v>MATCH</v>
      </c>
      <c r="P907" s="1" t="str">
        <f t="shared" si="74"/>
        <v>2026-01</v>
      </c>
    </row>
    <row r="908" spans="1:16" ht="18.95" customHeight="1">
      <c r="A908" s="7" t="s">
        <v>2445</v>
      </c>
      <c r="B908" s="7" t="s">
        <v>2443</v>
      </c>
      <c r="C908" s="7" t="s">
        <v>92</v>
      </c>
      <c r="D908" s="7" t="s">
        <v>97</v>
      </c>
      <c r="E908" s="7" t="s">
        <v>47</v>
      </c>
      <c r="F908" s="7" t="s">
        <v>98</v>
      </c>
      <c r="G908" s="7" t="s">
        <v>2446</v>
      </c>
      <c r="I908" s="1">
        <f t="shared" si="70"/>
        <v>1</v>
      </c>
      <c r="J908" s="1" t="str">
        <f>'Source build'!A908</f>
        <v>L00902</v>
      </c>
      <c r="K908" s="1">
        <f>908</f>
        <v>908</v>
      </c>
      <c r="L908" s="10">
        <f t="shared" si="71"/>
        <v>29508</v>
      </c>
      <c r="M908" s="1">
        <f t="shared" si="72"/>
        <v>1</v>
      </c>
      <c r="N908" s="1">
        <f t="shared" si="73"/>
        <v>1</v>
      </c>
      <c r="O908" s="1" t="str">
        <f>IF(I908=0,"UNUSED",IF(A908="","MISSING ID",IF(K908=0,"UNEXPECTED ID",IF(N908&lt;&gt;1,"ID / ORDER DIFFERENCE",IF('Source build'!U908&lt;&gt;"INCLUDED","EXCLUDED SOURCE",IF(NOT(M908),"INVALID AMOUNT",IF('Source build'!Y908&lt;&gt;0,"CHANGED FIELDS","MATCH")))))))</f>
        <v>MATCH</v>
      </c>
      <c r="P908" s="1" t="str">
        <f t="shared" si="74"/>
        <v>2026-01</v>
      </c>
    </row>
    <row r="909" spans="1:16" ht="18.95" customHeight="1">
      <c r="A909" s="7" t="s">
        <v>2447</v>
      </c>
      <c r="B909" s="7" t="s">
        <v>2448</v>
      </c>
      <c r="C909" s="7" t="s">
        <v>102</v>
      </c>
      <c r="D909" s="7" t="s">
        <v>103</v>
      </c>
      <c r="E909" s="7" t="s">
        <v>48</v>
      </c>
      <c r="F909" s="7" t="s">
        <v>98</v>
      </c>
      <c r="G909" s="7" t="s">
        <v>2449</v>
      </c>
      <c r="I909" s="1">
        <f t="shared" si="70"/>
        <v>1</v>
      </c>
      <c r="J909" s="1" t="str">
        <f>'Source build'!A909</f>
        <v>L00903</v>
      </c>
      <c r="K909" s="1">
        <f>909</f>
        <v>909</v>
      </c>
      <c r="L909" s="10">
        <f t="shared" si="71"/>
        <v>49365</v>
      </c>
      <c r="M909" s="1">
        <f t="shared" si="72"/>
        <v>1</v>
      </c>
      <c r="N909" s="1">
        <f t="shared" si="73"/>
        <v>1</v>
      </c>
      <c r="O909" s="1" t="str">
        <f>IF(I909=0,"UNUSED",IF(A909="","MISSING ID",IF(K909=0,"UNEXPECTED ID",IF(N909&lt;&gt;1,"ID / ORDER DIFFERENCE",IF('Source build'!U909&lt;&gt;"INCLUDED","EXCLUDED SOURCE",IF(NOT(M909),"INVALID AMOUNT",IF('Source build'!Y909&lt;&gt;0,"CHANGED FIELDS","MATCH")))))))</f>
        <v>MATCH</v>
      </c>
      <c r="P909" s="1" t="str">
        <f t="shared" si="74"/>
        <v>2026-01</v>
      </c>
    </row>
    <row r="910" spans="1:16" ht="18.95" customHeight="1">
      <c r="A910" s="7" t="s">
        <v>2450</v>
      </c>
      <c r="B910" s="7" t="s">
        <v>2448</v>
      </c>
      <c r="C910" s="7" t="s">
        <v>102</v>
      </c>
      <c r="D910" s="7" t="s">
        <v>93</v>
      </c>
      <c r="E910" s="7" t="s">
        <v>46</v>
      </c>
      <c r="F910" s="7" t="s">
        <v>98</v>
      </c>
      <c r="G910" s="7" t="s">
        <v>2451</v>
      </c>
      <c r="I910" s="1">
        <f t="shared" si="70"/>
        <v>1</v>
      </c>
      <c r="J910" s="1" t="str">
        <f>'Source build'!A910</f>
        <v>L00904</v>
      </c>
      <c r="K910" s="1">
        <f>910</f>
        <v>910</v>
      </c>
      <c r="L910" s="10">
        <f t="shared" si="71"/>
        <v>19820</v>
      </c>
      <c r="M910" s="1">
        <f t="shared" si="72"/>
        <v>1</v>
      </c>
      <c r="N910" s="1">
        <f t="shared" si="73"/>
        <v>1</v>
      </c>
      <c r="O910" s="1" t="str">
        <f>IF(I910=0,"UNUSED",IF(A910="","MISSING ID",IF(K910=0,"UNEXPECTED ID",IF(N910&lt;&gt;1,"ID / ORDER DIFFERENCE",IF('Source build'!U910&lt;&gt;"INCLUDED","EXCLUDED SOURCE",IF(NOT(M910),"INVALID AMOUNT",IF('Source build'!Y910&lt;&gt;0,"CHANGED FIELDS","MATCH")))))))</f>
        <v>MATCH</v>
      </c>
      <c r="P910" s="1" t="str">
        <f t="shared" si="74"/>
        <v>2026-01</v>
      </c>
    </row>
    <row r="911" spans="1:16" ht="18.95" customHeight="1">
      <c r="A911" s="7" t="s">
        <v>2452</v>
      </c>
      <c r="B911" s="7" t="s">
        <v>2453</v>
      </c>
      <c r="C911" s="7" t="s">
        <v>109</v>
      </c>
      <c r="D911" s="7" t="s">
        <v>97</v>
      </c>
      <c r="E911" s="7" t="s">
        <v>47</v>
      </c>
      <c r="F911" s="7" t="s">
        <v>98</v>
      </c>
      <c r="G911" s="7" t="s">
        <v>2454</v>
      </c>
      <c r="I911" s="1">
        <f t="shared" si="70"/>
        <v>1</v>
      </c>
      <c r="J911" s="1" t="str">
        <f>'Source build'!A911</f>
        <v>L00905</v>
      </c>
      <c r="K911" s="1">
        <f>911</f>
        <v>911</v>
      </c>
      <c r="L911" s="10">
        <f t="shared" si="71"/>
        <v>39788</v>
      </c>
      <c r="M911" s="1">
        <f t="shared" si="72"/>
        <v>1</v>
      </c>
      <c r="N911" s="1">
        <f t="shared" si="73"/>
        <v>1</v>
      </c>
      <c r="O911" s="1" t="str">
        <f>IF(I911=0,"UNUSED",IF(A911="","MISSING ID",IF(K911=0,"UNEXPECTED ID",IF(N911&lt;&gt;1,"ID / ORDER DIFFERENCE",IF('Source build'!U911&lt;&gt;"INCLUDED","EXCLUDED SOURCE",IF(NOT(M911),"INVALID AMOUNT",IF('Source build'!Y911&lt;&gt;0,"CHANGED FIELDS","MATCH")))))))</f>
        <v>MATCH</v>
      </c>
      <c r="P911" s="1" t="str">
        <f t="shared" si="74"/>
        <v>2026-01</v>
      </c>
    </row>
    <row r="912" spans="1:16" ht="18.95" customHeight="1">
      <c r="A912" s="7" t="s">
        <v>2455</v>
      </c>
      <c r="B912" s="7" t="s">
        <v>2453</v>
      </c>
      <c r="C912" s="7" t="s">
        <v>109</v>
      </c>
      <c r="D912" s="7" t="s">
        <v>103</v>
      </c>
      <c r="E912" s="7" t="s">
        <v>48</v>
      </c>
      <c r="F912" s="7" t="s">
        <v>98</v>
      </c>
      <c r="G912" s="7" t="s">
        <v>2456</v>
      </c>
      <c r="I912" s="1">
        <f t="shared" si="70"/>
        <v>1</v>
      </c>
      <c r="J912" s="1" t="str">
        <f>'Source build'!A912</f>
        <v>L00906</v>
      </c>
      <c r="K912" s="1">
        <f>912</f>
        <v>912</v>
      </c>
      <c r="L912" s="10">
        <f t="shared" si="71"/>
        <v>9984</v>
      </c>
      <c r="M912" s="1">
        <f t="shared" si="72"/>
        <v>1</v>
      </c>
      <c r="N912" s="1">
        <f t="shared" si="73"/>
        <v>1</v>
      </c>
      <c r="O912" s="1" t="str">
        <f>IF(I912=0,"UNUSED",IF(A912="","MISSING ID",IF(K912=0,"UNEXPECTED ID",IF(N912&lt;&gt;1,"ID / ORDER DIFFERENCE",IF('Source build'!U912&lt;&gt;"INCLUDED","EXCLUDED SOURCE",IF(NOT(M912),"INVALID AMOUNT",IF('Source build'!Y912&lt;&gt;0,"CHANGED FIELDS","MATCH")))))))</f>
        <v>MATCH</v>
      </c>
      <c r="P912" s="1" t="str">
        <f t="shared" si="74"/>
        <v>2026-01</v>
      </c>
    </row>
    <row r="913" spans="1:16" ht="18.95" customHeight="1">
      <c r="A913" s="7" t="s">
        <v>2457</v>
      </c>
      <c r="B913" s="7" t="s">
        <v>2458</v>
      </c>
      <c r="C913" s="7" t="s">
        <v>115</v>
      </c>
      <c r="D913" s="7" t="s">
        <v>93</v>
      </c>
      <c r="E913" s="7" t="s">
        <v>46</v>
      </c>
      <c r="F913" s="7" t="s">
        <v>98</v>
      </c>
      <c r="G913" s="7" t="s">
        <v>2459</v>
      </c>
      <c r="I913" s="1">
        <f t="shared" si="70"/>
        <v>1</v>
      </c>
      <c r="J913" s="1" t="str">
        <f>'Source build'!A913</f>
        <v>L00907</v>
      </c>
      <c r="K913" s="1">
        <f>913</f>
        <v>913</v>
      </c>
      <c r="L913" s="10">
        <f t="shared" si="71"/>
        <v>30063</v>
      </c>
      <c r="M913" s="1">
        <f t="shared" si="72"/>
        <v>1</v>
      </c>
      <c r="N913" s="1">
        <f t="shared" si="73"/>
        <v>1</v>
      </c>
      <c r="O913" s="1" t="str">
        <f>IF(I913=0,"UNUSED",IF(A913="","MISSING ID",IF(K913=0,"UNEXPECTED ID",IF(N913&lt;&gt;1,"ID / ORDER DIFFERENCE",IF('Source build'!U913&lt;&gt;"INCLUDED","EXCLUDED SOURCE",IF(NOT(M913),"INVALID AMOUNT",IF('Source build'!Y913&lt;&gt;0,"CHANGED FIELDS","MATCH")))))))</f>
        <v>MATCH</v>
      </c>
      <c r="P913" s="1" t="str">
        <f t="shared" si="74"/>
        <v>2026-01</v>
      </c>
    </row>
    <row r="914" spans="1:16" ht="18.95" customHeight="1">
      <c r="A914" s="7" t="s">
        <v>2460</v>
      </c>
      <c r="B914" s="7" t="s">
        <v>2458</v>
      </c>
      <c r="C914" s="7" t="s">
        <v>115</v>
      </c>
      <c r="D914" s="7" t="s">
        <v>97</v>
      </c>
      <c r="E914" s="7" t="s">
        <v>47</v>
      </c>
      <c r="F914" s="7" t="s">
        <v>98</v>
      </c>
      <c r="G914" s="7" t="s">
        <v>2461</v>
      </c>
      <c r="I914" s="1">
        <f t="shared" si="70"/>
        <v>1</v>
      </c>
      <c r="J914" s="1" t="str">
        <f>'Source build'!A914</f>
        <v>L00908</v>
      </c>
      <c r="K914" s="1">
        <f>914</f>
        <v>914</v>
      </c>
      <c r="L914" s="10">
        <f t="shared" si="71"/>
        <v>50290</v>
      </c>
      <c r="M914" s="1">
        <f t="shared" si="72"/>
        <v>1</v>
      </c>
      <c r="N914" s="1">
        <f t="shared" si="73"/>
        <v>1</v>
      </c>
      <c r="O914" s="1" t="str">
        <f>IF(I914=0,"UNUSED",IF(A914="","MISSING ID",IF(K914=0,"UNEXPECTED ID",IF(N914&lt;&gt;1,"ID / ORDER DIFFERENCE",IF('Source build'!U914&lt;&gt;"INCLUDED","EXCLUDED SOURCE",IF(NOT(M914),"INVALID AMOUNT",IF('Source build'!Y914&lt;&gt;0,"CHANGED FIELDS","MATCH")))))))</f>
        <v>MATCH</v>
      </c>
      <c r="P914" s="1" t="str">
        <f t="shared" si="74"/>
        <v>2026-01</v>
      </c>
    </row>
    <row r="915" spans="1:16" ht="18.95" customHeight="1">
      <c r="A915" s="7" t="s">
        <v>2462</v>
      </c>
      <c r="B915" s="7" t="s">
        <v>2463</v>
      </c>
      <c r="C915" s="7" t="s">
        <v>121</v>
      </c>
      <c r="D915" s="7" t="s">
        <v>103</v>
      </c>
      <c r="E915" s="7" t="s">
        <v>48</v>
      </c>
      <c r="F915" s="7" t="s">
        <v>98</v>
      </c>
      <c r="G915" s="7" t="s">
        <v>2464</v>
      </c>
      <c r="I915" s="1">
        <f t="shared" si="70"/>
        <v>1</v>
      </c>
      <c r="J915" s="1" t="str">
        <f>'Source build'!A915</f>
        <v>L00909</v>
      </c>
      <c r="K915" s="1">
        <f>915</f>
        <v>915</v>
      </c>
      <c r="L915" s="10">
        <f t="shared" si="71"/>
        <v>20190</v>
      </c>
      <c r="M915" s="1">
        <f t="shared" si="72"/>
        <v>1</v>
      </c>
      <c r="N915" s="1">
        <f t="shared" si="73"/>
        <v>1</v>
      </c>
      <c r="O915" s="1" t="str">
        <f>IF(I915=0,"UNUSED",IF(A915="","MISSING ID",IF(K915=0,"UNEXPECTED ID",IF(N915&lt;&gt;1,"ID / ORDER DIFFERENCE",IF('Source build'!U915&lt;&gt;"INCLUDED","EXCLUDED SOURCE",IF(NOT(M915),"INVALID AMOUNT",IF('Source build'!Y915&lt;&gt;0,"CHANGED FIELDS","MATCH")))))))</f>
        <v>MATCH</v>
      </c>
      <c r="P915" s="1" t="str">
        <f t="shared" si="74"/>
        <v>2026-01</v>
      </c>
    </row>
    <row r="916" spans="1:16" ht="18.95" customHeight="1">
      <c r="A916" s="7" t="s">
        <v>2465</v>
      </c>
      <c r="B916" s="7" t="s">
        <v>2463</v>
      </c>
      <c r="C916" s="7" t="s">
        <v>121</v>
      </c>
      <c r="D916" s="7" t="s">
        <v>93</v>
      </c>
      <c r="E916" s="7" t="s">
        <v>46</v>
      </c>
      <c r="F916" s="7" t="s">
        <v>98</v>
      </c>
      <c r="G916" s="7" t="s">
        <v>2466</v>
      </c>
      <c r="I916" s="1">
        <f t="shared" si="70"/>
        <v>1</v>
      </c>
      <c r="J916" s="1" t="str">
        <f>'Source build'!A916</f>
        <v>L00910</v>
      </c>
      <c r="K916" s="1">
        <f>916</f>
        <v>916</v>
      </c>
      <c r="L916" s="10">
        <f t="shared" si="71"/>
        <v>40528</v>
      </c>
      <c r="M916" s="1">
        <f t="shared" si="72"/>
        <v>1</v>
      </c>
      <c r="N916" s="1">
        <f t="shared" si="73"/>
        <v>1</v>
      </c>
      <c r="O916" s="1" t="str">
        <f>IF(I916=0,"UNUSED",IF(A916="","MISSING ID",IF(K916=0,"UNEXPECTED ID",IF(N916&lt;&gt;1,"ID / ORDER DIFFERENCE",IF('Source build'!U916&lt;&gt;"INCLUDED","EXCLUDED SOURCE",IF(NOT(M916),"INVALID AMOUNT",IF('Source build'!Y916&lt;&gt;0,"CHANGED FIELDS","MATCH")))))))</f>
        <v>MATCH</v>
      </c>
      <c r="P916" s="1" t="str">
        <f t="shared" si="74"/>
        <v>2026-01</v>
      </c>
    </row>
    <row r="917" spans="1:16" ht="18.95" customHeight="1">
      <c r="A917" s="7" t="s">
        <v>2467</v>
      </c>
      <c r="B917" s="7" t="s">
        <v>2468</v>
      </c>
      <c r="C917" s="7" t="s">
        <v>127</v>
      </c>
      <c r="D917" s="7" t="s">
        <v>97</v>
      </c>
      <c r="E917" s="7" t="s">
        <v>47</v>
      </c>
      <c r="F917" s="7" t="s">
        <v>98</v>
      </c>
      <c r="G917" s="7" t="s">
        <v>2469</v>
      </c>
      <c r="I917" s="1">
        <f t="shared" si="70"/>
        <v>1</v>
      </c>
      <c r="J917" s="1" t="str">
        <f>'Source build'!A917</f>
        <v>L00911</v>
      </c>
      <c r="K917" s="1">
        <f>917</f>
        <v>917</v>
      </c>
      <c r="L917" s="10">
        <f t="shared" si="71"/>
        <v>10169</v>
      </c>
      <c r="M917" s="1">
        <f t="shared" si="72"/>
        <v>1</v>
      </c>
      <c r="N917" s="1">
        <f t="shared" si="73"/>
        <v>1</v>
      </c>
      <c r="O917" s="1" t="str">
        <f>IF(I917=0,"UNUSED",IF(A917="","MISSING ID",IF(K917=0,"UNEXPECTED ID",IF(N917&lt;&gt;1,"ID / ORDER DIFFERENCE",IF('Source build'!U917&lt;&gt;"INCLUDED","EXCLUDED SOURCE",IF(NOT(M917),"INVALID AMOUNT",IF('Source build'!Y917&lt;&gt;0,"CHANGED FIELDS","MATCH")))))))</f>
        <v>MATCH</v>
      </c>
      <c r="P917" s="1" t="str">
        <f t="shared" si="74"/>
        <v>2026-02</v>
      </c>
    </row>
    <row r="918" spans="1:16" ht="18.95" customHeight="1">
      <c r="A918" s="7" t="s">
        <v>2470</v>
      </c>
      <c r="B918" s="7" t="s">
        <v>2468</v>
      </c>
      <c r="C918" s="7" t="s">
        <v>127</v>
      </c>
      <c r="D918" s="7" t="s">
        <v>103</v>
      </c>
      <c r="E918" s="7" t="s">
        <v>48</v>
      </c>
      <c r="F918" s="7" t="s">
        <v>98</v>
      </c>
      <c r="G918" s="7" t="s">
        <v>2471</v>
      </c>
      <c r="I918" s="1">
        <f t="shared" si="70"/>
        <v>1</v>
      </c>
      <c r="J918" s="1" t="str">
        <f>'Source build'!A918</f>
        <v>L00912</v>
      </c>
      <c r="K918" s="1">
        <f>918</f>
        <v>918</v>
      </c>
      <c r="L918" s="10">
        <f t="shared" si="71"/>
        <v>30618</v>
      </c>
      <c r="M918" s="1">
        <f t="shared" si="72"/>
        <v>1</v>
      </c>
      <c r="N918" s="1">
        <f t="shared" si="73"/>
        <v>1</v>
      </c>
      <c r="O918" s="1" t="str">
        <f>IF(I918=0,"UNUSED",IF(A918="","MISSING ID",IF(K918=0,"UNEXPECTED ID",IF(N918&lt;&gt;1,"ID / ORDER DIFFERENCE",IF('Source build'!U918&lt;&gt;"INCLUDED","EXCLUDED SOURCE",IF(NOT(M918),"INVALID AMOUNT",IF('Source build'!Y918&lt;&gt;0,"CHANGED FIELDS","MATCH")))))))</f>
        <v>MATCH</v>
      </c>
      <c r="P918" s="1" t="str">
        <f t="shared" si="74"/>
        <v>2026-02</v>
      </c>
    </row>
    <row r="919" spans="1:16" ht="18.95" customHeight="1">
      <c r="A919" s="7" t="s">
        <v>2472</v>
      </c>
      <c r="B919" s="7" t="s">
        <v>2473</v>
      </c>
      <c r="C919" s="7" t="s">
        <v>133</v>
      </c>
      <c r="D919" s="7" t="s">
        <v>93</v>
      </c>
      <c r="E919" s="7" t="s">
        <v>46</v>
      </c>
      <c r="F919" s="7" t="s">
        <v>98</v>
      </c>
      <c r="G919" s="7" t="s">
        <v>2474</v>
      </c>
      <c r="I919" s="1">
        <f t="shared" si="70"/>
        <v>1</v>
      </c>
      <c r="J919" s="1" t="str">
        <f>'Source build'!A919</f>
        <v>L00913</v>
      </c>
      <c r="K919" s="1">
        <f>919</f>
        <v>919</v>
      </c>
      <c r="L919" s="10">
        <f t="shared" si="71"/>
        <v>51215</v>
      </c>
      <c r="M919" s="1">
        <f t="shared" si="72"/>
        <v>1</v>
      </c>
      <c r="N919" s="1">
        <f t="shared" si="73"/>
        <v>1</v>
      </c>
      <c r="O919" s="1" t="str">
        <f>IF(I919=0,"UNUSED",IF(A919="","MISSING ID",IF(K919=0,"UNEXPECTED ID",IF(N919&lt;&gt;1,"ID / ORDER DIFFERENCE",IF('Source build'!U919&lt;&gt;"INCLUDED","EXCLUDED SOURCE",IF(NOT(M919),"INVALID AMOUNT",IF('Source build'!Y919&lt;&gt;0,"CHANGED FIELDS","MATCH")))))))</f>
        <v>MATCH</v>
      </c>
      <c r="P919" s="1" t="str">
        <f t="shared" si="74"/>
        <v>2026-02</v>
      </c>
    </row>
    <row r="920" spans="1:16" ht="18.95" customHeight="1">
      <c r="A920" s="7" t="s">
        <v>2475</v>
      </c>
      <c r="B920" s="7" t="s">
        <v>2473</v>
      </c>
      <c r="C920" s="7" t="s">
        <v>133</v>
      </c>
      <c r="D920" s="7" t="s">
        <v>97</v>
      </c>
      <c r="E920" s="7" t="s">
        <v>47</v>
      </c>
      <c r="F920" s="7" t="s">
        <v>98</v>
      </c>
      <c r="G920" s="7" t="s">
        <v>2476</v>
      </c>
      <c r="I920" s="1">
        <f t="shared" si="70"/>
        <v>1</v>
      </c>
      <c r="J920" s="1" t="str">
        <f>'Source build'!A920</f>
        <v>L00914</v>
      </c>
      <c r="K920" s="1">
        <f>920</f>
        <v>920</v>
      </c>
      <c r="L920" s="10">
        <f t="shared" si="71"/>
        <v>20560</v>
      </c>
      <c r="M920" s="1">
        <f t="shared" si="72"/>
        <v>1</v>
      </c>
      <c r="N920" s="1">
        <f t="shared" si="73"/>
        <v>1</v>
      </c>
      <c r="O920" s="1" t="str">
        <f>IF(I920=0,"UNUSED",IF(A920="","MISSING ID",IF(K920=0,"UNEXPECTED ID",IF(N920&lt;&gt;1,"ID / ORDER DIFFERENCE",IF('Source build'!U920&lt;&gt;"INCLUDED","EXCLUDED SOURCE",IF(NOT(M920),"INVALID AMOUNT",IF('Source build'!Y920&lt;&gt;0,"CHANGED FIELDS","MATCH")))))))</f>
        <v>MATCH</v>
      </c>
      <c r="P920" s="1" t="str">
        <f t="shared" si="74"/>
        <v>2026-02</v>
      </c>
    </row>
    <row r="921" spans="1:16" ht="18.95" customHeight="1">
      <c r="A921" s="7" t="s">
        <v>2477</v>
      </c>
      <c r="B921" s="7" t="s">
        <v>2478</v>
      </c>
      <c r="C921" s="7" t="s">
        <v>139</v>
      </c>
      <c r="D921" s="7" t="s">
        <v>103</v>
      </c>
      <c r="E921" s="7" t="s">
        <v>48</v>
      </c>
      <c r="F921" s="7" t="s">
        <v>98</v>
      </c>
      <c r="G921" s="7" t="s">
        <v>2479</v>
      </c>
      <c r="I921" s="1">
        <f t="shared" si="70"/>
        <v>1</v>
      </c>
      <c r="J921" s="1" t="str">
        <f>'Source build'!A921</f>
        <v>L00915</v>
      </c>
      <c r="K921" s="1">
        <f>921</f>
        <v>921</v>
      </c>
      <c r="L921" s="10">
        <f t="shared" si="71"/>
        <v>41268</v>
      </c>
      <c r="M921" s="1">
        <f t="shared" si="72"/>
        <v>1</v>
      </c>
      <c r="N921" s="1">
        <f t="shared" si="73"/>
        <v>1</v>
      </c>
      <c r="O921" s="1" t="str">
        <f>IF(I921=0,"UNUSED",IF(A921="","MISSING ID",IF(K921=0,"UNEXPECTED ID",IF(N921&lt;&gt;1,"ID / ORDER DIFFERENCE",IF('Source build'!U921&lt;&gt;"INCLUDED","EXCLUDED SOURCE",IF(NOT(M921),"INVALID AMOUNT",IF('Source build'!Y921&lt;&gt;0,"CHANGED FIELDS","MATCH")))))))</f>
        <v>MATCH</v>
      </c>
      <c r="P921" s="1" t="str">
        <f t="shared" si="74"/>
        <v>2026-02</v>
      </c>
    </row>
    <row r="922" spans="1:16" ht="18.95" customHeight="1">
      <c r="A922" s="7" t="s">
        <v>2480</v>
      </c>
      <c r="B922" s="7" t="s">
        <v>2478</v>
      </c>
      <c r="C922" s="7" t="s">
        <v>139</v>
      </c>
      <c r="D922" s="7" t="s">
        <v>93</v>
      </c>
      <c r="E922" s="7" t="s">
        <v>46</v>
      </c>
      <c r="F922" s="7" t="s">
        <v>98</v>
      </c>
      <c r="G922" s="7" t="s">
        <v>2481</v>
      </c>
      <c r="I922" s="1">
        <f t="shared" si="70"/>
        <v>1</v>
      </c>
      <c r="J922" s="1" t="str">
        <f>'Source build'!A922</f>
        <v>L00916</v>
      </c>
      <c r="K922" s="1">
        <f>922</f>
        <v>922</v>
      </c>
      <c r="L922" s="10">
        <f t="shared" si="71"/>
        <v>10354</v>
      </c>
      <c r="M922" s="1">
        <f t="shared" si="72"/>
        <v>1</v>
      </c>
      <c r="N922" s="1">
        <f t="shared" si="73"/>
        <v>1</v>
      </c>
      <c r="O922" s="1" t="str">
        <f>IF(I922=0,"UNUSED",IF(A922="","MISSING ID",IF(K922=0,"UNEXPECTED ID",IF(N922&lt;&gt;1,"ID / ORDER DIFFERENCE",IF('Source build'!U922&lt;&gt;"INCLUDED","EXCLUDED SOURCE",IF(NOT(M922),"INVALID AMOUNT",IF('Source build'!Y922&lt;&gt;0,"CHANGED FIELDS","MATCH")))))))</f>
        <v>MATCH</v>
      </c>
      <c r="P922" s="1" t="str">
        <f t="shared" si="74"/>
        <v>2026-02</v>
      </c>
    </row>
    <row r="923" spans="1:16" ht="18.95" customHeight="1">
      <c r="A923" s="7" t="s">
        <v>2482</v>
      </c>
      <c r="B923" s="7" t="s">
        <v>2483</v>
      </c>
      <c r="C923" s="7" t="s">
        <v>145</v>
      </c>
      <c r="D923" s="7" t="s">
        <v>97</v>
      </c>
      <c r="E923" s="7" t="s">
        <v>47</v>
      </c>
      <c r="F923" s="7" t="s">
        <v>98</v>
      </c>
      <c r="G923" s="7" t="s">
        <v>2484</v>
      </c>
      <c r="I923" s="1">
        <f t="shared" si="70"/>
        <v>1</v>
      </c>
      <c r="J923" s="1" t="str">
        <f>'Source build'!A923</f>
        <v>L00917</v>
      </c>
      <c r="K923" s="1">
        <f>923</f>
        <v>923</v>
      </c>
      <c r="L923" s="10">
        <f t="shared" si="71"/>
        <v>31173</v>
      </c>
      <c r="M923" s="1">
        <f t="shared" si="72"/>
        <v>1</v>
      </c>
      <c r="N923" s="1">
        <f t="shared" si="73"/>
        <v>1</v>
      </c>
      <c r="O923" s="1" t="str">
        <f>IF(I923=0,"UNUSED",IF(A923="","MISSING ID",IF(K923=0,"UNEXPECTED ID",IF(N923&lt;&gt;1,"ID / ORDER DIFFERENCE",IF('Source build'!U923&lt;&gt;"INCLUDED","EXCLUDED SOURCE",IF(NOT(M923),"INVALID AMOUNT",IF('Source build'!Y923&lt;&gt;0,"CHANGED FIELDS","MATCH")))))))</f>
        <v>MATCH</v>
      </c>
      <c r="P923" s="1" t="str">
        <f t="shared" si="74"/>
        <v>2026-02</v>
      </c>
    </row>
    <row r="924" spans="1:16" ht="18.95" customHeight="1">
      <c r="A924" s="7" t="s">
        <v>2485</v>
      </c>
      <c r="B924" s="7" t="s">
        <v>2483</v>
      </c>
      <c r="C924" s="7" t="s">
        <v>145</v>
      </c>
      <c r="D924" s="7" t="s">
        <v>103</v>
      </c>
      <c r="E924" s="7" t="s">
        <v>48</v>
      </c>
      <c r="F924" s="7" t="s">
        <v>98</v>
      </c>
      <c r="G924" s="7" t="s">
        <v>2486</v>
      </c>
      <c r="I924" s="1">
        <f t="shared" si="70"/>
        <v>1</v>
      </c>
      <c r="J924" s="1" t="str">
        <f>'Source build'!A924</f>
        <v>L00918</v>
      </c>
      <c r="K924" s="1">
        <f>924</f>
        <v>924</v>
      </c>
      <c r="L924" s="10">
        <f t="shared" si="71"/>
        <v>52140</v>
      </c>
      <c r="M924" s="1">
        <f t="shared" si="72"/>
        <v>1</v>
      </c>
      <c r="N924" s="1">
        <f t="shared" si="73"/>
        <v>1</v>
      </c>
      <c r="O924" s="1" t="str">
        <f>IF(I924=0,"UNUSED",IF(A924="","MISSING ID",IF(K924=0,"UNEXPECTED ID",IF(N924&lt;&gt;1,"ID / ORDER DIFFERENCE",IF('Source build'!U924&lt;&gt;"INCLUDED","EXCLUDED SOURCE",IF(NOT(M924),"INVALID AMOUNT",IF('Source build'!Y924&lt;&gt;0,"CHANGED FIELDS","MATCH")))))))</f>
        <v>MATCH</v>
      </c>
      <c r="P924" s="1" t="str">
        <f t="shared" si="74"/>
        <v>2026-02</v>
      </c>
    </row>
    <row r="925" spans="1:16" ht="18.95" customHeight="1">
      <c r="A925" s="7" t="s">
        <v>2487</v>
      </c>
      <c r="B925" s="7" t="s">
        <v>2488</v>
      </c>
      <c r="C925" s="7" t="s">
        <v>151</v>
      </c>
      <c r="D925" s="7" t="s">
        <v>93</v>
      </c>
      <c r="E925" s="7" t="s">
        <v>46</v>
      </c>
      <c r="F925" s="7" t="s">
        <v>98</v>
      </c>
      <c r="G925" s="7" t="s">
        <v>2489</v>
      </c>
      <c r="I925" s="1">
        <f t="shared" si="70"/>
        <v>1</v>
      </c>
      <c r="J925" s="1" t="str">
        <f>'Source build'!A925</f>
        <v>L00919</v>
      </c>
      <c r="K925" s="1">
        <f>925</f>
        <v>925</v>
      </c>
      <c r="L925" s="10">
        <f t="shared" si="71"/>
        <v>20930</v>
      </c>
      <c r="M925" s="1">
        <f t="shared" si="72"/>
        <v>1</v>
      </c>
      <c r="N925" s="1">
        <f t="shared" si="73"/>
        <v>1</v>
      </c>
      <c r="O925" s="1" t="str">
        <f>IF(I925=0,"UNUSED",IF(A925="","MISSING ID",IF(K925=0,"UNEXPECTED ID",IF(N925&lt;&gt;1,"ID / ORDER DIFFERENCE",IF('Source build'!U925&lt;&gt;"INCLUDED","EXCLUDED SOURCE",IF(NOT(M925),"INVALID AMOUNT",IF('Source build'!Y925&lt;&gt;0,"CHANGED FIELDS","MATCH")))))))</f>
        <v>MATCH</v>
      </c>
      <c r="P925" s="1" t="str">
        <f t="shared" si="74"/>
        <v>2026-03</v>
      </c>
    </row>
    <row r="926" spans="1:16" ht="18.95" customHeight="1">
      <c r="A926" s="7" t="s">
        <v>2490</v>
      </c>
      <c r="B926" s="7" t="s">
        <v>2488</v>
      </c>
      <c r="C926" s="7" t="s">
        <v>151</v>
      </c>
      <c r="D926" s="7" t="s">
        <v>97</v>
      </c>
      <c r="E926" s="7" t="s">
        <v>47</v>
      </c>
      <c r="F926" s="7" t="s">
        <v>98</v>
      </c>
      <c r="G926" s="7" t="s">
        <v>2491</v>
      </c>
      <c r="I926" s="1">
        <f t="shared" si="70"/>
        <v>1</v>
      </c>
      <c r="J926" s="1" t="str">
        <f>'Source build'!A926</f>
        <v>L00920</v>
      </c>
      <c r="K926" s="1">
        <f>926</f>
        <v>926</v>
      </c>
      <c r="L926" s="10">
        <f t="shared" si="71"/>
        <v>42008</v>
      </c>
      <c r="M926" s="1">
        <f t="shared" si="72"/>
        <v>1</v>
      </c>
      <c r="N926" s="1">
        <f t="shared" si="73"/>
        <v>1</v>
      </c>
      <c r="O926" s="1" t="str">
        <f>IF(I926=0,"UNUSED",IF(A926="","MISSING ID",IF(K926=0,"UNEXPECTED ID",IF(N926&lt;&gt;1,"ID / ORDER DIFFERENCE",IF('Source build'!U926&lt;&gt;"INCLUDED","EXCLUDED SOURCE",IF(NOT(M926),"INVALID AMOUNT",IF('Source build'!Y926&lt;&gt;0,"CHANGED FIELDS","MATCH")))))))</f>
        <v>MATCH</v>
      </c>
      <c r="P926" s="1" t="str">
        <f t="shared" si="74"/>
        <v>2026-03</v>
      </c>
    </row>
    <row r="927" spans="1:16" ht="18.95" customHeight="1">
      <c r="A927" s="7" t="s">
        <v>2492</v>
      </c>
      <c r="B927" s="7" t="s">
        <v>2493</v>
      </c>
      <c r="C927" s="7" t="s">
        <v>157</v>
      </c>
      <c r="D927" s="7" t="s">
        <v>103</v>
      </c>
      <c r="E927" s="7" t="s">
        <v>48</v>
      </c>
      <c r="F927" s="7" t="s">
        <v>94</v>
      </c>
      <c r="G927" s="7" t="s">
        <v>2494</v>
      </c>
      <c r="I927" s="1">
        <f t="shared" si="70"/>
        <v>1</v>
      </c>
      <c r="J927" s="1" t="str">
        <f>'Source build'!A927</f>
        <v>L00921</v>
      </c>
      <c r="K927" s="1">
        <f>927</f>
        <v>927</v>
      </c>
      <c r="L927" s="10">
        <f t="shared" si="71"/>
        <v>-10539</v>
      </c>
      <c r="M927" s="1">
        <f t="shared" si="72"/>
        <v>1</v>
      </c>
      <c r="N927" s="1">
        <f t="shared" si="73"/>
        <v>1</v>
      </c>
      <c r="O927" s="1" t="str">
        <f>IF(I927=0,"UNUSED",IF(A927="","MISSING ID",IF(K927=0,"UNEXPECTED ID",IF(N927&lt;&gt;1,"ID / ORDER DIFFERENCE",IF('Source build'!U927&lt;&gt;"INCLUDED","EXCLUDED SOURCE",IF(NOT(M927),"INVALID AMOUNT",IF('Source build'!Y927&lt;&gt;0,"CHANGED FIELDS","MATCH")))))))</f>
        <v>MATCH</v>
      </c>
      <c r="P927" s="1" t="str">
        <f t="shared" si="74"/>
        <v>2026-03</v>
      </c>
    </row>
    <row r="928" spans="1:16" ht="18.95" customHeight="1">
      <c r="A928" s="7" t="s">
        <v>2495</v>
      </c>
      <c r="B928" s="7" t="s">
        <v>2493</v>
      </c>
      <c r="C928" s="7" t="s">
        <v>157</v>
      </c>
      <c r="D928" s="7" t="s">
        <v>93</v>
      </c>
      <c r="E928" s="7" t="s">
        <v>46</v>
      </c>
      <c r="F928" s="7" t="s">
        <v>98</v>
      </c>
      <c r="G928" s="7" t="s">
        <v>2496</v>
      </c>
      <c r="I928" s="1">
        <f t="shared" si="70"/>
        <v>1</v>
      </c>
      <c r="J928" s="1" t="str">
        <f>'Source build'!A928</f>
        <v>L00922</v>
      </c>
      <c r="K928" s="1">
        <f>928</f>
        <v>928</v>
      </c>
      <c r="L928" s="10">
        <f t="shared" si="71"/>
        <v>31728</v>
      </c>
      <c r="M928" s="1">
        <f t="shared" si="72"/>
        <v>1</v>
      </c>
      <c r="N928" s="1">
        <f t="shared" si="73"/>
        <v>1</v>
      </c>
      <c r="O928" s="1" t="str">
        <f>IF(I928=0,"UNUSED",IF(A928="","MISSING ID",IF(K928=0,"UNEXPECTED ID",IF(N928&lt;&gt;1,"ID / ORDER DIFFERENCE",IF('Source build'!U928&lt;&gt;"INCLUDED","EXCLUDED SOURCE",IF(NOT(M928),"INVALID AMOUNT",IF('Source build'!Y928&lt;&gt;0,"CHANGED FIELDS","MATCH")))))))</f>
        <v>MATCH</v>
      </c>
      <c r="P928" s="1" t="str">
        <f t="shared" si="74"/>
        <v>2026-03</v>
      </c>
    </row>
    <row r="929" spans="1:16" ht="18.95" customHeight="1">
      <c r="A929" s="7" t="s">
        <v>2497</v>
      </c>
      <c r="B929" s="7" t="s">
        <v>2498</v>
      </c>
      <c r="C929" s="7" t="s">
        <v>163</v>
      </c>
      <c r="D929" s="7" t="s">
        <v>97</v>
      </c>
      <c r="E929" s="7" t="s">
        <v>47</v>
      </c>
      <c r="F929" s="7" t="s">
        <v>98</v>
      </c>
      <c r="G929" s="7" t="s">
        <v>2499</v>
      </c>
      <c r="I929" s="1">
        <f t="shared" si="70"/>
        <v>1</v>
      </c>
      <c r="J929" s="1" t="str">
        <f>'Source build'!A929</f>
        <v>L00923</v>
      </c>
      <c r="K929" s="1">
        <f>929</f>
        <v>929</v>
      </c>
      <c r="L929" s="10">
        <f t="shared" si="71"/>
        <v>53065</v>
      </c>
      <c r="M929" s="1">
        <f t="shared" si="72"/>
        <v>1</v>
      </c>
      <c r="N929" s="1">
        <f t="shared" si="73"/>
        <v>1</v>
      </c>
      <c r="O929" s="1" t="str">
        <f>IF(I929=0,"UNUSED",IF(A929="","MISSING ID",IF(K929=0,"UNEXPECTED ID",IF(N929&lt;&gt;1,"ID / ORDER DIFFERENCE",IF('Source build'!U929&lt;&gt;"INCLUDED","EXCLUDED SOURCE",IF(NOT(M929),"INVALID AMOUNT",IF('Source build'!Y929&lt;&gt;0,"CHANGED FIELDS","MATCH")))))))</f>
        <v>MATCH</v>
      </c>
      <c r="P929" s="1" t="str">
        <f t="shared" si="74"/>
        <v>2026-03</v>
      </c>
    </row>
    <row r="930" spans="1:16" ht="18.95" customHeight="1">
      <c r="A930" s="7" t="s">
        <v>2500</v>
      </c>
      <c r="B930" s="7" t="s">
        <v>2498</v>
      </c>
      <c r="C930" s="7" t="s">
        <v>163</v>
      </c>
      <c r="D930" s="7" t="s">
        <v>103</v>
      </c>
      <c r="E930" s="7" t="s">
        <v>48</v>
      </c>
      <c r="F930" s="7" t="s">
        <v>98</v>
      </c>
      <c r="G930" s="7" t="s">
        <v>2501</v>
      </c>
      <c r="I930" s="1">
        <f t="shared" si="70"/>
        <v>1</v>
      </c>
      <c r="J930" s="1" t="str">
        <f>'Source build'!A930</f>
        <v>L00924</v>
      </c>
      <c r="K930" s="1">
        <f>930</f>
        <v>930</v>
      </c>
      <c r="L930" s="10">
        <f t="shared" si="71"/>
        <v>21300</v>
      </c>
      <c r="M930" s="1">
        <f t="shared" si="72"/>
        <v>1</v>
      </c>
      <c r="N930" s="1">
        <f t="shared" si="73"/>
        <v>1</v>
      </c>
      <c r="O930" s="1" t="str">
        <f>IF(I930=0,"UNUSED",IF(A930="","MISSING ID",IF(K930=0,"UNEXPECTED ID",IF(N930&lt;&gt;1,"ID / ORDER DIFFERENCE",IF('Source build'!U930&lt;&gt;"INCLUDED","EXCLUDED SOURCE",IF(NOT(M930),"INVALID AMOUNT",IF('Source build'!Y930&lt;&gt;0,"CHANGED FIELDS","MATCH")))))))</f>
        <v>MATCH</v>
      </c>
      <c r="P930" s="1" t="str">
        <f t="shared" si="74"/>
        <v>2026-03</v>
      </c>
    </row>
    <row r="931" spans="1:16" ht="18.95" customHeight="1">
      <c r="A931" s="7" t="s">
        <v>2502</v>
      </c>
      <c r="B931" s="7" t="s">
        <v>2503</v>
      </c>
      <c r="C931" s="7" t="s">
        <v>169</v>
      </c>
      <c r="D931" s="7" t="s">
        <v>93</v>
      </c>
      <c r="E931" s="7" t="s">
        <v>46</v>
      </c>
      <c r="F931" s="7" t="s">
        <v>98</v>
      </c>
      <c r="G931" s="7" t="s">
        <v>2504</v>
      </c>
      <c r="I931" s="1">
        <f t="shared" si="70"/>
        <v>1</v>
      </c>
      <c r="J931" s="1" t="str">
        <f>'Source build'!A931</f>
        <v>L00925</v>
      </c>
      <c r="K931" s="1">
        <f>931</f>
        <v>931</v>
      </c>
      <c r="L931" s="10">
        <f t="shared" si="71"/>
        <v>42748</v>
      </c>
      <c r="M931" s="1">
        <f t="shared" si="72"/>
        <v>1</v>
      </c>
      <c r="N931" s="1">
        <f t="shared" si="73"/>
        <v>1</v>
      </c>
      <c r="O931" s="1" t="str">
        <f>IF(I931=0,"UNUSED",IF(A931="","MISSING ID",IF(K931=0,"UNEXPECTED ID",IF(N931&lt;&gt;1,"ID / ORDER DIFFERENCE",IF('Source build'!U931&lt;&gt;"INCLUDED","EXCLUDED SOURCE",IF(NOT(M931),"INVALID AMOUNT",IF('Source build'!Y931&lt;&gt;0,"CHANGED FIELDS","MATCH")))))))</f>
        <v>MATCH</v>
      </c>
      <c r="P931" s="1" t="str">
        <f t="shared" si="74"/>
        <v>2026-03</v>
      </c>
    </row>
    <row r="932" spans="1:16" ht="18.95" customHeight="1">
      <c r="A932" s="7" t="s">
        <v>2505</v>
      </c>
      <c r="B932" s="7" t="s">
        <v>2503</v>
      </c>
      <c r="C932" s="7" t="s">
        <v>169</v>
      </c>
      <c r="D932" s="7" t="s">
        <v>97</v>
      </c>
      <c r="E932" s="7" t="s">
        <v>47</v>
      </c>
      <c r="F932" s="7" t="s">
        <v>98</v>
      </c>
      <c r="G932" s="7" t="s">
        <v>2506</v>
      </c>
      <c r="I932" s="1">
        <f t="shared" si="70"/>
        <v>1</v>
      </c>
      <c r="J932" s="1" t="str">
        <f>'Source build'!A932</f>
        <v>L00926</v>
      </c>
      <c r="K932" s="1">
        <f>932</f>
        <v>932</v>
      </c>
      <c r="L932" s="10">
        <f t="shared" si="71"/>
        <v>10724</v>
      </c>
      <c r="M932" s="1">
        <f t="shared" si="72"/>
        <v>1</v>
      </c>
      <c r="N932" s="1">
        <f t="shared" si="73"/>
        <v>1</v>
      </c>
      <c r="O932" s="1" t="str">
        <f>IF(I932=0,"UNUSED",IF(A932="","MISSING ID",IF(K932=0,"UNEXPECTED ID",IF(N932&lt;&gt;1,"ID / ORDER DIFFERENCE",IF('Source build'!U932&lt;&gt;"INCLUDED","EXCLUDED SOURCE",IF(NOT(M932),"INVALID AMOUNT",IF('Source build'!Y932&lt;&gt;0,"CHANGED FIELDS","MATCH")))))))</f>
        <v>MATCH</v>
      </c>
      <c r="P932" s="1" t="str">
        <f t="shared" si="74"/>
        <v>2026-03</v>
      </c>
    </row>
    <row r="933" spans="1:16" ht="18.95" customHeight="1">
      <c r="A933" s="7" t="s">
        <v>2507</v>
      </c>
      <c r="B933" s="7" t="s">
        <v>2508</v>
      </c>
      <c r="C933" s="7" t="s">
        <v>175</v>
      </c>
      <c r="D933" s="7" t="s">
        <v>103</v>
      </c>
      <c r="E933" s="7" t="s">
        <v>48</v>
      </c>
      <c r="F933" s="7" t="s">
        <v>98</v>
      </c>
      <c r="G933" s="7" t="s">
        <v>2509</v>
      </c>
      <c r="I933" s="1">
        <f t="shared" si="70"/>
        <v>1</v>
      </c>
      <c r="J933" s="1" t="str">
        <f>'Source build'!A933</f>
        <v>L00927</v>
      </c>
      <c r="K933" s="1">
        <f>933</f>
        <v>933</v>
      </c>
      <c r="L933" s="10">
        <f t="shared" si="71"/>
        <v>32283</v>
      </c>
      <c r="M933" s="1">
        <f t="shared" si="72"/>
        <v>1</v>
      </c>
      <c r="N933" s="1">
        <f t="shared" si="73"/>
        <v>1</v>
      </c>
      <c r="O933" s="1" t="str">
        <f>IF(I933=0,"UNUSED",IF(A933="","MISSING ID",IF(K933=0,"UNEXPECTED ID",IF(N933&lt;&gt;1,"ID / ORDER DIFFERENCE",IF('Source build'!U933&lt;&gt;"INCLUDED","EXCLUDED SOURCE",IF(NOT(M933),"INVALID AMOUNT",IF('Source build'!Y933&lt;&gt;0,"CHANGED FIELDS","MATCH")))))))</f>
        <v>MATCH</v>
      </c>
      <c r="P933" s="1" t="str">
        <f t="shared" si="74"/>
        <v>2026-01</v>
      </c>
    </row>
    <row r="934" spans="1:16" ht="18.95" customHeight="1">
      <c r="A934" s="7" t="s">
        <v>2510</v>
      </c>
      <c r="B934" s="7" t="s">
        <v>2508</v>
      </c>
      <c r="C934" s="7" t="s">
        <v>175</v>
      </c>
      <c r="D934" s="7" t="s">
        <v>93</v>
      </c>
      <c r="E934" s="7" t="s">
        <v>46</v>
      </c>
      <c r="F934" s="7" t="s">
        <v>98</v>
      </c>
      <c r="G934" s="7" t="s">
        <v>2511</v>
      </c>
      <c r="I934" s="1">
        <f t="shared" si="70"/>
        <v>1</v>
      </c>
      <c r="J934" s="1" t="str">
        <f>'Source build'!A934</f>
        <v>L00928</v>
      </c>
      <c r="K934" s="1">
        <f>934</f>
        <v>934</v>
      </c>
      <c r="L934" s="10">
        <f t="shared" si="71"/>
        <v>53990</v>
      </c>
      <c r="M934" s="1">
        <f t="shared" si="72"/>
        <v>1</v>
      </c>
      <c r="N934" s="1">
        <f t="shared" si="73"/>
        <v>1</v>
      </c>
      <c r="O934" s="1" t="str">
        <f>IF(I934=0,"UNUSED",IF(A934="","MISSING ID",IF(K934=0,"UNEXPECTED ID",IF(N934&lt;&gt;1,"ID / ORDER DIFFERENCE",IF('Source build'!U934&lt;&gt;"INCLUDED","EXCLUDED SOURCE",IF(NOT(M934),"INVALID AMOUNT",IF('Source build'!Y934&lt;&gt;0,"CHANGED FIELDS","MATCH")))))))</f>
        <v>MATCH</v>
      </c>
      <c r="P934" s="1" t="str">
        <f t="shared" si="74"/>
        <v>2026-01</v>
      </c>
    </row>
    <row r="935" spans="1:16" ht="18.95" customHeight="1">
      <c r="A935" s="7" t="s">
        <v>2512</v>
      </c>
      <c r="B935" s="7" t="s">
        <v>2513</v>
      </c>
      <c r="C935" s="7" t="s">
        <v>181</v>
      </c>
      <c r="D935" s="7" t="s">
        <v>97</v>
      </c>
      <c r="E935" s="7" t="s">
        <v>47</v>
      </c>
      <c r="F935" s="7" t="s">
        <v>98</v>
      </c>
      <c r="G935" s="7" t="s">
        <v>2514</v>
      </c>
      <c r="I935" s="1">
        <f t="shared" si="70"/>
        <v>1</v>
      </c>
      <c r="J935" s="1" t="str">
        <f>'Source build'!A935</f>
        <v>L00929</v>
      </c>
      <c r="K935" s="1">
        <f>935</f>
        <v>935</v>
      </c>
      <c r="L935" s="10">
        <f t="shared" si="71"/>
        <v>21670</v>
      </c>
      <c r="M935" s="1">
        <f t="shared" si="72"/>
        <v>1</v>
      </c>
      <c r="N935" s="1">
        <f t="shared" si="73"/>
        <v>1</v>
      </c>
      <c r="O935" s="1" t="str">
        <f>IF(I935=0,"UNUSED",IF(A935="","MISSING ID",IF(K935=0,"UNEXPECTED ID",IF(N935&lt;&gt;1,"ID / ORDER DIFFERENCE",IF('Source build'!U935&lt;&gt;"INCLUDED","EXCLUDED SOURCE",IF(NOT(M935),"INVALID AMOUNT",IF('Source build'!Y935&lt;&gt;0,"CHANGED FIELDS","MATCH")))))))</f>
        <v>MATCH</v>
      </c>
      <c r="P935" s="1" t="str">
        <f t="shared" si="74"/>
        <v>2026-01</v>
      </c>
    </row>
    <row r="936" spans="1:16" ht="18.95" customHeight="1">
      <c r="A936" s="7" t="s">
        <v>2515</v>
      </c>
      <c r="B936" s="7" t="s">
        <v>2513</v>
      </c>
      <c r="C936" s="7" t="s">
        <v>181</v>
      </c>
      <c r="D936" s="7" t="s">
        <v>103</v>
      </c>
      <c r="E936" s="7" t="s">
        <v>48</v>
      </c>
      <c r="F936" s="7" t="s">
        <v>98</v>
      </c>
      <c r="G936" s="7" t="s">
        <v>2516</v>
      </c>
      <c r="I936" s="1">
        <f t="shared" si="70"/>
        <v>1</v>
      </c>
      <c r="J936" s="1" t="str">
        <f>'Source build'!A936</f>
        <v>L00930</v>
      </c>
      <c r="K936" s="1">
        <f>936</f>
        <v>936</v>
      </c>
      <c r="L936" s="10">
        <f t="shared" si="71"/>
        <v>43488</v>
      </c>
      <c r="M936" s="1">
        <f t="shared" si="72"/>
        <v>1</v>
      </c>
      <c r="N936" s="1">
        <f t="shared" si="73"/>
        <v>1</v>
      </c>
      <c r="O936" s="1" t="str">
        <f>IF(I936=0,"UNUSED",IF(A936="","MISSING ID",IF(K936=0,"UNEXPECTED ID",IF(N936&lt;&gt;1,"ID / ORDER DIFFERENCE",IF('Source build'!U936&lt;&gt;"INCLUDED","EXCLUDED SOURCE",IF(NOT(M936),"INVALID AMOUNT",IF('Source build'!Y936&lt;&gt;0,"CHANGED FIELDS","MATCH")))))))</f>
        <v>MATCH</v>
      </c>
      <c r="P936" s="1" t="str">
        <f t="shared" si="74"/>
        <v>2026-01</v>
      </c>
    </row>
    <row r="937" spans="1:16" ht="18.95" customHeight="1">
      <c r="A937" s="7" t="s">
        <v>2517</v>
      </c>
      <c r="B937" s="7" t="s">
        <v>2518</v>
      </c>
      <c r="C937" s="7" t="s">
        <v>187</v>
      </c>
      <c r="D937" s="7" t="s">
        <v>93</v>
      </c>
      <c r="E937" s="7" t="s">
        <v>46</v>
      </c>
      <c r="F937" s="7" t="s">
        <v>98</v>
      </c>
      <c r="G937" s="7" t="s">
        <v>2519</v>
      </c>
      <c r="I937" s="1">
        <f t="shared" si="70"/>
        <v>1</v>
      </c>
      <c r="J937" s="1" t="str">
        <f>'Source build'!A937</f>
        <v>L00931</v>
      </c>
      <c r="K937" s="1">
        <f>937</f>
        <v>937</v>
      </c>
      <c r="L937" s="10">
        <f t="shared" si="71"/>
        <v>10909</v>
      </c>
      <c r="M937" s="1">
        <f t="shared" si="72"/>
        <v>1</v>
      </c>
      <c r="N937" s="1">
        <f t="shared" si="73"/>
        <v>1</v>
      </c>
      <c r="O937" s="1" t="str">
        <f>IF(I937=0,"UNUSED",IF(A937="","MISSING ID",IF(K937=0,"UNEXPECTED ID",IF(N937&lt;&gt;1,"ID / ORDER DIFFERENCE",IF('Source build'!U937&lt;&gt;"INCLUDED","EXCLUDED SOURCE",IF(NOT(M937),"INVALID AMOUNT",IF('Source build'!Y937&lt;&gt;0,"CHANGED FIELDS","MATCH")))))))</f>
        <v>MATCH</v>
      </c>
      <c r="P937" s="1" t="str">
        <f t="shared" si="74"/>
        <v>2026-01</v>
      </c>
    </row>
    <row r="938" spans="1:16" ht="18.95" customHeight="1">
      <c r="A938" s="7" t="s">
        <v>2520</v>
      </c>
      <c r="B938" s="7" t="s">
        <v>2518</v>
      </c>
      <c r="C938" s="7" t="s">
        <v>187</v>
      </c>
      <c r="D938" s="7" t="s">
        <v>97</v>
      </c>
      <c r="E938" s="7" t="s">
        <v>47</v>
      </c>
      <c r="F938" s="7" t="s">
        <v>98</v>
      </c>
      <c r="G938" s="7" t="s">
        <v>2521</v>
      </c>
      <c r="I938" s="1">
        <f t="shared" si="70"/>
        <v>1</v>
      </c>
      <c r="J938" s="1" t="str">
        <f>'Source build'!A938</f>
        <v>L00932</v>
      </c>
      <c r="K938" s="1">
        <f>938</f>
        <v>938</v>
      </c>
      <c r="L938" s="10">
        <f t="shared" si="71"/>
        <v>32838</v>
      </c>
      <c r="M938" s="1">
        <f t="shared" si="72"/>
        <v>1</v>
      </c>
      <c r="N938" s="1">
        <f t="shared" si="73"/>
        <v>1</v>
      </c>
      <c r="O938" s="1" t="str">
        <f>IF(I938=0,"UNUSED",IF(A938="","MISSING ID",IF(K938=0,"UNEXPECTED ID",IF(N938&lt;&gt;1,"ID / ORDER DIFFERENCE",IF('Source build'!U938&lt;&gt;"INCLUDED","EXCLUDED SOURCE",IF(NOT(M938),"INVALID AMOUNT",IF('Source build'!Y938&lt;&gt;0,"CHANGED FIELDS","MATCH")))))))</f>
        <v>MATCH</v>
      </c>
      <c r="P938" s="1" t="str">
        <f t="shared" si="74"/>
        <v>2026-01</v>
      </c>
    </row>
    <row r="939" spans="1:16" ht="18.95" customHeight="1">
      <c r="A939" s="7" t="s">
        <v>2522</v>
      </c>
      <c r="B939" s="7" t="s">
        <v>2523</v>
      </c>
      <c r="C939" s="7" t="s">
        <v>193</v>
      </c>
      <c r="D939" s="7" t="s">
        <v>103</v>
      </c>
      <c r="E939" s="7" t="s">
        <v>48</v>
      </c>
      <c r="F939" s="7" t="s">
        <v>98</v>
      </c>
      <c r="G939" s="7" t="s">
        <v>2524</v>
      </c>
      <c r="I939" s="1">
        <f t="shared" si="70"/>
        <v>1</v>
      </c>
      <c r="J939" s="1" t="str">
        <f>'Source build'!A939</f>
        <v>L00933</v>
      </c>
      <c r="K939" s="1">
        <f>939</f>
        <v>939</v>
      </c>
      <c r="L939" s="10">
        <f t="shared" si="71"/>
        <v>54915</v>
      </c>
      <c r="M939" s="1">
        <f t="shared" si="72"/>
        <v>1</v>
      </c>
      <c r="N939" s="1">
        <f t="shared" si="73"/>
        <v>1</v>
      </c>
      <c r="O939" s="1" t="str">
        <f>IF(I939=0,"UNUSED",IF(A939="","MISSING ID",IF(K939=0,"UNEXPECTED ID",IF(N939&lt;&gt;1,"ID / ORDER DIFFERENCE",IF('Source build'!U939&lt;&gt;"INCLUDED","EXCLUDED SOURCE",IF(NOT(M939),"INVALID AMOUNT",IF('Source build'!Y939&lt;&gt;0,"CHANGED FIELDS","MATCH")))))))</f>
        <v>MATCH</v>
      </c>
      <c r="P939" s="1" t="str">
        <f t="shared" si="74"/>
        <v>2026-01</v>
      </c>
    </row>
    <row r="940" spans="1:16" ht="18.95" customHeight="1">
      <c r="A940" s="7" t="s">
        <v>2525</v>
      </c>
      <c r="B940" s="7" t="s">
        <v>2523</v>
      </c>
      <c r="C940" s="7" t="s">
        <v>193</v>
      </c>
      <c r="D940" s="7" t="s">
        <v>93</v>
      </c>
      <c r="E940" s="7" t="s">
        <v>46</v>
      </c>
      <c r="F940" s="7" t="s">
        <v>98</v>
      </c>
      <c r="G940" s="7" t="s">
        <v>2526</v>
      </c>
      <c r="I940" s="1">
        <f t="shared" si="70"/>
        <v>1</v>
      </c>
      <c r="J940" s="1" t="str">
        <f>'Source build'!A940</f>
        <v>L00934</v>
      </c>
      <c r="K940" s="1">
        <f>940</f>
        <v>940</v>
      </c>
      <c r="L940" s="10">
        <f t="shared" si="71"/>
        <v>22040</v>
      </c>
      <c r="M940" s="1">
        <f t="shared" si="72"/>
        <v>1</v>
      </c>
      <c r="N940" s="1">
        <f t="shared" si="73"/>
        <v>1</v>
      </c>
      <c r="O940" s="1" t="str">
        <f>IF(I940=0,"UNUSED",IF(A940="","MISSING ID",IF(K940=0,"UNEXPECTED ID",IF(N940&lt;&gt;1,"ID / ORDER DIFFERENCE",IF('Source build'!U940&lt;&gt;"INCLUDED","EXCLUDED SOURCE",IF(NOT(M940),"INVALID AMOUNT",IF('Source build'!Y940&lt;&gt;0,"CHANGED FIELDS","MATCH")))))))</f>
        <v>MATCH</v>
      </c>
      <c r="P940" s="1" t="str">
        <f t="shared" si="74"/>
        <v>2026-01</v>
      </c>
    </row>
    <row r="941" spans="1:16" ht="18.95" customHeight="1">
      <c r="A941" s="7" t="s">
        <v>2527</v>
      </c>
      <c r="B941" s="7" t="s">
        <v>2528</v>
      </c>
      <c r="C941" s="7" t="s">
        <v>200</v>
      </c>
      <c r="D941" s="7" t="s">
        <v>97</v>
      </c>
      <c r="E941" s="7" t="s">
        <v>47</v>
      </c>
      <c r="F941" s="7" t="s">
        <v>98</v>
      </c>
      <c r="G941" s="7" t="s">
        <v>2529</v>
      </c>
      <c r="I941" s="1">
        <f t="shared" si="70"/>
        <v>1</v>
      </c>
      <c r="J941" s="1" t="str">
        <f>'Source build'!A941</f>
        <v>L00935</v>
      </c>
      <c r="K941" s="1">
        <f>941</f>
        <v>941</v>
      </c>
      <c r="L941" s="10">
        <f t="shared" si="71"/>
        <v>44228</v>
      </c>
      <c r="M941" s="1">
        <f t="shared" si="72"/>
        <v>1</v>
      </c>
      <c r="N941" s="1">
        <f t="shared" si="73"/>
        <v>1</v>
      </c>
      <c r="O941" s="1" t="str">
        <f>IF(I941=0,"UNUSED",IF(A941="","MISSING ID",IF(K941=0,"UNEXPECTED ID",IF(N941&lt;&gt;1,"ID / ORDER DIFFERENCE",IF('Source build'!U941&lt;&gt;"INCLUDED","EXCLUDED SOURCE",IF(NOT(M941),"INVALID AMOUNT",IF('Source build'!Y941&lt;&gt;0,"CHANGED FIELDS","MATCH")))))))</f>
        <v>MATCH</v>
      </c>
      <c r="P941" s="1" t="str">
        <f t="shared" si="74"/>
        <v>2026-01</v>
      </c>
    </row>
    <row r="942" spans="1:16" ht="18.95" customHeight="1">
      <c r="A942" s="7" t="s">
        <v>2530</v>
      </c>
      <c r="B942" s="7" t="s">
        <v>2528</v>
      </c>
      <c r="C942" s="7" t="s">
        <v>200</v>
      </c>
      <c r="D942" s="7" t="s">
        <v>103</v>
      </c>
      <c r="E942" s="7" t="s">
        <v>48</v>
      </c>
      <c r="F942" s="7" t="s">
        <v>98</v>
      </c>
      <c r="G942" s="7" t="s">
        <v>2531</v>
      </c>
      <c r="I942" s="1">
        <f t="shared" si="70"/>
        <v>1</v>
      </c>
      <c r="J942" s="1" t="str">
        <f>'Source build'!A942</f>
        <v>L00936</v>
      </c>
      <c r="K942" s="1">
        <f>942</f>
        <v>942</v>
      </c>
      <c r="L942" s="10">
        <f t="shared" si="71"/>
        <v>11094</v>
      </c>
      <c r="M942" s="1">
        <f t="shared" si="72"/>
        <v>1</v>
      </c>
      <c r="N942" s="1">
        <f t="shared" si="73"/>
        <v>1</v>
      </c>
      <c r="O942" s="1" t="str">
        <f>IF(I942=0,"UNUSED",IF(A942="","MISSING ID",IF(K942=0,"UNEXPECTED ID",IF(N942&lt;&gt;1,"ID / ORDER DIFFERENCE",IF('Source build'!U942&lt;&gt;"INCLUDED","EXCLUDED SOURCE",IF(NOT(M942),"INVALID AMOUNT",IF('Source build'!Y942&lt;&gt;0,"CHANGED FIELDS","MATCH")))))))</f>
        <v>MATCH</v>
      </c>
      <c r="P942" s="1" t="str">
        <f t="shared" si="74"/>
        <v>2026-01</v>
      </c>
    </row>
    <row r="943" spans="1:16" ht="18.95" customHeight="1">
      <c r="A943" s="7" t="s">
        <v>2532</v>
      </c>
      <c r="B943" s="7" t="s">
        <v>2533</v>
      </c>
      <c r="C943" s="7" t="s">
        <v>206</v>
      </c>
      <c r="D943" s="7" t="s">
        <v>93</v>
      </c>
      <c r="E943" s="7" t="s">
        <v>46</v>
      </c>
      <c r="F943" s="7" t="s">
        <v>98</v>
      </c>
      <c r="G943" s="7" t="s">
        <v>2534</v>
      </c>
      <c r="I943" s="1">
        <f t="shared" si="70"/>
        <v>1</v>
      </c>
      <c r="J943" s="1" t="str">
        <f>'Source build'!A943</f>
        <v>L00937</v>
      </c>
      <c r="K943" s="1">
        <f>943</f>
        <v>943</v>
      </c>
      <c r="L943" s="10">
        <f t="shared" si="71"/>
        <v>33393</v>
      </c>
      <c r="M943" s="1">
        <f t="shared" si="72"/>
        <v>1</v>
      </c>
      <c r="N943" s="1">
        <f t="shared" si="73"/>
        <v>1</v>
      </c>
      <c r="O943" s="1" t="str">
        <f>IF(I943=0,"UNUSED",IF(A943="","MISSING ID",IF(K943=0,"UNEXPECTED ID",IF(N943&lt;&gt;1,"ID / ORDER DIFFERENCE",IF('Source build'!U943&lt;&gt;"INCLUDED","EXCLUDED SOURCE",IF(NOT(M943),"INVALID AMOUNT",IF('Source build'!Y943&lt;&gt;0,"CHANGED FIELDS","MATCH")))))))</f>
        <v>MATCH</v>
      </c>
      <c r="P943" s="1" t="str">
        <f t="shared" si="74"/>
        <v>2026-02</v>
      </c>
    </row>
    <row r="944" spans="1:16" ht="18.95" customHeight="1">
      <c r="A944" s="7" t="s">
        <v>2535</v>
      </c>
      <c r="B944" s="7" t="s">
        <v>2533</v>
      </c>
      <c r="C944" s="7" t="s">
        <v>206</v>
      </c>
      <c r="D944" s="7" t="s">
        <v>97</v>
      </c>
      <c r="E944" s="7" t="s">
        <v>47</v>
      </c>
      <c r="F944" s="7" t="s">
        <v>98</v>
      </c>
      <c r="G944" s="7" t="s">
        <v>2536</v>
      </c>
      <c r="I944" s="1">
        <f t="shared" si="70"/>
        <v>1</v>
      </c>
      <c r="J944" s="1" t="str">
        <f>'Source build'!A944</f>
        <v>L00938</v>
      </c>
      <c r="K944" s="1">
        <f>944</f>
        <v>944</v>
      </c>
      <c r="L944" s="10">
        <f t="shared" si="71"/>
        <v>55840</v>
      </c>
      <c r="M944" s="1">
        <f t="shared" si="72"/>
        <v>1</v>
      </c>
      <c r="N944" s="1">
        <f t="shared" si="73"/>
        <v>1</v>
      </c>
      <c r="O944" s="1" t="str">
        <f>IF(I944=0,"UNUSED",IF(A944="","MISSING ID",IF(K944=0,"UNEXPECTED ID",IF(N944&lt;&gt;1,"ID / ORDER DIFFERENCE",IF('Source build'!U944&lt;&gt;"INCLUDED","EXCLUDED SOURCE",IF(NOT(M944),"INVALID AMOUNT",IF('Source build'!Y944&lt;&gt;0,"CHANGED FIELDS","MATCH")))))))</f>
        <v>MATCH</v>
      </c>
      <c r="P944" s="1" t="str">
        <f t="shared" si="74"/>
        <v>2026-02</v>
      </c>
    </row>
    <row r="945" spans="1:16" ht="18.95" customHeight="1">
      <c r="A945" s="7" t="s">
        <v>2537</v>
      </c>
      <c r="B945" s="7" t="s">
        <v>2538</v>
      </c>
      <c r="C945" s="7" t="s">
        <v>212</v>
      </c>
      <c r="D945" s="7" t="s">
        <v>103</v>
      </c>
      <c r="E945" s="7" t="s">
        <v>48</v>
      </c>
      <c r="F945" s="7" t="s">
        <v>98</v>
      </c>
      <c r="G945" s="7" t="s">
        <v>2539</v>
      </c>
      <c r="I945" s="1">
        <f t="shared" si="70"/>
        <v>1</v>
      </c>
      <c r="J945" s="1" t="str">
        <f>'Source build'!A945</f>
        <v>L00939</v>
      </c>
      <c r="K945" s="1">
        <f>945</f>
        <v>945</v>
      </c>
      <c r="L945" s="10">
        <f t="shared" si="71"/>
        <v>22410</v>
      </c>
      <c r="M945" s="1">
        <f t="shared" si="72"/>
        <v>1</v>
      </c>
      <c r="N945" s="1">
        <f t="shared" si="73"/>
        <v>1</v>
      </c>
      <c r="O945" s="1" t="str">
        <f>IF(I945=0,"UNUSED",IF(A945="","MISSING ID",IF(K945=0,"UNEXPECTED ID",IF(N945&lt;&gt;1,"ID / ORDER DIFFERENCE",IF('Source build'!U945&lt;&gt;"INCLUDED","EXCLUDED SOURCE",IF(NOT(M945),"INVALID AMOUNT",IF('Source build'!Y945&lt;&gt;0,"CHANGED FIELDS","MATCH")))))))</f>
        <v>MATCH</v>
      </c>
      <c r="P945" s="1" t="str">
        <f t="shared" si="74"/>
        <v>2026-02</v>
      </c>
    </row>
    <row r="946" spans="1:16" ht="18.95" customHeight="1">
      <c r="A946" s="7" t="s">
        <v>2540</v>
      </c>
      <c r="B946" s="7" t="s">
        <v>2538</v>
      </c>
      <c r="C946" s="7" t="s">
        <v>212</v>
      </c>
      <c r="D946" s="7" t="s">
        <v>93</v>
      </c>
      <c r="E946" s="7" t="s">
        <v>46</v>
      </c>
      <c r="F946" s="7" t="s">
        <v>98</v>
      </c>
      <c r="G946" s="7" t="s">
        <v>2541</v>
      </c>
      <c r="I946" s="1">
        <f t="shared" si="70"/>
        <v>1</v>
      </c>
      <c r="J946" s="1" t="str">
        <f>'Source build'!A946</f>
        <v>L00940</v>
      </c>
      <c r="K946" s="1">
        <f>946</f>
        <v>946</v>
      </c>
      <c r="L946" s="10">
        <f t="shared" si="71"/>
        <v>44968</v>
      </c>
      <c r="M946" s="1">
        <f t="shared" si="72"/>
        <v>1</v>
      </c>
      <c r="N946" s="1">
        <f t="shared" si="73"/>
        <v>1</v>
      </c>
      <c r="O946" s="1" t="str">
        <f>IF(I946=0,"UNUSED",IF(A946="","MISSING ID",IF(K946=0,"UNEXPECTED ID",IF(N946&lt;&gt;1,"ID / ORDER DIFFERENCE",IF('Source build'!U946&lt;&gt;"INCLUDED","EXCLUDED SOURCE",IF(NOT(M946),"INVALID AMOUNT",IF('Source build'!Y946&lt;&gt;0,"CHANGED FIELDS","MATCH")))))))</f>
        <v>MATCH</v>
      </c>
      <c r="P946" s="1" t="str">
        <f t="shared" si="74"/>
        <v>2026-02</v>
      </c>
    </row>
    <row r="947" spans="1:16" ht="18.95" customHeight="1">
      <c r="A947" s="7" t="s">
        <v>2542</v>
      </c>
      <c r="B947" s="7" t="s">
        <v>2543</v>
      </c>
      <c r="C947" s="7" t="s">
        <v>218</v>
      </c>
      <c r="D947" s="7" t="s">
        <v>97</v>
      </c>
      <c r="E947" s="7" t="s">
        <v>47</v>
      </c>
      <c r="F947" s="7" t="s">
        <v>98</v>
      </c>
      <c r="G947" s="7" t="s">
        <v>2544</v>
      </c>
      <c r="I947" s="1">
        <f t="shared" si="70"/>
        <v>1</v>
      </c>
      <c r="J947" s="1" t="str">
        <f>'Source build'!A947</f>
        <v>L00941</v>
      </c>
      <c r="K947" s="1">
        <f>947</f>
        <v>947</v>
      </c>
      <c r="L947" s="10">
        <f t="shared" si="71"/>
        <v>11279</v>
      </c>
      <c r="M947" s="1">
        <f t="shared" si="72"/>
        <v>1</v>
      </c>
      <c r="N947" s="1">
        <f t="shared" si="73"/>
        <v>1</v>
      </c>
      <c r="O947" s="1" t="str">
        <f>IF(I947=0,"UNUSED",IF(A947="","MISSING ID",IF(K947=0,"UNEXPECTED ID",IF(N947&lt;&gt;1,"ID / ORDER DIFFERENCE",IF('Source build'!U947&lt;&gt;"INCLUDED","EXCLUDED SOURCE",IF(NOT(M947),"INVALID AMOUNT",IF('Source build'!Y947&lt;&gt;0,"CHANGED FIELDS","MATCH")))))))</f>
        <v>MATCH</v>
      </c>
      <c r="P947" s="1" t="str">
        <f t="shared" si="74"/>
        <v>2026-02</v>
      </c>
    </row>
    <row r="948" spans="1:16" ht="18.95" customHeight="1">
      <c r="A948" s="7" t="s">
        <v>2545</v>
      </c>
      <c r="B948" s="7" t="s">
        <v>2543</v>
      </c>
      <c r="C948" s="7" t="s">
        <v>218</v>
      </c>
      <c r="D948" s="7" t="s">
        <v>103</v>
      </c>
      <c r="E948" s="7" t="s">
        <v>48</v>
      </c>
      <c r="F948" s="7" t="s">
        <v>98</v>
      </c>
      <c r="G948" s="7" t="s">
        <v>2546</v>
      </c>
      <c r="I948" s="1">
        <f t="shared" si="70"/>
        <v>1</v>
      </c>
      <c r="J948" s="1" t="str">
        <f>'Source build'!A948</f>
        <v>L00942</v>
      </c>
      <c r="K948" s="1">
        <f>948</f>
        <v>948</v>
      </c>
      <c r="L948" s="10">
        <f t="shared" si="71"/>
        <v>33948</v>
      </c>
      <c r="M948" s="1">
        <f t="shared" si="72"/>
        <v>1</v>
      </c>
      <c r="N948" s="1">
        <f t="shared" si="73"/>
        <v>1</v>
      </c>
      <c r="O948" s="1" t="str">
        <f>IF(I948=0,"UNUSED",IF(A948="","MISSING ID",IF(K948=0,"UNEXPECTED ID",IF(N948&lt;&gt;1,"ID / ORDER DIFFERENCE",IF('Source build'!U948&lt;&gt;"INCLUDED","EXCLUDED SOURCE",IF(NOT(M948),"INVALID AMOUNT",IF('Source build'!Y948&lt;&gt;0,"CHANGED FIELDS","MATCH")))))))</f>
        <v>MATCH</v>
      </c>
      <c r="P948" s="1" t="str">
        <f t="shared" si="74"/>
        <v>2026-02</v>
      </c>
    </row>
    <row r="949" spans="1:16" ht="18.95" customHeight="1">
      <c r="A949" s="7" t="s">
        <v>2547</v>
      </c>
      <c r="B949" s="7" t="s">
        <v>2548</v>
      </c>
      <c r="C949" s="7" t="s">
        <v>224</v>
      </c>
      <c r="D949" s="7" t="s">
        <v>93</v>
      </c>
      <c r="E949" s="7" t="s">
        <v>46</v>
      </c>
      <c r="F949" s="7" t="s">
        <v>98</v>
      </c>
      <c r="G949" s="7" t="s">
        <v>2549</v>
      </c>
      <c r="I949" s="1">
        <f t="shared" si="70"/>
        <v>1</v>
      </c>
      <c r="J949" s="1" t="str">
        <f>'Source build'!A949</f>
        <v>L00943</v>
      </c>
      <c r="K949" s="1">
        <f>949</f>
        <v>949</v>
      </c>
      <c r="L949" s="10">
        <f t="shared" si="71"/>
        <v>56765</v>
      </c>
      <c r="M949" s="1">
        <f t="shared" si="72"/>
        <v>1</v>
      </c>
      <c r="N949" s="1">
        <f t="shared" si="73"/>
        <v>1</v>
      </c>
      <c r="O949" s="1" t="str">
        <f>IF(I949=0,"UNUSED",IF(A949="","MISSING ID",IF(K949=0,"UNEXPECTED ID",IF(N949&lt;&gt;1,"ID / ORDER DIFFERENCE",IF('Source build'!U949&lt;&gt;"INCLUDED","EXCLUDED SOURCE",IF(NOT(M949),"INVALID AMOUNT",IF('Source build'!Y949&lt;&gt;0,"CHANGED FIELDS","MATCH")))))))</f>
        <v>MATCH</v>
      </c>
      <c r="P949" s="1" t="str">
        <f t="shared" si="74"/>
        <v>2026-02</v>
      </c>
    </row>
    <row r="950" spans="1:16" ht="18.95" customHeight="1">
      <c r="A950" s="7" t="s">
        <v>2550</v>
      </c>
      <c r="B950" s="7" t="s">
        <v>2548</v>
      </c>
      <c r="C950" s="7" t="s">
        <v>224</v>
      </c>
      <c r="D950" s="7" t="s">
        <v>97</v>
      </c>
      <c r="E950" s="7" t="s">
        <v>47</v>
      </c>
      <c r="F950" s="7" t="s">
        <v>94</v>
      </c>
      <c r="G950" s="7" t="s">
        <v>2551</v>
      </c>
      <c r="I950" s="1">
        <f t="shared" si="70"/>
        <v>1</v>
      </c>
      <c r="J950" s="1" t="str">
        <f>'Source build'!A950</f>
        <v>L00944</v>
      </c>
      <c r="K950" s="1">
        <f>950</f>
        <v>950</v>
      </c>
      <c r="L950" s="10">
        <f t="shared" si="71"/>
        <v>-22780</v>
      </c>
      <c r="M950" s="1">
        <f t="shared" si="72"/>
        <v>1</v>
      </c>
      <c r="N950" s="1">
        <f t="shared" si="73"/>
        <v>1</v>
      </c>
      <c r="O950" s="1" t="str">
        <f>IF(I950=0,"UNUSED",IF(A950="","MISSING ID",IF(K950=0,"UNEXPECTED ID",IF(N950&lt;&gt;1,"ID / ORDER DIFFERENCE",IF('Source build'!U950&lt;&gt;"INCLUDED","EXCLUDED SOURCE",IF(NOT(M950),"INVALID AMOUNT",IF('Source build'!Y950&lt;&gt;0,"CHANGED FIELDS","MATCH")))))))</f>
        <v>MATCH</v>
      </c>
      <c r="P950" s="1" t="str">
        <f t="shared" si="74"/>
        <v>2026-02</v>
      </c>
    </row>
    <row r="951" spans="1:16" ht="18.95" customHeight="1">
      <c r="A951" s="7" t="s">
        <v>2552</v>
      </c>
      <c r="B951" s="7" t="s">
        <v>2553</v>
      </c>
      <c r="C951" s="7" t="s">
        <v>230</v>
      </c>
      <c r="D951" s="7" t="s">
        <v>103</v>
      </c>
      <c r="E951" s="7" t="s">
        <v>48</v>
      </c>
      <c r="F951" s="7" t="s">
        <v>98</v>
      </c>
      <c r="G951" s="7" t="s">
        <v>2554</v>
      </c>
      <c r="I951" s="1">
        <f t="shared" si="70"/>
        <v>1</v>
      </c>
      <c r="J951" s="1" t="str">
        <f>'Source build'!A951</f>
        <v>L00945</v>
      </c>
      <c r="K951" s="1">
        <f>951</f>
        <v>951</v>
      </c>
      <c r="L951" s="10">
        <f t="shared" si="71"/>
        <v>45708</v>
      </c>
      <c r="M951" s="1">
        <f t="shared" si="72"/>
        <v>1</v>
      </c>
      <c r="N951" s="1">
        <f t="shared" si="73"/>
        <v>1</v>
      </c>
      <c r="O951" s="1" t="str">
        <f>IF(I951=0,"UNUSED",IF(A951="","MISSING ID",IF(K951=0,"UNEXPECTED ID",IF(N951&lt;&gt;1,"ID / ORDER DIFFERENCE",IF('Source build'!U951&lt;&gt;"INCLUDED","EXCLUDED SOURCE",IF(NOT(M951),"INVALID AMOUNT",IF('Source build'!Y951&lt;&gt;0,"CHANGED FIELDS","MATCH")))))))</f>
        <v>MATCH</v>
      </c>
      <c r="P951" s="1" t="str">
        <f t="shared" si="74"/>
        <v>2026-03</v>
      </c>
    </row>
    <row r="952" spans="1:16" ht="18.95" customHeight="1">
      <c r="A952" s="7" t="s">
        <v>2555</v>
      </c>
      <c r="B952" s="7" t="s">
        <v>2553</v>
      </c>
      <c r="C952" s="7" t="s">
        <v>230</v>
      </c>
      <c r="D952" s="7" t="s">
        <v>93</v>
      </c>
      <c r="E952" s="7" t="s">
        <v>46</v>
      </c>
      <c r="F952" s="7" t="s">
        <v>98</v>
      </c>
      <c r="G952" s="7" t="s">
        <v>2556</v>
      </c>
      <c r="I952" s="1">
        <f t="shared" si="70"/>
        <v>1</v>
      </c>
      <c r="J952" s="1" t="str">
        <f>'Source build'!A952</f>
        <v>L00946</v>
      </c>
      <c r="K952" s="1">
        <f>952</f>
        <v>952</v>
      </c>
      <c r="L952" s="10">
        <f t="shared" si="71"/>
        <v>11464</v>
      </c>
      <c r="M952" s="1">
        <f t="shared" si="72"/>
        <v>1</v>
      </c>
      <c r="N952" s="1">
        <f t="shared" si="73"/>
        <v>1</v>
      </c>
      <c r="O952" s="1" t="str">
        <f>IF(I952=0,"UNUSED",IF(A952="","MISSING ID",IF(K952=0,"UNEXPECTED ID",IF(N952&lt;&gt;1,"ID / ORDER DIFFERENCE",IF('Source build'!U952&lt;&gt;"INCLUDED","EXCLUDED SOURCE",IF(NOT(M952),"INVALID AMOUNT",IF('Source build'!Y952&lt;&gt;0,"CHANGED FIELDS","MATCH")))))))</f>
        <v>MATCH</v>
      </c>
      <c r="P952" s="1" t="str">
        <f t="shared" si="74"/>
        <v>2026-03</v>
      </c>
    </row>
    <row r="953" spans="1:16" ht="18.95" customHeight="1">
      <c r="A953" s="7" t="s">
        <v>2557</v>
      </c>
      <c r="B953" s="7" t="s">
        <v>2558</v>
      </c>
      <c r="C953" s="7" t="s">
        <v>236</v>
      </c>
      <c r="D953" s="7" t="s">
        <v>97</v>
      </c>
      <c r="E953" s="7" t="s">
        <v>47</v>
      </c>
      <c r="F953" s="7" t="s">
        <v>98</v>
      </c>
      <c r="G953" s="7" t="s">
        <v>2559</v>
      </c>
      <c r="I953" s="1">
        <f t="shared" si="70"/>
        <v>1</v>
      </c>
      <c r="J953" s="1" t="str">
        <f>'Source build'!A953</f>
        <v>L00947</v>
      </c>
      <c r="K953" s="1">
        <f>953</f>
        <v>953</v>
      </c>
      <c r="L953" s="10">
        <f t="shared" si="71"/>
        <v>34503</v>
      </c>
      <c r="M953" s="1">
        <f t="shared" si="72"/>
        <v>1</v>
      </c>
      <c r="N953" s="1">
        <f t="shared" si="73"/>
        <v>1</v>
      </c>
      <c r="O953" s="1" t="str">
        <f>IF(I953=0,"UNUSED",IF(A953="","MISSING ID",IF(K953=0,"UNEXPECTED ID",IF(N953&lt;&gt;1,"ID / ORDER DIFFERENCE",IF('Source build'!U953&lt;&gt;"INCLUDED","EXCLUDED SOURCE",IF(NOT(M953),"INVALID AMOUNT",IF('Source build'!Y953&lt;&gt;0,"CHANGED FIELDS","MATCH")))))))</f>
        <v>MATCH</v>
      </c>
      <c r="P953" s="1" t="str">
        <f t="shared" si="74"/>
        <v>2026-03</v>
      </c>
    </row>
    <row r="954" spans="1:16" ht="18.95" customHeight="1">
      <c r="A954" s="7" t="s">
        <v>2560</v>
      </c>
      <c r="B954" s="7" t="s">
        <v>2558</v>
      </c>
      <c r="C954" s="7" t="s">
        <v>236</v>
      </c>
      <c r="D954" s="7" t="s">
        <v>103</v>
      </c>
      <c r="E954" s="7" t="s">
        <v>48</v>
      </c>
      <c r="F954" s="7" t="s">
        <v>98</v>
      </c>
      <c r="G954" s="7" t="s">
        <v>2561</v>
      </c>
      <c r="I954" s="1">
        <f t="shared" si="70"/>
        <v>1</v>
      </c>
      <c r="J954" s="1" t="str">
        <f>'Source build'!A954</f>
        <v>L00948</v>
      </c>
      <c r="K954" s="1">
        <f>954</f>
        <v>954</v>
      </c>
      <c r="L954" s="10">
        <f t="shared" si="71"/>
        <v>57690</v>
      </c>
      <c r="M954" s="1">
        <f t="shared" si="72"/>
        <v>1</v>
      </c>
      <c r="N954" s="1">
        <f t="shared" si="73"/>
        <v>1</v>
      </c>
      <c r="O954" s="1" t="str">
        <f>IF(I954=0,"UNUSED",IF(A954="","MISSING ID",IF(K954=0,"UNEXPECTED ID",IF(N954&lt;&gt;1,"ID / ORDER DIFFERENCE",IF('Source build'!U954&lt;&gt;"INCLUDED","EXCLUDED SOURCE",IF(NOT(M954),"INVALID AMOUNT",IF('Source build'!Y954&lt;&gt;0,"CHANGED FIELDS","MATCH")))))))</f>
        <v>MATCH</v>
      </c>
      <c r="P954" s="1" t="str">
        <f t="shared" si="74"/>
        <v>2026-03</v>
      </c>
    </row>
    <row r="955" spans="1:16" ht="18.95" customHeight="1">
      <c r="A955" s="7" t="s">
        <v>2562</v>
      </c>
      <c r="B955" s="7" t="s">
        <v>2563</v>
      </c>
      <c r="C955" s="7" t="s">
        <v>242</v>
      </c>
      <c r="D955" s="7" t="s">
        <v>93</v>
      </c>
      <c r="E955" s="7" t="s">
        <v>46</v>
      </c>
      <c r="F955" s="7" t="s">
        <v>98</v>
      </c>
      <c r="G955" s="7" t="s">
        <v>2564</v>
      </c>
      <c r="I955" s="1">
        <f t="shared" si="70"/>
        <v>1</v>
      </c>
      <c r="J955" s="1" t="str">
        <f>'Source build'!A955</f>
        <v>L00949</v>
      </c>
      <c r="K955" s="1">
        <f>955</f>
        <v>955</v>
      </c>
      <c r="L955" s="10">
        <f t="shared" si="71"/>
        <v>23150</v>
      </c>
      <c r="M955" s="1">
        <f t="shared" si="72"/>
        <v>1</v>
      </c>
      <c r="N955" s="1">
        <f t="shared" si="73"/>
        <v>1</v>
      </c>
      <c r="O955" s="1" t="str">
        <f>IF(I955=0,"UNUSED",IF(A955="","MISSING ID",IF(K955=0,"UNEXPECTED ID",IF(N955&lt;&gt;1,"ID / ORDER DIFFERENCE",IF('Source build'!U955&lt;&gt;"INCLUDED","EXCLUDED SOURCE",IF(NOT(M955),"INVALID AMOUNT",IF('Source build'!Y955&lt;&gt;0,"CHANGED FIELDS","MATCH")))))))</f>
        <v>MATCH</v>
      </c>
      <c r="P955" s="1" t="str">
        <f t="shared" si="74"/>
        <v>2026-03</v>
      </c>
    </row>
    <row r="956" spans="1:16" ht="18.95" customHeight="1">
      <c r="A956" s="7" t="s">
        <v>2565</v>
      </c>
      <c r="B956" s="7" t="s">
        <v>2563</v>
      </c>
      <c r="C956" s="7" t="s">
        <v>242</v>
      </c>
      <c r="D956" s="7" t="s">
        <v>97</v>
      </c>
      <c r="E956" s="7" t="s">
        <v>47</v>
      </c>
      <c r="F956" s="7" t="s">
        <v>98</v>
      </c>
      <c r="G956" s="7" t="s">
        <v>5140</v>
      </c>
      <c r="I956" s="1">
        <f t="shared" si="70"/>
        <v>1</v>
      </c>
      <c r="J956" s="1" t="str">
        <f>'Source build'!A956</f>
        <v>L00950</v>
      </c>
      <c r="K956" s="1">
        <f>956</f>
        <v>956</v>
      </c>
      <c r="L956" s="10">
        <f t="shared" si="71"/>
        <v>46448</v>
      </c>
      <c r="M956" s="1">
        <f t="shared" si="72"/>
        <v>1</v>
      </c>
      <c r="N956" s="1">
        <f t="shared" si="73"/>
        <v>1</v>
      </c>
      <c r="O956" s="1" t="str">
        <f>IF(I956=0,"UNUSED",IF(A956="","MISSING ID",IF(K956=0,"UNEXPECTED ID",IF(N956&lt;&gt;1,"ID / ORDER DIFFERENCE",IF('Source build'!U956&lt;&gt;"INCLUDED","EXCLUDED SOURCE",IF(NOT(M956),"INVALID AMOUNT",IF('Source build'!Y956&lt;&gt;0,"CHANGED FIELDS","MATCH")))))))</f>
        <v>MATCH</v>
      </c>
      <c r="P956" s="1" t="str">
        <f t="shared" si="74"/>
        <v>2026-03</v>
      </c>
    </row>
    <row r="957" spans="1:16" ht="18.95" customHeight="1">
      <c r="A957" s="7" t="s">
        <v>2567</v>
      </c>
      <c r="B957" s="7" t="s">
        <v>2568</v>
      </c>
      <c r="C957" s="7" t="s">
        <v>248</v>
      </c>
      <c r="D957" s="7" t="s">
        <v>103</v>
      </c>
      <c r="E957" s="7" t="s">
        <v>48</v>
      </c>
      <c r="F957" s="7" t="s">
        <v>98</v>
      </c>
      <c r="G957" s="7" t="s">
        <v>2569</v>
      </c>
      <c r="I957" s="1">
        <f t="shared" si="70"/>
        <v>1</v>
      </c>
      <c r="J957" s="1" t="str">
        <f>'Source build'!A957</f>
        <v>L00951</v>
      </c>
      <c r="K957" s="1">
        <f>957</f>
        <v>957</v>
      </c>
      <c r="L957" s="10">
        <f t="shared" si="71"/>
        <v>11649</v>
      </c>
      <c r="M957" s="1">
        <f t="shared" si="72"/>
        <v>1</v>
      </c>
      <c r="N957" s="1">
        <f t="shared" si="73"/>
        <v>1</v>
      </c>
      <c r="O957" s="1" t="str">
        <f>IF(I957=0,"UNUSED",IF(A957="","MISSING ID",IF(K957=0,"UNEXPECTED ID",IF(N957&lt;&gt;1,"ID / ORDER DIFFERENCE",IF('Source build'!U957&lt;&gt;"INCLUDED","EXCLUDED SOURCE",IF(NOT(M957),"INVALID AMOUNT",IF('Source build'!Y957&lt;&gt;0,"CHANGED FIELDS","MATCH")))))))</f>
        <v>MATCH</v>
      </c>
      <c r="P957" s="1" t="str">
        <f t="shared" si="74"/>
        <v>2026-03</v>
      </c>
    </row>
    <row r="958" spans="1:16" ht="18.95" customHeight="1">
      <c r="A958" s="7" t="s">
        <v>2570</v>
      </c>
      <c r="B958" s="7" t="s">
        <v>2568</v>
      </c>
      <c r="C958" s="7" t="s">
        <v>248</v>
      </c>
      <c r="D958" s="7" t="s">
        <v>93</v>
      </c>
      <c r="E958" s="7" t="s">
        <v>46</v>
      </c>
      <c r="F958" s="7" t="s">
        <v>98</v>
      </c>
      <c r="G958" s="7" t="s">
        <v>2571</v>
      </c>
      <c r="I958" s="1">
        <f t="shared" si="70"/>
        <v>1</v>
      </c>
      <c r="J958" s="1" t="str">
        <f>'Source build'!A958</f>
        <v>L00952</v>
      </c>
      <c r="K958" s="1">
        <f>958</f>
        <v>958</v>
      </c>
      <c r="L958" s="10">
        <f t="shared" si="71"/>
        <v>35058</v>
      </c>
      <c r="M958" s="1">
        <f t="shared" si="72"/>
        <v>1</v>
      </c>
      <c r="N958" s="1">
        <f t="shared" si="73"/>
        <v>1</v>
      </c>
      <c r="O958" s="1" t="str">
        <f>IF(I958=0,"UNUSED",IF(A958="","MISSING ID",IF(K958=0,"UNEXPECTED ID",IF(N958&lt;&gt;1,"ID / ORDER DIFFERENCE",IF('Source build'!U958&lt;&gt;"INCLUDED","EXCLUDED SOURCE",IF(NOT(M958),"INVALID AMOUNT",IF('Source build'!Y958&lt;&gt;0,"CHANGED FIELDS","MATCH")))))))</f>
        <v>MATCH</v>
      </c>
      <c r="P958" s="1" t="str">
        <f t="shared" si="74"/>
        <v>2026-03</v>
      </c>
    </row>
    <row r="959" spans="1:16" ht="18.95" customHeight="1">
      <c r="A959" s="7" t="s">
        <v>2572</v>
      </c>
      <c r="B959" s="7" t="s">
        <v>2573</v>
      </c>
      <c r="C959" s="7" t="s">
        <v>254</v>
      </c>
      <c r="D959" s="7" t="s">
        <v>97</v>
      </c>
      <c r="E959" s="7" t="s">
        <v>47</v>
      </c>
      <c r="F959" s="7" t="s">
        <v>98</v>
      </c>
      <c r="G959" s="7" t="s">
        <v>2574</v>
      </c>
      <c r="I959" s="1">
        <f t="shared" si="70"/>
        <v>1</v>
      </c>
      <c r="J959" s="1" t="str">
        <f>'Source build'!A959</f>
        <v>L00953</v>
      </c>
      <c r="K959" s="1">
        <f>959</f>
        <v>959</v>
      </c>
      <c r="L959" s="10">
        <f t="shared" si="71"/>
        <v>58615</v>
      </c>
      <c r="M959" s="1">
        <f t="shared" si="72"/>
        <v>1</v>
      </c>
      <c r="N959" s="1">
        <f t="shared" si="73"/>
        <v>1</v>
      </c>
      <c r="O959" s="1" t="str">
        <f>IF(I959=0,"UNUSED",IF(A959="","MISSING ID",IF(K959=0,"UNEXPECTED ID",IF(N959&lt;&gt;1,"ID / ORDER DIFFERENCE",IF('Source build'!U959&lt;&gt;"INCLUDED","EXCLUDED SOURCE",IF(NOT(M959),"INVALID AMOUNT",IF('Source build'!Y959&lt;&gt;0,"CHANGED FIELDS","MATCH")))))))</f>
        <v>MATCH</v>
      </c>
      <c r="P959" s="1" t="str">
        <f t="shared" si="74"/>
        <v>2026-01</v>
      </c>
    </row>
    <row r="960" spans="1:16" ht="18.95" customHeight="1">
      <c r="A960" s="7" t="s">
        <v>2575</v>
      </c>
      <c r="B960" s="7" t="s">
        <v>2573</v>
      </c>
      <c r="C960" s="7" t="s">
        <v>254</v>
      </c>
      <c r="D960" s="7" t="s">
        <v>103</v>
      </c>
      <c r="E960" s="7" t="s">
        <v>48</v>
      </c>
      <c r="F960" s="7" t="s">
        <v>98</v>
      </c>
      <c r="G960" s="7" t="s">
        <v>2576</v>
      </c>
      <c r="I960" s="1">
        <f t="shared" si="70"/>
        <v>1</v>
      </c>
      <c r="J960" s="1" t="str">
        <f>'Source build'!A960</f>
        <v>L00954</v>
      </c>
      <c r="K960" s="1">
        <f>960</f>
        <v>960</v>
      </c>
      <c r="L960" s="10">
        <f t="shared" si="71"/>
        <v>23520</v>
      </c>
      <c r="M960" s="1">
        <f t="shared" si="72"/>
        <v>1</v>
      </c>
      <c r="N960" s="1">
        <f t="shared" si="73"/>
        <v>1</v>
      </c>
      <c r="O960" s="1" t="str">
        <f>IF(I960=0,"UNUSED",IF(A960="","MISSING ID",IF(K960=0,"UNEXPECTED ID",IF(N960&lt;&gt;1,"ID / ORDER DIFFERENCE",IF('Source build'!U960&lt;&gt;"INCLUDED","EXCLUDED SOURCE",IF(NOT(M960),"INVALID AMOUNT",IF('Source build'!Y960&lt;&gt;0,"CHANGED FIELDS","MATCH")))))))</f>
        <v>MATCH</v>
      </c>
      <c r="P960" s="1" t="str">
        <f t="shared" si="74"/>
        <v>2026-01</v>
      </c>
    </row>
    <row r="961" spans="1:16" ht="18.95" customHeight="1">
      <c r="A961" s="7" t="s">
        <v>2577</v>
      </c>
      <c r="B961" s="7" t="s">
        <v>2578</v>
      </c>
      <c r="C961" s="7" t="s">
        <v>260</v>
      </c>
      <c r="D961" s="7" t="s">
        <v>93</v>
      </c>
      <c r="E961" s="7" t="s">
        <v>46</v>
      </c>
      <c r="F961" s="7" t="s">
        <v>98</v>
      </c>
      <c r="G961" s="7" t="s">
        <v>2579</v>
      </c>
      <c r="I961" s="1">
        <f t="shared" si="70"/>
        <v>1</v>
      </c>
      <c r="J961" s="1" t="str">
        <f>'Source build'!A961</f>
        <v>L00955</v>
      </c>
      <c r="K961" s="1">
        <f>961</f>
        <v>961</v>
      </c>
      <c r="L961" s="10">
        <f t="shared" si="71"/>
        <v>47188</v>
      </c>
      <c r="M961" s="1">
        <f t="shared" si="72"/>
        <v>1</v>
      </c>
      <c r="N961" s="1">
        <f t="shared" si="73"/>
        <v>1</v>
      </c>
      <c r="O961" s="1" t="str">
        <f>IF(I961=0,"UNUSED",IF(A961="","MISSING ID",IF(K961=0,"UNEXPECTED ID",IF(N961&lt;&gt;1,"ID / ORDER DIFFERENCE",IF('Source build'!U961&lt;&gt;"INCLUDED","EXCLUDED SOURCE",IF(NOT(M961),"INVALID AMOUNT",IF('Source build'!Y961&lt;&gt;0,"CHANGED FIELDS","MATCH")))))))</f>
        <v>MATCH</v>
      </c>
      <c r="P961" s="1" t="str">
        <f t="shared" si="74"/>
        <v>2026-01</v>
      </c>
    </row>
    <row r="962" spans="1:16" ht="18.95" customHeight="1">
      <c r="A962" s="7" t="s">
        <v>2580</v>
      </c>
      <c r="B962" s="7" t="s">
        <v>2578</v>
      </c>
      <c r="C962" s="7" t="s">
        <v>260</v>
      </c>
      <c r="D962" s="7" t="s">
        <v>97</v>
      </c>
      <c r="E962" s="7" t="s">
        <v>47</v>
      </c>
      <c r="F962" s="7" t="s">
        <v>98</v>
      </c>
      <c r="G962" s="7" t="s">
        <v>2581</v>
      </c>
      <c r="I962" s="1">
        <f t="shared" si="70"/>
        <v>1</v>
      </c>
      <c r="J962" s="1" t="str">
        <f>'Source build'!A962</f>
        <v>L00956</v>
      </c>
      <c r="K962" s="1">
        <f>962</f>
        <v>962</v>
      </c>
      <c r="L962" s="10">
        <f t="shared" si="71"/>
        <v>11834</v>
      </c>
      <c r="M962" s="1">
        <f t="shared" si="72"/>
        <v>1</v>
      </c>
      <c r="N962" s="1">
        <f t="shared" si="73"/>
        <v>1</v>
      </c>
      <c r="O962" s="1" t="str">
        <f>IF(I962=0,"UNUSED",IF(A962="","MISSING ID",IF(K962=0,"UNEXPECTED ID",IF(N962&lt;&gt;1,"ID / ORDER DIFFERENCE",IF('Source build'!U962&lt;&gt;"INCLUDED","EXCLUDED SOURCE",IF(NOT(M962),"INVALID AMOUNT",IF('Source build'!Y962&lt;&gt;0,"CHANGED FIELDS","MATCH")))))))</f>
        <v>MATCH</v>
      </c>
      <c r="P962" s="1" t="str">
        <f t="shared" si="74"/>
        <v>2026-01</v>
      </c>
    </row>
    <row r="963" spans="1:16" ht="18.95" customHeight="1">
      <c r="A963" s="7" t="s">
        <v>2582</v>
      </c>
      <c r="B963" s="7" t="s">
        <v>2583</v>
      </c>
      <c r="C963" s="7" t="s">
        <v>266</v>
      </c>
      <c r="D963" s="7" t="s">
        <v>103</v>
      </c>
      <c r="E963" s="7" t="s">
        <v>48</v>
      </c>
      <c r="F963" s="7" t="s">
        <v>98</v>
      </c>
      <c r="G963" s="7" t="s">
        <v>2584</v>
      </c>
      <c r="I963" s="1">
        <f t="shared" si="70"/>
        <v>1</v>
      </c>
      <c r="J963" s="1" t="str">
        <f>'Source build'!A963</f>
        <v>L00957</v>
      </c>
      <c r="K963" s="1">
        <f>963</f>
        <v>963</v>
      </c>
      <c r="L963" s="10">
        <f t="shared" si="71"/>
        <v>35613</v>
      </c>
      <c r="M963" s="1">
        <f t="shared" si="72"/>
        <v>1</v>
      </c>
      <c r="N963" s="1">
        <f t="shared" si="73"/>
        <v>1</v>
      </c>
      <c r="O963" s="1" t="str">
        <f>IF(I963=0,"UNUSED",IF(A963="","MISSING ID",IF(K963=0,"UNEXPECTED ID",IF(N963&lt;&gt;1,"ID / ORDER DIFFERENCE",IF('Source build'!U963&lt;&gt;"INCLUDED","EXCLUDED SOURCE",IF(NOT(M963),"INVALID AMOUNT",IF('Source build'!Y963&lt;&gt;0,"CHANGED FIELDS","MATCH")))))))</f>
        <v>MATCH</v>
      </c>
      <c r="P963" s="1" t="str">
        <f t="shared" si="74"/>
        <v>2026-01</v>
      </c>
    </row>
    <row r="964" spans="1:16" ht="18.95" customHeight="1">
      <c r="A964" s="7" t="s">
        <v>2585</v>
      </c>
      <c r="B964" s="7" t="s">
        <v>2583</v>
      </c>
      <c r="C964" s="7" t="s">
        <v>266</v>
      </c>
      <c r="D964" s="7" t="s">
        <v>93</v>
      </c>
      <c r="E964" s="7" t="s">
        <v>46</v>
      </c>
      <c r="F964" s="7" t="s">
        <v>98</v>
      </c>
      <c r="G964" s="7" t="s">
        <v>2586</v>
      </c>
      <c r="I964" s="1">
        <f t="shared" si="70"/>
        <v>1</v>
      </c>
      <c r="J964" s="1" t="str">
        <f>'Source build'!A964</f>
        <v>L00958</v>
      </c>
      <c r="K964" s="1">
        <f>964</f>
        <v>964</v>
      </c>
      <c r="L964" s="10">
        <f t="shared" si="71"/>
        <v>59540</v>
      </c>
      <c r="M964" s="1">
        <f t="shared" si="72"/>
        <v>1</v>
      </c>
      <c r="N964" s="1">
        <f t="shared" si="73"/>
        <v>1</v>
      </c>
      <c r="O964" s="1" t="str">
        <f>IF(I964=0,"UNUSED",IF(A964="","MISSING ID",IF(K964=0,"UNEXPECTED ID",IF(N964&lt;&gt;1,"ID / ORDER DIFFERENCE",IF('Source build'!U964&lt;&gt;"INCLUDED","EXCLUDED SOURCE",IF(NOT(M964),"INVALID AMOUNT",IF('Source build'!Y964&lt;&gt;0,"CHANGED FIELDS","MATCH")))))))</f>
        <v>MATCH</v>
      </c>
      <c r="P964" s="1" t="str">
        <f t="shared" si="74"/>
        <v>2026-01</v>
      </c>
    </row>
    <row r="965" spans="1:16" ht="18.95" customHeight="1">
      <c r="A965" s="7" t="s">
        <v>2587</v>
      </c>
      <c r="B965" s="7" t="s">
        <v>2588</v>
      </c>
      <c r="C965" s="7" t="s">
        <v>272</v>
      </c>
      <c r="D965" s="7" t="s">
        <v>97</v>
      </c>
      <c r="E965" s="7" t="s">
        <v>47</v>
      </c>
      <c r="F965" s="7" t="s">
        <v>98</v>
      </c>
      <c r="G965" s="7" t="s">
        <v>2589</v>
      </c>
      <c r="I965" s="1">
        <f t="shared" si="70"/>
        <v>1</v>
      </c>
      <c r="J965" s="1" t="str">
        <f>'Source build'!A965</f>
        <v>L00959</v>
      </c>
      <c r="K965" s="1">
        <f>965</f>
        <v>965</v>
      </c>
      <c r="L965" s="10">
        <f t="shared" si="71"/>
        <v>23890</v>
      </c>
      <c r="M965" s="1">
        <f t="shared" si="72"/>
        <v>1</v>
      </c>
      <c r="N965" s="1">
        <f t="shared" si="73"/>
        <v>1</v>
      </c>
      <c r="O965" s="1" t="str">
        <f>IF(I965=0,"UNUSED",IF(A965="","MISSING ID",IF(K965=0,"UNEXPECTED ID",IF(N965&lt;&gt;1,"ID / ORDER DIFFERENCE",IF('Source build'!U965&lt;&gt;"INCLUDED","EXCLUDED SOURCE",IF(NOT(M965),"INVALID AMOUNT",IF('Source build'!Y965&lt;&gt;0,"CHANGED FIELDS","MATCH")))))))</f>
        <v>MATCH</v>
      </c>
      <c r="P965" s="1" t="str">
        <f t="shared" si="74"/>
        <v>2026-01</v>
      </c>
    </row>
    <row r="966" spans="1:16" ht="18.95" customHeight="1">
      <c r="A966" s="7" t="s">
        <v>2590</v>
      </c>
      <c r="B966" s="7" t="s">
        <v>2588</v>
      </c>
      <c r="C966" s="7" t="s">
        <v>272</v>
      </c>
      <c r="D966" s="7" t="s">
        <v>103</v>
      </c>
      <c r="E966" s="7" t="s">
        <v>48</v>
      </c>
      <c r="F966" s="7" t="s">
        <v>98</v>
      </c>
      <c r="G966" s="7" t="s">
        <v>2591</v>
      </c>
      <c r="I966" s="1">
        <f t="shared" si="70"/>
        <v>1</v>
      </c>
      <c r="J966" s="1" t="str">
        <f>'Source build'!A966</f>
        <v>L00960</v>
      </c>
      <c r="K966" s="1">
        <f>966</f>
        <v>966</v>
      </c>
      <c r="L966" s="10">
        <f t="shared" si="71"/>
        <v>47928</v>
      </c>
      <c r="M966" s="1">
        <f t="shared" si="72"/>
        <v>1</v>
      </c>
      <c r="N966" s="1">
        <f t="shared" si="73"/>
        <v>1</v>
      </c>
      <c r="O966" s="1" t="str">
        <f>IF(I966=0,"UNUSED",IF(A966="","MISSING ID",IF(K966=0,"UNEXPECTED ID",IF(N966&lt;&gt;1,"ID / ORDER DIFFERENCE",IF('Source build'!U966&lt;&gt;"INCLUDED","EXCLUDED SOURCE",IF(NOT(M966),"INVALID AMOUNT",IF('Source build'!Y966&lt;&gt;0,"CHANGED FIELDS","MATCH")))))))</f>
        <v>MATCH</v>
      </c>
      <c r="P966" s="1" t="str">
        <f t="shared" si="74"/>
        <v>2026-01</v>
      </c>
    </row>
    <row r="967" spans="1:16" ht="18.95" customHeight="1">
      <c r="A967" s="7" t="s">
        <v>2592</v>
      </c>
      <c r="B967" s="7" t="s">
        <v>2593</v>
      </c>
      <c r="C967" s="7" t="s">
        <v>278</v>
      </c>
      <c r="D967" s="7" t="s">
        <v>93</v>
      </c>
      <c r="E967" s="7" t="s">
        <v>46</v>
      </c>
      <c r="F967" s="7" t="s">
        <v>98</v>
      </c>
      <c r="G967" s="7" t="s">
        <v>2594</v>
      </c>
      <c r="I967" s="1">
        <f t="shared" ref="I967:I1030" si="75">IF(AND(A967="",B967="",C967="",D967="",E967="",F967="",G967=""),0,1)</f>
        <v>1</v>
      </c>
      <c r="J967" s="1" t="str">
        <f>'Source build'!A967</f>
        <v>L00961</v>
      </c>
      <c r="K967" s="1">
        <f>967</f>
        <v>967</v>
      </c>
      <c r="L967" s="10">
        <f t="shared" ref="L967:L1030" si="76">IFERROR(IF(ABS(VALUE(G967)*100-ROUND(VALUE(G967)*100,0))&lt;0.0000001,ROUND(VALUE(G967)*100,0),0),0)</f>
        <v>12019</v>
      </c>
      <c r="M967" s="1">
        <f t="shared" ref="M967:M1030" si="77">--IF(I967=0,TRUE,IF(TRIM(G967)="",FALSE,IFERROR(AND(ISNUMBER(VALUE(G967)),ABS(VALUE(G967)*100-ROUND(VALUE(G967)*100,0))&lt;0.0000001,OR(ISNUMBER(G967),EXACT(G967,TEXT(VALUE(G967),"0.00"))),OR(AND(EXACT(F967,"sale"),VALUE(G967)&gt;0),AND(EXACT(F967,"refund"),VALUE(G967)&lt;0))),FALSE)))</f>
        <v>1</v>
      </c>
      <c r="N967" s="1">
        <f t="shared" ref="N967:N1030" si="78">IF(I967=1,IF(EXACT(A967,J967),1,0),0)</f>
        <v>1</v>
      </c>
      <c r="O967" s="1" t="str">
        <f>IF(I967=0,"UNUSED",IF(A967="","MISSING ID",IF(K967=0,"UNEXPECTED ID",IF(N967&lt;&gt;1,"ID / ORDER DIFFERENCE",IF('Source build'!U967&lt;&gt;"INCLUDED","EXCLUDED SOURCE",IF(NOT(M967),"INVALID AMOUNT",IF('Source build'!Y967&lt;&gt;0,"CHANGED FIELDS","MATCH")))))))</f>
        <v>MATCH</v>
      </c>
      <c r="P967" s="1" t="str">
        <f t="shared" ref="P967:P1030" si="79">IF(I967=1,LEFT(C967,7),"")</f>
        <v>2026-01</v>
      </c>
    </row>
    <row r="968" spans="1:16" ht="18.95" customHeight="1">
      <c r="A968" s="7" t="s">
        <v>2595</v>
      </c>
      <c r="B968" s="7" t="s">
        <v>2593</v>
      </c>
      <c r="C968" s="7" t="s">
        <v>278</v>
      </c>
      <c r="D968" s="7" t="s">
        <v>97</v>
      </c>
      <c r="E968" s="7" t="s">
        <v>47</v>
      </c>
      <c r="F968" s="7" t="s">
        <v>98</v>
      </c>
      <c r="G968" s="7" t="s">
        <v>2596</v>
      </c>
      <c r="I968" s="1">
        <f t="shared" si="75"/>
        <v>1</v>
      </c>
      <c r="J968" s="1" t="str">
        <f>'Source build'!A968</f>
        <v>L00962</v>
      </c>
      <c r="K968" s="1">
        <f>968</f>
        <v>968</v>
      </c>
      <c r="L968" s="10">
        <f t="shared" si="76"/>
        <v>36168</v>
      </c>
      <c r="M968" s="1">
        <f t="shared" si="77"/>
        <v>1</v>
      </c>
      <c r="N968" s="1">
        <f t="shared" si="78"/>
        <v>1</v>
      </c>
      <c r="O968" s="1" t="str">
        <f>IF(I968=0,"UNUSED",IF(A968="","MISSING ID",IF(K968=0,"UNEXPECTED ID",IF(N968&lt;&gt;1,"ID / ORDER DIFFERENCE",IF('Source build'!U968&lt;&gt;"INCLUDED","EXCLUDED SOURCE",IF(NOT(M968),"INVALID AMOUNT",IF('Source build'!Y968&lt;&gt;0,"CHANGED FIELDS","MATCH")))))))</f>
        <v>MATCH</v>
      </c>
      <c r="P968" s="1" t="str">
        <f t="shared" si="79"/>
        <v>2026-01</v>
      </c>
    </row>
    <row r="969" spans="1:16" ht="18.95" customHeight="1">
      <c r="A969" s="7" t="s">
        <v>2597</v>
      </c>
      <c r="B969" s="7" t="s">
        <v>2598</v>
      </c>
      <c r="C969" s="7" t="s">
        <v>284</v>
      </c>
      <c r="D969" s="7" t="s">
        <v>103</v>
      </c>
      <c r="E969" s="7" t="s">
        <v>48</v>
      </c>
      <c r="F969" s="7" t="s">
        <v>98</v>
      </c>
      <c r="G969" s="7" t="s">
        <v>2599</v>
      </c>
      <c r="I969" s="1">
        <f t="shared" si="75"/>
        <v>1</v>
      </c>
      <c r="J969" s="1" t="str">
        <f>'Source build'!A969</f>
        <v>L00963</v>
      </c>
      <c r="K969" s="1">
        <f>969</f>
        <v>969</v>
      </c>
      <c r="L969" s="10">
        <f t="shared" si="76"/>
        <v>60465</v>
      </c>
      <c r="M969" s="1">
        <f t="shared" si="77"/>
        <v>1</v>
      </c>
      <c r="N969" s="1">
        <f t="shared" si="78"/>
        <v>1</v>
      </c>
      <c r="O969" s="1" t="str">
        <f>IF(I969=0,"UNUSED",IF(A969="","MISSING ID",IF(K969=0,"UNEXPECTED ID",IF(N969&lt;&gt;1,"ID / ORDER DIFFERENCE",IF('Source build'!U969&lt;&gt;"INCLUDED","EXCLUDED SOURCE",IF(NOT(M969),"INVALID AMOUNT",IF('Source build'!Y969&lt;&gt;0,"CHANGED FIELDS","MATCH")))))))</f>
        <v>MATCH</v>
      </c>
      <c r="P969" s="1" t="str">
        <f t="shared" si="79"/>
        <v>2026-02</v>
      </c>
    </row>
    <row r="970" spans="1:16" ht="18.95" customHeight="1">
      <c r="A970" s="7" t="s">
        <v>2600</v>
      </c>
      <c r="B970" s="7" t="s">
        <v>2598</v>
      </c>
      <c r="C970" s="7" t="s">
        <v>284</v>
      </c>
      <c r="D970" s="7" t="s">
        <v>93</v>
      </c>
      <c r="E970" s="7" t="s">
        <v>46</v>
      </c>
      <c r="F970" s="7" t="s">
        <v>98</v>
      </c>
      <c r="G970" s="7" t="s">
        <v>2601</v>
      </c>
      <c r="I970" s="1">
        <f t="shared" si="75"/>
        <v>1</v>
      </c>
      <c r="J970" s="1" t="str">
        <f>'Source build'!A970</f>
        <v>L00964</v>
      </c>
      <c r="K970" s="1">
        <f>970</f>
        <v>970</v>
      </c>
      <c r="L970" s="10">
        <f t="shared" si="76"/>
        <v>24260</v>
      </c>
      <c r="M970" s="1">
        <f t="shared" si="77"/>
        <v>1</v>
      </c>
      <c r="N970" s="1">
        <f t="shared" si="78"/>
        <v>1</v>
      </c>
      <c r="O970" s="1" t="str">
        <f>IF(I970=0,"UNUSED",IF(A970="","MISSING ID",IF(K970=0,"UNEXPECTED ID",IF(N970&lt;&gt;1,"ID / ORDER DIFFERENCE",IF('Source build'!U970&lt;&gt;"INCLUDED","EXCLUDED SOURCE",IF(NOT(M970),"INVALID AMOUNT",IF('Source build'!Y970&lt;&gt;0,"CHANGED FIELDS","MATCH")))))))</f>
        <v>MATCH</v>
      </c>
      <c r="P970" s="1" t="str">
        <f t="shared" si="79"/>
        <v>2026-02</v>
      </c>
    </row>
    <row r="971" spans="1:16" ht="18.95" customHeight="1">
      <c r="A971" s="7" t="s">
        <v>2602</v>
      </c>
      <c r="B971" s="7" t="s">
        <v>2603</v>
      </c>
      <c r="C971" s="7" t="s">
        <v>290</v>
      </c>
      <c r="D971" s="7" t="s">
        <v>97</v>
      </c>
      <c r="E971" s="7" t="s">
        <v>47</v>
      </c>
      <c r="F971" s="7" t="s">
        <v>98</v>
      </c>
      <c r="G971" s="7" t="s">
        <v>2604</v>
      </c>
      <c r="I971" s="1">
        <f t="shared" si="75"/>
        <v>1</v>
      </c>
      <c r="J971" s="1" t="str">
        <f>'Source build'!A971</f>
        <v>L00965</v>
      </c>
      <c r="K971" s="1">
        <f>971</f>
        <v>971</v>
      </c>
      <c r="L971" s="10">
        <f t="shared" si="76"/>
        <v>48668</v>
      </c>
      <c r="M971" s="1">
        <f t="shared" si="77"/>
        <v>1</v>
      </c>
      <c r="N971" s="1">
        <f t="shared" si="78"/>
        <v>1</v>
      </c>
      <c r="O971" s="1" t="str">
        <f>IF(I971=0,"UNUSED",IF(A971="","MISSING ID",IF(K971=0,"UNEXPECTED ID",IF(N971&lt;&gt;1,"ID / ORDER DIFFERENCE",IF('Source build'!U971&lt;&gt;"INCLUDED","EXCLUDED SOURCE",IF(NOT(M971),"INVALID AMOUNT",IF('Source build'!Y971&lt;&gt;0,"CHANGED FIELDS","MATCH")))))))</f>
        <v>MATCH</v>
      </c>
      <c r="P971" s="1" t="str">
        <f t="shared" si="79"/>
        <v>2026-02</v>
      </c>
    </row>
    <row r="972" spans="1:16" ht="18.95" customHeight="1">
      <c r="A972" s="7" t="s">
        <v>2605</v>
      </c>
      <c r="B972" s="7" t="s">
        <v>2603</v>
      </c>
      <c r="C972" s="7" t="s">
        <v>290</v>
      </c>
      <c r="D972" s="7" t="s">
        <v>103</v>
      </c>
      <c r="E972" s="7" t="s">
        <v>48</v>
      </c>
      <c r="F972" s="7" t="s">
        <v>98</v>
      </c>
      <c r="G972" s="7" t="s">
        <v>2606</v>
      </c>
      <c r="I972" s="1">
        <f t="shared" si="75"/>
        <v>1</v>
      </c>
      <c r="J972" s="1" t="str">
        <f>'Source build'!A972</f>
        <v>L00966</v>
      </c>
      <c r="K972" s="1">
        <f>972</f>
        <v>972</v>
      </c>
      <c r="L972" s="10">
        <f t="shared" si="76"/>
        <v>12204</v>
      </c>
      <c r="M972" s="1">
        <f t="shared" si="77"/>
        <v>1</v>
      </c>
      <c r="N972" s="1">
        <f t="shared" si="78"/>
        <v>1</v>
      </c>
      <c r="O972" s="1" t="str">
        <f>IF(I972=0,"UNUSED",IF(A972="","MISSING ID",IF(K972=0,"UNEXPECTED ID",IF(N972&lt;&gt;1,"ID / ORDER DIFFERENCE",IF('Source build'!U972&lt;&gt;"INCLUDED","EXCLUDED SOURCE",IF(NOT(M972),"INVALID AMOUNT",IF('Source build'!Y972&lt;&gt;0,"CHANGED FIELDS","MATCH")))))))</f>
        <v>MATCH</v>
      </c>
      <c r="P972" s="1" t="str">
        <f t="shared" si="79"/>
        <v>2026-02</v>
      </c>
    </row>
    <row r="973" spans="1:16" ht="18.95" customHeight="1">
      <c r="A973" s="7" t="s">
        <v>2607</v>
      </c>
      <c r="B973" s="7" t="s">
        <v>2608</v>
      </c>
      <c r="C973" s="7" t="s">
        <v>296</v>
      </c>
      <c r="D973" s="7" t="s">
        <v>93</v>
      </c>
      <c r="E973" s="7" t="s">
        <v>46</v>
      </c>
      <c r="F973" s="7" t="s">
        <v>94</v>
      </c>
      <c r="G973" s="7" t="s">
        <v>2609</v>
      </c>
      <c r="I973" s="1">
        <f t="shared" si="75"/>
        <v>1</v>
      </c>
      <c r="J973" s="1" t="str">
        <f>'Source build'!A973</f>
        <v>L00967</v>
      </c>
      <c r="K973" s="1">
        <f>973</f>
        <v>973</v>
      </c>
      <c r="L973" s="10">
        <f t="shared" si="76"/>
        <v>-36723</v>
      </c>
      <c r="M973" s="1">
        <f t="shared" si="77"/>
        <v>1</v>
      </c>
      <c r="N973" s="1">
        <f t="shared" si="78"/>
        <v>1</v>
      </c>
      <c r="O973" s="1" t="str">
        <f>IF(I973=0,"UNUSED",IF(A973="","MISSING ID",IF(K973=0,"UNEXPECTED ID",IF(N973&lt;&gt;1,"ID / ORDER DIFFERENCE",IF('Source build'!U973&lt;&gt;"INCLUDED","EXCLUDED SOURCE",IF(NOT(M973),"INVALID AMOUNT",IF('Source build'!Y973&lt;&gt;0,"CHANGED FIELDS","MATCH")))))))</f>
        <v>MATCH</v>
      </c>
      <c r="P973" s="1" t="str">
        <f t="shared" si="79"/>
        <v>2026-02</v>
      </c>
    </row>
    <row r="974" spans="1:16" ht="18.95" customHeight="1">
      <c r="A974" s="7" t="s">
        <v>2610</v>
      </c>
      <c r="B974" s="7" t="s">
        <v>2608</v>
      </c>
      <c r="C974" s="7" t="s">
        <v>296</v>
      </c>
      <c r="D974" s="7" t="s">
        <v>97</v>
      </c>
      <c r="E974" s="7" t="s">
        <v>47</v>
      </c>
      <c r="F974" s="7" t="s">
        <v>98</v>
      </c>
      <c r="G974" s="7" t="s">
        <v>2611</v>
      </c>
      <c r="I974" s="1">
        <f t="shared" si="75"/>
        <v>1</v>
      </c>
      <c r="J974" s="1" t="str">
        <f>'Source build'!A974</f>
        <v>L00968</v>
      </c>
      <c r="K974" s="1">
        <f>974</f>
        <v>974</v>
      </c>
      <c r="L974" s="10">
        <f t="shared" si="76"/>
        <v>61390</v>
      </c>
      <c r="M974" s="1">
        <f t="shared" si="77"/>
        <v>1</v>
      </c>
      <c r="N974" s="1">
        <f t="shared" si="78"/>
        <v>1</v>
      </c>
      <c r="O974" s="1" t="str">
        <f>IF(I974=0,"UNUSED",IF(A974="","MISSING ID",IF(K974=0,"UNEXPECTED ID",IF(N974&lt;&gt;1,"ID / ORDER DIFFERENCE",IF('Source build'!U974&lt;&gt;"INCLUDED","EXCLUDED SOURCE",IF(NOT(M974),"INVALID AMOUNT",IF('Source build'!Y974&lt;&gt;0,"CHANGED FIELDS","MATCH")))))))</f>
        <v>MATCH</v>
      </c>
      <c r="P974" s="1" t="str">
        <f t="shared" si="79"/>
        <v>2026-02</v>
      </c>
    </row>
    <row r="975" spans="1:16" ht="18.95" customHeight="1">
      <c r="A975" s="7" t="s">
        <v>2612</v>
      </c>
      <c r="B975" s="7" t="s">
        <v>2613</v>
      </c>
      <c r="C975" s="7" t="s">
        <v>302</v>
      </c>
      <c r="D975" s="7" t="s">
        <v>103</v>
      </c>
      <c r="E975" s="7" t="s">
        <v>48</v>
      </c>
      <c r="F975" s="7" t="s">
        <v>98</v>
      </c>
      <c r="G975" s="7" t="s">
        <v>2614</v>
      </c>
      <c r="I975" s="1">
        <f t="shared" si="75"/>
        <v>1</v>
      </c>
      <c r="J975" s="1" t="str">
        <f>'Source build'!A975</f>
        <v>L00969</v>
      </c>
      <c r="K975" s="1">
        <f>975</f>
        <v>975</v>
      </c>
      <c r="L975" s="10">
        <f t="shared" si="76"/>
        <v>24630</v>
      </c>
      <c r="M975" s="1">
        <f t="shared" si="77"/>
        <v>1</v>
      </c>
      <c r="N975" s="1">
        <f t="shared" si="78"/>
        <v>1</v>
      </c>
      <c r="O975" s="1" t="str">
        <f>IF(I975=0,"UNUSED",IF(A975="","MISSING ID",IF(K975=0,"UNEXPECTED ID",IF(N975&lt;&gt;1,"ID / ORDER DIFFERENCE",IF('Source build'!U975&lt;&gt;"INCLUDED","EXCLUDED SOURCE",IF(NOT(M975),"INVALID AMOUNT",IF('Source build'!Y975&lt;&gt;0,"CHANGED FIELDS","MATCH")))))))</f>
        <v>MATCH</v>
      </c>
      <c r="P975" s="1" t="str">
        <f t="shared" si="79"/>
        <v>2026-02</v>
      </c>
    </row>
    <row r="976" spans="1:16" ht="18.95" customHeight="1">
      <c r="A976" s="7" t="s">
        <v>2615</v>
      </c>
      <c r="B976" s="7" t="s">
        <v>2613</v>
      </c>
      <c r="C976" s="7" t="s">
        <v>302</v>
      </c>
      <c r="D976" s="7" t="s">
        <v>93</v>
      </c>
      <c r="E976" s="7" t="s">
        <v>46</v>
      </c>
      <c r="F976" s="7" t="s">
        <v>98</v>
      </c>
      <c r="G976" s="7" t="s">
        <v>2616</v>
      </c>
      <c r="I976" s="1">
        <f t="shared" si="75"/>
        <v>1</v>
      </c>
      <c r="J976" s="1" t="str">
        <f>'Source build'!A976</f>
        <v>L00970</v>
      </c>
      <c r="K976" s="1">
        <f>976</f>
        <v>976</v>
      </c>
      <c r="L976" s="10">
        <f t="shared" si="76"/>
        <v>49408</v>
      </c>
      <c r="M976" s="1">
        <f t="shared" si="77"/>
        <v>1</v>
      </c>
      <c r="N976" s="1">
        <f t="shared" si="78"/>
        <v>1</v>
      </c>
      <c r="O976" s="1" t="str">
        <f>IF(I976=0,"UNUSED",IF(A976="","MISSING ID",IF(K976=0,"UNEXPECTED ID",IF(N976&lt;&gt;1,"ID / ORDER DIFFERENCE",IF('Source build'!U976&lt;&gt;"INCLUDED","EXCLUDED SOURCE",IF(NOT(M976),"INVALID AMOUNT",IF('Source build'!Y976&lt;&gt;0,"CHANGED FIELDS","MATCH")))))))</f>
        <v>MATCH</v>
      </c>
      <c r="P976" s="1" t="str">
        <f t="shared" si="79"/>
        <v>2026-02</v>
      </c>
    </row>
    <row r="977" spans="1:16" ht="18.95" customHeight="1">
      <c r="A977" s="7" t="s">
        <v>2617</v>
      </c>
      <c r="B977" s="7" t="s">
        <v>2618</v>
      </c>
      <c r="C977" s="7" t="s">
        <v>308</v>
      </c>
      <c r="D977" s="7" t="s">
        <v>97</v>
      </c>
      <c r="E977" s="7" t="s">
        <v>47</v>
      </c>
      <c r="F977" s="7" t="s">
        <v>98</v>
      </c>
      <c r="G977" s="7" t="s">
        <v>2619</v>
      </c>
      <c r="I977" s="1">
        <f t="shared" si="75"/>
        <v>1</v>
      </c>
      <c r="J977" s="1" t="str">
        <f>'Source build'!A977</f>
        <v>L00971</v>
      </c>
      <c r="K977" s="1">
        <f>977</f>
        <v>977</v>
      </c>
      <c r="L977" s="10">
        <f t="shared" si="76"/>
        <v>12389</v>
      </c>
      <c r="M977" s="1">
        <f t="shared" si="77"/>
        <v>1</v>
      </c>
      <c r="N977" s="1">
        <f t="shared" si="78"/>
        <v>1</v>
      </c>
      <c r="O977" s="1" t="str">
        <f>IF(I977=0,"UNUSED",IF(A977="","MISSING ID",IF(K977=0,"UNEXPECTED ID",IF(N977&lt;&gt;1,"ID / ORDER DIFFERENCE",IF('Source build'!U977&lt;&gt;"INCLUDED","EXCLUDED SOURCE",IF(NOT(M977),"INVALID AMOUNT",IF('Source build'!Y977&lt;&gt;0,"CHANGED FIELDS","MATCH")))))))</f>
        <v>MATCH</v>
      </c>
      <c r="P977" s="1" t="str">
        <f t="shared" si="79"/>
        <v>2026-03</v>
      </c>
    </row>
    <row r="978" spans="1:16" ht="18.95" customHeight="1">
      <c r="A978" s="7" t="s">
        <v>2620</v>
      </c>
      <c r="B978" s="7" t="s">
        <v>2618</v>
      </c>
      <c r="C978" s="7" t="s">
        <v>308</v>
      </c>
      <c r="D978" s="7" t="s">
        <v>103</v>
      </c>
      <c r="E978" s="7" t="s">
        <v>48</v>
      </c>
      <c r="F978" s="7" t="s">
        <v>98</v>
      </c>
      <c r="G978" s="7" t="s">
        <v>2621</v>
      </c>
      <c r="I978" s="1">
        <f t="shared" si="75"/>
        <v>1</v>
      </c>
      <c r="J978" s="1" t="str">
        <f>'Source build'!A978</f>
        <v>L00972</v>
      </c>
      <c r="K978" s="1">
        <f>978</f>
        <v>978</v>
      </c>
      <c r="L978" s="10">
        <f t="shared" si="76"/>
        <v>37278</v>
      </c>
      <c r="M978" s="1">
        <f t="shared" si="77"/>
        <v>1</v>
      </c>
      <c r="N978" s="1">
        <f t="shared" si="78"/>
        <v>1</v>
      </c>
      <c r="O978" s="1" t="str">
        <f>IF(I978=0,"UNUSED",IF(A978="","MISSING ID",IF(K978=0,"UNEXPECTED ID",IF(N978&lt;&gt;1,"ID / ORDER DIFFERENCE",IF('Source build'!U978&lt;&gt;"INCLUDED","EXCLUDED SOURCE",IF(NOT(M978),"INVALID AMOUNT",IF('Source build'!Y978&lt;&gt;0,"CHANGED FIELDS","MATCH")))))))</f>
        <v>MATCH</v>
      </c>
      <c r="P978" s="1" t="str">
        <f t="shared" si="79"/>
        <v>2026-03</v>
      </c>
    </row>
    <row r="979" spans="1:16" ht="18.95" customHeight="1">
      <c r="A979" s="7" t="s">
        <v>2622</v>
      </c>
      <c r="B979" s="7" t="s">
        <v>2623</v>
      </c>
      <c r="C979" s="7" t="s">
        <v>314</v>
      </c>
      <c r="D979" s="7" t="s">
        <v>93</v>
      </c>
      <c r="E979" s="7" t="s">
        <v>46</v>
      </c>
      <c r="F979" s="7" t="s">
        <v>98</v>
      </c>
      <c r="G979" s="7" t="s">
        <v>2624</v>
      </c>
      <c r="I979" s="1">
        <f t="shared" si="75"/>
        <v>1</v>
      </c>
      <c r="J979" s="1" t="str">
        <f>'Source build'!A979</f>
        <v>L00973</v>
      </c>
      <c r="K979" s="1">
        <f>979</f>
        <v>979</v>
      </c>
      <c r="L979" s="10">
        <f t="shared" si="76"/>
        <v>62315</v>
      </c>
      <c r="M979" s="1">
        <f t="shared" si="77"/>
        <v>1</v>
      </c>
      <c r="N979" s="1">
        <f t="shared" si="78"/>
        <v>1</v>
      </c>
      <c r="O979" s="1" t="str">
        <f>IF(I979=0,"UNUSED",IF(A979="","MISSING ID",IF(K979=0,"UNEXPECTED ID",IF(N979&lt;&gt;1,"ID / ORDER DIFFERENCE",IF('Source build'!U979&lt;&gt;"INCLUDED","EXCLUDED SOURCE",IF(NOT(M979),"INVALID AMOUNT",IF('Source build'!Y979&lt;&gt;0,"CHANGED FIELDS","MATCH")))))))</f>
        <v>MATCH</v>
      </c>
      <c r="P979" s="1" t="str">
        <f t="shared" si="79"/>
        <v>2026-03</v>
      </c>
    </row>
    <row r="980" spans="1:16" ht="18.95" customHeight="1">
      <c r="A980" s="7" t="s">
        <v>2625</v>
      </c>
      <c r="B980" s="7" t="s">
        <v>2623</v>
      </c>
      <c r="C980" s="7" t="s">
        <v>314</v>
      </c>
      <c r="D980" s="7" t="s">
        <v>97</v>
      </c>
      <c r="E980" s="7" t="s">
        <v>47</v>
      </c>
      <c r="F980" s="7" t="s">
        <v>98</v>
      </c>
      <c r="G980" s="7" t="s">
        <v>2626</v>
      </c>
      <c r="I980" s="1">
        <f t="shared" si="75"/>
        <v>1</v>
      </c>
      <c r="J980" s="1" t="str">
        <f>'Source build'!A980</f>
        <v>L00974</v>
      </c>
      <c r="K980" s="1">
        <f>980</f>
        <v>980</v>
      </c>
      <c r="L980" s="10">
        <f t="shared" si="76"/>
        <v>1000</v>
      </c>
      <c r="M980" s="1">
        <f t="shared" si="77"/>
        <v>1</v>
      </c>
      <c r="N980" s="1">
        <f t="shared" si="78"/>
        <v>1</v>
      </c>
      <c r="O980" s="1" t="str">
        <f>IF(I980=0,"UNUSED",IF(A980="","MISSING ID",IF(K980=0,"UNEXPECTED ID",IF(N980&lt;&gt;1,"ID / ORDER DIFFERENCE",IF('Source build'!U980&lt;&gt;"INCLUDED","EXCLUDED SOURCE",IF(NOT(M980),"INVALID AMOUNT",IF('Source build'!Y980&lt;&gt;0,"CHANGED FIELDS","MATCH")))))))</f>
        <v>MATCH</v>
      </c>
      <c r="P980" s="1" t="str">
        <f t="shared" si="79"/>
        <v>2026-03</v>
      </c>
    </row>
    <row r="981" spans="1:16" ht="18.95" customHeight="1">
      <c r="A981" s="7" t="s">
        <v>2627</v>
      </c>
      <c r="B981" s="7" t="s">
        <v>2628</v>
      </c>
      <c r="C981" s="7" t="s">
        <v>320</v>
      </c>
      <c r="D981" s="7" t="s">
        <v>103</v>
      </c>
      <c r="E981" s="7" t="s">
        <v>48</v>
      </c>
      <c r="F981" s="7" t="s">
        <v>98</v>
      </c>
      <c r="G981" s="7" t="s">
        <v>2629</v>
      </c>
      <c r="I981" s="1">
        <f t="shared" si="75"/>
        <v>1</v>
      </c>
      <c r="J981" s="1" t="str">
        <f>'Source build'!A981</f>
        <v>L00975</v>
      </c>
      <c r="K981" s="1">
        <f>981</f>
        <v>981</v>
      </c>
      <c r="L981" s="10">
        <f t="shared" si="76"/>
        <v>2148</v>
      </c>
      <c r="M981" s="1">
        <f t="shared" si="77"/>
        <v>1</v>
      </c>
      <c r="N981" s="1">
        <f t="shared" si="78"/>
        <v>1</v>
      </c>
      <c r="O981" s="1" t="str">
        <f>IF(I981=0,"UNUSED",IF(A981="","MISSING ID",IF(K981=0,"UNEXPECTED ID",IF(N981&lt;&gt;1,"ID / ORDER DIFFERENCE",IF('Source build'!U981&lt;&gt;"INCLUDED","EXCLUDED SOURCE",IF(NOT(M981),"INVALID AMOUNT",IF('Source build'!Y981&lt;&gt;0,"CHANGED FIELDS","MATCH")))))))</f>
        <v>MATCH</v>
      </c>
      <c r="P981" s="1" t="str">
        <f t="shared" si="79"/>
        <v>2026-03</v>
      </c>
    </row>
    <row r="982" spans="1:16" ht="18.95" customHeight="1">
      <c r="A982" s="7" t="s">
        <v>2630</v>
      </c>
      <c r="B982" s="7" t="s">
        <v>2628</v>
      </c>
      <c r="C982" s="7" t="s">
        <v>320</v>
      </c>
      <c r="D982" s="7" t="s">
        <v>93</v>
      </c>
      <c r="E982" s="7" t="s">
        <v>46</v>
      </c>
      <c r="F982" s="7" t="s">
        <v>98</v>
      </c>
      <c r="G982" s="7" t="s">
        <v>2631</v>
      </c>
      <c r="I982" s="1">
        <f t="shared" si="75"/>
        <v>1</v>
      </c>
      <c r="J982" s="1" t="str">
        <f>'Source build'!A982</f>
        <v>L00976</v>
      </c>
      <c r="K982" s="1">
        <f>982</f>
        <v>982</v>
      </c>
      <c r="L982" s="10">
        <f t="shared" si="76"/>
        <v>574</v>
      </c>
      <c r="M982" s="1">
        <f t="shared" si="77"/>
        <v>1</v>
      </c>
      <c r="N982" s="1">
        <f t="shared" si="78"/>
        <v>1</v>
      </c>
      <c r="O982" s="1" t="str">
        <f>IF(I982=0,"UNUSED",IF(A982="","MISSING ID",IF(K982=0,"UNEXPECTED ID",IF(N982&lt;&gt;1,"ID / ORDER DIFFERENCE",IF('Source build'!U982&lt;&gt;"INCLUDED","EXCLUDED SOURCE",IF(NOT(M982),"INVALID AMOUNT",IF('Source build'!Y982&lt;&gt;0,"CHANGED FIELDS","MATCH")))))))</f>
        <v>MATCH</v>
      </c>
      <c r="P982" s="1" t="str">
        <f t="shared" si="79"/>
        <v>2026-03</v>
      </c>
    </row>
    <row r="983" spans="1:16" ht="18.95" customHeight="1">
      <c r="A983" s="7" t="s">
        <v>2632</v>
      </c>
      <c r="B983" s="7" t="s">
        <v>2633</v>
      </c>
      <c r="C983" s="7" t="s">
        <v>326</v>
      </c>
      <c r="D983" s="7" t="s">
        <v>97</v>
      </c>
      <c r="E983" s="7" t="s">
        <v>47</v>
      </c>
      <c r="F983" s="7" t="s">
        <v>98</v>
      </c>
      <c r="G983" s="7" t="s">
        <v>2634</v>
      </c>
      <c r="I983" s="1">
        <f t="shared" si="75"/>
        <v>1</v>
      </c>
      <c r="J983" s="1" t="str">
        <f>'Source build'!A983</f>
        <v>L00977</v>
      </c>
      <c r="K983" s="1">
        <f>983</f>
        <v>983</v>
      </c>
      <c r="L983" s="10">
        <f t="shared" si="76"/>
        <v>1833</v>
      </c>
      <c r="M983" s="1">
        <f t="shared" si="77"/>
        <v>1</v>
      </c>
      <c r="N983" s="1">
        <f t="shared" si="78"/>
        <v>1</v>
      </c>
      <c r="O983" s="1" t="str">
        <f>IF(I983=0,"UNUSED",IF(A983="","MISSING ID",IF(K983=0,"UNEXPECTED ID",IF(N983&lt;&gt;1,"ID / ORDER DIFFERENCE",IF('Source build'!U983&lt;&gt;"INCLUDED","EXCLUDED SOURCE",IF(NOT(M983),"INVALID AMOUNT",IF('Source build'!Y983&lt;&gt;0,"CHANGED FIELDS","MATCH")))))))</f>
        <v>MATCH</v>
      </c>
      <c r="P983" s="1" t="str">
        <f t="shared" si="79"/>
        <v>2026-03</v>
      </c>
    </row>
    <row r="984" spans="1:16" ht="18.95" customHeight="1">
      <c r="A984" s="7" t="s">
        <v>2635</v>
      </c>
      <c r="B984" s="7" t="s">
        <v>2633</v>
      </c>
      <c r="C984" s="7" t="s">
        <v>326</v>
      </c>
      <c r="D984" s="7" t="s">
        <v>103</v>
      </c>
      <c r="E984" s="7" t="s">
        <v>48</v>
      </c>
      <c r="F984" s="7" t="s">
        <v>98</v>
      </c>
      <c r="G984" s="7" t="s">
        <v>2636</v>
      </c>
      <c r="I984" s="1">
        <f t="shared" si="75"/>
        <v>1</v>
      </c>
      <c r="J984" s="1" t="str">
        <f>'Source build'!A984</f>
        <v>L00978</v>
      </c>
      <c r="K984" s="1">
        <f>984</f>
        <v>984</v>
      </c>
      <c r="L984" s="10">
        <f t="shared" si="76"/>
        <v>3240</v>
      </c>
      <c r="M984" s="1">
        <f t="shared" si="77"/>
        <v>1</v>
      </c>
      <c r="N984" s="1">
        <f t="shared" si="78"/>
        <v>1</v>
      </c>
      <c r="O984" s="1" t="str">
        <f>IF(I984=0,"UNUSED",IF(A984="","MISSING ID",IF(K984=0,"UNEXPECTED ID",IF(N984&lt;&gt;1,"ID / ORDER DIFFERENCE",IF('Source build'!U984&lt;&gt;"INCLUDED","EXCLUDED SOURCE",IF(NOT(M984),"INVALID AMOUNT",IF('Source build'!Y984&lt;&gt;0,"CHANGED FIELDS","MATCH")))))))</f>
        <v>MATCH</v>
      </c>
      <c r="P984" s="1" t="str">
        <f t="shared" si="79"/>
        <v>2026-03</v>
      </c>
    </row>
    <row r="985" spans="1:16" ht="18.95" customHeight="1">
      <c r="A985" s="7" t="s">
        <v>2637</v>
      </c>
      <c r="B985" s="7" t="s">
        <v>2638</v>
      </c>
      <c r="C985" s="7" t="s">
        <v>332</v>
      </c>
      <c r="D985" s="7" t="s">
        <v>93</v>
      </c>
      <c r="E985" s="7" t="s">
        <v>46</v>
      </c>
      <c r="F985" s="7" t="s">
        <v>98</v>
      </c>
      <c r="G985" s="7" t="s">
        <v>2639</v>
      </c>
      <c r="I985" s="1">
        <f t="shared" si="75"/>
        <v>1</v>
      </c>
      <c r="J985" s="1" t="str">
        <f>'Source build'!A985</f>
        <v>L00979</v>
      </c>
      <c r="K985" s="1">
        <f>985</f>
        <v>985</v>
      </c>
      <c r="L985" s="10">
        <f t="shared" si="76"/>
        <v>1370</v>
      </c>
      <c r="M985" s="1">
        <f t="shared" si="77"/>
        <v>1</v>
      </c>
      <c r="N985" s="1">
        <f t="shared" si="78"/>
        <v>1</v>
      </c>
      <c r="O985" s="1" t="str">
        <f>IF(I985=0,"UNUSED",IF(A985="","MISSING ID",IF(K985=0,"UNEXPECTED ID",IF(N985&lt;&gt;1,"ID / ORDER DIFFERENCE",IF('Source build'!U985&lt;&gt;"INCLUDED","EXCLUDED SOURCE",IF(NOT(M985),"INVALID AMOUNT",IF('Source build'!Y985&lt;&gt;0,"CHANGED FIELDS","MATCH")))))))</f>
        <v>MATCH</v>
      </c>
      <c r="P985" s="1" t="str">
        <f t="shared" si="79"/>
        <v>2026-01</v>
      </c>
    </row>
    <row r="986" spans="1:16" ht="18.95" customHeight="1">
      <c r="A986" s="7" t="s">
        <v>2640</v>
      </c>
      <c r="B986" s="7" t="s">
        <v>2638</v>
      </c>
      <c r="C986" s="7" t="s">
        <v>332</v>
      </c>
      <c r="D986" s="7" t="s">
        <v>97</v>
      </c>
      <c r="E986" s="7" t="s">
        <v>47</v>
      </c>
      <c r="F986" s="7" t="s">
        <v>98</v>
      </c>
      <c r="G986" s="7" t="s">
        <v>2641</v>
      </c>
      <c r="I986" s="1">
        <f t="shared" si="75"/>
        <v>1</v>
      </c>
      <c r="J986" s="1" t="str">
        <f>'Source build'!A986</f>
        <v>L00980</v>
      </c>
      <c r="K986" s="1">
        <f>986</f>
        <v>986</v>
      </c>
      <c r="L986" s="10">
        <f t="shared" si="76"/>
        <v>2888</v>
      </c>
      <c r="M986" s="1">
        <f t="shared" si="77"/>
        <v>1</v>
      </c>
      <c r="N986" s="1">
        <f t="shared" si="78"/>
        <v>1</v>
      </c>
      <c r="O986" s="1" t="str">
        <f>IF(I986=0,"UNUSED",IF(A986="","MISSING ID",IF(K986=0,"UNEXPECTED ID",IF(N986&lt;&gt;1,"ID / ORDER DIFFERENCE",IF('Source build'!U986&lt;&gt;"INCLUDED","EXCLUDED SOURCE",IF(NOT(M986),"INVALID AMOUNT",IF('Source build'!Y986&lt;&gt;0,"CHANGED FIELDS","MATCH")))))))</f>
        <v>MATCH</v>
      </c>
      <c r="P986" s="1" t="str">
        <f t="shared" si="79"/>
        <v>2026-01</v>
      </c>
    </row>
    <row r="987" spans="1:16" ht="18.95" customHeight="1">
      <c r="A987" s="7" t="s">
        <v>2642</v>
      </c>
      <c r="B987" s="7" t="s">
        <v>2643</v>
      </c>
      <c r="C987" s="7" t="s">
        <v>338</v>
      </c>
      <c r="D987" s="7" t="s">
        <v>103</v>
      </c>
      <c r="E987" s="7" t="s">
        <v>48</v>
      </c>
      <c r="F987" s="7" t="s">
        <v>98</v>
      </c>
      <c r="G987" s="7" t="s">
        <v>2644</v>
      </c>
      <c r="I987" s="1">
        <f t="shared" si="75"/>
        <v>1</v>
      </c>
      <c r="J987" s="1" t="str">
        <f>'Source build'!A987</f>
        <v>L00981</v>
      </c>
      <c r="K987" s="1">
        <f>987</f>
        <v>987</v>
      </c>
      <c r="L987" s="10">
        <f t="shared" si="76"/>
        <v>759</v>
      </c>
      <c r="M987" s="1">
        <f t="shared" si="77"/>
        <v>1</v>
      </c>
      <c r="N987" s="1">
        <f t="shared" si="78"/>
        <v>1</v>
      </c>
      <c r="O987" s="1" t="str">
        <f>IF(I987=0,"UNUSED",IF(A987="","MISSING ID",IF(K987=0,"UNEXPECTED ID",IF(N987&lt;&gt;1,"ID / ORDER DIFFERENCE",IF('Source build'!U987&lt;&gt;"INCLUDED","EXCLUDED SOURCE",IF(NOT(M987),"INVALID AMOUNT",IF('Source build'!Y987&lt;&gt;0,"CHANGED FIELDS","MATCH")))))))</f>
        <v>MATCH</v>
      </c>
      <c r="P987" s="1" t="str">
        <f t="shared" si="79"/>
        <v>2026-01</v>
      </c>
    </row>
    <row r="988" spans="1:16" ht="18.95" customHeight="1">
      <c r="A988" s="7" t="s">
        <v>2645</v>
      </c>
      <c r="B988" s="7" t="s">
        <v>2643</v>
      </c>
      <c r="C988" s="7" t="s">
        <v>338</v>
      </c>
      <c r="D988" s="7" t="s">
        <v>93</v>
      </c>
      <c r="E988" s="7" t="s">
        <v>46</v>
      </c>
      <c r="F988" s="7" t="s">
        <v>98</v>
      </c>
      <c r="G988" s="7" t="s">
        <v>2646</v>
      </c>
      <c r="I988" s="1">
        <f t="shared" si="75"/>
        <v>1</v>
      </c>
      <c r="J988" s="1" t="str">
        <f>'Source build'!A988</f>
        <v>L00982</v>
      </c>
      <c r="K988" s="1">
        <f>988</f>
        <v>988</v>
      </c>
      <c r="L988" s="10">
        <f t="shared" si="76"/>
        <v>2388</v>
      </c>
      <c r="M988" s="1">
        <f t="shared" si="77"/>
        <v>1</v>
      </c>
      <c r="N988" s="1">
        <f t="shared" si="78"/>
        <v>1</v>
      </c>
      <c r="O988" s="1" t="str">
        <f>IF(I988=0,"UNUSED",IF(A988="","MISSING ID",IF(K988=0,"UNEXPECTED ID",IF(N988&lt;&gt;1,"ID / ORDER DIFFERENCE",IF('Source build'!U988&lt;&gt;"INCLUDED","EXCLUDED SOURCE",IF(NOT(M988),"INVALID AMOUNT",IF('Source build'!Y988&lt;&gt;0,"CHANGED FIELDS","MATCH")))))))</f>
        <v>MATCH</v>
      </c>
      <c r="P988" s="1" t="str">
        <f t="shared" si="79"/>
        <v>2026-01</v>
      </c>
    </row>
    <row r="989" spans="1:16" ht="18.95" customHeight="1">
      <c r="A989" s="7" t="s">
        <v>2647</v>
      </c>
      <c r="B989" s="7" t="s">
        <v>2648</v>
      </c>
      <c r="C989" s="7" t="s">
        <v>344</v>
      </c>
      <c r="D989" s="7" t="s">
        <v>97</v>
      </c>
      <c r="E989" s="7" t="s">
        <v>47</v>
      </c>
      <c r="F989" s="7" t="s">
        <v>98</v>
      </c>
      <c r="G989" s="7" t="s">
        <v>2649</v>
      </c>
      <c r="I989" s="1">
        <f t="shared" si="75"/>
        <v>1</v>
      </c>
      <c r="J989" s="1" t="str">
        <f>'Source build'!A989</f>
        <v>L00983</v>
      </c>
      <c r="K989" s="1">
        <f>989</f>
        <v>989</v>
      </c>
      <c r="L989" s="10">
        <f t="shared" si="76"/>
        <v>4165</v>
      </c>
      <c r="M989" s="1">
        <f t="shared" si="77"/>
        <v>1</v>
      </c>
      <c r="N989" s="1">
        <f t="shared" si="78"/>
        <v>1</v>
      </c>
      <c r="O989" s="1" t="str">
        <f>IF(I989=0,"UNUSED",IF(A989="","MISSING ID",IF(K989=0,"UNEXPECTED ID",IF(N989&lt;&gt;1,"ID / ORDER DIFFERENCE",IF('Source build'!U989&lt;&gt;"INCLUDED","EXCLUDED SOURCE",IF(NOT(M989),"INVALID AMOUNT",IF('Source build'!Y989&lt;&gt;0,"CHANGED FIELDS","MATCH")))))))</f>
        <v>MATCH</v>
      </c>
      <c r="P989" s="1" t="str">
        <f t="shared" si="79"/>
        <v>2026-01</v>
      </c>
    </row>
    <row r="990" spans="1:16" ht="18.95" customHeight="1">
      <c r="A990" s="7" t="s">
        <v>2650</v>
      </c>
      <c r="B990" s="7" t="s">
        <v>2648</v>
      </c>
      <c r="C990" s="7" t="s">
        <v>344</v>
      </c>
      <c r="D990" s="7" t="s">
        <v>103</v>
      </c>
      <c r="E990" s="7" t="s">
        <v>48</v>
      </c>
      <c r="F990" s="7" t="s">
        <v>98</v>
      </c>
      <c r="G990" s="7" t="s">
        <v>2651</v>
      </c>
      <c r="I990" s="1">
        <f t="shared" si="75"/>
        <v>1</v>
      </c>
      <c r="J990" s="1" t="str">
        <f>'Source build'!A990</f>
        <v>L00984</v>
      </c>
      <c r="K990" s="1">
        <f>990</f>
        <v>990</v>
      </c>
      <c r="L990" s="10">
        <f t="shared" si="76"/>
        <v>1740</v>
      </c>
      <c r="M990" s="1">
        <f t="shared" si="77"/>
        <v>1</v>
      </c>
      <c r="N990" s="1">
        <f t="shared" si="78"/>
        <v>1</v>
      </c>
      <c r="O990" s="1" t="str">
        <f>IF(I990=0,"UNUSED",IF(A990="","MISSING ID",IF(K990=0,"UNEXPECTED ID",IF(N990&lt;&gt;1,"ID / ORDER DIFFERENCE",IF('Source build'!U990&lt;&gt;"INCLUDED","EXCLUDED SOURCE",IF(NOT(M990),"INVALID AMOUNT",IF('Source build'!Y990&lt;&gt;0,"CHANGED FIELDS","MATCH")))))))</f>
        <v>MATCH</v>
      </c>
      <c r="P990" s="1" t="str">
        <f t="shared" si="79"/>
        <v>2026-01</v>
      </c>
    </row>
    <row r="991" spans="1:16" ht="18.95" customHeight="1">
      <c r="A991" s="7" t="s">
        <v>2652</v>
      </c>
      <c r="B991" s="7" t="s">
        <v>2653</v>
      </c>
      <c r="C991" s="7" t="s">
        <v>350</v>
      </c>
      <c r="D991" s="7" t="s">
        <v>93</v>
      </c>
      <c r="E991" s="7" t="s">
        <v>46</v>
      </c>
      <c r="F991" s="7" t="s">
        <v>98</v>
      </c>
      <c r="G991" s="7" t="s">
        <v>2654</v>
      </c>
      <c r="I991" s="1">
        <f t="shared" si="75"/>
        <v>1</v>
      </c>
      <c r="J991" s="1" t="str">
        <f>'Source build'!A991</f>
        <v>L00985</v>
      </c>
      <c r="K991" s="1">
        <f>991</f>
        <v>991</v>
      </c>
      <c r="L991" s="10">
        <f t="shared" si="76"/>
        <v>3628</v>
      </c>
      <c r="M991" s="1">
        <f t="shared" si="77"/>
        <v>1</v>
      </c>
      <c r="N991" s="1">
        <f t="shared" si="78"/>
        <v>1</v>
      </c>
      <c r="O991" s="1" t="str">
        <f>IF(I991=0,"UNUSED",IF(A991="","MISSING ID",IF(K991=0,"UNEXPECTED ID",IF(N991&lt;&gt;1,"ID / ORDER DIFFERENCE",IF('Source build'!U991&lt;&gt;"INCLUDED","EXCLUDED SOURCE",IF(NOT(M991),"INVALID AMOUNT",IF('Source build'!Y991&lt;&gt;0,"CHANGED FIELDS","MATCH")))))))</f>
        <v>MATCH</v>
      </c>
      <c r="P991" s="1" t="str">
        <f t="shared" si="79"/>
        <v>2026-01</v>
      </c>
    </row>
    <row r="992" spans="1:16" ht="18.95" customHeight="1">
      <c r="A992" s="7" t="s">
        <v>2655</v>
      </c>
      <c r="B992" s="7" t="s">
        <v>2653</v>
      </c>
      <c r="C992" s="7" t="s">
        <v>350</v>
      </c>
      <c r="D992" s="7" t="s">
        <v>97</v>
      </c>
      <c r="E992" s="7" t="s">
        <v>47</v>
      </c>
      <c r="F992" s="7" t="s">
        <v>98</v>
      </c>
      <c r="G992" s="7" t="s">
        <v>2656</v>
      </c>
      <c r="I992" s="1">
        <f t="shared" si="75"/>
        <v>1</v>
      </c>
      <c r="J992" s="1" t="str">
        <f>'Source build'!A992</f>
        <v>L00986</v>
      </c>
      <c r="K992" s="1">
        <f>992</f>
        <v>992</v>
      </c>
      <c r="L992" s="10">
        <f t="shared" si="76"/>
        <v>944</v>
      </c>
      <c r="M992" s="1">
        <f t="shared" si="77"/>
        <v>1</v>
      </c>
      <c r="N992" s="1">
        <f t="shared" si="78"/>
        <v>1</v>
      </c>
      <c r="O992" s="1" t="str">
        <f>IF(I992=0,"UNUSED",IF(A992="","MISSING ID",IF(K992=0,"UNEXPECTED ID",IF(N992&lt;&gt;1,"ID / ORDER DIFFERENCE",IF('Source build'!U992&lt;&gt;"INCLUDED","EXCLUDED SOURCE",IF(NOT(M992),"INVALID AMOUNT",IF('Source build'!Y992&lt;&gt;0,"CHANGED FIELDS","MATCH")))))))</f>
        <v>MATCH</v>
      </c>
      <c r="P992" s="1" t="str">
        <f t="shared" si="79"/>
        <v>2026-01</v>
      </c>
    </row>
    <row r="993" spans="1:16" ht="18.95" customHeight="1">
      <c r="A993" s="7" t="s">
        <v>2657</v>
      </c>
      <c r="B993" s="7" t="s">
        <v>2658</v>
      </c>
      <c r="C993" s="7" t="s">
        <v>356</v>
      </c>
      <c r="D993" s="7" t="s">
        <v>103</v>
      </c>
      <c r="E993" s="7" t="s">
        <v>48</v>
      </c>
      <c r="F993" s="7" t="s">
        <v>98</v>
      </c>
      <c r="G993" s="7" t="s">
        <v>2659</v>
      </c>
      <c r="I993" s="1">
        <f t="shared" si="75"/>
        <v>1</v>
      </c>
      <c r="J993" s="1" t="str">
        <f>'Source build'!A993</f>
        <v>L00987</v>
      </c>
      <c r="K993" s="1">
        <f>993</f>
        <v>993</v>
      </c>
      <c r="L993" s="10">
        <f t="shared" si="76"/>
        <v>2943</v>
      </c>
      <c r="M993" s="1">
        <f t="shared" si="77"/>
        <v>1</v>
      </c>
      <c r="N993" s="1">
        <f t="shared" si="78"/>
        <v>1</v>
      </c>
      <c r="O993" s="1" t="str">
        <f>IF(I993=0,"UNUSED",IF(A993="","MISSING ID",IF(K993=0,"UNEXPECTED ID",IF(N993&lt;&gt;1,"ID / ORDER DIFFERENCE",IF('Source build'!U993&lt;&gt;"INCLUDED","EXCLUDED SOURCE",IF(NOT(M993),"INVALID AMOUNT",IF('Source build'!Y993&lt;&gt;0,"CHANGED FIELDS","MATCH")))))))</f>
        <v>MATCH</v>
      </c>
      <c r="P993" s="1" t="str">
        <f t="shared" si="79"/>
        <v>2026-02</v>
      </c>
    </row>
    <row r="994" spans="1:16" ht="18.95" customHeight="1">
      <c r="A994" s="7" t="s">
        <v>2660</v>
      </c>
      <c r="B994" s="7" t="s">
        <v>2658</v>
      </c>
      <c r="C994" s="7" t="s">
        <v>356</v>
      </c>
      <c r="D994" s="7" t="s">
        <v>93</v>
      </c>
      <c r="E994" s="7" t="s">
        <v>46</v>
      </c>
      <c r="F994" s="7" t="s">
        <v>98</v>
      </c>
      <c r="G994" s="7" t="s">
        <v>2661</v>
      </c>
      <c r="I994" s="1">
        <f t="shared" si="75"/>
        <v>1</v>
      </c>
      <c r="J994" s="1" t="str">
        <f>'Source build'!A994</f>
        <v>L00988</v>
      </c>
      <c r="K994" s="1">
        <f>994</f>
        <v>994</v>
      </c>
      <c r="L994" s="10">
        <f t="shared" si="76"/>
        <v>5090</v>
      </c>
      <c r="M994" s="1">
        <f t="shared" si="77"/>
        <v>1</v>
      </c>
      <c r="N994" s="1">
        <f t="shared" si="78"/>
        <v>1</v>
      </c>
      <c r="O994" s="1" t="str">
        <f>IF(I994=0,"UNUSED",IF(A994="","MISSING ID",IF(K994=0,"UNEXPECTED ID",IF(N994&lt;&gt;1,"ID / ORDER DIFFERENCE",IF('Source build'!U994&lt;&gt;"INCLUDED","EXCLUDED SOURCE",IF(NOT(M994),"INVALID AMOUNT",IF('Source build'!Y994&lt;&gt;0,"CHANGED FIELDS","MATCH")))))))</f>
        <v>MATCH</v>
      </c>
      <c r="P994" s="1" t="str">
        <f t="shared" si="79"/>
        <v>2026-02</v>
      </c>
    </row>
    <row r="995" spans="1:16" ht="18.95" customHeight="1">
      <c r="A995" s="7" t="s">
        <v>2662</v>
      </c>
      <c r="B995" s="7" t="s">
        <v>2663</v>
      </c>
      <c r="C995" s="7" t="s">
        <v>362</v>
      </c>
      <c r="D995" s="7" t="s">
        <v>97</v>
      </c>
      <c r="E995" s="7" t="s">
        <v>47</v>
      </c>
      <c r="F995" s="7" t="s">
        <v>98</v>
      </c>
      <c r="G995" s="7" t="s">
        <v>2664</v>
      </c>
      <c r="I995" s="1">
        <f t="shared" si="75"/>
        <v>1</v>
      </c>
      <c r="J995" s="1" t="str">
        <f>'Source build'!A995</f>
        <v>L00989</v>
      </c>
      <c r="K995" s="1">
        <f>995</f>
        <v>995</v>
      </c>
      <c r="L995" s="10">
        <f t="shared" si="76"/>
        <v>2110</v>
      </c>
      <c r="M995" s="1">
        <f t="shared" si="77"/>
        <v>1</v>
      </c>
      <c r="N995" s="1">
        <f t="shared" si="78"/>
        <v>1</v>
      </c>
      <c r="O995" s="1" t="str">
        <f>IF(I995=0,"UNUSED",IF(A995="","MISSING ID",IF(K995=0,"UNEXPECTED ID",IF(N995&lt;&gt;1,"ID / ORDER DIFFERENCE",IF('Source build'!U995&lt;&gt;"INCLUDED","EXCLUDED SOURCE",IF(NOT(M995),"INVALID AMOUNT",IF('Source build'!Y995&lt;&gt;0,"CHANGED FIELDS","MATCH")))))))</f>
        <v>MATCH</v>
      </c>
      <c r="P995" s="1" t="str">
        <f t="shared" si="79"/>
        <v>2026-02</v>
      </c>
    </row>
    <row r="996" spans="1:16" ht="18.95" customHeight="1">
      <c r="A996" s="7" t="s">
        <v>2665</v>
      </c>
      <c r="B996" s="7" t="s">
        <v>2663</v>
      </c>
      <c r="C996" s="7" t="s">
        <v>362</v>
      </c>
      <c r="D996" s="7" t="s">
        <v>103</v>
      </c>
      <c r="E996" s="7" t="s">
        <v>48</v>
      </c>
      <c r="F996" s="7" t="s">
        <v>94</v>
      </c>
      <c r="G996" s="7" t="s">
        <v>2666</v>
      </c>
      <c r="I996" s="1">
        <f t="shared" si="75"/>
        <v>1</v>
      </c>
      <c r="J996" s="1" t="str">
        <f>'Source build'!A996</f>
        <v>L00990</v>
      </c>
      <c r="K996" s="1">
        <f>996</f>
        <v>996</v>
      </c>
      <c r="L996" s="10">
        <f t="shared" si="76"/>
        <v>-4368</v>
      </c>
      <c r="M996" s="1">
        <f t="shared" si="77"/>
        <v>1</v>
      </c>
      <c r="N996" s="1">
        <f t="shared" si="78"/>
        <v>1</v>
      </c>
      <c r="O996" s="1" t="str">
        <f>IF(I996=0,"UNUSED",IF(A996="","MISSING ID",IF(K996=0,"UNEXPECTED ID",IF(N996&lt;&gt;1,"ID / ORDER DIFFERENCE",IF('Source build'!U996&lt;&gt;"INCLUDED","EXCLUDED SOURCE",IF(NOT(M996),"INVALID AMOUNT",IF('Source build'!Y996&lt;&gt;0,"CHANGED FIELDS","MATCH")))))))</f>
        <v>MATCH</v>
      </c>
      <c r="P996" s="1" t="str">
        <f t="shared" si="79"/>
        <v>2026-02</v>
      </c>
    </row>
    <row r="997" spans="1:16" ht="18.95" customHeight="1">
      <c r="A997" s="7" t="s">
        <v>2667</v>
      </c>
      <c r="B997" s="7" t="s">
        <v>2668</v>
      </c>
      <c r="C997" s="7" t="s">
        <v>368</v>
      </c>
      <c r="D997" s="7" t="s">
        <v>93</v>
      </c>
      <c r="E997" s="7" t="s">
        <v>46</v>
      </c>
      <c r="F997" s="7" t="s">
        <v>98</v>
      </c>
      <c r="G997" s="7" t="s">
        <v>2669</v>
      </c>
      <c r="I997" s="1">
        <f t="shared" si="75"/>
        <v>1</v>
      </c>
      <c r="J997" s="1" t="str">
        <f>'Source build'!A997</f>
        <v>L00991</v>
      </c>
      <c r="K997" s="1">
        <f>997</f>
        <v>997</v>
      </c>
      <c r="L997" s="10">
        <f t="shared" si="76"/>
        <v>1129</v>
      </c>
      <c r="M997" s="1">
        <f t="shared" si="77"/>
        <v>1</v>
      </c>
      <c r="N997" s="1">
        <f t="shared" si="78"/>
        <v>1</v>
      </c>
      <c r="O997" s="1" t="str">
        <f>IF(I997=0,"UNUSED",IF(A997="","MISSING ID",IF(K997=0,"UNEXPECTED ID",IF(N997&lt;&gt;1,"ID / ORDER DIFFERENCE",IF('Source build'!U997&lt;&gt;"INCLUDED","EXCLUDED SOURCE",IF(NOT(M997),"INVALID AMOUNT",IF('Source build'!Y997&lt;&gt;0,"CHANGED FIELDS","MATCH")))))))</f>
        <v>MATCH</v>
      </c>
      <c r="P997" s="1" t="str">
        <f t="shared" si="79"/>
        <v>2026-02</v>
      </c>
    </row>
    <row r="998" spans="1:16" ht="18.95" customHeight="1">
      <c r="A998" s="7" t="s">
        <v>2670</v>
      </c>
      <c r="B998" s="7" t="s">
        <v>2668</v>
      </c>
      <c r="C998" s="7" t="s">
        <v>368</v>
      </c>
      <c r="D998" s="7" t="s">
        <v>97</v>
      </c>
      <c r="E998" s="7" t="s">
        <v>47</v>
      </c>
      <c r="F998" s="7" t="s">
        <v>98</v>
      </c>
      <c r="G998" s="7" t="s">
        <v>2671</v>
      </c>
      <c r="I998" s="1">
        <f t="shared" si="75"/>
        <v>1</v>
      </c>
      <c r="J998" s="1" t="str">
        <f>'Source build'!A998</f>
        <v>L00992</v>
      </c>
      <c r="K998" s="1">
        <f>998</f>
        <v>998</v>
      </c>
      <c r="L998" s="10">
        <f t="shared" si="76"/>
        <v>3498</v>
      </c>
      <c r="M998" s="1">
        <f t="shared" si="77"/>
        <v>1</v>
      </c>
      <c r="N998" s="1">
        <f t="shared" si="78"/>
        <v>1</v>
      </c>
      <c r="O998" s="1" t="str">
        <f>IF(I998=0,"UNUSED",IF(A998="","MISSING ID",IF(K998=0,"UNEXPECTED ID",IF(N998&lt;&gt;1,"ID / ORDER DIFFERENCE",IF('Source build'!U998&lt;&gt;"INCLUDED","EXCLUDED SOURCE",IF(NOT(M998),"INVALID AMOUNT",IF('Source build'!Y998&lt;&gt;0,"CHANGED FIELDS","MATCH")))))))</f>
        <v>MATCH</v>
      </c>
      <c r="P998" s="1" t="str">
        <f t="shared" si="79"/>
        <v>2026-02</v>
      </c>
    </row>
    <row r="999" spans="1:16" ht="18.95" customHeight="1">
      <c r="A999" s="7" t="s">
        <v>2672</v>
      </c>
      <c r="B999" s="7" t="s">
        <v>2673</v>
      </c>
      <c r="C999" s="7" t="s">
        <v>374</v>
      </c>
      <c r="D999" s="7" t="s">
        <v>103</v>
      </c>
      <c r="E999" s="7" t="s">
        <v>48</v>
      </c>
      <c r="F999" s="7" t="s">
        <v>98</v>
      </c>
      <c r="G999" s="7" t="s">
        <v>2675</v>
      </c>
      <c r="I999" s="1">
        <f t="shared" si="75"/>
        <v>1</v>
      </c>
      <c r="J999" s="1" t="str">
        <f>'Source build'!A999</f>
        <v>L00993</v>
      </c>
      <c r="K999" s="1">
        <f>999</f>
        <v>999</v>
      </c>
      <c r="L999" s="10">
        <f t="shared" si="76"/>
        <v>6015</v>
      </c>
      <c r="M999" s="1">
        <f t="shared" si="77"/>
        <v>1</v>
      </c>
      <c r="N999" s="1">
        <f t="shared" si="78"/>
        <v>1</v>
      </c>
      <c r="O999" s="1" t="str">
        <f>IF(I999=0,"UNUSED",IF(A999="","MISSING ID",IF(K999=0,"UNEXPECTED ID",IF(N999&lt;&gt;1,"ID / ORDER DIFFERENCE",IF('Source build'!U999&lt;&gt;"INCLUDED","EXCLUDED SOURCE",IF(NOT(M999),"INVALID AMOUNT",IF('Source build'!Y999&lt;&gt;0,"CHANGED FIELDS","MATCH")))))))</f>
        <v>MATCH</v>
      </c>
      <c r="P999" s="1" t="str">
        <f t="shared" si="79"/>
        <v>2026-02</v>
      </c>
    </row>
    <row r="1000" spans="1:16" ht="18.95" customHeight="1">
      <c r="A1000" s="7" t="s">
        <v>2676</v>
      </c>
      <c r="B1000" s="7" t="s">
        <v>2673</v>
      </c>
      <c r="C1000" s="7" t="s">
        <v>374</v>
      </c>
      <c r="D1000" s="7" t="s">
        <v>93</v>
      </c>
      <c r="E1000" s="7" t="s">
        <v>46</v>
      </c>
      <c r="F1000" s="7" t="s">
        <v>98</v>
      </c>
      <c r="G1000" s="7" t="s">
        <v>2677</v>
      </c>
      <c r="I1000" s="1">
        <f t="shared" si="75"/>
        <v>1</v>
      </c>
      <c r="J1000" s="1" t="str">
        <f>'Source build'!A1000</f>
        <v>L00994</v>
      </c>
      <c r="K1000" s="1">
        <f>1000</f>
        <v>1000</v>
      </c>
      <c r="L1000" s="10">
        <f t="shared" si="76"/>
        <v>2480</v>
      </c>
      <c r="M1000" s="1">
        <f t="shared" si="77"/>
        <v>1</v>
      </c>
      <c r="N1000" s="1">
        <f t="shared" si="78"/>
        <v>1</v>
      </c>
      <c r="O1000" s="1" t="str">
        <f>IF(I1000=0,"UNUSED",IF(A1000="","MISSING ID",IF(K1000=0,"UNEXPECTED ID",IF(N1000&lt;&gt;1,"ID / ORDER DIFFERENCE",IF('Source build'!U1000&lt;&gt;"INCLUDED","EXCLUDED SOURCE",IF(NOT(M1000),"INVALID AMOUNT",IF('Source build'!Y1000&lt;&gt;0,"CHANGED FIELDS","MATCH")))))))</f>
        <v>MATCH</v>
      </c>
      <c r="P1000" s="1" t="str">
        <f t="shared" si="79"/>
        <v>2026-02</v>
      </c>
    </row>
    <row r="1001" spans="1:16" ht="18.95" customHeight="1">
      <c r="A1001" s="7" t="s">
        <v>2678</v>
      </c>
      <c r="B1001" s="7" t="s">
        <v>2679</v>
      </c>
      <c r="C1001" s="7" t="s">
        <v>380</v>
      </c>
      <c r="D1001" s="7" t="s">
        <v>97</v>
      </c>
      <c r="E1001" s="7" t="s">
        <v>47</v>
      </c>
      <c r="F1001" s="7" t="s">
        <v>98</v>
      </c>
      <c r="G1001" s="7" t="s">
        <v>2680</v>
      </c>
      <c r="I1001" s="1">
        <f t="shared" si="75"/>
        <v>1</v>
      </c>
      <c r="J1001" s="1" t="str">
        <f>'Source build'!A1001</f>
        <v>L00995</v>
      </c>
      <c r="K1001" s="1">
        <f>1001</f>
        <v>1001</v>
      </c>
      <c r="L1001" s="10">
        <f t="shared" si="76"/>
        <v>5108</v>
      </c>
      <c r="M1001" s="1">
        <f t="shared" si="77"/>
        <v>1</v>
      </c>
      <c r="N1001" s="1">
        <f t="shared" si="78"/>
        <v>1</v>
      </c>
      <c r="O1001" s="1" t="str">
        <f>IF(I1001=0,"UNUSED",IF(A1001="","MISSING ID",IF(K1001=0,"UNEXPECTED ID",IF(N1001&lt;&gt;1,"ID / ORDER DIFFERENCE",IF('Source build'!U1001&lt;&gt;"INCLUDED","EXCLUDED SOURCE",IF(NOT(M1001),"INVALID AMOUNT",IF('Source build'!Y1001&lt;&gt;0,"CHANGED FIELDS","MATCH")))))))</f>
        <v>MATCH</v>
      </c>
      <c r="P1001" s="1" t="str">
        <f t="shared" si="79"/>
        <v>2026-03</v>
      </c>
    </row>
    <row r="1002" spans="1:16" ht="18.95" customHeight="1">
      <c r="A1002" s="7" t="s">
        <v>2681</v>
      </c>
      <c r="B1002" s="7" t="s">
        <v>2679</v>
      </c>
      <c r="C1002" s="7" t="s">
        <v>380</v>
      </c>
      <c r="D1002" s="7" t="s">
        <v>103</v>
      </c>
      <c r="E1002" s="7" t="s">
        <v>48</v>
      </c>
      <c r="F1002" s="7" t="s">
        <v>98</v>
      </c>
      <c r="G1002" s="7" t="s">
        <v>2682</v>
      </c>
      <c r="I1002" s="1">
        <f t="shared" si="75"/>
        <v>1</v>
      </c>
      <c r="J1002" s="1" t="str">
        <f>'Source build'!A1002</f>
        <v>L00996</v>
      </c>
      <c r="K1002" s="1">
        <f>1002</f>
        <v>1002</v>
      </c>
      <c r="L1002" s="10">
        <f t="shared" si="76"/>
        <v>1314</v>
      </c>
      <c r="M1002" s="1">
        <f t="shared" si="77"/>
        <v>1</v>
      </c>
      <c r="N1002" s="1">
        <f t="shared" si="78"/>
        <v>1</v>
      </c>
      <c r="O1002" s="1" t="str">
        <f>IF(I1002=0,"UNUSED",IF(A1002="","MISSING ID",IF(K1002=0,"UNEXPECTED ID",IF(N1002&lt;&gt;1,"ID / ORDER DIFFERENCE",IF('Source build'!U1002&lt;&gt;"INCLUDED","EXCLUDED SOURCE",IF(NOT(M1002),"INVALID AMOUNT",IF('Source build'!Y1002&lt;&gt;0,"CHANGED FIELDS","MATCH")))))))</f>
        <v>MATCH</v>
      </c>
      <c r="P1002" s="1" t="str">
        <f t="shared" si="79"/>
        <v>2026-03</v>
      </c>
    </row>
    <row r="1003" spans="1:16" ht="18.95" customHeight="1">
      <c r="A1003" s="7" t="s">
        <v>2683</v>
      </c>
      <c r="B1003" s="7" t="s">
        <v>2684</v>
      </c>
      <c r="C1003" s="7" t="s">
        <v>386</v>
      </c>
      <c r="D1003" s="7" t="s">
        <v>93</v>
      </c>
      <c r="E1003" s="7" t="s">
        <v>46</v>
      </c>
      <c r="F1003" s="7" t="s">
        <v>98</v>
      </c>
      <c r="G1003" s="7" t="s">
        <v>2685</v>
      </c>
      <c r="I1003" s="1">
        <f t="shared" si="75"/>
        <v>1</v>
      </c>
      <c r="J1003" s="1" t="str">
        <f>'Source build'!A1003</f>
        <v>L00997</v>
      </c>
      <c r="K1003" s="1">
        <f>1003</f>
        <v>1003</v>
      </c>
      <c r="L1003" s="10">
        <f t="shared" si="76"/>
        <v>4053</v>
      </c>
      <c r="M1003" s="1">
        <f t="shared" si="77"/>
        <v>1</v>
      </c>
      <c r="N1003" s="1">
        <f t="shared" si="78"/>
        <v>1</v>
      </c>
      <c r="O1003" s="1" t="str">
        <f>IF(I1003=0,"UNUSED",IF(A1003="","MISSING ID",IF(K1003=0,"UNEXPECTED ID",IF(N1003&lt;&gt;1,"ID / ORDER DIFFERENCE",IF('Source build'!U1003&lt;&gt;"INCLUDED","EXCLUDED SOURCE",IF(NOT(M1003),"INVALID AMOUNT",IF('Source build'!Y1003&lt;&gt;0,"CHANGED FIELDS","MATCH")))))))</f>
        <v>MATCH</v>
      </c>
      <c r="P1003" s="1" t="str">
        <f t="shared" si="79"/>
        <v>2026-03</v>
      </c>
    </row>
    <row r="1004" spans="1:16" ht="18.95" customHeight="1">
      <c r="A1004" s="7" t="s">
        <v>2686</v>
      </c>
      <c r="B1004" s="7" t="s">
        <v>2684</v>
      </c>
      <c r="C1004" s="7" t="s">
        <v>386</v>
      </c>
      <c r="D1004" s="7" t="s">
        <v>97</v>
      </c>
      <c r="E1004" s="7" t="s">
        <v>47</v>
      </c>
      <c r="F1004" s="7" t="s">
        <v>98</v>
      </c>
      <c r="G1004" s="7" t="s">
        <v>2687</v>
      </c>
      <c r="I1004" s="1">
        <f t="shared" si="75"/>
        <v>1</v>
      </c>
      <c r="J1004" s="1" t="str">
        <f>'Source build'!A1004</f>
        <v>L00998</v>
      </c>
      <c r="K1004" s="1">
        <f>1004</f>
        <v>1004</v>
      </c>
      <c r="L1004" s="10">
        <f t="shared" si="76"/>
        <v>6940</v>
      </c>
      <c r="M1004" s="1">
        <f t="shared" si="77"/>
        <v>1</v>
      </c>
      <c r="N1004" s="1">
        <f t="shared" si="78"/>
        <v>1</v>
      </c>
      <c r="O1004" s="1" t="str">
        <f>IF(I1004=0,"UNUSED",IF(A1004="","MISSING ID",IF(K1004=0,"UNEXPECTED ID",IF(N1004&lt;&gt;1,"ID / ORDER DIFFERENCE",IF('Source build'!U1004&lt;&gt;"INCLUDED","EXCLUDED SOURCE",IF(NOT(M1004),"INVALID AMOUNT",IF('Source build'!Y1004&lt;&gt;0,"CHANGED FIELDS","MATCH")))))))</f>
        <v>MATCH</v>
      </c>
      <c r="P1004" s="1" t="str">
        <f t="shared" si="79"/>
        <v>2026-03</v>
      </c>
    </row>
    <row r="1005" spans="1:16" ht="18.95" customHeight="1">
      <c r="A1005" s="7" t="s">
        <v>2688</v>
      </c>
      <c r="B1005" s="7" t="s">
        <v>2689</v>
      </c>
      <c r="C1005" s="7" t="s">
        <v>392</v>
      </c>
      <c r="D1005" s="7" t="s">
        <v>103</v>
      </c>
      <c r="E1005" s="7" t="s">
        <v>48</v>
      </c>
      <c r="F1005" s="7" t="s">
        <v>98</v>
      </c>
      <c r="G1005" s="7" t="s">
        <v>2690</v>
      </c>
      <c r="I1005" s="1">
        <f t="shared" si="75"/>
        <v>1</v>
      </c>
      <c r="J1005" s="1" t="str">
        <f>'Source build'!A1005</f>
        <v>L00999</v>
      </c>
      <c r="K1005" s="1">
        <f>1005</f>
        <v>1005</v>
      </c>
      <c r="L1005" s="10">
        <f t="shared" si="76"/>
        <v>2850</v>
      </c>
      <c r="M1005" s="1">
        <f t="shared" si="77"/>
        <v>1</v>
      </c>
      <c r="N1005" s="1">
        <f t="shared" si="78"/>
        <v>1</v>
      </c>
      <c r="O1005" s="1" t="str">
        <f>IF(I1005=0,"UNUSED",IF(A1005="","MISSING ID",IF(K1005=0,"UNEXPECTED ID",IF(N1005&lt;&gt;1,"ID / ORDER DIFFERENCE",IF('Source build'!U1005&lt;&gt;"INCLUDED","EXCLUDED SOURCE",IF(NOT(M1005),"INVALID AMOUNT",IF('Source build'!Y1005&lt;&gt;0,"CHANGED FIELDS","MATCH")))))))</f>
        <v>MATCH</v>
      </c>
      <c r="P1005" s="1" t="str">
        <f t="shared" si="79"/>
        <v>2026-03</v>
      </c>
    </row>
    <row r="1006" spans="1:16" ht="18.95" customHeight="1">
      <c r="A1006" s="7" t="s">
        <v>2691</v>
      </c>
      <c r="B1006" s="7" t="s">
        <v>2689</v>
      </c>
      <c r="C1006" s="7" t="s">
        <v>392</v>
      </c>
      <c r="D1006" s="7" t="s">
        <v>93</v>
      </c>
      <c r="E1006" s="7" t="s">
        <v>46</v>
      </c>
      <c r="F1006" s="7" t="s">
        <v>98</v>
      </c>
      <c r="G1006" s="7" t="s">
        <v>2692</v>
      </c>
      <c r="I1006" s="1">
        <f t="shared" si="75"/>
        <v>1</v>
      </c>
      <c r="J1006" s="1" t="str">
        <f>'Source build'!A1006</f>
        <v>L01000</v>
      </c>
      <c r="K1006" s="1">
        <f>1006</f>
        <v>1006</v>
      </c>
      <c r="L1006" s="10">
        <f t="shared" si="76"/>
        <v>5848</v>
      </c>
      <c r="M1006" s="1">
        <f t="shared" si="77"/>
        <v>1</v>
      </c>
      <c r="N1006" s="1">
        <f t="shared" si="78"/>
        <v>1</v>
      </c>
      <c r="O1006" s="1" t="str">
        <f>IF(I1006=0,"UNUSED",IF(A1006="","MISSING ID",IF(K1006=0,"UNEXPECTED ID",IF(N1006&lt;&gt;1,"ID / ORDER DIFFERENCE",IF('Source build'!U1006&lt;&gt;"INCLUDED","EXCLUDED SOURCE",IF(NOT(M1006),"INVALID AMOUNT",IF('Source build'!Y1006&lt;&gt;0,"CHANGED FIELDS","MATCH")))))))</f>
        <v>MATCH</v>
      </c>
      <c r="P1006" s="1" t="str">
        <f t="shared" si="79"/>
        <v>2026-03</v>
      </c>
    </row>
    <row r="1007" spans="1:16" ht="18.95" customHeight="1">
      <c r="A1007" s="7" t="s">
        <v>2693</v>
      </c>
      <c r="B1007" s="7" t="s">
        <v>2694</v>
      </c>
      <c r="C1007" s="7" t="s">
        <v>398</v>
      </c>
      <c r="D1007" s="7" t="s">
        <v>97</v>
      </c>
      <c r="E1007" s="7" t="s">
        <v>47</v>
      </c>
      <c r="F1007" s="7" t="s">
        <v>98</v>
      </c>
      <c r="G1007" s="7" t="s">
        <v>2695</v>
      </c>
      <c r="I1007" s="1">
        <f t="shared" si="75"/>
        <v>1</v>
      </c>
      <c r="J1007" s="1" t="str">
        <f>'Source build'!A1007</f>
        <v>L01001</v>
      </c>
      <c r="K1007" s="1">
        <f>1007</f>
        <v>1007</v>
      </c>
      <c r="L1007" s="10">
        <f t="shared" si="76"/>
        <v>1499</v>
      </c>
      <c r="M1007" s="1">
        <f t="shared" si="77"/>
        <v>1</v>
      </c>
      <c r="N1007" s="1">
        <f t="shared" si="78"/>
        <v>1</v>
      </c>
      <c r="O1007" s="1" t="str">
        <f>IF(I1007=0,"UNUSED",IF(A1007="","MISSING ID",IF(K1007=0,"UNEXPECTED ID",IF(N1007&lt;&gt;1,"ID / ORDER DIFFERENCE",IF('Source build'!U1007&lt;&gt;"INCLUDED","EXCLUDED SOURCE",IF(NOT(M1007),"INVALID AMOUNT",IF('Source build'!Y1007&lt;&gt;0,"CHANGED FIELDS","MATCH")))))))</f>
        <v>MATCH</v>
      </c>
      <c r="P1007" s="1" t="str">
        <f t="shared" si="79"/>
        <v>2026-03</v>
      </c>
    </row>
    <row r="1008" spans="1:16" ht="18.95" customHeight="1">
      <c r="A1008" s="7" t="s">
        <v>2696</v>
      </c>
      <c r="B1008" s="7" t="s">
        <v>2694</v>
      </c>
      <c r="C1008" s="7" t="s">
        <v>398</v>
      </c>
      <c r="D1008" s="7" t="s">
        <v>103</v>
      </c>
      <c r="E1008" s="7" t="s">
        <v>48</v>
      </c>
      <c r="F1008" s="7" t="s">
        <v>98</v>
      </c>
      <c r="G1008" s="7" t="s">
        <v>2697</v>
      </c>
      <c r="I1008" s="1">
        <f t="shared" si="75"/>
        <v>1</v>
      </c>
      <c r="J1008" s="1" t="str">
        <f>'Source build'!A1008</f>
        <v>L01002</v>
      </c>
      <c r="K1008" s="1">
        <f>1008</f>
        <v>1008</v>
      </c>
      <c r="L1008" s="10">
        <f t="shared" si="76"/>
        <v>4608</v>
      </c>
      <c r="M1008" s="1">
        <f t="shared" si="77"/>
        <v>1</v>
      </c>
      <c r="N1008" s="1">
        <f t="shared" si="78"/>
        <v>1</v>
      </c>
      <c r="O1008" s="1" t="str">
        <f>IF(I1008=0,"UNUSED",IF(A1008="","MISSING ID",IF(K1008=0,"UNEXPECTED ID",IF(N1008&lt;&gt;1,"ID / ORDER DIFFERENCE",IF('Source build'!U1008&lt;&gt;"INCLUDED","EXCLUDED SOURCE",IF(NOT(M1008),"INVALID AMOUNT",IF('Source build'!Y1008&lt;&gt;0,"CHANGED FIELDS","MATCH")))))))</f>
        <v>MATCH</v>
      </c>
      <c r="P1008" s="1" t="str">
        <f t="shared" si="79"/>
        <v>2026-03</v>
      </c>
    </row>
    <row r="1009" spans="1:16" ht="18.95" customHeight="1">
      <c r="A1009" s="7" t="s">
        <v>2698</v>
      </c>
      <c r="B1009" s="7" t="s">
        <v>2699</v>
      </c>
      <c r="C1009" s="7" t="s">
        <v>404</v>
      </c>
      <c r="D1009" s="7" t="s">
        <v>93</v>
      </c>
      <c r="E1009" s="7" t="s">
        <v>46</v>
      </c>
      <c r="F1009" s="7" t="s">
        <v>98</v>
      </c>
      <c r="G1009" s="7" t="s">
        <v>2700</v>
      </c>
      <c r="I1009" s="1">
        <f t="shared" si="75"/>
        <v>1</v>
      </c>
      <c r="J1009" s="1" t="str">
        <f>'Source build'!A1009</f>
        <v>L01003</v>
      </c>
      <c r="K1009" s="1">
        <f>1009</f>
        <v>1009</v>
      </c>
      <c r="L1009" s="10">
        <f t="shared" si="76"/>
        <v>7865</v>
      </c>
      <c r="M1009" s="1">
        <f t="shared" si="77"/>
        <v>1</v>
      </c>
      <c r="N1009" s="1">
        <f t="shared" si="78"/>
        <v>1</v>
      </c>
      <c r="O1009" s="1" t="str">
        <f>IF(I1009=0,"UNUSED",IF(A1009="","MISSING ID",IF(K1009=0,"UNEXPECTED ID",IF(N1009&lt;&gt;1,"ID / ORDER DIFFERENCE",IF('Source build'!U1009&lt;&gt;"INCLUDED","EXCLUDED SOURCE",IF(NOT(M1009),"INVALID AMOUNT",IF('Source build'!Y1009&lt;&gt;0,"CHANGED FIELDS","MATCH")))))))</f>
        <v>MATCH</v>
      </c>
      <c r="P1009" s="1" t="str">
        <f t="shared" si="79"/>
        <v>2026-03</v>
      </c>
    </row>
    <row r="1010" spans="1:16" ht="18.95" customHeight="1">
      <c r="A1010" s="7" t="s">
        <v>2701</v>
      </c>
      <c r="B1010" s="7" t="s">
        <v>2699</v>
      </c>
      <c r="C1010" s="7" t="s">
        <v>404</v>
      </c>
      <c r="D1010" s="7" t="s">
        <v>97</v>
      </c>
      <c r="E1010" s="7" t="s">
        <v>47</v>
      </c>
      <c r="F1010" s="7" t="s">
        <v>98</v>
      </c>
      <c r="G1010" s="7" t="s">
        <v>2702</v>
      </c>
      <c r="I1010" s="1">
        <f t="shared" si="75"/>
        <v>1</v>
      </c>
      <c r="J1010" s="1" t="str">
        <f>'Source build'!A1010</f>
        <v>L01004</v>
      </c>
      <c r="K1010" s="1">
        <f>1010</f>
        <v>1010</v>
      </c>
      <c r="L1010" s="10">
        <f t="shared" si="76"/>
        <v>3220</v>
      </c>
      <c r="M1010" s="1">
        <f t="shared" si="77"/>
        <v>1</v>
      </c>
      <c r="N1010" s="1">
        <f t="shared" si="78"/>
        <v>1</v>
      </c>
      <c r="O1010" s="1" t="str">
        <f>IF(I1010=0,"UNUSED",IF(A1010="","MISSING ID",IF(K1010=0,"UNEXPECTED ID",IF(N1010&lt;&gt;1,"ID / ORDER DIFFERENCE",IF('Source build'!U1010&lt;&gt;"INCLUDED","EXCLUDED SOURCE",IF(NOT(M1010),"INVALID AMOUNT",IF('Source build'!Y1010&lt;&gt;0,"CHANGED FIELDS","MATCH")))))))</f>
        <v>MATCH</v>
      </c>
      <c r="P1010" s="1" t="str">
        <f t="shared" si="79"/>
        <v>2026-03</v>
      </c>
    </row>
    <row r="1011" spans="1:16" ht="18.95" customHeight="1">
      <c r="A1011" s="7" t="s">
        <v>2703</v>
      </c>
      <c r="B1011" s="7" t="s">
        <v>2704</v>
      </c>
      <c r="C1011" s="7" t="s">
        <v>410</v>
      </c>
      <c r="D1011" s="7" t="s">
        <v>103</v>
      </c>
      <c r="E1011" s="7" t="s">
        <v>48</v>
      </c>
      <c r="F1011" s="7" t="s">
        <v>98</v>
      </c>
      <c r="G1011" s="7" t="s">
        <v>2705</v>
      </c>
      <c r="I1011" s="1">
        <f t="shared" si="75"/>
        <v>1</v>
      </c>
      <c r="J1011" s="1" t="str">
        <f>'Source build'!A1011</f>
        <v>L01005</v>
      </c>
      <c r="K1011" s="1">
        <f>1011</f>
        <v>1011</v>
      </c>
      <c r="L1011" s="10">
        <f t="shared" si="76"/>
        <v>6588</v>
      </c>
      <c r="M1011" s="1">
        <f t="shared" si="77"/>
        <v>1</v>
      </c>
      <c r="N1011" s="1">
        <f t="shared" si="78"/>
        <v>1</v>
      </c>
      <c r="O1011" s="1" t="str">
        <f>IF(I1011=0,"UNUSED",IF(A1011="","MISSING ID",IF(K1011=0,"UNEXPECTED ID",IF(N1011&lt;&gt;1,"ID / ORDER DIFFERENCE",IF('Source build'!U1011&lt;&gt;"INCLUDED","EXCLUDED SOURCE",IF(NOT(M1011),"INVALID AMOUNT",IF('Source build'!Y1011&lt;&gt;0,"CHANGED FIELDS","MATCH")))))))</f>
        <v>MATCH</v>
      </c>
      <c r="P1011" s="1" t="str">
        <f t="shared" si="79"/>
        <v>2026-01</v>
      </c>
    </row>
    <row r="1012" spans="1:16" ht="18.95" customHeight="1">
      <c r="A1012" s="7" t="s">
        <v>2706</v>
      </c>
      <c r="B1012" s="7" t="s">
        <v>2704</v>
      </c>
      <c r="C1012" s="7" t="s">
        <v>410</v>
      </c>
      <c r="D1012" s="7" t="s">
        <v>93</v>
      </c>
      <c r="E1012" s="7" t="s">
        <v>46</v>
      </c>
      <c r="F1012" s="7" t="s">
        <v>98</v>
      </c>
      <c r="G1012" s="7" t="s">
        <v>2707</v>
      </c>
      <c r="I1012" s="1">
        <f t="shared" si="75"/>
        <v>1</v>
      </c>
      <c r="J1012" s="1" t="str">
        <f>'Source build'!A1012</f>
        <v>L01006</v>
      </c>
      <c r="K1012" s="1">
        <f>1012</f>
        <v>1012</v>
      </c>
      <c r="L1012" s="10">
        <f t="shared" si="76"/>
        <v>1684</v>
      </c>
      <c r="M1012" s="1">
        <f t="shared" si="77"/>
        <v>1</v>
      </c>
      <c r="N1012" s="1">
        <f t="shared" si="78"/>
        <v>1</v>
      </c>
      <c r="O1012" s="1" t="str">
        <f>IF(I1012=0,"UNUSED",IF(A1012="","MISSING ID",IF(K1012=0,"UNEXPECTED ID",IF(N1012&lt;&gt;1,"ID / ORDER DIFFERENCE",IF('Source build'!U1012&lt;&gt;"INCLUDED","EXCLUDED SOURCE",IF(NOT(M1012),"INVALID AMOUNT",IF('Source build'!Y1012&lt;&gt;0,"CHANGED FIELDS","MATCH")))))))</f>
        <v>MATCH</v>
      </c>
      <c r="P1012" s="1" t="str">
        <f t="shared" si="79"/>
        <v>2026-01</v>
      </c>
    </row>
    <row r="1013" spans="1:16" ht="18.95" customHeight="1">
      <c r="A1013" s="7" t="s">
        <v>2708</v>
      </c>
      <c r="B1013" s="7" t="s">
        <v>2709</v>
      </c>
      <c r="C1013" s="7" t="s">
        <v>416</v>
      </c>
      <c r="D1013" s="7" t="s">
        <v>97</v>
      </c>
      <c r="E1013" s="7" t="s">
        <v>47</v>
      </c>
      <c r="F1013" s="7" t="s">
        <v>98</v>
      </c>
      <c r="G1013" s="7" t="s">
        <v>2710</v>
      </c>
      <c r="I1013" s="1">
        <f t="shared" si="75"/>
        <v>1</v>
      </c>
      <c r="J1013" s="1" t="str">
        <f>'Source build'!A1013</f>
        <v>L01007</v>
      </c>
      <c r="K1013" s="1">
        <f>1013</f>
        <v>1013</v>
      </c>
      <c r="L1013" s="10">
        <f t="shared" si="76"/>
        <v>5163</v>
      </c>
      <c r="M1013" s="1">
        <f t="shared" si="77"/>
        <v>1</v>
      </c>
      <c r="N1013" s="1">
        <f t="shared" si="78"/>
        <v>1</v>
      </c>
      <c r="O1013" s="1" t="str">
        <f>IF(I1013=0,"UNUSED",IF(A1013="","MISSING ID",IF(K1013=0,"UNEXPECTED ID",IF(N1013&lt;&gt;1,"ID / ORDER DIFFERENCE",IF('Source build'!U1013&lt;&gt;"INCLUDED","EXCLUDED SOURCE",IF(NOT(M1013),"INVALID AMOUNT",IF('Source build'!Y1013&lt;&gt;0,"CHANGED FIELDS","MATCH")))))))</f>
        <v>MATCH</v>
      </c>
      <c r="P1013" s="1" t="str">
        <f t="shared" si="79"/>
        <v>2026-01</v>
      </c>
    </row>
    <row r="1014" spans="1:16" ht="18.95" customHeight="1">
      <c r="A1014" s="7" t="s">
        <v>2711</v>
      </c>
      <c r="B1014" s="7" t="s">
        <v>2709</v>
      </c>
      <c r="C1014" s="7" t="s">
        <v>416</v>
      </c>
      <c r="D1014" s="7" t="s">
        <v>103</v>
      </c>
      <c r="E1014" s="7" t="s">
        <v>48</v>
      </c>
      <c r="F1014" s="7" t="s">
        <v>98</v>
      </c>
      <c r="G1014" s="7" t="s">
        <v>2712</v>
      </c>
      <c r="I1014" s="1">
        <f t="shared" si="75"/>
        <v>1</v>
      </c>
      <c r="J1014" s="1" t="str">
        <f>'Source build'!A1014</f>
        <v>L01008</v>
      </c>
      <c r="K1014" s="1">
        <f>1014</f>
        <v>1014</v>
      </c>
      <c r="L1014" s="10">
        <f t="shared" si="76"/>
        <v>8790</v>
      </c>
      <c r="M1014" s="1">
        <f t="shared" si="77"/>
        <v>1</v>
      </c>
      <c r="N1014" s="1">
        <f t="shared" si="78"/>
        <v>1</v>
      </c>
      <c r="O1014" s="1" t="str">
        <f>IF(I1014=0,"UNUSED",IF(A1014="","MISSING ID",IF(K1014=0,"UNEXPECTED ID",IF(N1014&lt;&gt;1,"ID / ORDER DIFFERENCE",IF('Source build'!U1014&lt;&gt;"INCLUDED","EXCLUDED SOURCE",IF(NOT(M1014),"INVALID AMOUNT",IF('Source build'!Y1014&lt;&gt;0,"CHANGED FIELDS","MATCH")))))))</f>
        <v>MATCH</v>
      </c>
      <c r="P1014" s="1" t="str">
        <f t="shared" si="79"/>
        <v>2026-01</v>
      </c>
    </row>
    <row r="1015" spans="1:16" ht="18.95" customHeight="1">
      <c r="A1015" s="7" t="s">
        <v>2713</v>
      </c>
      <c r="B1015" s="7" t="s">
        <v>2714</v>
      </c>
      <c r="C1015" s="7" t="s">
        <v>422</v>
      </c>
      <c r="D1015" s="7" t="s">
        <v>93</v>
      </c>
      <c r="E1015" s="7" t="s">
        <v>46</v>
      </c>
      <c r="F1015" s="7" t="s">
        <v>98</v>
      </c>
      <c r="G1015" s="7" t="s">
        <v>2715</v>
      </c>
      <c r="I1015" s="1">
        <f t="shared" si="75"/>
        <v>1</v>
      </c>
      <c r="J1015" s="1" t="str">
        <f>'Source build'!A1015</f>
        <v>L01009</v>
      </c>
      <c r="K1015" s="1">
        <f>1015</f>
        <v>1015</v>
      </c>
      <c r="L1015" s="10">
        <f t="shared" si="76"/>
        <v>3590</v>
      </c>
      <c r="M1015" s="1">
        <f t="shared" si="77"/>
        <v>1</v>
      </c>
      <c r="N1015" s="1">
        <f t="shared" si="78"/>
        <v>1</v>
      </c>
      <c r="O1015" s="1" t="str">
        <f>IF(I1015=0,"UNUSED",IF(A1015="","MISSING ID",IF(K1015=0,"UNEXPECTED ID",IF(N1015&lt;&gt;1,"ID / ORDER DIFFERENCE",IF('Source build'!U1015&lt;&gt;"INCLUDED","EXCLUDED SOURCE",IF(NOT(M1015),"INVALID AMOUNT",IF('Source build'!Y1015&lt;&gt;0,"CHANGED FIELDS","MATCH")))))))</f>
        <v>MATCH</v>
      </c>
      <c r="P1015" s="1" t="str">
        <f t="shared" si="79"/>
        <v>2026-01</v>
      </c>
    </row>
    <row r="1016" spans="1:16" ht="18.95" customHeight="1">
      <c r="A1016" s="7" t="s">
        <v>2716</v>
      </c>
      <c r="B1016" s="7" t="s">
        <v>2714</v>
      </c>
      <c r="C1016" s="7" t="s">
        <v>422</v>
      </c>
      <c r="D1016" s="7" t="s">
        <v>97</v>
      </c>
      <c r="E1016" s="7" t="s">
        <v>47</v>
      </c>
      <c r="F1016" s="7" t="s">
        <v>98</v>
      </c>
      <c r="G1016" s="7" t="s">
        <v>2717</v>
      </c>
      <c r="I1016" s="1">
        <f t="shared" si="75"/>
        <v>1</v>
      </c>
      <c r="J1016" s="1" t="str">
        <f>'Source build'!A1016</f>
        <v>L01010</v>
      </c>
      <c r="K1016" s="1">
        <f>1016</f>
        <v>1016</v>
      </c>
      <c r="L1016" s="10">
        <f t="shared" si="76"/>
        <v>7328</v>
      </c>
      <c r="M1016" s="1">
        <f t="shared" si="77"/>
        <v>1</v>
      </c>
      <c r="N1016" s="1">
        <f t="shared" si="78"/>
        <v>1</v>
      </c>
      <c r="O1016" s="1" t="str">
        <f>IF(I1016=0,"UNUSED",IF(A1016="","MISSING ID",IF(K1016=0,"UNEXPECTED ID",IF(N1016&lt;&gt;1,"ID / ORDER DIFFERENCE",IF('Source build'!U1016&lt;&gt;"INCLUDED","EXCLUDED SOURCE",IF(NOT(M1016),"INVALID AMOUNT",IF('Source build'!Y1016&lt;&gt;0,"CHANGED FIELDS","MATCH")))))))</f>
        <v>MATCH</v>
      </c>
      <c r="P1016" s="1" t="str">
        <f t="shared" si="79"/>
        <v>2026-01</v>
      </c>
    </row>
    <row r="1017" spans="1:16" ht="18.95" customHeight="1">
      <c r="A1017" s="7" t="s">
        <v>2718</v>
      </c>
      <c r="B1017" s="7" t="s">
        <v>2719</v>
      </c>
      <c r="C1017" s="7" t="s">
        <v>428</v>
      </c>
      <c r="D1017" s="7" t="s">
        <v>103</v>
      </c>
      <c r="E1017" s="7" t="s">
        <v>48</v>
      </c>
      <c r="F1017" s="7" t="s">
        <v>98</v>
      </c>
      <c r="G1017" s="7" t="s">
        <v>2720</v>
      </c>
      <c r="I1017" s="1">
        <f t="shared" si="75"/>
        <v>1</v>
      </c>
      <c r="J1017" s="1" t="str">
        <f>'Source build'!A1017</f>
        <v>L01011</v>
      </c>
      <c r="K1017" s="1">
        <f>1017</f>
        <v>1017</v>
      </c>
      <c r="L1017" s="10">
        <f t="shared" si="76"/>
        <v>1869</v>
      </c>
      <c r="M1017" s="1">
        <f t="shared" si="77"/>
        <v>1</v>
      </c>
      <c r="N1017" s="1">
        <f t="shared" si="78"/>
        <v>1</v>
      </c>
      <c r="O1017" s="1" t="str">
        <f>IF(I1017=0,"UNUSED",IF(A1017="","MISSING ID",IF(K1017=0,"UNEXPECTED ID",IF(N1017&lt;&gt;1,"ID / ORDER DIFFERENCE",IF('Source build'!U1017&lt;&gt;"INCLUDED","EXCLUDED SOURCE",IF(NOT(M1017),"INVALID AMOUNT",IF('Source build'!Y1017&lt;&gt;0,"CHANGED FIELDS","MATCH")))))))</f>
        <v>MATCH</v>
      </c>
      <c r="P1017" s="1" t="str">
        <f t="shared" si="79"/>
        <v>2026-01</v>
      </c>
    </row>
    <row r="1018" spans="1:16" ht="18.95" customHeight="1">
      <c r="A1018" s="7" t="s">
        <v>2721</v>
      </c>
      <c r="B1018" s="7" t="s">
        <v>2719</v>
      </c>
      <c r="C1018" s="7" t="s">
        <v>428</v>
      </c>
      <c r="D1018" s="7" t="s">
        <v>93</v>
      </c>
      <c r="E1018" s="7" t="s">
        <v>46</v>
      </c>
      <c r="F1018" s="7" t="s">
        <v>98</v>
      </c>
      <c r="G1018" s="7" t="s">
        <v>2722</v>
      </c>
      <c r="I1018" s="1">
        <f t="shared" si="75"/>
        <v>1</v>
      </c>
      <c r="J1018" s="1" t="str">
        <f>'Source build'!A1018</f>
        <v>L01012</v>
      </c>
      <c r="K1018" s="1">
        <f>1018</f>
        <v>1018</v>
      </c>
      <c r="L1018" s="10">
        <f t="shared" si="76"/>
        <v>5718</v>
      </c>
      <c r="M1018" s="1">
        <f t="shared" si="77"/>
        <v>1</v>
      </c>
      <c r="N1018" s="1">
        <f t="shared" si="78"/>
        <v>1</v>
      </c>
      <c r="O1018" s="1" t="str">
        <f>IF(I1018=0,"UNUSED",IF(A1018="","MISSING ID",IF(K1018=0,"UNEXPECTED ID",IF(N1018&lt;&gt;1,"ID / ORDER DIFFERENCE",IF('Source build'!U1018&lt;&gt;"INCLUDED","EXCLUDED SOURCE",IF(NOT(M1018),"INVALID AMOUNT",IF('Source build'!Y1018&lt;&gt;0,"CHANGED FIELDS","MATCH")))))))</f>
        <v>MATCH</v>
      </c>
      <c r="P1018" s="1" t="str">
        <f t="shared" si="79"/>
        <v>2026-01</v>
      </c>
    </row>
    <row r="1019" spans="1:16" ht="18.95" customHeight="1">
      <c r="A1019" s="7" t="s">
        <v>2723</v>
      </c>
      <c r="B1019" s="7" t="s">
        <v>2724</v>
      </c>
      <c r="C1019" s="7" t="s">
        <v>434</v>
      </c>
      <c r="D1019" s="7" t="s">
        <v>97</v>
      </c>
      <c r="E1019" s="7" t="s">
        <v>47</v>
      </c>
      <c r="F1019" s="7" t="s">
        <v>94</v>
      </c>
      <c r="G1019" s="7" t="s">
        <v>2725</v>
      </c>
      <c r="I1019" s="1">
        <f t="shared" si="75"/>
        <v>1</v>
      </c>
      <c r="J1019" s="1" t="str">
        <f>'Source build'!A1019</f>
        <v>L01013</v>
      </c>
      <c r="K1019" s="1">
        <f>1019</f>
        <v>1019</v>
      </c>
      <c r="L1019" s="10">
        <f t="shared" si="76"/>
        <v>-9715</v>
      </c>
      <c r="M1019" s="1">
        <f t="shared" si="77"/>
        <v>1</v>
      </c>
      <c r="N1019" s="1">
        <f t="shared" si="78"/>
        <v>1</v>
      </c>
      <c r="O1019" s="1" t="str">
        <f>IF(I1019=0,"UNUSED",IF(A1019="","MISSING ID",IF(K1019=0,"UNEXPECTED ID",IF(N1019&lt;&gt;1,"ID / ORDER DIFFERENCE",IF('Source build'!U1019&lt;&gt;"INCLUDED","EXCLUDED SOURCE",IF(NOT(M1019),"INVALID AMOUNT",IF('Source build'!Y1019&lt;&gt;0,"CHANGED FIELDS","MATCH")))))))</f>
        <v>MATCH</v>
      </c>
      <c r="P1019" s="1" t="str">
        <f t="shared" si="79"/>
        <v>2026-02</v>
      </c>
    </row>
    <row r="1020" spans="1:16" ht="18.95" customHeight="1">
      <c r="A1020" s="7" t="s">
        <v>2726</v>
      </c>
      <c r="B1020" s="7" t="s">
        <v>2724</v>
      </c>
      <c r="C1020" s="7" t="s">
        <v>434</v>
      </c>
      <c r="D1020" s="7" t="s">
        <v>103</v>
      </c>
      <c r="E1020" s="7" t="s">
        <v>48</v>
      </c>
      <c r="F1020" s="7" t="s">
        <v>98</v>
      </c>
      <c r="G1020" s="7" t="s">
        <v>2727</v>
      </c>
      <c r="I1020" s="1">
        <f t="shared" si="75"/>
        <v>1</v>
      </c>
      <c r="J1020" s="1" t="str">
        <f>'Source build'!A1020</f>
        <v>L01014</v>
      </c>
      <c r="K1020" s="1">
        <f>1020</f>
        <v>1020</v>
      </c>
      <c r="L1020" s="10">
        <f t="shared" si="76"/>
        <v>3960</v>
      </c>
      <c r="M1020" s="1">
        <f t="shared" si="77"/>
        <v>1</v>
      </c>
      <c r="N1020" s="1">
        <f t="shared" si="78"/>
        <v>1</v>
      </c>
      <c r="O1020" s="1" t="str">
        <f>IF(I1020=0,"UNUSED",IF(A1020="","MISSING ID",IF(K1020=0,"UNEXPECTED ID",IF(N1020&lt;&gt;1,"ID / ORDER DIFFERENCE",IF('Source build'!U1020&lt;&gt;"INCLUDED","EXCLUDED SOURCE",IF(NOT(M1020),"INVALID AMOUNT",IF('Source build'!Y1020&lt;&gt;0,"CHANGED FIELDS","MATCH")))))))</f>
        <v>MATCH</v>
      </c>
      <c r="P1020" s="1" t="str">
        <f t="shared" si="79"/>
        <v>2026-02</v>
      </c>
    </row>
    <row r="1021" spans="1:16" ht="18.95" customHeight="1">
      <c r="A1021" s="7" t="s">
        <v>2728</v>
      </c>
      <c r="B1021" s="7" t="s">
        <v>2729</v>
      </c>
      <c r="C1021" s="7" t="s">
        <v>440</v>
      </c>
      <c r="D1021" s="7" t="s">
        <v>93</v>
      </c>
      <c r="E1021" s="7" t="s">
        <v>46</v>
      </c>
      <c r="F1021" s="7" t="s">
        <v>98</v>
      </c>
      <c r="G1021" s="7" t="s">
        <v>2730</v>
      </c>
      <c r="I1021" s="1">
        <f t="shared" si="75"/>
        <v>1</v>
      </c>
      <c r="J1021" s="1" t="str">
        <f>'Source build'!A1021</f>
        <v>L01015</v>
      </c>
      <c r="K1021" s="1">
        <f>1021</f>
        <v>1021</v>
      </c>
      <c r="L1021" s="10">
        <f t="shared" si="76"/>
        <v>8068</v>
      </c>
      <c r="M1021" s="1">
        <f t="shared" si="77"/>
        <v>1</v>
      </c>
      <c r="N1021" s="1">
        <f t="shared" si="78"/>
        <v>1</v>
      </c>
      <c r="O1021" s="1" t="str">
        <f>IF(I1021=0,"UNUSED",IF(A1021="","MISSING ID",IF(K1021=0,"UNEXPECTED ID",IF(N1021&lt;&gt;1,"ID / ORDER DIFFERENCE",IF('Source build'!U1021&lt;&gt;"INCLUDED","EXCLUDED SOURCE",IF(NOT(M1021),"INVALID AMOUNT",IF('Source build'!Y1021&lt;&gt;0,"CHANGED FIELDS","MATCH")))))))</f>
        <v>MATCH</v>
      </c>
      <c r="P1021" s="1" t="str">
        <f t="shared" si="79"/>
        <v>2026-02</v>
      </c>
    </row>
    <row r="1022" spans="1:16" ht="18.95" customHeight="1">
      <c r="A1022" s="7" t="s">
        <v>2731</v>
      </c>
      <c r="B1022" s="7" t="s">
        <v>2729</v>
      </c>
      <c r="C1022" s="7" t="s">
        <v>440</v>
      </c>
      <c r="D1022" s="7" t="s">
        <v>97</v>
      </c>
      <c r="E1022" s="7" t="s">
        <v>47</v>
      </c>
      <c r="F1022" s="7" t="s">
        <v>98</v>
      </c>
      <c r="G1022" s="7" t="s">
        <v>2732</v>
      </c>
      <c r="I1022" s="1">
        <f t="shared" si="75"/>
        <v>1</v>
      </c>
      <c r="J1022" s="1" t="str">
        <f>'Source build'!A1022</f>
        <v>L01016</v>
      </c>
      <c r="K1022" s="1">
        <f>1022</f>
        <v>1022</v>
      </c>
      <c r="L1022" s="10">
        <f t="shared" si="76"/>
        <v>2054</v>
      </c>
      <c r="M1022" s="1">
        <f t="shared" si="77"/>
        <v>1</v>
      </c>
      <c r="N1022" s="1">
        <f t="shared" si="78"/>
        <v>1</v>
      </c>
      <c r="O1022" s="1" t="str">
        <f>IF(I1022=0,"UNUSED",IF(A1022="","MISSING ID",IF(K1022=0,"UNEXPECTED ID",IF(N1022&lt;&gt;1,"ID / ORDER DIFFERENCE",IF('Source build'!U1022&lt;&gt;"INCLUDED","EXCLUDED SOURCE",IF(NOT(M1022),"INVALID AMOUNT",IF('Source build'!Y1022&lt;&gt;0,"CHANGED FIELDS","MATCH")))))))</f>
        <v>MATCH</v>
      </c>
      <c r="P1022" s="1" t="str">
        <f t="shared" si="79"/>
        <v>2026-02</v>
      </c>
    </row>
    <row r="1023" spans="1:16" ht="18.95" customHeight="1">
      <c r="A1023" s="7" t="s">
        <v>2733</v>
      </c>
      <c r="B1023" s="7" t="s">
        <v>2734</v>
      </c>
      <c r="C1023" s="7" t="s">
        <v>446</v>
      </c>
      <c r="D1023" s="7" t="s">
        <v>103</v>
      </c>
      <c r="E1023" s="7" t="s">
        <v>48</v>
      </c>
      <c r="F1023" s="7" t="s">
        <v>98</v>
      </c>
      <c r="G1023" s="7" t="s">
        <v>2735</v>
      </c>
      <c r="I1023" s="1">
        <f t="shared" si="75"/>
        <v>1</v>
      </c>
      <c r="J1023" s="1" t="str">
        <f>'Source build'!A1023</f>
        <v>L01017</v>
      </c>
      <c r="K1023" s="1">
        <f>1023</f>
        <v>1023</v>
      </c>
      <c r="L1023" s="10">
        <f t="shared" si="76"/>
        <v>6273</v>
      </c>
      <c r="M1023" s="1">
        <f t="shared" si="77"/>
        <v>1</v>
      </c>
      <c r="N1023" s="1">
        <f t="shared" si="78"/>
        <v>1</v>
      </c>
      <c r="O1023" s="1" t="str">
        <f>IF(I1023=0,"UNUSED",IF(A1023="","MISSING ID",IF(K1023=0,"UNEXPECTED ID",IF(N1023&lt;&gt;1,"ID / ORDER DIFFERENCE",IF('Source build'!U1023&lt;&gt;"INCLUDED","EXCLUDED SOURCE",IF(NOT(M1023),"INVALID AMOUNT",IF('Source build'!Y1023&lt;&gt;0,"CHANGED FIELDS","MATCH")))))))</f>
        <v>MATCH</v>
      </c>
      <c r="P1023" s="1" t="str">
        <f t="shared" si="79"/>
        <v>2026-02</v>
      </c>
    </row>
    <row r="1024" spans="1:16" ht="18.95" customHeight="1">
      <c r="A1024" s="7" t="s">
        <v>2736</v>
      </c>
      <c r="B1024" s="7" t="s">
        <v>2734</v>
      </c>
      <c r="C1024" s="7" t="s">
        <v>446</v>
      </c>
      <c r="D1024" s="7" t="s">
        <v>93</v>
      </c>
      <c r="E1024" s="7" t="s">
        <v>46</v>
      </c>
      <c r="F1024" s="7" t="s">
        <v>98</v>
      </c>
      <c r="G1024" s="7" t="s">
        <v>2737</v>
      </c>
      <c r="I1024" s="1">
        <f t="shared" si="75"/>
        <v>1</v>
      </c>
      <c r="J1024" s="1" t="str">
        <f>'Source build'!A1024</f>
        <v>L01018</v>
      </c>
      <c r="K1024" s="1">
        <f>1024</f>
        <v>1024</v>
      </c>
      <c r="L1024" s="10">
        <f t="shared" si="76"/>
        <v>10640</v>
      </c>
      <c r="M1024" s="1">
        <f t="shared" si="77"/>
        <v>1</v>
      </c>
      <c r="N1024" s="1">
        <f t="shared" si="78"/>
        <v>1</v>
      </c>
      <c r="O1024" s="1" t="str">
        <f>IF(I1024=0,"UNUSED",IF(A1024="","MISSING ID",IF(K1024=0,"UNEXPECTED ID",IF(N1024&lt;&gt;1,"ID / ORDER DIFFERENCE",IF('Source build'!U1024&lt;&gt;"INCLUDED","EXCLUDED SOURCE",IF(NOT(M1024),"INVALID AMOUNT",IF('Source build'!Y1024&lt;&gt;0,"CHANGED FIELDS","MATCH")))))))</f>
        <v>MATCH</v>
      </c>
      <c r="P1024" s="1" t="str">
        <f t="shared" si="79"/>
        <v>2026-02</v>
      </c>
    </row>
    <row r="1025" spans="1:16" ht="18.95" customHeight="1">
      <c r="A1025" s="7" t="s">
        <v>2738</v>
      </c>
      <c r="B1025" s="7" t="s">
        <v>2739</v>
      </c>
      <c r="C1025" s="7" t="s">
        <v>452</v>
      </c>
      <c r="D1025" s="7" t="s">
        <v>97</v>
      </c>
      <c r="E1025" s="7" t="s">
        <v>47</v>
      </c>
      <c r="F1025" s="7" t="s">
        <v>98</v>
      </c>
      <c r="G1025" s="7" t="s">
        <v>2740</v>
      </c>
      <c r="I1025" s="1">
        <f t="shared" si="75"/>
        <v>1</v>
      </c>
      <c r="J1025" s="1" t="str">
        <f>'Source build'!A1025</f>
        <v>L01019</v>
      </c>
      <c r="K1025" s="1">
        <f>1025</f>
        <v>1025</v>
      </c>
      <c r="L1025" s="10">
        <f t="shared" si="76"/>
        <v>4330</v>
      </c>
      <c r="M1025" s="1">
        <f t="shared" si="77"/>
        <v>1</v>
      </c>
      <c r="N1025" s="1">
        <f t="shared" si="78"/>
        <v>1</v>
      </c>
      <c r="O1025" s="1" t="str">
        <f>IF(I1025=0,"UNUSED",IF(A1025="","MISSING ID",IF(K1025=0,"UNEXPECTED ID",IF(N1025&lt;&gt;1,"ID / ORDER DIFFERENCE",IF('Source build'!U1025&lt;&gt;"INCLUDED","EXCLUDED SOURCE",IF(NOT(M1025),"INVALID AMOUNT",IF('Source build'!Y1025&lt;&gt;0,"CHANGED FIELDS","MATCH")))))))</f>
        <v>MATCH</v>
      </c>
      <c r="P1025" s="1" t="str">
        <f t="shared" si="79"/>
        <v>2026-02</v>
      </c>
    </row>
    <row r="1026" spans="1:16" ht="18.95" customHeight="1">
      <c r="A1026" s="7" t="s">
        <v>2741</v>
      </c>
      <c r="B1026" s="7" t="s">
        <v>2739</v>
      </c>
      <c r="C1026" s="7" t="s">
        <v>452</v>
      </c>
      <c r="D1026" s="7" t="s">
        <v>103</v>
      </c>
      <c r="E1026" s="7" t="s">
        <v>48</v>
      </c>
      <c r="F1026" s="7" t="s">
        <v>98</v>
      </c>
      <c r="G1026" s="7" t="s">
        <v>2742</v>
      </c>
      <c r="I1026" s="1">
        <f t="shared" si="75"/>
        <v>1</v>
      </c>
      <c r="J1026" s="1" t="str">
        <f>'Source build'!A1026</f>
        <v>L01020</v>
      </c>
      <c r="K1026" s="1">
        <f>1026</f>
        <v>1026</v>
      </c>
      <c r="L1026" s="10">
        <f t="shared" si="76"/>
        <v>8808</v>
      </c>
      <c r="M1026" s="1">
        <f t="shared" si="77"/>
        <v>1</v>
      </c>
      <c r="N1026" s="1">
        <f t="shared" si="78"/>
        <v>1</v>
      </c>
      <c r="O1026" s="1" t="str">
        <f>IF(I1026=0,"UNUSED",IF(A1026="","MISSING ID",IF(K1026=0,"UNEXPECTED ID",IF(N1026&lt;&gt;1,"ID / ORDER DIFFERENCE",IF('Source build'!U1026&lt;&gt;"INCLUDED","EXCLUDED SOURCE",IF(NOT(M1026),"INVALID AMOUNT",IF('Source build'!Y1026&lt;&gt;0,"CHANGED FIELDS","MATCH")))))))</f>
        <v>MATCH</v>
      </c>
      <c r="P1026" s="1" t="str">
        <f t="shared" si="79"/>
        <v>2026-02</v>
      </c>
    </row>
    <row r="1027" spans="1:16" ht="18.95" customHeight="1">
      <c r="A1027" s="7" t="s">
        <v>2743</v>
      </c>
      <c r="B1027" s="7" t="s">
        <v>2744</v>
      </c>
      <c r="C1027" s="7" t="s">
        <v>458</v>
      </c>
      <c r="D1027" s="7" t="s">
        <v>93</v>
      </c>
      <c r="E1027" s="7" t="s">
        <v>46</v>
      </c>
      <c r="F1027" s="7" t="s">
        <v>98</v>
      </c>
      <c r="G1027" s="7" t="s">
        <v>2745</v>
      </c>
      <c r="I1027" s="1">
        <f t="shared" si="75"/>
        <v>1</v>
      </c>
      <c r="J1027" s="1" t="str">
        <f>'Source build'!A1027</f>
        <v>L01021</v>
      </c>
      <c r="K1027" s="1">
        <f>1027</f>
        <v>1027</v>
      </c>
      <c r="L1027" s="10">
        <f t="shared" si="76"/>
        <v>2239</v>
      </c>
      <c r="M1027" s="1">
        <f t="shared" si="77"/>
        <v>1</v>
      </c>
      <c r="N1027" s="1">
        <f t="shared" si="78"/>
        <v>1</v>
      </c>
      <c r="O1027" s="1" t="str">
        <f>IF(I1027=0,"UNUSED",IF(A1027="","MISSING ID",IF(K1027=0,"UNEXPECTED ID",IF(N1027&lt;&gt;1,"ID / ORDER DIFFERENCE",IF('Source build'!U1027&lt;&gt;"INCLUDED","EXCLUDED SOURCE",IF(NOT(M1027),"INVALID AMOUNT",IF('Source build'!Y1027&lt;&gt;0,"CHANGED FIELDS","MATCH")))))))</f>
        <v>MATCH</v>
      </c>
      <c r="P1027" s="1" t="str">
        <f t="shared" si="79"/>
        <v>2026-03</v>
      </c>
    </row>
    <row r="1028" spans="1:16" ht="18.95" customHeight="1">
      <c r="A1028" s="7" t="s">
        <v>2746</v>
      </c>
      <c r="B1028" s="7" t="s">
        <v>2744</v>
      </c>
      <c r="C1028" s="7" t="s">
        <v>458</v>
      </c>
      <c r="D1028" s="7" t="s">
        <v>97</v>
      </c>
      <c r="E1028" s="7" t="s">
        <v>47</v>
      </c>
      <c r="F1028" s="7" t="s">
        <v>98</v>
      </c>
      <c r="G1028" s="7" t="s">
        <v>2747</v>
      </c>
      <c r="I1028" s="1">
        <f t="shared" si="75"/>
        <v>1</v>
      </c>
      <c r="J1028" s="1" t="str">
        <f>'Source build'!A1028</f>
        <v>L01022</v>
      </c>
      <c r="K1028" s="1">
        <f>1028</f>
        <v>1028</v>
      </c>
      <c r="L1028" s="10">
        <f t="shared" si="76"/>
        <v>6828</v>
      </c>
      <c r="M1028" s="1">
        <f t="shared" si="77"/>
        <v>1</v>
      </c>
      <c r="N1028" s="1">
        <f t="shared" si="78"/>
        <v>1</v>
      </c>
      <c r="O1028" s="1" t="str">
        <f>IF(I1028=0,"UNUSED",IF(A1028="","MISSING ID",IF(K1028=0,"UNEXPECTED ID",IF(N1028&lt;&gt;1,"ID / ORDER DIFFERENCE",IF('Source build'!U1028&lt;&gt;"INCLUDED","EXCLUDED SOURCE",IF(NOT(M1028),"INVALID AMOUNT",IF('Source build'!Y1028&lt;&gt;0,"CHANGED FIELDS","MATCH")))))))</f>
        <v>MATCH</v>
      </c>
      <c r="P1028" s="1" t="str">
        <f t="shared" si="79"/>
        <v>2026-03</v>
      </c>
    </row>
    <row r="1029" spans="1:16" ht="18.95" customHeight="1">
      <c r="A1029" s="7" t="s">
        <v>2748</v>
      </c>
      <c r="B1029" s="7" t="s">
        <v>2749</v>
      </c>
      <c r="C1029" s="7" t="s">
        <v>464</v>
      </c>
      <c r="D1029" s="7" t="s">
        <v>103</v>
      </c>
      <c r="E1029" s="7" t="s">
        <v>48</v>
      </c>
      <c r="F1029" s="7" t="s">
        <v>98</v>
      </c>
      <c r="G1029" s="7" t="s">
        <v>2750</v>
      </c>
      <c r="I1029" s="1">
        <f t="shared" si="75"/>
        <v>1</v>
      </c>
      <c r="J1029" s="1" t="str">
        <f>'Source build'!A1029</f>
        <v>L01023</v>
      </c>
      <c r="K1029" s="1">
        <f>1029</f>
        <v>1029</v>
      </c>
      <c r="L1029" s="10">
        <f t="shared" si="76"/>
        <v>11565</v>
      </c>
      <c r="M1029" s="1">
        <f t="shared" si="77"/>
        <v>1</v>
      </c>
      <c r="N1029" s="1">
        <f t="shared" si="78"/>
        <v>1</v>
      </c>
      <c r="O1029" s="1" t="str">
        <f>IF(I1029=0,"UNUSED",IF(A1029="","MISSING ID",IF(K1029=0,"UNEXPECTED ID",IF(N1029&lt;&gt;1,"ID / ORDER DIFFERENCE",IF('Source build'!U1029&lt;&gt;"INCLUDED","EXCLUDED SOURCE",IF(NOT(M1029),"INVALID AMOUNT",IF('Source build'!Y1029&lt;&gt;0,"CHANGED FIELDS","MATCH")))))))</f>
        <v>MATCH</v>
      </c>
      <c r="P1029" s="1" t="str">
        <f t="shared" si="79"/>
        <v>2026-03</v>
      </c>
    </row>
    <row r="1030" spans="1:16" ht="18.95" customHeight="1">
      <c r="A1030" s="7" t="s">
        <v>2751</v>
      </c>
      <c r="B1030" s="7" t="s">
        <v>2749</v>
      </c>
      <c r="C1030" s="7" t="s">
        <v>464</v>
      </c>
      <c r="D1030" s="7" t="s">
        <v>93</v>
      </c>
      <c r="E1030" s="7" t="s">
        <v>46</v>
      </c>
      <c r="F1030" s="7" t="s">
        <v>98</v>
      </c>
      <c r="G1030" s="7" t="s">
        <v>2752</v>
      </c>
      <c r="I1030" s="1">
        <f t="shared" si="75"/>
        <v>1</v>
      </c>
      <c r="J1030" s="1" t="str">
        <f>'Source build'!A1030</f>
        <v>L01024</v>
      </c>
      <c r="K1030" s="1">
        <f>1030</f>
        <v>1030</v>
      </c>
      <c r="L1030" s="10">
        <f t="shared" si="76"/>
        <v>4700</v>
      </c>
      <c r="M1030" s="1">
        <f t="shared" si="77"/>
        <v>1</v>
      </c>
      <c r="N1030" s="1">
        <f t="shared" si="78"/>
        <v>1</v>
      </c>
      <c r="O1030" s="1" t="str">
        <f>IF(I1030=0,"UNUSED",IF(A1030="","MISSING ID",IF(K1030=0,"UNEXPECTED ID",IF(N1030&lt;&gt;1,"ID / ORDER DIFFERENCE",IF('Source build'!U1030&lt;&gt;"INCLUDED","EXCLUDED SOURCE",IF(NOT(M1030),"INVALID AMOUNT",IF('Source build'!Y1030&lt;&gt;0,"CHANGED FIELDS","MATCH")))))))</f>
        <v>MATCH</v>
      </c>
      <c r="P1030" s="1" t="str">
        <f t="shared" si="79"/>
        <v>2026-03</v>
      </c>
    </row>
    <row r="1031" spans="1:16" ht="18.95" customHeight="1">
      <c r="A1031" s="7" t="s">
        <v>2753</v>
      </c>
      <c r="B1031" s="7" t="s">
        <v>2754</v>
      </c>
      <c r="C1031" s="7" t="s">
        <v>470</v>
      </c>
      <c r="D1031" s="7" t="s">
        <v>97</v>
      </c>
      <c r="E1031" s="7" t="s">
        <v>47</v>
      </c>
      <c r="F1031" s="7" t="s">
        <v>98</v>
      </c>
      <c r="G1031" s="7" t="s">
        <v>2755</v>
      </c>
      <c r="I1031" s="1">
        <f t="shared" ref="I1031:I1094" si="80">IF(AND(A1031="",B1031="",C1031="",D1031="",E1031="",F1031="",G1031=""),0,1)</f>
        <v>1</v>
      </c>
      <c r="J1031" s="1" t="str">
        <f>'Source build'!A1031</f>
        <v>L01025</v>
      </c>
      <c r="K1031" s="1">
        <f>1031</f>
        <v>1031</v>
      </c>
      <c r="L1031" s="10">
        <f t="shared" ref="L1031:L1094" si="81">IFERROR(IF(ABS(VALUE(G1031)*100-ROUND(VALUE(G1031)*100,0))&lt;0.0000001,ROUND(VALUE(G1031)*100,0),0),0)</f>
        <v>9548</v>
      </c>
      <c r="M1031" s="1">
        <f t="shared" ref="M1031:M1094" si="82">--IF(I1031=0,TRUE,IF(TRIM(G1031)="",FALSE,IFERROR(AND(ISNUMBER(VALUE(G1031)),ABS(VALUE(G1031)*100-ROUND(VALUE(G1031)*100,0))&lt;0.0000001,OR(ISNUMBER(G1031),EXACT(G1031,TEXT(VALUE(G1031),"0.00"))),OR(AND(EXACT(F1031,"sale"),VALUE(G1031)&gt;0),AND(EXACT(F1031,"refund"),VALUE(G1031)&lt;0))),FALSE)))</f>
        <v>1</v>
      </c>
      <c r="N1031" s="1">
        <f t="shared" ref="N1031:N1094" si="83">IF(I1031=1,IF(EXACT(A1031,J1031),1,0),0)</f>
        <v>1</v>
      </c>
      <c r="O1031" s="1" t="str">
        <f>IF(I1031=0,"UNUSED",IF(A1031="","MISSING ID",IF(K1031=0,"UNEXPECTED ID",IF(N1031&lt;&gt;1,"ID / ORDER DIFFERENCE",IF('Source build'!U1031&lt;&gt;"INCLUDED","EXCLUDED SOURCE",IF(NOT(M1031),"INVALID AMOUNT",IF('Source build'!Y1031&lt;&gt;0,"CHANGED FIELDS","MATCH")))))))</f>
        <v>MATCH</v>
      </c>
      <c r="P1031" s="1" t="str">
        <f t="shared" ref="P1031:P1094" si="84">IF(I1031=1,LEFT(C1031,7),"")</f>
        <v>2026-03</v>
      </c>
    </row>
    <row r="1032" spans="1:16" ht="18.95" customHeight="1">
      <c r="A1032" s="7" t="s">
        <v>2756</v>
      </c>
      <c r="B1032" s="7" t="s">
        <v>2754</v>
      </c>
      <c r="C1032" s="7" t="s">
        <v>470</v>
      </c>
      <c r="D1032" s="7" t="s">
        <v>103</v>
      </c>
      <c r="E1032" s="7" t="s">
        <v>48</v>
      </c>
      <c r="F1032" s="7" t="s">
        <v>98</v>
      </c>
      <c r="G1032" s="7" t="s">
        <v>2757</v>
      </c>
      <c r="I1032" s="1">
        <f t="shared" si="80"/>
        <v>1</v>
      </c>
      <c r="J1032" s="1" t="str">
        <f>'Source build'!A1032</f>
        <v>L01026</v>
      </c>
      <c r="K1032" s="1">
        <f>1032</f>
        <v>1032</v>
      </c>
      <c r="L1032" s="10">
        <f t="shared" si="81"/>
        <v>2424</v>
      </c>
      <c r="M1032" s="1">
        <f t="shared" si="82"/>
        <v>1</v>
      </c>
      <c r="N1032" s="1">
        <f t="shared" si="83"/>
        <v>1</v>
      </c>
      <c r="O1032" s="1" t="str">
        <f>IF(I1032=0,"UNUSED",IF(A1032="","MISSING ID",IF(K1032=0,"UNEXPECTED ID",IF(N1032&lt;&gt;1,"ID / ORDER DIFFERENCE",IF('Source build'!U1032&lt;&gt;"INCLUDED","EXCLUDED SOURCE",IF(NOT(M1032),"INVALID AMOUNT",IF('Source build'!Y1032&lt;&gt;0,"CHANGED FIELDS","MATCH")))))))</f>
        <v>MATCH</v>
      </c>
      <c r="P1032" s="1" t="str">
        <f t="shared" si="84"/>
        <v>2026-03</v>
      </c>
    </row>
    <row r="1033" spans="1:16" ht="18.95" customHeight="1">
      <c r="A1033" s="7" t="s">
        <v>2758</v>
      </c>
      <c r="B1033" s="7" t="s">
        <v>2759</v>
      </c>
      <c r="C1033" s="7" t="s">
        <v>476</v>
      </c>
      <c r="D1033" s="7" t="s">
        <v>93</v>
      </c>
      <c r="E1033" s="7" t="s">
        <v>46</v>
      </c>
      <c r="F1033" s="7" t="s">
        <v>98</v>
      </c>
      <c r="G1033" s="7" t="s">
        <v>2760</v>
      </c>
      <c r="I1033" s="1">
        <f t="shared" si="80"/>
        <v>1</v>
      </c>
      <c r="J1033" s="1" t="str">
        <f>'Source build'!A1033</f>
        <v>L01027</v>
      </c>
      <c r="K1033" s="1">
        <f>1033</f>
        <v>1033</v>
      </c>
      <c r="L1033" s="10">
        <f t="shared" si="81"/>
        <v>7383</v>
      </c>
      <c r="M1033" s="1">
        <f t="shared" si="82"/>
        <v>1</v>
      </c>
      <c r="N1033" s="1">
        <f t="shared" si="83"/>
        <v>1</v>
      </c>
      <c r="O1033" s="1" t="str">
        <f>IF(I1033=0,"UNUSED",IF(A1033="","MISSING ID",IF(K1033=0,"UNEXPECTED ID",IF(N1033&lt;&gt;1,"ID / ORDER DIFFERENCE",IF('Source build'!U1033&lt;&gt;"INCLUDED","EXCLUDED SOURCE",IF(NOT(M1033),"INVALID AMOUNT",IF('Source build'!Y1033&lt;&gt;0,"CHANGED FIELDS","MATCH")))))))</f>
        <v>MATCH</v>
      </c>
      <c r="P1033" s="1" t="str">
        <f t="shared" si="84"/>
        <v>2026-03</v>
      </c>
    </row>
    <row r="1034" spans="1:16" ht="18.95" customHeight="1">
      <c r="A1034" s="7" t="s">
        <v>2761</v>
      </c>
      <c r="B1034" s="7" t="s">
        <v>2759</v>
      </c>
      <c r="C1034" s="7" t="s">
        <v>476</v>
      </c>
      <c r="D1034" s="7" t="s">
        <v>97</v>
      </c>
      <c r="E1034" s="7" t="s">
        <v>47</v>
      </c>
      <c r="F1034" s="7" t="s">
        <v>98</v>
      </c>
      <c r="G1034" s="7" t="s">
        <v>2762</v>
      </c>
      <c r="I1034" s="1">
        <f t="shared" si="80"/>
        <v>1</v>
      </c>
      <c r="J1034" s="1" t="str">
        <f>'Source build'!A1034</f>
        <v>L01028</v>
      </c>
      <c r="K1034" s="1">
        <f>1034</f>
        <v>1034</v>
      </c>
      <c r="L1034" s="10">
        <f t="shared" si="81"/>
        <v>12490</v>
      </c>
      <c r="M1034" s="1">
        <f t="shared" si="82"/>
        <v>1</v>
      </c>
      <c r="N1034" s="1">
        <f t="shared" si="83"/>
        <v>1</v>
      </c>
      <c r="O1034" s="1" t="str">
        <f>IF(I1034=0,"UNUSED",IF(A1034="","MISSING ID",IF(K1034=0,"UNEXPECTED ID",IF(N1034&lt;&gt;1,"ID / ORDER DIFFERENCE",IF('Source build'!U1034&lt;&gt;"INCLUDED","EXCLUDED SOURCE",IF(NOT(M1034),"INVALID AMOUNT",IF('Source build'!Y1034&lt;&gt;0,"CHANGED FIELDS","MATCH")))))))</f>
        <v>MATCH</v>
      </c>
      <c r="P1034" s="1" t="str">
        <f t="shared" si="84"/>
        <v>2026-03</v>
      </c>
    </row>
    <row r="1035" spans="1:16" ht="18.95" customHeight="1">
      <c r="A1035" s="7" t="s">
        <v>2763</v>
      </c>
      <c r="B1035" s="7" t="s">
        <v>2764</v>
      </c>
      <c r="C1035" s="7" t="s">
        <v>482</v>
      </c>
      <c r="D1035" s="7" t="s">
        <v>103</v>
      </c>
      <c r="E1035" s="7" t="s">
        <v>48</v>
      </c>
      <c r="F1035" s="7" t="s">
        <v>98</v>
      </c>
      <c r="G1035" s="7" t="s">
        <v>2765</v>
      </c>
      <c r="I1035" s="1">
        <f t="shared" si="80"/>
        <v>1</v>
      </c>
      <c r="J1035" s="1" t="str">
        <f>'Source build'!A1035</f>
        <v>L01029</v>
      </c>
      <c r="K1035" s="1">
        <f>1035</f>
        <v>1035</v>
      </c>
      <c r="L1035" s="10">
        <f t="shared" si="81"/>
        <v>5070</v>
      </c>
      <c r="M1035" s="1">
        <f t="shared" si="82"/>
        <v>1</v>
      </c>
      <c r="N1035" s="1">
        <f t="shared" si="83"/>
        <v>1</v>
      </c>
      <c r="O1035" s="1" t="str">
        <f>IF(I1035=0,"UNUSED",IF(A1035="","MISSING ID",IF(K1035=0,"UNEXPECTED ID",IF(N1035&lt;&gt;1,"ID / ORDER DIFFERENCE",IF('Source build'!U1035&lt;&gt;"INCLUDED","EXCLUDED SOURCE",IF(NOT(M1035),"INVALID AMOUNT",IF('Source build'!Y1035&lt;&gt;0,"CHANGED FIELDS","MATCH")))))))</f>
        <v>MATCH</v>
      </c>
      <c r="P1035" s="1" t="str">
        <f t="shared" si="84"/>
        <v>2026-03</v>
      </c>
    </row>
    <row r="1036" spans="1:16" ht="18.95" customHeight="1">
      <c r="A1036" s="7" t="s">
        <v>2766</v>
      </c>
      <c r="B1036" s="7" t="s">
        <v>2764</v>
      </c>
      <c r="C1036" s="7" t="s">
        <v>482</v>
      </c>
      <c r="D1036" s="7" t="s">
        <v>93</v>
      </c>
      <c r="E1036" s="7" t="s">
        <v>46</v>
      </c>
      <c r="F1036" s="7" t="s">
        <v>98</v>
      </c>
      <c r="G1036" s="7" t="s">
        <v>2767</v>
      </c>
      <c r="I1036" s="1">
        <f t="shared" si="80"/>
        <v>1</v>
      </c>
      <c r="J1036" s="1" t="str">
        <f>'Source build'!A1036</f>
        <v>L01030</v>
      </c>
      <c r="K1036" s="1">
        <f>1036</f>
        <v>1036</v>
      </c>
      <c r="L1036" s="10">
        <f t="shared" si="81"/>
        <v>10288</v>
      </c>
      <c r="M1036" s="1">
        <f t="shared" si="82"/>
        <v>1</v>
      </c>
      <c r="N1036" s="1">
        <f t="shared" si="83"/>
        <v>1</v>
      </c>
      <c r="O1036" s="1" t="str">
        <f>IF(I1036=0,"UNUSED",IF(A1036="","MISSING ID",IF(K1036=0,"UNEXPECTED ID",IF(N1036&lt;&gt;1,"ID / ORDER DIFFERENCE",IF('Source build'!U1036&lt;&gt;"INCLUDED","EXCLUDED SOURCE",IF(NOT(M1036),"INVALID AMOUNT",IF('Source build'!Y1036&lt;&gt;0,"CHANGED FIELDS","MATCH")))))))</f>
        <v>MATCH</v>
      </c>
      <c r="P1036" s="1" t="str">
        <f t="shared" si="84"/>
        <v>2026-03</v>
      </c>
    </row>
    <row r="1037" spans="1:16" ht="18.95" customHeight="1">
      <c r="A1037" s="7" t="s">
        <v>2768</v>
      </c>
      <c r="B1037" s="7" t="s">
        <v>2769</v>
      </c>
      <c r="C1037" s="7" t="s">
        <v>488</v>
      </c>
      <c r="D1037" s="7" t="s">
        <v>97</v>
      </c>
      <c r="E1037" s="7" t="s">
        <v>47</v>
      </c>
      <c r="F1037" s="7" t="s">
        <v>98</v>
      </c>
      <c r="G1037" s="7" t="s">
        <v>2770</v>
      </c>
      <c r="I1037" s="1">
        <f t="shared" si="80"/>
        <v>1</v>
      </c>
      <c r="J1037" s="1" t="str">
        <f>'Source build'!A1037</f>
        <v>L01031</v>
      </c>
      <c r="K1037" s="1">
        <f>1037</f>
        <v>1037</v>
      </c>
      <c r="L1037" s="10">
        <f t="shared" si="81"/>
        <v>2609</v>
      </c>
      <c r="M1037" s="1">
        <f t="shared" si="82"/>
        <v>1</v>
      </c>
      <c r="N1037" s="1">
        <f t="shared" si="83"/>
        <v>1</v>
      </c>
      <c r="O1037" s="1" t="str">
        <f>IF(I1037=0,"UNUSED",IF(A1037="","MISSING ID",IF(K1037=0,"UNEXPECTED ID",IF(N1037&lt;&gt;1,"ID / ORDER DIFFERENCE",IF('Source build'!U1037&lt;&gt;"INCLUDED","EXCLUDED SOURCE",IF(NOT(M1037),"INVALID AMOUNT",IF('Source build'!Y1037&lt;&gt;0,"CHANGED FIELDS","MATCH")))))))</f>
        <v>MATCH</v>
      </c>
      <c r="P1037" s="1" t="str">
        <f t="shared" si="84"/>
        <v>2026-01</v>
      </c>
    </row>
    <row r="1038" spans="1:16" ht="18.95" customHeight="1">
      <c r="A1038" s="7" t="s">
        <v>2771</v>
      </c>
      <c r="B1038" s="7" t="s">
        <v>2769</v>
      </c>
      <c r="C1038" s="7" t="s">
        <v>488</v>
      </c>
      <c r="D1038" s="7" t="s">
        <v>103</v>
      </c>
      <c r="E1038" s="7" t="s">
        <v>48</v>
      </c>
      <c r="F1038" s="7" t="s">
        <v>98</v>
      </c>
      <c r="G1038" s="7" t="s">
        <v>2772</v>
      </c>
      <c r="I1038" s="1">
        <f t="shared" si="80"/>
        <v>1</v>
      </c>
      <c r="J1038" s="1" t="str">
        <f>'Source build'!A1038</f>
        <v>L01032</v>
      </c>
      <c r="K1038" s="1">
        <f>1038</f>
        <v>1038</v>
      </c>
      <c r="L1038" s="10">
        <f t="shared" si="81"/>
        <v>7938</v>
      </c>
      <c r="M1038" s="1">
        <f t="shared" si="82"/>
        <v>1</v>
      </c>
      <c r="N1038" s="1">
        <f t="shared" si="83"/>
        <v>1</v>
      </c>
      <c r="O1038" s="1" t="str">
        <f>IF(I1038=0,"UNUSED",IF(A1038="","MISSING ID",IF(K1038=0,"UNEXPECTED ID",IF(N1038&lt;&gt;1,"ID / ORDER DIFFERENCE",IF('Source build'!U1038&lt;&gt;"INCLUDED","EXCLUDED SOURCE",IF(NOT(M1038),"INVALID AMOUNT",IF('Source build'!Y1038&lt;&gt;0,"CHANGED FIELDS","MATCH")))))))</f>
        <v>MATCH</v>
      </c>
      <c r="P1038" s="1" t="str">
        <f t="shared" si="84"/>
        <v>2026-01</v>
      </c>
    </row>
    <row r="1039" spans="1:16" ht="18.95" customHeight="1">
      <c r="A1039" s="7" t="s">
        <v>2773</v>
      </c>
      <c r="B1039" s="7" t="s">
        <v>2774</v>
      </c>
      <c r="C1039" s="7" t="s">
        <v>494</v>
      </c>
      <c r="D1039" s="7" t="s">
        <v>93</v>
      </c>
      <c r="E1039" s="7" t="s">
        <v>46</v>
      </c>
      <c r="F1039" s="7" t="s">
        <v>98</v>
      </c>
      <c r="G1039" s="7" t="s">
        <v>2775</v>
      </c>
      <c r="I1039" s="1">
        <f t="shared" si="80"/>
        <v>1</v>
      </c>
      <c r="J1039" s="1" t="str">
        <f>'Source build'!A1039</f>
        <v>L01033</v>
      </c>
      <c r="K1039" s="1">
        <f>1039</f>
        <v>1039</v>
      </c>
      <c r="L1039" s="10">
        <f t="shared" si="81"/>
        <v>13415</v>
      </c>
      <c r="M1039" s="1">
        <f t="shared" si="82"/>
        <v>1</v>
      </c>
      <c r="N1039" s="1">
        <f t="shared" si="83"/>
        <v>1</v>
      </c>
      <c r="O1039" s="1" t="str">
        <f>IF(I1039=0,"UNUSED",IF(A1039="","MISSING ID",IF(K1039=0,"UNEXPECTED ID",IF(N1039&lt;&gt;1,"ID / ORDER DIFFERENCE",IF('Source build'!U1039&lt;&gt;"INCLUDED","EXCLUDED SOURCE",IF(NOT(M1039),"INVALID AMOUNT",IF('Source build'!Y1039&lt;&gt;0,"CHANGED FIELDS","MATCH")))))))</f>
        <v>MATCH</v>
      </c>
      <c r="P1039" s="1" t="str">
        <f t="shared" si="84"/>
        <v>2026-01</v>
      </c>
    </row>
    <row r="1040" spans="1:16" ht="18.95" customHeight="1">
      <c r="A1040" s="7" t="s">
        <v>2776</v>
      </c>
      <c r="B1040" s="7" t="s">
        <v>2774</v>
      </c>
      <c r="C1040" s="7" t="s">
        <v>494</v>
      </c>
      <c r="D1040" s="7" t="s">
        <v>97</v>
      </c>
      <c r="E1040" s="7" t="s">
        <v>47</v>
      </c>
      <c r="F1040" s="7" t="s">
        <v>98</v>
      </c>
      <c r="G1040" s="7" t="s">
        <v>2777</v>
      </c>
      <c r="I1040" s="1">
        <f t="shared" si="80"/>
        <v>1</v>
      </c>
      <c r="J1040" s="1" t="str">
        <f>'Source build'!A1040</f>
        <v>L01034</v>
      </c>
      <c r="K1040" s="1">
        <f>1040</f>
        <v>1040</v>
      </c>
      <c r="L1040" s="10">
        <f t="shared" si="81"/>
        <v>5440</v>
      </c>
      <c r="M1040" s="1">
        <f t="shared" si="82"/>
        <v>1</v>
      </c>
      <c r="N1040" s="1">
        <f t="shared" si="83"/>
        <v>1</v>
      </c>
      <c r="O1040" s="1" t="str">
        <f>IF(I1040=0,"UNUSED",IF(A1040="","MISSING ID",IF(K1040=0,"UNEXPECTED ID",IF(N1040&lt;&gt;1,"ID / ORDER DIFFERENCE",IF('Source build'!U1040&lt;&gt;"INCLUDED","EXCLUDED SOURCE",IF(NOT(M1040),"INVALID AMOUNT",IF('Source build'!Y1040&lt;&gt;0,"CHANGED FIELDS","MATCH")))))))</f>
        <v>MATCH</v>
      </c>
      <c r="P1040" s="1" t="str">
        <f t="shared" si="84"/>
        <v>2026-01</v>
      </c>
    </row>
    <row r="1041" spans="1:16" ht="18.95" customHeight="1">
      <c r="A1041" s="7" t="s">
        <v>2778</v>
      </c>
      <c r="B1041" s="7" t="s">
        <v>2779</v>
      </c>
      <c r="C1041" s="7" t="s">
        <v>500</v>
      </c>
      <c r="D1041" s="7" t="s">
        <v>103</v>
      </c>
      <c r="E1041" s="7" t="s">
        <v>48</v>
      </c>
      <c r="F1041" s="7" t="s">
        <v>98</v>
      </c>
      <c r="G1041" s="7" t="s">
        <v>2780</v>
      </c>
      <c r="I1041" s="1">
        <f t="shared" si="80"/>
        <v>1</v>
      </c>
      <c r="J1041" s="1" t="str">
        <f>'Source build'!A1041</f>
        <v>L01035</v>
      </c>
      <c r="K1041" s="1">
        <f>1041</f>
        <v>1041</v>
      </c>
      <c r="L1041" s="10">
        <f t="shared" si="81"/>
        <v>11028</v>
      </c>
      <c r="M1041" s="1">
        <f t="shared" si="82"/>
        <v>1</v>
      </c>
      <c r="N1041" s="1">
        <f t="shared" si="83"/>
        <v>1</v>
      </c>
      <c r="O1041" s="1" t="str">
        <f>IF(I1041=0,"UNUSED",IF(A1041="","MISSING ID",IF(K1041=0,"UNEXPECTED ID",IF(N1041&lt;&gt;1,"ID / ORDER DIFFERENCE",IF('Source build'!U1041&lt;&gt;"INCLUDED","EXCLUDED SOURCE",IF(NOT(M1041),"INVALID AMOUNT",IF('Source build'!Y1041&lt;&gt;0,"CHANGED FIELDS","MATCH")))))))</f>
        <v>MATCH</v>
      </c>
      <c r="P1041" s="1" t="str">
        <f t="shared" si="84"/>
        <v>2026-01</v>
      </c>
    </row>
    <row r="1042" spans="1:16" ht="18.95" customHeight="1">
      <c r="A1042" s="7" t="s">
        <v>2781</v>
      </c>
      <c r="B1042" s="7" t="s">
        <v>2779</v>
      </c>
      <c r="C1042" s="7" t="s">
        <v>500</v>
      </c>
      <c r="D1042" s="7" t="s">
        <v>93</v>
      </c>
      <c r="E1042" s="7" t="s">
        <v>46</v>
      </c>
      <c r="F1042" s="7" t="s">
        <v>94</v>
      </c>
      <c r="G1042" s="7" t="s">
        <v>2782</v>
      </c>
      <c r="I1042" s="1">
        <f t="shared" si="80"/>
        <v>1</v>
      </c>
      <c r="J1042" s="1" t="str">
        <f>'Source build'!A1042</f>
        <v>L01036</v>
      </c>
      <c r="K1042" s="1">
        <f>1042</f>
        <v>1042</v>
      </c>
      <c r="L1042" s="10">
        <f t="shared" si="81"/>
        <v>-2794</v>
      </c>
      <c r="M1042" s="1">
        <f t="shared" si="82"/>
        <v>1</v>
      </c>
      <c r="N1042" s="1">
        <f t="shared" si="83"/>
        <v>1</v>
      </c>
      <c r="O1042" s="1" t="str">
        <f>IF(I1042=0,"UNUSED",IF(A1042="","MISSING ID",IF(K1042=0,"UNEXPECTED ID",IF(N1042&lt;&gt;1,"ID / ORDER DIFFERENCE",IF('Source build'!U1042&lt;&gt;"INCLUDED","EXCLUDED SOURCE",IF(NOT(M1042),"INVALID AMOUNT",IF('Source build'!Y1042&lt;&gt;0,"CHANGED FIELDS","MATCH")))))))</f>
        <v>MATCH</v>
      </c>
      <c r="P1042" s="1" t="str">
        <f t="shared" si="84"/>
        <v>2026-01</v>
      </c>
    </row>
    <row r="1043" spans="1:16" ht="18.95" customHeight="1">
      <c r="A1043" s="7" t="s">
        <v>2783</v>
      </c>
      <c r="B1043" s="7" t="s">
        <v>2784</v>
      </c>
      <c r="C1043" s="7" t="s">
        <v>506</v>
      </c>
      <c r="D1043" s="7" t="s">
        <v>97</v>
      </c>
      <c r="E1043" s="7" t="s">
        <v>47</v>
      </c>
      <c r="F1043" s="7" t="s">
        <v>98</v>
      </c>
      <c r="G1043" s="7" t="s">
        <v>2785</v>
      </c>
      <c r="I1043" s="1">
        <f t="shared" si="80"/>
        <v>1</v>
      </c>
      <c r="J1043" s="1" t="str">
        <f>'Source build'!A1043</f>
        <v>L01037</v>
      </c>
      <c r="K1043" s="1">
        <f>1043</f>
        <v>1043</v>
      </c>
      <c r="L1043" s="10">
        <f t="shared" si="81"/>
        <v>8493</v>
      </c>
      <c r="M1043" s="1">
        <f t="shared" si="82"/>
        <v>1</v>
      </c>
      <c r="N1043" s="1">
        <f t="shared" si="83"/>
        <v>1</v>
      </c>
      <c r="O1043" s="1" t="str">
        <f>IF(I1043=0,"UNUSED",IF(A1043="","MISSING ID",IF(K1043=0,"UNEXPECTED ID",IF(N1043&lt;&gt;1,"ID / ORDER DIFFERENCE",IF('Source build'!U1043&lt;&gt;"INCLUDED","EXCLUDED SOURCE",IF(NOT(M1043),"INVALID AMOUNT",IF('Source build'!Y1043&lt;&gt;0,"CHANGED FIELDS","MATCH")))))))</f>
        <v>MATCH</v>
      </c>
      <c r="P1043" s="1" t="str">
        <f t="shared" si="84"/>
        <v>2026-01</v>
      </c>
    </row>
    <row r="1044" spans="1:16" ht="18.95" customHeight="1">
      <c r="A1044" s="7" t="s">
        <v>2786</v>
      </c>
      <c r="B1044" s="7" t="s">
        <v>2784</v>
      </c>
      <c r="C1044" s="7" t="s">
        <v>506</v>
      </c>
      <c r="D1044" s="7" t="s">
        <v>103</v>
      </c>
      <c r="E1044" s="7" t="s">
        <v>48</v>
      </c>
      <c r="F1044" s="7" t="s">
        <v>98</v>
      </c>
      <c r="G1044" s="7" t="s">
        <v>2787</v>
      </c>
      <c r="I1044" s="1">
        <f t="shared" si="80"/>
        <v>1</v>
      </c>
      <c r="J1044" s="1" t="str">
        <f>'Source build'!A1044</f>
        <v>L01038</v>
      </c>
      <c r="K1044" s="1">
        <f>1044</f>
        <v>1044</v>
      </c>
      <c r="L1044" s="10">
        <f t="shared" si="81"/>
        <v>14340</v>
      </c>
      <c r="M1044" s="1">
        <f t="shared" si="82"/>
        <v>1</v>
      </c>
      <c r="N1044" s="1">
        <f t="shared" si="83"/>
        <v>1</v>
      </c>
      <c r="O1044" s="1" t="str">
        <f>IF(I1044=0,"UNUSED",IF(A1044="","MISSING ID",IF(K1044=0,"UNEXPECTED ID",IF(N1044&lt;&gt;1,"ID / ORDER DIFFERENCE",IF('Source build'!U1044&lt;&gt;"INCLUDED","EXCLUDED SOURCE",IF(NOT(M1044),"INVALID AMOUNT",IF('Source build'!Y1044&lt;&gt;0,"CHANGED FIELDS","MATCH")))))))</f>
        <v>MATCH</v>
      </c>
      <c r="P1044" s="1" t="str">
        <f t="shared" si="84"/>
        <v>2026-01</v>
      </c>
    </row>
    <row r="1045" spans="1:16" ht="18.95" customHeight="1">
      <c r="A1045" s="7" t="s">
        <v>2788</v>
      </c>
      <c r="B1045" s="7" t="s">
        <v>2789</v>
      </c>
      <c r="C1045" s="7" t="s">
        <v>512</v>
      </c>
      <c r="D1045" s="7" t="s">
        <v>93</v>
      </c>
      <c r="E1045" s="7" t="s">
        <v>46</v>
      </c>
      <c r="F1045" s="7" t="s">
        <v>98</v>
      </c>
      <c r="G1045" s="7" t="s">
        <v>2790</v>
      </c>
      <c r="I1045" s="1">
        <f t="shared" si="80"/>
        <v>1</v>
      </c>
      <c r="J1045" s="1" t="str">
        <f>'Source build'!A1045</f>
        <v>L01039</v>
      </c>
      <c r="K1045" s="1">
        <f>1045</f>
        <v>1045</v>
      </c>
      <c r="L1045" s="10">
        <f t="shared" si="81"/>
        <v>5810</v>
      </c>
      <c r="M1045" s="1">
        <f t="shared" si="82"/>
        <v>1</v>
      </c>
      <c r="N1045" s="1">
        <f t="shared" si="83"/>
        <v>1</v>
      </c>
      <c r="O1045" s="1" t="str">
        <f>IF(I1045=0,"UNUSED",IF(A1045="","MISSING ID",IF(K1045=0,"UNEXPECTED ID",IF(N1045&lt;&gt;1,"ID / ORDER DIFFERENCE",IF('Source build'!U1045&lt;&gt;"INCLUDED","EXCLUDED SOURCE",IF(NOT(M1045),"INVALID AMOUNT",IF('Source build'!Y1045&lt;&gt;0,"CHANGED FIELDS","MATCH")))))))</f>
        <v>MATCH</v>
      </c>
      <c r="P1045" s="1" t="str">
        <f t="shared" si="84"/>
        <v>2026-02</v>
      </c>
    </row>
    <row r="1046" spans="1:16" ht="18.95" customHeight="1">
      <c r="A1046" s="7" t="s">
        <v>2791</v>
      </c>
      <c r="B1046" s="7" t="s">
        <v>2789</v>
      </c>
      <c r="C1046" s="7" t="s">
        <v>512</v>
      </c>
      <c r="D1046" s="7" t="s">
        <v>97</v>
      </c>
      <c r="E1046" s="7" t="s">
        <v>47</v>
      </c>
      <c r="F1046" s="7" t="s">
        <v>98</v>
      </c>
      <c r="G1046" s="7" t="s">
        <v>2792</v>
      </c>
      <c r="I1046" s="1">
        <f t="shared" si="80"/>
        <v>1</v>
      </c>
      <c r="J1046" s="1" t="str">
        <f>'Source build'!A1046</f>
        <v>L01040</v>
      </c>
      <c r="K1046" s="1">
        <f>1046</f>
        <v>1046</v>
      </c>
      <c r="L1046" s="10">
        <f t="shared" si="81"/>
        <v>11768</v>
      </c>
      <c r="M1046" s="1">
        <f t="shared" si="82"/>
        <v>1</v>
      </c>
      <c r="N1046" s="1">
        <f t="shared" si="83"/>
        <v>1</v>
      </c>
      <c r="O1046" s="1" t="str">
        <f>IF(I1046=0,"UNUSED",IF(A1046="","MISSING ID",IF(K1046=0,"UNEXPECTED ID",IF(N1046&lt;&gt;1,"ID / ORDER DIFFERENCE",IF('Source build'!U1046&lt;&gt;"INCLUDED","EXCLUDED SOURCE",IF(NOT(M1046),"INVALID AMOUNT",IF('Source build'!Y1046&lt;&gt;0,"CHANGED FIELDS","MATCH")))))))</f>
        <v>MATCH</v>
      </c>
      <c r="P1046" s="1" t="str">
        <f t="shared" si="84"/>
        <v>2026-02</v>
      </c>
    </row>
    <row r="1047" spans="1:16" ht="18.95" customHeight="1">
      <c r="A1047" s="7" t="s">
        <v>2793</v>
      </c>
      <c r="B1047" s="7" t="s">
        <v>2794</v>
      </c>
      <c r="C1047" s="7" t="s">
        <v>518</v>
      </c>
      <c r="D1047" s="7" t="s">
        <v>103</v>
      </c>
      <c r="E1047" s="7" t="s">
        <v>48</v>
      </c>
      <c r="F1047" s="7" t="s">
        <v>98</v>
      </c>
      <c r="G1047" s="7" t="s">
        <v>2795</v>
      </c>
      <c r="I1047" s="1">
        <f t="shared" si="80"/>
        <v>1</v>
      </c>
      <c r="J1047" s="1" t="str">
        <f>'Source build'!A1047</f>
        <v>L01041</v>
      </c>
      <c r="K1047" s="1">
        <f>1047</f>
        <v>1047</v>
      </c>
      <c r="L1047" s="10">
        <f t="shared" si="81"/>
        <v>2979</v>
      </c>
      <c r="M1047" s="1">
        <f t="shared" si="82"/>
        <v>1</v>
      </c>
      <c r="N1047" s="1">
        <f t="shared" si="83"/>
        <v>1</v>
      </c>
      <c r="O1047" s="1" t="str">
        <f>IF(I1047=0,"UNUSED",IF(A1047="","MISSING ID",IF(K1047=0,"UNEXPECTED ID",IF(N1047&lt;&gt;1,"ID / ORDER DIFFERENCE",IF('Source build'!U1047&lt;&gt;"INCLUDED","EXCLUDED SOURCE",IF(NOT(M1047),"INVALID AMOUNT",IF('Source build'!Y1047&lt;&gt;0,"CHANGED FIELDS","MATCH")))))))</f>
        <v>MATCH</v>
      </c>
      <c r="P1047" s="1" t="str">
        <f t="shared" si="84"/>
        <v>2026-02</v>
      </c>
    </row>
    <row r="1048" spans="1:16" ht="18.95" customHeight="1">
      <c r="A1048" s="7" t="s">
        <v>2796</v>
      </c>
      <c r="B1048" s="7" t="s">
        <v>2794</v>
      </c>
      <c r="C1048" s="7" t="s">
        <v>518</v>
      </c>
      <c r="D1048" s="7" t="s">
        <v>93</v>
      </c>
      <c r="E1048" s="7" t="s">
        <v>46</v>
      </c>
      <c r="F1048" s="7" t="s">
        <v>98</v>
      </c>
      <c r="G1048" s="7" t="s">
        <v>2797</v>
      </c>
      <c r="I1048" s="1">
        <f t="shared" si="80"/>
        <v>1</v>
      </c>
      <c r="J1048" s="1" t="str">
        <f>'Source build'!A1048</f>
        <v>L01042</v>
      </c>
      <c r="K1048" s="1">
        <f>1048</f>
        <v>1048</v>
      </c>
      <c r="L1048" s="10">
        <f t="shared" si="81"/>
        <v>9048</v>
      </c>
      <c r="M1048" s="1">
        <f t="shared" si="82"/>
        <v>1</v>
      </c>
      <c r="N1048" s="1">
        <f t="shared" si="83"/>
        <v>1</v>
      </c>
      <c r="O1048" s="1" t="str">
        <f>IF(I1048=0,"UNUSED",IF(A1048="","MISSING ID",IF(K1048=0,"UNEXPECTED ID",IF(N1048&lt;&gt;1,"ID / ORDER DIFFERENCE",IF('Source build'!U1048&lt;&gt;"INCLUDED","EXCLUDED SOURCE",IF(NOT(M1048),"INVALID AMOUNT",IF('Source build'!Y1048&lt;&gt;0,"CHANGED FIELDS","MATCH")))))))</f>
        <v>MATCH</v>
      </c>
      <c r="P1048" s="1" t="str">
        <f t="shared" si="84"/>
        <v>2026-02</v>
      </c>
    </row>
    <row r="1049" spans="1:16" ht="18.95" customHeight="1">
      <c r="A1049" s="7" t="s">
        <v>2798</v>
      </c>
      <c r="B1049" s="7" t="s">
        <v>2799</v>
      </c>
      <c r="C1049" s="7" t="s">
        <v>524</v>
      </c>
      <c r="D1049" s="7" t="s">
        <v>97</v>
      </c>
      <c r="E1049" s="7" t="s">
        <v>47</v>
      </c>
      <c r="F1049" s="7" t="s">
        <v>98</v>
      </c>
      <c r="G1049" s="7" t="s">
        <v>2800</v>
      </c>
      <c r="I1049" s="1">
        <f t="shared" si="80"/>
        <v>1</v>
      </c>
      <c r="J1049" s="1" t="str">
        <f>'Source build'!A1049</f>
        <v>L01043</v>
      </c>
      <c r="K1049" s="1">
        <f>1049</f>
        <v>1049</v>
      </c>
      <c r="L1049" s="10">
        <f t="shared" si="81"/>
        <v>15265</v>
      </c>
      <c r="M1049" s="1">
        <f t="shared" si="82"/>
        <v>1</v>
      </c>
      <c r="N1049" s="1">
        <f t="shared" si="83"/>
        <v>1</v>
      </c>
      <c r="O1049" s="1" t="str">
        <f>IF(I1049=0,"UNUSED",IF(A1049="","MISSING ID",IF(K1049=0,"UNEXPECTED ID",IF(N1049&lt;&gt;1,"ID / ORDER DIFFERENCE",IF('Source build'!U1049&lt;&gt;"INCLUDED","EXCLUDED SOURCE",IF(NOT(M1049),"INVALID AMOUNT",IF('Source build'!Y1049&lt;&gt;0,"CHANGED FIELDS","MATCH")))))))</f>
        <v>MATCH</v>
      </c>
      <c r="P1049" s="1" t="str">
        <f t="shared" si="84"/>
        <v>2026-02</v>
      </c>
    </row>
    <row r="1050" spans="1:16" ht="18.95" customHeight="1">
      <c r="A1050" s="7" t="s">
        <v>2801</v>
      </c>
      <c r="B1050" s="7" t="s">
        <v>2799</v>
      </c>
      <c r="C1050" s="7" t="s">
        <v>524</v>
      </c>
      <c r="D1050" s="7" t="s">
        <v>103</v>
      </c>
      <c r="E1050" s="7" t="s">
        <v>48</v>
      </c>
      <c r="F1050" s="7" t="s">
        <v>98</v>
      </c>
      <c r="G1050" s="7" t="s">
        <v>2802</v>
      </c>
      <c r="I1050" s="1">
        <f t="shared" si="80"/>
        <v>1</v>
      </c>
      <c r="J1050" s="1" t="str">
        <f>'Source build'!A1050</f>
        <v>L01044</v>
      </c>
      <c r="K1050" s="1">
        <f>1050</f>
        <v>1050</v>
      </c>
      <c r="L1050" s="10">
        <f t="shared" si="81"/>
        <v>6180</v>
      </c>
      <c r="M1050" s="1">
        <f t="shared" si="82"/>
        <v>1</v>
      </c>
      <c r="N1050" s="1">
        <f t="shared" si="83"/>
        <v>1</v>
      </c>
      <c r="O1050" s="1" t="str">
        <f>IF(I1050=0,"UNUSED",IF(A1050="","MISSING ID",IF(K1050=0,"UNEXPECTED ID",IF(N1050&lt;&gt;1,"ID / ORDER DIFFERENCE",IF('Source build'!U1050&lt;&gt;"INCLUDED","EXCLUDED SOURCE",IF(NOT(M1050),"INVALID AMOUNT",IF('Source build'!Y1050&lt;&gt;0,"CHANGED FIELDS","MATCH")))))))</f>
        <v>MATCH</v>
      </c>
      <c r="P1050" s="1" t="str">
        <f t="shared" si="84"/>
        <v>2026-02</v>
      </c>
    </row>
    <row r="1051" spans="1:16" ht="18.95" customHeight="1">
      <c r="A1051" s="7" t="s">
        <v>2803</v>
      </c>
      <c r="B1051" s="7" t="s">
        <v>2804</v>
      </c>
      <c r="C1051" s="7" t="s">
        <v>530</v>
      </c>
      <c r="D1051" s="7" t="s">
        <v>93</v>
      </c>
      <c r="E1051" s="7" t="s">
        <v>46</v>
      </c>
      <c r="F1051" s="7" t="s">
        <v>98</v>
      </c>
      <c r="G1051" s="7" t="s">
        <v>2805</v>
      </c>
      <c r="I1051" s="1">
        <f t="shared" si="80"/>
        <v>1</v>
      </c>
      <c r="J1051" s="1" t="str">
        <f>'Source build'!A1051</f>
        <v>L01045</v>
      </c>
      <c r="K1051" s="1">
        <f>1051</f>
        <v>1051</v>
      </c>
      <c r="L1051" s="10">
        <f t="shared" si="81"/>
        <v>12508</v>
      </c>
      <c r="M1051" s="1">
        <f t="shared" si="82"/>
        <v>1</v>
      </c>
      <c r="N1051" s="1">
        <f t="shared" si="83"/>
        <v>1</v>
      </c>
      <c r="O1051" s="1" t="str">
        <f>IF(I1051=0,"UNUSED",IF(A1051="","MISSING ID",IF(K1051=0,"UNEXPECTED ID",IF(N1051&lt;&gt;1,"ID / ORDER DIFFERENCE",IF('Source build'!U1051&lt;&gt;"INCLUDED","EXCLUDED SOURCE",IF(NOT(M1051),"INVALID AMOUNT",IF('Source build'!Y1051&lt;&gt;0,"CHANGED FIELDS","MATCH")))))))</f>
        <v>MATCH</v>
      </c>
      <c r="P1051" s="1" t="str">
        <f t="shared" si="84"/>
        <v>2026-02</v>
      </c>
    </row>
    <row r="1052" spans="1:16" ht="18.95" customHeight="1">
      <c r="A1052" s="7" t="s">
        <v>2806</v>
      </c>
      <c r="B1052" s="7" t="s">
        <v>2804</v>
      </c>
      <c r="C1052" s="7" t="s">
        <v>530</v>
      </c>
      <c r="D1052" s="7" t="s">
        <v>97</v>
      </c>
      <c r="E1052" s="7" t="s">
        <v>47</v>
      </c>
      <c r="F1052" s="7" t="s">
        <v>98</v>
      </c>
      <c r="G1052" s="7" t="s">
        <v>2807</v>
      </c>
      <c r="I1052" s="1">
        <f t="shared" si="80"/>
        <v>1</v>
      </c>
      <c r="J1052" s="1" t="str">
        <f>'Source build'!A1052</f>
        <v>L01046</v>
      </c>
      <c r="K1052" s="1">
        <f>1052</f>
        <v>1052</v>
      </c>
      <c r="L1052" s="10">
        <f t="shared" si="81"/>
        <v>3164</v>
      </c>
      <c r="M1052" s="1">
        <f t="shared" si="82"/>
        <v>1</v>
      </c>
      <c r="N1052" s="1">
        <f t="shared" si="83"/>
        <v>1</v>
      </c>
      <c r="O1052" s="1" t="str">
        <f>IF(I1052=0,"UNUSED",IF(A1052="","MISSING ID",IF(K1052=0,"UNEXPECTED ID",IF(N1052&lt;&gt;1,"ID / ORDER DIFFERENCE",IF('Source build'!U1052&lt;&gt;"INCLUDED","EXCLUDED SOURCE",IF(NOT(M1052),"INVALID AMOUNT",IF('Source build'!Y1052&lt;&gt;0,"CHANGED FIELDS","MATCH")))))))</f>
        <v>MATCH</v>
      </c>
      <c r="P1052" s="1" t="str">
        <f t="shared" si="84"/>
        <v>2026-02</v>
      </c>
    </row>
    <row r="1053" spans="1:16" ht="18.95" customHeight="1">
      <c r="A1053" s="7" t="s">
        <v>2808</v>
      </c>
      <c r="B1053" s="7" t="s">
        <v>2809</v>
      </c>
      <c r="C1053" s="7" t="s">
        <v>536</v>
      </c>
      <c r="D1053" s="7" t="s">
        <v>103</v>
      </c>
      <c r="E1053" s="7" t="s">
        <v>48</v>
      </c>
      <c r="F1053" s="7" t="s">
        <v>98</v>
      </c>
      <c r="G1053" s="7" t="s">
        <v>2810</v>
      </c>
      <c r="I1053" s="1">
        <f t="shared" si="80"/>
        <v>1</v>
      </c>
      <c r="J1053" s="1" t="str">
        <f>'Source build'!A1053</f>
        <v>L01047</v>
      </c>
      <c r="K1053" s="1">
        <f>1053</f>
        <v>1053</v>
      </c>
      <c r="L1053" s="10">
        <f t="shared" si="81"/>
        <v>9603</v>
      </c>
      <c r="M1053" s="1">
        <f t="shared" si="82"/>
        <v>1</v>
      </c>
      <c r="N1053" s="1">
        <f t="shared" si="83"/>
        <v>1</v>
      </c>
      <c r="O1053" s="1" t="str">
        <f>IF(I1053=0,"UNUSED",IF(A1053="","MISSING ID",IF(K1053=0,"UNEXPECTED ID",IF(N1053&lt;&gt;1,"ID / ORDER DIFFERENCE",IF('Source build'!U1053&lt;&gt;"INCLUDED","EXCLUDED SOURCE",IF(NOT(M1053),"INVALID AMOUNT",IF('Source build'!Y1053&lt;&gt;0,"CHANGED FIELDS","MATCH")))))))</f>
        <v>MATCH</v>
      </c>
      <c r="P1053" s="1" t="str">
        <f t="shared" si="84"/>
        <v>2026-03</v>
      </c>
    </row>
    <row r="1054" spans="1:16" ht="18.95" customHeight="1">
      <c r="A1054" s="7" t="s">
        <v>2811</v>
      </c>
      <c r="B1054" s="7" t="s">
        <v>2809</v>
      </c>
      <c r="C1054" s="7" t="s">
        <v>536</v>
      </c>
      <c r="D1054" s="7" t="s">
        <v>93</v>
      </c>
      <c r="E1054" s="7" t="s">
        <v>46</v>
      </c>
      <c r="F1054" s="7" t="s">
        <v>98</v>
      </c>
      <c r="G1054" s="7" t="s">
        <v>2812</v>
      </c>
      <c r="I1054" s="1">
        <f t="shared" si="80"/>
        <v>1</v>
      </c>
      <c r="J1054" s="1" t="str">
        <f>'Source build'!A1054</f>
        <v>L01048</v>
      </c>
      <c r="K1054" s="1">
        <f>1054</f>
        <v>1054</v>
      </c>
      <c r="L1054" s="10">
        <f t="shared" si="81"/>
        <v>16190</v>
      </c>
      <c r="M1054" s="1">
        <f t="shared" si="82"/>
        <v>1</v>
      </c>
      <c r="N1054" s="1">
        <f t="shared" si="83"/>
        <v>1</v>
      </c>
      <c r="O1054" s="1" t="str">
        <f>IF(I1054=0,"UNUSED",IF(A1054="","MISSING ID",IF(K1054=0,"UNEXPECTED ID",IF(N1054&lt;&gt;1,"ID / ORDER DIFFERENCE",IF('Source build'!U1054&lt;&gt;"INCLUDED","EXCLUDED SOURCE",IF(NOT(M1054),"INVALID AMOUNT",IF('Source build'!Y1054&lt;&gt;0,"CHANGED FIELDS","MATCH")))))))</f>
        <v>MATCH</v>
      </c>
      <c r="P1054" s="1" t="str">
        <f t="shared" si="84"/>
        <v>2026-03</v>
      </c>
    </row>
    <row r="1055" spans="1:16" ht="18.95" customHeight="1">
      <c r="A1055" s="7" t="s">
        <v>2813</v>
      </c>
      <c r="B1055" s="7" t="s">
        <v>2814</v>
      </c>
      <c r="C1055" s="7" t="s">
        <v>542</v>
      </c>
      <c r="D1055" s="7" t="s">
        <v>97</v>
      </c>
      <c r="E1055" s="7" t="s">
        <v>47</v>
      </c>
      <c r="F1055" s="7" t="s">
        <v>98</v>
      </c>
      <c r="G1055" s="7" t="s">
        <v>2815</v>
      </c>
      <c r="I1055" s="1">
        <f t="shared" si="80"/>
        <v>1</v>
      </c>
      <c r="J1055" s="1" t="str">
        <f>'Source build'!A1055</f>
        <v>L01049</v>
      </c>
      <c r="K1055" s="1">
        <f>1055</f>
        <v>1055</v>
      </c>
      <c r="L1055" s="10">
        <f t="shared" si="81"/>
        <v>6550</v>
      </c>
      <c r="M1055" s="1">
        <f t="shared" si="82"/>
        <v>1</v>
      </c>
      <c r="N1055" s="1">
        <f t="shared" si="83"/>
        <v>1</v>
      </c>
      <c r="O1055" s="1" t="str">
        <f>IF(I1055=0,"UNUSED",IF(A1055="","MISSING ID",IF(K1055=0,"UNEXPECTED ID",IF(N1055&lt;&gt;1,"ID / ORDER DIFFERENCE",IF('Source build'!U1055&lt;&gt;"INCLUDED","EXCLUDED SOURCE",IF(NOT(M1055),"INVALID AMOUNT",IF('Source build'!Y1055&lt;&gt;0,"CHANGED FIELDS","MATCH")))))))</f>
        <v>MATCH</v>
      </c>
      <c r="P1055" s="1" t="str">
        <f t="shared" si="84"/>
        <v>2026-03</v>
      </c>
    </row>
    <row r="1056" spans="1:16" ht="18.95" customHeight="1">
      <c r="A1056" s="7" t="s">
        <v>2816</v>
      </c>
      <c r="B1056" s="7" t="s">
        <v>2814</v>
      </c>
      <c r="C1056" s="7" t="s">
        <v>542</v>
      </c>
      <c r="D1056" s="7" t="s">
        <v>103</v>
      </c>
      <c r="E1056" s="7" t="s">
        <v>48</v>
      </c>
      <c r="F1056" s="7" t="s">
        <v>98</v>
      </c>
      <c r="G1056" s="7" t="s">
        <v>2817</v>
      </c>
      <c r="I1056" s="1">
        <f t="shared" si="80"/>
        <v>1</v>
      </c>
      <c r="J1056" s="1" t="str">
        <f>'Source build'!A1056</f>
        <v>L01050</v>
      </c>
      <c r="K1056" s="1">
        <f>1056</f>
        <v>1056</v>
      </c>
      <c r="L1056" s="10">
        <f t="shared" si="81"/>
        <v>13248</v>
      </c>
      <c r="M1056" s="1">
        <f t="shared" si="82"/>
        <v>1</v>
      </c>
      <c r="N1056" s="1">
        <f t="shared" si="83"/>
        <v>1</v>
      </c>
      <c r="O1056" s="1" t="str">
        <f>IF(I1056=0,"UNUSED",IF(A1056="","MISSING ID",IF(K1056=0,"UNEXPECTED ID",IF(N1056&lt;&gt;1,"ID / ORDER DIFFERENCE",IF('Source build'!U1056&lt;&gt;"INCLUDED","EXCLUDED SOURCE",IF(NOT(M1056),"INVALID AMOUNT",IF('Source build'!Y1056&lt;&gt;0,"CHANGED FIELDS","MATCH")))))))</f>
        <v>MATCH</v>
      </c>
      <c r="P1056" s="1" t="str">
        <f t="shared" si="84"/>
        <v>2026-03</v>
      </c>
    </row>
    <row r="1057" spans="1:16" ht="18.95" customHeight="1">
      <c r="A1057" s="7" t="s">
        <v>2818</v>
      </c>
      <c r="B1057" s="7" t="s">
        <v>2819</v>
      </c>
      <c r="C1057" s="7" t="s">
        <v>548</v>
      </c>
      <c r="D1057" s="7" t="s">
        <v>93</v>
      </c>
      <c r="E1057" s="7" t="s">
        <v>46</v>
      </c>
      <c r="F1057" s="7" t="s">
        <v>98</v>
      </c>
      <c r="G1057" s="7" t="s">
        <v>2820</v>
      </c>
      <c r="I1057" s="1">
        <f t="shared" si="80"/>
        <v>1</v>
      </c>
      <c r="J1057" s="1" t="str">
        <f>'Source build'!A1057</f>
        <v>L01051</v>
      </c>
      <c r="K1057" s="1">
        <f>1057</f>
        <v>1057</v>
      </c>
      <c r="L1057" s="10">
        <f t="shared" si="81"/>
        <v>3349</v>
      </c>
      <c r="M1057" s="1">
        <f t="shared" si="82"/>
        <v>1</v>
      </c>
      <c r="N1057" s="1">
        <f t="shared" si="83"/>
        <v>1</v>
      </c>
      <c r="O1057" s="1" t="str">
        <f>IF(I1057=0,"UNUSED",IF(A1057="","MISSING ID",IF(K1057=0,"UNEXPECTED ID",IF(N1057&lt;&gt;1,"ID / ORDER DIFFERENCE",IF('Source build'!U1057&lt;&gt;"INCLUDED","EXCLUDED SOURCE",IF(NOT(M1057),"INVALID AMOUNT",IF('Source build'!Y1057&lt;&gt;0,"CHANGED FIELDS","MATCH")))))))</f>
        <v>MATCH</v>
      </c>
      <c r="P1057" s="1" t="str">
        <f t="shared" si="84"/>
        <v>2026-03</v>
      </c>
    </row>
    <row r="1058" spans="1:16" ht="18.95" customHeight="1">
      <c r="A1058" s="7" t="s">
        <v>2821</v>
      </c>
      <c r="B1058" s="7" t="s">
        <v>2819</v>
      </c>
      <c r="C1058" s="7" t="s">
        <v>548</v>
      </c>
      <c r="D1058" s="7" t="s">
        <v>97</v>
      </c>
      <c r="E1058" s="7" t="s">
        <v>47</v>
      </c>
      <c r="F1058" s="7" t="s">
        <v>98</v>
      </c>
      <c r="G1058" s="7" t="s">
        <v>2822</v>
      </c>
      <c r="I1058" s="1">
        <f t="shared" si="80"/>
        <v>1</v>
      </c>
      <c r="J1058" s="1" t="str">
        <f>'Source build'!A1058</f>
        <v>L01052</v>
      </c>
      <c r="K1058" s="1">
        <f>1058</f>
        <v>1058</v>
      </c>
      <c r="L1058" s="10">
        <f t="shared" si="81"/>
        <v>10158</v>
      </c>
      <c r="M1058" s="1">
        <f t="shared" si="82"/>
        <v>1</v>
      </c>
      <c r="N1058" s="1">
        <f t="shared" si="83"/>
        <v>1</v>
      </c>
      <c r="O1058" s="1" t="str">
        <f>IF(I1058=0,"UNUSED",IF(A1058="","MISSING ID",IF(K1058=0,"UNEXPECTED ID",IF(N1058&lt;&gt;1,"ID / ORDER DIFFERENCE",IF('Source build'!U1058&lt;&gt;"INCLUDED","EXCLUDED SOURCE",IF(NOT(M1058),"INVALID AMOUNT",IF('Source build'!Y1058&lt;&gt;0,"CHANGED FIELDS","MATCH")))))))</f>
        <v>MATCH</v>
      </c>
      <c r="P1058" s="1" t="str">
        <f t="shared" si="84"/>
        <v>2026-03</v>
      </c>
    </row>
    <row r="1059" spans="1:16" ht="18.95" customHeight="1">
      <c r="A1059" s="7" t="s">
        <v>2823</v>
      </c>
      <c r="B1059" s="7" t="s">
        <v>2824</v>
      </c>
      <c r="C1059" s="7" t="s">
        <v>554</v>
      </c>
      <c r="D1059" s="7" t="s">
        <v>103</v>
      </c>
      <c r="E1059" s="7" t="s">
        <v>48</v>
      </c>
      <c r="F1059" s="7" t="s">
        <v>98</v>
      </c>
      <c r="G1059" s="7" t="s">
        <v>5141</v>
      </c>
      <c r="I1059" s="1">
        <f t="shared" si="80"/>
        <v>1</v>
      </c>
      <c r="J1059" s="1" t="str">
        <f>'Source build'!A1059</f>
        <v>L01053</v>
      </c>
      <c r="K1059" s="1">
        <f>1059</f>
        <v>1059</v>
      </c>
      <c r="L1059" s="10">
        <f t="shared" si="81"/>
        <v>17115</v>
      </c>
      <c r="M1059" s="1">
        <f t="shared" si="82"/>
        <v>1</v>
      </c>
      <c r="N1059" s="1">
        <f t="shared" si="83"/>
        <v>1</v>
      </c>
      <c r="O1059" s="1" t="str">
        <f>IF(I1059=0,"UNUSED",IF(A1059="","MISSING ID",IF(K1059=0,"UNEXPECTED ID",IF(N1059&lt;&gt;1,"ID / ORDER DIFFERENCE",IF('Source build'!U1059&lt;&gt;"INCLUDED","EXCLUDED SOURCE",IF(NOT(M1059),"INVALID AMOUNT",IF('Source build'!Y1059&lt;&gt;0,"CHANGED FIELDS","MATCH")))))))</f>
        <v>MATCH</v>
      </c>
      <c r="P1059" s="1" t="str">
        <f t="shared" si="84"/>
        <v>2026-03</v>
      </c>
    </row>
    <row r="1060" spans="1:16" ht="18.95" customHeight="1">
      <c r="A1060" s="7" t="s">
        <v>2826</v>
      </c>
      <c r="B1060" s="7" t="s">
        <v>2824</v>
      </c>
      <c r="C1060" s="7" t="s">
        <v>554</v>
      </c>
      <c r="D1060" s="7" t="s">
        <v>93</v>
      </c>
      <c r="E1060" s="7" t="s">
        <v>46</v>
      </c>
      <c r="F1060" s="7" t="s">
        <v>98</v>
      </c>
      <c r="G1060" s="7" t="s">
        <v>2827</v>
      </c>
      <c r="I1060" s="1">
        <f t="shared" si="80"/>
        <v>1</v>
      </c>
      <c r="J1060" s="1" t="str">
        <f>'Source build'!A1060</f>
        <v>L01054</v>
      </c>
      <c r="K1060" s="1">
        <f>1060</f>
        <v>1060</v>
      </c>
      <c r="L1060" s="10">
        <f t="shared" si="81"/>
        <v>6920</v>
      </c>
      <c r="M1060" s="1">
        <f t="shared" si="82"/>
        <v>1</v>
      </c>
      <c r="N1060" s="1">
        <f t="shared" si="83"/>
        <v>1</v>
      </c>
      <c r="O1060" s="1" t="str">
        <f>IF(I1060=0,"UNUSED",IF(A1060="","MISSING ID",IF(K1060=0,"UNEXPECTED ID",IF(N1060&lt;&gt;1,"ID / ORDER DIFFERENCE",IF('Source build'!U1060&lt;&gt;"INCLUDED","EXCLUDED SOURCE",IF(NOT(M1060),"INVALID AMOUNT",IF('Source build'!Y1060&lt;&gt;0,"CHANGED FIELDS","MATCH")))))))</f>
        <v>MATCH</v>
      </c>
      <c r="P1060" s="1" t="str">
        <f t="shared" si="84"/>
        <v>2026-03</v>
      </c>
    </row>
    <row r="1061" spans="1:16" ht="18.95" customHeight="1">
      <c r="A1061" s="7" t="s">
        <v>2828</v>
      </c>
      <c r="B1061" s="7" t="s">
        <v>2829</v>
      </c>
      <c r="C1061" s="7" t="s">
        <v>560</v>
      </c>
      <c r="D1061" s="7" t="s">
        <v>97</v>
      </c>
      <c r="E1061" s="7" t="s">
        <v>47</v>
      </c>
      <c r="F1061" s="7" t="s">
        <v>98</v>
      </c>
      <c r="G1061" s="7" t="s">
        <v>2830</v>
      </c>
      <c r="I1061" s="1">
        <f t="shared" si="80"/>
        <v>1</v>
      </c>
      <c r="J1061" s="1" t="str">
        <f>'Source build'!A1061</f>
        <v>L01055</v>
      </c>
      <c r="K1061" s="1">
        <f>1061</f>
        <v>1061</v>
      </c>
      <c r="L1061" s="10">
        <f t="shared" si="81"/>
        <v>13988</v>
      </c>
      <c r="M1061" s="1">
        <f t="shared" si="82"/>
        <v>1</v>
      </c>
      <c r="N1061" s="1">
        <f t="shared" si="83"/>
        <v>1</v>
      </c>
      <c r="O1061" s="1" t="str">
        <f>IF(I1061=0,"UNUSED",IF(A1061="","MISSING ID",IF(K1061=0,"UNEXPECTED ID",IF(N1061&lt;&gt;1,"ID / ORDER DIFFERENCE",IF('Source build'!U1061&lt;&gt;"INCLUDED","EXCLUDED SOURCE",IF(NOT(M1061),"INVALID AMOUNT",IF('Source build'!Y1061&lt;&gt;0,"CHANGED FIELDS","MATCH")))))))</f>
        <v>MATCH</v>
      </c>
      <c r="P1061" s="1" t="str">
        <f t="shared" si="84"/>
        <v>2026-03</v>
      </c>
    </row>
    <row r="1062" spans="1:16" ht="18.95" customHeight="1">
      <c r="A1062" s="7" t="s">
        <v>2831</v>
      </c>
      <c r="B1062" s="7" t="s">
        <v>2829</v>
      </c>
      <c r="C1062" s="7" t="s">
        <v>560</v>
      </c>
      <c r="D1062" s="7" t="s">
        <v>103</v>
      </c>
      <c r="E1062" s="7" t="s">
        <v>48</v>
      </c>
      <c r="F1062" s="7" t="s">
        <v>98</v>
      </c>
      <c r="G1062" s="7" t="s">
        <v>2832</v>
      </c>
      <c r="I1062" s="1">
        <f t="shared" si="80"/>
        <v>1</v>
      </c>
      <c r="J1062" s="1" t="str">
        <f>'Source build'!A1062</f>
        <v>L01056</v>
      </c>
      <c r="K1062" s="1">
        <f>1062</f>
        <v>1062</v>
      </c>
      <c r="L1062" s="10">
        <f t="shared" si="81"/>
        <v>3534</v>
      </c>
      <c r="M1062" s="1">
        <f t="shared" si="82"/>
        <v>1</v>
      </c>
      <c r="N1062" s="1">
        <f t="shared" si="83"/>
        <v>1</v>
      </c>
      <c r="O1062" s="1" t="str">
        <f>IF(I1062=0,"UNUSED",IF(A1062="","MISSING ID",IF(K1062=0,"UNEXPECTED ID",IF(N1062&lt;&gt;1,"ID / ORDER DIFFERENCE",IF('Source build'!U1062&lt;&gt;"INCLUDED","EXCLUDED SOURCE",IF(NOT(M1062),"INVALID AMOUNT",IF('Source build'!Y1062&lt;&gt;0,"CHANGED FIELDS","MATCH")))))))</f>
        <v>MATCH</v>
      </c>
      <c r="P1062" s="1" t="str">
        <f t="shared" si="84"/>
        <v>2026-03</v>
      </c>
    </row>
    <row r="1063" spans="1:16" ht="18.95" customHeight="1">
      <c r="A1063" s="7" t="s">
        <v>2833</v>
      </c>
      <c r="B1063" s="7" t="s">
        <v>2834</v>
      </c>
      <c r="C1063" s="7" t="s">
        <v>566</v>
      </c>
      <c r="D1063" s="7" t="s">
        <v>93</v>
      </c>
      <c r="E1063" s="7" t="s">
        <v>46</v>
      </c>
      <c r="F1063" s="7" t="s">
        <v>98</v>
      </c>
      <c r="G1063" s="7" t="s">
        <v>2835</v>
      </c>
      <c r="I1063" s="1">
        <f t="shared" si="80"/>
        <v>1</v>
      </c>
      <c r="J1063" s="1" t="str">
        <f>'Source build'!A1063</f>
        <v>L01057</v>
      </c>
      <c r="K1063" s="1">
        <f>1063</f>
        <v>1063</v>
      </c>
      <c r="L1063" s="10">
        <f t="shared" si="81"/>
        <v>10713</v>
      </c>
      <c r="M1063" s="1">
        <f t="shared" si="82"/>
        <v>1</v>
      </c>
      <c r="N1063" s="1">
        <f t="shared" si="83"/>
        <v>1</v>
      </c>
      <c r="O1063" s="1" t="str">
        <f>IF(I1063=0,"UNUSED",IF(A1063="","MISSING ID",IF(K1063=0,"UNEXPECTED ID",IF(N1063&lt;&gt;1,"ID / ORDER DIFFERENCE",IF('Source build'!U1063&lt;&gt;"INCLUDED","EXCLUDED SOURCE",IF(NOT(M1063),"INVALID AMOUNT",IF('Source build'!Y1063&lt;&gt;0,"CHANGED FIELDS","MATCH")))))))</f>
        <v>MATCH</v>
      </c>
      <c r="P1063" s="1" t="str">
        <f t="shared" si="84"/>
        <v>2026-01</v>
      </c>
    </row>
    <row r="1064" spans="1:16" ht="18.95" customHeight="1">
      <c r="A1064" s="7" t="s">
        <v>2836</v>
      </c>
      <c r="B1064" s="7" t="s">
        <v>2834</v>
      </c>
      <c r="C1064" s="7" t="s">
        <v>566</v>
      </c>
      <c r="D1064" s="7" t="s">
        <v>97</v>
      </c>
      <c r="E1064" s="7" t="s">
        <v>47</v>
      </c>
      <c r="F1064" s="7" t="s">
        <v>98</v>
      </c>
      <c r="G1064" s="7" t="s">
        <v>2837</v>
      </c>
      <c r="I1064" s="1">
        <f t="shared" si="80"/>
        <v>1</v>
      </c>
      <c r="J1064" s="1" t="str">
        <f>'Source build'!A1064</f>
        <v>L01058</v>
      </c>
      <c r="K1064" s="1">
        <f>1064</f>
        <v>1064</v>
      </c>
      <c r="L1064" s="10">
        <f t="shared" si="81"/>
        <v>18040</v>
      </c>
      <c r="M1064" s="1">
        <f t="shared" si="82"/>
        <v>1</v>
      </c>
      <c r="N1064" s="1">
        <f t="shared" si="83"/>
        <v>1</v>
      </c>
      <c r="O1064" s="1" t="str">
        <f>IF(I1064=0,"UNUSED",IF(A1064="","MISSING ID",IF(K1064=0,"UNEXPECTED ID",IF(N1064&lt;&gt;1,"ID / ORDER DIFFERENCE",IF('Source build'!U1064&lt;&gt;"INCLUDED","EXCLUDED SOURCE",IF(NOT(M1064),"INVALID AMOUNT",IF('Source build'!Y1064&lt;&gt;0,"CHANGED FIELDS","MATCH")))))))</f>
        <v>MATCH</v>
      </c>
      <c r="P1064" s="1" t="str">
        <f t="shared" si="84"/>
        <v>2026-01</v>
      </c>
    </row>
    <row r="1065" spans="1:16" ht="18.95" customHeight="1">
      <c r="A1065" s="7" t="s">
        <v>2838</v>
      </c>
      <c r="B1065" s="7" t="s">
        <v>2839</v>
      </c>
      <c r="C1065" s="7" t="s">
        <v>572</v>
      </c>
      <c r="D1065" s="7" t="s">
        <v>103</v>
      </c>
      <c r="E1065" s="7" t="s">
        <v>48</v>
      </c>
      <c r="F1065" s="7" t="s">
        <v>94</v>
      </c>
      <c r="G1065" s="7" t="s">
        <v>2840</v>
      </c>
      <c r="I1065" s="1">
        <f t="shared" si="80"/>
        <v>1</v>
      </c>
      <c r="J1065" s="1" t="str">
        <f>'Source build'!A1065</f>
        <v>L01059</v>
      </c>
      <c r="K1065" s="1">
        <f>1065</f>
        <v>1065</v>
      </c>
      <c r="L1065" s="10">
        <f t="shared" si="81"/>
        <v>-7290</v>
      </c>
      <c r="M1065" s="1">
        <f t="shared" si="82"/>
        <v>1</v>
      </c>
      <c r="N1065" s="1">
        <f t="shared" si="83"/>
        <v>1</v>
      </c>
      <c r="O1065" s="1" t="str">
        <f>IF(I1065=0,"UNUSED",IF(A1065="","MISSING ID",IF(K1065=0,"UNEXPECTED ID",IF(N1065&lt;&gt;1,"ID / ORDER DIFFERENCE",IF('Source build'!U1065&lt;&gt;"INCLUDED","EXCLUDED SOURCE",IF(NOT(M1065),"INVALID AMOUNT",IF('Source build'!Y1065&lt;&gt;0,"CHANGED FIELDS","MATCH")))))))</f>
        <v>MATCH</v>
      </c>
      <c r="P1065" s="1" t="str">
        <f t="shared" si="84"/>
        <v>2026-01</v>
      </c>
    </row>
    <row r="1066" spans="1:16" ht="18.95" customHeight="1">
      <c r="A1066" s="7" t="s">
        <v>2841</v>
      </c>
      <c r="B1066" s="7" t="s">
        <v>2839</v>
      </c>
      <c r="C1066" s="7" t="s">
        <v>572</v>
      </c>
      <c r="D1066" s="7" t="s">
        <v>93</v>
      </c>
      <c r="E1066" s="7" t="s">
        <v>46</v>
      </c>
      <c r="F1066" s="7" t="s">
        <v>98</v>
      </c>
      <c r="G1066" s="7" t="s">
        <v>2842</v>
      </c>
      <c r="I1066" s="1">
        <f t="shared" si="80"/>
        <v>1</v>
      </c>
      <c r="J1066" s="1" t="str">
        <f>'Source build'!A1066</f>
        <v>L01060</v>
      </c>
      <c r="K1066" s="1">
        <f>1066</f>
        <v>1066</v>
      </c>
      <c r="L1066" s="10">
        <f t="shared" si="81"/>
        <v>14728</v>
      </c>
      <c r="M1066" s="1">
        <f t="shared" si="82"/>
        <v>1</v>
      </c>
      <c r="N1066" s="1">
        <f t="shared" si="83"/>
        <v>1</v>
      </c>
      <c r="O1066" s="1" t="str">
        <f>IF(I1066=0,"UNUSED",IF(A1066="","MISSING ID",IF(K1066=0,"UNEXPECTED ID",IF(N1066&lt;&gt;1,"ID / ORDER DIFFERENCE",IF('Source build'!U1066&lt;&gt;"INCLUDED","EXCLUDED SOURCE",IF(NOT(M1066),"INVALID AMOUNT",IF('Source build'!Y1066&lt;&gt;0,"CHANGED FIELDS","MATCH")))))))</f>
        <v>MATCH</v>
      </c>
      <c r="P1066" s="1" t="str">
        <f t="shared" si="84"/>
        <v>2026-01</v>
      </c>
    </row>
    <row r="1067" spans="1:16" ht="18.95" customHeight="1">
      <c r="A1067" s="7" t="s">
        <v>2843</v>
      </c>
      <c r="B1067" s="7" t="s">
        <v>2844</v>
      </c>
      <c r="C1067" s="7" t="s">
        <v>578</v>
      </c>
      <c r="D1067" s="7" t="s">
        <v>97</v>
      </c>
      <c r="E1067" s="7" t="s">
        <v>47</v>
      </c>
      <c r="F1067" s="7" t="s">
        <v>98</v>
      </c>
      <c r="G1067" s="7" t="s">
        <v>2845</v>
      </c>
      <c r="I1067" s="1">
        <f t="shared" si="80"/>
        <v>1</v>
      </c>
      <c r="J1067" s="1" t="str">
        <f>'Source build'!A1067</f>
        <v>L01061</v>
      </c>
      <c r="K1067" s="1">
        <f>1067</f>
        <v>1067</v>
      </c>
      <c r="L1067" s="10">
        <f t="shared" si="81"/>
        <v>3719</v>
      </c>
      <c r="M1067" s="1">
        <f t="shared" si="82"/>
        <v>1</v>
      </c>
      <c r="N1067" s="1">
        <f t="shared" si="83"/>
        <v>1</v>
      </c>
      <c r="O1067" s="1" t="str">
        <f>IF(I1067=0,"UNUSED",IF(A1067="","MISSING ID",IF(K1067=0,"UNEXPECTED ID",IF(N1067&lt;&gt;1,"ID / ORDER DIFFERENCE",IF('Source build'!U1067&lt;&gt;"INCLUDED","EXCLUDED SOURCE",IF(NOT(M1067),"INVALID AMOUNT",IF('Source build'!Y1067&lt;&gt;0,"CHANGED FIELDS","MATCH")))))))</f>
        <v>MATCH</v>
      </c>
      <c r="P1067" s="1" t="str">
        <f t="shared" si="84"/>
        <v>2026-01</v>
      </c>
    </row>
    <row r="1068" spans="1:16" ht="18.95" customHeight="1">
      <c r="A1068" s="7" t="s">
        <v>2846</v>
      </c>
      <c r="B1068" s="7" t="s">
        <v>2844</v>
      </c>
      <c r="C1068" s="7" t="s">
        <v>578</v>
      </c>
      <c r="D1068" s="7" t="s">
        <v>103</v>
      </c>
      <c r="E1068" s="7" t="s">
        <v>48</v>
      </c>
      <c r="F1068" s="7" t="s">
        <v>98</v>
      </c>
      <c r="G1068" s="7" t="s">
        <v>2847</v>
      </c>
      <c r="I1068" s="1">
        <f t="shared" si="80"/>
        <v>1</v>
      </c>
      <c r="J1068" s="1" t="str">
        <f>'Source build'!A1068</f>
        <v>L01062</v>
      </c>
      <c r="K1068" s="1">
        <f>1068</f>
        <v>1068</v>
      </c>
      <c r="L1068" s="10">
        <f t="shared" si="81"/>
        <v>11268</v>
      </c>
      <c r="M1068" s="1">
        <f t="shared" si="82"/>
        <v>1</v>
      </c>
      <c r="N1068" s="1">
        <f t="shared" si="83"/>
        <v>1</v>
      </c>
      <c r="O1068" s="1" t="str">
        <f>IF(I1068=0,"UNUSED",IF(A1068="","MISSING ID",IF(K1068=0,"UNEXPECTED ID",IF(N1068&lt;&gt;1,"ID / ORDER DIFFERENCE",IF('Source build'!U1068&lt;&gt;"INCLUDED","EXCLUDED SOURCE",IF(NOT(M1068),"INVALID AMOUNT",IF('Source build'!Y1068&lt;&gt;0,"CHANGED FIELDS","MATCH")))))))</f>
        <v>MATCH</v>
      </c>
      <c r="P1068" s="1" t="str">
        <f t="shared" si="84"/>
        <v>2026-01</v>
      </c>
    </row>
    <row r="1069" spans="1:16" ht="18.95" customHeight="1">
      <c r="A1069" s="7" t="s">
        <v>2848</v>
      </c>
      <c r="B1069" s="7" t="s">
        <v>2849</v>
      </c>
      <c r="C1069" s="7" t="s">
        <v>584</v>
      </c>
      <c r="D1069" s="7" t="s">
        <v>93</v>
      </c>
      <c r="E1069" s="7" t="s">
        <v>46</v>
      </c>
      <c r="F1069" s="7" t="s">
        <v>98</v>
      </c>
      <c r="G1069" s="7" t="s">
        <v>2850</v>
      </c>
      <c r="I1069" s="1">
        <f t="shared" si="80"/>
        <v>1</v>
      </c>
      <c r="J1069" s="1" t="str">
        <f>'Source build'!A1069</f>
        <v>L01063</v>
      </c>
      <c r="K1069" s="1">
        <f>1069</f>
        <v>1069</v>
      </c>
      <c r="L1069" s="10">
        <f t="shared" si="81"/>
        <v>18965</v>
      </c>
      <c r="M1069" s="1">
        <f t="shared" si="82"/>
        <v>1</v>
      </c>
      <c r="N1069" s="1">
        <f t="shared" si="83"/>
        <v>1</v>
      </c>
      <c r="O1069" s="1" t="str">
        <f>IF(I1069=0,"UNUSED",IF(A1069="","MISSING ID",IF(K1069=0,"UNEXPECTED ID",IF(N1069&lt;&gt;1,"ID / ORDER DIFFERENCE",IF('Source build'!U1069&lt;&gt;"INCLUDED","EXCLUDED SOURCE",IF(NOT(M1069),"INVALID AMOUNT",IF('Source build'!Y1069&lt;&gt;0,"CHANGED FIELDS","MATCH")))))))</f>
        <v>MATCH</v>
      </c>
      <c r="P1069" s="1" t="str">
        <f t="shared" si="84"/>
        <v>2026-01</v>
      </c>
    </row>
    <row r="1070" spans="1:16" ht="18.95" customHeight="1">
      <c r="A1070" s="7" t="s">
        <v>2851</v>
      </c>
      <c r="B1070" s="7" t="s">
        <v>2849</v>
      </c>
      <c r="C1070" s="7" t="s">
        <v>584</v>
      </c>
      <c r="D1070" s="7" t="s">
        <v>97</v>
      </c>
      <c r="E1070" s="7" t="s">
        <v>47</v>
      </c>
      <c r="F1070" s="7" t="s">
        <v>98</v>
      </c>
      <c r="G1070" s="7" t="s">
        <v>2852</v>
      </c>
      <c r="I1070" s="1">
        <f t="shared" si="80"/>
        <v>1</v>
      </c>
      <c r="J1070" s="1" t="str">
        <f>'Source build'!A1070</f>
        <v>L01064</v>
      </c>
      <c r="K1070" s="1">
        <f>1070</f>
        <v>1070</v>
      </c>
      <c r="L1070" s="10">
        <f t="shared" si="81"/>
        <v>7660</v>
      </c>
      <c r="M1070" s="1">
        <f t="shared" si="82"/>
        <v>1</v>
      </c>
      <c r="N1070" s="1">
        <f t="shared" si="83"/>
        <v>1</v>
      </c>
      <c r="O1070" s="1" t="str">
        <f>IF(I1070=0,"UNUSED",IF(A1070="","MISSING ID",IF(K1070=0,"UNEXPECTED ID",IF(N1070&lt;&gt;1,"ID / ORDER DIFFERENCE",IF('Source build'!U1070&lt;&gt;"INCLUDED","EXCLUDED SOURCE",IF(NOT(M1070),"INVALID AMOUNT",IF('Source build'!Y1070&lt;&gt;0,"CHANGED FIELDS","MATCH")))))))</f>
        <v>MATCH</v>
      </c>
      <c r="P1070" s="1" t="str">
        <f t="shared" si="84"/>
        <v>2026-01</v>
      </c>
    </row>
    <row r="1071" spans="1:16" ht="18.95" customHeight="1">
      <c r="A1071" s="7" t="s">
        <v>2853</v>
      </c>
      <c r="B1071" s="7" t="s">
        <v>2854</v>
      </c>
      <c r="C1071" s="7" t="s">
        <v>590</v>
      </c>
      <c r="D1071" s="7" t="s">
        <v>103</v>
      </c>
      <c r="E1071" s="7" t="s">
        <v>48</v>
      </c>
      <c r="F1071" s="7" t="s">
        <v>98</v>
      </c>
      <c r="G1071" s="7" t="s">
        <v>2855</v>
      </c>
      <c r="I1071" s="1">
        <f t="shared" si="80"/>
        <v>1</v>
      </c>
      <c r="J1071" s="1" t="str">
        <f>'Source build'!A1071</f>
        <v>L01065</v>
      </c>
      <c r="K1071" s="1">
        <f>1071</f>
        <v>1071</v>
      </c>
      <c r="L1071" s="10">
        <f t="shared" si="81"/>
        <v>15468</v>
      </c>
      <c r="M1071" s="1">
        <f t="shared" si="82"/>
        <v>1</v>
      </c>
      <c r="N1071" s="1">
        <f t="shared" si="83"/>
        <v>1</v>
      </c>
      <c r="O1071" s="1" t="str">
        <f>IF(I1071=0,"UNUSED",IF(A1071="","MISSING ID",IF(K1071=0,"UNEXPECTED ID",IF(N1071&lt;&gt;1,"ID / ORDER DIFFERENCE",IF('Source build'!U1071&lt;&gt;"INCLUDED","EXCLUDED SOURCE",IF(NOT(M1071),"INVALID AMOUNT",IF('Source build'!Y1071&lt;&gt;0,"CHANGED FIELDS","MATCH")))))))</f>
        <v>MATCH</v>
      </c>
      <c r="P1071" s="1" t="str">
        <f t="shared" si="84"/>
        <v>2026-02</v>
      </c>
    </row>
    <row r="1072" spans="1:16" ht="18.95" customHeight="1">
      <c r="A1072" s="7" t="s">
        <v>2856</v>
      </c>
      <c r="B1072" s="7" t="s">
        <v>2854</v>
      </c>
      <c r="C1072" s="7" t="s">
        <v>590</v>
      </c>
      <c r="D1072" s="7" t="s">
        <v>93</v>
      </c>
      <c r="E1072" s="7" t="s">
        <v>46</v>
      </c>
      <c r="F1072" s="7" t="s">
        <v>98</v>
      </c>
      <c r="G1072" s="7" t="s">
        <v>2857</v>
      </c>
      <c r="I1072" s="1">
        <f t="shared" si="80"/>
        <v>1</v>
      </c>
      <c r="J1072" s="1" t="str">
        <f>'Source build'!A1072</f>
        <v>L01066</v>
      </c>
      <c r="K1072" s="1">
        <f>1072</f>
        <v>1072</v>
      </c>
      <c r="L1072" s="10">
        <f t="shared" si="81"/>
        <v>3904</v>
      </c>
      <c r="M1072" s="1">
        <f t="shared" si="82"/>
        <v>1</v>
      </c>
      <c r="N1072" s="1">
        <f t="shared" si="83"/>
        <v>1</v>
      </c>
      <c r="O1072" s="1" t="str">
        <f>IF(I1072=0,"UNUSED",IF(A1072="","MISSING ID",IF(K1072=0,"UNEXPECTED ID",IF(N1072&lt;&gt;1,"ID / ORDER DIFFERENCE",IF('Source build'!U1072&lt;&gt;"INCLUDED","EXCLUDED SOURCE",IF(NOT(M1072),"INVALID AMOUNT",IF('Source build'!Y1072&lt;&gt;0,"CHANGED FIELDS","MATCH")))))))</f>
        <v>MATCH</v>
      </c>
      <c r="P1072" s="1" t="str">
        <f t="shared" si="84"/>
        <v>2026-02</v>
      </c>
    </row>
    <row r="1073" spans="1:16" ht="18.95" customHeight="1">
      <c r="A1073" s="7" t="s">
        <v>2858</v>
      </c>
      <c r="B1073" s="7" t="s">
        <v>2859</v>
      </c>
      <c r="C1073" s="7" t="s">
        <v>596</v>
      </c>
      <c r="D1073" s="7" t="s">
        <v>97</v>
      </c>
      <c r="E1073" s="7" t="s">
        <v>47</v>
      </c>
      <c r="F1073" s="7" t="s">
        <v>98</v>
      </c>
      <c r="G1073" s="7" t="s">
        <v>2860</v>
      </c>
      <c r="I1073" s="1">
        <f t="shared" si="80"/>
        <v>1</v>
      </c>
      <c r="J1073" s="1" t="str">
        <f>'Source build'!A1073</f>
        <v>L01067</v>
      </c>
      <c r="K1073" s="1">
        <f>1073</f>
        <v>1073</v>
      </c>
      <c r="L1073" s="10">
        <f t="shared" si="81"/>
        <v>11823</v>
      </c>
      <c r="M1073" s="1">
        <f t="shared" si="82"/>
        <v>1</v>
      </c>
      <c r="N1073" s="1">
        <f t="shared" si="83"/>
        <v>1</v>
      </c>
      <c r="O1073" s="1" t="str">
        <f>IF(I1073=0,"UNUSED",IF(A1073="","MISSING ID",IF(K1073=0,"UNEXPECTED ID",IF(N1073&lt;&gt;1,"ID / ORDER DIFFERENCE",IF('Source build'!U1073&lt;&gt;"INCLUDED","EXCLUDED SOURCE",IF(NOT(M1073),"INVALID AMOUNT",IF('Source build'!Y1073&lt;&gt;0,"CHANGED FIELDS","MATCH")))))))</f>
        <v>MATCH</v>
      </c>
      <c r="P1073" s="1" t="str">
        <f t="shared" si="84"/>
        <v>2026-02</v>
      </c>
    </row>
    <row r="1074" spans="1:16" ht="18.95" customHeight="1">
      <c r="A1074" s="7" t="s">
        <v>2861</v>
      </c>
      <c r="B1074" s="7" t="s">
        <v>2859</v>
      </c>
      <c r="C1074" s="7" t="s">
        <v>596</v>
      </c>
      <c r="D1074" s="7" t="s">
        <v>103</v>
      </c>
      <c r="E1074" s="7" t="s">
        <v>48</v>
      </c>
      <c r="F1074" s="7" t="s">
        <v>98</v>
      </c>
      <c r="G1074" s="7" t="s">
        <v>2862</v>
      </c>
      <c r="I1074" s="1">
        <f t="shared" si="80"/>
        <v>1</v>
      </c>
      <c r="J1074" s="1" t="str">
        <f>'Source build'!A1074</f>
        <v>L01068</v>
      </c>
      <c r="K1074" s="1">
        <f>1074</f>
        <v>1074</v>
      </c>
      <c r="L1074" s="10">
        <f t="shared" si="81"/>
        <v>19890</v>
      </c>
      <c r="M1074" s="1">
        <f t="shared" si="82"/>
        <v>1</v>
      </c>
      <c r="N1074" s="1">
        <f t="shared" si="83"/>
        <v>1</v>
      </c>
      <c r="O1074" s="1" t="str">
        <f>IF(I1074=0,"UNUSED",IF(A1074="","MISSING ID",IF(K1074=0,"UNEXPECTED ID",IF(N1074&lt;&gt;1,"ID / ORDER DIFFERENCE",IF('Source build'!U1074&lt;&gt;"INCLUDED","EXCLUDED SOURCE",IF(NOT(M1074),"INVALID AMOUNT",IF('Source build'!Y1074&lt;&gt;0,"CHANGED FIELDS","MATCH")))))))</f>
        <v>MATCH</v>
      </c>
      <c r="P1074" s="1" t="str">
        <f t="shared" si="84"/>
        <v>2026-02</v>
      </c>
    </row>
    <row r="1075" spans="1:16" ht="18.95" customHeight="1">
      <c r="A1075" s="7" t="s">
        <v>2863</v>
      </c>
      <c r="B1075" s="7" t="s">
        <v>2864</v>
      </c>
      <c r="C1075" s="7" t="s">
        <v>602</v>
      </c>
      <c r="D1075" s="7" t="s">
        <v>93</v>
      </c>
      <c r="E1075" s="7" t="s">
        <v>46</v>
      </c>
      <c r="F1075" s="7" t="s">
        <v>98</v>
      </c>
      <c r="G1075" s="7" t="s">
        <v>2865</v>
      </c>
      <c r="I1075" s="1">
        <f t="shared" si="80"/>
        <v>1</v>
      </c>
      <c r="J1075" s="1" t="str">
        <f>'Source build'!A1075</f>
        <v>L01069</v>
      </c>
      <c r="K1075" s="1">
        <f>1075</f>
        <v>1075</v>
      </c>
      <c r="L1075" s="10">
        <f t="shared" si="81"/>
        <v>8030</v>
      </c>
      <c r="M1075" s="1">
        <f t="shared" si="82"/>
        <v>1</v>
      </c>
      <c r="N1075" s="1">
        <f t="shared" si="83"/>
        <v>1</v>
      </c>
      <c r="O1075" s="1" t="str">
        <f>IF(I1075=0,"UNUSED",IF(A1075="","MISSING ID",IF(K1075=0,"UNEXPECTED ID",IF(N1075&lt;&gt;1,"ID / ORDER DIFFERENCE",IF('Source build'!U1075&lt;&gt;"INCLUDED","EXCLUDED SOURCE",IF(NOT(M1075),"INVALID AMOUNT",IF('Source build'!Y1075&lt;&gt;0,"CHANGED FIELDS","MATCH")))))))</f>
        <v>MATCH</v>
      </c>
      <c r="P1075" s="1" t="str">
        <f t="shared" si="84"/>
        <v>2026-02</v>
      </c>
    </row>
    <row r="1076" spans="1:16" ht="18.95" customHeight="1">
      <c r="A1076" s="7" t="s">
        <v>2866</v>
      </c>
      <c r="B1076" s="7" t="s">
        <v>2864</v>
      </c>
      <c r="C1076" s="7" t="s">
        <v>602</v>
      </c>
      <c r="D1076" s="7" t="s">
        <v>97</v>
      </c>
      <c r="E1076" s="7" t="s">
        <v>47</v>
      </c>
      <c r="F1076" s="7" t="s">
        <v>98</v>
      </c>
      <c r="G1076" s="7" t="s">
        <v>2867</v>
      </c>
      <c r="I1076" s="1">
        <f t="shared" si="80"/>
        <v>1</v>
      </c>
      <c r="J1076" s="1" t="str">
        <f>'Source build'!A1076</f>
        <v>L01070</v>
      </c>
      <c r="K1076" s="1">
        <f>1076</f>
        <v>1076</v>
      </c>
      <c r="L1076" s="10">
        <f t="shared" si="81"/>
        <v>16208</v>
      </c>
      <c r="M1076" s="1">
        <f t="shared" si="82"/>
        <v>1</v>
      </c>
      <c r="N1076" s="1">
        <f t="shared" si="83"/>
        <v>1</v>
      </c>
      <c r="O1076" s="1" t="str">
        <f>IF(I1076=0,"UNUSED",IF(A1076="","MISSING ID",IF(K1076=0,"UNEXPECTED ID",IF(N1076&lt;&gt;1,"ID / ORDER DIFFERENCE",IF('Source build'!U1076&lt;&gt;"INCLUDED","EXCLUDED SOURCE",IF(NOT(M1076),"INVALID AMOUNT",IF('Source build'!Y1076&lt;&gt;0,"CHANGED FIELDS","MATCH")))))))</f>
        <v>MATCH</v>
      </c>
      <c r="P1076" s="1" t="str">
        <f t="shared" si="84"/>
        <v>2026-02</v>
      </c>
    </row>
    <row r="1077" spans="1:16" ht="18.95" customHeight="1">
      <c r="A1077" s="7" t="s">
        <v>2868</v>
      </c>
      <c r="B1077" s="7" t="s">
        <v>2869</v>
      </c>
      <c r="C1077" s="7" t="s">
        <v>611</v>
      </c>
      <c r="D1077" s="7" t="s">
        <v>103</v>
      </c>
      <c r="E1077" s="7" t="s">
        <v>48</v>
      </c>
      <c r="F1077" s="7" t="s">
        <v>98</v>
      </c>
      <c r="G1077" s="7" t="s">
        <v>2870</v>
      </c>
      <c r="I1077" s="1">
        <f t="shared" si="80"/>
        <v>1</v>
      </c>
      <c r="J1077" s="1" t="str">
        <f>'Source build'!A1077</f>
        <v>L01071</v>
      </c>
      <c r="K1077" s="1">
        <f>1077</f>
        <v>1077</v>
      </c>
      <c r="L1077" s="10">
        <f t="shared" si="81"/>
        <v>4089</v>
      </c>
      <c r="M1077" s="1">
        <f t="shared" si="82"/>
        <v>1</v>
      </c>
      <c r="N1077" s="1">
        <f t="shared" si="83"/>
        <v>1</v>
      </c>
      <c r="O1077" s="1" t="str">
        <f>IF(I1077=0,"UNUSED",IF(A1077="","MISSING ID",IF(K1077=0,"UNEXPECTED ID",IF(N1077&lt;&gt;1,"ID / ORDER DIFFERENCE",IF('Source build'!U1077&lt;&gt;"INCLUDED","EXCLUDED SOURCE",IF(NOT(M1077),"INVALID AMOUNT",IF('Source build'!Y1077&lt;&gt;0,"CHANGED FIELDS","MATCH")))))))</f>
        <v>MATCH</v>
      </c>
      <c r="P1077" s="1" t="str">
        <f t="shared" si="84"/>
        <v>2026-02</v>
      </c>
    </row>
    <row r="1078" spans="1:16" ht="18.95" customHeight="1">
      <c r="A1078" s="7" t="s">
        <v>2871</v>
      </c>
      <c r="B1078" s="7" t="s">
        <v>2869</v>
      </c>
      <c r="C1078" s="7" t="s">
        <v>611</v>
      </c>
      <c r="D1078" s="7" t="s">
        <v>93</v>
      </c>
      <c r="E1078" s="7" t="s">
        <v>46</v>
      </c>
      <c r="F1078" s="7" t="s">
        <v>98</v>
      </c>
      <c r="G1078" s="7" t="s">
        <v>2872</v>
      </c>
      <c r="I1078" s="1">
        <f t="shared" si="80"/>
        <v>1</v>
      </c>
      <c r="J1078" s="1" t="str">
        <f>'Source build'!A1078</f>
        <v>L01072</v>
      </c>
      <c r="K1078" s="1">
        <f>1078</f>
        <v>1078</v>
      </c>
      <c r="L1078" s="10">
        <f t="shared" si="81"/>
        <v>12378</v>
      </c>
      <c r="M1078" s="1">
        <f t="shared" si="82"/>
        <v>1</v>
      </c>
      <c r="N1078" s="1">
        <f t="shared" si="83"/>
        <v>1</v>
      </c>
      <c r="O1078" s="1" t="str">
        <f>IF(I1078=0,"UNUSED",IF(A1078="","MISSING ID",IF(K1078=0,"UNEXPECTED ID",IF(N1078&lt;&gt;1,"ID / ORDER DIFFERENCE",IF('Source build'!U1078&lt;&gt;"INCLUDED","EXCLUDED SOURCE",IF(NOT(M1078),"INVALID AMOUNT",IF('Source build'!Y1078&lt;&gt;0,"CHANGED FIELDS","MATCH")))))))</f>
        <v>MATCH</v>
      </c>
      <c r="P1078" s="1" t="str">
        <f t="shared" si="84"/>
        <v>2026-02</v>
      </c>
    </row>
    <row r="1079" spans="1:16" ht="18.95" customHeight="1">
      <c r="A1079" s="7" t="s">
        <v>2873</v>
      </c>
      <c r="B1079" s="7" t="s">
        <v>2874</v>
      </c>
      <c r="C1079" s="7" t="s">
        <v>615</v>
      </c>
      <c r="D1079" s="7" t="s">
        <v>97</v>
      </c>
      <c r="E1079" s="7" t="s">
        <v>47</v>
      </c>
      <c r="F1079" s="7" t="s">
        <v>98</v>
      </c>
      <c r="G1079" s="7" t="s">
        <v>2875</v>
      </c>
      <c r="I1079" s="1">
        <f t="shared" si="80"/>
        <v>1</v>
      </c>
      <c r="J1079" s="1" t="str">
        <f>'Source build'!A1079</f>
        <v>L01073</v>
      </c>
      <c r="K1079" s="1">
        <f>1079</f>
        <v>1079</v>
      </c>
      <c r="L1079" s="10">
        <f t="shared" si="81"/>
        <v>20815</v>
      </c>
      <c r="M1079" s="1">
        <f t="shared" si="82"/>
        <v>1</v>
      </c>
      <c r="N1079" s="1">
        <f t="shared" si="83"/>
        <v>1</v>
      </c>
      <c r="O1079" s="1" t="str">
        <f>IF(I1079=0,"UNUSED",IF(A1079="","MISSING ID",IF(K1079=0,"UNEXPECTED ID",IF(N1079&lt;&gt;1,"ID / ORDER DIFFERENCE",IF('Source build'!U1079&lt;&gt;"INCLUDED","EXCLUDED SOURCE",IF(NOT(M1079),"INVALID AMOUNT",IF('Source build'!Y1079&lt;&gt;0,"CHANGED FIELDS","MATCH")))))))</f>
        <v>MATCH</v>
      </c>
      <c r="P1079" s="1" t="str">
        <f t="shared" si="84"/>
        <v>2026-03</v>
      </c>
    </row>
    <row r="1080" spans="1:16" ht="18.95" customHeight="1">
      <c r="A1080" s="7" t="s">
        <v>2876</v>
      </c>
      <c r="B1080" s="7" t="s">
        <v>2874</v>
      </c>
      <c r="C1080" s="7" t="s">
        <v>615</v>
      </c>
      <c r="D1080" s="7" t="s">
        <v>103</v>
      </c>
      <c r="E1080" s="7" t="s">
        <v>48</v>
      </c>
      <c r="F1080" s="7" t="s">
        <v>98</v>
      </c>
      <c r="G1080" s="7" t="s">
        <v>2877</v>
      </c>
      <c r="I1080" s="1">
        <f t="shared" si="80"/>
        <v>1</v>
      </c>
      <c r="J1080" s="1" t="str">
        <f>'Source build'!A1080</f>
        <v>L01074</v>
      </c>
      <c r="K1080" s="1">
        <f>1080</f>
        <v>1080</v>
      </c>
      <c r="L1080" s="10">
        <f t="shared" si="81"/>
        <v>8400</v>
      </c>
      <c r="M1080" s="1">
        <f t="shared" si="82"/>
        <v>1</v>
      </c>
      <c r="N1080" s="1">
        <f t="shared" si="83"/>
        <v>1</v>
      </c>
      <c r="O1080" s="1" t="str">
        <f>IF(I1080=0,"UNUSED",IF(A1080="","MISSING ID",IF(K1080=0,"UNEXPECTED ID",IF(N1080&lt;&gt;1,"ID / ORDER DIFFERENCE",IF('Source build'!U1080&lt;&gt;"INCLUDED","EXCLUDED SOURCE",IF(NOT(M1080),"INVALID AMOUNT",IF('Source build'!Y1080&lt;&gt;0,"CHANGED FIELDS","MATCH")))))))</f>
        <v>MATCH</v>
      </c>
      <c r="P1080" s="1" t="str">
        <f t="shared" si="84"/>
        <v>2026-03</v>
      </c>
    </row>
    <row r="1081" spans="1:16" ht="18.95" customHeight="1">
      <c r="A1081" s="7" t="s">
        <v>2878</v>
      </c>
      <c r="B1081" s="7" t="s">
        <v>2879</v>
      </c>
      <c r="C1081" s="7" t="s">
        <v>621</v>
      </c>
      <c r="D1081" s="7" t="s">
        <v>93</v>
      </c>
      <c r="E1081" s="7" t="s">
        <v>46</v>
      </c>
      <c r="F1081" s="7" t="s">
        <v>98</v>
      </c>
      <c r="G1081" s="7" t="s">
        <v>2880</v>
      </c>
      <c r="I1081" s="1">
        <f t="shared" si="80"/>
        <v>1</v>
      </c>
      <c r="J1081" s="1" t="str">
        <f>'Source build'!A1081</f>
        <v>L01075</v>
      </c>
      <c r="K1081" s="1">
        <f>1081</f>
        <v>1081</v>
      </c>
      <c r="L1081" s="10">
        <f t="shared" si="81"/>
        <v>16948</v>
      </c>
      <c r="M1081" s="1">
        <f t="shared" si="82"/>
        <v>1</v>
      </c>
      <c r="N1081" s="1">
        <f t="shared" si="83"/>
        <v>1</v>
      </c>
      <c r="O1081" s="1" t="str">
        <f>IF(I1081=0,"UNUSED",IF(A1081="","MISSING ID",IF(K1081=0,"UNEXPECTED ID",IF(N1081&lt;&gt;1,"ID / ORDER DIFFERENCE",IF('Source build'!U1081&lt;&gt;"INCLUDED","EXCLUDED SOURCE",IF(NOT(M1081),"INVALID AMOUNT",IF('Source build'!Y1081&lt;&gt;0,"CHANGED FIELDS","MATCH")))))))</f>
        <v>MATCH</v>
      </c>
      <c r="P1081" s="1" t="str">
        <f t="shared" si="84"/>
        <v>2026-03</v>
      </c>
    </row>
    <row r="1082" spans="1:16" ht="18.95" customHeight="1">
      <c r="A1082" s="7" t="s">
        <v>2881</v>
      </c>
      <c r="B1082" s="7" t="s">
        <v>2879</v>
      </c>
      <c r="C1082" s="7" t="s">
        <v>621</v>
      </c>
      <c r="D1082" s="7" t="s">
        <v>97</v>
      </c>
      <c r="E1082" s="7" t="s">
        <v>47</v>
      </c>
      <c r="F1082" s="7" t="s">
        <v>98</v>
      </c>
      <c r="G1082" s="7" t="s">
        <v>2882</v>
      </c>
      <c r="I1082" s="1">
        <f t="shared" si="80"/>
        <v>1</v>
      </c>
      <c r="J1082" s="1" t="str">
        <f>'Source build'!A1082</f>
        <v>L01076</v>
      </c>
      <c r="K1082" s="1">
        <f>1082</f>
        <v>1082</v>
      </c>
      <c r="L1082" s="10">
        <f t="shared" si="81"/>
        <v>4274</v>
      </c>
      <c r="M1082" s="1">
        <f t="shared" si="82"/>
        <v>1</v>
      </c>
      <c r="N1082" s="1">
        <f t="shared" si="83"/>
        <v>1</v>
      </c>
      <c r="O1082" s="1" t="str">
        <f>IF(I1082=0,"UNUSED",IF(A1082="","MISSING ID",IF(K1082=0,"UNEXPECTED ID",IF(N1082&lt;&gt;1,"ID / ORDER DIFFERENCE",IF('Source build'!U1082&lt;&gt;"INCLUDED","EXCLUDED SOURCE",IF(NOT(M1082),"INVALID AMOUNT",IF('Source build'!Y1082&lt;&gt;0,"CHANGED FIELDS","MATCH")))))))</f>
        <v>MATCH</v>
      </c>
      <c r="P1082" s="1" t="str">
        <f t="shared" si="84"/>
        <v>2026-03</v>
      </c>
    </row>
    <row r="1083" spans="1:16" ht="18.95" customHeight="1">
      <c r="A1083" s="7" t="s">
        <v>2883</v>
      </c>
      <c r="B1083" s="7" t="s">
        <v>2884</v>
      </c>
      <c r="C1083" s="7" t="s">
        <v>627</v>
      </c>
      <c r="D1083" s="7" t="s">
        <v>103</v>
      </c>
      <c r="E1083" s="7" t="s">
        <v>48</v>
      </c>
      <c r="F1083" s="7" t="s">
        <v>98</v>
      </c>
      <c r="G1083" s="7" t="s">
        <v>2885</v>
      </c>
      <c r="I1083" s="1">
        <f t="shared" si="80"/>
        <v>1</v>
      </c>
      <c r="J1083" s="1" t="str">
        <f>'Source build'!A1083</f>
        <v>L01077</v>
      </c>
      <c r="K1083" s="1">
        <f>1083</f>
        <v>1083</v>
      </c>
      <c r="L1083" s="10">
        <f t="shared" si="81"/>
        <v>12933</v>
      </c>
      <c r="M1083" s="1">
        <f t="shared" si="82"/>
        <v>1</v>
      </c>
      <c r="N1083" s="1">
        <f t="shared" si="83"/>
        <v>1</v>
      </c>
      <c r="O1083" s="1" t="str">
        <f>IF(I1083=0,"UNUSED",IF(A1083="","MISSING ID",IF(K1083=0,"UNEXPECTED ID",IF(N1083&lt;&gt;1,"ID / ORDER DIFFERENCE",IF('Source build'!U1083&lt;&gt;"INCLUDED","EXCLUDED SOURCE",IF(NOT(M1083),"INVALID AMOUNT",IF('Source build'!Y1083&lt;&gt;0,"CHANGED FIELDS","MATCH")))))))</f>
        <v>MATCH</v>
      </c>
      <c r="P1083" s="1" t="str">
        <f t="shared" si="84"/>
        <v>2026-03</v>
      </c>
    </row>
    <row r="1084" spans="1:16" ht="18.95" customHeight="1">
      <c r="A1084" s="7" t="s">
        <v>2886</v>
      </c>
      <c r="B1084" s="7" t="s">
        <v>2884</v>
      </c>
      <c r="C1084" s="7" t="s">
        <v>627</v>
      </c>
      <c r="D1084" s="7" t="s">
        <v>93</v>
      </c>
      <c r="E1084" s="7" t="s">
        <v>46</v>
      </c>
      <c r="F1084" s="7" t="s">
        <v>98</v>
      </c>
      <c r="G1084" s="7" t="s">
        <v>2887</v>
      </c>
      <c r="I1084" s="1">
        <f t="shared" si="80"/>
        <v>1</v>
      </c>
      <c r="J1084" s="1" t="str">
        <f>'Source build'!A1084</f>
        <v>L01078</v>
      </c>
      <c r="K1084" s="1">
        <f>1084</f>
        <v>1084</v>
      </c>
      <c r="L1084" s="10">
        <f t="shared" si="81"/>
        <v>21740</v>
      </c>
      <c r="M1084" s="1">
        <f t="shared" si="82"/>
        <v>1</v>
      </c>
      <c r="N1084" s="1">
        <f t="shared" si="83"/>
        <v>1</v>
      </c>
      <c r="O1084" s="1" t="str">
        <f>IF(I1084=0,"UNUSED",IF(A1084="","MISSING ID",IF(K1084=0,"UNEXPECTED ID",IF(N1084&lt;&gt;1,"ID / ORDER DIFFERENCE",IF('Source build'!U1084&lt;&gt;"INCLUDED","EXCLUDED SOURCE",IF(NOT(M1084),"INVALID AMOUNT",IF('Source build'!Y1084&lt;&gt;0,"CHANGED FIELDS","MATCH")))))))</f>
        <v>MATCH</v>
      </c>
      <c r="P1084" s="1" t="str">
        <f t="shared" si="84"/>
        <v>2026-03</v>
      </c>
    </row>
    <row r="1085" spans="1:16" ht="18.95" customHeight="1">
      <c r="A1085" s="7" t="s">
        <v>2888</v>
      </c>
      <c r="B1085" s="7" t="s">
        <v>2889</v>
      </c>
      <c r="C1085" s="7" t="s">
        <v>633</v>
      </c>
      <c r="D1085" s="7" t="s">
        <v>97</v>
      </c>
      <c r="E1085" s="7" t="s">
        <v>47</v>
      </c>
      <c r="F1085" s="7" t="s">
        <v>98</v>
      </c>
      <c r="G1085" s="7" t="s">
        <v>2890</v>
      </c>
      <c r="I1085" s="1">
        <f t="shared" si="80"/>
        <v>1</v>
      </c>
      <c r="J1085" s="1" t="str">
        <f>'Source build'!A1085</f>
        <v>L01079</v>
      </c>
      <c r="K1085" s="1">
        <f>1085</f>
        <v>1085</v>
      </c>
      <c r="L1085" s="10">
        <f t="shared" si="81"/>
        <v>8770</v>
      </c>
      <c r="M1085" s="1">
        <f t="shared" si="82"/>
        <v>1</v>
      </c>
      <c r="N1085" s="1">
        <f t="shared" si="83"/>
        <v>1</v>
      </c>
      <c r="O1085" s="1" t="str">
        <f>IF(I1085=0,"UNUSED",IF(A1085="","MISSING ID",IF(K1085=0,"UNEXPECTED ID",IF(N1085&lt;&gt;1,"ID / ORDER DIFFERENCE",IF('Source build'!U1085&lt;&gt;"INCLUDED","EXCLUDED SOURCE",IF(NOT(M1085),"INVALID AMOUNT",IF('Source build'!Y1085&lt;&gt;0,"CHANGED FIELDS","MATCH")))))))</f>
        <v>MATCH</v>
      </c>
      <c r="P1085" s="1" t="str">
        <f t="shared" si="84"/>
        <v>2026-03</v>
      </c>
    </row>
    <row r="1086" spans="1:16" ht="18.95" customHeight="1">
      <c r="A1086" s="7" t="s">
        <v>2891</v>
      </c>
      <c r="B1086" s="7" t="s">
        <v>2889</v>
      </c>
      <c r="C1086" s="7" t="s">
        <v>633</v>
      </c>
      <c r="D1086" s="7" t="s">
        <v>103</v>
      </c>
      <c r="E1086" s="7" t="s">
        <v>48</v>
      </c>
      <c r="F1086" s="7" t="s">
        <v>98</v>
      </c>
      <c r="G1086" s="7" t="s">
        <v>2892</v>
      </c>
      <c r="I1086" s="1">
        <f t="shared" si="80"/>
        <v>1</v>
      </c>
      <c r="J1086" s="1" t="str">
        <f>'Source build'!A1086</f>
        <v>L01080</v>
      </c>
      <c r="K1086" s="1">
        <f>1086</f>
        <v>1086</v>
      </c>
      <c r="L1086" s="10">
        <f t="shared" si="81"/>
        <v>17688</v>
      </c>
      <c r="M1086" s="1">
        <f t="shared" si="82"/>
        <v>1</v>
      </c>
      <c r="N1086" s="1">
        <f t="shared" si="83"/>
        <v>1</v>
      </c>
      <c r="O1086" s="1" t="str">
        <f>IF(I1086=0,"UNUSED",IF(A1086="","MISSING ID",IF(K1086=0,"UNEXPECTED ID",IF(N1086&lt;&gt;1,"ID / ORDER DIFFERENCE",IF('Source build'!U1086&lt;&gt;"INCLUDED","EXCLUDED SOURCE",IF(NOT(M1086),"INVALID AMOUNT",IF('Source build'!Y1086&lt;&gt;0,"CHANGED FIELDS","MATCH")))))))</f>
        <v>MATCH</v>
      </c>
      <c r="P1086" s="1" t="str">
        <f t="shared" si="84"/>
        <v>2026-03</v>
      </c>
    </row>
    <row r="1087" spans="1:16" ht="18.95" customHeight="1">
      <c r="A1087" s="7" t="s">
        <v>2893</v>
      </c>
      <c r="B1087" s="7" t="s">
        <v>2894</v>
      </c>
      <c r="C1087" s="7" t="s">
        <v>92</v>
      </c>
      <c r="D1087" s="7" t="s">
        <v>93</v>
      </c>
      <c r="E1087" s="7" t="s">
        <v>46</v>
      </c>
      <c r="F1087" s="7" t="s">
        <v>98</v>
      </c>
      <c r="G1087" s="7" t="s">
        <v>2895</v>
      </c>
      <c r="I1087" s="1">
        <f t="shared" si="80"/>
        <v>1</v>
      </c>
      <c r="J1087" s="1" t="str">
        <f>'Source build'!A1087</f>
        <v>L01081</v>
      </c>
      <c r="K1087" s="1">
        <f>1087</f>
        <v>1087</v>
      </c>
      <c r="L1087" s="10">
        <f t="shared" si="81"/>
        <v>4459</v>
      </c>
      <c r="M1087" s="1">
        <f t="shared" si="82"/>
        <v>1</v>
      </c>
      <c r="N1087" s="1">
        <f t="shared" si="83"/>
        <v>1</v>
      </c>
      <c r="O1087" s="1" t="str">
        <f>IF(I1087=0,"UNUSED",IF(A1087="","MISSING ID",IF(K1087=0,"UNEXPECTED ID",IF(N1087&lt;&gt;1,"ID / ORDER DIFFERENCE",IF('Source build'!U1087&lt;&gt;"INCLUDED","EXCLUDED SOURCE",IF(NOT(M1087),"INVALID AMOUNT",IF('Source build'!Y1087&lt;&gt;0,"CHANGED FIELDS","MATCH")))))))</f>
        <v>MATCH</v>
      </c>
      <c r="P1087" s="1" t="str">
        <f t="shared" si="84"/>
        <v>2026-01</v>
      </c>
    </row>
    <row r="1088" spans="1:16" ht="18.95" customHeight="1">
      <c r="A1088" s="7" t="s">
        <v>2896</v>
      </c>
      <c r="B1088" s="7" t="s">
        <v>2894</v>
      </c>
      <c r="C1088" s="7" t="s">
        <v>92</v>
      </c>
      <c r="D1088" s="7" t="s">
        <v>97</v>
      </c>
      <c r="E1088" s="7" t="s">
        <v>47</v>
      </c>
      <c r="F1088" s="7" t="s">
        <v>94</v>
      </c>
      <c r="G1088" s="7" t="s">
        <v>2897</v>
      </c>
      <c r="I1088" s="1">
        <f t="shared" si="80"/>
        <v>1</v>
      </c>
      <c r="J1088" s="1" t="str">
        <f>'Source build'!A1088</f>
        <v>L01082</v>
      </c>
      <c r="K1088" s="1">
        <f>1088</f>
        <v>1088</v>
      </c>
      <c r="L1088" s="10">
        <f t="shared" si="81"/>
        <v>-13488</v>
      </c>
      <c r="M1088" s="1">
        <f t="shared" si="82"/>
        <v>1</v>
      </c>
      <c r="N1088" s="1">
        <f t="shared" si="83"/>
        <v>1</v>
      </c>
      <c r="O1088" s="1" t="str">
        <f>IF(I1088=0,"UNUSED",IF(A1088="","MISSING ID",IF(K1088=0,"UNEXPECTED ID",IF(N1088&lt;&gt;1,"ID / ORDER DIFFERENCE",IF('Source build'!U1088&lt;&gt;"INCLUDED","EXCLUDED SOURCE",IF(NOT(M1088),"INVALID AMOUNT",IF('Source build'!Y1088&lt;&gt;0,"CHANGED FIELDS","MATCH")))))))</f>
        <v>MATCH</v>
      </c>
      <c r="P1088" s="1" t="str">
        <f t="shared" si="84"/>
        <v>2026-01</v>
      </c>
    </row>
    <row r="1089" spans="1:16" ht="18.95" customHeight="1">
      <c r="A1089" s="7" t="s">
        <v>2898</v>
      </c>
      <c r="B1089" s="7" t="s">
        <v>2899</v>
      </c>
      <c r="C1089" s="7" t="s">
        <v>102</v>
      </c>
      <c r="D1089" s="7" t="s">
        <v>103</v>
      </c>
      <c r="E1089" s="7" t="s">
        <v>48</v>
      </c>
      <c r="F1089" s="7" t="s">
        <v>98</v>
      </c>
      <c r="G1089" s="7" t="s">
        <v>2900</v>
      </c>
      <c r="I1089" s="1">
        <f t="shared" si="80"/>
        <v>1</v>
      </c>
      <c r="J1089" s="1" t="str">
        <f>'Source build'!A1089</f>
        <v>L01083</v>
      </c>
      <c r="K1089" s="1">
        <f>1089</f>
        <v>1089</v>
      </c>
      <c r="L1089" s="10">
        <f t="shared" si="81"/>
        <v>22665</v>
      </c>
      <c r="M1089" s="1">
        <f t="shared" si="82"/>
        <v>1</v>
      </c>
      <c r="N1089" s="1">
        <f t="shared" si="83"/>
        <v>1</v>
      </c>
      <c r="O1089" s="1" t="str">
        <f>IF(I1089=0,"UNUSED",IF(A1089="","MISSING ID",IF(K1089=0,"UNEXPECTED ID",IF(N1089&lt;&gt;1,"ID / ORDER DIFFERENCE",IF('Source build'!U1089&lt;&gt;"INCLUDED","EXCLUDED SOURCE",IF(NOT(M1089),"INVALID AMOUNT",IF('Source build'!Y1089&lt;&gt;0,"CHANGED FIELDS","MATCH")))))))</f>
        <v>MATCH</v>
      </c>
      <c r="P1089" s="1" t="str">
        <f t="shared" si="84"/>
        <v>2026-01</v>
      </c>
    </row>
    <row r="1090" spans="1:16" ht="18.95" customHeight="1">
      <c r="A1090" s="7" t="s">
        <v>2901</v>
      </c>
      <c r="B1090" s="7" t="s">
        <v>2899</v>
      </c>
      <c r="C1090" s="7" t="s">
        <v>102</v>
      </c>
      <c r="D1090" s="7" t="s">
        <v>93</v>
      </c>
      <c r="E1090" s="7" t="s">
        <v>46</v>
      </c>
      <c r="F1090" s="7" t="s">
        <v>98</v>
      </c>
      <c r="G1090" s="7" t="s">
        <v>2902</v>
      </c>
      <c r="I1090" s="1">
        <f t="shared" si="80"/>
        <v>1</v>
      </c>
      <c r="J1090" s="1" t="str">
        <f>'Source build'!A1090</f>
        <v>L01084</v>
      </c>
      <c r="K1090" s="1">
        <f>1090</f>
        <v>1090</v>
      </c>
      <c r="L1090" s="10">
        <f t="shared" si="81"/>
        <v>9140</v>
      </c>
      <c r="M1090" s="1">
        <f t="shared" si="82"/>
        <v>1</v>
      </c>
      <c r="N1090" s="1">
        <f t="shared" si="83"/>
        <v>1</v>
      </c>
      <c r="O1090" s="1" t="str">
        <f>IF(I1090=0,"UNUSED",IF(A1090="","MISSING ID",IF(K1090=0,"UNEXPECTED ID",IF(N1090&lt;&gt;1,"ID / ORDER DIFFERENCE",IF('Source build'!U1090&lt;&gt;"INCLUDED","EXCLUDED SOURCE",IF(NOT(M1090),"INVALID AMOUNT",IF('Source build'!Y1090&lt;&gt;0,"CHANGED FIELDS","MATCH")))))))</f>
        <v>MATCH</v>
      </c>
      <c r="P1090" s="1" t="str">
        <f t="shared" si="84"/>
        <v>2026-01</v>
      </c>
    </row>
    <row r="1091" spans="1:16" ht="18.95" customHeight="1">
      <c r="A1091" s="7" t="s">
        <v>2903</v>
      </c>
      <c r="B1091" s="7" t="s">
        <v>2904</v>
      </c>
      <c r="C1091" s="7" t="s">
        <v>109</v>
      </c>
      <c r="D1091" s="7" t="s">
        <v>97</v>
      </c>
      <c r="E1091" s="7" t="s">
        <v>47</v>
      </c>
      <c r="F1091" s="7" t="s">
        <v>98</v>
      </c>
      <c r="G1091" s="7" t="s">
        <v>2905</v>
      </c>
      <c r="I1091" s="1">
        <f t="shared" si="80"/>
        <v>1</v>
      </c>
      <c r="J1091" s="1" t="str">
        <f>'Source build'!A1091</f>
        <v>L01085</v>
      </c>
      <c r="K1091" s="1">
        <f>1091</f>
        <v>1091</v>
      </c>
      <c r="L1091" s="10">
        <f t="shared" si="81"/>
        <v>18428</v>
      </c>
      <c r="M1091" s="1">
        <f t="shared" si="82"/>
        <v>1</v>
      </c>
      <c r="N1091" s="1">
        <f t="shared" si="83"/>
        <v>1</v>
      </c>
      <c r="O1091" s="1" t="str">
        <f>IF(I1091=0,"UNUSED",IF(A1091="","MISSING ID",IF(K1091=0,"UNEXPECTED ID",IF(N1091&lt;&gt;1,"ID / ORDER DIFFERENCE",IF('Source build'!U1091&lt;&gt;"INCLUDED","EXCLUDED SOURCE",IF(NOT(M1091),"INVALID AMOUNT",IF('Source build'!Y1091&lt;&gt;0,"CHANGED FIELDS","MATCH")))))))</f>
        <v>MATCH</v>
      </c>
      <c r="P1091" s="1" t="str">
        <f t="shared" si="84"/>
        <v>2026-01</v>
      </c>
    </row>
    <row r="1092" spans="1:16" ht="18.95" customHeight="1">
      <c r="A1092" s="7" t="s">
        <v>2906</v>
      </c>
      <c r="B1092" s="7" t="s">
        <v>2904</v>
      </c>
      <c r="C1092" s="7" t="s">
        <v>109</v>
      </c>
      <c r="D1092" s="7" t="s">
        <v>103</v>
      </c>
      <c r="E1092" s="7" t="s">
        <v>48</v>
      </c>
      <c r="F1092" s="7" t="s">
        <v>98</v>
      </c>
      <c r="G1092" s="7" t="s">
        <v>2907</v>
      </c>
      <c r="I1092" s="1">
        <f t="shared" si="80"/>
        <v>1</v>
      </c>
      <c r="J1092" s="1" t="str">
        <f>'Source build'!A1092</f>
        <v>L01086</v>
      </c>
      <c r="K1092" s="1">
        <f>1092</f>
        <v>1092</v>
      </c>
      <c r="L1092" s="10">
        <f t="shared" si="81"/>
        <v>4644</v>
      </c>
      <c r="M1092" s="1">
        <f t="shared" si="82"/>
        <v>1</v>
      </c>
      <c r="N1092" s="1">
        <f t="shared" si="83"/>
        <v>1</v>
      </c>
      <c r="O1092" s="1" t="str">
        <f>IF(I1092=0,"UNUSED",IF(A1092="","MISSING ID",IF(K1092=0,"UNEXPECTED ID",IF(N1092&lt;&gt;1,"ID / ORDER DIFFERENCE",IF('Source build'!U1092&lt;&gt;"INCLUDED","EXCLUDED SOURCE",IF(NOT(M1092),"INVALID AMOUNT",IF('Source build'!Y1092&lt;&gt;0,"CHANGED FIELDS","MATCH")))))))</f>
        <v>MATCH</v>
      </c>
      <c r="P1092" s="1" t="str">
        <f t="shared" si="84"/>
        <v>2026-01</v>
      </c>
    </row>
    <row r="1093" spans="1:16" ht="18.95" customHeight="1">
      <c r="A1093" s="7" t="s">
        <v>2908</v>
      </c>
      <c r="B1093" s="7" t="s">
        <v>2909</v>
      </c>
      <c r="C1093" s="7" t="s">
        <v>115</v>
      </c>
      <c r="D1093" s="7" t="s">
        <v>93</v>
      </c>
      <c r="E1093" s="7" t="s">
        <v>46</v>
      </c>
      <c r="F1093" s="7" t="s">
        <v>98</v>
      </c>
      <c r="G1093" s="7" t="s">
        <v>2910</v>
      </c>
      <c r="I1093" s="1">
        <f t="shared" si="80"/>
        <v>1</v>
      </c>
      <c r="J1093" s="1" t="str">
        <f>'Source build'!A1093</f>
        <v>L01087</v>
      </c>
      <c r="K1093" s="1">
        <f>1093</f>
        <v>1093</v>
      </c>
      <c r="L1093" s="10">
        <f t="shared" si="81"/>
        <v>14043</v>
      </c>
      <c r="M1093" s="1">
        <f t="shared" si="82"/>
        <v>1</v>
      </c>
      <c r="N1093" s="1">
        <f t="shared" si="83"/>
        <v>1</v>
      </c>
      <c r="O1093" s="1" t="str">
        <f>IF(I1093=0,"UNUSED",IF(A1093="","MISSING ID",IF(K1093=0,"UNEXPECTED ID",IF(N1093&lt;&gt;1,"ID / ORDER DIFFERENCE",IF('Source build'!U1093&lt;&gt;"INCLUDED","EXCLUDED SOURCE",IF(NOT(M1093),"INVALID AMOUNT",IF('Source build'!Y1093&lt;&gt;0,"CHANGED FIELDS","MATCH")))))))</f>
        <v>MATCH</v>
      </c>
      <c r="P1093" s="1" t="str">
        <f t="shared" si="84"/>
        <v>2026-01</v>
      </c>
    </row>
    <row r="1094" spans="1:16" ht="18.95" customHeight="1">
      <c r="A1094" s="7" t="s">
        <v>2911</v>
      </c>
      <c r="B1094" s="7" t="s">
        <v>2909</v>
      </c>
      <c r="C1094" s="7" t="s">
        <v>115</v>
      </c>
      <c r="D1094" s="7" t="s">
        <v>97</v>
      </c>
      <c r="E1094" s="7" t="s">
        <v>47</v>
      </c>
      <c r="F1094" s="7" t="s">
        <v>98</v>
      </c>
      <c r="G1094" s="7" t="s">
        <v>2912</v>
      </c>
      <c r="I1094" s="1">
        <f t="shared" si="80"/>
        <v>1</v>
      </c>
      <c r="J1094" s="1" t="str">
        <f>'Source build'!A1094</f>
        <v>L01088</v>
      </c>
      <c r="K1094" s="1">
        <f>1094</f>
        <v>1094</v>
      </c>
      <c r="L1094" s="10">
        <f t="shared" si="81"/>
        <v>23590</v>
      </c>
      <c r="M1094" s="1">
        <f t="shared" si="82"/>
        <v>1</v>
      </c>
      <c r="N1094" s="1">
        <f t="shared" si="83"/>
        <v>1</v>
      </c>
      <c r="O1094" s="1" t="str">
        <f>IF(I1094=0,"UNUSED",IF(A1094="","MISSING ID",IF(K1094=0,"UNEXPECTED ID",IF(N1094&lt;&gt;1,"ID / ORDER DIFFERENCE",IF('Source build'!U1094&lt;&gt;"INCLUDED","EXCLUDED SOURCE",IF(NOT(M1094),"INVALID AMOUNT",IF('Source build'!Y1094&lt;&gt;0,"CHANGED FIELDS","MATCH")))))))</f>
        <v>MATCH</v>
      </c>
      <c r="P1094" s="1" t="str">
        <f t="shared" si="84"/>
        <v>2026-01</v>
      </c>
    </row>
    <row r="1095" spans="1:16" ht="18.95" customHeight="1">
      <c r="A1095" s="7" t="s">
        <v>2913</v>
      </c>
      <c r="B1095" s="7" t="s">
        <v>2914</v>
      </c>
      <c r="C1095" s="7" t="s">
        <v>121</v>
      </c>
      <c r="D1095" s="7" t="s">
        <v>103</v>
      </c>
      <c r="E1095" s="7" t="s">
        <v>48</v>
      </c>
      <c r="F1095" s="7" t="s">
        <v>98</v>
      </c>
      <c r="G1095" s="7" t="s">
        <v>2915</v>
      </c>
      <c r="I1095" s="1">
        <f t="shared" ref="I1095:I1158" si="85">IF(AND(A1095="",B1095="",C1095="",D1095="",E1095="",F1095="",G1095=""),0,1)</f>
        <v>1</v>
      </c>
      <c r="J1095" s="1" t="str">
        <f>'Source build'!A1095</f>
        <v>L01089</v>
      </c>
      <c r="K1095" s="1">
        <f>1095</f>
        <v>1095</v>
      </c>
      <c r="L1095" s="10">
        <f t="shared" ref="L1095:L1158" si="86">IFERROR(IF(ABS(VALUE(G1095)*100-ROUND(VALUE(G1095)*100,0))&lt;0.0000001,ROUND(VALUE(G1095)*100,0),0),0)</f>
        <v>9510</v>
      </c>
      <c r="M1095" s="1">
        <f t="shared" ref="M1095:M1158" si="87">--IF(I1095=0,TRUE,IF(TRIM(G1095)="",FALSE,IFERROR(AND(ISNUMBER(VALUE(G1095)),ABS(VALUE(G1095)*100-ROUND(VALUE(G1095)*100,0))&lt;0.0000001,OR(ISNUMBER(G1095),EXACT(G1095,TEXT(VALUE(G1095),"0.00"))),OR(AND(EXACT(F1095,"sale"),VALUE(G1095)&gt;0),AND(EXACT(F1095,"refund"),VALUE(G1095)&lt;0))),FALSE)))</f>
        <v>1</v>
      </c>
      <c r="N1095" s="1">
        <f t="shared" ref="N1095:N1158" si="88">IF(I1095=1,IF(EXACT(A1095,J1095),1,0),0)</f>
        <v>1</v>
      </c>
      <c r="O1095" s="1" t="str">
        <f>IF(I1095=0,"UNUSED",IF(A1095="","MISSING ID",IF(K1095=0,"UNEXPECTED ID",IF(N1095&lt;&gt;1,"ID / ORDER DIFFERENCE",IF('Source build'!U1095&lt;&gt;"INCLUDED","EXCLUDED SOURCE",IF(NOT(M1095),"INVALID AMOUNT",IF('Source build'!Y1095&lt;&gt;0,"CHANGED FIELDS","MATCH")))))))</f>
        <v>MATCH</v>
      </c>
      <c r="P1095" s="1" t="str">
        <f t="shared" ref="P1095:P1158" si="89">IF(I1095=1,LEFT(C1095,7),"")</f>
        <v>2026-01</v>
      </c>
    </row>
    <row r="1096" spans="1:16" ht="18.95" customHeight="1">
      <c r="A1096" s="7" t="s">
        <v>2916</v>
      </c>
      <c r="B1096" s="7" t="s">
        <v>2914</v>
      </c>
      <c r="C1096" s="7" t="s">
        <v>121</v>
      </c>
      <c r="D1096" s="7" t="s">
        <v>93</v>
      </c>
      <c r="E1096" s="7" t="s">
        <v>46</v>
      </c>
      <c r="F1096" s="7" t="s">
        <v>98</v>
      </c>
      <c r="G1096" s="7" t="s">
        <v>2917</v>
      </c>
      <c r="I1096" s="1">
        <f t="shared" si="85"/>
        <v>1</v>
      </c>
      <c r="J1096" s="1" t="str">
        <f>'Source build'!A1096</f>
        <v>L01090</v>
      </c>
      <c r="K1096" s="1">
        <f>1096</f>
        <v>1096</v>
      </c>
      <c r="L1096" s="10">
        <f t="shared" si="86"/>
        <v>19168</v>
      </c>
      <c r="M1096" s="1">
        <f t="shared" si="87"/>
        <v>1</v>
      </c>
      <c r="N1096" s="1">
        <f t="shared" si="88"/>
        <v>1</v>
      </c>
      <c r="O1096" s="1" t="str">
        <f>IF(I1096=0,"UNUSED",IF(A1096="","MISSING ID",IF(K1096=0,"UNEXPECTED ID",IF(N1096&lt;&gt;1,"ID / ORDER DIFFERENCE",IF('Source build'!U1096&lt;&gt;"INCLUDED","EXCLUDED SOURCE",IF(NOT(M1096),"INVALID AMOUNT",IF('Source build'!Y1096&lt;&gt;0,"CHANGED FIELDS","MATCH")))))))</f>
        <v>MATCH</v>
      </c>
      <c r="P1096" s="1" t="str">
        <f t="shared" si="89"/>
        <v>2026-01</v>
      </c>
    </row>
    <row r="1097" spans="1:16" ht="18.95" customHeight="1">
      <c r="A1097" s="7" t="s">
        <v>2918</v>
      </c>
      <c r="B1097" s="7" t="s">
        <v>2919</v>
      </c>
      <c r="C1097" s="7" t="s">
        <v>127</v>
      </c>
      <c r="D1097" s="7" t="s">
        <v>97</v>
      </c>
      <c r="E1097" s="7" t="s">
        <v>47</v>
      </c>
      <c r="F1097" s="7" t="s">
        <v>98</v>
      </c>
      <c r="G1097" s="7" t="s">
        <v>2920</v>
      </c>
      <c r="I1097" s="1">
        <f t="shared" si="85"/>
        <v>1</v>
      </c>
      <c r="J1097" s="1" t="str">
        <f>'Source build'!A1097</f>
        <v>L01091</v>
      </c>
      <c r="K1097" s="1">
        <f>1097</f>
        <v>1097</v>
      </c>
      <c r="L1097" s="10">
        <f t="shared" si="86"/>
        <v>4829</v>
      </c>
      <c r="M1097" s="1">
        <f t="shared" si="87"/>
        <v>1</v>
      </c>
      <c r="N1097" s="1">
        <f t="shared" si="88"/>
        <v>1</v>
      </c>
      <c r="O1097" s="1" t="str">
        <f>IF(I1097=0,"UNUSED",IF(A1097="","MISSING ID",IF(K1097=0,"UNEXPECTED ID",IF(N1097&lt;&gt;1,"ID / ORDER DIFFERENCE",IF('Source build'!U1097&lt;&gt;"INCLUDED","EXCLUDED SOURCE",IF(NOT(M1097),"INVALID AMOUNT",IF('Source build'!Y1097&lt;&gt;0,"CHANGED FIELDS","MATCH")))))))</f>
        <v>MATCH</v>
      </c>
      <c r="P1097" s="1" t="str">
        <f t="shared" si="89"/>
        <v>2026-02</v>
      </c>
    </row>
    <row r="1098" spans="1:16" ht="18.95" customHeight="1">
      <c r="A1098" s="7" t="s">
        <v>2921</v>
      </c>
      <c r="B1098" s="7" t="s">
        <v>2919</v>
      </c>
      <c r="C1098" s="7" t="s">
        <v>127</v>
      </c>
      <c r="D1098" s="7" t="s">
        <v>103</v>
      </c>
      <c r="E1098" s="7" t="s">
        <v>48</v>
      </c>
      <c r="F1098" s="7" t="s">
        <v>98</v>
      </c>
      <c r="G1098" s="7" t="s">
        <v>2922</v>
      </c>
      <c r="I1098" s="1">
        <f t="shared" si="85"/>
        <v>1</v>
      </c>
      <c r="J1098" s="1" t="str">
        <f>'Source build'!A1098</f>
        <v>L01092</v>
      </c>
      <c r="K1098" s="1">
        <f>1098</f>
        <v>1098</v>
      </c>
      <c r="L1098" s="10">
        <f t="shared" si="86"/>
        <v>14598</v>
      </c>
      <c r="M1098" s="1">
        <f t="shared" si="87"/>
        <v>1</v>
      </c>
      <c r="N1098" s="1">
        <f t="shared" si="88"/>
        <v>1</v>
      </c>
      <c r="O1098" s="1" t="str">
        <f>IF(I1098=0,"UNUSED",IF(A1098="","MISSING ID",IF(K1098=0,"UNEXPECTED ID",IF(N1098&lt;&gt;1,"ID / ORDER DIFFERENCE",IF('Source build'!U1098&lt;&gt;"INCLUDED","EXCLUDED SOURCE",IF(NOT(M1098),"INVALID AMOUNT",IF('Source build'!Y1098&lt;&gt;0,"CHANGED FIELDS","MATCH")))))))</f>
        <v>MATCH</v>
      </c>
      <c r="P1098" s="1" t="str">
        <f t="shared" si="89"/>
        <v>2026-02</v>
      </c>
    </row>
    <row r="1099" spans="1:16" ht="18.95" customHeight="1">
      <c r="A1099" s="7" t="s">
        <v>2923</v>
      </c>
      <c r="B1099" s="7" t="s">
        <v>2924</v>
      </c>
      <c r="C1099" s="7" t="s">
        <v>133</v>
      </c>
      <c r="D1099" s="7" t="s">
        <v>93</v>
      </c>
      <c r="E1099" s="7" t="s">
        <v>46</v>
      </c>
      <c r="F1099" s="7" t="s">
        <v>98</v>
      </c>
      <c r="G1099" s="7" t="s">
        <v>2925</v>
      </c>
      <c r="I1099" s="1">
        <f t="shared" si="85"/>
        <v>1</v>
      </c>
      <c r="J1099" s="1" t="str">
        <f>'Source build'!A1099</f>
        <v>L01093</v>
      </c>
      <c r="K1099" s="1">
        <f>1099</f>
        <v>1099</v>
      </c>
      <c r="L1099" s="10">
        <f t="shared" si="86"/>
        <v>24515</v>
      </c>
      <c r="M1099" s="1">
        <f t="shared" si="87"/>
        <v>1</v>
      </c>
      <c r="N1099" s="1">
        <f t="shared" si="88"/>
        <v>1</v>
      </c>
      <c r="O1099" s="1" t="str">
        <f>IF(I1099=0,"UNUSED",IF(A1099="","MISSING ID",IF(K1099=0,"UNEXPECTED ID",IF(N1099&lt;&gt;1,"ID / ORDER DIFFERENCE",IF('Source build'!U1099&lt;&gt;"INCLUDED","EXCLUDED SOURCE",IF(NOT(M1099),"INVALID AMOUNT",IF('Source build'!Y1099&lt;&gt;0,"CHANGED FIELDS","MATCH")))))))</f>
        <v>MATCH</v>
      </c>
      <c r="P1099" s="1" t="str">
        <f t="shared" si="89"/>
        <v>2026-02</v>
      </c>
    </row>
    <row r="1100" spans="1:16" ht="18.95" customHeight="1">
      <c r="A1100" s="7" t="s">
        <v>2926</v>
      </c>
      <c r="B1100" s="7" t="s">
        <v>2924</v>
      </c>
      <c r="C1100" s="7" t="s">
        <v>133</v>
      </c>
      <c r="D1100" s="7" t="s">
        <v>97</v>
      </c>
      <c r="E1100" s="7" t="s">
        <v>47</v>
      </c>
      <c r="F1100" s="7" t="s">
        <v>98</v>
      </c>
      <c r="G1100" s="7" t="s">
        <v>2927</v>
      </c>
      <c r="I1100" s="1">
        <f t="shared" si="85"/>
        <v>1</v>
      </c>
      <c r="J1100" s="1" t="str">
        <f>'Source build'!A1100</f>
        <v>L01094</v>
      </c>
      <c r="K1100" s="1">
        <f>1100</f>
        <v>1100</v>
      </c>
      <c r="L1100" s="10">
        <f t="shared" si="86"/>
        <v>9880</v>
      </c>
      <c r="M1100" s="1">
        <f t="shared" si="87"/>
        <v>1</v>
      </c>
      <c r="N1100" s="1">
        <f t="shared" si="88"/>
        <v>1</v>
      </c>
      <c r="O1100" s="1" t="str">
        <f>IF(I1100=0,"UNUSED",IF(A1100="","MISSING ID",IF(K1100=0,"UNEXPECTED ID",IF(N1100&lt;&gt;1,"ID / ORDER DIFFERENCE",IF('Source build'!U1100&lt;&gt;"INCLUDED","EXCLUDED SOURCE",IF(NOT(M1100),"INVALID AMOUNT",IF('Source build'!Y1100&lt;&gt;0,"CHANGED FIELDS","MATCH")))))))</f>
        <v>MATCH</v>
      </c>
      <c r="P1100" s="1" t="str">
        <f t="shared" si="89"/>
        <v>2026-02</v>
      </c>
    </row>
    <row r="1101" spans="1:16" ht="18.95" customHeight="1">
      <c r="A1101" s="7" t="s">
        <v>2928</v>
      </c>
      <c r="B1101" s="7" t="s">
        <v>2929</v>
      </c>
      <c r="C1101" s="7" t="s">
        <v>139</v>
      </c>
      <c r="D1101" s="7" t="s">
        <v>103</v>
      </c>
      <c r="E1101" s="7" t="s">
        <v>48</v>
      </c>
      <c r="F1101" s="7" t="s">
        <v>98</v>
      </c>
      <c r="G1101" s="7" t="s">
        <v>2930</v>
      </c>
      <c r="I1101" s="1">
        <f t="shared" si="85"/>
        <v>1</v>
      </c>
      <c r="J1101" s="1" t="str">
        <f>'Source build'!A1101</f>
        <v>L01095</v>
      </c>
      <c r="K1101" s="1">
        <f>1101</f>
        <v>1101</v>
      </c>
      <c r="L1101" s="10">
        <f t="shared" si="86"/>
        <v>19908</v>
      </c>
      <c r="M1101" s="1">
        <f t="shared" si="87"/>
        <v>1</v>
      </c>
      <c r="N1101" s="1">
        <f t="shared" si="88"/>
        <v>1</v>
      </c>
      <c r="O1101" s="1" t="str">
        <f>IF(I1101=0,"UNUSED",IF(A1101="","MISSING ID",IF(K1101=0,"UNEXPECTED ID",IF(N1101&lt;&gt;1,"ID / ORDER DIFFERENCE",IF('Source build'!U1101&lt;&gt;"INCLUDED","EXCLUDED SOURCE",IF(NOT(M1101),"INVALID AMOUNT",IF('Source build'!Y1101&lt;&gt;0,"CHANGED FIELDS","MATCH")))))))</f>
        <v>MATCH</v>
      </c>
      <c r="P1101" s="1" t="str">
        <f t="shared" si="89"/>
        <v>2026-02</v>
      </c>
    </row>
    <row r="1102" spans="1:16" ht="18.95" customHeight="1">
      <c r="A1102" s="7" t="s">
        <v>2931</v>
      </c>
      <c r="B1102" s="7" t="s">
        <v>2929</v>
      </c>
      <c r="C1102" s="7" t="s">
        <v>139</v>
      </c>
      <c r="D1102" s="7" t="s">
        <v>93</v>
      </c>
      <c r="E1102" s="7" t="s">
        <v>46</v>
      </c>
      <c r="F1102" s="7" t="s">
        <v>98</v>
      </c>
      <c r="G1102" s="7" t="s">
        <v>2932</v>
      </c>
      <c r="I1102" s="1">
        <f t="shared" si="85"/>
        <v>1</v>
      </c>
      <c r="J1102" s="1" t="str">
        <f>'Source build'!A1102</f>
        <v>L01096</v>
      </c>
      <c r="K1102" s="1">
        <f>1102</f>
        <v>1102</v>
      </c>
      <c r="L1102" s="10">
        <f t="shared" si="86"/>
        <v>5014</v>
      </c>
      <c r="M1102" s="1">
        <f t="shared" si="87"/>
        <v>1</v>
      </c>
      <c r="N1102" s="1">
        <f t="shared" si="88"/>
        <v>1</v>
      </c>
      <c r="O1102" s="1" t="str">
        <f>IF(I1102=0,"UNUSED",IF(A1102="","MISSING ID",IF(K1102=0,"UNEXPECTED ID",IF(N1102&lt;&gt;1,"ID / ORDER DIFFERENCE",IF('Source build'!U1102&lt;&gt;"INCLUDED","EXCLUDED SOURCE",IF(NOT(M1102),"INVALID AMOUNT",IF('Source build'!Y1102&lt;&gt;0,"CHANGED FIELDS","MATCH")))))))</f>
        <v>MATCH</v>
      </c>
      <c r="P1102" s="1" t="str">
        <f t="shared" si="89"/>
        <v>2026-02</v>
      </c>
    </row>
    <row r="1103" spans="1:16" ht="18.95" customHeight="1">
      <c r="A1103" s="7" t="s">
        <v>2933</v>
      </c>
      <c r="B1103" s="7" t="s">
        <v>2934</v>
      </c>
      <c r="C1103" s="7" t="s">
        <v>145</v>
      </c>
      <c r="D1103" s="7" t="s">
        <v>97</v>
      </c>
      <c r="E1103" s="7" t="s">
        <v>47</v>
      </c>
      <c r="F1103" s="7" t="s">
        <v>98</v>
      </c>
      <c r="G1103" s="7" t="s">
        <v>2935</v>
      </c>
      <c r="I1103" s="1">
        <f t="shared" si="85"/>
        <v>1</v>
      </c>
      <c r="J1103" s="1" t="str">
        <f>'Source build'!A1103</f>
        <v>L01097</v>
      </c>
      <c r="K1103" s="1">
        <f>1103</f>
        <v>1103</v>
      </c>
      <c r="L1103" s="10">
        <f t="shared" si="86"/>
        <v>15153</v>
      </c>
      <c r="M1103" s="1">
        <f t="shared" si="87"/>
        <v>1</v>
      </c>
      <c r="N1103" s="1">
        <f t="shared" si="88"/>
        <v>1</v>
      </c>
      <c r="O1103" s="1" t="str">
        <f>IF(I1103=0,"UNUSED",IF(A1103="","MISSING ID",IF(K1103=0,"UNEXPECTED ID",IF(N1103&lt;&gt;1,"ID / ORDER DIFFERENCE",IF('Source build'!U1103&lt;&gt;"INCLUDED","EXCLUDED SOURCE",IF(NOT(M1103),"INVALID AMOUNT",IF('Source build'!Y1103&lt;&gt;0,"CHANGED FIELDS","MATCH")))))))</f>
        <v>MATCH</v>
      </c>
      <c r="P1103" s="1" t="str">
        <f t="shared" si="89"/>
        <v>2026-02</v>
      </c>
    </row>
    <row r="1104" spans="1:16" ht="18.95" customHeight="1">
      <c r="A1104" s="7" t="s">
        <v>2936</v>
      </c>
      <c r="B1104" s="7" t="s">
        <v>2934</v>
      </c>
      <c r="C1104" s="7" t="s">
        <v>145</v>
      </c>
      <c r="D1104" s="7" t="s">
        <v>103</v>
      </c>
      <c r="E1104" s="7" t="s">
        <v>48</v>
      </c>
      <c r="F1104" s="7" t="s">
        <v>98</v>
      </c>
      <c r="G1104" s="7" t="s">
        <v>2937</v>
      </c>
      <c r="I1104" s="1">
        <f t="shared" si="85"/>
        <v>1</v>
      </c>
      <c r="J1104" s="1" t="str">
        <f>'Source build'!A1104</f>
        <v>L01098</v>
      </c>
      <c r="K1104" s="1">
        <f>1104</f>
        <v>1104</v>
      </c>
      <c r="L1104" s="10">
        <f t="shared" si="86"/>
        <v>25440</v>
      </c>
      <c r="M1104" s="1">
        <f t="shared" si="87"/>
        <v>1</v>
      </c>
      <c r="N1104" s="1">
        <f t="shared" si="88"/>
        <v>1</v>
      </c>
      <c r="O1104" s="1" t="str">
        <f>IF(I1104=0,"UNUSED",IF(A1104="","MISSING ID",IF(K1104=0,"UNEXPECTED ID",IF(N1104&lt;&gt;1,"ID / ORDER DIFFERENCE",IF('Source build'!U1104&lt;&gt;"INCLUDED","EXCLUDED SOURCE",IF(NOT(M1104),"INVALID AMOUNT",IF('Source build'!Y1104&lt;&gt;0,"CHANGED FIELDS","MATCH")))))))</f>
        <v>MATCH</v>
      </c>
      <c r="P1104" s="1" t="str">
        <f t="shared" si="89"/>
        <v>2026-02</v>
      </c>
    </row>
    <row r="1105" spans="1:16" ht="18.95" customHeight="1">
      <c r="A1105" s="7" t="s">
        <v>2938</v>
      </c>
      <c r="B1105" s="7" t="s">
        <v>2939</v>
      </c>
      <c r="C1105" s="7" t="s">
        <v>151</v>
      </c>
      <c r="D1105" s="7" t="s">
        <v>93</v>
      </c>
      <c r="E1105" s="7" t="s">
        <v>46</v>
      </c>
      <c r="F1105" s="7" t="s">
        <v>98</v>
      </c>
      <c r="G1105" s="7" t="s">
        <v>2940</v>
      </c>
      <c r="I1105" s="1">
        <f t="shared" si="85"/>
        <v>1</v>
      </c>
      <c r="J1105" s="1" t="str">
        <f>'Source build'!A1105</f>
        <v>L01099</v>
      </c>
      <c r="K1105" s="1">
        <f>1105</f>
        <v>1105</v>
      </c>
      <c r="L1105" s="10">
        <f t="shared" si="86"/>
        <v>10250</v>
      </c>
      <c r="M1105" s="1">
        <f t="shared" si="87"/>
        <v>1</v>
      </c>
      <c r="N1105" s="1">
        <f t="shared" si="88"/>
        <v>1</v>
      </c>
      <c r="O1105" s="1" t="str">
        <f>IF(I1105=0,"UNUSED",IF(A1105="","MISSING ID",IF(K1105=0,"UNEXPECTED ID",IF(N1105&lt;&gt;1,"ID / ORDER DIFFERENCE",IF('Source build'!U1105&lt;&gt;"INCLUDED","EXCLUDED SOURCE",IF(NOT(M1105),"INVALID AMOUNT",IF('Source build'!Y1105&lt;&gt;0,"CHANGED FIELDS","MATCH")))))))</f>
        <v>MATCH</v>
      </c>
      <c r="P1105" s="1" t="str">
        <f t="shared" si="89"/>
        <v>2026-03</v>
      </c>
    </row>
    <row r="1106" spans="1:16" ht="18.95" customHeight="1">
      <c r="A1106" s="7" t="s">
        <v>2941</v>
      </c>
      <c r="B1106" s="7" t="s">
        <v>2939</v>
      </c>
      <c r="C1106" s="7" t="s">
        <v>151</v>
      </c>
      <c r="D1106" s="7" t="s">
        <v>97</v>
      </c>
      <c r="E1106" s="7" t="s">
        <v>47</v>
      </c>
      <c r="F1106" s="7" t="s">
        <v>98</v>
      </c>
      <c r="G1106" s="7" t="s">
        <v>2942</v>
      </c>
      <c r="I1106" s="1">
        <f t="shared" si="85"/>
        <v>1</v>
      </c>
      <c r="J1106" s="1" t="str">
        <f>'Source build'!A1106</f>
        <v>L01100</v>
      </c>
      <c r="K1106" s="1">
        <f>1106</f>
        <v>1106</v>
      </c>
      <c r="L1106" s="10">
        <f t="shared" si="86"/>
        <v>20648</v>
      </c>
      <c r="M1106" s="1">
        <f t="shared" si="87"/>
        <v>1</v>
      </c>
      <c r="N1106" s="1">
        <f t="shared" si="88"/>
        <v>1</v>
      </c>
      <c r="O1106" s="1" t="str">
        <f>IF(I1106=0,"UNUSED",IF(A1106="","MISSING ID",IF(K1106=0,"UNEXPECTED ID",IF(N1106&lt;&gt;1,"ID / ORDER DIFFERENCE",IF('Source build'!U1106&lt;&gt;"INCLUDED","EXCLUDED SOURCE",IF(NOT(M1106),"INVALID AMOUNT",IF('Source build'!Y1106&lt;&gt;0,"CHANGED FIELDS","MATCH")))))))</f>
        <v>MATCH</v>
      </c>
      <c r="P1106" s="1" t="str">
        <f t="shared" si="89"/>
        <v>2026-03</v>
      </c>
    </row>
    <row r="1107" spans="1:16" ht="18.95" customHeight="1">
      <c r="A1107" s="7" t="s">
        <v>2943</v>
      </c>
      <c r="B1107" s="7" t="s">
        <v>2944</v>
      </c>
      <c r="C1107" s="7" t="s">
        <v>157</v>
      </c>
      <c r="D1107" s="7" t="s">
        <v>103</v>
      </c>
      <c r="E1107" s="7" t="s">
        <v>48</v>
      </c>
      <c r="F1107" s="7" t="s">
        <v>98</v>
      </c>
      <c r="G1107" s="7" t="s">
        <v>2945</v>
      </c>
      <c r="I1107" s="1">
        <f t="shared" si="85"/>
        <v>1</v>
      </c>
      <c r="J1107" s="1" t="str">
        <f>'Source build'!A1107</f>
        <v>L01101</v>
      </c>
      <c r="K1107" s="1">
        <f>1107</f>
        <v>1107</v>
      </c>
      <c r="L1107" s="10">
        <f t="shared" si="86"/>
        <v>5199</v>
      </c>
      <c r="M1107" s="1">
        <f t="shared" si="87"/>
        <v>1</v>
      </c>
      <c r="N1107" s="1">
        <f t="shared" si="88"/>
        <v>1</v>
      </c>
      <c r="O1107" s="1" t="str">
        <f>IF(I1107=0,"UNUSED",IF(A1107="","MISSING ID",IF(K1107=0,"UNEXPECTED ID",IF(N1107&lt;&gt;1,"ID / ORDER DIFFERENCE",IF('Source build'!U1107&lt;&gt;"INCLUDED","EXCLUDED SOURCE",IF(NOT(M1107),"INVALID AMOUNT",IF('Source build'!Y1107&lt;&gt;0,"CHANGED FIELDS","MATCH")))))))</f>
        <v>MATCH</v>
      </c>
      <c r="P1107" s="1" t="str">
        <f t="shared" si="89"/>
        <v>2026-03</v>
      </c>
    </row>
    <row r="1108" spans="1:16" ht="18.95" customHeight="1">
      <c r="A1108" s="7" t="s">
        <v>2946</v>
      </c>
      <c r="B1108" s="7" t="s">
        <v>2944</v>
      </c>
      <c r="C1108" s="7" t="s">
        <v>157</v>
      </c>
      <c r="D1108" s="7" t="s">
        <v>93</v>
      </c>
      <c r="E1108" s="7" t="s">
        <v>46</v>
      </c>
      <c r="F1108" s="7" t="s">
        <v>98</v>
      </c>
      <c r="G1108" s="7" t="s">
        <v>2947</v>
      </c>
      <c r="I1108" s="1">
        <f t="shared" si="85"/>
        <v>1</v>
      </c>
      <c r="J1108" s="1" t="str">
        <f>'Source build'!A1108</f>
        <v>L01102</v>
      </c>
      <c r="K1108" s="1">
        <f>1108</f>
        <v>1108</v>
      </c>
      <c r="L1108" s="10">
        <f t="shared" si="86"/>
        <v>15708</v>
      </c>
      <c r="M1108" s="1">
        <f t="shared" si="87"/>
        <v>1</v>
      </c>
      <c r="N1108" s="1">
        <f t="shared" si="88"/>
        <v>1</v>
      </c>
      <c r="O1108" s="1" t="str">
        <f>IF(I1108=0,"UNUSED",IF(A1108="","MISSING ID",IF(K1108=0,"UNEXPECTED ID",IF(N1108&lt;&gt;1,"ID / ORDER DIFFERENCE",IF('Source build'!U1108&lt;&gt;"INCLUDED","EXCLUDED SOURCE",IF(NOT(M1108),"INVALID AMOUNT",IF('Source build'!Y1108&lt;&gt;0,"CHANGED FIELDS","MATCH")))))))</f>
        <v>MATCH</v>
      </c>
      <c r="P1108" s="1" t="str">
        <f t="shared" si="89"/>
        <v>2026-03</v>
      </c>
    </row>
    <row r="1109" spans="1:16" ht="18.95" customHeight="1">
      <c r="A1109" s="7" t="s">
        <v>2948</v>
      </c>
      <c r="B1109" s="7" t="s">
        <v>2949</v>
      </c>
      <c r="C1109" s="7" t="s">
        <v>163</v>
      </c>
      <c r="D1109" s="7" t="s">
        <v>97</v>
      </c>
      <c r="E1109" s="7" t="s">
        <v>47</v>
      </c>
      <c r="F1109" s="7" t="s">
        <v>98</v>
      </c>
      <c r="G1109" s="7" t="s">
        <v>2950</v>
      </c>
      <c r="I1109" s="1">
        <f t="shared" si="85"/>
        <v>1</v>
      </c>
      <c r="J1109" s="1" t="str">
        <f>'Source build'!A1109</f>
        <v>L01103</v>
      </c>
      <c r="K1109" s="1">
        <f>1109</f>
        <v>1109</v>
      </c>
      <c r="L1109" s="10">
        <f t="shared" si="86"/>
        <v>26365</v>
      </c>
      <c r="M1109" s="1">
        <f t="shared" si="87"/>
        <v>1</v>
      </c>
      <c r="N1109" s="1">
        <f t="shared" si="88"/>
        <v>1</v>
      </c>
      <c r="O1109" s="1" t="str">
        <f>IF(I1109=0,"UNUSED",IF(A1109="","MISSING ID",IF(K1109=0,"UNEXPECTED ID",IF(N1109&lt;&gt;1,"ID / ORDER DIFFERENCE",IF('Source build'!U1109&lt;&gt;"INCLUDED","EXCLUDED SOURCE",IF(NOT(M1109),"INVALID AMOUNT",IF('Source build'!Y1109&lt;&gt;0,"CHANGED FIELDS","MATCH")))))))</f>
        <v>MATCH</v>
      </c>
      <c r="P1109" s="1" t="str">
        <f t="shared" si="89"/>
        <v>2026-03</v>
      </c>
    </row>
    <row r="1110" spans="1:16" ht="18.95" customHeight="1">
      <c r="A1110" s="7" t="s">
        <v>2951</v>
      </c>
      <c r="B1110" s="7" t="s">
        <v>2949</v>
      </c>
      <c r="C1110" s="7" t="s">
        <v>163</v>
      </c>
      <c r="D1110" s="7" t="s">
        <v>103</v>
      </c>
      <c r="E1110" s="7" t="s">
        <v>48</v>
      </c>
      <c r="F1110" s="7" t="s">
        <v>98</v>
      </c>
      <c r="G1110" s="7" t="s">
        <v>2952</v>
      </c>
      <c r="I1110" s="1">
        <f t="shared" si="85"/>
        <v>1</v>
      </c>
      <c r="J1110" s="1" t="str">
        <f>'Source build'!A1110</f>
        <v>L01104</v>
      </c>
      <c r="K1110" s="1">
        <f>1110</f>
        <v>1110</v>
      </c>
      <c r="L1110" s="10">
        <f t="shared" si="86"/>
        <v>10620</v>
      </c>
      <c r="M1110" s="1">
        <f t="shared" si="87"/>
        <v>1</v>
      </c>
      <c r="N1110" s="1">
        <f t="shared" si="88"/>
        <v>1</v>
      </c>
      <c r="O1110" s="1" t="str">
        <f>IF(I1110=0,"UNUSED",IF(A1110="","MISSING ID",IF(K1110=0,"UNEXPECTED ID",IF(N1110&lt;&gt;1,"ID / ORDER DIFFERENCE",IF('Source build'!U1110&lt;&gt;"INCLUDED","EXCLUDED SOURCE",IF(NOT(M1110),"INVALID AMOUNT",IF('Source build'!Y1110&lt;&gt;0,"CHANGED FIELDS","MATCH")))))))</f>
        <v>MATCH</v>
      </c>
      <c r="P1110" s="1" t="str">
        <f t="shared" si="89"/>
        <v>2026-03</v>
      </c>
    </row>
    <row r="1111" spans="1:16" ht="18.95" customHeight="1">
      <c r="A1111" s="7" t="s">
        <v>2953</v>
      </c>
      <c r="B1111" s="7" t="s">
        <v>2954</v>
      </c>
      <c r="C1111" s="7" t="s">
        <v>169</v>
      </c>
      <c r="D1111" s="7" t="s">
        <v>93</v>
      </c>
      <c r="E1111" s="7" t="s">
        <v>46</v>
      </c>
      <c r="F1111" s="7" t="s">
        <v>94</v>
      </c>
      <c r="G1111" s="7" t="s">
        <v>2955</v>
      </c>
      <c r="I1111" s="1">
        <f t="shared" si="85"/>
        <v>1</v>
      </c>
      <c r="J1111" s="1" t="str">
        <f>'Source build'!A1111</f>
        <v>L01105</v>
      </c>
      <c r="K1111" s="1">
        <f>1111</f>
        <v>1111</v>
      </c>
      <c r="L1111" s="10">
        <f t="shared" si="86"/>
        <v>-21388</v>
      </c>
      <c r="M1111" s="1">
        <f t="shared" si="87"/>
        <v>1</v>
      </c>
      <c r="N1111" s="1">
        <f t="shared" si="88"/>
        <v>1</v>
      </c>
      <c r="O1111" s="1" t="str">
        <f>IF(I1111=0,"UNUSED",IF(A1111="","MISSING ID",IF(K1111=0,"UNEXPECTED ID",IF(N1111&lt;&gt;1,"ID / ORDER DIFFERENCE",IF('Source build'!U1111&lt;&gt;"INCLUDED","EXCLUDED SOURCE",IF(NOT(M1111),"INVALID AMOUNT",IF('Source build'!Y1111&lt;&gt;0,"CHANGED FIELDS","MATCH")))))))</f>
        <v>MATCH</v>
      </c>
      <c r="P1111" s="1" t="str">
        <f t="shared" si="89"/>
        <v>2026-03</v>
      </c>
    </row>
    <row r="1112" spans="1:16" ht="18.95" customHeight="1">
      <c r="A1112" s="7" t="s">
        <v>2956</v>
      </c>
      <c r="B1112" s="7" t="s">
        <v>2954</v>
      </c>
      <c r="C1112" s="7" t="s">
        <v>169</v>
      </c>
      <c r="D1112" s="7" t="s">
        <v>97</v>
      </c>
      <c r="E1112" s="7" t="s">
        <v>47</v>
      </c>
      <c r="F1112" s="7" t="s">
        <v>98</v>
      </c>
      <c r="G1112" s="7" t="s">
        <v>2957</v>
      </c>
      <c r="I1112" s="1">
        <f t="shared" si="85"/>
        <v>1</v>
      </c>
      <c r="J1112" s="1" t="str">
        <f>'Source build'!A1112</f>
        <v>L01106</v>
      </c>
      <c r="K1112" s="1">
        <f>1112</f>
        <v>1112</v>
      </c>
      <c r="L1112" s="10">
        <f t="shared" si="86"/>
        <v>5384</v>
      </c>
      <c r="M1112" s="1">
        <f t="shared" si="87"/>
        <v>1</v>
      </c>
      <c r="N1112" s="1">
        <f t="shared" si="88"/>
        <v>1</v>
      </c>
      <c r="O1112" s="1" t="str">
        <f>IF(I1112=0,"UNUSED",IF(A1112="","MISSING ID",IF(K1112=0,"UNEXPECTED ID",IF(N1112&lt;&gt;1,"ID / ORDER DIFFERENCE",IF('Source build'!U1112&lt;&gt;"INCLUDED","EXCLUDED SOURCE",IF(NOT(M1112),"INVALID AMOUNT",IF('Source build'!Y1112&lt;&gt;0,"CHANGED FIELDS","MATCH")))))))</f>
        <v>MATCH</v>
      </c>
      <c r="P1112" s="1" t="str">
        <f t="shared" si="89"/>
        <v>2026-03</v>
      </c>
    </row>
    <row r="1113" spans="1:16" ht="18.95" customHeight="1">
      <c r="A1113" s="7" t="s">
        <v>2958</v>
      </c>
      <c r="B1113" s="7" t="s">
        <v>2959</v>
      </c>
      <c r="C1113" s="7" t="s">
        <v>175</v>
      </c>
      <c r="D1113" s="7" t="s">
        <v>103</v>
      </c>
      <c r="E1113" s="7" t="s">
        <v>48</v>
      </c>
      <c r="F1113" s="7" t="s">
        <v>98</v>
      </c>
      <c r="G1113" s="7" t="s">
        <v>2960</v>
      </c>
      <c r="I1113" s="1">
        <f t="shared" si="85"/>
        <v>1</v>
      </c>
      <c r="J1113" s="1" t="str">
        <f>'Source build'!A1113</f>
        <v>L01107</v>
      </c>
      <c r="K1113" s="1">
        <f>1113</f>
        <v>1113</v>
      </c>
      <c r="L1113" s="10">
        <f t="shared" si="86"/>
        <v>16263</v>
      </c>
      <c r="M1113" s="1">
        <f t="shared" si="87"/>
        <v>1</v>
      </c>
      <c r="N1113" s="1">
        <f t="shared" si="88"/>
        <v>1</v>
      </c>
      <c r="O1113" s="1" t="str">
        <f>IF(I1113=0,"UNUSED",IF(A1113="","MISSING ID",IF(K1113=0,"UNEXPECTED ID",IF(N1113&lt;&gt;1,"ID / ORDER DIFFERENCE",IF('Source build'!U1113&lt;&gt;"INCLUDED","EXCLUDED SOURCE",IF(NOT(M1113),"INVALID AMOUNT",IF('Source build'!Y1113&lt;&gt;0,"CHANGED FIELDS","MATCH")))))))</f>
        <v>MATCH</v>
      </c>
      <c r="P1113" s="1" t="str">
        <f t="shared" si="89"/>
        <v>2026-01</v>
      </c>
    </row>
    <row r="1114" spans="1:16" ht="18.95" customHeight="1">
      <c r="A1114" s="7" t="s">
        <v>2961</v>
      </c>
      <c r="B1114" s="7" t="s">
        <v>2959</v>
      </c>
      <c r="C1114" s="7" t="s">
        <v>175</v>
      </c>
      <c r="D1114" s="7" t="s">
        <v>93</v>
      </c>
      <c r="E1114" s="7" t="s">
        <v>46</v>
      </c>
      <c r="F1114" s="7" t="s">
        <v>98</v>
      </c>
      <c r="G1114" s="7" t="s">
        <v>2962</v>
      </c>
      <c r="I1114" s="1">
        <f t="shared" si="85"/>
        <v>1</v>
      </c>
      <c r="J1114" s="1" t="str">
        <f>'Source build'!A1114</f>
        <v>L01108</v>
      </c>
      <c r="K1114" s="1">
        <f>1114</f>
        <v>1114</v>
      </c>
      <c r="L1114" s="10">
        <f t="shared" si="86"/>
        <v>27290</v>
      </c>
      <c r="M1114" s="1">
        <f t="shared" si="87"/>
        <v>1</v>
      </c>
      <c r="N1114" s="1">
        <f t="shared" si="88"/>
        <v>1</v>
      </c>
      <c r="O1114" s="1" t="str">
        <f>IF(I1114=0,"UNUSED",IF(A1114="","MISSING ID",IF(K1114=0,"UNEXPECTED ID",IF(N1114&lt;&gt;1,"ID / ORDER DIFFERENCE",IF('Source build'!U1114&lt;&gt;"INCLUDED","EXCLUDED SOURCE",IF(NOT(M1114),"INVALID AMOUNT",IF('Source build'!Y1114&lt;&gt;0,"CHANGED FIELDS","MATCH")))))))</f>
        <v>MATCH</v>
      </c>
      <c r="P1114" s="1" t="str">
        <f t="shared" si="89"/>
        <v>2026-01</v>
      </c>
    </row>
    <row r="1115" spans="1:16" ht="18.95" customHeight="1">
      <c r="A1115" s="7" t="s">
        <v>2963</v>
      </c>
      <c r="B1115" s="7" t="s">
        <v>2964</v>
      </c>
      <c r="C1115" s="7" t="s">
        <v>181</v>
      </c>
      <c r="D1115" s="7" t="s">
        <v>97</v>
      </c>
      <c r="E1115" s="7" t="s">
        <v>47</v>
      </c>
      <c r="F1115" s="7" t="s">
        <v>98</v>
      </c>
      <c r="G1115" s="7" t="s">
        <v>2965</v>
      </c>
      <c r="I1115" s="1">
        <f t="shared" si="85"/>
        <v>1</v>
      </c>
      <c r="J1115" s="1" t="str">
        <f>'Source build'!A1115</f>
        <v>L01109</v>
      </c>
      <c r="K1115" s="1">
        <f>1115</f>
        <v>1115</v>
      </c>
      <c r="L1115" s="10">
        <f t="shared" si="86"/>
        <v>10990</v>
      </c>
      <c r="M1115" s="1">
        <f t="shared" si="87"/>
        <v>1</v>
      </c>
      <c r="N1115" s="1">
        <f t="shared" si="88"/>
        <v>1</v>
      </c>
      <c r="O1115" s="1" t="str">
        <f>IF(I1115=0,"UNUSED",IF(A1115="","MISSING ID",IF(K1115=0,"UNEXPECTED ID",IF(N1115&lt;&gt;1,"ID / ORDER DIFFERENCE",IF('Source build'!U1115&lt;&gt;"INCLUDED","EXCLUDED SOURCE",IF(NOT(M1115),"INVALID AMOUNT",IF('Source build'!Y1115&lt;&gt;0,"CHANGED FIELDS","MATCH")))))))</f>
        <v>MATCH</v>
      </c>
      <c r="P1115" s="1" t="str">
        <f t="shared" si="89"/>
        <v>2026-01</v>
      </c>
    </row>
    <row r="1116" spans="1:16" ht="18.95" customHeight="1">
      <c r="A1116" s="7" t="s">
        <v>2966</v>
      </c>
      <c r="B1116" s="7" t="s">
        <v>2964</v>
      </c>
      <c r="C1116" s="7" t="s">
        <v>181</v>
      </c>
      <c r="D1116" s="7" t="s">
        <v>103</v>
      </c>
      <c r="E1116" s="7" t="s">
        <v>48</v>
      </c>
      <c r="F1116" s="7" t="s">
        <v>98</v>
      </c>
      <c r="G1116" s="7" t="s">
        <v>2967</v>
      </c>
      <c r="I1116" s="1">
        <f t="shared" si="85"/>
        <v>1</v>
      </c>
      <c r="J1116" s="1" t="str">
        <f>'Source build'!A1116</f>
        <v>L01110</v>
      </c>
      <c r="K1116" s="1">
        <f>1116</f>
        <v>1116</v>
      </c>
      <c r="L1116" s="10">
        <f t="shared" si="86"/>
        <v>22128</v>
      </c>
      <c r="M1116" s="1">
        <f t="shared" si="87"/>
        <v>1</v>
      </c>
      <c r="N1116" s="1">
        <f t="shared" si="88"/>
        <v>1</v>
      </c>
      <c r="O1116" s="1" t="str">
        <f>IF(I1116=0,"UNUSED",IF(A1116="","MISSING ID",IF(K1116=0,"UNEXPECTED ID",IF(N1116&lt;&gt;1,"ID / ORDER DIFFERENCE",IF('Source build'!U1116&lt;&gt;"INCLUDED","EXCLUDED SOURCE",IF(NOT(M1116),"INVALID AMOUNT",IF('Source build'!Y1116&lt;&gt;0,"CHANGED FIELDS","MATCH")))))))</f>
        <v>MATCH</v>
      </c>
      <c r="P1116" s="1" t="str">
        <f t="shared" si="89"/>
        <v>2026-01</v>
      </c>
    </row>
    <row r="1117" spans="1:16" ht="18.95" customHeight="1">
      <c r="A1117" s="7" t="s">
        <v>2968</v>
      </c>
      <c r="B1117" s="7" t="s">
        <v>2969</v>
      </c>
      <c r="C1117" s="7" t="s">
        <v>187</v>
      </c>
      <c r="D1117" s="7" t="s">
        <v>93</v>
      </c>
      <c r="E1117" s="7" t="s">
        <v>46</v>
      </c>
      <c r="F1117" s="7" t="s">
        <v>98</v>
      </c>
      <c r="G1117" s="7" t="s">
        <v>2970</v>
      </c>
      <c r="I1117" s="1">
        <f t="shared" si="85"/>
        <v>1</v>
      </c>
      <c r="J1117" s="1" t="str">
        <f>'Source build'!A1117</f>
        <v>L01111</v>
      </c>
      <c r="K1117" s="1">
        <f>1117</f>
        <v>1117</v>
      </c>
      <c r="L1117" s="10">
        <f t="shared" si="86"/>
        <v>5569</v>
      </c>
      <c r="M1117" s="1">
        <f t="shared" si="87"/>
        <v>1</v>
      </c>
      <c r="N1117" s="1">
        <f t="shared" si="88"/>
        <v>1</v>
      </c>
      <c r="O1117" s="1" t="str">
        <f>IF(I1117=0,"UNUSED",IF(A1117="","MISSING ID",IF(K1117=0,"UNEXPECTED ID",IF(N1117&lt;&gt;1,"ID / ORDER DIFFERENCE",IF('Source build'!U1117&lt;&gt;"INCLUDED","EXCLUDED SOURCE",IF(NOT(M1117),"INVALID AMOUNT",IF('Source build'!Y1117&lt;&gt;0,"CHANGED FIELDS","MATCH")))))))</f>
        <v>MATCH</v>
      </c>
      <c r="P1117" s="1" t="str">
        <f t="shared" si="89"/>
        <v>2026-01</v>
      </c>
    </row>
    <row r="1118" spans="1:16" ht="18.95" customHeight="1">
      <c r="A1118" s="7" t="s">
        <v>2971</v>
      </c>
      <c r="B1118" s="7" t="s">
        <v>2969</v>
      </c>
      <c r="C1118" s="7" t="s">
        <v>187</v>
      </c>
      <c r="D1118" s="7" t="s">
        <v>97</v>
      </c>
      <c r="E1118" s="7" t="s">
        <v>47</v>
      </c>
      <c r="F1118" s="7" t="s">
        <v>98</v>
      </c>
      <c r="G1118" s="7" t="s">
        <v>2972</v>
      </c>
      <c r="I1118" s="1">
        <f t="shared" si="85"/>
        <v>1</v>
      </c>
      <c r="J1118" s="1" t="str">
        <f>'Source build'!A1118</f>
        <v>L01112</v>
      </c>
      <c r="K1118" s="1">
        <f>1118</f>
        <v>1118</v>
      </c>
      <c r="L1118" s="10">
        <f t="shared" si="86"/>
        <v>16818</v>
      </c>
      <c r="M1118" s="1">
        <f t="shared" si="87"/>
        <v>1</v>
      </c>
      <c r="N1118" s="1">
        <f t="shared" si="88"/>
        <v>1</v>
      </c>
      <c r="O1118" s="1" t="str">
        <f>IF(I1118=0,"UNUSED",IF(A1118="","MISSING ID",IF(K1118=0,"UNEXPECTED ID",IF(N1118&lt;&gt;1,"ID / ORDER DIFFERENCE",IF('Source build'!U1118&lt;&gt;"INCLUDED","EXCLUDED SOURCE",IF(NOT(M1118),"INVALID AMOUNT",IF('Source build'!Y1118&lt;&gt;0,"CHANGED FIELDS","MATCH")))))))</f>
        <v>MATCH</v>
      </c>
      <c r="P1118" s="1" t="str">
        <f t="shared" si="89"/>
        <v>2026-01</v>
      </c>
    </row>
    <row r="1119" spans="1:16" ht="18.95" customHeight="1">
      <c r="A1119" s="7" t="s">
        <v>2973</v>
      </c>
      <c r="B1119" s="7" t="s">
        <v>2974</v>
      </c>
      <c r="C1119" s="7" t="s">
        <v>193</v>
      </c>
      <c r="D1119" s="7" t="s">
        <v>103</v>
      </c>
      <c r="E1119" s="7" t="s">
        <v>48</v>
      </c>
      <c r="F1119" s="7" t="s">
        <v>98</v>
      </c>
      <c r="G1119" s="7" t="s">
        <v>2975</v>
      </c>
      <c r="I1119" s="1">
        <f t="shared" si="85"/>
        <v>1</v>
      </c>
      <c r="J1119" s="1" t="str">
        <f>'Source build'!A1119</f>
        <v>L01113</v>
      </c>
      <c r="K1119" s="1">
        <f>1119</f>
        <v>1119</v>
      </c>
      <c r="L1119" s="10">
        <f t="shared" si="86"/>
        <v>28215</v>
      </c>
      <c r="M1119" s="1">
        <f t="shared" si="87"/>
        <v>1</v>
      </c>
      <c r="N1119" s="1">
        <f t="shared" si="88"/>
        <v>1</v>
      </c>
      <c r="O1119" s="1" t="str">
        <f>IF(I1119=0,"UNUSED",IF(A1119="","MISSING ID",IF(K1119=0,"UNEXPECTED ID",IF(N1119&lt;&gt;1,"ID / ORDER DIFFERENCE",IF('Source build'!U1119&lt;&gt;"INCLUDED","EXCLUDED SOURCE",IF(NOT(M1119),"INVALID AMOUNT",IF('Source build'!Y1119&lt;&gt;0,"CHANGED FIELDS","MATCH")))))))</f>
        <v>MATCH</v>
      </c>
      <c r="P1119" s="1" t="str">
        <f t="shared" si="89"/>
        <v>2026-01</v>
      </c>
    </row>
    <row r="1120" spans="1:16" ht="18.95" customHeight="1">
      <c r="A1120" s="7" t="s">
        <v>2976</v>
      </c>
      <c r="B1120" s="7" t="s">
        <v>2974</v>
      </c>
      <c r="C1120" s="7" t="s">
        <v>193</v>
      </c>
      <c r="D1120" s="7" t="s">
        <v>93</v>
      </c>
      <c r="E1120" s="7" t="s">
        <v>46</v>
      </c>
      <c r="F1120" s="7" t="s">
        <v>98</v>
      </c>
      <c r="G1120" s="7" t="s">
        <v>2977</v>
      </c>
      <c r="I1120" s="1">
        <f t="shared" si="85"/>
        <v>1</v>
      </c>
      <c r="J1120" s="1" t="str">
        <f>'Source build'!A1120</f>
        <v>L01114</v>
      </c>
      <c r="K1120" s="1">
        <f>1120</f>
        <v>1120</v>
      </c>
      <c r="L1120" s="10">
        <f t="shared" si="86"/>
        <v>11360</v>
      </c>
      <c r="M1120" s="1">
        <f t="shared" si="87"/>
        <v>1</v>
      </c>
      <c r="N1120" s="1">
        <f t="shared" si="88"/>
        <v>1</v>
      </c>
      <c r="O1120" s="1" t="str">
        <f>IF(I1120=0,"UNUSED",IF(A1120="","MISSING ID",IF(K1120=0,"UNEXPECTED ID",IF(N1120&lt;&gt;1,"ID / ORDER DIFFERENCE",IF('Source build'!U1120&lt;&gt;"INCLUDED","EXCLUDED SOURCE",IF(NOT(M1120),"INVALID AMOUNT",IF('Source build'!Y1120&lt;&gt;0,"CHANGED FIELDS","MATCH")))))))</f>
        <v>MATCH</v>
      </c>
      <c r="P1120" s="1" t="str">
        <f t="shared" si="89"/>
        <v>2026-01</v>
      </c>
    </row>
    <row r="1121" spans="1:16" ht="18.95" customHeight="1">
      <c r="A1121" s="7" t="s">
        <v>2978</v>
      </c>
      <c r="B1121" s="7" t="s">
        <v>2979</v>
      </c>
      <c r="C1121" s="7" t="s">
        <v>200</v>
      </c>
      <c r="D1121" s="7" t="s">
        <v>97</v>
      </c>
      <c r="E1121" s="7" t="s">
        <v>47</v>
      </c>
      <c r="F1121" s="7" t="s">
        <v>98</v>
      </c>
      <c r="G1121" s="7" t="s">
        <v>2980</v>
      </c>
      <c r="I1121" s="1">
        <f t="shared" si="85"/>
        <v>1</v>
      </c>
      <c r="J1121" s="1" t="str">
        <f>'Source build'!A1121</f>
        <v>L01115</v>
      </c>
      <c r="K1121" s="1">
        <f>1121</f>
        <v>1121</v>
      </c>
      <c r="L1121" s="10">
        <f t="shared" si="86"/>
        <v>22868</v>
      </c>
      <c r="M1121" s="1">
        <f t="shared" si="87"/>
        <v>1</v>
      </c>
      <c r="N1121" s="1">
        <f t="shared" si="88"/>
        <v>1</v>
      </c>
      <c r="O1121" s="1" t="str">
        <f>IF(I1121=0,"UNUSED",IF(A1121="","MISSING ID",IF(K1121=0,"UNEXPECTED ID",IF(N1121&lt;&gt;1,"ID / ORDER DIFFERENCE",IF('Source build'!U1121&lt;&gt;"INCLUDED","EXCLUDED SOURCE",IF(NOT(M1121),"INVALID AMOUNT",IF('Source build'!Y1121&lt;&gt;0,"CHANGED FIELDS","MATCH")))))))</f>
        <v>MATCH</v>
      </c>
      <c r="P1121" s="1" t="str">
        <f t="shared" si="89"/>
        <v>2026-01</v>
      </c>
    </row>
    <row r="1122" spans="1:16" ht="18.95" customHeight="1">
      <c r="A1122" s="7" t="s">
        <v>2981</v>
      </c>
      <c r="B1122" s="7" t="s">
        <v>2979</v>
      </c>
      <c r="C1122" s="7" t="s">
        <v>200</v>
      </c>
      <c r="D1122" s="7" t="s">
        <v>103</v>
      </c>
      <c r="E1122" s="7" t="s">
        <v>48</v>
      </c>
      <c r="F1122" s="7" t="s">
        <v>98</v>
      </c>
      <c r="G1122" s="7" t="s">
        <v>2982</v>
      </c>
      <c r="I1122" s="1">
        <f t="shared" si="85"/>
        <v>1</v>
      </c>
      <c r="J1122" s="1" t="str">
        <f>'Source build'!A1122</f>
        <v>L01116</v>
      </c>
      <c r="K1122" s="1">
        <f>1122</f>
        <v>1122</v>
      </c>
      <c r="L1122" s="10">
        <f t="shared" si="86"/>
        <v>5754</v>
      </c>
      <c r="M1122" s="1">
        <f t="shared" si="87"/>
        <v>1</v>
      </c>
      <c r="N1122" s="1">
        <f t="shared" si="88"/>
        <v>1</v>
      </c>
      <c r="O1122" s="1" t="str">
        <f>IF(I1122=0,"UNUSED",IF(A1122="","MISSING ID",IF(K1122=0,"UNEXPECTED ID",IF(N1122&lt;&gt;1,"ID / ORDER DIFFERENCE",IF('Source build'!U1122&lt;&gt;"INCLUDED","EXCLUDED SOURCE",IF(NOT(M1122),"INVALID AMOUNT",IF('Source build'!Y1122&lt;&gt;0,"CHANGED FIELDS","MATCH")))))))</f>
        <v>MATCH</v>
      </c>
      <c r="P1122" s="1" t="str">
        <f t="shared" si="89"/>
        <v>2026-01</v>
      </c>
    </row>
    <row r="1123" spans="1:16" ht="18.95" customHeight="1">
      <c r="A1123" s="7" t="s">
        <v>2983</v>
      </c>
      <c r="B1123" s="7" t="s">
        <v>2984</v>
      </c>
      <c r="C1123" s="7" t="s">
        <v>206</v>
      </c>
      <c r="D1123" s="7" t="s">
        <v>93</v>
      </c>
      <c r="E1123" s="7" t="s">
        <v>46</v>
      </c>
      <c r="F1123" s="7" t="s">
        <v>98</v>
      </c>
      <c r="G1123" s="7" t="s">
        <v>2985</v>
      </c>
      <c r="I1123" s="1">
        <f t="shared" si="85"/>
        <v>1</v>
      </c>
      <c r="J1123" s="1" t="str">
        <f>'Source build'!A1123</f>
        <v>L01117</v>
      </c>
      <c r="K1123" s="1">
        <f>1123</f>
        <v>1123</v>
      </c>
      <c r="L1123" s="10">
        <f t="shared" si="86"/>
        <v>17373</v>
      </c>
      <c r="M1123" s="1">
        <f t="shared" si="87"/>
        <v>1</v>
      </c>
      <c r="N1123" s="1">
        <f t="shared" si="88"/>
        <v>1</v>
      </c>
      <c r="O1123" s="1" t="str">
        <f>IF(I1123=0,"UNUSED",IF(A1123="","MISSING ID",IF(K1123=0,"UNEXPECTED ID",IF(N1123&lt;&gt;1,"ID / ORDER DIFFERENCE",IF('Source build'!U1123&lt;&gt;"INCLUDED","EXCLUDED SOURCE",IF(NOT(M1123),"INVALID AMOUNT",IF('Source build'!Y1123&lt;&gt;0,"CHANGED FIELDS","MATCH")))))))</f>
        <v>MATCH</v>
      </c>
      <c r="P1123" s="1" t="str">
        <f t="shared" si="89"/>
        <v>2026-02</v>
      </c>
    </row>
    <row r="1124" spans="1:16" ht="18.95" customHeight="1">
      <c r="A1124" s="7" t="s">
        <v>2986</v>
      </c>
      <c r="B1124" s="7" t="s">
        <v>2984</v>
      </c>
      <c r="C1124" s="7" t="s">
        <v>206</v>
      </c>
      <c r="D1124" s="7" t="s">
        <v>97</v>
      </c>
      <c r="E1124" s="7" t="s">
        <v>47</v>
      </c>
      <c r="F1124" s="7" t="s">
        <v>98</v>
      </c>
      <c r="G1124" s="7" t="s">
        <v>2987</v>
      </c>
      <c r="I1124" s="1">
        <f t="shared" si="85"/>
        <v>1</v>
      </c>
      <c r="J1124" s="1" t="str">
        <f>'Source build'!A1124</f>
        <v>L01118</v>
      </c>
      <c r="K1124" s="1">
        <f>1124</f>
        <v>1124</v>
      </c>
      <c r="L1124" s="10">
        <f t="shared" si="86"/>
        <v>29140</v>
      </c>
      <c r="M1124" s="1">
        <f t="shared" si="87"/>
        <v>1</v>
      </c>
      <c r="N1124" s="1">
        <f t="shared" si="88"/>
        <v>1</v>
      </c>
      <c r="O1124" s="1" t="str">
        <f>IF(I1124=0,"UNUSED",IF(A1124="","MISSING ID",IF(K1124=0,"UNEXPECTED ID",IF(N1124&lt;&gt;1,"ID / ORDER DIFFERENCE",IF('Source build'!U1124&lt;&gt;"INCLUDED","EXCLUDED SOURCE",IF(NOT(M1124),"INVALID AMOUNT",IF('Source build'!Y1124&lt;&gt;0,"CHANGED FIELDS","MATCH")))))))</f>
        <v>MATCH</v>
      </c>
      <c r="P1124" s="1" t="str">
        <f t="shared" si="89"/>
        <v>2026-02</v>
      </c>
    </row>
    <row r="1125" spans="1:16" ht="18.95" customHeight="1">
      <c r="A1125" s="7" t="s">
        <v>2988</v>
      </c>
      <c r="B1125" s="7" t="s">
        <v>2989</v>
      </c>
      <c r="C1125" s="7" t="s">
        <v>212</v>
      </c>
      <c r="D1125" s="7" t="s">
        <v>103</v>
      </c>
      <c r="E1125" s="7" t="s">
        <v>48</v>
      </c>
      <c r="F1125" s="7" t="s">
        <v>98</v>
      </c>
      <c r="G1125" s="7" t="s">
        <v>2990</v>
      </c>
      <c r="I1125" s="1">
        <f t="shared" si="85"/>
        <v>1</v>
      </c>
      <c r="J1125" s="1" t="str">
        <f>'Source build'!A1125</f>
        <v>L01119</v>
      </c>
      <c r="K1125" s="1">
        <f>1125</f>
        <v>1125</v>
      </c>
      <c r="L1125" s="10">
        <f t="shared" si="86"/>
        <v>11730</v>
      </c>
      <c r="M1125" s="1">
        <f t="shared" si="87"/>
        <v>1</v>
      </c>
      <c r="N1125" s="1">
        <f t="shared" si="88"/>
        <v>1</v>
      </c>
      <c r="O1125" s="1" t="str">
        <f>IF(I1125=0,"UNUSED",IF(A1125="","MISSING ID",IF(K1125=0,"UNEXPECTED ID",IF(N1125&lt;&gt;1,"ID / ORDER DIFFERENCE",IF('Source build'!U1125&lt;&gt;"INCLUDED","EXCLUDED SOURCE",IF(NOT(M1125),"INVALID AMOUNT",IF('Source build'!Y1125&lt;&gt;0,"CHANGED FIELDS","MATCH")))))))</f>
        <v>MATCH</v>
      </c>
      <c r="P1125" s="1" t="str">
        <f t="shared" si="89"/>
        <v>2026-02</v>
      </c>
    </row>
    <row r="1126" spans="1:16" ht="18.95" customHeight="1">
      <c r="A1126" s="7" t="s">
        <v>2991</v>
      </c>
      <c r="B1126" s="7" t="s">
        <v>2989</v>
      </c>
      <c r="C1126" s="7" t="s">
        <v>212</v>
      </c>
      <c r="D1126" s="7" t="s">
        <v>93</v>
      </c>
      <c r="E1126" s="7" t="s">
        <v>46</v>
      </c>
      <c r="F1126" s="7" t="s">
        <v>98</v>
      </c>
      <c r="G1126" s="7" t="s">
        <v>2992</v>
      </c>
      <c r="I1126" s="1">
        <f t="shared" si="85"/>
        <v>1</v>
      </c>
      <c r="J1126" s="1" t="str">
        <f>'Source build'!A1126</f>
        <v>L01120</v>
      </c>
      <c r="K1126" s="1">
        <f>1126</f>
        <v>1126</v>
      </c>
      <c r="L1126" s="10">
        <f t="shared" si="86"/>
        <v>23608</v>
      </c>
      <c r="M1126" s="1">
        <f t="shared" si="87"/>
        <v>1</v>
      </c>
      <c r="N1126" s="1">
        <f t="shared" si="88"/>
        <v>1</v>
      </c>
      <c r="O1126" s="1" t="str">
        <f>IF(I1126=0,"UNUSED",IF(A1126="","MISSING ID",IF(K1126=0,"UNEXPECTED ID",IF(N1126&lt;&gt;1,"ID / ORDER DIFFERENCE",IF('Source build'!U1126&lt;&gt;"INCLUDED","EXCLUDED SOURCE",IF(NOT(M1126),"INVALID AMOUNT",IF('Source build'!Y1126&lt;&gt;0,"CHANGED FIELDS","MATCH")))))))</f>
        <v>MATCH</v>
      </c>
      <c r="P1126" s="1" t="str">
        <f t="shared" si="89"/>
        <v>2026-02</v>
      </c>
    </row>
    <row r="1127" spans="1:16" ht="18.95" customHeight="1">
      <c r="A1127" s="7" t="s">
        <v>2993</v>
      </c>
      <c r="B1127" s="7" t="s">
        <v>2994</v>
      </c>
      <c r="C1127" s="7" t="s">
        <v>218</v>
      </c>
      <c r="D1127" s="7" t="s">
        <v>97</v>
      </c>
      <c r="E1127" s="7" t="s">
        <v>47</v>
      </c>
      <c r="F1127" s="7" t="s">
        <v>98</v>
      </c>
      <c r="G1127" s="7" t="s">
        <v>2995</v>
      </c>
      <c r="I1127" s="1">
        <f t="shared" si="85"/>
        <v>1</v>
      </c>
      <c r="J1127" s="1" t="str">
        <f>'Source build'!A1127</f>
        <v>L01121</v>
      </c>
      <c r="K1127" s="1">
        <f>1127</f>
        <v>1127</v>
      </c>
      <c r="L1127" s="10">
        <f t="shared" si="86"/>
        <v>5939</v>
      </c>
      <c r="M1127" s="1">
        <f t="shared" si="87"/>
        <v>1</v>
      </c>
      <c r="N1127" s="1">
        <f t="shared" si="88"/>
        <v>1</v>
      </c>
      <c r="O1127" s="1" t="str">
        <f>IF(I1127=0,"UNUSED",IF(A1127="","MISSING ID",IF(K1127=0,"UNEXPECTED ID",IF(N1127&lt;&gt;1,"ID / ORDER DIFFERENCE",IF('Source build'!U1127&lt;&gt;"INCLUDED","EXCLUDED SOURCE",IF(NOT(M1127),"INVALID AMOUNT",IF('Source build'!Y1127&lt;&gt;0,"CHANGED FIELDS","MATCH")))))))</f>
        <v>MATCH</v>
      </c>
      <c r="P1127" s="1" t="str">
        <f t="shared" si="89"/>
        <v>2026-02</v>
      </c>
    </row>
    <row r="1128" spans="1:16" ht="18.95" customHeight="1">
      <c r="A1128" s="7" t="s">
        <v>2996</v>
      </c>
      <c r="B1128" s="7" t="s">
        <v>2994</v>
      </c>
      <c r="C1128" s="7" t="s">
        <v>218</v>
      </c>
      <c r="D1128" s="7" t="s">
        <v>103</v>
      </c>
      <c r="E1128" s="7" t="s">
        <v>48</v>
      </c>
      <c r="F1128" s="7" t="s">
        <v>98</v>
      </c>
      <c r="G1128" s="7" t="s">
        <v>2997</v>
      </c>
      <c r="I1128" s="1">
        <f t="shared" si="85"/>
        <v>1</v>
      </c>
      <c r="J1128" s="1" t="str">
        <f>'Source build'!A1128</f>
        <v>L01122</v>
      </c>
      <c r="K1128" s="1">
        <f>1128</f>
        <v>1128</v>
      </c>
      <c r="L1128" s="10">
        <f t="shared" si="86"/>
        <v>17928</v>
      </c>
      <c r="M1128" s="1">
        <f t="shared" si="87"/>
        <v>1</v>
      </c>
      <c r="N1128" s="1">
        <f t="shared" si="88"/>
        <v>1</v>
      </c>
      <c r="O1128" s="1" t="str">
        <f>IF(I1128=0,"UNUSED",IF(A1128="","MISSING ID",IF(K1128=0,"UNEXPECTED ID",IF(N1128&lt;&gt;1,"ID / ORDER DIFFERENCE",IF('Source build'!U1128&lt;&gt;"INCLUDED","EXCLUDED SOURCE",IF(NOT(M1128),"INVALID AMOUNT",IF('Source build'!Y1128&lt;&gt;0,"CHANGED FIELDS","MATCH")))))))</f>
        <v>MATCH</v>
      </c>
      <c r="P1128" s="1" t="str">
        <f t="shared" si="89"/>
        <v>2026-02</v>
      </c>
    </row>
    <row r="1129" spans="1:16" ht="18.95" customHeight="1">
      <c r="A1129" s="7" t="s">
        <v>2998</v>
      </c>
      <c r="B1129" s="7" t="s">
        <v>2999</v>
      </c>
      <c r="C1129" s="7" t="s">
        <v>224</v>
      </c>
      <c r="D1129" s="7" t="s">
        <v>93</v>
      </c>
      <c r="E1129" s="7" t="s">
        <v>46</v>
      </c>
      <c r="F1129" s="7" t="s">
        <v>98</v>
      </c>
      <c r="G1129" s="7" t="s">
        <v>3000</v>
      </c>
      <c r="I1129" s="1">
        <f t="shared" si="85"/>
        <v>1</v>
      </c>
      <c r="J1129" s="1" t="str">
        <f>'Source build'!A1129</f>
        <v>L01123</v>
      </c>
      <c r="K1129" s="1">
        <f>1129</f>
        <v>1129</v>
      </c>
      <c r="L1129" s="10">
        <f t="shared" si="86"/>
        <v>30065</v>
      </c>
      <c r="M1129" s="1">
        <f t="shared" si="87"/>
        <v>1</v>
      </c>
      <c r="N1129" s="1">
        <f t="shared" si="88"/>
        <v>1</v>
      </c>
      <c r="O1129" s="1" t="str">
        <f>IF(I1129=0,"UNUSED",IF(A1129="","MISSING ID",IF(K1129=0,"UNEXPECTED ID",IF(N1129&lt;&gt;1,"ID / ORDER DIFFERENCE",IF('Source build'!U1129&lt;&gt;"INCLUDED","EXCLUDED SOURCE",IF(NOT(M1129),"INVALID AMOUNT",IF('Source build'!Y1129&lt;&gt;0,"CHANGED FIELDS","MATCH")))))))</f>
        <v>MATCH</v>
      </c>
      <c r="P1129" s="1" t="str">
        <f t="shared" si="89"/>
        <v>2026-02</v>
      </c>
    </row>
    <row r="1130" spans="1:16" ht="18.95" customHeight="1">
      <c r="A1130" s="7" t="s">
        <v>3001</v>
      </c>
      <c r="B1130" s="7" t="s">
        <v>2999</v>
      </c>
      <c r="C1130" s="7" t="s">
        <v>224</v>
      </c>
      <c r="D1130" s="7" t="s">
        <v>97</v>
      </c>
      <c r="E1130" s="7" t="s">
        <v>47</v>
      </c>
      <c r="F1130" s="7" t="s">
        <v>98</v>
      </c>
      <c r="G1130" s="7" t="s">
        <v>3002</v>
      </c>
      <c r="I1130" s="1">
        <f t="shared" si="85"/>
        <v>1</v>
      </c>
      <c r="J1130" s="1" t="str">
        <f>'Source build'!A1130</f>
        <v>L01124</v>
      </c>
      <c r="K1130" s="1">
        <f>1130</f>
        <v>1130</v>
      </c>
      <c r="L1130" s="10">
        <f t="shared" si="86"/>
        <v>12100</v>
      </c>
      <c r="M1130" s="1">
        <f t="shared" si="87"/>
        <v>1</v>
      </c>
      <c r="N1130" s="1">
        <f t="shared" si="88"/>
        <v>1</v>
      </c>
      <c r="O1130" s="1" t="str">
        <f>IF(I1130=0,"UNUSED",IF(A1130="","MISSING ID",IF(K1130=0,"UNEXPECTED ID",IF(N1130&lt;&gt;1,"ID / ORDER DIFFERENCE",IF('Source build'!U1130&lt;&gt;"INCLUDED","EXCLUDED SOURCE",IF(NOT(M1130),"INVALID AMOUNT",IF('Source build'!Y1130&lt;&gt;0,"CHANGED FIELDS","MATCH")))))))</f>
        <v>MATCH</v>
      </c>
      <c r="P1130" s="1" t="str">
        <f t="shared" si="89"/>
        <v>2026-02</v>
      </c>
    </row>
    <row r="1131" spans="1:16" ht="18.95" customHeight="1">
      <c r="A1131" s="7" t="s">
        <v>3003</v>
      </c>
      <c r="B1131" s="7" t="s">
        <v>3004</v>
      </c>
      <c r="C1131" s="7" t="s">
        <v>230</v>
      </c>
      <c r="D1131" s="7" t="s">
        <v>103</v>
      </c>
      <c r="E1131" s="7" t="s">
        <v>48</v>
      </c>
      <c r="F1131" s="7" t="s">
        <v>98</v>
      </c>
      <c r="G1131" s="7" t="s">
        <v>3005</v>
      </c>
      <c r="I1131" s="1">
        <f t="shared" si="85"/>
        <v>1</v>
      </c>
      <c r="J1131" s="1" t="str">
        <f>'Source build'!A1131</f>
        <v>L01125</v>
      </c>
      <c r="K1131" s="1">
        <f>1131</f>
        <v>1131</v>
      </c>
      <c r="L1131" s="10">
        <f t="shared" si="86"/>
        <v>24348</v>
      </c>
      <c r="M1131" s="1">
        <f t="shared" si="87"/>
        <v>1</v>
      </c>
      <c r="N1131" s="1">
        <f t="shared" si="88"/>
        <v>1</v>
      </c>
      <c r="O1131" s="1" t="str">
        <f>IF(I1131=0,"UNUSED",IF(A1131="","MISSING ID",IF(K1131=0,"UNEXPECTED ID",IF(N1131&lt;&gt;1,"ID / ORDER DIFFERENCE",IF('Source build'!U1131&lt;&gt;"INCLUDED","EXCLUDED SOURCE",IF(NOT(M1131),"INVALID AMOUNT",IF('Source build'!Y1131&lt;&gt;0,"CHANGED FIELDS","MATCH")))))))</f>
        <v>MATCH</v>
      </c>
      <c r="P1131" s="1" t="str">
        <f t="shared" si="89"/>
        <v>2026-03</v>
      </c>
    </row>
    <row r="1132" spans="1:16" ht="18.95" customHeight="1">
      <c r="A1132" s="7" t="s">
        <v>3006</v>
      </c>
      <c r="B1132" s="7" t="s">
        <v>3004</v>
      </c>
      <c r="C1132" s="7" t="s">
        <v>230</v>
      </c>
      <c r="D1132" s="7" t="s">
        <v>93</v>
      </c>
      <c r="E1132" s="7" t="s">
        <v>46</v>
      </c>
      <c r="F1132" s="7" t="s">
        <v>98</v>
      </c>
      <c r="G1132" s="7" t="s">
        <v>3007</v>
      </c>
      <c r="I1132" s="1">
        <f t="shared" si="85"/>
        <v>1</v>
      </c>
      <c r="J1132" s="1" t="str">
        <f>'Source build'!A1132</f>
        <v>L01126</v>
      </c>
      <c r="K1132" s="1">
        <f>1132</f>
        <v>1132</v>
      </c>
      <c r="L1132" s="10">
        <f t="shared" si="86"/>
        <v>6124</v>
      </c>
      <c r="M1132" s="1">
        <f t="shared" si="87"/>
        <v>1</v>
      </c>
      <c r="N1132" s="1">
        <f t="shared" si="88"/>
        <v>1</v>
      </c>
      <c r="O1132" s="1" t="str">
        <f>IF(I1132=0,"UNUSED",IF(A1132="","MISSING ID",IF(K1132=0,"UNEXPECTED ID",IF(N1132&lt;&gt;1,"ID / ORDER DIFFERENCE",IF('Source build'!U1132&lt;&gt;"INCLUDED","EXCLUDED SOURCE",IF(NOT(M1132),"INVALID AMOUNT",IF('Source build'!Y1132&lt;&gt;0,"CHANGED FIELDS","MATCH")))))))</f>
        <v>MATCH</v>
      </c>
      <c r="P1132" s="1" t="str">
        <f t="shared" si="89"/>
        <v>2026-03</v>
      </c>
    </row>
    <row r="1133" spans="1:16" ht="18.95" customHeight="1">
      <c r="A1133" s="7" t="s">
        <v>3008</v>
      </c>
      <c r="B1133" s="7" t="s">
        <v>3009</v>
      </c>
      <c r="C1133" s="7" t="s">
        <v>236</v>
      </c>
      <c r="D1133" s="7" t="s">
        <v>97</v>
      </c>
      <c r="E1133" s="7" t="s">
        <v>47</v>
      </c>
      <c r="F1133" s="7" t="s">
        <v>98</v>
      </c>
      <c r="G1133" s="7" t="s">
        <v>3010</v>
      </c>
      <c r="I1133" s="1">
        <f t="shared" si="85"/>
        <v>1</v>
      </c>
      <c r="J1133" s="1" t="str">
        <f>'Source build'!A1133</f>
        <v>L01127</v>
      </c>
      <c r="K1133" s="1">
        <f>1133</f>
        <v>1133</v>
      </c>
      <c r="L1133" s="10">
        <f t="shared" si="86"/>
        <v>18483</v>
      </c>
      <c r="M1133" s="1">
        <f t="shared" si="87"/>
        <v>1</v>
      </c>
      <c r="N1133" s="1">
        <f t="shared" si="88"/>
        <v>1</v>
      </c>
      <c r="O1133" s="1" t="str">
        <f>IF(I1133=0,"UNUSED",IF(A1133="","MISSING ID",IF(K1133=0,"UNEXPECTED ID",IF(N1133&lt;&gt;1,"ID / ORDER DIFFERENCE",IF('Source build'!U1133&lt;&gt;"INCLUDED","EXCLUDED SOURCE",IF(NOT(M1133),"INVALID AMOUNT",IF('Source build'!Y1133&lt;&gt;0,"CHANGED FIELDS","MATCH")))))))</f>
        <v>MATCH</v>
      </c>
      <c r="P1133" s="1" t="str">
        <f t="shared" si="89"/>
        <v>2026-03</v>
      </c>
    </row>
    <row r="1134" spans="1:16" ht="18.95" customHeight="1">
      <c r="A1134" s="7" t="s">
        <v>3011</v>
      </c>
      <c r="B1134" s="7" t="s">
        <v>3009</v>
      </c>
      <c r="C1134" s="7" t="s">
        <v>236</v>
      </c>
      <c r="D1134" s="7" t="s">
        <v>103</v>
      </c>
      <c r="E1134" s="7" t="s">
        <v>48</v>
      </c>
      <c r="F1134" s="7" t="s">
        <v>94</v>
      </c>
      <c r="G1134" s="7" t="s">
        <v>3012</v>
      </c>
      <c r="I1134" s="1">
        <f t="shared" si="85"/>
        <v>1</v>
      </c>
      <c r="J1134" s="1" t="str">
        <f>'Source build'!A1134</f>
        <v>L01128</v>
      </c>
      <c r="K1134" s="1">
        <f>1134</f>
        <v>1134</v>
      </c>
      <c r="L1134" s="10">
        <f t="shared" si="86"/>
        <v>-30990</v>
      </c>
      <c r="M1134" s="1">
        <f t="shared" si="87"/>
        <v>1</v>
      </c>
      <c r="N1134" s="1">
        <f t="shared" si="88"/>
        <v>1</v>
      </c>
      <c r="O1134" s="1" t="str">
        <f>IF(I1134=0,"UNUSED",IF(A1134="","MISSING ID",IF(K1134=0,"UNEXPECTED ID",IF(N1134&lt;&gt;1,"ID / ORDER DIFFERENCE",IF('Source build'!U1134&lt;&gt;"INCLUDED","EXCLUDED SOURCE",IF(NOT(M1134),"INVALID AMOUNT",IF('Source build'!Y1134&lt;&gt;0,"CHANGED FIELDS","MATCH")))))))</f>
        <v>MATCH</v>
      </c>
      <c r="P1134" s="1" t="str">
        <f t="shared" si="89"/>
        <v>2026-03</v>
      </c>
    </row>
    <row r="1135" spans="1:16" ht="18.95" customHeight="1">
      <c r="A1135" s="7" t="s">
        <v>3013</v>
      </c>
      <c r="B1135" s="7" t="s">
        <v>3014</v>
      </c>
      <c r="C1135" s="7" t="s">
        <v>242</v>
      </c>
      <c r="D1135" s="7" t="s">
        <v>93</v>
      </c>
      <c r="E1135" s="7" t="s">
        <v>46</v>
      </c>
      <c r="F1135" s="7" t="s">
        <v>98</v>
      </c>
      <c r="G1135" s="7" t="s">
        <v>3015</v>
      </c>
      <c r="I1135" s="1">
        <f t="shared" si="85"/>
        <v>1</v>
      </c>
      <c r="J1135" s="1" t="str">
        <f>'Source build'!A1135</f>
        <v>L01129</v>
      </c>
      <c r="K1135" s="1">
        <f>1135</f>
        <v>1135</v>
      </c>
      <c r="L1135" s="10">
        <f t="shared" si="86"/>
        <v>12470</v>
      </c>
      <c r="M1135" s="1">
        <f t="shared" si="87"/>
        <v>1</v>
      </c>
      <c r="N1135" s="1">
        <f t="shared" si="88"/>
        <v>1</v>
      </c>
      <c r="O1135" s="1" t="str">
        <f>IF(I1135=0,"UNUSED",IF(A1135="","MISSING ID",IF(K1135=0,"UNEXPECTED ID",IF(N1135&lt;&gt;1,"ID / ORDER DIFFERENCE",IF('Source build'!U1135&lt;&gt;"INCLUDED","EXCLUDED SOURCE",IF(NOT(M1135),"INVALID AMOUNT",IF('Source build'!Y1135&lt;&gt;0,"CHANGED FIELDS","MATCH")))))))</f>
        <v>MATCH</v>
      </c>
      <c r="P1135" s="1" t="str">
        <f t="shared" si="89"/>
        <v>2026-03</v>
      </c>
    </row>
    <row r="1136" spans="1:16" ht="18.95" customHeight="1">
      <c r="A1136" s="7" t="s">
        <v>3016</v>
      </c>
      <c r="B1136" s="7" t="s">
        <v>3014</v>
      </c>
      <c r="C1136" s="7" t="s">
        <v>242</v>
      </c>
      <c r="D1136" s="7" t="s">
        <v>97</v>
      </c>
      <c r="E1136" s="7" t="s">
        <v>47</v>
      </c>
      <c r="F1136" s="7" t="s">
        <v>98</v>
      </c>
      <c r="G1136" s="7" t="s">
        <v>3018</v>
      </c>
      <c r="I1136" s="1">
        <f t="shared" si="85"/>
        <v>1</v>
      </c>
      <c r="J1136" s="1" t="str">
        <f>'Source build'!A1136</f>
        <v>L01130</v>
      </c>
      <c r="K1136" s="1">
        <f>1136</f>
        <v>1136</v>
      </c>
      <c r="L1136" s="10">
        <f t="shared" si="86"/>
        <v>25088</v>
      </c>
      <c r="M1136" s="1">
        <f t="shared" si="87"/>
        <v>1</v>
      </c>
      <c r="N1136" s="1">
        <f t="shared" si="88"/>
        <v>1</v>
      </c>
      <c r="O1136" s="1" t="str">
        <f>IF(I1136=0,"UNUSED",IF(A1136="","MISSING ID",IF(K1136=0,"UNEXPECTED ID",IF(N1136&lt;&gt;1,"ID / ORDER DIFFERENCE",IF('Source build'!U1136&lt;&gt;"INCLUDED","EXCLUDED SOURCE",IF(NOT(M1136),"INVALID AMOUNT",IF('Source build'!Y1136&lt;&gt;0,"CHANGED FIELDS","MATCH")))))))</f>
        <v>MATCH</v>
      </c>
      <c r="P1136" s="1" t="str">
        <f t="shared" si="89"/>
        <v>2026-03</v>
      </c>
    </row>
    <row r="1137" spans="1:16" ht="18.95" customHeight="1">
      <c r="A1137" s="7" t="s">
        <v>3019</v>
      </c>
      <c r="B1137" s="7" t="s">
        <v>3020</v>
      </c>
      <c r="C1137" s="7" t="s">
        <v>248</v>
      </c>
      <c r="D1137" s="7" t="s">
        <v>103</v>
      </c>
      <c r="E1137" s="7" t="s">
        <v>48</v>
      </c>
      <c r="F1137" s="7" t="s">
        <v>98</v>
      </c>
      <c r="G1137" s="7" t="s">
        <v>3021</v>
      </c>
      <c r="I1137" s="1">
        <f t="shared" si="85"/>
        <v>1</v>
      </c>
      <c r="J1137" s="1" t="str">
        <f>'Source build'!A1137</f>
        <v>L01131</v>
      </c>
      <c r="K1137" s="1">
        <f>1137</f>
        <v>1137</v>
      </c>
      <c r="L1137" s="10">
        <f t="shared" si="86"/>
        <v>6309</v>
      </c>
      <c r="M1137" s="1">
        <f t="shared" si="87"/>
        <v>1</v>
      </c>
      <c r="N1137" s="1">
        <f t="shared" si="88"/>
        <v>1</v>
      </c>
      <c r="O1137" s="1" t="str">
        <f>IF(I1137=0,"UNUSED",IF(A1137="","MISSING ID",IF(K1137=0,"UNEXPECTED ID",IF(N1137&lt;&gt;1,"ID / ORDER DIFFERENCE",IF('Source build'!U1137&lt;&gt;"INCLUDED","EXCLUDED SOURCE",IF(NOT(M1137),"INVALID AMOUNT",IF('Source build'!Y1137&lt;&gt;0,"CHANGED FIELDS","MATCH")))))))</f>
        <v>MATCH</v>
      </c>
      <c r="P1137" s="1" t="str">
        <f t="shared" si="89"/>
        <v>2026-03</v>
      </c>
    </row>
    <row r="1138" spans="1:16" ht="18.95" customHeight="1">
      <c r="A1138" s="7" t="s">
        <v>3022</v>
      </c>
      <c r="B1138" s="7" t="s">
        <v>3020</v>
      </c>
      <c r="C1138" s="7" t="s">
        <v>248</v>
      </c>
      <c r="D1138" s="7" t="s">
        <v>93</v>
      </c>
      <c r="E1138" s="7" t="s">
        <v>46</v>
      </c>
      <c r="F1138" s="7" t="s">
        <v>98</v>
      </c>
      <c r="G1138" s="7" t="s">
        <v>3023</v>
      </c>
      <c r="I1138" s="1">
        <f t="shared" si="85"/>
        <v>1</v>
      </c>
      <c r="J1138" s="1" t="str">
        <f>'Source build'!A1138</f>
        <v>L01132</v>
      </c>
      <c r="K1138" s="1">
        <f>1138</f>
        <v>1138</v>
      </c>
      <c r="L1138" s="10">
        <f t="shared" si="86"/>
        <v>19038</v>
      </c>
      <c r="M1138" s="1">
        <f t="shared" si="87"/>
        <v>1</v>
      </c>
      <c r="N1138" s="1">
        <f t="shared" si="88"/>
        <v>1</v>
      </c>
      <c r="O1138" s="1" t="str">
        <f>IF(I1138=0,"UNUSED",IF(A1138="","MISSING ID",IF(K1138=0,"UNEXPECTED ID",IF(N1138&lt;&gt;1,"ID / ORDER DIFFERENCE",IF('Source build'!U1138&lt;&gt;"INCLUDED","EXCLUDED SOURCE",IF(NOT(M1138),"INVALID AMOUNT",IF('Source build'!Y1138&lt;&gt;0,"CHANGED FIELDS","MATCH")))))))</f>
        <v>MATCH</v>
      </c>
      <c r="P1138" s="1" t="str">
        <f t="shared" si="89"/>
        <v>2026-03</v>
      </c>
    </row>
    <row r="1139" spans="1:16" ht="18.95" customHeight="1">
      <c r="A1139" s="7" t="s">
        <v>3024</v>
      </c>
      <c r="B1139" s="7" t="s">
        <v>3025</v>
      </c>
      <c r="C1139" s="7" t="s">
        <v>254</v>
      </c>
      <c r="D1139" s="7" t="s">
        <v>97</v>
      </c>
      <c r="E1139" s="7" t="s">
        <v>47</v>
      </c>
      <c r="F1139" s="7" t="s">
        <v>98</v>
      </c>
      <c r="G1139" s="7" t="s">
        <v>3026</v>
      </c>
      <c r="I1139" s="1">
        <f t="shared" si="85"/>
        <v>1</v>
      </c>
      <c r="J1139" s="1" t="str">
        <f>'Source build'!A1139</f>
        <v>L01133</v>
      </c>
      <c r="K1139" s="1">
        <f>1139</f>
        <v>1139</v>
      </c>
      <c r="L1139" s="10">
        <f t="shared" si="86"/>
        <v>31915</v>
      </c>
      <c r="M1139" s="1">
        <f t="shared" si="87"/>
        <v>1</v>
      </c>
      <c r="N1139" s="1">
        <f t="shared" si="88"/>
        <v>1</v>
      </c>
      <c r="O1139" s="1" t="str">
        <f>IF(I1139=0,"UNUSED",IF(A1139="","MISSING ID",IF(K1139=0,"UNEXPECTED ID",IF(N1139&lt;&gt;1,"ID / ORDER DIFFERENCE",IF('Source build'!U1139&lt;&gt;"INCLUDED","EXCLUDED SOURCE",IF(NOT(M1139),"INVALID AMOUNT",IF('Source build'!Y1139&lt;&gt;0,"CHANGED FIELDS","MATCH")))))))</f>
        <v>MATCH</v>
      </c>
      <c r="P1139" s="1" t="str">
        <f t="shared" si="89"/>
        <v>2026-01</v>
      </c>
    </row>
    <row r="1140" spans="1:16" ht="18.95" customHeight="1">
      <c r="A1140" s="7" t="s">
        <v>3027</v>
      </c>
      <c r="B1140" s="7" t="s">
        <v>3025</v>
      </c>
      <c r="C1140" s="7" t="s">
        <v>254</v>
      </c>
      <c r="D1140" s="7" t="s">
        <v>103</v>
      </c>
      <c r="E1140" s="7" t="s">
        <v>48</v>
      </c>
      <c r="F1140" s="7" t="s">
        <v>98</v>
      </c>
      <c r="G1140" s="7" t="s">
        <v>3028</v>
      </c>
      <c r="I1140" s="1">
        <f t="shared" si="85"/>
        <v>1</v>
      </c>
      <c r="J1140" s="1" t="str">
        <f>'Source build'!A1140</f>
        <v>L01134</v>
      </c>
      <c r="K1140" s="1">
        <f>1140</f>
        <v>1140</v>
      </c>
      <c r="L1140" s="10">
        <f t="shared" si="86"/>
        <v>12840</v>
      </c>
      <c r="M1140" s="1">
        <f t="shared" si="87"/>
        <v>1</v>
      </c>
      <c r="N1140" s="1">
        <f t="shared" si="88"/>
        <v>1</v>
      </c>
      <c r="O1140" s="1" t="str">
        <f>IF(I1140=0,"UNUSED",IF(A1140="","MISSING ID",IF(K1140=0,"UNEXPECTED ID",IF(N1140&lt;&gt;1,"ID / ORDER DIFFERENCE",IF('Source build'!U1140&lt;&gt;"INCLUDED","EXCLUDED SOURCE",IF(NOT(M1140),"INVALID AMOUNT",IF('Source build'!Y1140&lt;&gt;0,"CHANGED FIELDS","MATCH")))))))</f>
        <v>MATCH</v>
      </c>
      <c r="P1140" s="1" t="str">
        <f t="shared" si="89"/>
        <v>2026-01</v>
      </c>
    </row>
    <row r="1141" spans="1:16" ht="18.95" customHeight="1">
      <c r="A1141" s="7" t="s">
        <v>3029</v>
      </c>
      <c r="B1141" s="7" t="s">
        <v>3030</v>
      </c>
      <c r="C1141" s="7" t="s">
        <v>260</v>
      </c>
      <c r="D1141" s="7" t="s">
        <v>93</v>
      </c>
      <c r="E1141" s="7" t="s">
        <v>46</v>
      </c>
      <c r="F1141" s="7" t="s">
        <v>98</v>
      </c>
      <c r="G1141" s="7" t="s">
        <v>3031</v>
      </c>
      <c r="I1141" s="1">
        <f t="shared" si="85"/>
        <v>1</v>
      </c>
      <c r="J1141" s="1" t="str">
        <f>'Source build'!A1141</f>
        <v>L01135</v>
      </c>
      <c r="K1141" s="1">
        <f>1141</f>
        <v>1141</v>
      </c>
      <c r="L1141" s="10">
        <f t="shared" si="86"/>
        <v>25828</v>
      </c>
      <c r="M1141" s="1">
        <f t="shared" si="87"/>
        <v>1</v>
      </c>
      <c r="N1141" s="1">
        <f t="shared" si="88"/>
        <v>1</v>
      </c>
      <c r="O1141" s="1" t="str">
        <f>IF(I1141=0,"UNUSED",IF(A1141="","MISSING ID",IF(K1141=0,"UNEXPECTED ID",IF(N1141&lt;&gt;1,"ID / ORDER DIFFERENCE",IF('Source build'!U1141&lt;&gt;"INCLUDED","EXCLUDED SOURCE",IF(NOT(M1141),"INVALID AMOUNT",IF('Source build'!Y1141&lt;&gt;0,"CHANGED FIELDS","MATCH")))))))</f>
        <v>MATCH</v>
      </c>
      <c r="P1141" s="1" t="str">
        <f t="shared" si="89"/>
        <v>2026-01</v>
      </c>
    </row>
    <row r="1142" spans="1:16" ht="18.95" customHeight="1">
      <c r="A1142" s="7" t="s">
        <v>3032</v>
      </c>
      <c r="B1142" s="7" t="s">
        <v>3030</v>
      </c>
      <c r="C1142" s="7" t="s">
        <v>260</v>
      </c>
      <c r="D1142" s="7" t="s">
        <v>97</v>
      </c>
      <c r="E1142" s="7" t="s">
        <v>47</v>
      </c>
      <c r="F1142" s="7" t="s">
        <v>98</v>
      </c>
      <c r="G1142" s="7" t="s">
        <v>3033</v>
      </c>
      <c r="I1142" s="1">
        <f t="shared" si="85"/>
        <v>1</v>
      </c>
      <c r="J1142" s="1" t="str">
        <f>'Source build'!A1142</f>
        <v>L01136</v>
      </c>
      <c r="K1142" s="1">
        <f>1142</f>
        <v>1142</v>
      </c>
      <c r="L1142" s="10">
        <f t="shared" si="86"/>
        <v>6494</v>
      </c>
      <c r="M1142" s="1">
        <f t="shared" si="87"/>
        <v>1</v>
      </c>
      <c r="N1142" s="1">
        <f t="shared" si="88"/>
        <v>1</v>
      </c>
      <c r="O1142" s="1" t="str">
        <f>IF(I1142=0,"UNUSED",IF(A1142="","MISSING ID",IF(K1142=0,"UNEXPECTED ID",IF(N1142&lt;&gt;1,"ID / ORDER DIFFERENCE",IF('Source build'!U1142&lt;&gt;"INCLUDED","EXCLUDED SOURCE",IF(NOT(M1142),"INVALID AMOUNT",IF('Source build'!Y1142&lt;&gt;0,"CHANGED FIELDS","MATCH")))))))</f>
        <v>MATCH</v>
      </c>
      <c r="P1142" s="1" t="str">
        <f t="shared" si="89"/>
        <v>2026-01</v>
      </c>
    </row>
    <row r="1143" spans="1:16" ht="18.95" customHeight="1">
      <c r="A1143" s="7" t="s">
        <v>3034</v>
      </c>
      <c r="B1143" s="7" t="s">
        <v>3035</v>
      </c>
      <c r="C1143" s="7" t="s">
        <v>266</v>
      </c>
      <c r="D1143" s="7" t="s">
        <v>103</v>
      </c>
      <c r="E1143" s="7" t="s">
        <v>48</v>
      </c>
      <c r="F1143" s="7" t="s">
        <v>98</v>
      </c>
      <c r="G1143" s="7" t="s">
        <v>3036</v>
      </c>
      <c r="I1143" s="1">
        <f t="shared" si="85"/>
        <v>1</v>
      </c>
      <c r="J1143" s="1" t="str">
        <f>'Source build'!A1143</f>
        <v>L01137</v>
      </c>
      <c r="K1143" s="1">
        <f>1143</f>
        <v>1143</v>
      </c>
      <c r="L1143" s="10">
        <f t="shared" si="86"/>
        <v>19593</v>
      </c>
      <c r="M1143" s="1">
        <f t="shared" si="87"/>
        <v>1</v>
      </c>
      <c r="N1143" s="1">
        <f t="shared" si="88"/>
        <v>1</v>
      </c>
      <c r="O1143" s="1" t="str">
        <f>IF(I1143=0,"UNUSED",IF(A1143="","MISSING ID",IF(K1143=0,"UNEXPECTED ID",IF(N1143&lt;&gt;1,"ID / ORDER DIFFERENCE",IF('Source build'!U1143&lt;&gt;"INCLUDED","EXCLUDED SOURCE",IF(NOT(M1143),"INVALID AMOUNT",IF('Source build'!Y1143&lt;&gt;0,"CHANGED FIELDS","MATCH")))))))</f>
        <v>MATCH</v>
      </c>
      <c r="P1143" s="1" t="str">
        <f t="shared" si="89"/>
        <v>2026-01</v>
      </c>
    </row>
    <row r="1144" spans="1:16" ht="18.95" customHeight="1">
      <c r="A1144" s="7" t="s">
        <v>3037</v>
      </c>
      <c r="B1144" s="7" t="s">
        <v>3035</v>
      </c>
      <c r="C1144" s="7" t="s">
        <v>266</v>
      </c>
      <c r="D1144" s="7" t="s">
        <v>93</v>
      </c>
      <c r="E1144" s="7" t="s">
        <v>46</v>
      </c>
      <c r="F1144" s="7" t="s">
        <v>98</v>
      </c>
      <c r="G1144" s="7" t="s">
        <v>3038</v>
      </c>
      <c r="I1144" s="1">
        <f t="shared" si="85"/>
        <v>1</v>
      </c>
      <c r="J1144" s="1" t="str">
        <f>'Source build'!A1144</f>
        <v>L01138</v>
      </c>
      <c r="K1144" s="1">
        <f>1144</f>
        <v>1144</v>
      </c>
      <c r="L1144" s="10">
        <f t="shared" si="86"/>
        <v>32840</v>
      </c>
      <c r="M1144" s="1">
        <f t="shared" si="87"/>
        <v>1</v>
      </c>
      <c r="N1144" s="1">
        <f t="shared" si="88"/>
        <v>1</v>
      </c>
      <c r="O1144" s="1" t="str">
        <f>IF(I1144=0,"UNUSED",IF(A1144="","MISSING ID",IF(K1144=0,"UNEXPECTED ID",IF(N1144&lt;&gt;1,"ID / ORDER DIFFERENCE",IF('Source build'!U1144&lt;&gt;"INCLUDED","EXCLUDED SOURCE",IF(NOT(M1144),"INVALID AMOUNT",IF('Source build'!Y1144&lt;&gt;0,"CHANGED FIELDS","MATCH")))))))</f>
        <v>MATCH</v>
      </c>
      <c r="P1144" s="1" t="str">
        <f t="shared" si="89"/>
        <v>2026-01</v>
      </c>
    </row>
    <row r="1145" spans="1:16" ht="18.95" customHeight="1">
      <c r="A1145" s="7" t="s">
        <v>3039</v>
      </c>
      <c r="B1145" s="7" t="s">
        <v>3040</v>
      </c>
      <c r="C1145" s="7" t="s">
        <v>272</v>
      </c>
      <c r="D1145" s="7" t="s">
        <v>97</v>
      </c>
      <c r="E1145" s="7" t="s">
        <v>47</v>
      </c>
      <c r="F1145" s="7" t="s">
        <v>98</v>
      </c>
      <c r="G1145" s="7" t="s">
        <v>3041</v>
      </c>
      <c r="I1145" s="1">
        <f t="shared" si="85"/>
        <v>1</v>
      </c>
      <c r="J1145" s="1" t="str">
        <f>'Source build'!A1145</f>
        <v>L01139</v>
      </c>
      <c r="K1145" s="1">
        <f>1145</f>
        <v>1145</v>
      </c>
      <c r="L1145" s="10">
        <f t="shared" si="86"/>
        <v>13210</v>
      </c>
      <c r="M1145" s="1">
        <f t="shared" si="87"/>
        <v>1</v>
      </c>
      <c r="N1145" s="1">
        <f t="shared" si="88"/>
        <v>1</v>
      </c>
      <c r="O1145" s="1" t="str">
        <f>IF(I1145=0,"UNUSED",IF(A1145="","MISSING ID",IF(K1145=0,"UNEXPECTED ID",IF(N1145&lt;&gt;1,"ID / ORDER DIFFERENCE",IF('Source build'!U1145&lt;&gt;"INCLUDED","EXCLUDED SOURCE",IF(NOT(M1145),"INVALID AMOUNT",IF('Source build'!Y1145&lt;&gt;0,"CHANGED FIELDS","MATCH")))))))</f>
        <v>MATCH</v>
      </c>
      <c r="P1145" s="1" t="str">
        <f t="shared" si="89"/>
        <v>2026-01</v>
      </c>
    </row>
    <row r="1146" spans="1:16" ht="18.95" customHeight="1">
      <c r="A1146" s="7" t="s">
        <v>3042</v>
      </c>
      <c r="B1146" s="7" t="s">
        <v>3040</v>
      </c>
      <c r="C1146" s="7" t="s">
        <v>272</v>
      </c>
      <c r="D1146" s="7" t="s">
        <v>103</v>
      </c>
      <c r="E1146" s="7" t="s">
        <v>48</v>
      </c>
      <c r="F1146" s="7" t="s">
        <v>98</v>
      </c>
      <c r="G1146" s="7" t="s">
        <v>3043</v>
      </c>
      <c r="I1146" s="1">
        <f t="shared" si="85"/>
        <v>1</v>
      </c>
      <c r="J1146" s="1" t="str">
        <f>'Source build'!A1146</f>
        <v>L01140</v>
      </c>
      <c r="K1146" s="1">
        <f>1146</f>
        <v>1146</v>
      </c>
      <c r="L1146" s="10">
        <f t="shared" si="86"/>
        <v>26568</v>
      </c>
      <c r="M1146" s="1">
        <f t="shared" si="87"/>
        <v>1</v>
      </c>
      <c r="N1146" s="1">
        <f t="shared" si="88"/>
        <v>1</v>
      </c>
      <c r="O1146" s="1" t="str">
        <f>IF(I1146=0,"UNUSED",IF(A1146="","MISSING ID",IF(K1146=0,"UNEXPECTED ID",IF(N1146&lt;&gt;1,"ID / ORDER DIFFERENCE",IF('Source build'!U1146&lt;&gt;"INCLUDED","EXCLUDED SOURCE",IF(NOT(M1146),"INVALID AMOUNT",IF('Source build'!Y1146&lt;&gt;0,"CHANGED FIELDS","MATCH")))))))</f>
        <v>MATCH</v>
      </c>
      <c r="P1146" s="1" t="str">
        <f t="shared" si="89"/>
        <v>2026-01</v>
      </c>
    </row>
    <row r="1147" spans="1:16" ht="18.95" customHeight="1">
      <c r="A1147" s="7" t="s">
        <v>3044</v>
      </c>
      <c r="B1147" s="7" t="s">
        <v>3045</v>
      </c>
      <c r="C1147" s="7" t="s">
        <v>278</v>
      </c>
      <c r="D1147" s="7" t="s">
        <v>93</v>
      </c>
      <c r="E1147" s="7" t="s">
        <v>46</v>
      </c>
      <c r="F1147" s="7" t="s">
        <v>98</v>
      </c>
      <c r="G1147" s="7" t="s">
        <v>3046</v>
      </c>
      <c r="I1147" s="1">
        <f t="shared" si="85"/>
        <v>1</v>
      </c>
      <c r="J1147" s="1" t="str">
        <f>'Source build'!A1147</f>
        <v>L01141</v>
      </c>
      <c r="K1147" s="1">
        <f>1147</f>
        <v>1147</v>
      </c>
      <c r="L1147" s="10">
        <f t="shared" si="86"/>
        <v>6679</v>
      </c>
      <c r="M1147" s="1">
        <f t="shared" si="87"/>
        <v>1</v>
      </c>
      <c r="N1147" s="1">
        <f t="shared" si="88"/>
        <v>1</v>
      </c>
      <c r="O1147" s="1" t="str">
        <f>IF(I1147=0,"UNUSED",IF(A1147="","MISSING ID",IF(K1147=0,"UNEXPECTED ID",IF(N1147&lt;&gt;1,"ID / ORDER DIFFERENCE",IF('Source build'!U1147&lt;&gt;"INCLUDED","EXCLUDED SOURCE",IF(NOT(M1147),"INVALID AMOUNT",IF('Source build'!Y1147&lt;&gt;0,"CHANGED FIELDS","MATCH")))))))</f>
        <v>MATCH</v>
      </c>
      <c r="P1147" s="1" t="str">
        <f t="shared" si="89"/>
        <v>2026-01</v>
      </c>
    </row>
    <row r="1148" spans="1:16" ht="18.95" customHeight="1">
      <c r="A1148" s="7" t="s">
        <v>3047</v>
      </c>
      <c r="B1148" s="7" t="s">
        <v>3045</v>
      </c>
      <c r="C1148" s="7" t="s">
        <v>278</v>
      </c>
      <c r="D1148" s="7" t="s">
        <v>97</v>
      </c>
      <c r="E1148" s="7" t="s">
        <v>47</v>
      </c>
      <c r="F1148" s="7" t="s">
        <v>98</v>
      </c>
      <c r="G1148" s="7" t="s">
        <v>3048</v>
      </c>
      <c r="I1148" s="1">
        <f t="shared" si="85"/>
        <v>1</v>
      </c>
      <c r="J1148" s="1" t="str">
        <f>'Source build'!A1148</f>
        <v>L01142</v>
      </c>
      <c r="K1148" s="1">
        <f>1148</f>
        <v>1148</v>
      </c>
      <c r="L1148" s="10">
        <f t="shared" si="86"/>
        <v>20148</v>
      </c>
      <c r="M1148" s="1">
        <f t="shared" si="87"/>
        <v>1</v>
      </c>
      <c r="N1148" s="1">
        <f t="shared" si="88"/>
        <v>1</v>
      </c>
      <c r="O1148" s="1" t="str">
        <f>IF(I1148=0,"UNUSED",IF(A1148="","MISSING ID",IF(K1148=0,"UNEXPECTED ID",IF(N1148&lt;&gt;1,"ID / ORDER DIFFERENCE",IF('Source build'!U1148&lt;&gt;"INCLUDED","EXCLUDED SOURCE",IF(NOT(M1148),"INVALID AMOUNT",IF('Source build'!Y1148&lt;&gt;0,"CHANGED FIELDS","MATCH")))))))</f>
        <v>MATCH</v>
      </c>
      <c r="P1148" s="1" t="str">
        <f t="shared" si="89"/>
        <v>2026-01</v>
      </c>
    </row>
    <row r="1149" spans="1:16" ht="18.95" customHeight="1">
      <c r="A1149" s="7" t="s">
        <v>3049</v>
      </c>
      <c r="B1149" s="7" t="s">
        <v>3050</v>
      </c>
      <c r="C1149" s="7" t="s">
        <v>284</v>
      </c>
      <c r="D1149" s="7" t="s">
        <v>103</v>
      </c>
      <c r="E1149" s="7" t="s">
        <v>48</v>
      </c>
      <c r="F1149" s="7" t="s">
        <v>98</v>
      </c>
      <c r="G1149" s="7" t="s">
        <v>3051</v>
      </c>
      <c r="I1149" s="1">
        <f t="shared" si="85"/>
        <v>1</v>
      </c>
      <c r="J1149" s="1" t="str">
        <f>'Source build'!A1149</f>
        <v>L01143</v>
      </c>
      <c r="K1149" s="1">
        <f>1149</f>
        <v>1149</v>
      </c>
      <c r="L1149" s="10">
        <f t="shared" si="86"/>
        <v>33765</v>
      </c>
      <c r="M1149" s="1">
        <f t="shared" si="87"/>
        <v>1</v>
      </c>
      <c r="N1149" s="1">
        <f t="shared" si="88"/>
        <v>1</v>
      </c>
      <c r="O1149" s="1" t="str">
        <f>IF(I1149=0,"UNUSED",IF(A1149="","MISSING ID",IF(K1149=0,"UNEXPECTED ID",IF(N1149&lt;&gt;1,"ID / ORDER DIFFERENCE",IF('Source build'!U1149&lt;&gt;"INCLUDED","EXCLUDED SOURCE",IF(NOT(M1149),"INVALID AMOUNT",IF('Source build'!Y1149&lt;&gt;0,"CHANGED FIELDS","MATCH")))))))</f>
        <v>MATCH</v>
      </c>
      <c r="P1149" s="1" t="str">
        <f t="shared" si="89"/>
        <v>2026-02</v>
      </c>
    </row>
    <row r="1150" spans="1:16" ht="18.95" customHeight="1">
      <c r="A1150" s="7" t="s">
        <v>3052</v>
      </c>
      <c r="B1150" s="7" t="s">
        <v>3050</v>
      </c>
      <c r="C1150" s="7" t="s">
        <v>284</v>
      </c>
      <c r="D1150" s="7" t="s">
        <v>93</v>
      </c>
      <c r="E1150" s="7" t="s">
        <v>46</v>
      </c>
      <c r="F1150" s="7" t="s">
        <v>98</v>
      </c>
      <c r="G1150" s="7" t="s">
        <v>3053</v>
      </c>
      <c r="I1150" s="1">
        <f t="shared" si="85"/>
        <v>1</v>
      </c>
      <c r="J1150" s="1" t="str">
        <f>'Source build'!A1150</f>
        <v>L01144</v>
      </c>
      <c r="K1150" s="1">
        <f>1150</f>
        <v>1150</v>
      </c>
      <c r="L1150" s="10">
        <f t="shared" si="86"/>
        <v>13580</v>
      </c>
      <c r="M1150" s="1">
        <f t="shared" si="87"/>
        <v>1</v>
      </c>
      <c r="N1150" s="1">
        <f t="shared" si="88"/>
        <v>1</v>
      </c>
      <c r="O1150" s="1" t="str">
        <f>IF(I1150=0,"UNUSED",IF(A1150="","MISSING ID",IF(K1150=0,"UNEXPECTED ID",IF(N1150&lt;&gt;1,"ID / ORDER DIFFERENCE",IF('Source build'!U1150&lt;&gt;"INCLUDED","EXCLUDED SOURCE",IF(NOT(M1150),"INVALID AMOUNT",IF('Source build'!Y1150&lt;&gt;0,"CHANGED FIELDS","MATCH")))))))</f>
        <v>MATCH</v>
      </c>
      <c r="P1150" s="1" t="str">
        <f t="shared" si="89"/>
        <v>2026-02</v>
      </c>
    </row>
    <row r="1151" spans="1:16" ht="18.95" customHeight="1">
      <c r="A1151" s="7" t="s">
        <v>3054</v>
      </c>
      <c r="B1151" s="7" t="s">
        <v>3055</v>
      </c>
      <c r="C1151" s="7" t="s">
        <v>290</v>
      </c>
      <c r="D1151" s="7" t="s">
        <v>97</v>
      </c>
      <c r="E1151" s="7" t="s">
        <v>47</v>
      </c>
      <c r="F1151" s="7" t="s">
        <v>98</v>
      </c>
      <c r="G1151" s="7" t="s">
        <v>3056</v>
      </c>
      <c r="I1151" s="1">
        <f t="shared" si="85"/>
        <v>1</v>
      </c>
      <c r="J1151" s="1" t="str">
        <f>'Source build'!A1151</f>
        <v>L01145</v>
      </c>
      <c r="K1151" s="1">
        <f>1151</f>
        <v>1151</v>
      </c>
      <c r="L1151" s="10">
        <f t="shared" si="86"/>
        <v>27308</v>
      </c>
      <c r="M1151" s="1">
        <f t="shared" si="87"/>
        <v>1</v>
      </c>
      <c r="N1151" s="1">
        <f t="shared" si="88"/>
        <v>1</v>
      </c>
      <c r="O1151" s="1" t="str">
        <f>IF(I1151=0,"UNUSED",IF(A1151="","MISSING ID",IF(K1151=0,"UNEXPECTED ID",IF(N1151&lt;&gt;1,"ID / ORDER DIFFERENCE",IF('Source build'!U1151&lt;&gt;"INCLUDED","EXCLUDED SOURCE",IF(NOT(M1151),"INVALID AMOUNT",IF('Source build'!Y1151&lt;&gt;0,"CHANGED FIELDS","MATCH")))))))</f>
        <v>MATCH</v>
      </c>
      <c r="P1151" s="1" t="str">
        <f t="shared" si="89"/>
        <v>2026-02</v>
      </c>
    </row>
    <row r="1152" spans="1:16" ht="18.95" customHeight="1">
      <c r="A1152" s="7" t="s">
        <v>3057</v>
      </c>
      <c r="B1152" s="7" t="s">
        <v>3055</v>
      </c>
      <c r="C1152" s="7" t="s">
        <v>290</v>
      </c>
      <c r="D1152" s="7" t="s">
        <v>103</v>
      </c>
      <c r="E1152" s="7" t="s">
        <v>48</v>
      </c>
      <c r="F1152" s="7" t="s">
        <v>98</v>
      </c>
      <c r="G1152" s="7" t="s">
        <v>3058</v>
      </c>
      <c r="I1152" s="1">
        <f t="shared" si="85"/>
        <v>1</v>
      </c>
      <c r="J1152" s="1" t="str">
        <f>'Source build'!A1152</f>
        <v>L01146</v>
      </c>
      <c r="K1152" s="1">
        <f>1152</f>
        <v>1152</v>
      </c>
      <c r="L1152" s="10">
        <f t="shared" si="86"/>
        <v>6864</v>
      </c>
      <c r="M1152" s="1">
        <f t="shared" si="87"/>
        <v>1</v>
      </c>
      <c r="N1152" s="1">
        <f t="shared" si="88"/>
        <v>1</v>
      </c>
      <c r="O1152" s="1" t="str">
        <f>IF(I1152=0,"UNUSED",IF(A1152="","MISSING ID",IF(K1152=0,"UNEXPECTED ID",IF(N1152&lt;&gt;1,"ID / ORDER DIFFERENCE",IF('Source build'!U1152&lt;&gt;"INCLUDED","EXCLUDED SOURCE",IF(NOT(M1152),"INVALID AMOUNT",IF('Source build'!Y1152&lt;&gt;0,"CHANGED FIELDS","MATCH")))))))</f>
        <v>MATCH</v>
      </c>
      <c r="P1152" s="1" t="str">
        <f t="shared" si="89"/>
        <v>2026-02</v>
      </c>
    </row>
    <row r="1153" spans="1:16" ht="18.95" customHeight="1">
      <c r="A1153" s="7" t="s">
        <v>3059</v>
      </c>
      <c r="B1153" s="7" t="s">
        <v>3060</v>
      </c>
      <c r="C1153" s="7" t="s">
        <v>296</v>
      </c>
      <c r="D1153" s="7" t="s">
        <v>93</v>
      </c>
      <c r="E1153" s="7" t="s">
        <v>46</v>
      </c>
      <c r="F1153" s="7" t="s">
        <v>98</v>
      </c>
      <c r="G1153" s="7" t="s">
        <v>3061</v>
      </c>
      <c r="I1153" s="1">
        <f t="shared" si="85"/>
        <v>1</v>
      </c>
      <c r="J1153" s="1" t="str">
        <f>'Source build'!A1153</f>
        <v>L01147</v>
      </c>
      <c r="K1153" s="1">
        <f>1153</f>
        <v>1153</v>
      </c>
      <c r="L1153" s="10">
        <f t="shared" si="86"/>
        <v>20703</v>
      </c>
      <c r="M1153" s="1">
        <f t="shared" si="87"/>
        <v>1</v>
      </c>
      <c r="N1153" s="1">
        <f t="shared" si="88"/>
        <v>1</v>
      </c>
      <c r="O1153" s="1" t="str">
        <f>IF(I1153=0,"UNUSED",IF(A1153="","MISSING ID",IF(K1153=0,"UNEXPECTED ID",IF(N1153&lt;&gt;1,"ID / ORDER DIFFERENCE",IF('Source build'!U1153&lt;&gt;"INCLUDED","EXCLUDED SOURCE",IF(NOT(M1153),"INVALID AMOUNT",IF('Source build'!Y1153&lt;&gt;0,"CHANGED FIELDS","MATCH")))))))</f>
        <v>MATCH</v>
      </c>
      <c r="P1153" s="1" t="str">
        <f t="shared" si="89"/>
        <v>2026-02</v>
      </c>
    </row>
    <row r="1154" spans="1:16" ht="18.95" customHeight="1">
      <c r="A1154" s="7" t="s">
        <v>3062</v>
      </c>
      <c r="B1154" s="7" t="s">
        <v>3060</v>
      </c>
      <c r="C1154" s="7" t="s">
        <v>296</v>
      </c>
      <c r="D1154" s="7" t="s">
        <v>97</v>
      </c>
      <c r="E1154" s="7" t="s">
        <v>47</v>
      </c>
      <c r="F1154" s="7" t="s">
        <v>98</v>
      </c>
      <c r="G1154" s="7" t="s">
        <v>3063</v>
      </c>
      <c r="I1154" s="1">
        <f t="shared" si="85"/>
        <v>1</v>
      </c>
      <c r="J1154" s="1" t="str">
        <f>'Source build'!A1154</f>
        <v>L01148</v>
      </c>
      <c r="K1154" s="1">
        <f>1154</f>
        <v>1154</v>
      </c>
      <c r="L1154" s="10">
        <f t="shared" si="86"/>
        <v>34690</v>
      </c>
      <c r="M1154" s="1">
        <f t="shared" si="87"/>
        <v>1</v>
      </c>
      <c r="N1154" s="1">
        <f t="shared" si="88"/>
        <v>1</v>
      </c>
      <c r="O1154" s="1" t="str">
        <f>IF(I1154=0,"UNUSED",IF(A1154="","MISSING ID",IF(K1154=0,"UNEXPECTED ID",IF(N1154&lt;&gt;1,"ID / ORDER DIFFERENCE",IF('Source build'!U1154&lt;&gt;"INCLUDED","EXCLUDED SOURCE",IF(NOT(M1154),"INVALID AMOUNT",IF('Source build'!Y1154&lt;&gt;0,"CHANGED FIELDS","MATCH")))))))</f>
        <v>MATCH</v>
      </c>
      <c r="P1154" s="1" t="str">
        <f t="shared" si="89"/>
        <v>2026-02</v>
      </c>
    </row>
    <row r="1155" spans="1:16" ht="18.95" customHeight="1">
      <c r="A1155" s="7" t="s">
        <v>3064</v>
      </c>
      <c r="B1155" s="7" t="s">
        <v>3065</v>
      </c>
      <c r="C1155" s="7" t="s">
        <v>302</v>
      </c>
      <c r="D1155" s="7" t="s">
        <v>103</v>
      </c>
      <c r="E1155" s="7" t="s">
        <v>48</v>
      </c>
      <c r="F1155" s="7" t="s">
        <v>98</v>
      </c>
      <c r="G1155" s="7" t="s">
        <v>3066</v>
      </c>
      <c r="I1155" s="1">
        <f t="shared" si="85"/>
        <v>1</v>
      </c>
      <c r="J1155" s="1" t="str">
        <f>'Source build'!A1155</f>
        <v>L01149</v>
      </c>
      <c r="K1155" s="1">
        <f>1155</f>
        <v>1155</v>
      </c>
      <c r="L1155" s="10">
        <f t="shared" si="86"/>
        <v>13950</v>
      </c>
      <c r="M1155" s="1">
        <f t="shared" si="87"/>
        <v>1</v>
      </c>
      <c r="N1155" s="1">
        <f t="shared" si="88"/>
        <v>1</v>
      </c>
      <c r="O1155" s="1" t="str">
        <f>IF(I1155=0,"UNUSED",IF(A1155="","MISSING ID",IF(K1155=0,"UNEXPECTED ID",IF(N1155&lt;&gt;1,"ID / ORDER DIFFERENCE",IF('Source build'!U1155&lt;&gt;"INCLUDED","EXCLUDED SOURCE",IF(NOT(M1155),"INVALID AMOUNT",IF('Source build'!Y1155&lt;&gt;0,"CHANGED FIELDS","MATCH")))))))</f>
        <v>MATCH</v>
      </c>
      <c r="P1155" s="1" t="str">
        <f t="shared" si="89"/>
        <v>2026-02</v>
      </c>
    </row>
    <row r="1156" spans="1:16" ht="18.95" customHeight="1">
      <c r="A1156" s="7" t="s">
        <v>3067</v>
      </c>
      <c r="B1156" s="7" t="s">
        <v>3065</v>
      </c>
      <c r="C1156" s="7" t="s">
        <v>302</v>
      </c>
      <c r="D1156" s="7" t="s">
        <v>93</v>
      </c>
      <c r="E1156" s="7" t="s">
        <v>46</v>
      </c>
      <c r="F1156" s="7" t="s">
        <v>98</v>
      </c>
      <c r="G1156" s="7" t="s">
        <v>3068</v>
      </c>
      <c r="I1156" s="1">
        <f t="shared" si="85"/>
        <v>1</v>
      </c>
      <c r="J1156" s="1" t="str">
        <f>'Source build'!A1156</f>
        <v>L01150</v>
      </c>
      <c r="K1156" s="1">
        <f>1156</f>
        <v>1156</v>
      </c>
      <c r="L1156" s="10">
        <f t="shared" si="86"/>
        <v>28048</v>
      </c>
      <c r="M1156" s="1">
        <f t="shared" si="87"/>
        <v>1</v>
      </c>
      <c r="N1156" s="1">
        <f t="shared" si="88"/>
        <v>1</v>
      </c>
      <c r="O1156" s="1" t="str">
        <f>IF(I1156=0,"UNUSED",IF(A1156="","MISSING ID",IF(K1156=0,"UNEXPECTED ID",IF(N1156&lt;&gt;1,"ID / ORDER DIFFERENCE",IF('Source build'!U1156&lt;&gt;"INCLUDED","EXCLUDED SOURCE",IF(NOT(M1156),"INVALID AMOUNT",IF('Source build'!Y1156&lt;&gt;0,"CHANGED FIELDS","MATCH")))))))</f>
        <v>MATCH</v>
      </c>
      <c r="P1156" s="1" t="str">
        <f t="shared" si="89"/>
        <v>2026-02</v>
      </c>
    </row>
    <row r="1157" spans="1:16" ht="18.95" customHeight="1">
      <c r="A1157" s="7" t="s">
        <v>3069</v>
      </c>
      <c r="B1157" s="7" t="s">
        <v>3070</v>
      </c>
      <c r="C1157" s="7" t="s">
        <v>308</v>
      </c>
      <c r="D1157" s="7" t="s">
        <v>97</v>
      </c>
      <c r="E1157" s="7" t="s">
        <v>47</v>
      </c>
      <c r="F1157" s="7" t="s">
        <v>94</v>
      </c>
      <c r="G1157" s="7" t="s">
        <v>3071</v>
      </c>
      <c r="I1157" s="1">
        <f t="shared" si="85"/>
        <v>1</v>
      </c>
      <c r="J1157" s="1" t="str">
        <f>'Source build'!A1157</f>
        <v>L01151</v>
      </c>
      <c r="K1157" s="1">
        <f>1157</f>
        <v>1157</v>
      </c>
      <c r="L1157" s="10">
        <f t="shared" si="86"/>
        <v>-7049</v>
      </c>
      <c r="M1157" s="1">
        <f t="shared" si="87"/>
        <v>1</v>
      </c>
      <c r="N1157" s="1">
        <f t="shared" si="88"/>
        <v>1</v>
      </c>
      <c r="O1157" s="1" t="str">
        <f>IF(I1157=0,"UNUSED",IF(A1157="","MISSING ID",IF(K1157=0,"UNEXPECTED ID",IF(N1157&lt;&gt;1,"ID / ORDER DIFFERENCE",IF('Source build'!U1157&lt;&gt;"INCLUDED","EXCLUDED SOURCE",IF(NOT(M1157),"INVALID AMOUNT",IF('Source build'!Y1157&lt;&gt;0,"CHANGED FIELDS","MATCH")))))))</f>
        <v>MATCH</v>
      </c>
      <c r="P1157" s="1" t="str">
        <f t="shared" si="89"/>
        <v>2026-03</v>
      </c>
    </row>
    <row r="1158" spans="1:16" ht="18.95" customHeight="1">
      <c r="A1158" s="7" t="s">
        <v>3072</v>
      </c>
      <c r="B1158" s="7" t="s">
        <v>3070</v>
      </c>
      <c r="C1158" s="7" t="s">
        <v>308</v>
      </c>
      <c r="D1158" s="7" t="s">
        <v>103</v>
      </c>
      <c r="E1158" s="7" t="s">
        <v>48</v>
      </c>
      <c r="F1158" s="7" t="s">
        <v>98</v>
      </c>
      <c r="G1158" s="7" t="s">
        <v>3073</v>
      </c>
      <c r="I1158" s="1">
        <f t="shared" si="85"/>
        <v>1</v>
      </c>
      <c r="J1158" s="1" t="str">
        <f>'Source build'!A1158</f>
        <v>L01152</v>
      </c>
      <c r="K1158" s="1">
        <f>1158</f>
        <v>1158</v>
      </c>
      <c r="L1158" s="10">
        <f t="shared" si="86"/>
        <v>21258</v>
      </c>
      <c r="M1158" s="1">
        <f t="shared" si="87"/>
        <v>1</v>
      </c>
      <c r="N1158" s="1">
        <f t="shared" si="88"/>
        <v>1</v>
      </c>
      <c r="O1158" s="1" t="str">
        <f>IF(I1158=0,"UNUSED",IF(A1158="","MISSING ID",IF(K1158=0,"UNEXPECTED ID",IF(N1158&lt;&gt;1,"ID / ORDER DIFFERENCE",IF('Source build'!U1158&lt;&gt;"INCLUDED","EXCLUDED SOURCE",IF(NOT(M1158),"INVALID AMOUNT",IF('Source build'!Y1158&lt;&gt;0,"CHANGED FIELDS","MATCH")))))))</f>
        <v>MATCH</v>
      </c>
      <c r="P1158" s="1" t="str">
        <f t="shared" si="89"/>
        <v>2026-03</v>
      </c>
    </row>
    <row r="1159" spans="1:16" ht="18.95" customHeight="1">
      <c r="A1159" s="7" t="s">
        <v>3074</v>
      </c>
      <c r="B1159" s="7" t="s">
        <v>3075</v>
      </c>
      <c r="C1159" s="7" t="s">
        <v>314</v>
      </c>
      <c r="D1159" s="7" t="s">
        <v>93</v>
      </c>
      <c r="E1159" s="7" t="s">
        <v>46</v>
      </c>
      <c r="F1159" s="7" t="s">
        <v>98</v>
      </c>
      <c r="G1159" s="7" t="s">
        <v>3076</v>
      </c>
      <c r="I1159" s="1">
        <f t="shared" ref="I1159:I1222" si="90">IF(AND(A1159="",B1159="",C1159="",D1159="",E1159="",F1159="",G1159=""),0,1)</f>
        <v>1</v>
      </c>
      <c r="J1159" s="1" t="str">
        <f>'Source build'!A1159</f>
        <v>L01153</v>
      </c>
      <c r="K1159" s="1">
        <f>1159</f>
        <v>1159</v>
      </c>
      <c r="L1159" s="10">
        <f t="shared" ref="L1159:L1222" si="91">IFERROR(IF(ABS(VALUE(G1159)*100-ROUND(VALUE(G1159)*100,0))&lt;0.0000001,ROUND(VALUE(G1159)*100,0),0),0)</f>
        <v>35615</v>
      </c>
      <c r="M1159" s="1">
        <f t="shared" ref="M1159:M1222" si="92">--IF(I1159=0,TRUE,IF(TRIM(G1159)="",FALSE,IFERROR(AND(ISNUMBER(VALUE(G1159)),ABS(VALUE(G1159)*100-ROUND(VALUE(G1159)*100,0))&lt;0.0000001,OR(ISNUMBER(G1159),EXACT(G1159,TEXT(VALUE(G1159),"0.00"))),OR(AND(EXACT(F1159,"sale"),VALUE(G1159)&gt;0),AND(EXACT(F1159,"refund"),VALUE(G1159)&lt;0))),FALSE)))</f>
        <v>1</v>
      </c>
      <c r="N1159" s="1">
        <f t="shared" ref="N1159:N1222" si="93">IF(I1159=1,IF(EXACT(A1159,J1159),1,0),0)</f>
        <v>1</v>
      </c>
      <c r="O1159" s="1" t="str">
        <f>IF(I1159=0,"UNUSED",IF(A1159="","MISSING ID",IF(K1159=0,"UNEXPECTED ID",IF(N1159&lt;&gt;1,"ID / ORDER DIFFERENCE",IF('Source build'!U1159&lt;&gt;"INCLUDED","EXCLUDED SOURCE",IF(NOT(M1159),"INVALID AMOUNT",IF('Source build'!Y1159&lt;&gt;0,"CHANGED FIELDS","MATCH")))))))</f>
        <v>MATCH</v>
      </c>
      <c r="P1159" s="1" t="str">
        <f t="shared" ref="P1159:P1222" si="94">IF(I1159=1,LEFT(C1159,7),"")</f>
        <v>2026-03</v>
      </c>
    </row>
    <row r="1160" spans="1:16" ht="18.95" customHeight="1">
      <c r="A1160" s="7" t="s">
        <v>3077</v>
      </c>
      <c r="B1160" s="7" t="s">
        <v>3075</v>
      </c>
      <c r="C1160" s="7" t="s">
        <v>314</v>
      </c>
      <c r="D1160" s="7" t="s">
        <v>97</v>
      </c>
      <c r="E1160" s="7" t="s">
        <v>47</v>
      </c>
      <c r="F1160" s="7" t="s">
        <v>98</v>
      </c>
      <c r="G1160" s="7" t="s">
        <v>3078</v>
      </c>
      <c r="I1160" s="1">
        <f t="shared" si="90"/>
        <v>1</v>
      </c>
      <c r="J1160" s="1" t="str">
        <f>'Source build'!A1160</f>
        <v>L01154</v>
      </c>
      <c r="K1160" s="1">
        <f>1160</f>
        <v>1160</v>
      </c>
      <c r="L1160" s="10">
        <f t="shared" si="91"/>
        <v>14320</v>
      </c>
      <c r="M1160" s="1">
        <f t="shared" si="92"/>
        <v>1</v>
      </c>
      <c r="N1160" s="1">
        <f t="shared" si="93"/>
        <v>1</v>
      </c>
      <c r="O1160" s="1" t="str">
        <f>IF(I1160=0,"UNUSED",IF(A1160="","MISSING ID",IF(K1160=0,"UNEXPECTED ID",IF(N1160&lt;&gt;1,"ID / ORDER DIFFERENCE",IF('Source build'!U1160&lt;&gt;"INCLUDED","EXCLUDED SOURCE",IF(NOT(M1160),"INVALID AMOUNT",IF('Source build'!Y1160&lt;&gt;0,"CHANGED FIELDS","MATCH")))))))</f>
        <v>MATCH</v>
      </c>
      <c r="P1160" s="1" t="str">
        <f t="shared" si="94"/>
        <v>2026-03</v>
      </c>
    </row>
    <row r="1161" spans="1:16" ht="18.95" customHeight="1">
      <c r="A1161" s="7" t="s">
        <v>3079</v>
      </c>
      <c r="B1161" s="7" t="s">
        <v>3080</v>
      </c>
      <c r="C1161" s="7" t="s">
        <v>320</v>
      </c>
      <c r="D1161" s="7" t="s">
        <v>103</v>
      </c>
      <c r="E1161" s="7" t="s">
        <v>48</v>
      </c>
      <c r="F1161" s="7" t="s">
        <v>98</v>
      </c>
      <c r="G1161" s="7" t="s">
        <v>3081</v>
      </c>
      <c r="I1161" s="1">
        <f t="shared" si="90"/>
        <v>1</v>
      </c>
      <c r="J1161" s="1" t="str">
        <f>'Source build'!A1161</f>
        <v>L01155</v>
      </c>
      <c r="K1161" s="1">
        <f>1161</f>
        <v>1161</v>
      </c>
      <c r="L1161" s="10">
        <f t="shared" si="91"/>
        <v>28788</v>
      </c>
      <c r="M1161" s="1">
        <f t="shared" si="92"/>
        <v>1</v>
      </c>
      <c r="N1161" s="1">
        <f t="shared" si="93"/>
        <v>1</v>
      </c>
      <c r="O1161" s="1" t="str">
        <f>IF(I1161=0,"UNUSED",IF(A1161="","MISSING ID",IF(K1161=0,"UNEXPECTED ID",IF(N1161&lt;&gt;1,"ID / ORDER DIFFERENCE",IF('Source build'!U1161&lt;&gt;"INCLUDED","EXCLUDED SOURCE",IF(NOT(M1161),"INVALID AMOUNT",IF('Source build'!Y1161&lt;&gt;0,"CHANGED FIELDS","MATCH")))))))</f>
        <v>MATCH</v>
      </c>
      <c r="P1161" s="1" t="str">
        <f t="shared" si="94"/>
        <v>2026-03</v>
      </c>
    </row>
    <row r="1162" spans="1:16" ht="18.95" customHeight="1">
      <c r="A1162" s="7" t="s">
        <v>3082</v>
      </c>
      <c r="B1162" s="7" t="s">
        <v>3080</v>
      </c>
      <c r="C1162" s="7" t="s">
        <v>320</v>
      </c>
      <c r="D1162" s="7" t="s">
        <v>93</v>
      </c>
      <c r="E1162" s="7" t="s">
        <v>46</v>
      </c>
      <c r="F1162" s="7" t="s">
        <v>98</v>
      </c>
      <c r="G1162" s="7" t="s">
        <v>5142</v>
      </c>
      <c r="I1162" s="1">
        <f t="shared" si="90"/>
        <v>1</v>
      </c>
      <c r="J1162" s="1" t="str">
        <f>'Source build'!A1162</f>
        <v>L01156</v>
      </c>
      <c r="K1162" s="1">
        <f>1162</f>
        <v>1162</v>
      </c>
      <c r="L1162" s="10">
        <f t="shared" si="91"/>
        <v>7234</v>
      </c>
      <c r="M1162" s="1">
        <f t="shared" si="92"/>
        <v>1</v>
      </c>
      <c r="N1162" s="1">
        <f t="shared" si="93"/>
        <v>1</v>
      </c>
      <c r="O1162" s="1" t="str">
        <f>IF(I1162=0,"UNUSED",IF(A1162="","MISSING ID",IF(K1162=0,"UNEXPECTED ID",IF(N1162&lt;&gt;1,"ID / ORDER DIFFERENCE",IF('Source build'!U1162&lt;&gt;"INCLUDED","EXCLUDED SOURCE",IF(NOT(M1162),"INVALID AMOUNT",IF('Source build'!Y1162&lt;&gt;0,"CHANGED FIELDS","MATCH")))))))</f>
        <v>MATCH</v>
      </c>
      <c r="P1162" s="1" t="str">
        <f t="shared" si="94"/>
        <v>2026-03</v>
      </c>
    </row>
    <row r="1163" spans="1:16" ht="18.95" customHeight="1">
      <c r="A1163" s="7" t="s">
        <v>3084</v>
      </c>
      <c r="B1163" s="7" t="s">
        <v>3085</v>
      </c>
      <c r="C1163" s="7" t="s">
        <v>326</v>
      </c>
      <c r="D1163" s="7" t="s">
        <v>97</v>
      </c>
      <c r="E1163" s="7" t="s">
        <v>47</v>
      </c>
      <c r="F1163" s="7" t="s">
        <v>98</v>
      </c>
      <c r="G1163" s="7" t="s">
        <v>3086</v>
      </c>
      <c r="I1163" s="1">
        <f t="shared" si="90"/>
        <v>1</v>
      </c>
      <c r="J1163" s="1" t="str">
        <f>'Source build'!A1163</f>
        <v>L01157</v>
      </c>
      <c r="K1163" s="1">
        <f>1163</f>
        <v>1163</v>
      </c>
      <c r="L1163" s="10">
        <f t="shared" si="91"/>
        <v>21813</v>
      </c>
      <c r="M1163" s="1">
        <f t="shared" si="92"/>
        <v>1</v>
      </c>
      <c r="N1163" s="1">
        <f t="shared" si="93"/>
        <v>1</v>
      </c>
      <c r="O1163" s="1" t="str">
        <f>IF(I1163=0,"UNUSED",IF(A1163="","MISSING ID",IF(K1163=0,"UNEXPECTED ID",IF(N1163&lt;&gt;1,"ID / ORDER DIFFERENCE",IF('Source build'!U1163&lt;&gt;"INCLUDED","EXCLUDED SOURCE",IF(NOT(M1163),"INVALID AMOUNT",IF('Source build'!Y1163&lt;&gt;0,"CHANGED FIELDS","MATCH")))))))</f>
        <v>MATCH</v>
      </c>
      <c r="P1163" s="1" t="str">
        <f t="shared" si="94"/>
        <v>2026-03</v>
      </c>
    </row>
    <row r="1164" spans="1:16" ht="18.95" customHeight="1">
      <c r="A1164" s="7" t="s">
        <v>3087</v>
      </c>
      <c r="B1164" s="7" t="s">
        <v>3085</v>
      </c>
      <c r="C1164" s="7" t="s">
        <v>326</v>
      </c>
      <c r="D1164" s="7" t="s">
        <v>103</v>
      </c>
      <c r="E1164" s="7" t="s">
        <v>48</v>
      </c>
      <c r="F1164" s="7" t="s">
        <v>98</v>
      </c>
      <c r="G1164" s="7" t="s">
        <v>3088</v>
      </c>
      <c r="I1164" s="1">
        <f t="shared" si="90"/>
        <v>1</v>
      </c>
      <c r="J1164" s="1" t="str">
        <f>'Source build'!A1164</f>
        <v>L01158</v>
      </c>
      <c r="K1164" s="1">
        <f>1164</f>
        <v>1164</v>
      </c>
      <c r="L1164" s="10">
        <f t="shared" si="91"/>
        <v>36540</v>
      </c>
      <c r="M1164" s="1">
        <f t="shared" si="92"/>
        <v>1</v>
      </c>
      <c r="N1164" s="1">
        <f t="shared" si="93"/>
        <v>1</v>
      </c>
      <c r="O1164" s="1" t="str">
        <f>IF(I1164=0,"UNUSED",IF(A1164="","MISSING ID",IF(K1164=0,"UNEXPECTED ID",IF(N1164&lt;&gt;1,"ID / ORDER DIFFERENCE",IF('Source build'!U1164&lt;&gt;"INCLUDED","EXCLUDED SOURCE",IF(NOT(M1164),"INVALID AMOUNT",IF('Source build'!Y1164&lt;&gt;0,"CHANGED FIELDS","MATCH")))))))</f>
        <v>MATCH</v>
      </c>
      <c r="P1164" s="1" t="str">
        <f t="shared" si="94"/>
        <v>2026-03</v>
      </c>
    </row>
    <row r="1165" spans="1:16" ht="18.95" customHeight="1">
      <c r="A1165" s="7" t="s">
        <v>3089</v>
      </c>
      <c r="B1165" s="7" t="s">
        <v>3090</v>
      </c>
      <c r="C1165" s="7" t="s">
        <v>332</v>
      </c>
      <c r="D1165" s="7" t="s">
        <v>93</v>
      </c>
      <c r="E1165" s="7" t="s">
        <v>46</v>
      </c>
      <c r="F1165" s="7" t="s">
        <v>98</v>
      </c>
      <c r="G1165" s="7" t="s">
        <v>3091</v>
      </c>
      <c r="I1165" s="1">
        <f t="shared" si="90"/>
        <v>1</v>
      </c>
      <c r="J1165" s="1" t="str">
        <f>'Source build'!A1165</f>
        <v>L01159</v>
      </c>
      <c r="K1165" s="1">
        <f>1165</f>
        <v>1165</v>
      </c>
      <c r="L1165" s="10">
        <f t="shared" si="91"/>
        <v>14690</v>
      </c>
      <c r="M1165" s="1">
        <f t="shared" si="92"/>
        <v>1</v>
      </c>
      <c r="N1165" s="1">
        <f t="shared" si="93"/>
        <v>1</v>
      </c>
      <c r="O1165" s="1" t="str">
        <f>IF(I1165=0,"UNUSED",IF(A1165="","MISSING ID",IF(K1165=0,"UNEXPECTED ID",IF(N1165&lt;&gt;1,"ID / ORDER DIFFERENCE",IF('Source build'!U1165&lt;&gt;"INCLUDED","EXCLUDED SOURCE",IF(NOT(M1165),"INVALID AMOUNT",IF('Source build'!Y1165&lt;&gt;0,"CHANGED FIELDS","MATCH")))))))</f>
        <v>MATCH</v>
      </c>
      <c r="P1165" s="1" t="str">
        <f t="shared" si="94"/>
        <v>2026-01</v>
      </c>
    </row>
    <row r="1166" spans="1:16" ht="18.95" customHeight="1">
      <c r="A1166" s="7" t="s">
        <v>3092</v>
      </c>
      <c r="B1166" s="7" t="s">
        <v>3090</v>
      </c>
      <c r="C1166" s="7" t="s">
        <v>332</v>
      </c>
      <c r="D1166" s="7" t="s">
        <v>97</v>
      </c>
      <c r="E1166" s="7" t="s">
        <v>47</v>
      </c>
      <c r="F1166" s="7" t="s">
        <v>98</v>
      </c>
      <c r="G1166" s="7" t="s">
        <v>3093</v>
      </c>
      <c r="I1166" s="1">
        <f t="shared" si="90"/>
        <v>1</v>
      </c>
      <c r="J1166" s="1" t="str">
        <f>'Source build'!A1166</f>
        <v>L01160</v>
      </c>
      <c r="K1166" s="1">
        <f>1166</f>
        <v>1166</v>
      </c>
      <c r="L1166" s="10">
        <f t="shared" si="91"/>
        <v>29528</v>
      </c>
      <c r="M1166" s="1">
        <f t="shared" si="92"/>
        <v>1</v>
      </c>
      <c r="N1166" s="1">
        <f t="shared" si="93"/>
        <v>1</v>
      </c>
      <c r="O1166" s="1" t="str">
        <f>IF(I1166=0,"UNUSED",IF(A1166="","MISSING ID",IF(K1166=0,"UNEXPECTED ID",IF(N1166&lt;&gt;1,"ID / ORDER DIFFERENCE",IF('Source build'!U1166&lt;&gt;"INCLUDED","EXCLUDED SOURCE",IF(NOT(M1166),"INVALID AMOUNT",IF('Source build'!Y1166&lt;&gt;0,"CHANGED FIELDS","MATCH")))))))</f>
        <v>MATCH</v>
      </c>
      <c r="P1166" s="1" t="str">
        <f t="shared" si="94"/>
        <v>2026-01</v>
      </c>
    </row>
    <row r="1167" spans="1:16" ht="18.95" customHeight="1">
      <c r="A1167" s="7" t="s">
        <v>3094</v>
      </c>
      <c r="B1167" s="7" t="s">
        <v>3095</v>
      </c>
      <c r="C1167" s="7" t="s">
        <v>338</v>
      </c>
      <c r="D1167" s="7" t="s">
        <v>103</v>
      </c>
      <c r="E1167" s="7" t="s">
        <v>48</v>
      </c>
      <c r="F1167" s="7" t="s">
        <v>98</v>
      </c>
      <c r="G1167" s="7" t="s">
        <v>3096</v>
      </c>
      <c r="I1167" s="1">
        <f t="shared" si="90"/>
        <v>1</v>
      </c>
      <c r="J1167" s="1" t="str">
        <f>'Source build'!A1167</f>
        <v>L01161</v>
      </c>
      <c r="K1167" s="1">
        <f>1167</f>
        <v>1167</v>
      </c>
      <c r="L1167" s="10">
        <f t="shared" si="91"/>
        <v>7419</v>
      </c>
      <c r="M1167" s="1">
        <f t="shared" si="92"/>
        <v>1</v>
      </c>
      <c r="N1167" s="1">
        <f t="shared" si="93"/>
        <v>1</v>
      </c>
      <c r="O1167" s="1" t="str">
        <f>IF(I1167=0,"UNUSED",IF(A1167="","MISSING ID",IF(K1167=0,"UNEXPECTED ID",IF(N1167&lt;&gt;1,"ID / ORDER DIFFERENCE",IF('Source build'!U1167&lt;&gt;"INCLUDED","EXCLUDED SOURCE",IF(NOT(M1167),"INVALID AMOUNT",IF('Source build'!Y1167&lt;&gt;0,"CHANGED FIELDS","MATCH")))))))</f>
        <v>MATCH</v>
      </c>
      <c r="P1167" s="1" t="str">
        <f t="shared" si="94"/>
        <v>2026-01</v>
      </c>
    </row>
    <row r="1168" spans="1:16" ht="18.95" customHeight="1">
      <c r="A1168" s="7" t="s">
        <v>3097</v>
      </c>
      <c r="B1168" s="7" t="s">
        <v>3095</v>
      </c>
      <c r="C1168" s="7" t="s">
        <v>338</v>
      </c>
      <c r="D1168" s="7" t="s">
        <v>93</v>
      </c>
      <c r="E1168" s="7" t="s">
        <v>46</v>
      </c>
      <c r="F1168" s="7" t="s">
        <v>98</v>
      </c>
      <c r="G1168" s="7" t="s">
        <v>3098</v>
      </c>
      <c r="I1168" s="1">
        <f t="shared" si="90"/>
        <v>1</v>
      </c>
      <c r="J1168" s="1" t="str">
        <f>'Source build'!A1168</f>
        <v>L01162</v>
      </c>
      <c r="K1168" s="1">
        <f>1168</f>
        <v>1168</v>
      </c>
      <c r="L1168" s="10">
        <f t="shared" si="91"/>
        <v>22368</v>
      </c>
      <c r="M1168" s="1">
        <f t="shared" si="92"/>
        <v>1</v>
      </c>
      <c r="N1168" s="1">
        <f t="shared" si="93"/>
        <v>1</v>
      </c>
      <c r="O1168" s="1" t="str">
        <f>IF(I1168=0,"UNUSED",IF(A1168="","MISSING ID",IF(K1168=0,"UNEXPECTED ID",IF(N1168&lt;&gt;1,"ID / ORDER DIFFERENCE",IF('Source build'!U1168&lt;&gt;"INCLUDED","EXCLUDED SOURCE",IF(NOT(M1168),"INVALID AMOUNT",IF('Source build'!Y1168&lt;&gt;0,"CHANGED FIELDS","MATCH")))))))</f>
        <v>MATCH</v>
      </c>
      <c r="P1168" s="1" t="str">
        <f t="shared" si="94"/>
        <v>2026-01</v>
      </c>
    </row>
    <row r="1169" spans="1:16" ht="18.95" customHeight="1">
      <c r="A1169" s="7" t="s">
        <v>3099</v>
      </c>
      <c r="B1169" s="7" t="s">
        <v>3100</v>
      </c>
      <c r="C1169" s="7" t="s">
        <v>344</v>
      </c>
      <c r="D1169" s="7" t="s">
        <v>97</v>
      </c>
      <c r="E1169" s="7" t="s">
        <v>47</v>
      </c>
      <c r="F1169" s="7" t="s">
        <v>98</v>
      </c>
      <c r="G1169" s="7" t="s">
        <v>3101</v>
      </c>
      <c r="I1169" s="1">
        <f t="shared" si="90"/>
        <v>1</v>
      </c>
      <c r="J1169" s="1" t="str">
        <f>'Source build'!A1169</f>
        <v>L01163</v>
      </c>
      <c r="K1169" s="1">
        <f>1169</f>
        <v>1169</v>
      </c>
      <c r="L1169" s="10">
        <f t="shared" si="91"/>
        <v>37465</v>
      </c>
      <c r="M1169" s="1">
        <f t="shared" si="92"/>
        <v>1</v>
      </c>
      <c r="N1169" s="1">
        <f t="shared" si="93"/>
        <v>1</v>
      </c>
      <c r="O1169" s="1" t="str">
        <f>IF(I1169=0,"UNUSED",IF(A1169="","MISSING ID",IF(K1169=0,"UNEXPECTED ID",IF(N1169&lt;&gt;1,"ID / ORDER DIFFERENCE",IF('Source build'!U1169&lt;&gt;"INCLUDED","EXCLUDED SOURCE",IF(NOT(M1169),"INVALID AMOUNT",IF('Source build'!Y1169&lt;&gt;0,"CHANGED FIELDS","MATCH")))))))</f>
        <v>MATCH</v>
      </c>
      <c r="P1169" s="1" t="str">
        <f t="shared" si="94"/>
        <v>2026-01</v>
      </c>
    </row>
    <row r="1170" spans="1:16" ht="18.95" customHeight="1">
      <c r="A1170" s="7" t="s">
        <v>3102</v>
      </c>
      <c r="B1170" s="7" t="s">
        <v>3100</v>
      </c>
      <c r="C1170" s="7" t="s">
        <v>344</v>
      </c>
      <c r="D1170" s="7" t="s">
        <v>103</v>
      </c>
      <c r="E1170" s="7" t="s">
        <v>48</v>
      </c>
      <c r="F1170" s="7" t="s">
        <v>98</v>
      </c>
      <c r="G1170" s="7" t="s">
        <v>3103</v>
      </c>
      <c r="I1170" s="1">
        <f t="shared" si="90"/>
        <v>1</v>
      </c>
      <c r="J1170" s="1" t="str">
        <f>'Source build'!A1170</f>
        <v>L01164</v>
      </c>
      <c r="K1170" s="1">
        <f>1170</f>
        <v>1170</v>
      </c>
      <c r="L1170" s="10">
        <f t="shared" si="91"/>
        <v>15060</v>
      </c>
      <c r="M1170" s="1">
        <f t="shared" si="92"/>
        <v>1</v>
      </c>
      <c r="N1170" s="1">
        <f t="shared" si="93"/>
        <v>1</v>
      </c>
      <c r="O1170" s="1" t="str">
        <f>IF(I1170=0,"UNUSED",IF(A1170="","MISSING ID",IF(K1170=0,"UNEXPECTED ID",IF(N1170&lt;&gt;1,"ID / ORDER DIFFERENCE",IF('Source build'!U1170&lt;&gt;"INCLUDED","EXCLUDED SOURCE",IF(NOT(M1170),"INVALID AMOUNT",IF('Source build'!Y1170&lt;&gt;0,"CHANGED FIELDS","MATCH")))))))</f>
        <v>MATCH</v>
      </c>
      <c r="P1170" s="1" t="str">
        <f t="shared" si="94"/>
        <v>2026-01</v>
      </c>
    </row>
    <row r="1171" spans="1:16" ht="18.95" customHeight="1">
      <c r="A1171" s="7" t="s">
        <v>3104</v>
      </c>
      <c r="B1171" s="7" t="s">
        <v>3105</v>
      </c>
      <c r="C1171" s="7" t="s">
        <v>350</v>
      </c>
      <c r="D1171" s="7" t="s">
        <v>93</v>
      </c>
      <c r="E1171" s="7" t="s">
        <v>46</v>
      </c>
      <c r="F1171" s="7" t="s">
        <v>98</v>
      </c>
      <c r="G1171" s="7" t="s">
        <v>3106</v>
      </c>
      <c r="I1171" s="1">
        <f t="shared" si="90"/>
        <v>1</v>
      </c>
      <c r="J1171" s="1" t="str">
        <f>'Source build'!A1171</f>
        <v>L01165</v>
      </c>
      <c r="K1171" s="1">
        <f>1171</f>
        <v>1171</v>
      </c>
      <c r="L1171" s="10">
        <f t="shared" si="91"/>
        <v>30268</v>
      </c>
      <c r="M1171" s="1">
        <f t="shared" si="92"/>
        <v>1</v>
      </c>
      <c r="N1171" s="1">
        <f t="shared" si="93"/>
        <v>1</v>
      </c>
      <c r="O1171" s="1" t="str">
        <f>IF(I1171=0,"UNUSED",IF(A1171="","MISSING ID",IF(K1171=0,"UNEXPECTED ID",IF(N1171&lt;&gt;1,"ID / ORDER DIFFERENCE",IF('Source build'!U1171&lt;&gt;"INCLUDED","EXCLUDED SOURCE",IF(NOT(M1171),"INVALID AMOUNT",IF('Source build'!Y1171&lt;&gt;0,"CHANGED FIELDS","MATCH")))))))</f>
        <v>MATCH</v>
      </c>
      <c r="P1171" s="1" t="str">
        <f t="shared" si="94"/>
        <v>2026-01</v>
      </c>
    </row>
    <row r="1172" spans="1:16" ht="18.95" customHeight="1">
      <c r="A1172" s="7" t="s">
        <v>3107</v>
      </c>
      <c r="B1172" s="7" t="s">
        <v>3105</v>
      </c>
      <c r="C1172" s="7" t="s">
        <v>350</v>
      </c>
      <c r="D1172" s="7" t="s">
        <v>97</v>
      </c>
      <c r="E1172" s="7" t="s">
        <v>47</v>
      </c>
      <c r="F1172" s="7" t="s">
        <v>98</v>
      </c>
      <c r="G1172" s="7" t="s">
        <v>3108</v>
      </c>
      <c r="I1172" s="1">
        <f t="shared" si="90"/>
        <v>1</v>
      </c>
      <c r="J1172" s="1" t="str">
        <f>'Source build'!A1172</f>
        <v>L01166</v>
      </c>
      <c r="K1172" s="1">
        <f>1172</f>
        <v>1172</v>
      </c>
      <c r="L1172" s="10">
        <f t="shared" si="91"/>
        <v>7604</v>
      </c>
      <c r="M1172" s="1">
        <f t="shared" si="92"/>
        <v>1</v>
      </c>
      <c r="N1172" s="1">
        <f t="shared" si="93"/>
        <v>1</v>
      </c>
      <c r="O1172" s="1" t="str">
        <f>IF(I1172=0,"UNUSED",IF(A1172="","MISSING ID",IF(K1172=0,"UNEXPECTED ID",IF(N1172&lt;&gt;1,"ID / ORDER DIFFERENCE",IF('Source build'!U1172&lt;&gt;"INCLUDED","EXCLUDED SOURCE",IF(NOT(M1172),"INVALID AMOUNT",IF('Source build'!Y1172&lt;&gt;0,"CHANGED FIELDS","MATCH")))))))</f>
        <v>MATCH</v>
      </c>
      <c r="P1172" s="1" t="str">
        <f t="shared" si="94"/>
        <v>2026-01</v>
      </c>
    </row>
    <row r="1173" spans="1:16" ht="18.95" customHeight="1">
      <c r="A1173" s="7" t="s">
        <v>3109</v>
      </c>
      <c r="B1173" s="7" t="s">
        <v>3110</v>
      </c>
      <c r="C1173" s="7" t="s">
        <v>356</v>
      </c>
      <c r="D1173" s="7" t="s">
        <v>103</v>
      </c>
      <c r="E1173" s="7" t="s">
        <v>48</v>
      </c>
      <c r="F1173" s="7" t="s">
        <v>98</v>
      </c>
      <c r="G1173" s="7" t="s">
        <v>3111</v>
      </c>
      <c r="I1173" s="1">
        <f t="shared" si="90"/>
        <v>1</v>
      </c>
      <c r="J1173" s="1" t="str">
        <f>'Source build'!A1173</f>
        <v>L01167</v>
      </c>
      <c r="K1173" s="1">
        <f>1173</f>
        <v>1173</v>
      </c>
      <c r="L1173" s="10">
        <f t="shared" si="91"/>
        <v>22923</v>
      </c>
      <c r="M1173" s="1">
        <f t="shared" si="92"/>
        <v>1</v>
      </c>
      <c r="N1173" s="1">
        <f t="shared" si="93"/>
        <v>1</v>
      </c>
      <c r="O1173" s="1" t="str">
        <f>IF(I1173=0,"UNUSED",IF(A1173="","MISSING ID",IF(K1173=0,"UNEXPECTED ID",IF(N1173&lt;&gt;1,"ID / ORDER DIFFERENCE",IF('Source build'!U1173&lt;&gt;"INCLUDED","EXCLUDED SOURCE",IF(NOT(M1173),"INVALID AMOUNT",IF('Source build'!Y1173&lt;&gt;0,"CHANGED FIELDS","MATCH")))))))</f>
        <v>MATCH</v>
      </c>
      <c r="P1173" s="1" t="str">
        <f t="shared" si="94"/>
        <v>2026-02</v>
      </c>
    </row>
    <row r="1174" spans="1:16" ht="18.95" customHeight="1">
      <c r="A1174" s="7" t="s">
        <v>3112</v>
      </c>
      <c r="B1174" s="7" t="s">
        <v>3110</v>
      </c>
      <c r="C1174" s="7" t="s">
        <v>356</v>
      </c>
      <c r="D1174" s="7" t="s">
        <v>93</v>
      </c>
      <c r="E1174" s="7" t="s">
        <v>46</v>
      </c>
      <c r="F1174" s="7" t="s">
        <v>98</v>
      </c>
      <c r="G1174" s="7" t="s">
        <v>3113</v>
      </c>
      <c r="I1174" s="1">
        <f t="shared" si="90"/>
        <v>1</v>
      </c>
      <c r="J1174" s="1" t="str">
        <f>'Source build'!A1174</f>
        <v>L01168</v>
      </c>
      <c r="K1174" s="1">
        <f>1174</f>
        <v>1174</v>
      </c>
      <c r="L1174" s="10">
        <f t="shared" si="91"/>
        <v>38390</v>
      </c>
      <c r="M1174" s="1">
        <f t="shared" si="92"/>
        <v>1</v>
      </c>
      <c r="N1174" s="1">
        <f t="shared" si="93"/>
        <v>1</v>
      </c>
      <c r="O1174" s="1" t="str">
        <f>IF(I1174=0,"UNUSED",IF(A1174="","MISSING ID",IF(K1174=0,"UNEXPECTED ID",IF(N1174&lt;&gt;1,"ID / ORDER DIFFERENCE",IF('Source build'!U1174&lt;&gt;"INCLUDED","EXCLUDED SOURCE",IF(NOT(M1174),"INVALID AMOUNT",IF('Source build'!Y1174&lt;&gt;0,"CHANGED FIELDS","MATCH")))))))</f>
        <v>MATCH</v>
      </c>
      <c r="P1174" s="1" t="str">
        <f t="shared" si="94"/>
        <v>2026-02</v>
      </c>
    </row>
    <row r="1175" spans="1:16" ht="18.95" customHeight="1">
      <c r="A1175" s="7" t="s">
        <v>3114</v>
      </c>
      <c r="B1175" s="7" t="s">
        <v>3115</v>
      </c>
      <c r="C1175" s="7" t="s">
        <v>362</v>
      </c>
      <c r="D1175" s="7" t="s">
        <v>97</v>
      </c>
      <c r="E1175" s="7" t="s">
        <v>47</v>
      </c>
      <c r="F1175" s="7" t="s">
        <v>98</v>
      </c>
      <c r="G1175" s="7" t="s">
        <v>3116</v>
      </c>
      <c r="I1175" s="1">
        <f t="shared" si="90"/>
        <v>1</v>
      </c>
      <c r="J1175" s="1" t="str">
        <f>'Source build'!A1175</f>
        <v>L01169</v>
      </c>
      <c r="K1175" s="1">
        <f>1175</f>
        <v>1175</v>
      </c>
      <c r="L1175" s="10">
        <f t="shared" si="91"/>
        <v>15430</v>
      </c>
      <c r="M1175" s="1">
        <f t="shared" si="92"/>
        <v>1</v>
      </c>
      <c r="N1175" s="1">
        <f t="shared" si="93"/>
        <v>1</v>
      </c>
      <c r="O1175" s="1" t="str">
        <f>IF(I1175=0,"UNUSED",IF(A1175="","MISSING ID",IF(K1175=0,"UNEXPECTED ID",IF(N1175&lt;&gt;1,"ID / ORDER DIFFERENCE",IF('Source build'!U1175&lt;&gt;"INCLUDED","EXCLUDED SOURCE",IF(NOT(M1175),"INVALID AMOUNT",IF('Source build'!Y1175&lt;&gt;0,"CHANGED FIELDS","MATCH")))))))</f>
        <v>MATCH</v>
      </c>
      <c r="P1175" s="1" t="str">
        <f t="shared" si="94"/>
        <v>2026-02</v>
      </c>
    </row>
    <row r="1176" spans="1:16" ht="18.95" customHeight="1">
      <c r="A1176" s="7" t="s">
        <v>3117</v>
      </c>
      <c r="B1176" s="7" t="s">
        <v>3115</v>
      </c>
      <c r="C1176" s="7" t="s">
        <v>362</v>
      </c>
      <c r="D1176" s="7" t="s">
        <v>103</v>
      </c>
      <c r="E1176" s="7" t="s">
        <v>48</v>
      </c>
      <c r="F1176" s="7" t="s">
        <v>98</v>
      </c>
      <c r="G1176" s="7" t="s">
        <v>3118</v>
      </c>
      <c r="I1176" s="1">
        <f t="shared" si="90"/>
        <v>1</v>
      </c>
      <c r="J1176" s="1" t="str">
        <f>'Source build'!A1176</f>
        <v>L01170</v>
      </c>
      <c r="K1176" s="1">
        <f>1176</f>
        <v>1176</v>
      </c>
      <c r="L1176" s="10">
        <f t="shared" si="91"/>
        <v>31008</v>
      </c>
      <c r="M1176" s="1">
        <f t="shared" si="92"/>
        <v>1</v>
      </c>
      <c r="N1176" s="1">
        <f t="shared" si="93"/>
        <v>1</v>
      </c>
      <c r="O1176" s="1" t="str">
        <f>IF(I1176=0,"UNUSED",IF(A1176="","MISSING ID",IF(K1176=0,"UNEXPECTED ID",IF(N1176&lt;&gt;1,"ID / ORDER DIFFERENCE",IF('Source build'!U1176&lt;&gt;"INCLUDED","EXCLUDED SOURCE",IF(NOT(M1176),"INVALID AMOUNT",IF('Source build'!Y1176&lt;&gt;0,"CHANGED FIELDS","MATCH")))))))</f>
        <v>MATCH</v>
      </c>
      <c r="P1176" s="1" t="str">
        <f t="shared" si="94"/>
        <v>2026-02</v>
      </c>
    </row>
    <row r="1177" spans="1:16" ht="18.95" customHeight="1">
      <c r="A1177" s="7" t="s">
        <v>3119</v>
      </c>
      <c r="B1177" s="7" t="s">
        <v>3120</v>
      </c>
      <c r="C1177" s="7" t="s">
        <v>368</v>
      </c>
      <c r="D1177" s="7" t="s">
        <v>93</v>
      </c>
      <c r="E1177" s="7" t="s">
        <v>46</v>
      </c>
      <c r="F1177" s="7" t="s">
        <v>98</v>
      </c>
      <c r="G1177" s="7" t="s">
        <v>3121</v>
      </c>
      <c r="I1177" s="1">
        <f t="shared" si="90"/>
        <v>1</v>
      </c>
      <c r="J1177" s="1" t="str">
        <f>'Source build'!A1177</f>
        <v>L01171</v>
      </c>
      <c r="K1177" s="1">
        <f>1177</f>
        <v>1177</v>
      </c>
      <c r="L1177" s="10">
        <f t="shared" si="91"/>
        <v>7789</v>
      </c>
      <c r="M1177" s="1">
        <f t="shared" si="92"/>
        <v>1</v>
      </c>
      <c r="N1177" s="1">
        <f t="shared" si="93"/>
        <v>1</v>
      </c>
      <c r="O1177" s="1" t="str">
        <f>IF(I1177=0,"UNUSED",IF(A1177="","MISSING ID",IF(K1177=0,"UNEXPECTED ID",IF(N1177&lt;&gt;1,"ID / ORDER DIFFERENCE",IF('Source build'!U1177&lt;&gt;"INCLUDED","EXCLUDED SOURCE",IF(NOT(M1177),"INVALID AMOUNT",IF('Source build'!Y1177&lt;&gt;0,"CHANGED FIELDS","MATCH")))))))</f>
        <v>MATCH</v>
      </c>
      <c r="P1177" s="1" t="str">
        <f t="shared" si="94"/>
        <v>2026-02</v>
      </c>
    </row>
    <row r="1178" spans="1:16" ht="18.95" customHeight="1">
      <c r="A1178" s="7" t="s">
        <v>3122</v>
      </c>
      <c r="B1178" s="7" t="s">
        <v>3120</v>
      </c>
      <c r="C1178" s="7" t="s">
        <v>368</v>
      </c>
      <c r="D1178" s="7" t="s">
        <v>97</v>
      </c>
      <c r="E1178" s="7" t="s">
        <v>47</v>
      </c>
      <c r="F1178" s="7" t="s">
        <v>98</v>
      </c>
      <c r="G1178" s="7" t="s">
        <v>3123</v>
      </c>
      <c r="I1178" s="1">
        <f t="shared" si="90"/>
        <v>1</v>
      </c>
      <c r="J1178" s="1" t="str">
        <f>'Source build'!A1178</f>
        <v>L01172</v>
      </c>
      <c r="K1178" s="1">
        <f>1178</f>
        <v>1178</v>
      </c>
      <c r="L1178" s="10">
        <f t="shared" si="91"/>
        <v>23478</v>
      </c>
      <c r="M1178" s="1">
        <f t="shared" si="92"/>
        <v>1</v>
      </c>
      <c r="N1178" s="1">
        <f t="shared" si="93"/>
        <v>1</v>
      </c>
      <c r="O1178" s="1" t="str">
        <f>IF(I1178=0,"UNUSED",IF(A1178="","MISSING ID",IF(K1178=0,"UNEXPECTED ID",IF(N1178&lt;&gt;1,"ID / ORDER DIFFERENCE",IF('Source build'!U1178&lt;&gt;"INCLUDED","EXCLUDED SOURCE",IF(NOT(M1178),"INVALID AMOUNT",IF('Source build'!Y1178&lt;&gt;0,"CHANGED FIELDS","MATCH")))))))</f>
        <v>MATCH</v>
      </c>
      <c r="P1178" s="1" t="str">
        <f t="shared" si="94"/>
        <v>2026-02</v>
      </c>
    </row>
    <row r="1179" spans="1:16" ht="18.95" customHeight="1">
      <c r="A1179" s="7" t="s">
        <v>3124</v>
      </c>
      <c r="B1179" s="7" t="s">
        <v>3125</v>
      </c>
      <c r="C1179" s="7" t="s">
        <v>374</v>
      </c>
      <c r="D1179" s="7" t="s">
        <v>103</v>
      </c>
      <c r="E1179" s="7" t="s">
        <v>48</v>
      </c>
      <c r="F1179" s="7" t="s">
        <v>98</v>
      </c>
      <c r="G1179" s="7" t="s">
        <v>3126</v>
      </c>
      <c r="I1179" s="1">
        <f t="shared" si="90"/>
        <v>1</v>
      </c>
      <c r="J1179" s="1" t="str">
        <f>'Source build'!A1179</f>
        <v>L01173</v>
      </c>
      <c r="K1179" s="1">
        <f>1179</f>
        <v>1179</v>
      </c>
      <c r="L1179" s="10">
        <f t="shared" si="91"/>
        <v>39315</v>
      </c>
      <c r="M1179" s="1">
        <f t="shared" si="92"/>
        <v>1</v>
      </c>
      <c r="N1179" s="1">
        <f t="shared" si="93"/>
        <v>1</v>
      </c>
      <c r="O1179" s="1" t="str">
        <f>IF(I1179=0,"UNUSED",IF(A1179="","MISSING ID",IF(K1179=0,"UNEXPECTED ID",IF(N1179&lt;&gt;1,"ID / ORDER DIFFERENCE",IF('Source build'!U1179&lt;&gt;"INCLUDED","EXCLUDED SOURCE",IF(NOT(M1179),"INVALID AMOUNT",IF('Source build'!Y1179&lt;&gt;0,"CHANGED FIELDS","MATCH")))))))</f>
        <v>MATCH</v>
      </c>
      <c r="P1179" s="1" t="str">
        <f t="shared" si="94"/>
        <v>2026-02</v>
      </c>
    </row>
    <row r="1180" spans="1:16" ht="18.95" customHeight="1">
      <c r="A1180" s="7" t="s">
        <v>3127</v>
      </c>
      <c r="B1180" s="7" t="s">
        <v>3125</v>
      </c>
      <c r="C1180" s="7" t="s">
        <v>374</v>
      </c>
      <c r="D1180" s="7" t="s">
        <v>93</v>
      </c>
      <c r="E1180" s="7" t="s">
        <v>46</v>
      </c>
      <c r="F1180" s="7" t="s">
        <v>94</v>
      </c>
      <c r="G1180" s="7" t="s">
        <v>3128</v>
      </c>
      <c r="I1180" s="1">
        <f t="shared" si="90"/>
        <v>1</v>
      </c>
      <c r="J1180" s="1" t="str">
        <f>'Source build'!A1180</f>
        <v>L01174</v>
      </c>
      <c r="K1180" s="1">
        <f>1180</f>
        <v>1180</v>
      </c>
      <c r="L1180" s="10">
        <f t="shared" si="91"/>
        <v>-15800</v>
      </c>
      <c r="M1180" s="1">
        <f t="shared" si="92"/>
        <v>1</v>
      </c>
      <c r="N1180" s="1">
        <f t="shared" si="93"/>
        <v>1</v>
      </c>
      <c r="O1180" s="1" t="str">
        <f>IF(I1180=0,"UNUSED",IF(A1180="","MISSING ID",IF(K1180=0,"UNEXPECTED ID",IF(N1180&lt;&gt;1,"ID / ORDER DIFFERENCE",IF('Source build'!U1180&lt;&gt;"INCLUDED","EXCLUDED SOURCE",IF(NOT(M1180),"INVALID AMOUNT",IF('Source build'!Y1180&lt;&gt;0,"CHANGED FIELDS","MATCH")))))))</f>
        <v>MATCH</v>
      </c>
      <c r="P1180" s="1" t="str">
        <f t="shared" si="94"/>
        <v>2026-02</v>
      </c>
    </row>
    <row r="1181" spans="1:16" ht="18.95" customHeight="1">
      <c r="A1181" s="7" t="s">
        <v>3129</v>
      </c>
      <c r="B1181" s="7" t="s">
        <v>3130</v>
      </c>
      <c r="C1181" s="7" t="s">
        <v>380</v>
      </c>
      <c r="D1181" s="7" t="s">
        <v>97</v>
      </c>
      <c r="E1181" s="7" t="s">
        <v>47</v>
      </c>
      <c r="F1181" s="7" t="s">
        <v>98</v>
      </c>
      <c r="G1181" s="7" t="s">
        <v>3131</v>
      </c>
      <c r="I1181" s="1">
        <f t="shared" si="90"/>
        <v>1</v>
      </c>
      <c r="J1181" s="1" t="str">
        <f>'Source build'!A1181</f>
        <v>L01175</v>
      </c>
      <c r="K1181" s="1">
        <f>1181</f>
        <v>1181</v>
      </c>
      <c r="L1181" s="10">
        <f t="shared" si="91"/>
        <v>31748</v>
      </c>
      <c r="M1181" s="1">
        <f t="shared" si="92"/>
        <v>1</v>
      </c>
      <c r="N1181" s="1">
        <f t="shared" si="93"/>
        <v>1</v>
      </c>
      <c r="O1181" s="1" t="str">
        <f>IF(I1181=0,"UNUSED",IF(A1181="","MISSING ID",IF(K1181=0,"UNEXPECTED ID",IF(N1181&lt;&gt;1,"ID / ORDER DIFFERENCE",IF('Source build'!U1181&lt;&gt;"INCLUDED","EXCLUDED SOURCE",IF(NOT(M1181),"INVALID AMOUNT",IF('Source build'!Y1181&lt;&gt;0,"CHANGED FIELDS","MATCH")))))))</f>
        <v>MATCH</v>
      </c>
      <c r="P1181" s="1" t="str">
        <f t="shared" si="94"/>
        <v>2026-03</v>
      </c>
    </row>
    <row r="1182" spans="1:16" ht="18.95" customHeight="1">
      <c r="A1182" s="7" t="s">
        <v>3132</v>
      </c>
      <c r="B1182" s="7" t="s">
        <v>3130</v>
      </c>
      <c r="C1182" s="7" t="s">
        <v>380</v>
      </c>
      <c r="D1182" s="7" t="s">
        <v>103</v>
      </c>
      <c r="E1182" s="7" t="s">
        <v>48</v>
      </c>
      <c r="F1182" s="7" t="s">
        <v>98</v>
      </c>
      <c r="G1182" s="7" t="s">
        <v>3133</v>
      </c>
      <c r="I1182" s="1">
        <f t="shared" si="90"/>
        <v>1</v>
      </c>
      <c r="J1182" s="1" t="str">
        <f>'Source build'!A1182</f>
        <v>L01176</v>
      </c>
      <c r="K1182" s="1">
        <f>1182</f>
        <v>1182</v>
      </c>
      <c r="L1182" s="10">
        <f t="shared" si="91"/>
        <v>7974</v>
      </c>
      <c r="M1182" s="1">
        <f t="shared" si="92"/>
        <v>1</v>
      </c>
      <c r="N1182" s="1">
        <f t="shared" si="93"/>
        <v>1</v>
      </c>
      <c r="O1182" s="1" t="str">
        <f>IF(I1182=0,"UNUSED",IF(A1182="","MISSING ID",IF(K1182=0,"UNEXPECTED ID",IF(N1182&lt;&gt;1,"ID / ORDER DIFFERENCE",IF('Source build'!U1182&lt;&gt;"INCLUDED","EXCLUDED SOURCE",IF(NOT(M1182),"INVALID AMOUNT",IF('Source build'!Y1182&lt;&gt;0,"CHANGED FIELDS","MATCH")))))))</f>
        <v>MATCH</v>
      </c>
      <c r="P1182" s="1" t="str">
        <f t="shared" si="94"/>
        <v>2026-03</v>
      </c>
    </row>
    <row r="1183" spans="1:16" ht="18.95" customHeight="1">
      <c r="A1183" s="7" t="s">
        <v>3134</v>
      </c>
      <c r="B1183" s="7" t="s">
        <v>3135</v>
      </c>
      <c r="C1183" s="7" t="s">
        <v>386</v>
      </c>
      <c r="D1183" s="7" t="s">
        <v>93</v>
      </c>
      <c r="E1183" s="7" t="s">
        <v>46</v>
      </c>
      <c r="F1183" s="7" t="s">
        <v>98</v>
      </c>
      <c r="G1183" s="7" t="s">
        <v>3136</v>
      </c>
      <c r="I1183" s="1">
        <f t="shared" si="90"/>
        <v>1</v>
      </c>
      <c r="J1183" s="1" t="str">
        <f>'Source build'!A1183</f>
        <v>L01177</v>
      </c>
      <c r="K1183" s="1">
        <f>1183</f>
        <v>1183</v>
      </c>
      <c r="L1183" s="10">
        <f t="shared" si="91"/>
        <v>24033</v>
      </c>
      <c r="M1183" s="1">
        <f t="shared" si="92"/>
        <v>1</v>
      </c>
      <c r="N1183" s="1">
        <f t="shared" si="93"/>
        <v>1</v>
      </c>
      <c r="O1183" s="1" t="str">
        <f>IF(I1183=0,"UNUSED",IF(A1183="","MISSING ID",IF(K1183=0,"UNEXPECTED ID",IF(N1183&lt;&gt;1,"ID / ORDER DIFFERENCE",IF('Source build'!U1183&lt;&gt;"INCLUDED","EXCLUDED SOURCE",IF(NOT(M1183),"INVALID AMOUNT",IF('Source build'!Y1183&lt;&gt;0,"CHANGED FIELDS","MATCH")))))))</f>
        <v>MATCH</v>
      </c>
      <c r="P1183" s="1" t="str">
        <f t="shared" si="94"/>
        <v>2026-03</v>
      </c>
    </row>
    <row r="1184" spans="1:16" ht="18.95" customHeight="1">
      <c r="A1184" s="7" t="s">
        <v>3137</v>
      </c>
      <c r="B1184" s="7" t="s">
        <v>3135</v>
      </c>
      <c r="C1184" s="7" t="s">
        <v>386</v>
      </c>
      <c r="D1184" s="7" t="s">
        <v>97</v>
      </c>
      <c r="E1184" s="7" t="s">
        <v>47</v>
      </c>
      <c r="F1184" s="7" t="s">
        <v>98</v>
      </c>
      <c r="G1184" s="7" t="s">
        <v>3138</v>
      </c>
      <c r="I1184" s="1">
        <f t="shared" si="90"/>
        <v>1</v>
      </c>
      <c r="J1184" s="1" t="str">
        <f>'Source build'!A1184</f>
        <v>L01178</v>
      </c>
      <c r="K1184" s="1">
        <f>1184</f>
        <v>1184</v>
      </c>
      <c r="L1184" s="10">
        <f t="shared" si="91"/>
        <v>40240</v>
      </c>
      <c r="M1184" s="1">
        <f t="shared" si="92"/>
        <v>1</v>
      </c>
      <c r="N1184" s="1">
        <f t="shared" si="93"/>
        <v>1</v>
      </c>
      <c r="O1184" s="1" t="str">
        <f>IF(I1184=0,"UNUSED",IF(A1184="","MISSING ID",IF(K1184=0,"UNEXPECTED ID",IF(N1184&lt;&gt;1,"ID / ORDER DIFFERENCE",IF('Source build'!U1184&lt;&gt;"INCLUDED","EXCLUDED SOURCE",IF(NOT(M1184),"INVALID AMOUNT",IF('Source build'!Y1184&lt;&gt;0,"CHANGED FIELDS","MATCH")))))))</f>
        <v>MATCH</v>
      </c>
      <c r="P1184" s="1" t="str">
        <f t="shared" si="94"/>
        <v>2026-03</v>
      </c>
    </row>
    <row r="1185" spans="1:16" ht="18.95" customHeight="1">
      <c r="A1185" s="7" t="s">
        <v>3139</v>
      </c>
      <c r="B1185" s="7" t="s">
        <v>3140</v>
      </c>
      <c r="C1185" s="7" t="s">
        <v>392</v>
      </c>
      <c r="D1185" s="7" t="s">
        <v>103</v>
      </c>
      <c r="E1185" s="7" t="s">
        <v>48</v>
      </c>
      <c r="F1185" s="7" t="s">
        <v>98</v>
      </c>
      <c r="G1185" s="7" t="s">
        <v>3141</v>
      </c>
      <c r="I1185" s="1">
        <f t="shared" si="90"/>
        <v>1</v>
      </c>
      <c r="J1185" s="1" t="str">
        <f>'Source build'!A1185</f>
        <v>L01179</v>
      </c>
      <c r="K1185" s="1">
        <f>1185</f>
        <v>1185</v>
      </c>
      <c r="L1185" s="10">
        <f t="shared" si="91"/>
        <v>16170</v>
      </c>
      <c r="M1185" s="1">
        <f t="shared" si="92"/>
        <v>1</v>
      </c>
      <c r="N1185" s="1">
        <f t="shared" si="93"/>
        <v>1</v>
      </c>
      <c r="O1185" s="1" t="str">
        <f>IF(I1185=0,"UNUSED",IF(A1185="","MISSING ID",IF(K1185=0,"UNEXPECTED ID",IF(N1185&lt;&gt;1,"ID / ORDER DIFFERENCE",IF('Source build'!U1185&lt;&gt;"INCLUDED","EXCLUDED SOURCE",IF(NOT(M1185),"INVALID AMOUNT",IF('Source build'!Y1185&lt;&gt;0,"CHANGED FIELDS","MATCH")))))))</f>
        <v>MATCH</v>
      </c>
      <c r="P1185" s="1" t="str">
        <f t="shared" si="94"/>
        <v>2026-03</v>
      </c>
    </row>
    <row r="1186" spans="1:16" ht="18.95" customHeight="1">
      <c r="A1186" s="7" t="s">
        <v>3142</v>
      </c>
      <c r="B1186" s="7" t="s">
        <v>3140</v>
      </c>
      <c r="C1186" s="7" t="s">
        <v>392</v>
      </c>
      <c r="D1186" s="7" t="s">
        <v>93</v>
      </c>
      <c r="E1186" s="7" t="s">
        <v>46</v>
      </c>
      <c r="F1186" s="7" t="s">
        <v>98</v>
      </c>
      <c r="G1186" s="7" t="s">
        <v>3143</v>
      </c>
      <c r="I1186" s="1">
        <f t="shared" si="90"/>
        <v>1</v>
      </c>
      <c r="J1186" s="1" t="str">
        <f>'Source build'!A1186</f>
        <v>L01180</v>
      </c>
      <c r="K1186" s="1">
        <f>1186</f>
        <v>1186</v>
      </c>
      <c r="L1186" s="10">
        <f t="shared" si="91"/>
        <v>32488</v>
      </c>
      <c r="M1186" s="1">
        <f t="shared" si="92"/>
        <v>1</v>
      </c>
      <c r="N1186" s="1">
        <f t="shared" si="93"/>
        <v>1</v>
      </c>
      <c r="O1186" s="1" t="str">
        <f>IF(I1186=0,"UNUSED",IF(A1186="","MISSING ID",IF(K1186=0,"UNEXPECTED ID",IF(N1186&lt;&gt;1,"ID / ORDER DIFFERENCE",IF('Source build'!U1186&lt;&gt;"INCLUDED","EXCLUDED SOURCE",IF(NOT(M1186),"INVALID AMOUNT",IF('Source build'!Y1186&lt;&gt;0,"CHANGED FIELDS","MATCH")))))))</f>
        <v>MATCH</v>
      </c>
      <c r="P1186" s="1" t="str">
        <f t="shared" si="94"/>
        <v>2026-03</v>
      </c>
    </row>
    <row r="1187" spans="1:16" ht="18.95" customHeight="1">
      <c r="A1187" s="7" t="s">
        <v>3144</v>
      </c>
      <c r="B1187" s="7" t="s">
        <v>3145</v>
      </c>
      <c r="C1187" s="7" t="s">
        <v>398</v>
      </c>
      <c r="D1187" s="7" t="s">
        <v>97</v>
      </c>
      <c r="E1187" s="7" t="s">
        <v>47</v>
      </c>
      <c r="F1187" s="7" t="s">
        <v>98</v>
      </c>
      <c r="G1187" s="7" t="s">
        <v>3146</v>
      </c>
      <c r="I1187" s="1">
        <f t="shared" si="90"/>
        <v>1</v>
      </c>
      <c r="J1187" s="1" t="str">
        <f>'Source build'!A1187</f>
        <v>L01181</v>
      </c>
      <c r="K1187" s="1">
        <f>1187</f>
        <v>1187</v>
      </c>
      <c r="L1187" s="10">
        <f t="shared" si="91"/>
        <v>8159</v>
      </c>
      <c r="M1187" s="1">
        <f t="shared" si="92"/>
        <v>1</v>
      </c>
      <c r="N1187" s="1">
        <f t="shared" si="93"/>
        <v>1</v>
      </c>
      <c r="O1187" s="1" t="str">
        <f>IF(I1187=0,"UNUSED",IF(A1187="","MISSING ID",IF(K1187=0,"UNEXPECTED ID",IF(N1187&lt;&gt;1,"ID / ORDER DIFFERENCE",IF('Source build'!U1187&lt;&gt;"INCLUDED","EXCLUDED SOURCE",IF(NOT(M1187),"INVALID AMOUNT",IF('Source build'!Y1187&lt;&gt;0,"CHANGED FIELDS","MATCH")))))))</f>
        <v>MATCH</v>
      </c>
      <c r="P1187" s="1" t="str">
        <f t="shared" si="94"/>
        <v>2026-03</v>
      </c>
    </row>
    <row r="1188" spans="1:16" ht="18.95" customHeight="1">
      <c r="A1188" s="7" t="s">
        <v>3147</v>
      </c>
      <c r="B1188" s="7" t="s">
        <v>3145</v>
      </c>
      <c r="C1188" s="7" t="s">
        <v>398</v>
      </c>
      <c r="D1188" s="7" t="s">
        <v>103</v>
      </c>
      <c r="E1188" s="7" t="s">
        <v>48</v>
      </c>
      <c r="F1188" s="7" t="s">
        <v>98</v>
      </c>
      <c r="G1188" s="7" t="s">
        <v>3148</v>
      </c>
      <c r="I1188" s="1">
        <f t="shared" si="90"/>
        <v>1</v>
      </c>
      <c r="J1188" s="1" t="str">
        <f>'Source build'!A1188</f>
        <v>L01182</v>
      </c>
      <c r="K1188" s="1">
        <f>1188</f>
        <v>1188</v>
      </c>
      <c r="L1188" s="10">
        <f t="shared" si="91"/>
        <v>24588</v>
      </c>
      <c r="M1188" s="1">
        <f t="shared" si="92"/>
        <v>1</v>
      </c>
      <c r="N1188" s="1">
        <f t="shared" si="93"/>
        <v>1</v>
      </c>
      <c r="O1188" s="1" t="str">
        <f>IF(I1188=0,"UNUSED",IF(A1188="","MISSING ID",IF(K1188=0,"UNEXPECTED ID",IF(N1188&lt;&gt;1,"ID / ORDER DIFFERENCE",IF('Source build'!U1188&lt;&gt;"INCLUDED","EXCLUDED SOURCE",IF(NOT(M1188),"INVALID AMOUNT",IF('Source build'!Y1188&lt;&gt;0,"CHANGED FIELDS","MATCH")))))))</f>
        <v>MATCH</v>
      </c>
      <c r="P1188" s="1" t="str">
        <f t="shared" si="94"/>
        <v>2026-03</v>
      </c>
    </row>
    <row r="1189" spans="1:16" ht="18.95" customHeight="1">
      <c r="A1189" s="7" t="s">
        <v>3149</v>
      </c>
      <c r="B1189" s="7" t="s">
        <v>3150</v>
      </c>
      <c r="C1189" s="7" t="s">
        <v>404</v>
      </c>
      <c r="D1189" s="7" t="s">
        <v>93</v>
      </c>
      <c r="E1189" s="7" t="s">
        <v>46</v>
      </c>
      <c r="F1189" s="7" t="s">
        <v>98</v>
      </c>
      <c r="G1189" s="7" t="s">
        <v>3151</v>
      </c>
      <c r="I1189" s="1">
        <f t="shared" si="90"/>
        <v>1</v>
      </c>
      <c r="J1189" s="1" t="str">
        <f>'Source build'!A1189</f>
        <v>L01183</v>
      </c>
      <c r="K1189" s="1">
        <f>1189</f>
        <v>1189</v>
      </c>
      <c r="L1189" s="10">
        <f t="shared" si="91"/>
        <v>41165</v>
      </c>
      <c r="M1189" s="1">
        <f t="shared" si="92"/>
        <v>1</v>
      </c>
      <c r="N1189" s="1">
        <f t="shared" si="93"/>
        <v>1</v>
      </c>
      <c r="O1189" s="1" t="str">
        <f>IF(I1189=0,"UNUSED",IF(A1189="","MISSING ID",IF(K1189=0,"UNEXPECTED ID",IF(N1189&lt;&gt;1,"ID / ORDER DIFFERENCE",IF('Source build'!U1189&lt;&gt;"INCLUDED","EXCLUDED SOURCE",IF(NOT(M1189),"INVALID AMOUNT",IF('Source build'!Y1189&lt;&gt;0,"CHANGED FIELDS","MATCH")))))))</f>
        <v>MATCH</v>
      </c>
      <c r="P1189" s="1" t="str">
        <f t="shared" si="94"/>
        <v>2026-03</v>
      </c>
    </row>
    <row r="1190" spans="1:16" ht="18.95" customHeight="1">
      <c r="A1190" s="7" t="s">
        <v>3152</v>
      </c>
      <c r="B1190" s="7" t="s">
        <v>3150</v>
      </c>
      <c r="C1190" s="7" t="s">
        <v>404</v>
      </c>
      <c r="D1190" s="7" t="s">
        <v>97</v>
      </c>
      <c r="E1190" s="7" t="s">
        <v>47</v>
      </c>
      <c r="F1190" s="7" t="s">
        <v>98</v>
      </c>
      <c r="G1190" s="7" t="s">
        <v>3153</v>
      </c>
      <c r="I1190" s="1">
        <f t="shared" si="90"/>
        <v>1</v>
      </c>
      <c r="J1190" s="1" t="str">
        <f>'Source build'!A1190</f>
        <v>L01184</v>
      </c>
      <c r="K1190" s="1">
        <f>1190</f>
        <v>1190</v>
      </c>
      <c r="L1190" s="10">
        <f t="shared" si="91"/>
        <v>16540</v>
      </c>
      <c r="M1190" s="1">
        <f t="shared" si="92"/>
        <v>1</v>
      </c>
      <c r="N1190" s="1">
        <f t="shared" si="93"/>
        <v>1</v>
      </c>
      <c r="O1190" s="1" t="str">
        <f>IF(I1190=0,"UNUSED",IF(A1190="","MISSING ID",IF(K1190=0,"UNEXPECTED ID",IF(N1190&lt;&gt;1,"ID / ORDER DIFFERENCE",IF('Source build'!U1190&lt;&gt;"INCLUDED","EXCLUDED SOURCE",IF(NOT(M1190),"INVALID AMOUNT",IF('Source build'!Y1190&lt;&gt;0,"CHANGED FIELDS","MATCH")))))))</f>
        <v>MATCH</v>
      </c>
      <c r="P1190" s="1" t="str">
        <f t="shared" si="94"/>
        <v>2026-03</v>
      </c>
    </row>
    <row r="1191" spans="1:16" ht="18.95" customHeight="1">
      <c r="A1191" s="7" t="s">
        <v>3154</v>
      </c>
      <c r="B1191" s="7" t="s">
        <v>3155</v>
      </c>
      <c r="C1191" s="7" t="s">
        <v>410</v>
      </c>
      <c r="D1191" s="7" t="s">
        <v>103</v>
      </c>
      <c r="E1191" s="7" t="s">
        <v>48</v>
      </c>
      <c r="F1191" s="7" t="s">
        <v>98</v>
      </c>
      <c r="G1191" s="7" t="s">
        <v>3156</v>
      </c>
      <c r="I1191" s="1">
        <f t="shared" si="90"/>
        <v>1</v>
      </c>
      <c r="J1191" s="1" t="str">
        <f>'Source build'!A1191</f>
        <v>L01185</v>
      </c>
      <c r="K1191" s="1">
        <f>1191</f>
        <v>1191</v>
      </c>
      <c r="L1191" s="10">
        <f t="shared" si="91"/>
        <v>33228</v>
      </c>
      <c r="M1191" s="1">
        <f t="shared" si="92"/>
        <v>1</v>
      </c>
      <c r="N1191" s="1">
        <f t="shared" si="93"/>
        <v>1</v>
      </c>
      <c r="O1191" s="1" t="str">
        <f>IF(I1191=0,"UNUSED",IF(A1191="","MISSING ID",IF(K1191=0,"UNEXPECTED ID",IF(N1191&lt;&gt;1,"ID / ORDER DIFFERENCE",IF('Source build'!U1191&lt;&gt;"INCLUDED","EXCLUDED SOURCE",IF(NOT(M1191),"INVALID AMOUNT",IF('Source build'!Y1191&lt;&gt;0,"CHANGED FIELDS","MATCH")))))))</f>
        <v>MATCH</v>
      </c>
      <c r="P1191" s="1" t="str">
        <f t="shared" si="94"/>
        <v>2026-01</v>
      </c>
    </row>
    <row r="1192" spans="1:16" ht="18.95" customHeight="1">
      <c r="A1192" s="7" t="s">
        <v>3157</v>
      </c>
      <c r="B1192" s="7" t="s">
        <v>3155</v>
      </c>
      <c r="C1192" s="7" t="s">
        <v>410</v>
      </c>
      <c r="D1192" s="7" t="s">
        <v>93</v>
      </c>
      <c r="E1192" s="7" t="s">
        <v>46</v>
      </c>
      <c r="F1192" s="7" t="s">
        <v>98</v>
      </c>
      <c r="G1192" s="7" t="s">
        <v>3158</v>
      </c>
      <c r="I1192" s="1">
        <f t="shared" si="90"/>
        <v>1</v>
      </c>
      <c r="J1192" s="1" t="str">
        <f>'Source build'!A1192</f>
        <v>L01186</v>
      </c>
      <c r="K1192" s="1">
        <f>1192</f>
        <v>1192</v>
      </c>
      <c r="L1192" s="10">
        <f t="shared" si="91"/>
        <v>8344</v>
      </c>
      <c r="M1192" s="1">
        <f t="shared" si="92"/>
        <v>1</v>
      </c>
      <c r="N1192" s="1">
        <f t="shared" si="93"/>
        <v>1</v>
      </c>
      <c r="O1192" s="1" t="str">
        <f>IF(I1192=0,"UNUSED",IF(A1192="","MISSING ID",IF(K1192=0,"UNEXPECTED ID",IF(N1192&lt;&gt;1,"ID / ORDER DIFFERENCE",IF('Source build'!U1192&lt;&gt;"INCLUDED","EXCLUDED SOURCE",IF(NOT(M1192),"INVALID AMOUNT",IF('Source build'!Y1192&lt;&gt;0,"CHANGED FIELDS","MATCH")))))))</f>
        <v>MATCH</v>
      </c>
      <c r="P1192" s="1" t="str">
        <f t="shared" si="94"/>
        <v>2026-01</v>
      </c>
    </row>
    <row r="1193" spans="1:16" ht="18.95" customHeight="1">
      <c r="A1193" s="7" t="s">
        <v>3159</v>
      </c>
      <c r="B1193" s="7" t="s">
        <v>3160</v>
      </c>
      <c r="C1193" s="7" t="s">
        <v>416</v>
      </c>
      <c r="D1193" s="7" t="s">
        <v>97</v>
      </c>
      <c r="E1193" s="7" t="s">
        <v>47</v>
      </c>
      <c r="F1193" s="7" t="s">
        <v>98</v>
      </c>
      <c r="G1193" s="7" t="s">
        <v>3161</v>
      </c>
      <c r="I1193" s="1">
        <f t="shared" si="90"/>
        <v>1</v>
      </c>
      <c r="J1193" s="1" t="str">
        <f>'Source build'!A1193</f>
        <v>L01187</v>
      </c>
      <c r="K1193" s="1">
        <f>1193</f>
        <v>1193</v>
      </c>
      <c r="L1193" s="10">
        <f t="shared" si="91"/>
        <v>25143</v>
      </c>
      <c r="M1193" s="1">
        <f t="shared" si="92"/>
        <v>1</v>
      </c>
      <c r="N1193" s="1">
        <f t="shared" si="93"/>
        <v>1</v>
      </c>
      <c r="O1193" s="1" t="str">
        <f>IF(I1193=0,"UNUSED",IF(A1193="","MISSING ID",IF(K1193=0,"UNEXPECTED ID",IF(N1193&lt;&gt;1,"ID / ORDER DIFFERENCE",IF('Source build'!U1193&lt;&gt;"INCLUDED","EXCLUDED SOURCE",IF(NOT(M1193),"INVALID AMOUNT",IF('Source build'!Y1193&lt;&gt;0,"CHANGED FIELDS","MATCH")))))))</f>
        <v>MATCH</v>
      </c>
      <c r="P1193" s="1" t="str">
        <f t="shared" si="94"/>
        <v>2026-01</v>
      </c>
    </row>
    <row r="1194" spans="1:16" ht="18.95" customHeight="1">
      <c r="A1194" s="7" t="s">
        <v>3162</v>
      </c>
      <c r="B1194" s="7" t="s">
        <v>3160</v>
      </c>
      <c r="C1194" s="7" t="s">
        <v>416</v>
      </c>
      <c r="D1194" s="7" t="s">
        <v>103</v>
      </c>
      <c r="E1194" s="7" t="s">
        <v>48</v>
      </c>
      <c r="F1194" s="7" t="s">
        <v>98</v>
      </c>
      <c r="G1194" s="7" t="s">
        <v>3163</v>
      </c>
      <c r="I1194" s="1">
        <f t="shared" si="90"/>
        <v>1</v>
      </c>
      <c r="J1194" s="1" t="str">
        <f>'Source build'!A1194</f>
        <v>L01188</v>
      </c>
      <c r="K1194" s="1">
        <f>1194</f>
        <v>1194</v>
      </c>
      <c r="L1194" s="10">
        <f t="shared" si="91"/>
        <v>42090</v>
      </c>
      <c r="M1194" s="1">
        <f t="shared" si="92"/>
        <v>1</v>
      </c>
      <c r="N1194" s="1">
        <f t="shared" si="93"/>
        <v>1</v>
      </c>
      <c r="O1194" s="1" t="str">
        <f>IF(I1194=0,"UNUSED",IF(A1194="","MISSING ID",IF(K1194=0,"UNEXPECTED ID",IF(N1194&lt;&gt;1,"ID / ORDER DIFFERENCE",IF('Source build'!U1194&lt;&gt;"INCLUDED","EXCLUDED SOURCE",IF(NOT(M1194),"INVALID AMOUNT",IF('Source build'!Y1194&lt;&gt;0,"CHANGED FIELDS","MATCH")))))))</f>
        <v>MATCH</v>
      </c>
      <c r="P1194" s="1" t="str">
        <f t="shared" si="94"/>
        <v>2026-01</v>
      </c>
    </row>
    <row r="1195" spans="1:16" ht="18.95" customHeight="1">
      <c r="A1195" s="7" t="s">
        <v>3164</v>
      </c>
      <c r="B1195" s="7" t="s">
        <v>3165</v>
      </c>
      <c r="C1195" s="7" t="s">
        <v>422</v>
      </c>
      <c r="D1195" s="7" t="s">
        <v>93</v>
      </c>
      <c r="E1195" s="7" t="s">
        <v>46</v>
      </c>
      <c r="F1195" s="7" t="s">
        <v>98</v>
      </c>
      <c r="G1195" s="7" t="s">
        <v>3166</v>
      </c>
      <c r="I1195" s="1">
        <f t="shared" si="90"/>
        <v>1</v>
      </c>
      <c r="J1195" s="1" t="str">
        <f>'Source build'!A1195</f>
        <v>L01189</v>
      </c>
      <c r="K1195" s="1">
        <f>1195</f>
        <v>1195</v>
      </c>
      <c r="L1195" s="10">
        <f t="shared" si="91"/>
        <v>16910</v>
      </c>
      <c r="M1195" s="1">
        <f t="shared" si="92"/>
        <v>1</v>
      </c>
      <c r="N1195" s="1">
        <f t="shared" si="93"/>
        <v>1</v>
      </c>
      <c r="O1195" s="1" t="str">
        <f>IF(I1195=0,"UNUSED",IF(A1195="","MISSING ID",IF(K1195=0,"UNEXPECTED ID",IF(N1195&lt;&gt;1,"ID / ORDER DIFFERENCE",IF('Source build'!U1195&lt;&gt;"INCLUDED","EXCLUDED SOURCE",IF(NOT(M1195),"INVALID AMOUNT",IF('Source build'!Y1195&lt;&gt;0,"CHANGED FIELDS","MATCH")))))))</f>
        <v>MATCH</v>
      </c>
      <c r="P1195" s="1" t="str">
        <f t="shared" si="94"/>
        <v>2026-01</v>
      </c>
    </row>
    <row r="1196" spans="1:16" ht="18.95" customHeight="1">
      <c r="A1196" s="7" t="s">
        <v>3167</v>
      </c>
      <c r="B1196" s="7" t="s">
        <v>3165</v>
      </c>
      <c r="C1196" s="7" t="s">
        <v>422</v>
      </c>
      <c r="D1196" s="7" t="s">
        <v>97</v>
      </c>
      <c r="E1196" s="7" t="s">
        <v>47</v>
      </c>
      <c r="F1196" s="7" t="s">
        <v>98</v>
      </c>
      <c r="G1196" s="7" t="s">
        <v>3168</v>
      </c>
      <c r="I1196" s="1">
        <f t="shared" si="90"/>
        <v>1</v>
      </c>
      <c r="J1196" s="1" t="str">
        <f>'Source build'!A1196</f>
        <v>L01190</v>
      </c>
      <c r="K1196" s="1">
        <f>1196</f>
        <v>1196</v>
      </c>
      <c r="L1196" s="10">
        <f t="shared" si="91"/>
        <v>33968</v>
      </c>
      <c r="M1196" s="1">
        <f t="shared" si="92"/>
        <v>1</v>
      </c>
      <c r="N1196" s="1">
        <f t="shared" si="93"/>
        <v>1</v>
      </c>
      <c r="O1196" s="1" t="str">
        <f>IF(I1196=0,"UNUSED",IF(A1196="","MISSING ID",IF(K1196=0,"UNEXPECTED ID",IF(N1196&lt;&gt;1,"ID / ORDER DIFFERENCE",IF('Source build'!U1196&lt;&gt;"INCLUDED","EXCLUDED SOURCE",IF(NOT(M1196),"INVALID AMOUNT",IF('Source build'!Y1196&lt;&gt;0,"CHANGED FIELDS","MATCH")))))))</f>
        <v>MATCH</v>
      </c>
      <c r="P1196" s="1" t="str">
        <f t="shared" si="94"/>
        <v>2026-01</v>
      </c>
    </row>
    <row r="1197" spans="1:16" ht="18.95" customHeight="1">
      <c r="A1197" s="7" t="s">
        <v>3169</v>
      </c>
      <c r="B1197" s="7" t="s">
        <v>3170</v>
      </c>
      <c r="C1197" s="7" t="s">
        <v>428</v>
      </c>
      <c r="D1197" s="7" t="s">
        <v>103</v>
      </c>
      <c r="E1197" s="7" t="s">
        <v>48</v>
      </c>
      <c r="F1197" s="7" t="s">
        <v>98</v>
      </c>
      <c r="G1197" s="7" t="s">
        <v>3171</v>
      </c>
      <c r="I1197" s="1">
        <f t="shared" si="90"/>
        <v>1</v>
      </c>
      <c r="J1197" s="1" t="str">
        <f>'Source build'!A1197</f>
        <v>L01191</v>
      </c>
      <c r="K1197" s="1">
        <f>1197</f>
        <v>1197</v>
      </c>
      <c r="L1197" s="10">
        <f t="shared" si="91"/>
        <v>8529</v>
      </c>
      <c r="M1197" s="1">
        <f t="shared" si="92"/>
        <v>1</v>
      </c>
      <c r="N1197" s="1">
        <f t="shared" si="93"/>
        <v>1</v>
      </c>
      <c r="O1197" s="1" t="str">
        <f>IF(I1197=0,"UNUSED",IF(A1197="","MISSING ID",IF(K1197=0,"UNEXPECTED ID",IF(N1197&lt;&gt;1,"ID / ORDER DIFFERENCE",IF('Source build'!U1197&lt;&gt;"INCLUDED","EXCLUDED SOURCE",IF(NOT(M1197),"INVALID AMOUNT",IF('Source build'!Y1197&lt;&gt;0,"CHANGED FIELDS","MATCH")))))))</f>
        <v>MATCH</v>
      </c>
      <c r="P1197" s="1" t="str">
        <f t="shared" si="94"/>
        <v>2026-01</v>
      </c>
    </row>
    <row r="1198" spans="1:16" ht="18.95" customHeight="1">
      <c r="A1198" s="7" t="s">
        <v>3172</v>
      </c>
      <c r="B1198" s="7" t="s">
        <v>3170</v>
      </c>
      <c r="C1198" s="7" t="s">
        <v>428</v>
      </c>
      <c r="D1198" s="7" t="s">
        <v>93</v>
      </c>
      <c r="E1198" s="7" t="s">
        <v>46</v>
      </c>
      <c r="F1198" s="7" t="s">
        <v>98</v>
      </c>
      <c r="G1198" s="7" t="s">
        <v>3173</v>
      </c>
      <c r="I1198" s="1">
        <f t="shared" si="90"/>
        <v>1</v>
      </c>
      <c r="J1198" s="1" t="str">
        <f>'Source build'!A1198</f>
        <v>L01192</v>
      </c>
      <c r="K1198" s="1">
        <f>1198</f>
        <v>1198</v>
      </c>
      <c r="L1198" s="10">
        <f t="shared" si="91"/>
        <v>25698</v>
      </c>
      <c r="M1198" s="1">
        <f t="shared" si="92"/>
        <v>1</v>
      </c>
      <c r="N1198" s="1">
        <f t="shared" si="93"/>
        <v>1</v>
      </c>
      <c r="O1198" s="1" t="str">
        <f>IF(I1198=0,"UNUSED",IF(A1198="","MISSING ID",IF(K1198=0,"UNEXPECTED ID",IF(N1198&lt;&gt;1,"ID / ORDER DIFFERENCE",IF('Source build'!U1198&lt;&gt;"INCLUDED","EXCLUDED SOURCE",IF(NOT(M1198),"INVALID AMOUNT",IF('Source build'!Y1198&lt;&gt;0,"CHANGED FIELDS","MATCH")))))))</f>
        <v>MATCH</v>
      </c>
      <c r="P1198" s="1" t="str">
        <f t="shared" si="94"/>
        <v>2026-01</v>
      </c>
    </row>
    <row r="1199" spans="1:16" ht="18.95" customHeight="1">
      <c r="A1199" s="7" t="s">
        <v>3174</v>
      </c>
      <c r="B1199" s="7" t="s">
        <v>3175</v>
      </c>
      <c r="C1199" s="7" t="s">
        <v>434</v>
      </c>
      <c r="D1199" s="7" t="s">
        <v>97</v>
      </c>
      <c r="E1199" s="7" t="s">
        <v>47</v>
      </c>
      <c r="F1199" s="7" t="s">
        <v>98</v>
      </c>
      <c r="G1199" s="7" t="s">
        <v>3176</v>
      </c>
      <c r="I1199" s="1">
        <f t="shared" si="90"/>
        <v>1</v>
      </c>
      <c r="J1199" s="1" t="str">
        <f>'Source build'!A1199</f>
        <v>L01193</v>
      </c>
      <c r="K1199" s="1">
        <f>1199</f>
        <v>1199</v>
      </c>
      <c r="L1199" s="10">
        <f t="shared" si="91"/>
        <v>43015</v>
      </c>
      <c r="M1199" s="1">
        <f t="shared" si="92"/>
        <v>1</v>
      </c>
      <c r="N1199" s="1">
        <f t="shared" si="93"/>
        <v>1</v>
      </c>
      <c r="O1199" s="1" t="str">
        <f>IF(I1199=0,"UNUSED",IF(A1199="","MISSING ID",IF(K1199=0,"UNEXPECTED ID",IF(N1199&lt;&gt;1,"ID / ORDER DIFFERENCE",IF('Source build'!U1199&lt;&gt;"INCLUDED","EXCLUDED SOURCE",IF(NOT(M1199),"INVALID AMOUNT",IF('Source build'!Y1199&lt;&gt;0,"CHANGED FIELDS","MATCH")))))))</f>
        <v>MATCH</v>
      </c>
      <c r="P1199" s="1" t="str">
        <f t="shared" si="94"/>
        <v>2026-02</v>
      </c>
    </row>
    <row r="1200" spans="1:16" ht="18.95" customHeight="1">
      <c r="A1200" s="7" t="s">
        <v>3177</v>
      </c>
      <c r="B1200" s="7" t="s">
        <v>3175</v>
      </c>
      <c r="C1200" s="7" t="s">
        <v>434</v>
      </c>
      <c r="D1200" s="7" t="s">
        <v>103</v>
      </c>
      <c r="E1200" s="7" t="s">
        <v>48</v>
      </c>
      <c r="F1200" s="7" t="s">
        <v>98</v>
      </c>
      <c r="G1200" s="7" t="s">
        <v>3178</v>
      </c>
      <c r="I1200" s="1">
        <f t="shared" si="90"/>
        <v>1</v>
      </c>
      <c r="J1200" s="1" t="str">
        <f>'Source build'!A1200</f>
        <v>L01194</v>
      </c>
      <c r="K1200" s="1">
        <f>1200</f>
        <v>1200</v>
      </c>
      <c r="L1200" s="10">
        <f t="shared" si="91"/>
        <v>17280</v>
      </c>
      <c r="M1200" s="1">
        <f t="shared" si="92"/>
        <v>1</v>
      </c>
      <c r="N1200" s="1">
        <f t="shared" si="93"/>
        <v>1</v>
      </c>
      <c r="O1200" s="1" t="str">
        <f>IF(I1200=0,"UNUSED",IF(A1200="","MISSING ID",IF(K1200=0,"UNEXPECTED ID",IF(N1200&lt;&gt;1,"ID / ORDER DIFFERENCE",IF('Source build'!U1200&lt;&gt;"INCLUDED","EXCLUDED SOURCE",IF(NOT(M1200),"INVALID AMOUNT",IF('Source build'!Y1200&lt;&gt;0,"CHANGED FIELDS","MATCH")))))))</f>
        <v>MATCH</v>
      </c>
      <c r="P1200" s="1" t="str">
        <f t="shared" si="94"/>
        <v>2026-02</v>
      </c>
    </row>
    <row r="1201" spans="1:16" ht="18.95" customHeight="1">
      <c r="A1201" s="7" t="s">
        <v>3179</v>
      </c>
      <c r="B1201" s="7" t="s">
        <v>3180</v>
      </c>
      <c r="C1201" s="7" t="s">
        <v>440</v>
      </c>
      <c r="D1201" s="7" t="s">
        <v>93</v>
      </c>
      <c r="E1201" s="7" t="s">
        <v>46</v>
      </c>
      <c r="F1201" s="7" t="s">
        <v>98</v>
      </c>
      <c r="G1201" s="7" t="s">
        <v>3181</v>
      </c>
      <c r="I1201" s="1">
        <f t="shared" si="90"/>
        <v>1</v>
      </c>
      <c r="J1201" s="1" t="str">
        <f>'Source build'!A1201</f>
        <v>L01195</v>
      </c>
      <c r="K1201" s="1">
        <f>1201</f>
        <v>1201</v>
      </c>
      <c r="L1201" s="10">
        <f t="shared" si="91"/>
        <v>34708</v>
      </c>
      <c r="M1201" s="1">
        <f t="shared" si="92"/>
        <v>1</v>
      </c>
      <c r="N1201" s="1">
        <f t="shared" si="93"/>
        <v>1</v>
      </c>
      <c r="O1201" s="1" t="str">
        <f>IF(I1201=0,"UNUSED",IF(A1201="","MISSING ID",IF(K1201=0,"UNEXPECTED ID",IF(N1201&lt;&gt;1,"ID / ORDER DIFFERENCE",IF('Source build'!U1201&lt;&gt;"INCLUDED","EXCLUDED SOURCE",IF(NOT(M1201),"INVALID AMOUNT",IF('Source build'!Y1201&lt;&gt;0,"CHANGED FIELDS","MATCH")))))))</f>
        <v>MATCH</v>
      </c>
      <c r="P1201" s="1" t="str">
        <f t="shared" si="94"/>
        <v>2026-02</v>
      </c>
    </row>
    <row r="1202" spans="1:16" ht="18.95" customHeight="1">
      <c r="A1202" s="7" t="s">
        <v>3182</v>
      </c>
      <c r="B1202" s="7" t="s">
        <v>3180</v>
      </c>
      <c r="C1202" s="7" t="s">
        <v>440</v>
      </c>
      <c r="D1202" s="7" t="s">
        <v>97</v>
      </c>
      <c r="E1202" s="7" t="s">
        <v>47</v>
      </c>
      <c r="F1202" s="7" t="s">
        <v>98</v>
      </c>
      <c r="G1202" s="7" t="s">
        <v>3183</v>
      </c>
      <c r="I1202" s="1">
        <f t="shared" si="90"/>
        <v>1</v>
      </c>
      <c r="J1202" s="1" t="str">
        <f>'Source build'!A1202</f>
        <v>L01196</v>
      </c>
      <c r="K1202" s="1">
        <f>1202</f>
        <v>1202</v>
      </c>
      <c r="L1202" s="10">
        <f t="shared" si="91"/>
        <v>8714</v>
      </c>
      <c r="M1202" s="1">
        <f t="shared" si="92"/>
        <v>1</v>
      </c>
      <c r="N1202" s="1">
        <f t="shared" si="93"/>
        <v>1</v>
      </c>
      <c r="O1202" s="1" t="str">
        <f>IF(I1202=0,"UNUSED",IF(A1202="","MISSING ID",IF(K1202=0,"UNEXPECTED ID",IF(N1202&lt;&gt;1,"ID / ORDER DIFFERENCE",IF('Source build'!U1202&lt;&gt;"INCLUDED","EXCLUDED SOURCE",IF(NOT(M1202),"INVALID AMOUNT",IF('Source build'!Y1202&lt;&gt;0,"CHANGED FIELDS","MATCH")))))))</f>
        <v>MATCH</v>
      </c>
      <c r="P1202" s="1" t="str">
        <f t="shared" si="94"/>
        <v>2026-02</v>
      </c>
    </row>
    <row r="1203" spans="1:16" ht="18.95" customHeight="1">
      <c r="A1203" s="7" t="s">
        <v>3184</v>
      </c>
      <c r="B1203" s="7" t="s">
        <v>3185</v>
      </c>
      <c r="C1203" s="7" t="s">
        <v>446</v>
      </c>
      <c r="D1203" s="7" t="s">
        <v>103</v>
      </c>
      <c r="E1203" s="7" t="s">
        <v>48</v>
      </c>
      <c r="F1203" s="7" t="s">
        <v>94</v>
      </c>
      <c r="G1203" s="7" t="s">
        <v>3186</v>
      </c>
      <c r="I1203" s="1">
        <f t="shared" si="90"/>
        <v>1</v>
      </c>
      <c r="J1203" s="1" t="str">
        <f>'Source build'!A1203</f>
        <v>L01197</v>
      </c>
      <c r="K1203" s="1">
        <f>1203</f>
        <v>1203</v>
      </c>
      <c r="L1203" s="10">
        <f t="shared" si="91"/>
        <v>-26253</v>
      </c>
      <c r="M1203" s="1">
        <f t="shared" si="92"/>
        <v>1</v>
      </c>
      <c r="N1203" s="1">
        <f t="shared" si="93"/>
        <v>1</v>
      </c>
      <c r="O1203" s="1" t="str">
        <f>IF(I1203=0,"UNUSED",IF(A1203="","MISSING ID",IF(K1203=0,"UNEXPECTED ID",IF(N1203&lt;&gt;1,"ID / ORDER DIFFERENCE",IF('Source build'!U1203&lt;&gt;"INCLUDED","EXCLUDED SOURCE",IF(NOT(M1203),"INVALID AMOUNT",IF('Source build'!Y1203&lt;&gt;0,"CHANGED FIELDS","MATCH")))))))</f>
        <v>MATCH</v>
      </c>
      <c r="P1203" s="1" t="str">
        <f t="shared" si="94"/>
        <v>2026-02</v>
      </c>
    </row>
    <row r="1204" spans="1:16" ht="18.95" customHeight="1">
      <c r="A1204" s="7" t="s">
        <v>3187</v>
      </c>
      <c r="B1204" s="7" t="s">
        <v>3185</v>
      </c>
      <c r="C1204" s="7" t="s">
        <v>446</v>
      </c>
      <c r="D1204" s="7" t="s">
        <v>93</v>
      </c>
      <c r="E1204" s="7" t="s">
        <v>46</v>
      </c>
      <c r="F1204" s="7" t="s">
        <v>98</v>
      </c>
      <c r="G1204" s="7" t="s">
        <v>3188</v>
      </c>
      <c r="I1204" s="1">
        <f t="shared" si="90"/>
        <v>1</v>
      </c>
      <c r="J1204" s="1" t="str">
        <f>'Source build'!A1204</f>
        <v>L01198</v>
      </c>
      <c r="K1204" s="1">
        <f>1204</f>
        <v>1204</v>
      </c>
      <c r="L1204" s="10">
        <f t="shared" si="91"/>
        <v>43940</v>
      </c>
      <c r="M1204" s="1">
        <f t="shared" si="92"/>
        <v>1</v>
      </c>
      <c r="N1204" s="1">
        <f t="shared" si="93"/>
        <v>1</v>
      </c>
      <c r="O1204" s="1" t="str">
        <f>IF(I1204=0,"UNUSED",IF(A1204="","MISSING ID",IF(K1204=0,"UNEXPECTED ID",IF(N1204&lt;&gt;1,"ID / ORDER DIFFERENCE",IF('Source build'!U1204&lt;&gt;"INCLUDED","EXCLUDED SOURCE",IF(NOT(M1204),"INVALID AMOUNT",IF('Source build'!Y1204&lt;&gt;0,"CHANGED FIELDS","MATCH")))))))</f>
        <v>MATCH</v>
      </c>
      <c r="P1204" s="1" t="str">
        <f t="shared" si="94"/>
        <v>2026-02</v>
      </c>
    </row>
    <row r="1205" spans="1:16" ht="18.95" customHeight="1">
      <c r="A1205" s="7" t="s">
        <v>3189</v>
      </c>
      <c r="B1205" s="7" t="s">
        <v>3190</v>
      </c>
      <c r="C1205" s="7" t="s">
        <v>452</v>
      </c>
      <c r="D1205" s="7" t="s">
        <v>97</v>
      </c>
      <c r="E1205" s="7" t="s">
        <v>47</v>
      </c>
      <c r="F1205" s="7" t="s">
        <v>98</v>
      </c>
      <c r="G1205" s="7" t="s">
        <v>3191</v>
      </c>
      <c r="I1205" s="1">
        <f t="shared" si="90"/>
        <v>1</v>
      </c>
      <c r="J1205" s="1" t="str">
        <f>'Source build'!A1205</f>
        <v>L01199</v>
      </c>
      <c r="K1205" s="1">
        <f>1205</f>
        <v>1205</v>
      </c>
      <c r="L1205" s="10">
        <f t="shared" si="91"/>
        <v>17650</v>
      </c>
      <c r="M1205" s="1">
        <f t="shared" si="92"/>
        <v>1</v>
      </c>
      <c r="N1205" s="1">
        <f t="shared" si="93"/>
        <v>1</v>
      </c>
      <c r="O1205" s="1" t="str">
        <f>IF(I1205=0,"UNUSED",IF(A1205="","MISSING ID",IF(K1205=0,"UNEXPECTED ID",IF(N1205&lt;&gt;1,"ID / ORDER DIFFERENCE",IF('Source build'!U1205&lt;&gt;"INCLUDED","EXCLUDED SOURCE",IF(NOT(M1205),"INVALID AMOUNT",IF('Source build'!Y1205&lt;&gt;0,"CHANGED FIELDS","MATCH")))))))</f>
        <v>MATCH</v>
      </c>
      <c r="P1205" s="1" t="str">
        <f t="shared" si="94"/>
        <v>2026-02</v>
      </c>
    </row>
    <row r="1206" spans="1:16" ht="18.95" customHeight="1">
      <c r="A1206" s="7" t="s">
        <v>3192</v>
      </c>
      <c r="B1206" s="7" t="s">
        <v>3190</v>
      </c>
      <c r="C1206" s="7" t="s">
        <v>452</v>
      </c>
      <c r="D1206" s="7" t="s">
        <v>103</v>
      </c>
      <c r="E1206" s="7" t="s">
        <v>48</v>
      </c>
      <c r="F1206" s="7" t="s">
        <v>98</v>
      </c>
      <c r="G1206" s="7" t="s">
        <v>3193</v>
      </c>
      <c r="I1206" s="1">
        <f t="shared" si="90"/>
        <v>1</v>
      </c>
      <c r="J1206" s="1" t="str">
        <f>'Source build'!A1206</f>
        <v>L01200</v>
      </c>
      <c r="K1206" s="1">
        <f>1206</f>
        <v>1206</v>
      </c>
      <c r="L1206" s="10">
        <f t="shared" si="91"/>
        <v>35448</v>
      </c>
      <c r="M1206" s="1">
        <f t="shared" si="92"/>
        <v>1</v>
      </c>
      <c r="N1206" s="1">
        <f t="shared" si="93"/>
        <v>1</v>
      </c>
      <c r="O1206" s="1" t="str">
        <f>IF(I1206=0,"UNUSED",IF(A1206="","MISSING ID",IF(K1206=0,"UNEXPECTED ID",IF(N1206&lt;&gt;1,"ID / ORDER DIFFERENCE",IF('Source build'!U1206&lt;&gt;"INCLUDED","EXCLUDED SOURCE",IF(NOT(M1206),"INVALID AMOUNT",IF('Source build'!Y1206&lt;&gt;0,"CHANGED FIELDS","MATCH")))))))</f>
        <v>MATCH</v>
      </c>
      <c r="P1206" s="1" t="str">
        <f t="shared" si="94"/>
        <v>2026-02</v>
      </c>
    </row>
    <row r="1207" spans="1:16" ht="18.95" customHeight="1">
      <c r="A1207" s="7" t="s">
        <v>3194</v>
      </c>
      <c r="B1207" s="7" t="s">
        <v>3195</v>
      </c>
      <c r="C1207" s="7" t="s">
        <v>458</v>
      </c>
      <c r="D1207" s="7" t="s">
        <v>93</v>
      </c>
      <c r="E1207" s="7" t="s">
        <v>46</v>
      </c>
      <c r="F1207" s="7" t="s">
        <v>98</v>
      </c>
      <c r="G1207" s="7" t="s">
        <v>3196</v>
      </c>
      <c r="I1207" s="1">
        <f t="shared" si="90"/>
        <v>1</v>
      </c>
      <c r="J1207" s="1" t="str">
        <f>'Source build'!A1207</f>
        <v>L01201</v>
      </c>
      <c r="K1207" s="1">
        <f>1207</f>
        <v>1207</v>
      </c>
      <c r="L1207" s="10">
        <f t="shared" si="91"/>
        <v>8899</v>
      </c>
      <c r="M1207" s="1">
        <f t="shared" si="92"/>
        <v>1</v>
      </c>
      <c r="N1207" s="1">
        <f t="shared" si="93"/>
        <v>1</v>
      </c>
      <c r="O1207" s="1" t="str">
        <f>IF(I1207=0,"UNUSED",IF(A1207="","MISSING ID",IF(K1207=0,"UNEXPECTED ID",IF(N1207&lt;&gt;1,"ID / ORDER DIFFERENCE",IF('Source build'!U1207&lt;&gt;"INCLUDED","EXCLUDED SOURCE",IF(NOT(M1207),"INVALID AMOUNT",IF('Source build'!Y1207&lt;&gt;0,"CHANGED FIELDS","MATCH")))))))</f>
        <v>MATCH</v>
      </c>
      <c r="P1207" s="1" t="str">
        <f t="shared" si="94"/>
        <v>2026-03</v>
      </c>
    </row>
    <row r="1208" spans="1:16" ht="18.95" customHeight="1">
      <c r="A1208" s="7" t="s">
        <v>3197</v>
      </c>
      <c r="B1208" s="7" t="s">
        <v>3195</v>
      </c>
      <c r="C1208" s="7" t="s">
        <v>458</v>
      </c>
      <c r="D1208" s="7" t="s">
        <v>97</v>
      </c>
      <c r="E1208" s="7" t="s">
        <v>47</v>
      </c>
      <c r="F1208" s="7" t="s">
        <v>98</v>
      </c>
      <c r="G1208" s="7" t="s">
        <v>3198</v>
      </c>
      <c r="I1208" s="1">
        <f t="shared" si="90"/>
        <v>1</v>
      </c>
      <c r="J1208" s="1" t="str">
        <f>'Source build'!A1208</f>
        <v>L01202</v>
      </c>
      <c r="K1208" s="1">
        <f>1208</f>
        <v>1208</v>
      </c>
      <c r="L1208" s="10">
        <f t="shared" si="91"/>
        <v>26808</v>
      </c>
      <c r="M1208" s="1">
        <f t="shared" si="92"/>
        <v>1</v>
      </c>
      <c r="N1208" s="1">
        <f t="shared" si="93"/>
        <v>1</v>
      </c>
      <c r="O1208" s="1" t="str">
        <f>IF(I1208=0,"UNUSED",IF(A1208="","MISSING ID",IF(K1208=0,"UNEXPECTED ID",IF(N1208&lt;&gt;1,"ID / ORDER DIFFERENCE",IF('Source build'!U1208&lt;&gt;"INCLUDED","EXCLUDED SOURCE",IF(NOT(M1208),"INVALID AMOUNT",IF('Source build'!Y1208&lt;&gt;0,"CHANGED FIELDS","MATCH")))))))</f>
        <v>MATCH</v>
      </c>
      <c r="P1208" s="1" t="str">
        <f t="shared" si="94"/>
        <v>2026-03</v>
      </c>
    </row>
    <row r="1209" spans="1:16" ht="18.95" customHeight="1">
      <c r="A1209" s="7" t="s">
        <v>3199</v>
      </c>
      <c r="B1209" s="7" t="s">
        <v>3200</v>
      </c>
      <c r="C1209" s="7" t="s">
        <v>464</v>
      </c>
      <c r="D1209" s="7" t="s">
        <v>103</v>
      </c>
      <c r="E1209" s="7" t="s">
        <v>48</v>
      </c>
      <c r="F1209" s="7" t="s">
        <v>98</v>
      </c>
      <c r="G1209" s="7" t="s">
        <v>3201</v>
      </c>
      <c r="I1209" s="1">
        <f t="shared" si="90"/>
        <v>1</v>
      </c>
      <c r="J1209" s="1" t="str">
        <f>'Source build'!A1209</f>
        <v>L01203</v>
      </c>
      <c r="K1209" s="1">
        <f>1209</f>
        <v>1209</v>
      </c>
      <c r="L1209" s="10">
        <f t="shared" si="91"/>
        <v>44865</v>
      </c>
      <c r="M1209" s="1">
        <f t="shared" si="92"/>
        <v>1</v>
      </c>
      <c r="N1209" s="1">
        <f t="shared" si="93"/>
        <v>1</v>
      </c>
      <c r="O1209" s="1" t="str">
        <f>IF(I1209=0,"UNUSED",IF(A1209="","MISSING ID",IF(K1209=0,"UNEXPECTED ID",IF(N1209&lt;&gt;1,"ID / ORDER DIFFERENCE",IF('Source build'!U1209&lt;&gt;"INCLUDED","EXCLUDED SOURCE",IF(NOT(M1209),"INVALID AMOUNT",IF('Source build'!Y1209&lt;&gt;0,"CHANGED FIELDS","MATCH")))))))</f>
        <v>MATCH</v>
      </c>
      <c r="P1209" s="1" t="str">
        <f t="shared" si="94"/>
        <v>2026-03</v>
      </c>
    </row>
    <row r="1210" spans="1:16" ht="18.95" customHeight="1">
      <c r="A1210" s="7" t="s">
        <v>3202</v>
      </c>
      <c r="B1210" s="7" t="s">
        <v>3200</v>
      </c>
      <c r="C1210" s="7" t="s">
        <v>464</v>
      </c>
      <c r="D1210" s="7" t="s">
        <v>93</v>
      </c>
      <c r="E1210" s="7" t="s">
        <v>46</v>
      </c>
      <c r="F1210" s="7" t="s">
        <v>98</v>
      </c>
      <c r="G1210" s="7" t="s">
        <v>3203</v>
      </c>
      <c r="I1210" s="1">
        <f t="shared" si="90"/>
        <v>1</v>
      </c>
      <c r="J1210" s="1" t="str">
        <f>'Source build'!A1210</f>
        <v>L01204</v>
      </c>
      <c r="K1210" s="1">
        <f>1210</f>
        <v>1210</v>
      </c>
      <c r="L1210" s="10">
        <f t="shared" si="91"/>
        <v>18020</v>
      </c>
      <c r="M1210" s="1">
        <f t="shared" si="92"/>
        <v>1</v>
      </c>
      <c r="N1210" s="1">
        <f t="shared" si="93"/>
        <v>1</v>
      </c>
      <c r="O1210" s="1" t="str">
        <f>IF(I1210=0,"UNUSED",IF(A1210="","MISSING ID",IF(K1210=0,"UNEXPECTED ID",IF(N1210&lt;&gt;1,"ID / ORDER DIFFERENCE",IF('Source build'!U1210&lt;&gt;"INCLUDED","EXCLUDED SOURCE",IF(NOT(M1210),"INVALID AMOUNT",IF('Source build'!Y1210&lt;&gt;0,"CHANGED FIELDS","MATCH")))))))</f>
        <v>MATCH</v>
      </c>
      <c r="P1210" s="1" t="str">
        <f t="shared" si="94"/>
        <v>2026-03</v>
      </c>
    </row>
    <row r="1211" spans="1:16" ht="18.95" customHeight="1">
      <c r="A1211" s="7" t="s">
        <v>3204</v>
      </c>
      <c r="B1211" s="7" t="s">
        <v>3205</v>
      </c>
      <c r="C1211" s="7" t="s">
        <v>470</v>
      </c>
      <c r="D1211" s="7" t="s">
        <v>97</v>
      </c>
      <c r="E1211" s="7" t="s">
        <v>47</v>
      </c>
      <c r="F1211" s="7" t="s">
        <v>98</v>
      </c>
      <c r="G1211" s="7" t="s">
        <v>3206</v>
      </c>
      <c r="I1211" s="1">
        <f t="shared" si="90"/>
        <v>1</v>
      </c>
      <c r="J1211" s="1" t="str">
        <f>'Source build'!A1211</f>
        <v>L01205</v>
      </c>
      <c r="K1211" s="1">
        <f>1211</f>
        <v>1211</v>
      </c>
      <c r="L1211" s="10">
        <f t="shared" si="91"/>
        <v>36188</v>
      </c>
      <c r="M1211" s="1">
        <f t="shared" si="92"/>
        <v>1</v>
      </c>
      <c r="N1211" s="1">
        <f t="shared" si="93"/>
        <v>1</v>
      </c>
      <c r="O1211" s="1" t="str">
        <f>IF(I1211=0,"UNUSED",IF(A1211="","MISSING ID",IF(K1211=0,"UNEXPECTED ID",IF(N1211&lt;&gt;1,"ID / ORDER DIFFERENCE",IF('Source build'!U1211&lt;&gt;"INCLUDED","EXCLUDED SOURCE",IF(NOT(M1211),"INVALID AMOUNT",IF('Source build'!Y1211&lt;&gt;0,"CHANGED FIELDS","MATCH")))))))</f>
        <v>MATCH</v>
      </c>
      <c r="P1211" s="1" t="str">
        <f t="shared" si="94"/>
        <v>2026-03</v>
      </c>
    </row>
    <row r="1212" spans="1:16" ht="18.95" customHeight="1">
      <c r="A1212" s="7" t="s">
        <v>3207</v>
      </c>
      <c r="B1212" s="7" t="s">
        <v>3205</v>
      </c>
      <c r="C1212" s="7" t="s">
        <v>470</v>
      </c>
      <c r="D1212" s="7" t="s">
        <v>103</v>
      </c>
      <c r="E1212" s="7" t="s">
        <v>48</v>
      </c>
      <c r="F1212" s="7" t="s">
        <v>98</v>
      </c>
      <c r="G1212" s="7" t="s">
        <v>3208</v>
      </c>
      <c r="I1212" s="1">
        <f t="shared" si="90"/>
        <v>1</v>
      </c>
      <c r="J1212" s="1" t="str">
        <f>'Source build'!A1212</f>
        <v>L01206</v>
      </c>
      <c r="K1212" s="1">
        <f>1212</f>
        <v>1212</v>
      </c>
      <c r="L1212" s="10">
        <f t="shared" si="91"/>
        <v>9084</v>
      </c>
      <c r="M1212" s="1">
        <f t="shared" si="92"/>
        <v>1</v>
      </c>
      <c r="N1212" s="1">
        <f t="shared" si="93"/>
        <v>1</v>
      </c>
      <c r="O1212" s="1" t="str">
        <f>IF(I1212=0,"UNUSED",IF(A1212="","MISSING ID",IF(K1212=0,"UNEXPECTED ID",IF(N1212&lt;&gt;1,"ID / ORDER DIFFERENCE",IF('Source build'!U1212&lt;&gt;"INCLUDED","EXCLUDED SOURCE",IF(NOT(M1212),"INVALID AMOUNT",IF('Source build'!Y1212&lt;&gt;0,"CHANGED FIELDS","MATCH")))))))</f>
        <v>MATCH</v>
      </c>
      <c r="P1212" s="1" t="str">
        <f t="shared" si="94"/>
        <v>2026-03</v>
      </c>
    </row>
    <row r="1213" spans="1:16" ht="18.95" customHeight="1">
      <c r="A1213" s="7" t="s">
        <v>3209</v>
      </c>
      <c r="B1213" s="7" t="s">
        <v>3210</v>
      </c>
      <c r="C1213" s="7" t="s">
        <v>476</v>
      </c>
      <c r="D1213" s="7" t="s">
        <v>93</v>
      </c>
      <c r="E1213" s="7" t="s">
        <v>46</v>
      </c>
      <c r="F1213" s="7" t="s">
        <v>98</v>
      </c>
      <c r="G1213" s="7" t="s">
        <v>3211</v>
      </c>
      <c r="I1213" s="1">
        <f t="shared" si="90"/>
        <v>1</v>
      </c>
      <c r="J1213" s="1" t="str">
        <f>'Source build'!A1213</f>
        <v>L01207</v>
      </c>
      <c r="K1213" s="1">
        <f>1213</f>
        <v>1213</v>
      </c>
      <c r="L1213" s="10">
        <f t="shared" si="91"/>
        <v>27363</v>
      </c>
      <c r="M1213" s="1">
        <f t="shared" si="92"/>
        <v>1</v>
      </c>
      <c r="N1213" s="1">
        <f t="shared" si="93"/>
        <v>1</v>
      </c>
      <c r="O1213" s="1" t="str">
        <f>IF(I1213=0,"UNUSED",IF(A1213="","MISSING ID",IF(K1213=0,"UNEXPECTED ID",IF(N1213&lt;&gt;1,"ID / ORDER DIFFERENCE",IF('Source build'!U1213&lt;&gt;"INCLUDED","EXCLUDED SOURCE",IF(NOT(M1213),"INVALID AMOUNT",IF('Source build'!Y1213&lt;&gt;0,"CHANGED FIELDS","MATCH")))))))</f>
        <v>MATCH</v>
      </c>
      <c r="P1213" s="1" t="str">
        <f t="shared" si="94"/>
        <v>2026-03</v>
      </c>
    </row>
    <row r="1214" spans="1:16" ht="18.95" customHeight="1">
      <c r="A1214" s="7" t="s">
        <v>3212</v>
      </c>
      <c r="B1214" s="7" t="s">
        <v>3210</v>
      </c>
      <c r="C1214" s="7" t="s">
        <v>476</v>
      </c>
      <c r="D1214" s="7" t="s">
        <v>97</v>
      </c>
      <c r="E1214" s="7" t="s">
        <v>47</v>
      </c>
      <c r="F1214" s="7" t="s">
        <v>98</v>
      </c>
      <c r="G1214" s="7" t="s">
        <v>3213</v>
      </c>
      <c r="I1214" s="1">
        <f t="shared" si="90"/>
        <v>1</v>
      </c>
      <c r="J1214" s="1" t="str">
        <f>'Source build'!A1214</f>
        <v>L01208</v>
      </c>
      <c r="K1214" s="1">
        <f>1214</f>
        <v>1214</v>
      </c>
      <c r="L1214" s="10">
        <f t="shared" si="91"/>
        <v>45790</v>
      </c>
      <c r="M1214" s="1">
        <f t="shared" si="92"/>
        <v>1</v>
      </c>
      <c r="N1214" s="1">
        <f t="shared" si="93"/>
        <v>1</v>
      </c>
      <c r="O1214" s="1" t="str">
        <f>IF(I1214=0,"UNUSED",IF(A1214="","MISSING ID",IF(K1214=0,"UNEXPECTED ID",IF(N1214&lt;&gt;1,"ID / ORDER DIFFERENCE",IF('Source build'!U1214&lt;&gt;"INCLUDED","EXCLUDED SOURCE",IF(NOT(M1214),"INVALID AMOUNT",IF('Source build'!Y1214&lt;&gt;0,"CHANGED FIELDS","MATCH")))))))</f>
        <v>MATCH</v>
      </c>
      <c r="P1214" s="1" t="str">
        <f t="shared" si="94"/>
        <v>2026-03</v>
      </c>
    </row>
    <row r="1215" spans="1:16" ht="18.95" customHeight="1">
      <c r="A1215" s="7" t="s">
        <v>3214</v>
      </c>
      <c r="B1215" s="7" t="s">
        <v>3215</v>
      </c>
      <c r="C1215" s="7" t="s">
        <v>482</v>
      </c>
      <c r="D1215" s="7" t="s">
        <v>103</v>
      </c>
      <c r="E1215" s="7" t="s">
        <v>48</v>
      </c>
      <c r="F1215" s="7" t="s">
        <v>98</v>
      </c>
      <c r="G1215" s="7" t="s">
        <v>3216</v>
      </c>
      <c r="I1215" s="1">
        <f t="shared" si="90"/>
        <v>1</v>
      </c>
      <c r="J1215" s="1" t="str">
        <f>'Source build'!A1215</f>
        <v>L01209</v>
      </c>
      <c r="K1215" s="1">
        <f>1215</f>
        <v>1215</v>
      </c>
      <c r="L1215" s="10">
        <f t="shared" si="91"/>
        <v>18390</v>
      </c>
      <c r="M1215" s="1">
        <f t="shared" si="92"/>
        <v>1</v>
      </c>
      <c r="N1215" s="1">
        <f t="shared" si="93"/>
        <v>1</v>
      </c>
      <c r="O1215" s="1" t="str">
        <f>IF(I1215=0,"UNUSED",IF(A1215="","MISSING ID",IF(K1215=0,"UNEXPECTED ID",IF(N1215&lt;&gt;1,"ID / ORDER DIFFERENCE",IF('Source build'!U1215&lt;&gt;"INCLUDED","EXCLUDED SOURCE",IF(NOT(M1215),"INVALID AMOUNT",IF('Source build'!Y1215&lt;&gt;0,"CHANGED FIELDS","MATCH")))))))</f>
        <v>MATCH</v>
      </c>
      <c r="P1215" s="1" t="str">
        <f t="shared" si="94"/>
        <v>2026-03</v>
      </c>
    </row>
    <row r="1216" spans="1:16" ht="18.95" customHeight="1">
      <c r="A1216" s="7" t="s">
        <v>3217</v>
      </c>
      <c r="B1216" s="7" t="s">
        <v>3215</v>
      </c>
      <c r="C1216" s="7" t="s">
        <v>482</v>
      </c>
      <c r="D1216" s="7" t="s">
        <v>93</v>
      </c>
      <c r="E1216" s="7" t="s">
        <v>46</v>
      </c>
      <c r="F1216" s="7" t="s">
        <v>98</v>
      </c>
      <c r="G1216" s="7" t="s">
        <v>3218</v>
      </c>
      <c r="I1216" s="1">
        <f t="shared" si="90"/>
        <v>1</v>
      </c>
      <c r="J1216" s="1" t="str">
        <f>'Source build'!A1216</f>
        <v>L01210</v>
      </c>
      <c r="K1216" s="1">
        <f>1216</f>
        <v>1216</v>
      </c>
      <c r="L1216" s="10">
        <f t="shared" si="91"/>
        <v>36928</v>
      </c>
      <c r="M1216" s="1">
        <f t="shared" si="92"/>
        <v>1</v>
      </c>
      <c r="N1216" s="1">
        <f t="shared" si="93"/>
        <v>1</v>
      </c>
      <c r="O1216" s="1" t="str">
        <f>IF(I1216=0,"UNUSED",IF(A1216="","MISSING ID",IF(K1216=0,"UNEXPECTED ID",IF(N1216&lt;&gt;1,"ID / ORDER DIFFERENCE",IF('Source build'!U1216&lt;&gt;"INCLUDED","EXCLUDED SOURCE",IF(NOT(M1216),"INVALID AMOUNT",IF('Source build'!Y1216&lt;&gt;0,"CHANGED FIELDS","MATCH")))))))</f>
        <v>MATCH</v>
      </c>
      <c r="P1216" s="1" t="str">
        <f t="shared" si="94"/>
        <v>2026-03</v>
      </c>
    </row>
    <row r="1217" spans="1:16" ht="18.95" customHeight="1">
      <c r="A1217" s="7" t="s">
        <v>3219</v>
      </c>
      <c r="B1217" s="7" t="s">
        <v>3220</v>
      </c>
      <c r="C1217" s="7" t="s">
        <v>488</v>
      </c>
      <c r="D1217" s="7" t="s">
        <v>97</v>
      </c>
      <c r="E1217" s="7" t="s">
        <v>47</v>
      </c>
      <c r="F1217" s="7" t="s">
        <v>98</v>
      </c>
      <c r="G1217" s="7" t="s">
        <v>3221</v>
      </c>
      <c r="I1217" s="1">
        <f t="shared" si="90"/>
        <v>1</v>
      </c>
      <c r="J1217" s="1" t="str">
        <f>'Source build'!A1217</f>
        <v>L01211</v>
      </c>
      <c r="K1217" s="1">
        <f>1217</f>
        <v>1217</v>
      </c>
      <c r="L1217" s="10">
        <f t="shared" si="91"/>
        <v>9269</v>
      </c>
      <c r="M1217" s="1">
        <f t="shared" si="92"/>
        <v>1</v>
      </c>
      <c r="N1217" s="1">
        <f t="shared" si="93"/>
        <v>1</v>
      </c>
      <c r="O1217" s="1" t="str">
        <f>IF(I1217=0,"UNUSED",IF(A1217="","MISSING ID",IF(K1217=0,"UNEXPECTED ID",IF(N1217&lt;&gt;1,"ID / ORDER DIFFERENCE",IF('Source build'!U1217&lt;&gt;"INCLUDED","EXCLUDED SOURCE",IF(NOT(M1217),"INVALID AMOUNT",IF('Source build'!Y1217&lt;&gt;0,"CHANGED FIELDS","MATCH")))))))</f>
        <v>MATCH</v>
      </c>
      <c r="P1217" s="1" t="str">
        <f t="shared" si="94"/>
        <v>2026-01</v>
      </c>
    </row>
    <row r="1218" spans="1:16" ht="18.95" customHeight="1">
      <c r="A1218" s="7" t="s">
        <v>3222</v>
      </c>
      <c r="B1218" s="7" t="s">
        <v>3220</v>
      </c>
      <c r="C1218" s="7" t="s">
        <v>488</v>
      </c>
      <c r="D1218" s="7" t="s">
        <v>103</v>
      </c>
      <c r="E1218" s="7" t="s">
        <v>48</v>
      </c>
      <c r="F1218" s="7" t="s">
        <v>98</v>
      </c>
      <c r="G1218" s="7" t="s">
        <v>3223</v>
      </c>
      <c r="I1218" s="1">
        <f t="shared" si="90"/>
        <v>1</v>
      </c>
      <c r="J1218" s="1" t="str">
        <f>'Source build'!A1218</f>
        <v>L01212</v>
      </c>
      <c r="K1218" s="1">
        <f>1218</f>
        <v>1218</v>
      </c>
      <c r="L1218" s="10">
        <f t="shared" si="91"/>
        <v>27918</v>
      </c>
      <c r="M1218" s="1">
        <f t="shared" si="92"/>
        <v>1</v>
      </c>
      <c r="N1218" s="1">
        <f t="shared" si="93"/>
        <v>1</v>
      </c>
      <c r="O1218" s="1" t="str">
        <f>IF(I1218=0,"UNUSED",IF(A1218="","MISSING ID",IF(K1218=0,"UNEXPECTED ID",IF(N1218&lt;&gt;1,"ID / ORDER DIFFERENCE",IF('Source build'!U1218&lt;&gt;"INCLUDED","EXCLUDED SOURCE",IF(NOT(M1218),"INVALID AMOUNT",IF('Source build'!Y1218&lt;&gt;0,"CHANGED FIELDS","MATCH")))))))</f>
        <v>MATCH</v>
      </c>
      <c r="P1218" s="1" t="str">
        <f t="shared" si="94"/>
        <v>2026-01</v>
      </c>
    </row>
    <row r="1219" spans="1:16" ht="18.95" customHeight="1">
      <c r="A1219" s="7" t="s">
        <v>3224</v>
      </c>
      <c r="B1219" s="7" t="s">
        <v>3225</v>
      </c>
      <c r="C1219" s="7" t="s">
        <v>494</v>
      </c>
      <c r="D1219" s="7" t="s">
        <v>93</v>
      </c>
      <c r="E1219" s="7" t="s">
        <v>46</v>
      </c>
      <c r="F1219" s="7" t="s">
        <v>98</v>
      </c>
      <c r="G1219" s="7" t="s">
        <v>3226</v>
      </c>
      <c r="I1219" s="1">
        <f t="shared" si="90"/>
        <v>1</v>
      </c>
      <c r="J1219" s="1" t="str">
        <f>'Source build'!A1219</f>
        <v>L01213</v>
      </c>
      <c r="K1219" s="1">
        <f>1219</f>
        <v>1219</v>
      </c>
      <c r="L1219" s="10">
        <f t="shared" si="91"/>
        <v>46715</v>
      </c>
      <c r="M1219" s="1">
        <f t="shared" si="92"/>
        <v>1</v>
      </c>
      <c r="N1219" s="1">
        <f t="shared" si="93"/>
        <v>1</v>
      </c>
      <c r="O1219" s="1" t="str">
        <f>IF(I1219=0,"UNUSED",IF(A1219="","MISSING ID",IF(K1219=0,"UNEXPECTED ID",IF(N1219&lt;&gt;1,"ID / ORDER DIFFERENCE",IF('Source build'!U1219&lt;&gt;"INCLUDED","EXCLUDED SOURCE",IF(NOT(M1219),"INVALID AMOUNT",IF('Source build'!Y1219&lt;&gt;0,"CHANGED FIELDS","MATCH")))))))</f>
        <v>MATCH</v>
      </c>
      <c r="P1219" s="1" t="str">
        <f t="shared" si="94"/>
        <v>2026-01</v>
      </c>
    </row>
    <row r="1220" spans="1:16" ht="18.95" customHeight="1">
      <c r="A1220" s="7" t="s">
        <v>3227</v>
      </c>
      <c r="B1220" s="7" t="s">
        <v>3225</v>
      </c>
      <c r="C1220" s="7" t="s">
        <v>494</v>
      </c>
      <c r="D1220" s="7" t="s">
        <v>97</v>
      </c>
      <c r="E1220" s="7" t="s">
        <v>47</v>
      </c>
      <c r="F1220" s="7" t="s">
        <v>98</v>
      </c>
      <c r="G1220" s="7" t="s">
        <v>3228</v>
      </c>
      <c r="I1220" s="1">
        <f t="shared" si="90"/>
        <v>1</v>
      </c>
      <c r="J1220" s="1" t="str">
        <f>'Source build'!A1220</f>
        <v>L01214</v>
      </c>
      <c r="K1220" s="1">
        <f>1220</f>
        <v>1220</v>
      </c>
      <c r="L1220" s="10">
        <f t="shared" si="91"/>
        <v>18760</v>
      </c>
      <c r="M1220" s="1">
        <f t="shared" si="92"/>
        <v>1</v>
      </c>
      <c r="N1220" s="1">
        <f t="shared" si="93"/>
        <v>1</v>
      </c>
      <c r="O1220" s="1" t="str">
        <f>IF(I1220=0,"UNUSED",IF(A1220="","MISSING ID",IF(K1220=0,"UNEXPECTED ID",IF(N1220&lt;&gt;1,"ID / ORDER DIFFERENCE",IF('Source build'!U1220&lt;&gt;"INCLUDED","EXCLUDED SOURCE",IF(NOT(M1220),"INVALID AMOUNT",IF('Source build'!Y1220&lt;&gt;0,"CHANGED FIELDS","MATCH")))))))</f>
        <v>MATCH</v>
      </c>
      <c r="P1220" s="1" t="str">
        <f t="shared" si="94"/>
        <v>2026-01</v>
      </c>
    </row>
    <row r="1221" spans="1:16" ht="18.95" customHeight="1">
      <c r="A1221" s="7" t="s">
        <v>3229</v>
      </c>
      <c r="B1221" s="7" t="s">
        <v>3230</v>
      </c>
      <c r="C1221" s="7" t="s">
        <v>500</v>
      </c>
      <c r="D1221" s="7" t="s">
        <v>103</v>
      </c>
      <c r="E1221" s="7" t="s">
        <v>48</v>
      </c>
      <c r="F1221" s="7" t="s">
        <v>98</v>
      </c>
      <c r="G1221" s="7" t="s">
        <v>3231</v>
      </c>
      <c r="I1221" s="1">
        <f t="shared" si="90"/>
        <v>1</v>
      </c>
      <c r="J1221" s="1" t="str">
        <f>'Source build'!A1221</f>
        <v>L01215</v>
      </c>
      <c r="K1221" s="1">
        <f>1221</f>
        <v>1221</v>
      </c>
      <c r="L1221" s="10">
        <f t="shared" si="91"/>
        <v>37668</v>
      </c>
      <c r="M1221" s="1">
        <f t="shared" si="92"/>
        <v>1</v>
      </c>
      <c r="N1221" s="1">
        <f t="shared" si="93"/>
        <v>1</v>
      </c>
      <c r="O1221" s="1" t="str">
        <f>IF(I1221=0,"UNUSED",IF(A1221="","MISSING ID",IF(K1221=0,"UNEXPECTED ID",IF(N1221&lt;&gt;1,"ID / ORDER DIFFERENCE",IF('Source build'!U1221&lt;&gt;"INCLUDED","EXCLUDED SOURCE",IF(NOT(M1221),"INVALID AMOUNT",IF('Source build'!Y1221&lt;&gt;0,"CHANGED FIELDS","MATCH")))))))</f>
        <v>MATCH</v>
      </c>
      <c r="P1221" s="1" t="str">
        <f t="shared" si="94"/>
        <v>2026-01</v>
      </c>
    </row>
    <row r="1222" spans="1:16" ht="18.95" customHeight="1">
      <c r="A1222" s="7" t="s">
        <v>3232</v>
      </c>
      <c r="B1222" s="7" t="s">
        <v>3230</v>
      </c>
      <c r="C1222" s="7" t="s">
        <v>500</v>
      </c>
      <c r="D1222" s="7" t="s">
        <v>93</v>
      </c>
      <c r="E1222" s="7" t="s">
        <v>46</v>
      </c>
      <c r="F1222" s="7" t="s">
        <v>98</v>
      </c>
      <c r="G1222" s="7" t="s">
        <v>3233</v>
      </c>
      <c r="I1222" s="1">
        <f t="shared" si="90"/>
        <v>1</v>
      </c>
      <c r="J1222" s="1" t="str">
        <f>'Source build'!A1222</f>
        <v>L01216</v>
      </c>
      <c r="K1222" s="1">
        <f>1222</f>
        <v>1222</v>
      </c>
      <c r="L1222" s="10">
        <f t="shared" si="91"/>
        <v>9454</v>
      </c>
      <c r="M1222" s="1">
        <f t="shared" si="92"/>
        <v>1</v>
      </c>
      <c r="N1222" s="1">
        <f t="shared" si="93"/>
        <v>1</v>
      </c>
      <c r="O1222" s="1" t="str">
        <f>IF(I1222=0,"UNUSED",IF(A1222="","MISSING ID",IF(K1222=0,"UNEXPECTED ID",IF(N1222&lt;&gt;1,"ID / ORDER DIFFERENCE",IF('Source build'!U1222&lt;&gt;"INCLUDED","EXCLUDED SOURCE",IF(NOT(M1222),"INVALID AMOUNT",IF('Source build'!Y1222&lt;&gt;0,"CHANGED FIELDS","MATCH")))))))</f>
        <v>MATCH</v>
      </c>
      <c r="P1222" s="1" t="str">
        <f t="shared" si="94"/>
        <v>2026-01</v>
      </c>
    </row>
    <row r="1223" spans="1:16" ht="18.95" customHeight="1">
      <c r="A1223" s="7" t="s">
        <v>3234</v>
      </c>
      <c r="B1223" s="7" t="s">
        <v>3235</v>
      </c>
      <c r="C1223" s="7" t="s">
        <v>506</v>
      </c>
      <c r="D1223" s="7" t="s">
        <v>97</v>
      </c>
      <c r="E1223" s="7" t="s">
        <v>47</v>
      </c>
      <c r="F1223" s="7" t="s">
        <v>98</v>
      </c>
      <c r="G1223" s="7" t="s">
        <v>3236</v>
      </c>
      <c r="I1223" s="1">
        <f t="shared" ref="I1223:I1286" si="95">IF(AND(A1223="",B1223="",C1223="",D1223="",E1223="",F1223="",G1223=""),0,1)</f>
        <v>1</v>
      </c>
      <c r="J1223" s="1" t="str">
        <f>'Source build'!A1223</f>
        <v>L01217</v>
      </c>
      <c r="K1223" s="1">
        <f>1223</f>
        <v>1223</v>
      </c>
      <c r="L1223" s="10">
        <f t="shared" ref="L1223:L1286" si="96">IFERROR(IF(ABS(VALUE(G1223)*100-ROUND(VALUE(G1223)*100,0))&lt;0.0000001,ROUND(VALUE(G1223)*100,0),0),0)</f>
        <v>28473</v>
      </c>
      <c r="M1223" s="1">
        <f t="shared" ref="M1223:M1286" si="97">--IF(I1223=0,TRUE,IF(TRIM(G1223)="",FALSE,IFERROR(AND(ISNUMBER(VALUE(G1223)),ABS(VALUE(G1223)*100-ROUND(VALUE(G1223)*100,0))&lt;0.0000001,OR(ISNUMBER(G1223),EXACT(G1223,TEXT(VALUE(G1223),"0.00"))),OR(AND(EXACT(F1223,"sale"),VALUE(G1223)&gt;0),AND(EXACT(F1223,"refund"),VALUE(G1223)&lt;0))),FALSE)))</f>
        <v>1</v>
      </c>
      <c r="N1223" s="1">
        <f t="shared" ref="N1223:N1286" si="98">IF(I1223=1,IF(EXACT(A1223,J1223),1,0),0)</f>
        <v>1</v>
      </c>
      <c r="O1223" s="1" t="str">
        <f>IF(I1223=0,"UNUSED",IF(A1223="","MISSING ID",IF(K1223=0,"UNEXPECTED ID",IF(N1223&lt;&gt;1,"ID / ORDER DIFFERENCE",IF('Source build'!U1223&lt;&gt;"INCLUDED","EXCLUDED SOURCE",IF(NOT(M1223),"INVALID AMOUNT",IF('Source build'!Y1223&lt;&gt;0,"CHANGED FIELDS","MATCH")))))))</f>
        <v>MATCH</v>
      </c>
      <c r="P1223" s="1" t="str">
        <f t="shared" ref="P1223:P1286" si="99">IF(I1223=1,LEFT(C1223,7),"")</f>
        <v>2026-01</v>
      </c>
    </row>
    <row r="1224" spans="1:16" ht="18.95" customHeight="1">
      <c r="A1224" s="7" t="s">
        <v>3237</v>
      </c>
      <c r="B1224" s="7" t="s">
        <v>3235</v>
      </c>
      <c r="C1224" s="7" t="s">
        <v>506</v>
      </c>
      <c r="D1224" s="7" t="s">
        <v>103</v>
      </c>
      <c r="E1224" s="7" t="s">
        <v>48</v>
      </c>
      <c r="F1224" s="7" t="s">
        <v>98</v>
      </c>
      <c r="G1224" s="7" t="s">
        <v>3238</v>
      </c>
      <c r="I1224" s="1">
        <f t="shared" si="95"/>
        <v>1</v>
      </c>
      <c r="J1224" s="1" t="str">
        <f>'Source build'!A1224</f>
        <v>L01218</v>
      </c>
      <c r="K1224" s="1">
        <f>1224</f>
        <v>1224</v>
      </c>
      <c r="L1224" s="10">
        <f t="shared" si="96"/>
        <v>47640</v>
      </c>
      <c r="M1224" s="1">
        <f t="shared" si="97"/>
        <v>1</v>
      </c>
      <c r="N1224" s="1">
        <f t="shared" si="98"/>
        <v>1</v>
      </c>
      <c r="O1224" s="1" t="str">
        <f>IF(I1224=0,"UNUSED",IF(A1224="","MISSING ID",IF(K1224=0,"UNEXPECTED ID",IF(N1224&lt;&gt;1,"ID / ORDER DIFFERENCE",IF('Source build'!U1224&lt;&gt;"INCLUDED","EXCLUDED SOURCE",IF(NOT(M1224),"INVALID AMOUNT",IF('Source build'!Y1224&lt;&gt;0,"CHANGED FIELDS","MATCH")))))))</f>
        <v>MATCH</v>
      </c>
      <c r="P1224" s="1" t="str">
        <f t="shared" si="99"/>
        <v>2026-01</v>
      </c>
    </row>
    <row r="1225" spans="1:16" ht="18.95" customHeight="1">
      <c r="A1225" s="7" t="s">
        <v>3239</v>
      </c>
      <c r="B1225" s="7" t="s">
        <v>3240</v>
      </c>
      <c r="C1225" s="7" t="s">
        <v>512</v>
      </c>
      <c r="D1225" s="7" t="s">
        <v>93</v>
      </c>
      <c r="E1225" s="7" t="s">
        <v>46</v>
      </c>
      <c r="F1225" s="7" t="s">
        <v>98</v>
      </c>
      <c r="G1225" s="7" t="s">
        <v>3241</v>
      </c>
      <c r="I1225" s="1">
        <f t="shared" si="95"/>
        <v>1</v>
      </c>
      <c r="J1225" s="1" t="str">
        <f>'Source build'!A1225</f>
        <v>L01219</v>
      </c>
      <c r="K1225" s="1">
        <f>1225</f>
        <v>1225</v>
      </c>
      <c r="L1225" s="10">
        <f t="shared" si="96"/>
        <v>19130</v>
      </c>
      <c r="M1225" s="1">
        <f t="shared" si="97"/>
        <v>1</v>
      </c>
      <c r="N1225" s="1">
        <f t="shared" si="98"/>
        <v>1</v>
      </c>
      <c r="O1225" s="1" t="str">
        <f>IF(I1225=0,"UNUSED",IF(A1225="","MISSING ID",IF(K1225=0,"UNEXPECTED ID",IF(N1225&lt;&gt;1,"ID / ORDER DIFFERENCE",IF('Source build'!U1225&lt;&gt;"INCLUDED","EXCLUDED SOURCE",IF(NOT(M1225),"INVALID AMOUNT",IF('Source build'!Y1225&lt;&gt;0,"CHANGED FIELDS","MATCH")))))))</f>
        <v>MATCH</v>
      </c>
      <c r="P1225" s="1" t="str">
        <f t="shared" si="99"/>
        <v>2026-02</v>
      </c>
    </row>
    <row r="1226" spans="1:16" ht="18.95" customHeight="1">
      <c r="A1226" s="7" t="s">
        <v>3242</v>
      </c>
      <c r="B1226" s="7" t="s">
        <v>3240</v>
      </c>
      <c r="C1226" s="7" t="s">
        <v>512</v>
      </c>
      <c r="D1226" s="7" t="s">
        <v>97</v>
      </c>
      <c r="E1226" s="7" t="s">
        <v>47</v>
      </c>
      <c r="F1226" s="7" t="s">
        <v>94</v>
      </c>
      <c r="G1226" s="7" t="s">
        <v>3243</v>
      </c>
      <c r="I1226" s="1">
        <f t="shared" si="95"/>
        <v>1</v>
      </c>
      <c r="J1226" s="1" t="str">
        <f>'Source build'!A1226</f>
        <v>L01220</v>
      </c>
      <c r="K1226" s="1">
        <f>1226</f>
        <v>1226</v>
      </c>
      <c r="L1226" s="10">
        <f t="shared" si="96"/>
        <v>-38408</v>
      </c>
      <c r="M1226" s="1">
        <f t="shared" si="97"/>
        <v>1</v>
      </c>
      <c r="N1226" s="1">
        <f t="shared" si="98"/>
        <v>1</v>
      </c>
      <c r="O1226" s="1" t="str">
        <f>IF(I1226=0,"UNUSED",IF(A1226="","MISSING ID",IF(K1226=0,"UNEXPECTED ID",IF(N1226&lt;&gt;1,"ID / ORDER DIFFERENCE",IF('Source build'!U1226&lt;&gt;"INCLUDED","EXCLUDED SOURCE",IF(NOT(M1226),"INVALID AMOUNT",IF('Source build'!Y1226&lt;&gt;0,"CHANGED FIELDS","MATCH")))))))</f>
        <v>MATCH</v>
      </c>
      <c r="P1226" s="1" t="str">
        <f t="shared" si="99"/>
        <v>2026-02</v>
      </c>
    </row>
    <row r="1227" spans="1:16" ht="18.95" customHeight="1">
      <c r="A1227" s="7" t="s">
        <v>3244</v>
      </c>
      <c r="B1227" s="7" t="s">
        <v>3245</v>
      </c>
      <c r="C1227" s="7" t="s">
        <v>518</v>
      </c>
      <c r="D1227" s="7" t="s">
        <v>103</v>
      </c>
      <c r="E1227" s="7" t="s">
        <v>48</v>
      </c>
      <c r="F1227" s="7" t="s">
        <v>98</v>
      </c>
      <c r="G1227" s="7" t="s">
        <v>3246</v>
      </c>
      <c r="I1227" s="1">
        <f t="shared" si="95"/>
        <v>1</v>
      </c>
      <c r="J1227" s="1" t="str">
        <f>'Source build'!A1227</f>
        <v>L01221</v>
      </c>
      <c r="K1227" s="1">
        <f>1227</f>
        <v>1227</v>
      </c>
      <c r="L1227" s="10">
        <f t="shared" si="96"/>
        <v>9639</v>
      </c>
      <c r="M1227" s="1">
        <f t="shared" si="97"/>
        <v>1</v>
      </c>
      <c r="N1227" s="1">
        <f t="shared" si="98"/>
        <v>1</v>
      </c>
      <c r="O1227" s="1" t="str">
        <f>IF(I1227=0,"UNUSED",IF(A1227="","MISSING ID",IF(K1227=0,"UNEXPECTED ID",IF(N1227&lt;&gt;1,"ID / ORDER DIFFERENCE",IF('Source build'!U1227&lt;&gt;"INCLUDED","EXCLUDED SOURCE",IF(NOT(M1227),"INVALID AMOUNT",IF('Source build'!Y1227&lt;&gt;0,"CHANGED FIELDS","MATCH")))))))</f>
        <v>MATCH</v>
      </c>
      <c r="P1227" s="1" t="str">
        <f t="shared" si="99"/>
        <v>2026-02</v>
      </c>
    </row>
    <row r="1228" spans="1:16" ht="18.95" customHeight="1">
      <c r="A1228" s="7" t="s">
        <v>3247</v>
      </c>
      <c r="B1228" s="7" t="s">
        <v>3245</v>
      </c>
      <c r="C1228" s="7" t="s">
        <v>518</v>
      </c>
      <c r="D1228" s="7" t="s">
        <v>93</v>
      </c>
      <c r="E1228" s="7" t="s">
        <v>46</v>
      </c>
      <c r="F1228" s="7" t="s">
        <v>98</v>
      </c>
      <c r="G1228" s="7" t="s">
        <v>3248</v>
      </c>
      <c r="I1228" s="1">
        <f t="shared" si="95"/>
        <v>1</v>
      </c>
      <c r="J1228" s="1" t="str">
        <f>'Source build'!A1228</f>
        <v>L01222</v>
      </c>
      <c r="K1228" s="1">
        <f>1228</f>
        <v>1228</v>
      </c>
      <c r="L1228" s="10">
        <f t="shared" si="96"/>
        <v>29028</v>
      </c>
      <c r="M1228" s="1">
        <f t="shared" si="97"/>
        <v>1</v>
      </c>
      <c r="N1228" s="1">
        <f t="shared" si="98"/>
        <v>1</v>
      </c>
      <c r="O1228" s="1" t="str">
        <f>IF(I1228=0,"UNUSED",IF(A1228="","MISSING ID",IF(K1228=0,"UNEXPECTED ID",IF(N1228&lt;&gt;1,"ID / ORDER DIFFERENCE",IF('Source build'!U1228&lt;&gt;"INCLUDED","EXCLUDED SOURCE",IF(NOT(M1228),"INVALID AMOUNT",IF('Source build'!Y1228&lt;&gt;0,"CHANGED FIELDS","MATCH")))))))</f>
        <v>MATCH</v>
      </c>
      <c r="P1228" s="1" t="str">
        <f t="shared" si="99"/>
        <v>2026-02</v>
      </c>
    </row>
    <row r="1229" spans="1:16" ht="18.95" customHeight="1">
      <c r="A1229" s="7" t="s">
        <v>3249</v>
      </c>
      <c r="B1229" s="7" t="s">
        <v>3250</v>
      </c>
      <c r="C1229" s="7" t="s">
        <v>524</v>
      </c>
      <c r="D1229" s="7" t="s">
        <v>97</v>
      </c>
      <c r="E1229" s="7" t="s">
        <v>47</v>
      </c>
      <c r="F1229" s="7" t="s">
        <v>98</v>
      </c>
      <c r="G1229" s="7" t="s">
        <v>3251</v>
      </c>
      <c r="I1229" s="1">
        <f t="shared" si="95"/>
        <v>1</v>
      </c>
      <c r="J1229" s="1" t="str">
        <f>'Source build'!A1229</f>
        <v>L01223</v>
      </c>
      <c r="K1229" s="1">
        <f>1229</f>
        <v>1229</v>
      </c>
      <c r="L1229" s="10">
        <f t="shared" si="96"/>
        <v>48565</v>
      </c>
      <c r="M1229" s="1">
        <f t="shared" si="97"/>
        <v>1</v>
      </c>
      <c r="N1229" s="1">
        <f t="shared" si="98"/>
        <v>1</v>
      </c>
      <c r="O1229" s="1" t="str">
        <f>IF(I1229=0,"UNUSED",IF(A1229="","MISSING ID",IF(K1229=0,"UNEXPECTED ID",IF(N1229&lt;&gt;1,"ID / ORDER DIFFERENCE",IF('Source build'!U1229&lt;&gt;"INCLUDED","EXCLUDED SOURCE",IF(NOT(M1229),"INVALID AMOUNT",IF('Source build'!Y1229&lt;&gt;0,"CHANGED FIELDS","MATCH")))))))</f>
        <v>MATCH</v>
      </c>
      <c r="P1229" s="1" t="str">
        <f t="shared" si="99"/>
        <v>2026-02</v>
      </c>
    </row>
    <row r="1230" spans="1:16" ht="18.95" customHeight="1">
      <c r="A1230" s="7" t="s">
        <v>3252</v>
      </c>
      <c r="B1230" s="7" t="s">
        <v>3250</v>
      </c>
      <c r="C1230" s="7" t="s">
        <v>524</v>
      </c>
      <c r="D1230" s="7" t="s">
        <v>103</v>
      </c>
      <c r="E1230" s="7" t="s">
        <v>48</v>
      </c>
      <c r="F1230" s="7" t="s">
        <v>98</v>
      </c>
      <c r="G1230" s="7" t="s">
        <v>3253</v>
      </c>
      <c r="I1230" s="1">
        <f t="shared" si="95"/>
        <v>1</v>
      </c>
      <c r="J1230" s="1" t="str">
        <f>'Source build'!A1230</f>
        <v>L01224</v>
      </c>
      <c r="K1230" s="1">
        <f>1230</f>
        <v>1230</v>
      </c>
      <c r="L1230" s="10">
        <f t="shared" si="96"/>
        <v>19500</v>
      </c>
      <c r="M1230" s="1">
        <f t="shared" si="97"/>
        <v>1</v>
      </c>
      <c r="N1230" s="1">
        <f t="shared" si="98"/>
        <v>1</v>
      </c>
      <c r="O1230" s="1" t="str">
        <f>IF(I1230=0,"UNUSED",IF(A1230="","MISSING ID",IF(K1230=0,"UNEXPECTED ID",IF(N1230&lt;&gt;1,"ID / ORDER DIFFERENCE",IF('Source build'!U1230&lt;&gt;"INCLUDED","EXCLUDED SOURCE",IF(NOT(M1230),"INVALID AMOUNT",IF('Source build'!Y1230&lt;&gt;0,"CHANGED FIELDS","MATCH")))))))</f>
        <v>MATCH</v>
      </c>
      <c r="P1230" s="1" t="str">
        <f t="shared" si="99"/>
        <v>2026-02</v>
      </c>
    </row>
    <row r="1231" spans="1:16" ht="18.95" customHeight="1">
      <c r="A1231" s="7" t="s">
        <v>3254</v>
      </c>
      <c r="B1231" s="7" t="s">
        <v>3255</v>
      </c>
      <c r="C1231" s="7" t="s">
        <v>530</v>
      </c>
      <c r="D1231" s="7" t="s">
        <v>93</v>
      </c>
      <c r="E1231" s="7" t="s">
        <v>46</v>
      </c>
      <c r="F1231" s="7" t="s">
        <v>98</v>
      </c>
      <c r="G1231" s="7" t="s">
        <v>3256</v>
      </c>
      <c r="I1231" s="1">
        <f t="shared" si="95"/>
        <v>1</v>
      </c>
      <c r="J1231" s="1" t="str">
        <f>'Source build'!A1231</f>
        <v>L01225</v>
      </c>
      <c r="K1231" s="1">
        <f>1231</f>
        <v>1231</v>
      </c>
      <c r="L1231" s="10">
        <f t="shared" si="96"/>
        <v>39148</v>
      </c>
      <c r="M1231" s="1">
        <f t="shared" si="97"/>
        <v>1</v>
      </c>
      <c r="N1231" s="1">
        <f t="shared" si="98"/>
        <v>1</v>
      </c>
      <c r="O1231" s="1" t="str">
        <f>IF(I1231=0,"UNUSED",IF(A1231="","MISSING ID",IF(K1231=0,"UNEXPECTED ID",IF(N1231&lt;&gt;1,"ID / ORDER DIFFERENCE",IF('Source build'!U1231&lt;&gt;"INCLUDED","EXCLUDED SOURCE",IF(NOT(M1231),"INVALID AMOUNT",IF('Source build'!Y1231&lt;&gt;0,"CHANGED FIELDS","MATCH")))))))</f>
        <v>MATCH</v>
      </c>
      <c r="P1231" s="1" t="str">
        <f t="shared" si="99"/>
        <v>2026-02</v>
      </c>
    </row>
    <row r="1232" spans="1:16" ht="18.95" customHeight="1">
      <c r="A1232" s="7" t="s">
        <v>3257</v>
      </c>
      <c r="B1232" s="7" t="s">
        <v>3255</v>
      </c>
      <c r="C1232" s="7" t="s">
        <v>530</v>
      </c>
      <c r="D1232" s="7" t="s">
        <v>97</v>
      </c>
      <c r="E1232" s="7" t="s">
        <v>47</v>
      </c>
      <c r="F1232" s="7" t="s">
        <v>98</v>
      </c>
      <c r="G1232" s="7" t="s">
        <v>3258</v>
      </c>
      <c r="I1232" s="1">
        <f t="shared" si="95"/>
        <v>1</v>
      </c>
      <c r="J1232" s="1" t="str">
        <f>'Source build'!A1232</f>
        <v>L01226</v>
      </c>
      <c r="K1232" s="1">
        <f>1232</f>
        <v>1232</v>
      </c>
      <c r="L1232" s="10">
        <f t="shared" si="96"/>
        <v>9824</v>
      </c>
      <c r="M1232" s="1">
        <f t="shared" si="97"/>
        <v>1</v>
      </c>
      <c r="N1232" s="1">
        <f t="shared" si="98"/>
        <v>1</v>
      </c>
      <c r="O1232" s="1" t="str">
        <f>IF(I1232=0,"UNUSED",IF(A1232="","MISSING ID",IF(K1232=0,"UNEXPECTED ID",IF(N1232&lt;&gt;1,"ID / ORDER DIFFERENCE",IF('Source build'!U1232&lt;&gt;"INCLUDED","EXCLUDED SOURCE",IF(NOT(M1232),"INVALID AMOUNT",IF('Source build'!Y1232&lt;&gt;0,"CHANGED FIELDS","MATCH")))))))</f>
        <v>MATCH</v>
      </c>
      <c r="P1232" s="1" t="str">
        <f t="shared" si="99"/>
        <v>2026-02</v>
      </c>
    </row>
    <row r="1233" spans="1:16" ht="18.95" customHeight="1">
      <c r="A1233" s="7" t="s">
        <v>3259</v>
      </c>
      <c r="B1233" s="7" t="s">
        <v>3260</v>
      </c>
      <c r="C1233" s="7" t="s">
        <v>536</v>
      </c>
      <c r="D1233" s="7" t="s">
        <v>103</v>
      </c>
      <c r="E1233" s="7" t="s">
        <v>48</v>
      </c>
      <c r="F1233" s="7" t="s">
        <v>98</v>
      </c>
      <c r="G1233" s="7" t="s">
        <v>3261</v>
      </c>
      <c r="I1233" s="1">
        <f t="shared" si="95"/>
        <v>1</v>
      </c>
      <c r="J1233" s="1" t="str">
        <f>'Source build'!A1233</f>
        <v>L01227</v>
      </c>
      <c r="K1233" s="1">
        <f>1233</f>
        <v>1233</v>
      </c>
      <c r="L1233" s="10">
        <f t="shared" si="96"/>
        <v>29583</v>
      </c>
      <c r="M1233" s="1">
        <f t="shared" si="97"/>
        <v>1</v>
      </c>
      <c r="N1233" s="1">
        <f t="shared" si="98"/>
        <v>1</v>
      </c>
      <c r="O1233" s="1" t="str">
        <f>IF(I1233=0,"UNUSED",IF(A1233="","MISSING ID",IF(K1233=0,"UNEXPECTED ID",IF(N1233&lt;&gt;1,"ID / ORDER DIFFERENCE",IF('Source build'!U1233&lt;&gt;"INCLUDED","EXCLUDED SOURCE",IF(NOT(M1233),"INVALID AMOUNT",IF('Source build'!Y1233&lt;&gt;0,"CHANGED FIELDS","MATCH")))))))</f>
        <v>MATCH</v>
      </c>
      <c r="P1233" s="1" t="str">
        <f t="shared" si="99"/>
        <v>2026-03</v>
      </c>
    </row>
    <row r="1234" spans="1:16" ht="18.95" customHeight="1">
      <c r="A1234" s="7" t="s">
        <v>3262</v>
      </c>
      <c r="B1234" s="7" t="s">
        <v>3260</v>
      </c>
      <c r="C1234" s="7" t="s">
        <v>536</v>
      </c>
      <c r="D1234" s="7" t="s">
        <v>93</v>
      </c>
      <c r="E1234" s="7" t="s">
        <v>46</v>
      </c>
      <c r="F1234" s="7" t="s">
        <v>98</v>
      </c>
      <c r="G1234" s="7" t="s">
        <v>3263</v>
      </c>
      <c r="I1234" s="1">
        <f t="shared" si="95"/>
        <v>1</v>
      </c>
      <c r="J1234" s="1" t="str">
        <f>'Source build'!A1234</f>
        <v>L01228</v>
      </c>
      <c r="K1234" s="1">
        <f>1234</f>
        <v>1234</v>
      </c>
      <c r="L1234" s="10">
        <f t="shared" si="96"/>
        <v>49490</v>
      </c>
      <c r="M1234" s="1">
        <f t="shared" si="97"/>
        <v>1</v>
      </c>
      <c r="N1234" s="1">
        <f t="shared" si="98"/>
        <v>1</v>
      </c>
      <c r="O1234" s="1" t="str">
        <f>IF(I1234=0,"UNUSED",IF(A1234="","MISSING ID",IF(K1234=0,"UNEXPECTED ID",IF(N1234&lt;&gt;1,"ID / ORDER DIFFERENCE",IF('Source build'!U1234&lt;&gt;"INCLUDED","EXCLUDED SOURCE",IF(NOT(M1234),"INVALID AMOUNT",IF('Source build'!Y1234&lt;&gt;0,"CHANGED FIELDS","MATCH")))))))</f>
        <v>MATCH</v>
      </c>
      <c r="P1234" s="1" t="str">
        <f t="shared" si="99"/>
        <v>2026-03</v>
      </c>
    </row>
    <row r="1235" spans="1:16" ht="18.95" customHeight="1">
      <c r="A1235" s="7" t="s">
        <v>3264</v>
      </c>
      <c r="B1235" s="7" t="s">
        <v>3265</v>
      </c>
      <c r="C1235" s="7" t="s">
        <v>542</v>
      </c>
      <c r="D1235" s="7" t="s">
        <v>97</v>
      </c>
      <c r="E1235" s="7" t="s">
        <v>47</v>
      </c>
      <c r="F1235" s="7" t="s">
        <v>98</v>
      </c>
      <c r="G1235" s="7" t="s">
        <v>3266</v>
      </c>
      <c r="I1235" s="1">
        <f t="shared" si="95"/>
        <v>1</v>
      </c>
      <c r="J1235" s="1" t="str">
        <f>'Source build'!A1235</f>
        <v>L01229</v>
      </c>
      <c r="K1235" s="1">
        <f>1235</f>
        <v>1235</v>
      </c>
      <c r="L1235" s="10">
        <f t="shared" si="96"/>
        <v>19870</v>
      </c>
      <c r="M1235" s="1">
        <f t="shared" si="97"/>
        <v>1</v>
      </c>
      <c r="N1235" s="1">
        <f t="shared" si="98"/>
        <v>1</v>
      </c>
      <c r="O1235" s="1" t="str">
        <f>IF(I1235=0,"UNUSED",IF(A1235="","MISSING ID",IF(K1235=0,"UNEXPECTED ID",IF(N1235&lt;&gt;1,"ID / ORDER DIFFERENCE",IF('Source build'!U1235&lt;&gt;"INCLUDED","EXCLUDED SOURCE",IF(NOT(M1235),"INVALID AMOUNT",IF('Source build'!Y1235&lt;&gt;0,"CHANGED FIELDS","MATCH")))))))</f>
        <v>MATCH</v>
      </c>
      <c r="P1235" s="1" t="str">
        <f t="shared" si="99"/>
        <v>2026-03</v>
      </c>
    </row>
    <row r="1236" spans="1:16" ht="18.95" customHeight="1">
      <c r="A1236" s="7" t="s">
        <v>3267</v>
      </c>
      <c r="B1236" s="7" t="s">
        <v>3265</v>
      </c>
      <c r="C1236" s="7" t="s">
        <v>542</v>
      </c>
      <c r="D1236" s="7" t="s">
        <v>103</v>
      </c>
      <c r="E1236" s="7" t="s">
        <v>48</v>
      </c>
      <c r="F1236" s="7" t="s">
        <v>98</v>
      </c>
      <c r="G1236" s="7" t="s">
        <v>3268</v>
      </c>
      <c r="I1236" s="1">
        <f t="shared" si="95"/>
        <v>1</v>
      </c>
      <c r="J1236" s="1" t="str">
        <f>'Source build'!A1236</f>
        <v>L01230</v>
      </c>
      <c r="K1236" s="1">
        <f>1236</f>
        <v>1236</v>
      </c>
      <c r="L1236" s="10">
        <f t="shared" si="96"/>
        <v>39888</v>
      </c>
      <c r="M1236" s="1">
        <f t="shared" si="97"/>
        <v>1</v>
      </c>
      <c r="N1236" s="1">
        <f t="shared" si="98"/>
        <v>1</v>
      </c>
      <c r="O1236" s="1" t="str">
        <f>IF(I1236=0,"UNUSED",IF(A1236="","MISSING ID",IF(K1236=0,"UNEXPECTED ID",IF(N1236&lt;&gt;1,"ID / ORDER DIFFERENCE",IF('Source build'!U1236&lt;&gt;"INCLUDED","EXCLUDED SOURCE",IF(NOT(M1236),"INVALID AMOUNT",IF('Source build'!Y1236&lt;&gt;0,"CHANGED FIELDS","MATCH")))))))</f>
        <v>MATCH</v>
      </c>
      <c r="P1236" s="1" t="str">
        <f t="shared" si="99"/>
        <v>2026-03</v>
      </c>
    </row>
    <row r="1237" spans="1:16" ht="18.95" customHeight="1">
      <c r="A1237" s="7" t="s">
        <v>3269</v>
      </c>
      <c r="B1237" s="7" t="s">
        <v>3270</v>
      </c>
      <c r="C1237" s="7" t="s">
        <v>548</v>
      </c>
      <c r="D1237" s="7" t="s">
        <v>93</v>
      </c>
      <c r="E1237" s="7" t="s">
        <v>46</v>
      </c>
      <c r="F1237" s="7" t="s">
        <v>98</v>
      </c>
      <c r="G1237" s="7" t="s">
        <v>3271</v>
      </c>
      <c r="I1237" s="1">
        <f t="shared" si="95"/>
        <v>1</v>
      </c>
      <c r="J1237" s="1" t="str">
        <f>'Source build'!A1237</f>
        <v>L01231</v>
      </c>
      <c r="K1237" s="1">
        <f>1237</f>
        <v>1237</v>
      </c>
      <c r="L1237" s="10">
        <f t="shared" si="96"/>
        <v>10009</v>
      </c>
      <c r="M1237" s="1">
        <f t="shared" si="97"/>
        <v>1</v>
      </c>
      <c r="N1237" s="1">
        <f t="shared" si="98"/>
        <v>1</v>
      </c>
      <c r="O1237" s="1" t="str">
        <f>IF(I1237=0,"UNUSED",IF(A1237="","MISSING ID",IF(K1237=0,"UNEXPECTED ID",IF(N1237&lt;&gt;1,"ID / ORDER DIFFERENCE",IF('Source build'!U1237&lt;&gt;"INCLUDED","EXCLUDED SOURCE",IF(NOT(M1237),"INVALID AMOUNT",IF('Source build'!Y1237&lt;&gt;0,"CHANGED FIELDS","MATCH")))))))</f>
        <v>MATCH</v>
      </c>
      <c r="P1237" s="1" t="str">
        <f t="shared" si="99"/>
        <v>2026-03</v>
      </c>
    </row>
    <row r="1238" spans="1:16" ht="18.95" customHeight="1">
      <c r="A1238" s="7" t="s">
        <v>3272</v>
      </c>
      <c r="B1238" s="7" t="s">
        <v>3270</v>
      </c>
      <c r="C1238" s="7" t="s">
        <v>548</v>
      </c>
      <c r="D1238" s="7" t="s">
        <v>97</v>
      </c>
      <c r="E1238" s="7" t="s">
        <v>47</v>
      </c>
      <c r="F1238" s="7" t="s">
        <v>98</v>
      </c>
      <c r="G1238" s="7" t="s">
        <v>3273</v>
      </c>
      <c r="I1238" s="1">
        <f t="shared" si="95"/>
        <v>1</v>
      </c>
      <c r="J1238" s="1" t="str">
        <f>'Source build'!A1238</f>
        <v>L01232</v>
      </c>
      <c r="K1238" s="1">
        <f>1238</f>
        <v>1238</v>
      </c>
      <c r="L1238" s="10">
        <f t="shared" si="96"/>
        <v>30138</v>
      </c>
      <c r="M1238" s="1">
        <f t="shared" si="97"/>
        <v>1</v>
      </c>
      <c r="N1238" s="1">
        <f t="shared" si="98"/>
        <v>1</v>
      </c>
      <c r="O1238" s="1" t="str">
        <f>IF(I1238=0,"UNUSED",IF(A1238="","MISSING ID",IF(K1238=0,"UNEXPECTED ID",IF(N1238&lt;&gt;1,"ID / ORDER DIFFERENCE",IF('Source build'!U1238&lt;&gt;"INCLUDED","EXCLUDED SOURCE",IF(NOT(M1238),"INVALID AMOUNT",IF('Source build'!Y1238&lt;&gt;0,"CHANGED FIELDS","MATCH")))))))</f>
        <v>MATCH</v>
      </c>
      <c r="P1238" s="1" t="str">
        <f t="shared" si="99"/>
        <v>2026-03</v>
      </c>
    </row>
    <row r="1239" spans="1:16" ht="18.95" customHeight="1">
      <c r="A1239" s="7" t="s">
        <v>3274</v>
      </c>
      <c r="B1239" s="7" t="s">
        <v>3275</v>
      </c>
      <c r="C1239" s="7" t="s">
        <v>554</v>
      </c>
      <c r="D1239" s="7" t="s">
        <v>103</v>
      </c>
      <c r="E1239" s="7" t="s">
        <v>48</v>
      </c>
      <c r="F1239" s="7" t="s">
        <v>98</v>
      </c>
      <c r="G1239" s="7" t="s">
        <v>3276</v>
      </c>
      <c r="I1239" s="1">
        <f t="shared" si="95"/>
        <v>1</v>
      </c>
      <c r="J1239" s="1" t="str">
        <f>'Source build'!A1239</f>
        <v>L01233</v>
      </c>
      <c r="K1239" s="1">
        <f>1239</f>
        <v>1239</v>
      </c>
      <c r="L1239" s="10">
        <f t="shared" si="96"/>
        <v>50415</v>
      </c>
      <c r="M1239" s="1">
        <f t="shared" si="97"/>
        <v>1</v>
      </c>
      <c r="N1239" s="1">
        <f t="shared" si="98"/>
        <v>1</v>
      </c>
      <c r="O1239" s="1" t="str">
        <f>IF(I1239=0,"UNUSED",IF(A1239="","MISSING ID",IF(K1239=0,"UNEXPECTED ID",IF(N1239&lt;&gt;1,"ID / ORDER DIFFERENCE",IF('Source build'!U1239&lt;&gt;"INCLUDED","EXCLUDED SOURCE",IF(NOT(M1239),"INVALID AMOUNT",IF('Source build'!Y1239&lt;&gt;0,"CHANGED FIELDS","MATCH")))))))</f>
        <v>MATCH</v>
      </c>
      <c r="P1239" s="1" t="str">
        <f t="shared" si="99"/>
        <v>2026-03</v>
      </c>
    </row>
    <row r="1240" spans="1:16" ht="18.95" customHeight="1">
      <c r="A1240" s="7" t="s">
        <v>3277</v>
      </c>
      <c r="B1240" s="7" t="s">
        <v>3275</v>
      </c>
      <c r="C1240" s="7" t="s">
        <v>554</v>
      </c>
      <c r="D1240" s="7" t="s">
        <v>93</v>
      </c>
      <c r="E1240" s="7" t="s">
        <v>46</v>
      </c>
      <c r="F1240" s="7" t="s">
        <v>98</v>
      </c>
      <c r="G1240" s="7" t="s">
        <v>3278</v>
      </c>
      <c r="I1240" s="1">
        <f t="shared" si="95"/>
        <v>1</v>
      </c>
      <c r="J1240" s="1" t="str">
        <f>'Source build'!A1240</f>
        <v>L01234</v>
      </c>
      <c r="K1240" s="1">
        <f>1240</f>
        <v>1240</v>
      </c>
      <c r="L1240" s="10">
        <f t="shared" si="96"/>
        <v>20240</v>
      </c>
      <c r="M1240" s="1">
        <f t="shared" si="97"/>
        <v>1</v>
      </c>
      <c r="N1240" s="1">
        <f t="shared" si="98"/>
        <v>1</v>
      </c>
      <c r="O1240" s="1" t="str">
        <f>IF(I1240=0,"UNUSED",IF(A1240="","MISSING ID",IF(K1240=0,"UNEXPECTED ID",IF(N1240&lt;&gt;1,"ID / ORDER DIFFERENCE",IF('Source build'!U1240&lt;&gt;"INCLUDED","EXCLUDED SOURCE",IF(NOT(M1240),"INVALID AMOUNT",IF('Source build'!Y1240&lt;&gt;0,"CHANGED FIELDS","MATCH")))))))</f>
        <v>MATCH</v>
      </c>
      <c r="P1240" s="1" t="str">
        <f t="shared" si="99"/>
        <v>2026-03</v>
      </c>
    </row>
    <row r="1241" spans="1:16" ht="18.95" customHeight="1">
      <c r="A1241" s="7" t="s">
        <v>3279</v>
      </c>
      <c r="B1241" s="7" t="s">
        <v>3280</v>
      </c>
      <c r="C1241" s="7" t="s">
        <v>560</v>
      </c>
      <c r="D1241" s="7" t="s">
        <v>97</v>
      </c>
      <c r="E1241" s="7" t="s">
        <v>47</v>
      </c>
      <c r="F1241" s="7" t="s">
        <v>98</v>
      </c>
      <c r="G1241" s="7" t="s">
        <v>3281</v>
      </c>
      <c r="I1241" s="1">
        <f t="shared" si="95"/>
        <v>1</v>
      </c>
      <c r="J1241" s="1" t="str">
        <f>'Source build'!A1241</f>
        <v>L01235</v>
      </c>
      <c r="K1241" s="1">
        <f>1241</f>
        <v>1241</v>
      </c>
      <c r="L1241" s="10">
        <f t="shared" si="96"/>
        <v>40628</v>
      </c>
      <c r="M1241" s="1">
        <f t="shared" si="97"/>
        <v>1</v>
      </c>
      <c r="N1241" s="1">
        <f t="shared" si="98"/>
        <v>1</v>
      </c>
      <c r="O1241" s="1" t="str">
        <f>IF(I1241=0,"UNUSED",IF(A1241="","MISSING ID",IF(K1241=0,"UNEXPECTED ID",IF(N1241&lt;&gt;1,"ID / ORDER DIFFERENCE",IF('Source build'!U1241&lt;&gt;"INCLUDED","EXCLUDED SOURCE",IF(NOT(M1241),"INVALID AMOUNT",IF('Source build'!Y1241&lt;&gt;0,"CHANGED FIELDS","MATCH")))))))</f>
        <v>MATCH</v>
      </c>
      <c r="P1241" s="1" t="str">
        <f t="shared" si="99"/>
        <v>2026-03</v>
      </c>
    </row>
    <row r="1242" spans="1:16" ht="18.95" customHeight="1">
      <c r="A1242" s="7" t="s">
        <v>3282</v>
      </c>
      <c r="B1242" s="7" t="s">
        <v>3280</v>
      </c>
      <c r="C1242" s="7" t="s">
        <v>560</v>
      </c>
      <c r="D1242" s="7" t="s">
        <v>103</v>
      </c>
      <c r="E1242" s="7" t="s">
        <v>48</v>
      </c>
      <c r="F1242" s="7" t="s">
        <v>98</v>
      </c>
      <c r="G1242" s="7" t="s">
        <v>3283</v>
      </c>
      <c r="I1242" s="1">
        <f t="shared" si="95"/>
        <v>1</v>
      </c>
      <c r="J1242" s="1" t="str">
        <f>'Source build'!A1242</f>
        <v>L01236</v>
      </c>
      <c r="K1242" s="1">
        <f>1242</f>
        <v>1242</v>
      </c>
      <c r="L1242" s="10">
        <f t="shared" si="96"/>
        <v>10194</v>
      </c>
      <c r="M1242" s="1">
        <f t="shared" si="97"/>
        <v>1</v>
      </c>
      <c r="N1242" s="1">
        <f t="shared" si="98"/>
        <v>1</v>
      </c>
      <c r="O1242" s="1" t="str">
        <f>IF(I1242=0,"UNUSED",IF(A1242="","MISSING ID",IF(K1242=0,"UNEXPECTED ID",IF(N1242&lt;&gt;1,"ID / ORDER DIFFERENCE",IF('Source build'!U1242&lt;&gt;"INCLUDED","EXCLUDED SOURCE",IF(NOT(M1242),"INVALID AMOUNT",IF('Source build'!Y1242&lt;&gt;0,"CHANGED FIELDS","MATCH")))))))</f>
        <v>MATCH</v>
      </c>
      <c r="P1242" s="1" t="str">
        <f t="shared" si="99"/>
        <v>2026-03</v>
      </c>
    </row>
    <row r="1243" spans="1:16" ht="18.95" customHeight="1">
      <c r="A1243" s="7" t="s">
        <v>3284</v>
      </c>
      <c r="B1243" s="7" t="s">
        <v>3285</v>
      </c>
      <c r="C1243" s="7" t="s">
        <v>566</v>
      </c>
      <c r="D1243" s="7" t="s">
        <v>93</v>
      </c>
      <c r="E1243" s="7" t="s">
        <v>46</v>
      </c>
      <c r="F1243" s="7" t="s">
        <v>98</v>
      </c>
      <c r="G1243" s="7" t="s">
        <v>3286</v>
      </c>
      <c r="I1243" s="1">
        <f t="shared" si="95"/>
        <v>1</v>
      </c>
      <c r="J1243" s="1" t="str">
        <f>'Source build'!A1243</f>
        <v>L01237</v>
      </c>
      <c r="K1243" s="1">
        <f>1243</f>
        <v>1243</v>
      </c>
      <c r="L1243" s="10">
        <f t="shared" si="96"/>
        <v>30693</v>
      </c>
      <c r="M1243" s="1">
        <f t="shared" si="97"/>
        <v>1</v>
      </c>
      <c r="N1243" s="1">
        <f t="shared" si="98"/>
        <v>1</v>
      </c>
      <c r="O1243" s="1" t="str">
        <f>IF(I1243=0,"UNUSED",IF(A1243="","MISSING ID",IF(K1243=0,"UNEXPECTED ID",IF(N1243&lt;&gt;1,"ID / ORDER DIFFERENCE",IF('Source build'!U1243&lt;&gt;"INCLUDED","EXCLUDED SOURCE",IF(NOT(M1243),"INVALID AMOUNT",IF('Source build'!Y1243&lt;&gt;0,"CHANGED FIELDS","MATCH")))))))</f>
        <v>MATCH</v>
      </c>
      <c r="P1243" s="1" t="str">
        <f t="shared" si="99"/>
        <v>2026-01</v>
      </c>
    </row>
    <row r="1244" spans="1:16" ht="18.95" customHeight="1">
      <c r="A1244" s="7" t="s">
        <v>3287</v>
      </c>
      <c r="B1244" s="7" t="s">
        <v>3285</v>
      </c>
      <c r="C1244" s="7" t="s">
        <v>566</v>
      </c>
      <c r="D1244" s="7" t="s">
        <v>97</v>
      </c>
      <c r="E1244" s="7" t="s">
        <v>47</v>
      </c>
      <c r="F1244" s="7" t="s">
        <v>98</v>
      </c>
      <c r="G1244" s="7" t="s">
        <v>3288</v>
      </c>
      <c r="I1244" s="1">
        <f t="shared" si="95"/>
        <v>1</v>
      </c>
      <c r="J1244" s="1" t="str">
        <f>'Source build'!A1244</f>
        <v>L01238</v>
      </c>
      <c r="K1244" s="1">
        <f>1244</f>
        <v>1244</v>
      </c>
      <c r="L1244" s="10">
        <f t="shared" si="96"/>
        <v>51340</v>
      </c>
      <c r="M1244" s="1">
        <f t="shared" si="97"/>
        <v>1</v>
      </c>
      <c r="N1244" s="1">
        <f t="shared" si="98"/>
        <v>1</v>
      </c>
      <c r="O1244" s="1" t="str">
        <f>IF(I1244=0,"UNUSED",IF(A1244="","MISSING ID",IF(K1244=0,"UNEXPECTED ID",IF(N1244&lt;&gt;1,"ID / ORDER DIFFERENCE",IF('Source build'!U1244&lt;&gt;"INCLUDED","EXCLUDED SOURCE",IF(NOT(M1244),"INVALID AMOUNT",IF('Source build'!Y1244&lt;&gt;0,"CHANGED FIELDS","MATCH")))))))</f>
        <v>MATCH</v>
      </c>
      <c r="P1244" s="1" t="str">
        <f t="shared" si="99"/>
        <v>2026-01</v>
      </c>
    </row>
    <row r="1245" spans="1:16" ht="18.95" customHeight="1">
      <c r="A1245" s="7" t="s">
        <v>3289</v>
      </c>
      <c r="B1245" s="7" t="s">
        <v>3290</v>
      </c>
      <c r="C1245" s="7" t="s">
        <v>572</v>
      </c>
      <c r="D1245" s="7" t="s">
        <v>103</v>
      </c>
      <c r="E1245" s="7" t="s">
        <v>48</v>
      </c>
      <c r="F1245" s="7" t="s">
        <v>98</v>
      </c>
      <c r="G1245" s="7" t="s">
        <v>3291</v>
      </c>
      <c r="I1245" s="1">
        <f t="shared" si="95"/>
        <v>1</v>
      </c>
      <c r="J1245" s="1" t="str">
        <f>'Source build'!A1245</f>
        <v>L01239</v>
      </c>
      <c r="K1245" s="1">
        <f>1245</f>
        <v>1245</v>
      </c>
      <c r="L1245" s="10">
        <f t="shared" si="96"/>
        <v>20610</v>
      </c>
      <c r="M1245" s="1">
        <f t="shared" si="97"/>
        <v>1</v>
      </c>
      <c r="N1245" s="1">
        <f t="shared" si="98"/>
        <v>1</v>
      </c>
      <c r="O1245" s="1" t="str">
        <f>IF(I1245=0,"UNUSED",IF(A1245="","MISSING ID",IF(K1245=0,"UNEXPECTED ID",IF(N1245&lt;&gt;1,"ID / ORDER DIFFERENCE",IF('Source build'!U1245&lt;&gt;"INCLUDED","EXCLUDED SOURCE",IF(NOT(M1245),"INVALID AMOUNT",IF('Source build'!Y1245&lt;&gt;0,"CHANGED FIELDS","MATCH")))))))</f>
        <v>MATCH</v>
      </c>
      <c r="P1245" s="1" t="str">
        <f t="shared" si="99"/>
        <v>2026-01</v>
      </c>
    </row>
    <row r="1246" spans="1:16" ht="18.95" customHeight="1">
      <c r="A1246" s="7" t="s">
        <v>3292</v>
      </c>
      <c r="B1246" s="7" t="s">
        <v>3290</v>
      </c>
      <c r="C1246" s="7" t="s">
        <v>572</v>
      </c>
      <c r="D1246" s="7" t="s">
        <v>93</v>
      </c>
      <c r="E1246" s="7" t="s">
        <v>46</v>
      </c>
      <c r="F1246" s="7" t="s">
        <v>98</v>
      </c>
      <c r="G1246" s="7" t="s">
        <v>3293</v>
      </c>
      <c r="I1246" s="1">
        <f t="shared" si="95"/>
        <v>1</v>
      </c>
      <c r="J1246" s="1" t="str">
        <f>'Source build'!A1246</f>
        <v>L01240</v>
      </c>
      <c r="K1246" s="1">
        <f>1246</f>
        <v>1246</v>
      </c>
      <c r="L1246" s="10">
        <f t="shared" si="96"/>
        <v>41368</v>
      </c>
      <c r="M1246" s="1">
        <f t="shared" si="97"/>
        <v>1</v>
      </c>
      <c r="N1246" s="1">
        <f t="shared" si="98"/>
        <v>1</v>
      </c>
      <c r="O1246" s="1" t="str">
        <f>IF(I1246=0,"UNUSED",IF(A1246="","MISSING ID",IF(K1246=0,"UNEXPECTED ID",IF(N1246&lt;&gt;1,"ID / ORDER DIFFERENCE",IF('Source build'!U1246&lt;&gt;"INCLUDED","EXCLUDED SOURCE",IF(NOT(M1246),"INVALID AMOUNT",IF('Source build'!Y1246&lt;&gt;0,"CHANGED FIELDS","MATCH")))))))</f>
        <v>MATCH</v>
      </c>
      <c r="P1246" s="1" t="str">
        <f t="shared" si="99"/>
        <v>2026-01</v>
      </c>
    </row>
    <row r="1247" spans="1:16" ht="18.95" customHeight="1">
      <c r="A1247" s="7" t="s">
        <v>3294</v>
      </c>
      <c r="B1247" s="7" t="s">
        <v>3295</v>
      </c>
      <c r="C1247" s="7" t="s">
        <v>578</v>
      </c>
      <c r="D1247" s="7" t="s">
        <v>97</v>
      </c>
      <c r="E1247" s="7" t="s">
        <v>47</v>
      </c>
      <c r="F1247" s="7" t="s">
        <v>98</v>
      </c>
      <c r="G1247" s="7" t="s">
        <v>3296</v>
      </c>
      <c r="I1247" s="1">
        <f t="shared" si="95"/>
        <v>1</v>
      </c>
      <c r="J1247" s="1" t="str">
        <f>'Source build'!A1247</f>
        <v>L01241</v>
      </c>
      <c r="K1247" s="1">
        <f>1247</f>
        <v>1247</v>
      </c>
      <c r="L1247" s="10">
        <f t="shared" si="96"/>
        <v>10379</v>
      </c>
      <c r="M1247" s="1">
        <f t="shared" si="97"/>
        <v>1</v>
      </c>
      <c r="N1247" s="1">
        <f t="shared" si="98"/>
        <v>1</v>
      </c>
      <c r="O1247" s="1" t="str">
        <f>IF(I1247=0,"UNUSED",IF(A1247="","MISSING ID",IF(K1247=0,"UNEXPECTED ID",IF(N1247&lt;&gt;1,"ID / ORDER DIFFERENCE",IF('Source build'!U1247&lt;&gt;"INCLUDED","EXCLUDED SOURCE",IF(NOT(M1247),"INVALID AMOUNT",IF('Source build'!Y1247&lt;&gt;0,"CHANGED FIELDS","MATCH")))))))</f>
        <v>MATCH</v>
      </c>
      <c r="P1247" s="1" t="str">
        <f t="shared" si="99"/>
        <v>2026-01</v>
      </c>
    </row>
    <row r="1248" spans="1:16" ht="18.95" customHeight="1">
      <c r="A1248" s="7" t="s">
        <v>3297</v>
      </c>
      <c r="B1248" s="7" t="s">
        <v>3295</v>
      </c>
      <c r="C1248" s="7" t="s">
        <v>578</v>
      </c>
      <c r="D1248" s="7" t="s">
        <v>103</v>
      </c>
      <c r="E1248" s="7" t="s">
        <v>48</v>
      </c>
      <c r="F1248" s="7" t="s">
        <v>98</v>
      </c>
      <c r="G1248" s="7" t="s">
        <v>3298</v>
      </c>
      <c r="I1248" s="1">
        <f t="shared" si="95"/>
        <v>1</v>
      </c>
      <c r="J1248" s="1" t="str">
        <f>'Source build'!A1248</f>
        <v>L01242</v>
      </c>
      <c r="K1248" s="1">
        <f>1248</f>
        <v>1248</v>
      </c>
      <c r="L1248" s="10">
        <f t="shared" si="96"/>
        <v>31248</v>
      </c>
      <c r="M1248" s="1">
        <f t="shared" si="97"/>
        <v>1</v>
      </c>
      <c r="N1248" s="1">
        <f t="shared" si="98"/>
        <v>1</v>
      </c>
      <c r="O1248" s="1" t="str">
        <f>IF(I1248=0,"UNUSED",IF(A1248="","MISSING ID",IF(K1248=0,"UNEXPECTED ID",IF(N1248&lt;&gt;1,"ID / ORDER DIFFERENCE",IF('Source build'!U1248&lt;&gt;"INCLUDED","EXCLUDED SOURCE",IF(NOT(M1248),"INVALID AMOUNT",IF('Source build'!Y1248&lt;&gt;0,"CHANGED FIELDS","MATCH")))))))</f>
        <v>MATCH</v>
      </c>
      <c r="P1248" s="1" t="str">
        <f t="shared" si="99"/>
        <v>2026-01</v>
      </c>
    </row>
    <row r="1249" spans="1:16" ht="18.95" customHeight="1">
      <c r="A1249" s="7" t="s">
        <v>3299</v>
      </c>
      <c r="B1249" s="7" t="s">
        <v>3300</v>
      </c>
      <c r="C1249" s="7" t="s">
        <v>584</v>
      </c>
      <c r="D1249" s="7" t="s">
        <v>93</v>
      </c>
      <c r="E1249" s="7" t="s">
        <v>46</v>
      </c>
      <c r="F1249" s="7" t="s">
        <v>94</v>
      </c>
      <c r="G1249" s="7" t="s">
        <v>3301</v>
      </c>
      <c r="I1249" s="1">
        <f t="shared" si="95"/>
        <v>1</v>
      </c>
      <c r="J1249" s="1" t="str">
        <f>'Source build'!A1249</f>
        <v>L01243</v>
      </c>
      <c r="K1249" s="1">
        <f>1249</f>
        <v>1249</v>
      </c>
      <c r="L1249" s="10">
        <f t="shared" si="96"/>
        <v>-52265</v>
      </c>
      <c r="M1249" s="1">
        <f t="shared" si="97"/>
        <v>1</v>
      </c>
      <c r="N1249" s="1">
        <f t="shared" si="98"/>
        <v>1</v>
      </c>
      <c r="O1249" s="1" t="str">
        <f>IF(I1249=0,"UNUSED",IF(A1249="","MISSING ID",IF(K1249=0,"UNEXPECTED ID",IF(N1249&lt;&gt;1,"ID / ORDER DIFFERENCE",IF('Source build'!U1249&lt;&gt;"INCLUDED","EXCLUDED SOURCE",IF(NOT(M1249),"INVALID AMOUNT",IF('Source build'!Y1249&lt;&gt;0,"CHANGED FIELDS","MATCH")))))))</f>
        <v>MATCH</v>
      </c>
      <c r="P1249" s="1" t="str">
        <f t="shared" si="99"/>
        <v>2026-01</v>
      </c>
    </row>
    <row r="1250" spans="1:16" ht="18.95" customHeight="1">
      <c r="A1250" s="7" t="s">
        <v>3302</v>
      </c>
      <c r="B1250" s="7" t="s">
        <v>3300</v>
      </c>
      <c r="C1250" s="7" t="s">
        <v>584</v>
      </c>
      <c r="D1250" s="7" t="s">
        <v>97</v>
      </c>
      <c r="E1250" s="7" t="s">
        <v>47</v>
      </c>
      <c r="F1250" s="7" t="s">
        <v>98</v>
      </c>
      <c r="G1250" s="7" t="s">
        <v>3303</v>
      </c>
      <c r="I1250" s="1">
        <f t="shared" si="95"/>
        <v>1</v>
      </c>
      <c r="J1250" s="1" t="str">
        <f>'Source build'!A1250</f>
        <v>L01244</v>
      </c>
      <c r="K1250" s="1">
        <f>1250</f>
        <v>1250</v>
      </c>
      <c r="L1250" s="10">
        <f t="shared" si="96"/>
        <v>20980</v>
      </c>
      <c r="M1250" s="1">
        <f t="shared" si="97"/>
        <v>1</v>
      </c>
      <c r="N1250" s="1">
        <f t="shared" si="98"/>
        <v>1</v>
      </c>
      <c r="O1250" s="1" t="str">
        <f>IF(I1250=0,"UNUSED",IF(A1250="","MISSING ID",IF(K1250=0,"UNEXPECTED ID",IF(N1250&lt;&gt;1,"ID / ORDER DIFFERENCE",IF('Source build'!U1250&lt;&gt;"INCLUDED","EXCLUDED SOURCE",IF(NOT(M1250),"INVALID AMOUNT",IF('Source build'!Y1250&lt;&gt;0,"CHANGED FIELDS","MATCH")))))))</f>
        <v>MATCH</v>
      </c>
      <c r="P1250" s="1" t="str">
        <f t="shared" si="99"/>
        <v>2026-01</v>
      </c>
    </row>
    <row r="1251" spans="1:16" ht="18.95" customHeight="1">
      <c r="A1251" s="7" t="s">
        <v>3304</v>
      </c>
      <c r="B1251" s="7" t="s">
        <v>3305</v>
      </c>
      <c r="C1251" s="7" t="s">
        <v>590</v>
      </c>
      <c r="D1251" s="7" t="s">
        <v>103</v>
      </c>
      <c r="E1251" s="7" t="s">
        <v>48</v>
      </c>
      <c r="F1251" s="7" t="s">
        <v>98</v>
      </c>
      <c r="G1251" s="7" t="s">
        <v>3306</v>
      </c>
      <c r="I1251" s="1">
        <f t="shared" si="95"/>
        <v>1</v>
      </c>
      <c r="J1251" s="1" t="str">
        <f>'Source build'!A1251</f>
        <v>L01245</v>
      </c>
      <c r="K1251" s="1">
        <f>1251</f>
        <v>1251</v>
      </c>
      <c r="L1251" s="10">
        <f t="shared" si="96"/>
        <v>42108</v>
      </c>
      <c r="M1251" s="1">
        <f t="shared" si="97"/>
        <v>1</v>
      </c>
      <c r="N1251" s="1">
        <f t="shared" si="98"/>
        <v>1</v>
      </c>
      <c r="O1251" s="1" t="str">
        <f>IF(I1251=0,"UNUSED",IF(A1251="","MISSING ID",IF(K1251=0,"UNEXPECTED ID",IF(N1251&lt;&gt;1,"ID / ORDER DIFFERENCE",IF('Source build'!U1251&lt;&gt;"INCLUDED","EXCLUDED SOURCE",IF(NOT(M1251),"INVALID AMOUNT",IF('Source build'!Y1251&lt;&gt;0,"CHANGED FIELDS","MATCH")))))))</f>
        <v>MATCH</v>
      </c>
      <c r="P1251" s="1" t="str">
        <f t="shared" si="99"/>
        <v>2026-02</v>
      </c>
    </row>
    <row r="1252" spans="1:16" ht="18.95" customHeight="1">
      <c r="A1252" s="7" t="s">
        <v>3307</v>
      </c>
      <c r="B1252" s="7" t="s">
        <v>3305</v>
      </c>
      <c r="C1252" s="7" t="s">
        <v>590</v>
      </c>
      <c r="D1252" s="7" t="s">
        <v>93</v>
      </c>
      <c r="E1252" s="7" t="s">
        <v>46</v>
      </c>
      <c r="F1252" s="7" t="s">
        <v>98</v>
      </c>
      <c r="G1252" s="7" t="s">
        <v>3308</v>
      </c>
      <c r="I1252" s="1">
        <f t="shared" si="95"/>
        <v>1</v>
      </c>
      <c r="J1252" s="1" t="str">
        <f>'Source build'!A1252</f>
        <v>L01246</v>
      </c>
      <c r="K1252" s="1">
        <f>1252</f>
        <v>1252</v>
      </c>
      <c r="L1252" s="10">
        <f t="shared" si="96"/>
        <v>10564</v>
      </c>
      <c r="M1252" s="1">
        <f t="shared" si="97"/>
        <v>1</v>
      </c>
      <c r="N1252" s="1">
        <f t="shared" si="98"/>
        <v>1</v>
      </c>
      <c r="O1252" s="1" t="str">
        <f>IF(I1252=0,"UNUSED",IF(A1252="","MISSING ID",IF(K1252=0,"UNEXPECTED ID",IF(N1252&lt;&gt;1,"ID / ORDER DIFFERENCE",IF('Source build'!U1252&lt;&gt;"INCLUDED","EXCLUDED SOURCE",IF(NOT(M1252),"INVALID AMOUNT",IF('Source build'!Y1252&lt;&gt;0,"CHANGED FIELDS","MATCH")))))))</f>
        <v>MATCH</v>
      </c>
      <c r="P1252" s="1" t="str">
        <f t="shared" si="99"/>
        <v>2026-02</v>
      </c>
    </row>
    <row r="1253" spans="1:16" ht="18.95" customHeight="1">
      <c r="A1253" s="7" t="s">
        <v>3309</v>
      </c>
      <c r="B1253" s="7" t="s">
        <v>3310</v>
      </c>
      <c r="C1253" s="7" t="s">
        <v>596</v>
      </c>
      <c r="D1253" s="7" t="s">
        <v>97</v>
      </c>
      <c r="E1253" s="7" t="s">
        <v>47</v>
      </c>
      <c r="F1253" s="7" t="s">
        <v>98</v>
      </c>
      <c r="G1253" s="7" t="s">
        <v>3311</v>
      </c>
      <c r="I1253" s="1">
        <f t="shared" si="95"/>
        <v>1</v>
      </c>
      <c r="J1253" s="1" t="str">
        <f>'Source build'!A1253</f>
        <v>L01247</v>
      </c>
      <c r="K1253" s="1">
        <f>1253</f>
        <v>1253</v>
      </c>
      <c r="L1253" s="10">
        <f t="shared" si="96"/>
        <v>31803</v>
      </c>
      <c r="M1253" s="1">
        <f t="shared" si="97"/>
        <v>1</v>
      </c>
      <c r="N1253" s="1">
        <f t="shared" si="98"/>
        <v>1</v>
      </c>
      <c r="O1253" s="1" t="str">
        <f>IF(I1253=0,"UNUSED",IF(A1253="","MISSING ID",IF(K1253=0,"UNEXPECTED ID",IF(N1253&lt;&gt;1,"ID / ORDER DIFFERENCE",IF('Source build'!U1253&lt;&gt;"INCLUDED","EXCLUDED SOURCE",IF(NOT(M1253),"INVALID AMOUNT",IF('Source build'!Y1253&lt;&gt;0,"CHANGED FIELDS","MATCH")))))))</f>
        <v>MATCH</v>
      </c>
      <c r="P1253" s="1" t="str">
        <f t="shared" si="99"/>
        <v>2026-02</v>
      </c>
    </row>
    <row r="1254" spans="1:16" ht="18.95" customHeight="1">
      <c r="A1254" s="7" t="s">
        <v>3312</v>
      </c>
      <c r="B1254" s="7" t="s">
        <v>3310</v>
      </c>
      <c r="C1254" s="7" t="s">
        <v>596</v>
      </c>
      <c r="D1254" s="7" t="s">
        <v>103</v>
      </c>
      <c r="E1254" s="7" t="s">
        <v>48</v>
      </c>
      <c r="F1254" s="7" t="s">
        <v>98</v>
      </c>
      <c r="G1254" s="7" t="s">
        <v>3313</v>
      </c>
      <c r="I1254" s="1">
        <f t="shared" si="95"/>
        <v>1</v>
      </c>
      <c r="J1254" s="1" t="str">
        <f>'Source build'!A1254</f>
        <v>L01248</v>
      </c>
      <c r="K1254" s="1">
        <f>1254</f>
        <v>1254</v>
      </c>
      <c r="L1254" s="10">
        <f t="shared" si="96"/>
        <v>53190</v>
      </c>
      <c r="M1254" s="1">
        <f t="shared" si="97"/>
        <v>1</v>
      </c>
      <c r="N1254" s="1">
        <f t="shared" si="98"/>
        <v>1</v>
      </c>
      <c r="O1254" s="1" t="str">
        <f>IF(I1254=0,"UNUSED",IF(A1254="","MISSING ID",IF(K1254=0,"UNEXPECTED ID",IF(N1254&lt;&gt;1,"ID / ORDER DIFFERENCE",IF('Source build'!U1254&lt;&gt;"INCLUDED","EXCLUDED SOURCE",IF(NOT(M1254),"INVALID AMOUNT",IF('Source build'!Y1254&lt;&gt;0,"CHANGED FIELDS","MATCH")))))))</f>
        <v>MATCH</v>
      </c>
      <c r="P1254" s="1" t="str">
        <f t="shared" si="99"/>
        <v>2026-02</v>
      </c>
    </row>
    <row r="1255" spans="1:16" ht="18.95" customHeight="1">
      <c r="A1255" s="7" t="s">
        <v>3314</v>
      </c>
      <c r="B1255" s="7" t="s">
        <v>3315</v>
      </c>
      <c r="C1255" s="7" t="s">
        <v>602</v>
      </c>
      <c r="D1255" s="7" t="s">
        <v>93</v>
      </c>
      <c r="E1255" s="7" t="s">
        <v>46</v>
      </c>
      <c r="F1255" s="7" t="s">
        <v>98</v>
      </c>
      <c r="G1255" s="7" t="s">
        <v>3316</v>
      </c>
      <c r="I1255" s="1">
        <f t="shared" si="95"/>
        <v>1</v>
      </c>
      <c r="J1255" s="1" t="str">
        <f>'Source build'!A1255</f>
        <v>L01249</v>
      </c>
      <c r="K1255" s="1">
        <f>1255</f>
        <v>1255</v>
      </c>
      <c r="L1255" s="10">
        <f t="shared" si="96"/>
        <v>21350</v>
      </c>
      <c r="M1255" s="1">
        <f t="shared" si="97"/>
        <v>1</v>
      </c>
      <c r="N1255" s="1">
        <f t="shared" si="98"/>
        <v>1</v>
      </c>
      <c r="O1255" s="1" t="str">
        <f>IF(I1255=0,"UNUSED",IF(A1255="","MISSING ID",IF(K1255=0,"UNEXPECTED ID",IF(N1255&lt;&gt;1,"ID / ORDER DIFFERENCE",IF('Source build'!U1255&lt;&gt;"INCLUDED","EXCLUDED SOURCE",IF(NOT(M1255),"INVALID AMOUNT",IF('Source build'!Y1255&lt;&gt;0,"CHANGED FIELDS","MATCH")))))))</f>
        <v>MATCH</v>
      </c>
      <c r="P1255" s="1" t="str">
        <f t="shared" si="99"/>
        <v>2026-02</v>
      </c>
    </row>
    <row r="1256" spans="1:16" ht="18.95" customHeight="1">
      <c r="A1256" s="7" t="s">
        <v>3317</v>
      </c>
      <c r="B1256" s="7" t="s">
        <v>3315</v>
      </c>
      <c r="C1256" s="7" t="s">
        <v>602</v>
      </c>
      <c r="D1256" s="7" t="s">
        <v>97</v>
      </c>
      <c r="E1256" s="7" t="s">
        <v>47</v>
      </c>
      <c r="F1256" s="7" t="s">
        <v>98</v>
      </c>
      <c r="G1256" s="7" t="s">
        <v>3318</v>
      </c>
      <c r="I1256" s="1">
        <f t="shared" si="95"/>
        <v>1</v>
      </c>
      <c r="J1256" s="1" t="str">
        <f>'Source build'!A1256</f>
        <v>L01250</v>
      </c>
      <c r="K1256" s="1">
        <f>1256</f>
        <v>1256</v>
      </c>
      <c r="L1256" s="10">
        <f t="shared" si="96"/>
        <v>42848</v>
      </c>
      <c r="M1256" s="1">
        <f t="shared" si="97"/>
        <v>1</v>
      </c>
      <c r="N1256" s="1">
        <f t="shared" si="98"/>
        <v>1</v>
      </c>
      <c r="O1256" s="1" t="str">
        <f>IF(I1256=0,"UNUSED",IF(A1256="","MISSING ID",IF(K1256=0,"UNEXPECTED ID",IF(N1256&lt;&gt;1,"ID / ORDER DIFFERENCE",IF('Source build'!U1256&lt;&gt;"INCLUDED","EXCLUDED SOURCE",IF(NOT(M1256),"INVALID AMOUNT",IF('Source build'!Y1256&lt;&gt;0,"CHANGED FIELDS","MATCH")))))))</f>
        <v>MATCH</v>
      </c>
      <c r="P1256" s="1" t="str">
        <f t="shared" si="99"/>
        <v>2026-02</v>
      </c>
    </row>
    <row r="1257" spans="1:16" ht="18.95" customHeight="1">
      <c r="A1257" s="7" t="s">
        <v>3319</v>
      </c>
      <c r="B1257" s="7" t="s">
        <v>3320</v>
      </c>
      <c r="C1257" s="7" t="s">
        <v>611</v>
      </c>
      <c r="D1257" s="7" t="s">
        <v>103</v>
      </c>
      <c r="E1257" s="7" t="s">
        <v>48</v>
      </c>
      <c r="F1257" s="7" t="s">
        <v>98</v>
      </c>
      <c r="G1257" s="7" t="s">
        <v>3321</v>
      </c>
      <c r="I1257" s="1">
        <f t="shared" si="95"/>
        <v>1</v>
      </c>
      <c r="J1257" s="1" t="str">
        <f>'Source build'!A1257</f>
        <v>L01251</v>
      </c>
      <c r="K1257" s="1">
        <f>1257</f>
        <v>1257</v>
      </c>
      <c r="L1257" s="10">
        <f t="shared" si="96"/>
        <v>10749</v>
      </c>
      <c r="M1257" s="1">
        <f t="shared" si="97"/>
        <v>1</v>
      </c>
      <c r="N1257" s="1">
        <f t="shared" si="98"/>
        <v>1</v>
      </c>
      <c r="O1257" s="1" t="str">
        <f>IF(I1257=0,"UNUSED",IF(A1257="","MISSING ID",IF(K1257=0,"UNEXPECTED ID",IF(N1257&lt;&gt;1,"ID / ORDER DIFFERENCE",IF('Source build'!U1257&lt;&gt;"INCLUDED","EXCLUDED SOURCE",IF(NOT(M1257),"INVALID AMOUNT",IF('Source build'!Y1257&lt;&gt;0,"CHANGED FIELDS","MATCH")))))))</f>
        <v>MATCH</v>
      </c>
      <c r="P1257" s="1" t="str">
        <f t="shared" si="99"/>
        <v>2026-02</v>
      </c>
    </row>
    <row r="1258" spans="1:16" ht="18.95" customHeight="1">
      <c r="A1258" s="7" t="s">
        <v>3322</v>
      </c>
      <c r="B1258" s="7" t="s">
        <v>3320</v>
      </c>
      <c r="C1258" s="7" t="s">
        <v>611</v>
      </c>
      <c r="D1258" s="7" t="s">
        <v>93</v>
      </c>
      <c r="E1258" s="7" t="s">
        <v>46</v>
      </c>
      <c r="F1258" s="7" t="s">
        <v>98</v>
      </c>
      <c r="G1258" s="7" t="s">
        <v>3323</v>
      </c>
      <c r="I1258" s="1">
        <f t="shared" si="95"/>
        <v>1</v>
      </c>
      <c r="J1258" s="1" t="str">
        <f>'Source build'!A1258</f>
        <v>L01252</v>
      </c>
      <c r="K1258" s="1">
        <f>1258</f>
        <v>1258</v>
      </c>
      <c r="L1258" s="10">
        <f t="shared" si="96"/>
        <v>32358</v>
      </c>
      <c r="M1258" s="1">
        <f t="shared" si="97"/>
        <v>1</v>
      </c>
      <c r="N1258" s="1">
        <f t="shared" si="98"/>
        <v>1</v>
      </c>
      <c r="O1258" s="1" t="str">
        <f>IF(I1258=0,"UNUSED",IF(A1258="","MISSING ID",IF(K1258=0,"UNEXPECTED ID",IF(N1258&lt;&gt;1,"ID / ORDER DIFFERENCE",IF('Source build'!U1258&lt;&gt;"INCLUDED","EXCLUDED SOURCE",IF(NOT(M1258),"INVALID AMOUNT",IF('Source build'!Y1258&lt;&gt;0,"CHANGED FIELDS","MATCH")))))))</f>
        <v>MATCH</v>
      </c>
      <c r="P1258" s="1" t="str">
        <f t="shared" si="99"/>
        <v>2026-02</v>
      </c>
    </row>
    <row r="1259" spans="1:16" ht="18.95" customHeight="1">
      <c r="A1259" s="7" t="s">
        <v>3324</v>
      </c>
      <c r="B1259" s="7" t="s">
        <v>3325</v>
      </c>
      <c r="C1259" s="7" t="s">
        <v>615</v>
      </c>
      <c r="D1259" s="7" t="s">
        <v>97</v>
      </c>
      <c r="E1259" s="7" t="s">
        <v>47</v>
      </c>
      <c r="F1259" s="7" t="s">
        <v>98</v>
      </c>
      <c r="G1259" s="7" t="s">
        <v>3326</v>
      </c>
      <c r="I1259" s="1">
        <f t="shared" si="95"/>
        <v>1</v>
      </c>
      <c r="J1259" s="1" t="str">
        <f>'Source build'!A1259</f>
        <v>L01253</v>
      </c>
      <c r="K1259" s="1">
        <f>1259</f>
        <v>1259</v>
      </c>
      <c r="L1259" s="10">
        <f t="shared" si="96"/>
        <v>54115</v>
      </c>
      <c r="M1259" s="1">
        <f t="shared" si="97"/>
        <v>1</v>
      </c>
      <c r="N1259" s="1">
        <f t="shared" si="98"/>
        <v>1</v>
      </c>
      <c r="O1259" s="1" t="str">
        <f>IF(I1259=0,"UNUSED",IF(A1259="","MISSING ID",IF(K1259=0,"UNEXPECTED ID",IF(N1259&lt;&gt;1,"ID / ORDER DIFFERENCE",IF('Source build'!U1259&lt;&gt;"INCLUDED","EXCLUDED SOURCE",IF(NOT(M1259),"INVALID AMOUNT",IF('Source build'!Y1259&lt;&gt;0,"CHANGED FIELDS","MATCH")))))))</f>
        <v>MATCH</v>
      </c>
      <c r="P1259" s="1" t="str">
        <f t="shared" si="99"/>
        <v>2026-03</v>
      </c>
    </row>
    <row r="1260" spans="1:16" ht="18.95" customHeight="1">
      <c r="A1260" s="7" t="s">
        <v>3327</v>
      </c>
      <c r="B1260" s="7" t="s">
        <v>3325</v>
      </c>
      <c r="C1260" s="7" t="s">
        <v>615</v>
      </c>
      <c r="D1260" s="7" t="s">
        <v>103</v>
      </c>
      <c r="E1260" s="7" t="s">
        <v>48</v>
      </c>
      <c r="F1260" s="7" t="s">
        <v>98</v>
      </c>
      <c r="G1260" s="7" t="s">
        <v>3328</v>
      </c>
      <c r="I1260" s="1">
        <f t="shared" si="95"/>
        <v>1</v>
      </c>
      <c r="J1260" s="1" t="str">
        <f>'Source build'!A1260</f>
        <v>L01254</v>
      </c>
      <c r="K1260" s="1">
        <f>1260</f>
        <v>1260</v>
      </c>
      <c r="L1260" s="10">
        <f t="shared" si="96"/>
        <v>21720</v>
      </c>
      <c r="M1260" s="1">
        <f t="shared" si="97"/>
        <v>1</v>
      </c>
      <c r="N1260" s="1">
        <f t="shared" si="98"/>
        <v>1</v>
      </c>
      <c r="O1260" s="1" t="str">
        <f>IF(I1260=0,"UNUSED",IF(A1260="","MISSING ID",IF(K1260=0,"UNEXPECTED ID",IF(N1260&lt;&gt;1,"ID / ORDER DIFFERENCE",IF('Source build'!U1260&lt;&gt;"INCLUDED","EXCLUDED SOURCE",IF(NOT(M1260),"INVALID AMOUNT",IF('Source build'!Y1260&lt;&gt;0,"CHANGED FIELDS","MATCH")))))))</f>
        <v>MATCH</v>
      </c>
      <c r="P1260" s="1" t="str">
        <f t="shared" si="99"/>
        <v>2026-03</v>
      </c>
    </row>
    <row r="1261" spans="1:16" ht="18.95" customHeight="1">
      <c r="A1261" s="7" t="s">
        <v>3329</v>
      </c>
      <c r="B1261" s="7" t="s">
        <v>3330</v>
      </c>
      <c r="C1261" s="7" t="s">
        <v>621</v>
      </c>
      <c r="D1261" s="7" t="s">
        <v>93</v>
      </c>
      <c r="E1261" s="7" t="s">
        <v>46</v>
      </c>
      <c r="F1261" s="7" t="s">
        <v>98</v>
      </c>
      <c r="G1261" s="7" t="s">
        <v>3331</v>
      </c>
      <c r="I1261" s="1">
        <f t="shared" si="95"/>
        <v>1</v>
      </c>
      <c r="J1261" s="1" t="str">
        <f>'Source build'!A1261</f>
        <v>L01255</v>
      </c>
      <c r="K1261" s="1">
        <f>1261</f>
        <v>1261</v>
      </c>
      <c r="L1261" s="10">
        <f t="shared" si="96"/>
        <v>43588</v>
      </c>
      <c r="M1261" s="1">
        <f t="shared" si="97"/>
        <v>1</v>
      </c>
      <c r="N1261" s="1">
        <f t="shared" si="98"/>
        <v>1</v>
      </c>
      <c r="O1261" s="1" t="str">
        <f>IF(I1261=0,"UNUSED",IF(A1261="","MISSING ID",IF(K1261=0,"UNEXPECTED ID",IF(N1261&lt;&gt;1,"ID / ORDER DIFFERENCE",IF('Source build'!U1261&lt;&gt;"INCLUDED","EXCLUDED SOURCE",IF(NOT(M1261),"INVALID AMOUNT",IF('Source build'!Y1261&lt;&gt;0,"CHANGED FIELDS","MATCH")))))))</f>
        <v>MATCH</v>
      </c>
      <c r="P1261" s="1" t="str">
        <f t="shared" si="99"/>
        <v>2026-03</v>
      </c>
    </row>
    <row r="1262" spans="1:16" ht="18.95" customHeight="1">
      <c r="A1262" s="7" t="s">
        <v>3332</v>
      </c>
      <c r="B1262" s="7" t="s">
        <v>3330</v>
      </c>
      <c r="C1262" s="7" t="s">
        <v>621</v>
      </c>
      <c r="D1262" s="7" t="s">
        <v>97</v>
      </c>
      <c r="E1262" s="7" t="s">
        <v>47</v>
      </c>
      <c r="F1262" s="7" t="s">
        <v>98</v>
      </c>
      <c r="G1262" s="7" t="s">
        <v>3333</v>
      </c>
      <c r="I1262" s="1">
        <f t="shared" si="95"/>
        <v>1</v>
      </c>
      <c r="J1262" s="1" t="str">
        <f>'Source build'!A1262</f>
        <v>L01256</v>
      </c>
      <c r="K1262" s="1">
        <f>1262</f>
        <v>1262</v>
      </c>
      <c r="L1262" s="10">
        <f t="shared" si="96"/>
        <v>10934</v>
      </c>
      <c r="M1262" s="1">
        <f t="shared" si="97"/>
        <v>1</v>
      </c>
      <c r="N1262" s="1">
        <f t="shared" si="98"/>
        <v>1</v>
      </c>
      <c r="O1262" s="1" t="str">
        <f>IF(I1262=0,"UNUSED",IF(A1262="","MISSING ID",IF(K1262=0,"UNEXPECTED ID",IF(N1262&lt;&gt;1,"ID / ORDER DIFFERENCE",IF('Source build'!U1262&lt;&gt;"INCLUDED","EXCLUDED SOURCE",IF(NOT(M1262),"INVALID AMOUNT",IF('Source build'!Y1262&lt;&gt;0,"CHANGED FIELDS","MATCH")))))))</f>
        <v>MATCH</v>
      </c>
      <c r="P1262" s="1" t="str">
        <f t="shared" si="99"/>
        <v>2026-03</v>
      </c>
    </row>
    <row r="1263" spans="1:16" ht="18.95" customHeight="1">
      <c r="A1263" s="7" t="s">
        <v>3334</v>
      </c>
      <c r="B1263" s="7" t="s">
        <v>3335</v>
      </c>
      <c r="C1263" s="7" t="s">
        <v>627</v>
      </c>
      <c r="D1263" s="7" t="s">
        <v>103</v>
      </c>
      <c r="E1263" s="7" t="s">
        <v>48</v>
      </c>
      <c r="F1263" s="7" t="s">
        <v>98</v>
      </c>
      <c r="G1263" s="7" t="s">
        <v>3336</v>
      </c>
      <c r="I1263" s="1">
        <f t="shared" si="95"/>
        <v>1</v>
      </c>
      <c r="J1263" s="1" t="str">
        <f>'Source build'!A1263</f>
        <v>L01257</v>
      </c>
      <c r="K1263" s="1">
        <f>1263</f>
        <v>1263</v>
      </c>
      <c r="L1263" s="10">
        <f t="shared" si="96"/>
        <v>32913</v>
      </c>
      <c r="M1263" s="1">
        <f t="shared" si="97"/>
        <v>1</v>
      </c>
      <c r="N1263" s="1">
        <f t="shared" si="98"/>
        <v>1</v>
      </c>
      <c r="O1263" s="1" t="str">
        <f>IF(I1263=0,"UNUSED",IF(A1263="","MISSING ID",IF(K1263=0,"UNEXPECTED ID",IF(N1263&lt;&gt;1,"ID / ORDER DIFFERENCE",IF('Source build'!U1263&lt;&gt;"INCLUDED","EXCLUDED SOURCE",IF(NOT(M1263),"INVALID AMOUNT",IF('Source build'!Y1263&lt;&gt;0,"CHANGED FIELDS","MATCH")))))))</f>
        <v>MATCH</v>
      </c>
      <c r="P1263" s="1" t="str">
        <f t="shared" si="99"/>
        <v>2026-03</v>
      </c>
    </row>
    <row r="1264" spans="1:16" ht="18.95" customHeight="1">
      <c r="A1264" s="7" t="s">
        <v>3337</v>
      </c>
      <c r="B1264" s="7" t="s">
        <v>3335</v>
      </c>
      <c r="C1264" s="7" t="s">
        <v>627</v>
      </c>
      <c r="D1264" s="7" t="s">
        <v>93</v>
      </c>
      <c r="E1264" s="7" t="s">
        <v>46</v>
      </c>
      <c r="F1264" s="7" t="s">
        <v>98</v>
      </c>
      <c r="G1264" s="7" t="s">
        <v>3338</v>
      </c>
      <c r="I1264" s="1">
        <f t="shared" si="95"/>
        <v>1</v>
      </c>
      <c r="J1264" s="1" t="str">
        <f>'Source build'!A1264</f>
        <v>L01258</v>
      </c>
      <c r="K1264" s="1">
        <f>1264</f>
        <v>1264</v>
      </c>
      <c r="L1264" s="10">
        <f t="shared" si="96"/>
        <v>55040</v>
      </c>
      <c r="M1264" s="1">
        <f t="shared" si="97"/>
        <v>1</v>
      </c>
      <c r="N1264" s="1">
        <f t="shared" si="98"/>
        <v>1</v>
      </c>
      <c r="O1264" s="1" t="str">
        <f>IF(I1264=0,"UNUSED",IF(A1264="","MISSING ID",IF(K1264=0,"UNEXPECTED ID",IF(N1264&lt;&gt;1,"ID / ORDER DIFFERENCE",IF('Source build'!U1264&lt;&gt;"INCLUDED","EXCLUDED SOURCE",IF(NOT(M1264),"INVALID AMOUNT",IF('Source build'!Y1264&lt;&gt;0,"CHANGED FIELDS","MATCH")))))))</f>
        <v>MATCH</v>
      </c>
      <c r="P1264" s="1" t="str">
        <f t="shared" si="99"/>
        <v>2026-03</v>
      </c>
    </row>
    <row r="1265" spans="1:16" ht="18.95" customHeight="1">
      <c r="A1265" s="7" t="s">
        <v>3339</v>
      </c>
      <c r="B1265" s="7" t="s">
        <v>3340</v>
      </c>
      <c r="C1265" s="7" t="s">
        <v>633</v>
      </c>
      <c r="D1265" s="7" t="s">
        <v>97</v>
      </c>
      <c r="E1265" s="7" t="s">
        <v>47</v>
      </c>
      <c r="F1265" s="7" t="s">
        <v>98</v>
      </c>
      <c r="G1265" s="7" t="s">
        <v>5143</v>
      </c>
      <c r="I1265" s="1">
        <f t="shared" si="95"/>
        <v>1</v>
      </c>
      <c r="J1265" s="1" t="str">
        <f>'Source build'!A1265</f>
        <v>L01259</v>
      </c>
      <c r="K1265" s="1">
        <f>1265</f>
        <v>1265</v>
      </c>
      <c r="L1265" s="10">
        <f t="shared" si="96"/>
        <v>22090</v>
      </c>
      <c r="M1265" s="1">
        <f t="shared" si="97"/>
        <v>1</v>
      </c>
      <c r="N1265" s="1">
        <f t="shared" si="98"/>
        <v>1</v>
      </c>
      <c r="O1265" s="1" t="str">
        <f>IF(I1265=0,"UNUSED",IF(A1265="","MISSING ID",IF(K1265=0,"UNEXPECTED ID",IF(N1265&lt;&gt;1,"ID / ORDER DIFFERENCE",IF('Source build'!U1265&lt;&gt;"INCLUDED","EXCLUDED SOURCE",IF(NOT(M1265),"INVALID AMOUNT",IF('Source build'!Y1265&lt;&gt;0,"CHANGED FIELDS","MATCH")))))))</f>
        <v>MATCH</v>
      </c>
      <c r="P1265" s="1" t="str">
        <f t="shared" si="99"/>
        <v>2026-03</v>
      </c>
    </row>
    <row r="1266" spans="1:16" ht="18.95" customHeight="1">
      <c r="A1266" s="7" t="s">
        <v>3342</v>
      </c>
      <c r="B1266" s="7" t="s">
        <v>3340</v>
      </c>
      <c r="C1266" s="7" t="s">
        <v>633</v>
      </c>
      <c r="D1266" s="7" t="s">
        <v>103</v>
      </c>
      <c r="E1266" s="7" t="s">
        <v>48</v>
      </c>
      <c r="F1266" s="7" t="s">
        <v>98</v>
      </c>
      <c r="G1266" s="7" t="s">
        <v>3343</v>
      </c>
      <c r="I1266" s="1">
        <f t="shared" si="95"/>
        <v>1</v>
      </c>
      <c r="J1266" s="1" t="str">
        <f>'Source build'!A1266</f>
        <v>L01260</v>
      </c>
      <c r="K1266" s="1">
        <f>1266</f>
        <v>1266</v>
      </c>
      <c r="L1266" s="10">
        <f t="shared" si="96"/>
        <v>44328</v>
      </c>
      <c r="M1266" s="1">
        <f t="shared" si="97"/>
        <v>1</v>
      </c>
      <c r="N1266" s="1">
        <f t="shared" si="98"/>
        <v>1</v>
      </c>
      <c r="O1266" s="1" t="str">
        <f>IF(I1266=0,"UNUSED",IF(A1266="","MISSING ID",IF(K1266=0,"UNEXPECTED ID",IF(N1266&lt;&gt;1,"ID / ORDER DIFFERENCE",IF('Source build'!U1266&lt;&gt;"INCLUDED","EXCLUDED SOURCE",IF(NOT(M1266),"INVALID AMOUNT",IF('Source build'!Y1266&lt;&gt;0,"CHANGED FIELDS","MATCH")))))))</f>
        <v>MATCH</v>
      </c>
      <c r="P1266" s="1" t="str">
        <f t="shared" si="99"/>
        <v>2026-03</v>
      </c>
    </row>
    <row r="1267" spans="1:16" ht="18.95" customHeight="1">
      <c r="A1267" s="7" t="s">
        <v>3344</v>
      </c>
      <c r="B1267" s="7" t="s">
        <v>3345</v>
      </c>
      <c r="C1267" s="7" t="s">
        <v>92</v>
      </c>
      <c r="D1267" s="7" t="s">
        <v>93</v>
      </c>
      <c r="E1267" s="7" t="s">
        <v>46</v>
      </c>
      <c r="F1267" s="7" t="s">
        <v>98</v>
      </c>
      <c r="G1267" s="7" t="s">
        <v>3346</v>
      </c>
      <c r="I1267" s="1">
        <f t="shared" si="95"/>
        <v>1</v>
      </c>
      <c r="J1267" s="1" t="str">
        <f>'Source build'!A1267</f>
        <v>L01261</v>
      </c>
      <c r="K1267" s="1">
        <f>1267</f>
        <v>1267</v>
      </c>
      <c r="L1267" s="10">
        <f t="shared" si="96"/>
        <v>11119</v>
      </c>
      <c r="M1267" s="1">
        <f t="shared" si="97"/>
        <v>1</v>
      </c>
      <c r="N1267" s="1">
        <f t="shared" si="98"/>
        <v>1</v>
      </c>
      <c r="O1267" s="1" t="str">
        <f>IF(I1267=0,"UNUSED",IF(A1267="","MISSING ID",IF(K1267=0,"UNEXPECTED ID",IF(N1267&lt;&gt;1,"ID / ORDER DIFFERENCE",IF('Source build'!U1267&lt;&gt;"INCLUDED","EXCLUDED SOURCE",IF(NOT(M1267),"INVALID AMOUNT",IF('Source build'!Y1267&lt;&gt;0,"CHANGED FIELDS","MATCH")))))))</f>
        <v>MATCH</v>
      </c>
      <c r="P1267" s="1" t="str">
        <f t="shared" si="99"/>
        <v>2026-01</v>
      </c>
    </row>
    <row r="1268" spans="1:16" ht="18.95" customHeight="1">
      <c r="A1268" s="7" t="s">
        <v>3347</v>
      </c>
      <c r="B1268" s="7" t="s">
        <v>3345</v>
      </c>
      <c r="C1268" s="7" t="s">
        <v>92</v>
      </c>
      <c r="D1268" s="7" t="s">
        <v>97</v>
      </c>
      <c r="E1268" s="7" t="s">
        <v>47</v>
      </c>
      <c r="F1268" s="7" t="s">
        <v>98</v>
      </c>
      <c r="G1268" s="7" t="s">
        <v>3348</v>
      </c>
      <c r="I1268" s="1">
        <f t="shared" si="95"/>
        <v>1</v>
      </c>
      <c r="J1268" s="1" t="str">
        <f>'Source build'!A1268</f>
        <v>L01262</v>
      </c>
      <c r="K1268" s="1">
        <f>1268</f>
        <v>1268</v>
      </c>
      <c r="L1268" s="10">
        <f t="shared" si="96"/>
        <v>33468</v>
      </c>
      <c r="M1268" s="1">
        <f t="shared" si="97"/>
        <v>1</v>
      </c>
      <c r="N1268" s="1">
        <f t="shared" si="98"/>
        <v>1</v>
      </c>
      <c r="O1268" s="1" t="str">
        <f>IF(I1268=0,"UNUSED",IF(A1268="","MISSING ID",IF(K1268=0,"UNEXPECTED ID",IF(N1268&lt;&gt;1,"ID / ORDER DIFFERENCE",IF('Source build'!U1268&lt;&gt;"INCLUDED","EXCLUDED SOURCE",IF(NOT(M1268),"INVALID AMOUNT",IF('Source build'!Y1268&lt;&gt;0,"CHANGED FIELDS","MATCH")))))))</f>
        <v>MATCH</v>
      </c>
      <c r="P1268" s="1" t="str">
        <f t="shared" si="99"/>
        <v>2026-01</v>
      </c>
    </row>
    <row r="1269" spans="1:16" ht="18.95" customHeight="1">
      <c r="A1269" s="7" t="s">
        <v>3349</v>
      </c>
      <c r="B1269" s="7" t="s">
        <v>3350</v>
      </c>
      <c r="C1269" s="7" t="s">
        <v>102</v>
      </c>
      <c r="D1269" s="7" t="s">
        <v>103</v>
      </c>
      <c r="E1269" s="7" t="s">
        <v>48</v>
      </c>
      <c r="F1269" s="7" t="s">
        <v>98</v>
      </c>
      <c r="G1269" s="7" t="s">
        <v>3351</v>
      </c>
      <c r="I1269" s="1">
        <f t="shared" si="95"/>
        <v>1</v>
      </c>
      <c r="J1269" s="1" t="str">
        <f>'Source build'!A1269</f>
        <v>L01263</v>
      </c>
      <c r="K1269" s="1">
        <f>1269</f>
        <v>1269</v>
      </c>
      <c r="L1269" s="10">
        <f t="shared" si="96"/>
        <v>55965</v>
      </c>
      <c r="M1269" s="1">
        <f t="shared" si="97"/>
        <v>1</v>
      </c>
      <c r="N1269" s="1">
        <f t="shared" si="98"/>
        <v>1</v>
      </c>
      <c r="O1269" s="1" t="str">
        <f>IF(I1269=0,"UNUSED",IF(A1269="","MISSING ID",IF(K1269=0,"UNEXPECTED ID",IF(N1269&lt;&gt;1,"ID / ORDER DIFFERENCE",IF('Source build'!U1269&lt;&gt;"INCLUDED","EXCLUDED SOURCE",IF(NOT(M1269),"INVALID AMOUNT",IF('Source build'!Y1269&lt;&gt;0,"CHANGED FIELDS","MATCH")))))))</f>
        <v>MATCH</v>
      </c>
      <c r="P1269" s="1" t="str">
        <f t="shared" si="99"/>
        <v>2026-01</v>
      </c>
    </row>
    <row r="1270" spans="1:16" ht="18.95" customHeight="1">
      <c r="A1270" s="7" t="s">
        <v>3352</v>
      </c>
      <c r="B1270" s="7" t="s">
        <v>3350</v>
      </c>
      <c r="C1270" s="7" t="s">
        <v>102</v>
      </c>
      <c r="D1270" s="7" t="s">
        <v>93</v>
      </c>
      <c r="E1270" s="7" t="s">
        <v>46</v>
      </c>
      <c r="F1270" s="7" t="s">
        <v>98</v>
      </c>
      <c r="G1270" s="7" t="s">
        <v>3353</v>
      </c>
      <c r="I1270" s="1">
        <f t="shared" si="95"/>
        <v>1</v>
      </c>
      <c r="J1270" s="1" t="str">
        <f>'Source build'!A1270</f>
        <v>L01264</v>
      </c>
      <c r="K1270" s="1">
        <f>1270</f>
        <v>1270</v>
      </c>
      <c r="L1270" s="10">
        <f t="shared" si="96"/>
        <v>22460</v>
      </c>
      <c r="M1270" s="1">
        <f t="shared" si="97"/>
        <v>1</v>
      </c>
      <c r="N1270" s="1">
        <f t="shared" si="98"/>
        <v>1</v>
      </c>
      <c r="O1270" s="1" t="str">
        <f>IF(I1270=0,"UNUSED",IF(A1270="","MISSING ID",IF(K1270=0,"UNEXPECTED ID",IF(N1270&lt;&gt;1,"ID / ORDER DIFFERENCE",IF('Source build'!U1270&lt;&gt;"INCLUDED","EXCLUDED SOURCE",IF(NOT(M1270),"INVALID AMOUNT",IF('Source build'!Y1270&lt;&gt;0,"CHANGED FIELDS","MATCH")))))))</f>
        <v>MATCH</v>
      </c>
      <c r="P1270" s="1" t="str">
        <f t="shared" si="99"/>
        <v>2026-01</v>
      </c>
    </row>
    <row r="1271" spans="1:16" ht="18.95" customHeight="1">
      <c r="A1271" s="7" t="s">
        <v>3354</v>
      </c>
      <c r="B1271" s="7" t="s">
        <v>3355</v>
      </c>
      <c r="C1271" s="7" t="s">
        <v>109</v>
      </c>
      <c r="D1271" s="7" t="s">
        <v>97</v>
      </c>
      <c r="E1271" s="7" t="s">
        <v>47</v>
      </c>
      <c r="F1271" s="7" t="s">
        <v>98</v>
      </c>
      <c r="G1271" s="7" t="s">
        <v>3356</v>
      </c>
      <c r="I1271" s="1">
        <f t="shared" si="95"/>
        <v>1</v>
      </c>
      <c r="J1271" s="1" t="str">
        <f>'Source build'!A1271</f>
        <v>L01265</v>
      </c>
      <c r="K1271" s="1">
        <f>1271</f>
        <v>1271</v>
      </c>
      <c r="L1271" s="10">
        <f t="shared" si="96"/>
        <v>45068</v>
      </c>
      <c r="M1271" s="1">
        <f t="shared" si="97"/>
        <v>1</v>
      </c>
      <c r="N1271" s="1">
        <f t="shared" si="98"/>
        <v>1</v>
      </c>
      <c r="O1271" s="1" t="str">
        <f>IF(I1271=0,"UNUSED",IF(A1271="","MISSING ID",IF(K1271=0,"UNEXPECTED ID",IF(N1271&lt;&gt;1,"ID / ORDER DIFFERENCE",IF('Source build'!U1271&lt;&gt;"INCLUDED","EXCLUDED SOURCE",IF(NOT(M1271),"INVALID AMOUNT",IF('Source build'!Y1271&lt;&gt;0,"CHANGED FIELDS","MATCH")))))))</f>
        <v>MATCH</v>
      </c>
      <c r="P1271" s="1" t="str">
        <f t="shared" si="99"/>
        <v>2026-01</v>
      </c>
    </row>
    <row r="1272" spans="1:16" ht="18.95" customHeight="1">
      <c r="A1272" s="7" t="s">
        <v>3357</v>
      </c>
      <c r="B1272" s="7" t="s">
        <v>3355</v>
      </c>
      <c r="C1272" s="7" t="s">
        <v>109</v>
      </c>
      <c r="D1272" s="7" t="s">
        <v>103</v>
      </c>
      <c r="E1272" s="7" t="s">
        <v>48</v>
      </c>
      <c r="F1272" s="7" t="s">
        <v>94</v>
      </c>
      <c r="G1272" s="7" t="s">
        <v>3358</v>
      </c>
      <c r="I1272" s="1">
        <f t="shared" si="95"/>
        <v>1</v>
      </c>
      <c r="J1272" s="1" t="str">
        <f>'Source build'!A1272</f>
        <v>L01266</v>
      </c>
      <c r="K1272" s="1">
        <f>1272</f>
        <v>1272</v>
      </c>
      <c r="L1272" s="10">
        <f t="shared" si="96"/>
        <v>-11304</v>
      </c>
      <c r="M1272" s="1">
        <f t="shared" si="97"/>
        <v>1</v>
      </c>
      <c r="N1272" s="1">
        <f t="shared" si="98"/>
        <v>1</v>
      </c>
      <c r="O1272" s="1" t="str">
        <f>IF(I1272=0,"UNUSED",IF(A1272="","MISSING ID",IF(K1272=0,"UNEXPECTED ID",IF(N1272&lt;&gt;1,"ID / ORDER DIFFERENCE",IF('Source build'!U1272&lt;&gt;"INCLUDED","EXCLUDED SOURCE",IF(NOT(M1272),"INVALID AMOUNT",IF('Source build'!Y1272&lt;&gt;0,"CHANGED FIELDS","MATCH")))))))</f>
        <v>MATCH</v>
      </c>
      <c r="P1272" s="1" t="str">
        <f t="shared" si="99"/>
        <v>2026-01</v>
      </c>
    </row>
    <row r="1273" spans="1:16" ht="18.95" customHeight="1">
      <c r="A1273" s="7" t="s">
        <v>3359</v>
      </c>
      <c r="B1273" s="7" t="s">
        <v>3360</v>
      </c>
      <c r="C1273" s="7" t="s">
        <v>115</v>
      </c>
      <c r="D1273" s="7" t="s">
        <v>93</v>
      </c>
      <c r="E1273" s="7" t="s">
        <v>46</v>
      </c>
      <c r="F1273" s="7" t="s">
        <v>98</v>
      </c>
      <c r="G1273" s="7" t="s">
        <v>3362</v>
      </c>
      <c r="I1273" s="1">
        <f t="shared" si="95"/>
        <v>1</v>
      </c>
      <c r="J1273" s="1" t="str">
        <f>'Source build'!A1273</f>
        <v>L01267</v>
      </c>
      <c r="K1273" s="1">
        <f>1273</f>
        <v>1273</v>
      </c>
      <c r="L1273" s="10">
        <f t="shared" si="96"/>
        <v>34023</v>
      </c>
      <c r="M1273" s="1">
        <f t="shared" si="97"/>
        <v>1</v>
      </c>
      <c r="N1273" s="1">
        <f t="shared" si="98"/>
        <v>1</v>
      </c>
      <c r="O1273" s="1" t="str">
        <f>IF(I1273=0,"UNUSED",IF(A1273="","MISSING ID",IF(K1273=0,"UNEXPECTED ID",IF(N1273&lt;&gt;1,"ID / ORDER DIFFERENCE",IF('Source build'!U1273&lt;&gt;"INCLUDED","EXCLUDED SOURCE",IF(NOT(M1273),"INVALID AMOUNT",IF('Source build'!Y1273&lt;&gt;0,"CHANGED FIELDS","MATCH")))))))</f>
        <v>MATCH</v>
      </c>
      <c r="P1273" s="1" t="str">
        <f t="shared" si="99"/>
        <v>2026-01</v>
      </c>
    </row>
    <row r="1274" spans="1:16" ht="18.95" customHeight="1">
      <c r="A1274" s="7" t="s">
        <v>3363</v>
      </c>
      <c r="B1274" s="7" t="s">
        <v>3360</v>
      </c>
      <c r="C1274" s="7" t="s">
        <v>115</v>
      </c>
      <c r="D1274" s="7" t="s">
        <v>97</v>
      </c>
      <c r="E1274" s="7" t="s">
        <v>47</v>
      </c>
      <c r="F1274" s="7" t="s">
        <v>98</v>
      </c>
      <c r="G1274" s="7" t="s">
        <v>3364</v>
      </c>
      <c r="I1274" s="1">
        <f t="shared" si="95"/>
        <v>1</v>
      </c>
      <c r="J1274" s="1" t="str">
        <f>'Source build'!A1274</f>
        <v>L01268</v>
      </c>
      <c r="K1274" s="1">
        <f>1274</f>
        <v>1274</v>
      </c>
      <c r="L1274" s="10">
        <f t="shared" si="96"/>
        <v>56890</v>
      </c>
      <c r="M1274" s="1">
        <f t="shared" si="97"/>
        <v>1</v>
      </c>
      <c r="N1274" s="1">
        <f t="shared" si="98"/>
        <v>1</v>
      </c>
      <c r="O1274" s="1" t="str">
        <f>IF(I1274=0,"UNUSED",IF(A1274="","MISSING ID",IF(K1274=0,"UNEXPECTED ID",IF(N1274&lt;&gt;1,"ID / ORDER DIFFERENCE",IF('Source build'!U1274&lt;&gt;"INCLUDED","EXCLUDED SOURCE",IF(NOT(M1274),"INVALID AMOUNT",IF('Source build'!Y1274&lt;&gt;0,"CHANGED FIELDS","MATCH")))))))</f>
        <v>MATCH</v>
      </c>
      <c r="P1274" s="1" t="str">
        <f t="shared" si="99"/>
        <v>2026-01</v>
      </c>
    </row>
    <row r="1275" spans="1:16" ht="18.95" customHeight="1">
      <c r="A1275" s="7" t="s">
        <v>3365</v>
      </c>
      <c r="B1275" s="7" t="s">
        <v>3366</v>
      </c>
      <c r="C1275" s="7" t="s">
        <v>121</v>
      </c>
      <c r="D1275" s="7" t="s">
        <v>103</v>
      </c>
      <c r="E1275" s="7" t="s">
        <v>48</v>
      </c>
      <c r="F1275" s="7" t="s">
        <v>98</v>
      </c>
      <c r="G1275" s="7" t="s">
        <v>3367</v>
      </c>
      <c r="I1275" s="1">
        <f t="shared" si="95"/>
        <v>1</v>
      </c>
      <c r="J1275" s="1" t="str">
        <f>'Source build'!A1275</f>
        <v>L01269</v>
      </c>
      <c r="K1275" s="1">
        <f>1275</f>
        <v>1275</v>
      </c>
      <c r="L1275" s="10">
        <f t="shared" si="96"/>
        <v>22830</v>
      </c>
      <c r="M1275" s="1">
        <f t="shared" si="97"/>
        <v>1</v>
      </c>
      <c r="N1275" s="1">
        <f t="shared" si="98"/>
        <v>1</v>
      </c>
      <c r="O1275" s="1" t="str">
        <f>IF(I1275=0,"UNUSED",IF(A1275="","MISSING ID",IF(K1275=0,"UNEXPECTED ID",IF(N1275&lt;&gt;1,"ID / ORDER DIFFERENCE",IF('Source build'!U1275&lt;&gt;"INCLUDED","EXCLUDED SOURCE",IF(NOT(M1275),"INVALID AMOUNT",IF('Source build'!Y1275&lt;&gt;0,"CHANGED FIELDS","MATCH")))))))</f>
        <v>MATCH</v>
      </c>
      <c r="P1275" s="1" t="str">
        <f t="shared" si="99"/>
        <v>2026-01</v>
      </c>
    </row>
    <row r="1276" spans="1:16" ht="18.95" customHeight="1">
      <c r="A1276" s="7" t="s">
        <v>3368</v>
      </c>
      <c r="B1276" s="7" t="s">
        <v>3366</v>
      </c>
      <c r="C1276" s="7" t="s">
        <v>121</v>
      </c>
      <c r="D1276" s="7" t="s">
        <v>93</v>
      </c>
      <c r="E1276" s="7" t="s">
        <v>46</v>
      </c>
      <c r="F1276" s="7" t="s">
        <v>98</v>
      </c>
      <c r="G1276" s="7" t="s">
        <v>3369</v>
      </c>
      <c r="I1276" s="1">
        <f t="shared" si="95"/>
        <v>1</v>
      </c>
      <c r="J1276" s="1" t="str">
        <f>'Source build'!A1276</f>
        <v>L01270</v>
      </c>
      <c r="K1276" s="1">
        <f>1276</f>
        <v>1276</v>
      </c>
      <c r="L1276" s="10">
        <f t="shared" si="96"/>
        <v>45808</v>
      </c>
      <c r="M1276" s="1">
        <f t="shared" si="97"/>
        <v>1</v>
      </c>
      <c r="N1276" s="1">
        <f t="shared" si="98"/>
        <v>1</v>
      </c>
      <c r="O1276" s="1" t="str">
        <f>IF(I1276=0,"UNUSED",IF(A1276="","MISSING ID",IF(K1276=0,"UNEXPECTED ID",IF(N1276&lt;&gt;1,"ID / ORDER DIFFERENCE",IF('Source build'!U1276&lt;&gt;"INCLUDED","EXCLUDED SOURCE",IF(NOT(M1276),"INVALID AMOUNT",IF('Source build'!Y1276&lt;&gt;0,"CHANGED FIELDS","MATCH")))))))</f>
        <v>MATCH</v>
      </c>
      <c r="P1276" s="1" t="str">
        <f t="shared" si="99"/>
        <v>2026-01</v>
      </c>
    </row>
    <row r="1277" spans="1:16" ht="18.95" customHeight="1">
      <c r="A1277" s="7" t="s">
        <v>3370</v>
      </c>
      <c r="B1277" s="7" t="s">
        <v>3371</v>
      </c>
      <c r="C1277" s="7" t="s">
        <v>127</v>
      </c>
      <c r="D1277" s="7" t="s">
        <v>97</v>
      </c>
      <c r="E1277" s="7" t="s">
        <v>47</v>
      </c>
      <c r="F1277" s="7" t="s">
        <v>98</v>
      </c>
      <c r="G1277" s="7" t="s">
        <v>3372</v>
      </c>
      <c r="I1277" s="1">
        <f t="shared" si="95"/>
        <v>1</v>
      </c>
      <c r="J1277" s="1" t="str">
        <f>'Source build'!A1277</f>
        <v>L01271</v>
      </c>
      <c r="K1277" s="1">
        <f>1277</f>
        <v>1277</v>
      </c>
      <c r="L1277" s="10">
        <f t="shared" si="96"/>
        <v>11489</v>
      </c>
      <c r="M1277" s="1">
        <f t="shared" si="97"/>
        <v>1</v>
      </c>
      <c r="N1277" s="1">
        <f t="shared" si="98"/>
        <v>1</v>
      </c>
      <c r="O1277" s="1" t="str">
        <f>IF(I1277=0,"UNUSED",IF(A1277="","MISSING ID",IF(K1277=0,"UNEXPECTED ID",IF(N1277&lt;&gt;1,"ID / ORDER DIFFERENCE",IF('Source build'!U1277&lt;&gt;"INCLUDED","EXCLUDED SOURCE",IF(NOT(M1277),"INVALID AMOUNT",IF('Source build'!Y1277&lt;&gt;0,"CHANGED FIELDS","MATCH")))))))</f>
        <v>MATCH</v>
      </c>
      <c r="P1277" s="1" t="str">
        <f t="shared" si="99"/>
        <v>2026-02</v>
      </c>
    </row>
    <row r="1278" spans="1:16" ht="18.95" customHeight="1">
      <c r="A1278" s="7" t="s">
        <v>3373</v>
      </c>
      <c r="B1278" s="7" t="s">
        <v>3371</v>
      </c>
      <c r="C1278" s="7" t="s">
        <v>127</v>
      </c>
      <c r="D1278" s="7" t="s">
        <v>103</v>
      </c>
      <c r="E1278" s="7" t="s">
        <v>48</v>
      </c>
      <c r="F1278" s="7" t="s">
        <v>98</v>
      </c>
      <c r="G1278" s="7" t="s">
        <v>3374</v>
      </c>
      <c r="I1278" s="1">
        <f t="shared" si="95"/>
        <v>1</v>
      </c>
      <c r="J1278" s="1" t="str">
        <f>'Source build'!A1278</f>
        <v>L01272</v>
      </c>
      <c r="K1278" s="1">
        <f>1278</f>
        <v>1278</v>
      </c>
      <c r="L1278" s="10">
        <f t="shared" si="96"/>
        <v>34578</v>
      </c>
      <c r="M1278" s="1">
        <f t="shared" si="97"/>
        <v>1</v>
      </c>
      <c r="N1278" s="1">
        <f t="shared" si="98"/>
        <v>1</v>
      </c>
      <c r="O1278" s="1" t="str">
        <f>IF(I1278=0,"UNUSED",IF(A1278="","MISSING ID",IF(K1278=0,"UNEXPECTED ID",IF(N1278&lt;&gt;1,"ID / ORDER DIFFERENCE",IF('Source build'!U1278&lt;&gt;"INCLUDED","EXCLUDED SOURCE",IF(NOT(M1278),"INVALID AMOUNT",IF('Source build'!Y1278&lt;&gt;0,"CHANGED FIELDS","MATCH")))))))</f>
        <v>MATCH</v>
      </c>
      <c r="P1278" s="1" t="str">
        <f t="shared" si="99"/>
        <v>2026-02</v>
      </c>
    </row>
    <row r="1279" spans="1:16" ht="18.95" customHeight="1">
      <c r="A1279" s="7" t="s">
        <v>3375</v>
      </c>
      <c r="B1279" s="7" t="s">
        <v>3376</v>
      </c>
      <c r="C1279" s="7" t="s">
        <v>133</v>
      </c>
      <c r="D1279" s="7" t="s">
        <v>93</v>
      </c>
      <c r="E1279" s="7" t="s">
        <v>46</v>
      </c>
      <c r="F1279" s="7" t="s">
        <v>98</v>
      </c>
      <c r="G1279" s="7" t="s">
        <v>3377</v>
      </c>
      <c r="I1279" s="1">
        <f t="shared" si="95"/>
        <v>1</v>
      </c>
      <c r="J1279" s="1" t="str">
        <f>'Source build'!A1279</f>
        <v>L01273</v>
      </c>
      <c r="K1279" s="1">
        <f>1279</f>
        <v>1279</v>
      </c>
      <c r="L1279" s="10">
        <f t="shared" si="96"/>
        <v>57815</v>
      </c>
      <c r="M1279" s="1">
        <f t="shared" si="97"/>
        <v>1</v>
      </c>
      <c r="N1279" s="1">
        <f t="shared" si="98"/>
        <v>1</v>
      </c>
      <c r="O1279" s="1" t="str">
        <f>IF(I1279=0,"UNUSED",IF(A1279="","MISSING ID",IF(K1279=0,"UNEXPECTED ID",IF(N1279&lt;&gt;1,"ID / ORDER DIFFERENCE",IF('Source build'!U1279&lt;&gt;"INCLUDED","EXCLUDED SOURCE",IF(NOT(M1279),"INVALID AMOUNT",IF('Source build'!Y1279&lt;&gt;0,"CHANGED FIELDS","MATCH")))))))</f>
        <v>MATCH</v>
      </c>
      <c r="P1279" s="1" t="str">
        <f t="shared" si="99"/>
        <v>2026-02</v>
      </c>
    </row>
    <row r="1280" spans="1:16" ht="18.95" customHeight="1">
      <c r="A1280" s="7" t="s">
        <v>3378</v>
      </c>
      <c r="B1280" s="7" t="s">
        <v>3376</v>
      </c>
      <c r="C1280" s="7" t="s">
        <v>133</v>
      </c>
      <c r="D1280" s="7" t="s">
        <v>97</v>
      </c>
      <c r="E1280" s="7" t="s">
        <v>47</v>
      </c>
      <c r="F1280" s="7" t="s">
        <v>98</v>
      </c>
      <c r="G1280" s="7" t="s">
        <v>3379</v>
      </c>
      <c r="I1280" s="1">
        <f t="shared" si="95"/>
        <v>1</v>
      </c>
      <c r="J1280" s="1" t="str">
        <f>'Source build'!A1280</f>
        <v>L01274</v>
      </c>
      <c r="K1280" s="1">
        <f>1280</f>
        <v>1280</v>
      </c>
      <c r="L1280" s="10">
        <f t="shared" si="96"/>
        <v>23200</v>
      </c>
      <c r="M1280" s="1">
        <f t="shared" si="97"/>
        <v>1</v>
      </c>
      <c r="N1280" s="1">
        <f t="shared" si="98"/>
        <v>1</v>
      </c>
      <c r="O1280" s="1" t="str">
        <f>IF(I1280=0,"UNUSED",IF(A1280="","MISSING ID",IF(K1280=0,"UNEXPECTED ID",IF(N1280&lt;&gt;1,"ID / ORDER DIFFERENCE",IF('Source build'!U1280&lt;&gt;"INCLUDED","EXCLUDED SOURCE",IF(NOT(M1280),"INVALID AMOUNT",IF('Source build'!Y1280&lt;&gt;0,"CHANGED FIELDS","MATCH")))))))</f>
        <v>MATCH</v>
      </c>
      <c r="P1280" s="1" t="str">
        <f t="shared" si="99"/>
        <v>2026-02</v>
      </c>
    </row>
    <row r="1281" spans="1:16" ht="18.95" customHeight="1">
      <c r="A1281" s="7" t="s">
        <v>3380</v>
      </c>
      <c r="B1281" s="7" t="s">
        <v>3381</v>
      </c>
      <c r="C1281" s="7" t="s">
        <v>139</v>
      </c>
      <c r="D1281" s="7" t="s">
        <v>103</v>
      </c>
      <c r="E1281" s="7" t="s">
        <v>48</v>
      </c>
      <c r="F1281" s="7" t="s">
        <v>98</v>
      </c>
      <c r="G1281" s="7" t="s">
        <v>3382</v>
      </c>
      <c r="I1281" s="1">
        <f t="shared" si="95"/>
        <v>1</v>
      </c>
      <c r="J1281" s="1" t="str">
        <f>'Source build'!A1281</f>
        <v>L01275</v>
      </c>
      <c r="K1281" s="1">
        <f>1281</f>
        <v>1281</v>
      </c>
      <c r="L1281" s="10">
        <f t="shared" si="96"/>
        <v>46548</v>
      </c>
      <c r="M1281" s="1">
        <f t="shared" si="97"/>
        <v>1</v>
      </c>
      <c r="N1281" s="1">
        <f t="shared" si="98"/>
        <v>1</v>
      </c>
      <c r="O1281" s="1" t="str">
        <f>IF(I1281=0,"UNUSED",IF(A1281="","MISSING ID",IF(K1281=0,"UNEXPECTED ID",IF(N1281&lt;&gt;1,"ID / ORDER DIFFERENCE",IF('Source build'!U1281&lt;&gt;"INCLUDED","EXCLUDED SOURCE",IF(NOT(M1281),"INVALID AMOUNT",IF('Source build'!Y1281&lt;&gt;0,"CHANGED FIELDS","MATCH")))))))</f>
        <v>MATCH</v>
      </c>
      <c r="P1281" s="1" t="str">
        <f t="shared" si="99"/>
        <v>2026-02</v>
      </c>
    </row>
    <row r="1282" spans="1:16" ht="18.95" customHeight="1">
      <c r="A1282" s="7" t="s">
        <v>3383</v>
      </c>
      <c r="B1282" s="7" t="s">
        <v>3381</v>
      </c>
      <c r="C1282" s="7" t="s">
        <v>139</v>
      </c>
      <c r="D1282" s="7" t="s">
        <v>93</v>
      </c>
      <c r="E1282" s="7" t="s">
        <v>46</v>
      </c>
      <c r="F1282" s="7" t="s">
        <v>98</v>
      </c>
      <c r="G1282" s="7" t="s">
        <v>3384</v>
      </c>
      <c r="I1282" s="1">
        <f t="shared" si="95"/>
        <v>1</v>
      </c>
      <c r="J1282" s="1" t="str">
        <f>'Source build'!A1282</f>
        <v>L01276</v>
      </c>
      <c r="K1282" s="1">
        <f>1282</f>
        <v>1282</v>
      </c>
      <c r="L1282" s="10">
        <f t="shared" si="96"/>
        <v>11674</v>
      </c>
      <c r="M1282" s="1">
        <f t="shared" si="97"/>
        <v>1</v>
      </c>
      <c r="N1282" s="1">
        <f t="shared" si="98"/>
        <v>1</v>
      </c>
      <c r="O1282" s="1" t="str">
        <f>IF(I1282=0,"UNUSED",IF(A1282="","MISSING ID",IF(K1282=0,"UNEXPECTED ID",IF(N1282&lt;&gt;1,"ID / ORDER DIFFERENCE",IF('Source build'!U1282&lt;&gt;"INCLUDED","EXCLUDED SOURCE",IF(NOT(M1282),"INVALID AMOUNT",IF('Source build'!Y1282&lt;&gt;0,"CHANGED FIELDS","MATCH")))))))</f>
        <v>MATCH</v>
      </c>
      <c r="P1282" s="1" t="str">
        <f t="shared" si="99"/>
        <v>2026-02</v>
      </c>
    </row>
    <row r="1283" spans="1:16" ht="18.95" customHeight="1">
      <c r="A1283" s="7" t="s">
        <v>3385</v>
      </c>
      <c r="B1283" s="7" t="s">
        <v>3386</v>
      </c>
      <c r="C1283" s="7" t="s">
        <v>145</v>
      </c>
      <c r="D1283" s="7" t="s">
        <v>97</v>
      </c>
      <c r="E1283" s="7" t="s">
        <v>47</v>
      </c>
      <c r="F1283" s="7" t="s">
        <v>98</v>
      </c>
      <c r="G1283" s="7" t="s">
        <v>3387</v>
      </c>
      <c r="I1283" s="1">
        <f t="shared" si="95"/>
        <v>1</v>
      </c>
      <c r="J1283" s="1" t="str">
        <f>'Source build'!A1283</f>
        <v>L01277</v>
      </c>
      <c r="K1283" s="1">
        <f>1283</f>
        <v>1283</v>
      </c>
      <c r="L1283" s="10">
        <f t="shared" si="96"/>
        <v>35133</v>
      </c>
      <c r="M1283" s="1">
        <f t="shared" si="97"/>
        <v>1</v>
      </c>
      <c r="N1283" s="1">
        <f t="shared" si="98"/>
        <v>1</v>
      </c>
      <c r="O1283" s="1" t="str">
        <f>IF(I1283=0,"UNUSED",IF(A1283="","MISSING ID",IF(K1283=0,"UNEXPECTED ID",IF(N1283&lt;&gt;1,"ID / ORDER DIFFERENCE",IF('Source build'!U1283&lt;&gt;"INCLUDED","EXCLUDED SOURCE",IF(NOT(M1283),"INVALID AMOUNT",IF('Source build'!Y1283&lt;&gt;0,"CHANGED FIELDS","MATCH")))))))</f>
        <v>MATCH</v>
      </c>
      <c r="P1283" s="1" t="str">
        <f t="shared" si="99"/>
        <v>2026-02</v>
      </c>
    </row>
    <row r="1284" spans="1:16" ht="18.95" customHeight="1">
      <c r="A1284" s="7" t="s">
        <v>3388</v>
      </c>
      <c r="B1284" s="7" t="s">
        <v>3386</v>
      </c>
      <c r="C1284" s="7" t="s">
        <v>145</v>
      </c>
      <c r="D1284" s="7" t="s">
        <v>103</v>
      </c>
      <c r="E1284" s="7" t="s">
        <v>48</v>
      </c>
      <c r="F1284" s="7" t="s">
        <v>98</v>
      </c>
      <c r="G1284" s="7" t="s">
        <v>3389</v>
      </c>
      <c r="I1284" s="1">
        <f t="shared" si="95"/>
        <v>1</v>
      </c>
      <c r="J1284" s="1" t="str">
        <f>'Source build'!A1284</f>
        <v>L01278</v>
      </c>
      <c r="K1284" s="1">
        <f>1284</f>
        <v>1284</v>
      </c>
      <c r="L1284" s="10">
        <f t="shared" si="96"/>
        <v>58740</v>
      </c>
      <c r="M1284" s="1">
        <f t="shared" si="97"/>
        <v>1</v>
      </c>
      <c r="N1284" s="1">
        <f t="shared" si="98"/>
        <v>1</v>
      </c>
      <c r="O1284" s="1" t="str">
        <f>IF(I1284=0,"UNUSED",IF(A1284="","MISSING ID",IF(K1284=0,"UNEXPECTED ID",IF(N1284&lt;&gt;1,"ID / ORDER DIFFERENCE",IF('Source build'!U1284&lt;&gt;"INCLUDED","EXCLUDED SOURCE",IF(NOT(M1284),"INVALID AMOUNT",IF('Source build'!Y1284&lt;&gt;0,"CHANGED FIELDS","MATCH")))))))</f>
        <v>MATCH</v>
      </c>
      <c r="P1284" s="1" t="str">
        <f t="shared" si="99"/>
        <v>2026-02</v>
      </c>
    </row>
    <row r="1285" spans="1:16" ht="18.95" customHeight="1">
      <c r="A1285" s="7" t="s">
        <v>3390</v>
      </c>
      <c r="B1285" s="7" t="s">
        <v>3391</v>
      </c>
      <c r="C1285" s="7" t="s">
        <v>151</v>
      </c>
      <c r="D1285" s="7" t="s">
        <v>93</v>
      </c>
      <c r="E1285" s="7" t="s">
        <v>46</v>
      </c>
      <c r="F1285" s="7" t="s">
        <v>98</v>
      </c>
      <c r="G1285" s="7" t="s">
        <v>3392</v>
      </c>
      <c r="I1285" s="1">
        <f t="shared" si="95"/>
        <v>1</v>
      </c>
      <c r="J1285" s="1" t="str">
        <f>'Source build'!A1285</f>
        <v>L01279</v>
      </c>
      <c r="K1285" s="1">
        <f>1285</f>
        <v>1285</v>
      </c>
      <c r="L1285" s="10">
        <f t="shared" si="96"/>
        <v>23570</v>
      </c>
      <c r="M1285" s="1">
        <f t="shared" si="97"/>
        <v>1</v>
      </c>
      <c r="N1285" s="1">
        <f t="shared" si="98"/>
        <v>1</v>
      </c>
      <c r="O1285" s="1" t="str">
        <f>IF(I1285=0,"UNUSED",IF(A1285="","MISSING ID",IF(K1285=0,"UNEXPECTED ID",IF(N1285&lt;&gt;1,"ID / ORDER DIFFERENCE",IF('Source build'!U1285&lt;&gt;"INCLUDED","EXCLUDED SOURCE",IF(NOT(M1285),"INVALID AMOUNT",IF('Source build'!Y1285&lt;&gt;0,"CHANGED FIELDS","MATCH")))))))</f>
        <v>MATCH</v>
      </c>
      <c r="P1285" s="1" t="str">
        <f t="shared" si="99"/>
        <v>2026-03</v>
      </c>
    </row>
    <row r="1286" spans="1:16" ht="18.95" customHeight="1">
      <c r="A1286" s="7" t="s">
        <v>3393</v>
      </c>
      <c r="B1286" s="7" t="s">
        <v>3391</v>
      </c>
      <c r="C1286" s="7" t="s">
        <v>151</v>
      </c>
      <c r="D1286" s="7" t="s">
        <v>97</v>
      </c>
      <c r="E1286" s="7" t="s">
        <v>47</v>
      </c>
      <c r="F1286" s="7" t="s">
        <v>98</v>
      </c>
      <c r="G1286" s="7" t="s">
        <v>3394</v>
      </c>
      <c r="I1286" s="1">
        <f t="shared" si="95"/>
        <v>1</v>
      </c>
      <c r="J1286" s="1" t="str">
        <f>'Source build'!A1286</f>
        <v>L01280</v>
      </c>
      <c r="K1286" s="1">
        <f>1286</f>
        <v>1286</v>
      </c>
      <c r="L1286" s="10">
        <f t="shared" si="96"/>
        <v>47288</v>
      </c>
      <c r="M1286" s="1">
        <f t="shared" si="97"/>
        <v>1</v>
      </c>
      <c r="N1286" s="1">
        <f t="shared" si="98"/>
        <v>1</v>
      </c>
      <c r="O1286" s="1" t="str">
        <f>IF(I1286=0,"UNUSED",IF(A1286="","MISSING ID",IF(K1286=0,"UNEXPECTED ID",IF(N1286&lt;&gt;1,"ID / ORDER DIFFERENCE",IF('Source build'!U1286&lt;&gt;"INCLUDED","EXCLUDED SOURCE",IF(NOT(M1286),"INVALID AMOUNT",IF('Source build'!Y1286&lt;&gt;0,"CHANGED FIELDS","MATCH")))))))</f>
        <v>MATCH</v>
      </c>
      <c r="P1286" s="1" t="str">
        <f t="shared" si="99"/>
        <v>2026-03</v>
      </c>
    </row>
    <row r="1287" spans="1:16" ht="18.95" customHeight="1">
      <c r="A1287" s="7" t="s">
        <v>3395</v>
      </c>
      <c r="B1287" s="7" t="s">
        <v>3396</v>
      </c>
      <c r="C1287" s="7" t="s">
        <v>157</v>
      </c>
      <c r="D1287" s="7" t="s">
        <v>103</v>
      </c>
      <c r="E1287" s="7" t="s">
        <v>48</v>
      </c>
      <c r="F1287" s="7" t="s">
        <v>98</v>
      </c>
      <c r="G1287" s="7" t="s">
        <v>3397</v>
      </c>
      <c r="I1287" s="1">
        <f t="shared" ref="I1287:I1350" si="100">IF(AND(A1287="",B1287="",C1287="",D1287="",E1287="",F1287="",G1287=""),0,1)</f>
        <v>1</v>
      </c>
      <c r="J1287" s="1" t="str">
        <f>'Source build'!A1287</f>
        <v>L01281</v>
      </c>
      <c r="K1287" s="1">
        <f>1287</f>
        <v>1287</v>
      </c>
      <c r="L1287" s="10">
        <f t="shared" ref="L1287:L1350" si="101">IFERROR(IF(ABS(VALUE(G1287)*100-ROUND(VALUE(G1287)*100,0))&lt;0.0000001,ROUND(VALUE(G1287)*100,0),0),0)</f>
        <v>11859</v>
      </c>
      <c r="M1287" s="1">
        <f t="shared" ref="M1287:M1350" si="102">--IF(I1287=0,TRUE,IF(TRIM(G1287)="",FALSE,IFERROR(AND(ISNUMBER(VALUE(G1287)),ABS(VALUE(G1287)*100-ROUND(VALUE(G1287)*100,0))&lt;0.0000001,OR(ISNUMBER(G1287),EXACT(G1287,TEXT(VALUE(G1287),"0.00"))),OR(AND(EXACT(F1287,"sale"),VALUE(G1287)&gt;0),AND(EXACT(F1287,"refund"),VALUE(G1287)&lt;0))),FALSE)))</f>
        <v>1</v>
      </c>
      <c r="N1287" s="1">
        <f t="shared" ref="N1287:N1350" si="103">IF(I1287=1,IF(EXACT(A1287,J1287),1,0),0)</f>
        <v>1</v>
      </c>
      <c r="O1287" s="1" t="str">
        <f>IF(I1287=0,"UNUSED",IF(A1287="","MISSING ID",IF(K1287=0,"UNEXPECTED ID",IF(N1287&lt;&gt;1,"ID / ORDER DIFFERENCE",IF('Source build'!U1287&lt;&gt;"INCLUDED","EXCLUDED SOURCE",IF(NOT(M1287),"INVALID AMOUNT",IF('Source build'!Y1287&lt;&gt;0,"CHANGED FIELDS","MATCH")))))))</f>
        <v>MATCH</v>
      </c>
      <c r="P1287" s="1" t="str">
        <f t="shared" ref="P1287:P1350" si="104">IF(I1287=1,LEFT(C1287,7),"")</f>
        <v>2026-03</v>
      </c>
    </row>
    <row r="1288" spans="1:16" ht="18.95" customHeight="1">
      <c r="A1288" s="7" t="s">
        <v>3398</v>
      </c>
      <c r="B1288" s="7" t="s">
        <v>3396</v>
      </c>
      <c r="C1288" s="7" t="s">
        <v>157</v>
      </c>
      <c r="D1288" s="7" t="s">
        <v>93</v>
      </c>
      <c r="E1288" s="7" t="s">
        <v>46</v>
      </c>
      <c r="F1288" s="7" t="s">
        <v>98</v>
      </c>
      <c r="G1288" s="7" t="s">
        <v>3399</v>
      </c>
      <c r="I1288" s="1">
        <f t="shared" si="100"/>
        <v>1</v>
      </c>
      <c r="J1288" s="1" t="str">
        <f>'Source build'!A1288</f>
        <v>L01282</v>
      </c>
      <c r="K1288" s="1">
        <f>1288</f>
        <v>1288</v>
      </c>
      <c r="L1288" s="10">
        <f t="shared" si="101"/>
        <v>35688</v>
      </c>
      <c r="M1288" s="1">
        <f t="shared" si="102"/>
        <v>1</v>
      </c>
      <c r="N1288" s="1">
        <f t="shared" si="103"/>
        <v>1</v>
      </c>
      <c r="O1288" s="1" t="str">
        <f>IF(I1288=0,"UNUSED",IF(A1288="","MISSING ID",IF(K1288=0,"UNEXPECTED ID",IF(N1288&lt;&gt;1,"ID / ORDER DIFFERENCE",IF('Source build'!U1288&lt;&gt;"INCLUDED","EXCLUDED SOURCE",IF(NOT(M1288),"INVALID AMOUNT",IF('Source build'!Y1288&lt;&gt;0,"CHANGED FIELDS","MATCH")))))))</f>
        <v>MATCH</v>
      </c>
      <c r="P1288" s="1" t="str">
        <f t="shared" si="104"/>
        <v>2026-03</v>
      </c>
    </row>
    <row r="1289" spans="1:16" ht="18.95" customHeight="1">
      <c r="A1289" s="7" t="s">
        <v>3400</v>
      </c>
      <c r="B1289" s="7" t="s">
        <v>3401</v>
      </c>
      <c r="C1289" s="7" t="s">
        <v>163</v>
      </c>
      <c r="D1289" s="7" t="s">
        <v>97</v>
      </c>
      <c r="E1289" s="7" t="s">
        <v>47</v>
      </c>
      <c r="F1289" s="7" t="s">
        <v>98</v>
      </c>
      <c r="G1289" s="7" t="s">
        <v>3402</v>
      </c>
      <c r="I1289" s="1">
        <f t="shared" si="100"/>
        <v>1</v>
      </c>
      <c r="J1289" s="1" t="str">
        <f>'Source build'!A1289</f>
        <v>L01283</v>
      </c>
      <c r="K1289" s="1">
        <f>1289</f>
        <v>1289</v>
      </c>
      <c r="L1289" s="10">
        <f t="shared" si="101"/>
        <v>59665</v>
      </c>
      <c r="M1289" s="1">
        <f t="shared" si="102"/>
        <v>1</v>
      </c>
      <c r="N1289" s="1">
        <f t="shared" si="103"/>
        <v>1</v>
      </c>
      <c r="O1289" s="1" t="str">
        <f>IF(I1289=0,"UNUSED",IF(A1289="","MISSING ID",IF(K1289=0,"UNEXPECTED ID",IF(N1289&lt;&gt;1,"ID / ORDER DIFFERENCE",IF('Source build'!U1289&lt;&gt;"INCLUDED","EXCLUDED SOURCE",IF(NOT(M1289),"INVALID AMOUNT",IF('Source build'!Y1289&lt;&gt;0,"CHANGED FIELDS","MATCH")))))))</f>
        <v>MATCH</v>
      </c>
      <c r="P1289" s="1" t="str">
        <f t="shared" si="104"/>
        <v>2026-03</v>
      </c>
    </row>
    <row r="1290" spans="1:16" ht="18.95" customHeight="1">
      <c r="A1290" s="7" t="s">
        <v>3403</v>
      </c>
      <c r="B1290" s="7" t="s">
        <v>3401</v>
      </c>
      <c r="C1290" s="7" t="s">
        <v>163</v>
      </c>
      <c r="D1290" s="7" t="s">
        <v>103</v>
      </c>
      <c r="E1290" s="7" t="s">
        <v>48</v>
      </c>
      <c r="F1290" s="7" t="s">
        <v>98</v>
      </c>
      <c r="G1290" s="7" t="s">
        <v>3404</v>
      </c>
      <c r="I1290" s="1">
        <f t="shared" si="100"/>
        <v>1</v>
      </c>
      <c r="J1290" s="1" t="str">
        <f>'Source build'!A1290</f>
        <v>L01284</v>
      </c>
      <c r="K1290" s="1">
        <f>1290</f>
        <v>1290</v>
      </c>
      <c r="L1290" s="10">
        <f t="shared" si="101"/>
        <v>23940</v>
      </c>
      <c r="M1290" s="1">
        <f t="shared" si="102"/>
        <v>1</v>
      </c>
      <c r="N1290" s="1">
        <f t="shared" si="103"/>
        <v>1</v>
      </c>
      <c r="O1290" s="1" t="str">
        <f>IF(I1290=0,"UNUSED",IF(A1290="","MISSING ID",IF(K1290=0,"UNEXPECTED ID",IF(N1290&lt;&gt;1,"ID / ORDER DIFFERENCE",IF('Source build'!U1290&lt;&gt;"INCLUDED","EXCLUDED SOURCE",IF(NOT(M1290),"INVALID AMOUNT",IF('Source build'!Y1290&lt;&gt;0,"CHANGED FIELDS","MATCH")))))))</f>
        <v>MATCH</v>
      </c>
      <c r="P1290" s="1" t="str">
        <f t="shared" si="104"/>
        <v>2026-03</v>
      </c>
    </row>
    <row r="1291" spans="1:16" ht="18.95" customHeight="1">
      <c r="A1291" s="7" t="s">
        <v>3405</v>
      </c>
      <c r="B1291" s="7" t="s">
        <v>3406</v>
      </c>
      <c r="C1291" s="7" t="s">
        <v>169</v>
      </c>
      <c r="D1291" s="7" t="s">
        <v>93</v>
      </c>
      <c r="E1291" s="7" t="s">
        <v>46</v>
      </c>
      <c r="F1291" s="7" t="s">
        <v>98</v>
      </c>
      <c r="G1291" s="7" t="s">
        <v>3407</v>
      </c>
      <c r="I1291" s="1">
        <f t="shared" si="100"/>
        <v>1</v>
      </c>
      <c r="J1291" s="1" t="str">
        <f>'Source build'!A1291</f>
        <v>L01285</v>
      </c>
      <c r="K1291" s="1">
        <f>1291</f>
        <v>1291</v>
      </c>
      <c r="L1291" s="10">
        <f t="shared" si="101"/>
        <v>48028</v>
      </c>
      <c r="M1291" s="1">
        <f t="shared" si="102"/>
        <v>1</v>
      </c>
      <c r="N1291" s="1">
        <f t="shared" si="103"/>
        <v>1</v>
      </c>
      <c r="O1291" s="1" t="str">
        <f>IF(I1291=0,"UNUSED",IF(A1291="","MISSING ID",IF(K1291=0,"UNEXPECTED ID",IF(N1291&lt;&gt;1,"ID / ORDER DIFFERENCE",IF('Source build'!U1291&lt;&gt;"INCLUDED","EXCLUDED SOURCE",IF(NOT(M1291),"INVALID AMOUNT",IF('Source build'!Y1291&lt;&gt;0,"CHANGED FIELDS","MATCH")))))))</f>
        <v>MATCH</v>
      </c>
      <c r="P1291" s="1" t="str">
        <f t="shared" si="104"/>
        <v>2026-03</v>
      </c>
    </row>
    <row r="1292" spans="1:16" ht="18.95" customHeight="1">
      <c r="A1292" s="7" t="s">
        <v>3408</v>
      </c>
      <c r="B1292" s="7" t="s">
        <v>3406</v>
      </c>
      <c r="C1292" s="7" t="s">
        <v>169</v>
      </c>
      <c r="D1292" s="7" t="s">
        <v>97</v>
      </c>
      <c r="E1292" s="7" t="s">
        <v>47</v>
      </c>
      <c r="F1292" s="7" t="s">
        <v>98</v>
      </c>
      <c r="G1292" s="7" t="s">
        <v>3409</v>
      </c>
      <c r="I1292" s="1">
        <f t="shared" si="100"/>
        <v>1</v>
      </c>
      <c r="J1292" s="1" t="str">
        <f>'Source build'!A1292</f>
        <v>L01286</v>
      </c>
      <c r="K1292" s="1">
        <f>1292</f>
        <v>1292</v>
      </c>
      <c r="L1292" s="10">
        <f t="shared" si="101"/>
        <v>12044</v>
      </c>
      <c r="M1292" s="1">
        <f t="shared" si="102"/>
        <v>1</v>
      </c>
      <c r="N1292" s="1">
        <f t="shared" si="103"/>
        <v>1</v>
      </c>
      <c r="O1292" s="1" t="str">
        <f>IF(I1292=0,"UNUSED",IF(A1292="","MISSING ID",IF(K1292=0,"UNEXPECTED ID",IF(N1292&lt;&gt;1,"ID / ORDER DIFFERENCE",IF('Source build'!U1292&lt;&gt;"INCLUDED","EXCLUDED SOURCE",IF(NOT(M1292),"INVALID AMOUNT",IF('Source build'!Y1292&lt;&gt;0,"CHANGED FIELDS","MATCH")))))))</f>
        <v>MATCH</v>
      </c>
      <c r="P1292" s="1" t="str">
        <f t="shared" si="104"/>
        <v>2026-03</v>
      </c>
    </row>
    <row r="1293" spans="1:16" ht="18.95" customHeight="1">
      <c r="A1293" s="7" t="s">
        <v>3410</v>
      </c>
      <c r="B1293" s="7" t="s">
        <v>3411</v>
      </c>
      <c r="C1293" s="7" t="s">
        <v>175</v>
      </c>
      <c r="D1293" s="7" t="s">
        <v>103</v>
      </c>
      <c r="E1293" s="7" t="s">
        <v>48</v>
      </c>
      <c r="F1293" s="7" t="s">
        <v>98</v>
      </c>
      <c r="G1293" s="7" t="s">
        <v>3412</v>
      </c>
      <c r="I1293" s="1">
        <f t="shared" si="100"/>
        <v>1</v>
      </c>
      <c r="J1293" s="1" t="str">
        <f>'Source build'!A1293</f>
        <v>L01287</v>
      </c>
      <c r="K1293" s="1">
        <f>1293</f>
        <v>1293</v>
      </c>
      <c r="L1293" s="10">
        <f t="shared" si="101"/>
        <v>36243</v>
      </c>
      <c r="M1293" s="1">
        <f t="shared" si="102"/>
        <v>1</v>
      </c>
      <c r="N1293" s="1">
        <f t="shared" si="103"/>
        <v>1</v>
      </c>
      <c r="O1293" s="1" t="str">
        <f>IF(I1293=0,"UNUSED",IF(A1293="","MISSING ID",IF(K1293=0,"UNEXPECTED ID",IF(N1293&lt;&gt;1,"ID / ORDER DIFFERENCE",IF('Source build'!U1293&lt;&gt;"INCLUDED","EXCLUDED SOURCE",IF(NOT(M1293),"INVALID AMOUNT",IF('Source build'!Y1293&lt;&gt;0,"CHANGED FIELDS","MATCH")))))))</f>
        <v>MATCH</v>
      </c>
      <c r="P1293" s="1" t="str">
        <f t="shared" si="104"/>
        <v>2026-01</v>
      </c>
    </row>
    <row r="1294" spans="1:16" ht="18.95" customHeight="1">
      <c r="A1294" s="7" t="s">
        <v>3413</v>
      </c>
      <c r="B1294" s="7" t="s">
        <v>3411</v>
      </c>
      <c r="C1294" s="7" t="s">
        <v>175</v>
      </c>
      <c r="D1294" s="7" t="s">
        <v>93</v>
      </c>
      <c r="E1294" s="7" t="s">
        <v>46</v>
      </c>
      <c r="F1294" s="7" t="s">
        <v>98</v>
      </c>
      <c r="G1294" s="7" t="s">
        <v>3414</v>
      </c>
      <c r="I1294" s="1">
        <f t="shared" si="100"/>
        <v>1</v>
      </c>
      <c r="J1294" s="1" t="str">
        <f>'Source build'!A1294</f>
        <v>L01288</v>
      </c>
      <c r="K1294" s="1">
        <f>1294</f>
        <v>1294</v>
      </c>
      <c r="L1294" s="10">
        <f t="shared" si="101"/>
        <v>60590</v>
      </c>
      <c r="M1294" s="1">
        <f t="shared" si="102"/>
        <v>1</v>
      </c>
      <c r="N1294" s="1">
        <f t="shared" si="103"/>
        <v>1</v>
      </c>
      <c r="O1294" s="1" t="str">
        <f>IF(I1294=0,"UNUSED",IF(A1294="","MISSING ID",IF(K1294=0,"UNEXPECTED ID",IF(N1294&lt;&gt;1,"ID / ORDER DIFFERENCE",IF('Source build'!U1294&lt;&gt;"INCLUDED","EXCLUDED SOURCE",IF(NOT(M1294),"INVALID AMOUNT",IF('Source build'!Y1294&lt;&gt;0,"CHANGED FIELDS","MATCH")))))))</f>
        <v>MATCH</v>
      </c>
      <c r="P1294" s="1" t="str">
        <f t="shared" si="104"/>
        <v>2026-01</v>
      </c>
    </row>
    <row r="1295" spans="1:16" ht="18.95" customHeight="1">
      <c r="A1295" s="7" t="s">
        <v>3415</v>
      </c>
      <c r="B1295" s="7" t="s">
        <v>3416</v>
      </c>
      <c r="C1295" s="7" t="s">
        <v>181</v>
      </c>
      <c r="D1295" s="7" t="s">
        <v>97</v>
      </c>
      <c r="E1295" s="7" t="s">
        <v>47</v>
      </c>
      <c r="F1295" s="7" t="s">
        <v>94</v>
      </c>
      <c r="G1295" s="7" t="s">
        <v>3417</v>
      </c>
      <c r="I1295" s="1">
        <f t="shared" si="100"/>
        <v>1</v>
      </c>
      <c r="J1295" s="1" t="str">
        <f>'Source build'!A1295</f>
        <v>L01289</v>
      </c>
      <c r="K1295" s="1">
        <f>1295</f>
        <v>1295</v>
      </c>
      <c r="L1295" s="10">
        <f t="shared" si="101"/>
        <v>-24310</v>
      </c>
      <c r="M1295" s="1">
        <f t="shared" si="102"/>
        <v>1</v>
      </c>
      <c r="N1295" s="1">
        <f t="shared" si="103"/>
        <v>1</v>
      </c>
      <c r="O1295" s="1" t="str">
        <f>IF(I1295=0,"UNUSED",IF(A1295="","MISSING ID",IF(K1295=0,"UNEXPECTED ID",IF(N1295&lt;&gt;1,"ID / ORDER DIFFERENCE",IF('Source build'!U1295&lt;&gt;"INCLUDED","EXCLUDED SOURCE",IF(NOT(M1295),"INVALID AMOUNT",IF('Source build'!Y1295&lt;&gt;0,"CHANGED FIELDS","MATCH")))))))</f>
        <v>MATCH</v>
      </c>
      <c r="P1295" s="1" t="str">
        <f t="shared" si="104"/>
        <v>2026-01</v>
      </c>
    </row>
    <row r="1296" spans="1:16" ht="18.95" customHeight="1">
      <c r="A1296" s="7" t="s">
        <v>3418</v>
      </c>
      <c r="B1296" s="7" t="s">
        <v>3416</v>
      </c>
      <c r="C1296" s="7" t="s">
        <v>181</v>
      </c>
      <c r="D1296" s="7" t="s">
        <v>103</v>
      </c>
      <c r="E1296" s="7" t="s">
        <v>48</v>
      </c>
      <c r="F1296" s="7" t="s">
        <v>98</v>
      </c>
      <c r="G1296" s="7" t="s">
        <v>3419</v>
      </c>
      <c r="I1296" s="1">
        <f t="shared" si="100"/>
        <v>1</v>
      </c>
      <c r="J1296" s="1" t="str">
        <f>'Source build'!A1296</f>
        <v>L01290</v>
      </c>
      <c r="K1296" s="1">
        <f>1296</f>
        <v>1296</v>
      </c>
      <c r="L1296" s="10">
        <f t="shared" si="101"/>
        <v>48768</v>
      </c>
      <c r="M1296" s="1">
        <f t="shared" si="102"/>
        <v>1</v>
      </c>
      <c r="N1296" s="1">
        <f t="shared" si="103"/>
        <v>1</v>
      </c>
      <c r="O1296" s="1" t="str">
        <f>IF(I1296=0,"UNUSED",IF(A1296="","MISSING ID",IF(K1296=0,"UNEXPECTED ID",IF(N1296&lt;&gt;1,"ID / ORDER DIFFERENCE",IF('Source build'!U1296&lt;&gt;"INCLUDED","EXCLUDED SOURCE",IF(NOT(M1296),"INVALID AMOUNT",IF('Source build'!Y1296&lt;&gt;0,"CHANGED FIELDS","MATCH")))))))</f>
        <v>MATCH</v>
      </c>
      <c r="P1296" s="1" t="str">
        <f t="shared" si="104"/>
        <v>2026-01</v>
      </c>
    </row>
    <row r="1297" spans="1:16" ht="18.95" customHeight="1">
      <c r="A1297" s="7" t="s">
        <v>3420</v>
      </c>
      <c r="B1297" s="7" t="s">
        <v>3421</v>
      </c>
      <c r="C1297" s="7" t="s">
        <v>187</v>
      </c>
      <c r="D1297" s="7" t="s">
        <v>93</v>
      </c>
      <c r="E1297" s="7" t="s">
        <v>46</v>
      </c>
      <c r="F1297" s="7" t="s">
        <v>98</v>
      </c>
      <c r="G1297" s="7" t="s">
        <v>3422</v>
      </c>
      <c r="I1297" s="1">
        <f t="shared" si="100"/>
        <v>1</v>
      </c>
      <c r="J1297" s="1" t="str">
        <f>'Source build'!A1297</f>
        <v>L01291</v>
      </c>
      <c r="K1297" s="1">
        <f>1297</f>
        <v>1297</v>
      </c>
      <c r="L1297" s="10">
        <f t="shared" si="101"/>
        <v>12229</v>
      </c>
      <c r="M1297" s="1">
        <f t="shared" si="102"/>
        <v>1</v>
      </c>
      <c r="N1297" s="1">
        <f t="shared" si="103"/>
        <v>1</v>
      </c>
      <c r="O1297" s="1" t="str">
        <f>IF(I1297=0,"UNUSED",IF(A1297="","MISSING ID",IF(K1297=0,"UNEXPECTED ID",IF(N1297&lt;&gt;1,"ID / ORDER DIFFERENCE",IF('Source build'!U1297&lt;&gt;"INCLUDED","EXCLUDED SOURCE",IF(NOT(M1297),"INVALID AMOUNT",IF('Source build'!Y1297&lt;&gt;0,"CHANGED FIELDS","MATCH")))))))</f>
        <v>MATCH</v>
      </c>
      <c r="P1297" s="1" t="str">
        <f t="shared" si="104"/>
        <v>2026-01</v>
      </c>
    </row>
    <row r="1298" spans="1:16" ht="18.95" customHeight="1">
      <c r="A1298" s="7" t="s">
        <v>3423</v>
      </c>
      <c r="B1298" s="7" t="s">
        <v>3421</v>
      </c>
      <c r="C1298" s="7" t="s">
        <v>187</v>
      </c>
      <c r="D1298" s="7" t="s">
        <v>97</v>
      </c>
      <c r="E1298" s="7" t="s">
        <v>47</v>
      </c>
      <c r="F1298" s="7" t="s">
        <v>98</v>
      </c>
      <c r="G1298" s="7" t="s">
        <v>3424</v>
      </c>
      <c r="I1298" s="1">
        <f t="shared" si="100"/>
        <v>1</v>
      </c>
      <c r="J1298" s="1" t="str">
        <f>'Source build'!A1298</f>
        <v>L01292</v>
      </c>
      <c r="K1298" s="1">
        <f>1298</f>
        <v>1298</v>
      </c>
      <c r="L1298" s="10">
        <f t="shared" si="101"/>
        <v>36798</v>
      </c>
      <c r="M1298" s="1">
        <f t="shared" si="102"/>
        <v>1</v>
      </c>
      <c r="N1298" s="1">
        <f t="shared" si="103"/>
        <v>1</v>
      </c>
      <c r="O1298" s="1" t="str">
        <f>IF(I1298=0,"UNUSED",IF(A1298="","MISSING ID",IF(K1298=0,"UNEXPECTED ID",IF(N1298&lt;&gt;1,"ID / ORDER DIFFERENCE",IF('Source build'!U1298&lt;&gt;"INCLUDED","EXCLUDED SOURCE",IF(NOT(M1298),"INVALID AMOUNT",IF('Source build'!Y1298&lt;&gt;0,"CHANGED FIELDS","MATCH")))))))</f>
        <v>MATCH</v>
      </c>
      <c r="P1298" s="1" t="str">
        <f t="shared" si="104"/>
        <v>2026-01</v>
      </c>
    </row>
    <row r="1299" spans="1:16" ht="18.95" customHeight="1">
      <c r="A1299" s="7" t="s">
        <v>3425</v>
      </c>
      <c r="B1299" s="7" t="s">
        <v>3426</v>
      </c>
      <c r="C1299" s="7" t="s">
        <v>193</v>
      </c>
      <c r="D1299" s="7" t="s">
        <v>103</v>
      </c>
      <c r="E1299" s="7" t="s">
        <v>48</v>
      </c>
      <c r="F1299" s="7" t="s">
        <v>98</v>
      </c>
      <c r="G1299" s="7" t="s">
        <v>3427</v>
      </c>
      <c r="I1299" s="1">
        <f t="shared" si="100"/>
        <v>1</v>
      </c>
      <c r="J1299" s="1" t="str">
        <f>'Source build'!A1299</f>
        <v>L01293</v>
      </c>
      <c r="K1299" s="1">
        <f>1299</f>
        <v>1299</v>
      </c>
      <c r="L1299" s="10">
        <f t="shared" si="101"/>
        <v>61515</v>
      </c>
      <c r="M1299" s="1">
        <f t="shared" si="102"/>
        <v>1</v>
      </c>
      <c r="N1299" s="1">
        <f t="shared" si="103"/>
        <v>1</v>
      </c>
      <c r="O1299" s="1" t="str">
        <f>IF(I1299=0,"UNUSED",IF(A1299="","MISSING ID",IF(K1299=0,"UNEXPECTED ID",IF(N1299&lt;&gt;1,"ID / ORDER DIFFERENCE",IF('Source build'!U1299&lt;&gt;"INCLUDED","EXCLUDED SOURCE",IF(NOT(M1299),"INVALID AMOUNT",IF('Source build'!Y1299&lt;&gt;0,"CHANGED FIELDS","MATCH")))))))</f>
        <v>MATCH</v>
      </c>
      <c r="P1299" s="1" t="str">
        <f t="shared" si="104"/>
        <v>2026-01</v>
      </c>
    </row>
    <row r="1300" spans="1:16" ht="18.95" customHeight="1">
      <c r="A1300" s="7" t="s">
        <v>3428</v>
      </c>
      <c r="B1300" s="7" t="s">
        <v>3426</v>
      </c>
      <c r="C1300" s="7" t="s">
        <v>193</v>
      </c>
      <c r="D1300" s="7" t="s">
        <v>93</v>
      </c>
      <c r="E1300" s="7" t="s">
        <v>46</v>
      </c>
      <c r="F1300" s="7" t="s">
        <v>98</v>
      </c>
      <c r="G1300" s="7" t="s">
        <v>3429</v>
      </c>
      <c r="I1300" s="1">
        <f t="shared" si="100"/>
        <v>1</v>
      </c>
      <c r="J1300" s="1" t="str">
        <f>'Source build'!A1300</f>
        <v>L01294</v>
      </c>
      <c r="K1300" s="1">
        <f>1300</f>
        <v>1300</v>
      </c>
      <c r="L1300" s="10">
        <f t="shared" si="101"/>
        <v>24680</v>
      </c>
      <c r="M1300" s="1">
        <f t="shared" si="102"/>
        <v>1</v>
      </c>
      <c r="N1300" s="1">
        <f t="shared" si="103"/>
        <v>1</v>
      </c>
      <c r="O1300" s="1" t="str">
        <f>IF(I1300=0,"UNUSED",IF(A1300="","MISSING ID",IF(K1300=0,"UNEXPECTED ID",IF(N1300&lt;&gt;1,"ID / ORDER DIFFERENCE",IF('Source build'!U1300&lt;&gt;"INCLUDED","EXCLUDED SOURCE",IF(NOT(M1300),"INVALID AMOUNT",IF('Source build'!Y1300&lt;&gt;0,"CHANGED FIELDS","MATCH")))))))</f>
        <v>MATCH</v>
      </c>
      <c r="P1300" s="1" t="str">
        <f t="shared" si="104"/>
        <v>2026-01</v>
      </c>
    </row>
    <row r="1301" spans="1:16" ht="18.95" customHeight="1">
      <c r="A1301" s="7" t="s">
        <v>3430</v>
      </c>
      <c r="B1301" s="7" t="s">
        <v>3431</v>
      </c>
      <c r="C1301" s="7" t="s">
        <v>200</v>
      </c>
      <c r="D1301" s="7" t="s">
        <v>97</v>
      </c>
      <c r="E1301" s="7" t="s">
        <v>47</v>
      </c>
      <c r="F1301" s="7" t="s">
        <v>98</v>
      </c>
      <c r="G1301" s="7" t="s">
        <v>3432</v>
      </c>
      <c r="I1301" s="1">
        <f t="shared" si="100"/>
        <v>1</v>
      </c>
      <c r="J1301" s="1" t="str">
        <f>'Source build'!A1301</f>
        <v>L01295</v>
      </c>
      <c r="K1301" s="1">
        <f>1301</f>
        <v>1301</v>
      </c>
      <c r="L1301" s="10">
        <f t="shared" si="101"/>
        <v>49508</v>
      </c>
      <c r="M1301" s="1">
        <f t="shared" si="102"/>
        <v>1</v>
      </c>
      <c r="N1301" s="1">
        <f t="shared" si="103"/>
        <v>1</v>
      </c>
      <c r="O1301" s="1" t="str">
        <f>IF(I1301=0,"UNUSED",IF(A1301="","MISSING ID",IF(K1301=0,"UNEXPECTED ID",IF(N1301&lt;&gt;1,"ID / ORDER DIFFERENCE",IF('Source build'!U1301&lt;&gt;"INCLUDED","EXCLUDED SOURCE",IF(NOT(M1301),"INVALID AMOUNT",IF('Source build'!Y1301&lt;&gt;0,"CHANGED FIELDS","MATCH")))))))</f>
        <v>MATCH</v>
      </c>
      <c r="P1301" s="1" t="str">
        <f t="shared" si="104"/>
        <v>2026-01</v>
      </c>
    </row>
    <row r="1302" spans="1:16" ht="18.95" customHeight="1">
      <c r="A1302" s="7" t="s">
        <v>3433</v>
      </c>
      <c r="B1302" s="7" t="s">
        <v>3431</v>
      </c>
      <c r="C1302" s="7" t="s">
        <v>200</v>
      </c>
      <c r="D1302" s="7" t="s">
        <v>103</v>
      </c>
      <c r="E1302" s="7" t="s">
        <v>48</v>
      </c>
      <c r="F1302" s="7" t="s">
        <v>98</v>
      </c>
      <c r="G1302" s="7" t="s">
        <v>3434</v>
      </c>
      <c r="I1302" s="1">
        <f t="shared" si="100"/>
        <v>1</v>
      </c>
      <c r="J1302" s="1" t="str">
        <f>'Source build'!A1302</f>
        <v>L01296</v>
      </c>
      <c r="K1302" s="1">
        <f>1302</f>
        <v>1302</v>
      </c>
      <c r="L1302" s="10">
        <f t="shared" si="101"/>
        <v>12414</v>
      </c>
      <c r="M1302" s="1">
        <f t="shared" si="102"/>
        <v>1</v>
      </c>
      <c r="N1302" s="1">
        <f t="shared" si="103"/>
        <v>1</v>
      </c>
      <c r="O1302" s="1" t="str">
        <f>IF(I1302=0,"UNUSED",IF(A1302="","MISSING ID",IF(K1302=0,"UNEXPECTED ID",IF(N1302&lt;&gt;1,"ID / ORDER DIFFERENCE",IF('Source build'!U1302&lt;&gt;"INCLUDED","EXCLUDED SOURCE",IF(NOT(M1302),"INVALID AMOUNT",IF('Source build'!Y1302&lt;&gt;0,"CHANGED FIELDS","MATCH")))))))</f>
        <v>MATCH</v>
      </c>
      <c r="P1302" s="1" t="str">
        <f t="shared" si="104"/>
        <v>2026-01</v>
      </c>
    </row>
    <row r="1303" spans="1:16" ht="18.95" customHeight="1">
      <c r="A1303" s="7" t="s">
        <v>3435</v>
      </c>
      <c r="B1303" s="7" t="s">
        <v>3436</v>
      </c>
      <c r="C1303" s="7" t="s">
        <v>206</v>
      </c>
      <c r="D1303" s="7" t="s">
        <v>93</v>
      </c>
      <c r="E1303" s="7" t="s">
        <v>46</v>
      </c>
      <c r="F1303" s="7" t="s">
        <v>98</v>
      </c>
      <c r="G1303" s="7" t="s">
        <v>3437</v>
      </c>
      <c r="I1303" s="1">
        <f t="shared" si="100"/>
        <v>1</v>
      </c>
      <c r="J1303" s="1" t="str">
        <f>'Source build'!A1303</f>
        <v>L01297</v>
      </c>
      <c r="K1303" s="1">
        <f>1303</f>
        <v>1303</v>
      </c>
      <c r="L1303" s="10">
        <f t="shared" si="101"/>
        <v>37353</v>
      </c>
      <c r="M1303" s="1">
        <f t="shared" si="102"/>
        <v>1</v>
      </c>
      <c r="N1303" s="1">
        <f t="shared" si="103"/>
        <v>1</v>
      </c>
      <c r="O1303" s="1" t="str">
        <f>IF(I1303=0,"UNUSED",IF(A1303="","MISSING ID",IF(K1303=0,"UNEXPECTED ID",IF(N1303&lt;&gt;1,"ID / ORDER DIFFERENCE",IF('Source build'!U1303&lt;&gt;"INCLUDED","EXCLUDED SOURCE",IF(NOT(M1303),"INVALID AMOUNT",IF('Source build'!Y1303&lt;&gt;0,"CHANGED FIELDS","MATCH")))))))</f>
        <v>MATCH</v>
      </c>
      <c r="P1303" s="1" t="str">
        <f t="shared" si="104"/>
        <v>2026-02</v>
      </c>
    </row>
    <row r="1304" spans="1:16" ht="18.95" customHeight="1">
      <c r="A1304" s="7" t="s">
        <v>3438</v>
      </c>
      <c r="B1304" s="7" t="s">
        <v>3436</v>
      </c>
      <c r="C1304" s="7" t="s">
        <v>206</v>
      </c>
      <c r="D1304" s="7" t="s">
        <v>97</v>
      </c>
      <c r="E1304" s="7" t="s">
        <v>47</v>
      </c>
      <c r="F1304" s="7" t="s">
        <v>98</v>
      </c>
      <c r="G1304" s="7" t="s">
        <v>3439</v>
      </c>
      <c r="I1304" s="1">
        <f t="shared" si="100"/>
        <v>1</v>
      </c>
      <c r="J1304" s="1" t="str">
        <f>'Source build'!A1304</f>
        <v>L01298</v>
      </c>
      <c r="K1304" s="1">
        <f>1304</f>
        <v>1304</v>
      </c>
      <c r="L1304" s="10">
        <f t="shared" si="101"/>
        <v>62440</v>
      </c>
      <c r="M1304" s="1">
        <f t="shared" si="102"/>
        <v>1</v>
      </c>
      <c r="N1304" s="1">
        <f t="shared" si="103"/>
        <v>1</v>
      </c>
      <c r="O1304" s="1" t="str">
        <f>IF(I1304=0,"UNUSED",IF(A1304="","MISSING ID",IF(K1304=0,"UNEXPECTED ID",IF(N1304&lt;&gt;1,"ID / ORDER DIFFERENCE",IF('Source build'!U1304&lt;&gt;"INCLUDED","EXCLUDED SOURCE",IF(NOT(M1304),"INVALID AMOUNT",IF('Source build'!Y1304&lt;&gt;0,"CHANGED FIELDS","MATCH")))))))</f>
        <v>MATCH</v>
      </c>
      <c r="P1304" s="1" t="str">
        <f t="shared" si="104"/>
        <v>2026-02</v>
      </c>
    </row>
    <row r="1305" spans="1:16" ht="18.95" customHeight="1">
      <c r="A1305" s="7" t="s">
        <v>3440</v>
      </c>
      <c r="B1305" s="7" t="s">
        <v>3441</v>
      </c>
      <c r="C1305" s="7" t="s">
        <v>212</v>
      </c>
      <c r="D1305" s="7" t="s">
        <v>103</v>
      </c>
      <c r="E1305" s="7" t="s">
        <v>48</v>
      </c>
      <c r="F1305" s="7" t="s">
        <v>98</v>
      </c>
      <c r="G1305" s="7" t="s">
        <v>3442</v>
      </c>
      <c r="I1305" s="1">
        <f t="shared" si="100"/>
        <v>1</v>
      </c>
      <c r="J1305" s="1" t="str">
        <f>'Source build'!A1305</f>
        <v>L01299</v>
      </c>
      <c r="K1305" s="1">
        <f>1305</f>
        <v>1305</v>
      </c>
      <c r="L1305" s="10">
        <f t="shared" si="101"/>
        <v>1050</v>
      </c>
      <c r="M1305" s="1">
        <f t="shared" si="102"/>
        <v>1</v>
      </c>
      <c r="N1305" s="1">
        <f t="shared" si="103"/>
        <v>1</v>
      </c>
      <c r="O1305" s="1" t="str">
        <f>IF(I1305=0,"UNUSED",IF(A1305="","MISSING ID",IF(K1305=0,"UNEXPECTED ID",IF(N1305&lt;&gt;1,"ID / ORDER DIFFERENCE",IF('Source build'!U1305&lt;&gt;"INCLUDED","EXCLUDED SOURCE",IF(NOT(M1305),"INVALID AMOUNT",IF('Source build'!Y1305&lt;&gt;0,"CHANGED FIELDS","MATCH")))))))</f>
        <v>MATCH</v>
      </c>
      <c r="P1305" s="1" t="str">
        <f t="shared" si="104"/>
        <v>2026-02</v>
      </c>
    </row>
    <row r="1306" spans="1:16" ht="18.95" customHeight="1">
      <c r="A1306" s="7" t="s">
        <v>3443</v>
      </c>
      <c r="B1306" s="7" t="s">
        <v>3441</v>
      </c>
      <c r="C1306" s="7" t="s">
        <v>212</v>
      </c>
      <c r="D1306" s="7" t="s">
        <v>93</v>
      </c>
      <c r="E1306" s="7" t="s">
        <v>46</v>
      </c>
      <c r="F1306" s="7" t="s">
        <v>98</v>
      </c>
      <c r="G1306" s="7" t="s">
        <v>3444</v>
      </c>
      <c r="I1306" s="1">
        <f t="shared" si="100"/>
        <v>1</v>
      </c>
      <c r="J1306" s="1" t="str">
        <f>'Source build'!A1306</f>
        <v>L01300</v>
      </c>
      <c r="K1306" s="1">
        <f>1306</f>
        <v>1306</v>
      </c>
      <c r="L1306" s="10">
        <f t="shared" si="101"/>
        <v>2248</v>
      </c>
      <c r="M1306" s="1">
        <f t="shared" si="102"/>
        <v>1</v>
      </c>
      <c r="N1306" s="1">
        <f t="shared" si="103"/>
        <v>1</v>
      </c>
      <c r="O1306" s="1" t="str">
        <f>IF(I1306=0,"UNUSED",IF(A1306="","MISSING ID",IF(K1306=0,"UNEXPECTED ID",IF(N1306&lt;&gt;1,"ID / ORDER DIFFERENCE",IF('Source build'!U1306&lt;&gt;"INCLUDED","EXCLUDED SOURCE",IF(NOT(M1306),"INVALID AMOUNT",IF('Source build'!Y1306&lt;&gt;0,"CHANGED FIELDS","MATCH")))))))</f>
        <v>MATCH</v>
      </c>
      <c r="P1306" s="1" t="str">
        <f t="shared" si="104"/>
        <v>2026-02</v>
      </c>
    </row>
    <row r="1307" spans="1:16" ht="18.95" customHeight="1">
      <c r="A1307" s="7" t="s">
        <v>3445</v>
      </c>
      <c r="B1307" s="7" t="s">
        <v>3446</v>
      </c>
      <c r="C1307" s="7" t="s">
        <v>218</v>
      </c>
      <c r="D1307" s="7" t="s">
        <v>97</v>
      </c>
      <c r="E1307" s="7" t="s">
        <v>47</v>
      </c>
      <c r="F1307" s="7" t="s">
        <v>98</v>
      </c>
      <c r="G1307" s="7" t="s">
        <v>3447</v>
      </c>
      <c r="I1307" s="1">
        <f t="shared" si="100"/>
        <v>1</v>
      </c>
      <c r="J1307" s="1" t="str">
        <f>'Source build'!A1307</f>
        <v>L01301</v>
      </c>
      <c r="K1307" s="1">
        <f>1307</f>
        <v>1307</v>
      </c>
      <c r="L1307" s="10">
        <f t="shared" si="101"/>
        <v>599</v>
      </c>
      <c r="M1307" s="1">
        <f t="shared" si="102"/>
        <v>1</v>
      </c>
      <c r="N1307" s="1">
        <f t="shared" si="103"/>
        <v>1</v>
      </c>
      <c r="O1307" s="1" t="str">
        <f>IF(I1307=0,"UNUSED",IF(A1307="","MISSING ID",IF(K1307=0,"UNEXPECTED ID",IF(N1307&lt;&gt;1,"ID / ORDER DIFFERENCE",IF('Source build'!U1307&lt;&gt;"INCLUDED","EXCLUDED SOURCE",IF(NOT(M1307),"INVALID AMOUNT",IF('Source build'!Y1307&lt;&gt;0,"CHANGED FIELDS","MATCH")))))))</f>
        <v>MATCH</v>
      </c>
      <c r="P1307" s="1" t="str">
        <f t="shared" si="104"/>
        <v>2026-02</v>
      </c>
    </row>
    <row r="1308" spans="1:16" ht="18.95" customHeight="1">
      <c r="A1308" s="7" t="s">
        <v>3448</v>
      </c>
      <c r="B1308" s="7" t="s">
        <v>3446</v>
      </c>
      <c r="C1308" s="7" t="s">
        <v>218</v>
      </c>
      <c r="D1308" s="7" t="s">
        <v>103</v>
      </c>
      <c r="E1308" s="7" t="s">
        <v>48</v>
      </c>
      <c r="F1308" s="7" t="s">
        <v>98</v>
      </c>
      <c r="G1308" s="7" t="s">
        <v>3449</v>
      </c>
      <c r="I1308" s="1">
        <f t="shared" si="100"/>
        <v>1</v>
      </c>
      <c r="J1308" s="1" t="str">
        <f>'Source build'!A1308</f>
        <v>L01302</v>
      </c>
      <c r="K1308" s="1">
        <f>1308</f>
        <v>1308</v>
      </c>
      <c r="L1308" s="10">
        <f t="shared" si="101"/>
        <v>1908</v>
      </c>
      <c r="M1308" s="1">
        <f t="shared" si="102"/>
        <v>1</v>
      </c>
      <c r="N1308" s="1">
        <f t="shared" si="103"/>
        <v>1</v>
      </c>
      <c r="O1308" s="1" t="str">
        <f>IF(I1308=0,"UNUSED",IF(A1308="","MISSING ID",IF(K1308=0,"UNEXPECTED ID",IF(N1308&lt;&gt;1,"ID / ORDER DIFFERENCE",IF('Source build'!U1308&lt;&gt;"INCLUDED","EXCLUDED SOURCE",IF(NOT(M1308),"INVALID AMOUNT",IF('Source build'!Y1308&lt;&gt;0,"CHANGED FIELDS","MATCH")))))))</f>
        <v>MATCH</v>
      </c>
      <c r="P1308" s="1" t="str">
        <f t="shared" si="104"/>
        <v>2026-02</v>
      </c>
    </row>
    <row r="1309" spans="1:16" ht="18.95" customHeight="1">
      <c r="A1309" s="7" t="s">
        <v>3450</v>
      </c>
      <c r="B1309" s="7" t="s">
        <v>3451</v>
      </c>
      <c r="C1309" s="7" t="s">
        <v>224</v>
      </c>
      <c r="D1309" s="7" t="s">
        <v>93</v>
      </c>
      <c r="E1309" s="7" t="s">
        <v>46</v>
      </c>
      <c r="F1309" s="7" t="s">
        <v>98</v>
      </c>
      <c r="G1309" s="7" t="s">
        <v>3452</v>
      </c>
      <c r="I1309" s="1">
        <f t="shared" si="100"/>
        <v>1</v>
      </c>
      <c r="J1309" s="1" t="str">
        <f>'Source build'!A1309</f>
        <v>L01303</v>
      </c>
      <c r="K1309" s="1">
        <f>1309</f>
        <v>1309</v>
      </c>
      <c r="L1309" s="10">
        <f t="shared" si="101"/>
        <v>3365</v>
      </c>
      <c r="M1309" s="1">
        <f t="shared" si="102"/>
        <v>1</v>
      </c>
      <c r="N1309" s="1">
        <f t="shared" si="103"/>
        <v>1</v>
      </c>
      <c r="O1309" s="1" t="str">
        <f>IF(I1309=0,"UNUSED",IF(A1309="","MISSING ID",IF(K1309=0,"UNEXPECTED ID",IF(N1309&lt;&gt;1,"ID / ORDER DIFFERENCE",IF('Source build'!U1309&lt;&gt;"INCLUDED","EXCLUDED SOURCE",IF(NOT(M1309),"INVALID AMOUNT",IF('Source build'!Y1309&lt;&gt;0,"CHANGED FIELDS","MATCH")))))))</f>
        <v>MATCH</v>
      </c>
      <c r="P1309" s="1" t="str">
        <f t="shared" si="104"/>
        <v>2026-02</v>
      </c>
    </row>
    <row r="1310" spans="1:16" ht="18.95" customHeight="1">
      <c r="A1310" s="7" t="s">
        <v>3453</v>
      </c>
      <c r="B1310" s="7" t="s">
        <v>3451</v>
      </c>
      <c r="C1310" s="7" t="s">
        <v>224</v>
      </c>
      <c r="D1310" s="7" t="s">
        <v>97</v>
      </c>
      <c r="E1310" s="7" t="s">
        <v>47</v>
      </c>
      <c r="F1310" s="7" t="s">
        <v>98</v>
      </c>
      <c r="G1310" s="7" t="s">
        <v>3454</v>
      </c>
      <c r="I1310" s="1">
        <f t="shared" si="100"/>
        <v>1</v>
      </c>
      <c r="J1310" s="1" t="str">
        <f>'Source build'!A1310</f>
        <v>L01304</v>
      </c>
      <c r="K1310" s="1">
        <f>1310</f>
        <v>1310</v>
      </c>
      <c r="L1310" s="10">
        <f t="shared" si="101"/>
        <v>1420</v>
      </c>
      <c r="M1310" s="1">
        <f t="shared" si="102"/>
        <v>1</v>
      </c>
      <c r="N1310" s="1">
        <f t="shared" si="103"/>
        <v>1</v>
      </c>
      <c r="O1310" s="1" t="str">
        <f>IF(I1310=0,"UNUSED",IF(A1310="","MISSING ID",IF(K1310=0,"UNEXPECTED ID",IF(N1310&lt;&gt;1,"ID / ORDER DIFFERENCE",IF('Source build'!U1310&lt;&gt;"INCLUDED","EXCLUDED SOURCE",IF(NOT(M1310),"INVALID AMOUNT",IF('Source build'!Y1310&lt;&gt;0,"CHANGED FIELDS","MATCH")))))))</f>
        <v>MATCH</v>
      </c>
      <c r="P1310" s="1" t="str">
        <f t="shared" si="104"/>
        <v>2026-02</v>
      </c>
    </row>
    <row r="1311" spans="1:16" ht="18.95" customHeight="1">
      <c r="A1311" s="7" t="s">
        <v>3455</v>
      </c>
      <c r="B1311" s="7" t="s">
        <v>3456</v>
      </c>
      <c r="C1311" s="7" t="s">
        <v>230</v>
      </c>
      <c r="D1311" s="7" t="s">
        <v>103</v>
      </c>
      <c r="E1311" s="7" t="s">
        <v>48</v>
      </c>
      <c r="F1311" s="7" t="s">
        <v>98</v>
      </c>
      <c r="G1311" s="7" t="s">
        <v>3457</v>
      </c>
      <c r="I1311" s="1">
        <f t="shared" si="100"/>
        <v>1</v>
      </c>
      <c r="J1311" s="1" t="str">
        <f>'Source build'!A1311</f>
        <v>L01305</v>
      </c>
      <c r="K1311" s="1">
        <f>1311</f>
        <v>1311</v>
      </c>
      <c r="L1311" s="10">
        <f t="shared" si="101"/>
        <v>2988</v>
      </c>
      <c r="M1311" s="1">
        <f t="shared" si="102"/>
        <v>1</v>
      </c>
      <c r="N1311" s="1">
        <f t="shared" si="103"/>
        <v>1</v>
      </c>
      <c r="O1311" s="1" t="str">
        <f>IF(I1311=0,"UNUSED",IF(A1311="","MISSING ID",IF(K1311=0,"UNEXPECTED ID",IF(N1311&lt;&gt;1,"ID / ORDER DIFFERENCE",IF('Source build'!U1311&lt;&gt;"INCLUDED","EXCLUDED SOURCE",IF(NOT(M1311),"INVALID AMOUNT",IF('Source build'!Y1311&lt;&gt;0,"CHANGED FIELDS","MATCH")))))))</f>
        <v>MATCH</v>
      </c>
      <c r="P1311" s="1" t="str">
        <f t="shared" si="104"/>
        <v>2026-03</v>
      </c>
    </row>
    <row r="1312" spans="1:16" ht="18.95" customHeight="1">
      <c r="A1312" s="7" t="s">
        <v>3458</v>
      </c>
      <c r="B1312" s="7" t="s">
        <v>3456</v>
      </c>
      <c r="C1312" s="7" t="s">
        <v>230</v>
      </c>
      <c r="D1312" s="7" t="s">
        <v>93</v>
      </c>
      <c r="E1312" s="7" t="s">
        <v>46</v>
      </c>
      <c r="F1312" s="7" t="s">
        <v>98</v>
      </c>
      <c r="G1312" s="7" t="s">
        <v>3459</v>
      </c>
      <c r="I1312" s="1">
        <f t="shared" si="100"/>
        <v>1</v>
      </c>
      <c r="J1312" s="1" t="str">
        <f>'Source build'!A1312</f>
        <v>L01306</v>
      </c>
      <c r="K1312" s="1">
        <f>1312</f>
        <v>1312</v>
      </c>
      <c r="L1312" s="10">
        <f t="shared" si="101"/>
        <v>784</v>
      </c>
      <c r="M1312" s="1">
        <f t="shared" si="102"/>
        <v>1</v>
      </c>
      <c r="N1312" s="1">
        <f t="shared" si="103"/>
        <v>1</v>
      </c>
      <c r="O1312" s="1" t="str">
        <f>IF(I1312=0,"UNUSED",IF(A1312="","MISSING ID",IF(K1312=0,"UNEXPECTED ID",IF(N1312&lt;&gt;1,"ID / ORDER DIFFERENCE",IF('Source build'!U1312&lt;&gt;"INCLUDED","EXCLUDED SOURCE",IF(NOT(M1312),"INVALID AMOUNT",IF('Source build'!Y1312&lt;&gt;0,"CHANGED FIELDS","MATCH")))))))</f>
        <v>MATCH</v>
      </c>
      <c r="P1312" s="1" t="str">
        <f t="shared" si="104"/>
        <v>2026-03</v>
      </c>
    </row>
    <row r="1313" spans="1:16" ht="18.95" customHeight="1">
      <c r="A1313" s="7" t="s">
        <v>3460</v>
      </c>
      <c r="B1313" s="7" t="s">
        <v>3461</v>
      </c>
      <c r="C1313" s="7" t="s">
        <v>236</v>
      </c>
      <c r="D1313" s="7" t="s">
        <v>97</v>
      </c>
      <c r="E1313" s="7" t="s">
        <v>47</v>
      </c>
      <c r="F1313" s="7" t="s">
        <v>98</v>
      </c>
      <c r="G1313" s="7" t="s">
        <v>3462</v>
      </c>
      <c r="I1313" s="1">
        <f t="shared" si="100"/>
        <v>1</v>
      </c>
      <c r="J1313" s="1" t="str">
        <f>'Source build'!A1313</f>
        <v>L01307</v>
      </c>
      <c r="K1313" s="1">
        <f>1313</f>
        <v>1313</v>
      </c>
      <c r="L1313" s="10">
        <f t="shared" si="101"/>
        <v>2463</v>
      </c>
      <c r="M1313" s="1">
        <f t="shared" si="102"/>
        <v>1</v>
      </c>
      <c r="N1313" s="1">
        <f t="shared" si="103"/>
        <v>1</v>
      </c>
      <c r="O1313" s="1" t="str">
        <f>IF(I1313=0,"UNUSED",IF(A1313="","MISSING ID",IF(K1313=0,"UNEXPECTED ID",IF(N1313&lt;&gt;1,"ID / ORDER DIFFERENCE",IF('Source build'!U1313&lt;&gt;"INCLUDED","EXCLUDED SOURCE",IF(NOT(M1313),"INVALID AMOUNT",IF('Source build'!Y1313&lt;&gt;0,"CHANGED FIELDS","MATCH")))))))</f>
        <v>MATCH</v>
      </c>
      <c r="P1313" s="1" t="str">
        <f t="shared" si="104"/>
        <v>2026-03</v>
      </c>
    </row>
    <row r="1314" spans="1:16" ht="18.95" customHeight="1">
      <c r="A1314" s="7" t="s">
        <v>3463</v>
      </c>
      <c r="B1314" s="7" t="s">
        <v>3461</v>
      </c>
      <c r="C1314" s="7" t="s">
        <v>236</v>
      </c>
      <c r="D1314" s="7" t="s">
        <v>103</v>
      </c>
      <c r="E1314" s="7" t="s">
        <v>48</v>
      </c>
      <c r="F1314" s="7" t="s">
        <v>98</v>
      </c>
      <c r="G1314" s="7" t="s">
        <v>3464</v>
      </c>
      <c r="I1314" s="1">
        <f t="shared" si="100"/>
        <v>1</v>
      </c>
      <c r="J1314" s="1" t="str">
        <f>'Source build'!A1314</f>
        <v>L01308</v>
      </c>
      <c r="K1314" s="1">
        <f>1314</f>
        <v>1314</v>
      </c>
      <c r="L1314" s="10">
        <f t="shared" si="101"/>
        <v>4290</v>
      </c>
      <c r="M1314" s="1">
        <f t="shared" si="102"/>
        <v>1</v>
      </c>
      <c r="N1314" s="1">
        <f t="shared" si="103"/>
        <v>1</v>
      </c>
      <c r="O1314" s="1" t="str">
        <f>IF(I1314=0,"UNUSED",IF(A1314="","MISSING ID",IF(K1314=0,"UNEXPECTED ID",IF(N1314&lt;&gt;1,"ID / ORDER DIFFERENCE",IF('Source build'!U1314&lt;&gt;"INCLUDED","EXCLUDED SOURCE",IF(NOT(M1314),"INVALID AMOUNT",IF('Source build'!Y1314&lt;&gt;0,"CHANGED FIELDS","MATCH")))))))</f>
        <v>MATCH</v>
      </c>
      <c r="P1314" s="1" t="str">
        <f t="shared" si="104"/>
        <v>2026-03</v>
      </c>
    </row>
    <row r="1315" spans="1:16" ht="18.95" customHeight="1">
      <c r="A1315" s="7" t="s">
        <v>3465</v>
      </c>
      <c r="B1315" s="7" t="s">
        <v>3466</v>
      </c>
      <c r="C1315" s="7" t="s">
        <v>242</v>
      </c>
      <c r="D1315" s="7" t="s">
        <v>93</v>
      </c>
      <c r="E1315" s="7" t="s">
        <v>46</v>
      </c>
      <c r="F1315" s="7" t="s">
        <v>98</v>
      </c>
      <c r="G1315" s="7" t="s">
        <v>3467</v>
      </c>
      <c r="I1315" s="1">
        <f t="shared" si="100"/>
        <v>1</v>
      </c>
      <c r="J1315" s="1" t="str">
        <f>'Source build'!A1315</f>
        <v>L01309</v>
      </c>
      <c r="K1315" s="1">
        <f>1315</f>
        <v>1315</v>
      </c>
      <c r="L1315" s="10">
        <f t="shared" si="101"/>
        <v>1790</v>
      </c>
      <c r="M1315" s="1">
        <f t="shared" si="102"/>
        <v>1</v>
      </c>
      <c r="N1315" s="1">
        <f t="shared" si="103"/>
        <v>1</v>
      </c>
      <c r="O1315" s="1" t="str">
        <f>IF(I1315=0,"UNUSED",IF(A1315="","MISSING ID",IF(K1315=0,"UNEXPECTED ID",IF(N1315&lt;&gt;1,"ID / ORDER DIFFERENCE",IF('Source build'!U1315&lt;&gt;"INCLUDED","EXCLUDED SOURCE",IF(NOT(M1315),"INVALID AMOUNT",IF('Source build'!Y1315&lt;&gt;0,"CHANGED FIELDS","MATCH")))))))</f>
        <v>MATCH</v>
      </c>
      <c r="P1315" s="1" t="str">
        <f t="shared" si="104"/>
        <v>2026-03</v>
      </c>
    </row>
    <row r="1316" spans="1:16" ht="18.95" customHeight="1">
      <c r="A1316" s="7" t="s">
        <v>3468</v>
      </c>
      <c r="B1316" s="7" t="s">
        <v>3466</v>
      </c>
      <c r="C1316" s="7" t="s">
        <v>242</v>
      </c>
      <c r="D1316" s="7" t="s">
        <v>97</v>
      </c>
      <c r="E1316" s="7" t="s">
        <v>47</v>
      </c>
      <c r="F1316" s="7" t="s">
        <v>98</v>
      </c>
      <c r="G1316" s="7" t="s">
        <v>3469</v>
      </c>
      <c r="I1316" s="1">
        <f t="shared" si="100"/>
        <v>1</v>
      </c>
      <c r="J1316" s="1" t="str">
        <f>'Source build'!A1316</f>
        <v>L01310</v>
      </c>
      <c r="K1316" s="1">
        <f>1316</f>
        <v>1316</v>
      </c>
      <c r="L1316" s="10">
        <f t="shared" si="101"/>
        <v>3728</v>
      </c>
      <c r="M1316" s="1">
        <f t="shared" si="102"/>
        <v>1</v>
      </c>
      <c r="N1316" s="1">
        <f t="shared" si="103"/>
        <v>1</v>
      </c>
      <c r="O1316" s="1" t="str">
        <f>IF(I1316=0,"UNUSED",IF(A1316="","MISSING ID",IF(K1316=0,"UNEXPECTED ID",IF(N1316&lt;&gt;1,"ID / ORDER DIFFERENCE",IF('Source build'!U1316&lt;&gt;"INCLUDED","EXCLUDED SOURCE",IF(NOT(M1316),"INVALID AMOUNT",IF('Source build'!Y1316&lt;&gt;0,"CHANGED FIELDS","MATCH")))))))</f>
        <v>MATCH</v>
      </c>
      <c r="P1316" s="1" t="str">
        <f t="shared" si="104"/>
        <v>2026-03</v>
      </c>
    </row>
    <row r="1317" spans="1:16" ht="18.95" customHeight="1">
      <c r="A1317" s="7" t="s">
        <v>3470</v>
      </c>
      <c r="B1317" s="7" t="s">
        <v>3471</v>
      </c>
      <c r="C1317" s="7" t="s">
        <v>248</v>
      </c>
      <c r="D1317" s="7" t="s">
        <v>103</v>
      </c>
      <c r="E1317" s="7" t="s">
        <v>48</v>
      </c>
      <c r="F1317" s="7" t="s">
        <v>98</v>
      </c>
      <c r="G1317" s="7" t="s">
        <v>3472</v>
      </c>
      <c r="I1317" s="1">
        <f t="shared" si="100"/>
        <v>1</v>
      </c>
      <c r="J1317" s="1" t="str">
        <f>'Source build'!A1317</f>
        <v>L01311</v>
      </c>
      <c r="K1317" s="1">
        <f>1317</f>
        <v>1317</v>
      </c>
      <c r="L1317" s="10">
        <f t="shared" si="101"/>
        <v>969</v>
      </c>
      <c r="M1317" s="1">
        <f t="shared" si="102"/>
        <v>1</v>
      </c>
      <c r="N1317" s="1">
        <f t="shared" si="103"/>
        <v>1</v>
      </c>
      <c r="O1317" s="1" t="str">
        <f>IF(I1317=0,"UNUSED",IF(A1317="","MISSING ID",IF(K1317=0,"UNEXPECTED ID",IF(N1317&lt;&gt;1,"ID / ORDER DIFFERENCE",IF('Source build'!U1317&lt;&gt;"INCLUDED","EXCLUDED SOURCE",IF(NOT(M1317),"INVALID AMOUNT",IF('Source build'!Y1317&lt;&gt;0,"CHANGED FIELDS","MATCH")))))))</f>
        <v>MATCH</v>
      </c>
      <c r="P1317" s="1" t="str">
        <f t="shared" si="104"/>
        <v>2026-03</v>
      </c>
    </row>
    <row r="1318" spans="1:16" ht="18.95" customHeight="1">
      <c r="A1318" s="7" t="s">
        <v>3473</v>
      </c>
      <c r="B1318" s="7" t="s">
        <v>3471</v>
      </c>
      <c r="C1318" s="7" t="s">
        <v>248</v>
      </c>
      <c r="D1318" s="7" t="s">
        <v>93</v>
      </c>
      <c r="E1318" s="7" t="s">
        <v>46</v>
      </c>
      <c r="F1318" s="7" t="s">
        <v>94</v>
      </c>
      <c r="G1318" s="7" t="s">
        <v>3474</v>
      </c>
      <c r="I1318" s="1">
        <f t="shared" si="100"/>
        <v>1</v>
      </c>
      <c r="J1318" s="1" t="str">
        <f>'Source build'!A1318</f>
        <v>L01312</v>
      </c>
      <c r="K1318" s="1">
        <f>1318</f>
        <v>1318</v>
      </c>
      <c r="L1318" s="10">
        <f t="shared" si="101"/>
        <v>-3018</v>
      </c>
      <c r="M1318" s="1">
        <f t="shared" si="102"/>
        <v>1</v>
      </c>
      <c r="N1318" s="1">
        <f t="shared" si="103"/>
        <v>1</v>
      </c>
      <c r="O1318" s="1" t="str">
        <f>IF(I1318=0,"UNUSED",IF(A1318="","MISSING ID",IF(K1318=0,"UNEXPECTED ID",IF(N1318&lt;&gt;1,"ID / ORDER DIFFERENCE",IF('Source build'!U1318&lt;&gt;"INCLUDED","EXCLUDED SOURCE",IF(NOT(M1318),"INVALID AMOUNT",IF('Source build'!Y1318&lt;&gt;0,"CHANGED FIELDS","MATCH")))))))</f>
        <v>MATCH</v>
      </c>
      <c r="P1318" s="1" t="str">
        <f t="shared" si="104"/>
        <v>2026-03</v>
      </c>
    </row>
    <row r="1319" spans="1:16" ht="18.95" customHeight="1">
      <c r="A1319" s="7" t="s">
        <v>3475</v>
      </c>
      <c r="B1319" s="7" t="s">
        <v>3476</v>
      </c>
      <c r="C1319" s="7" t="s">
        <v>254</v>
      </c>
      <c r="D1319" s="7" t="s">
        <v>97</v>
      </c>
      <c r="E1319" s="7" t="s">
        <v>47</v>
      </c>
      <c r="F1319" s="7" t="s">
        <v>98</v>
      </c>
      <c r="G1319" s="7" t="s">
        <v>3477</v>
      </c>
      <c r="I1319" s="1">
        <f t="shared" si="100"/>
        <v>1</v>
      </c>
      <c r="J1319" s="1" t="str">
        <f>'Source build'!A1319</f>
        <v>L01313</v>
      </c>
      <c r="K1319" s="1">
        <f>1319</f>
        <v>1319</v>
      </c>
      <c r="L1319" s="10">
        <f t="shared" si="101"/>
        <v>5215</v>
      </c>
      <c r="M1319" s="1">
        <f t="shared" si="102"/>
        <v>1</v>
      </c>
      <c r="N1319" s="1">
        <f t="shared" si="103"/>
        <v>1</v>
      </c>
      <c r="O1319" s="1" t="str">
        <f>IF(I1319=0,"UNUSED",IF(A1319="","MISSING ID",IF(K1319=0,"UNEXPECTED ID",IF(N1319&lt;&gt;1,"ID / ORDER DIFFERENCE",IF('Source build'!U1319&lt;&gt;"INCLUDED","EXCLUDED SOURCE",IF(NOT(M1319),"INVALID AMOUNT",IF('Source build'!Y1319&lt;&gt;0,"CHANGED FIELDS","MATCH")))))))</f>
        <v>MATCH</v>
      </c>
      <c r="P1319" s="1" t="str">
        <f t="shared" si="104"/>
        <v>2026-01</v>
      </c>
    </row>
    <row r="1320" spans="1:16" ht="18.95" customHeight="1">
      <c r="A1320" s="7" t="s">
        <v>3478</v>
      </c>
      <c r="B1320" s="7" t="s">
        <v>3476</v>
      </c>
      <c r="C1320" s="7" t="s">
        <v>254</v>
      </c>
      <c r="D1320" s="7" t="s">
        <v>103</v>
      </c>
      <c r="E1320" s="7" t="s">
        <v>48</v>
      </c>
      <c r="F1320" s="7" t="s">
        <v>98</v>
      </c>
      <c r="G1320" s="7" t="s">
        <v>3479</v>
      </c>
      <c r="I1320" s="1">
        <f t="shared" si="100"/>
        <v>1</v>
      </c>
      <c r="J1320" s="1" t="str">
        <f>'Source build'!A1320</f>
        <v>L01314</v>
      </c>
      <c r="K1320" s="1">
        <f>1320</f>
        <v>1320</v>
      </c>
      <c r="L1320" s="10">
        <f t="shared" si="101"/>
        <v>2160</v>
      </c>
      <c r="M1320" s="1">
        <f t="shared" si="102"/>
        <v>1</v>
      </c>
      <c r="N1320" s="1">
        <f t="shared" si="103"/>
        <v>1</v>
      </c>
      <c r="O1320" s="1" t="str">
        <f>IF(I1320=0,"UNUSED",IF(A1320="","MISSING ID",IF(K1320=0,"UNEXPECTED ID",IF(N1320&lt;&gt;1,"ID / ORDER DIFFERENCE",IF('Source build'!U1320&lt;&gt;"INCLUDED","EXCLUDED SOURCE",IF(NOT(M1320),"INVALID AMOUNT",IF('Source build'!Y1320&lt;&gt;0,"CHANGED FIELDS","MATCH")))))))</f>
        <v>MATCH</v>
      </c>
      <c r="P1320" s="1" t="str">
        <f t="shared" si="104"/>
        <v>2026-01</v>
      </c>
    </row>
    <row r="1321" spans="1:16" ht="18.95" customHeight="1">
      <c r="A1321" s="7" t="s">
        <v>3480</v>
      </c>
      <c r="B1321" s="7" t="s">
        <v>3481</v>
      </c>
      <c r="C1321" s="7" t="s">
        <v>260</v>
      </c>
      <c r="D1321" s="7" t="s">
        <v>93</v>
      </c>
      <c r="E1321" s="7" t="s">
        <v>46</v>
      </c>
      <c r="F1321" s="7" t="s">
        <v>98</v>
      </c>
      <c r="G1321" s="7" t="s">
        <v>3482</v>
      </c>
      <c r="I1321" s="1">
        <f t="shared" si="100"/>
        <v>1</v>
      </c>
      <c r="J1321" s="1" t="str">
        <f>'Source build'!A1321</f>
        <v>L01315</v>
      </c>
      <c r="K1321" s="1">
        <f>1321</f>
        <v>1321</v>
      </c>
      <c r="L1321" s="10">
        <f t="shared" si="101"/>
        <v>4468</v>
      </c>
      <c r="M1321" s="1">
        <f t="shared" si="102"/>
        <v>1</v>
      </c>
      <c r="N1321" s="1">
        <f t="shared" si="103"/>
        <v>1</v>
      </c>
      <c r="O1321" s="1" t="str">
        <f>IF(I1321=0,"UNUSED",IF(A1321="","MISSING ID",IF(K1321=0,"UNEXPECTED ID",IF(N1321&lt;&gt;1,"ID / ORDER DIFFERENCE",IF('Source build'!U1321&lt;&gt;"INCLUDED","EXCLUDED SOURCE",IF(NOT(M1321),"INVALID AMOUNT",IF('Source build'!Y1321&lt;&gt;0,"CHANGED FIELDS","MATCH")))))))</f>
        <v>MATCH</v>
      </c>
      <c r="P1321" s="1" t="str">
        <f t="shared" si="104"/>
        <v>2026-01</v>
      </c>
    </row>
    <row r="1322" spans="1:16" ht="18.95" customHeight="1">
      <c r="A1322" s="7" t="s">
        <v>3483</v>
      </c>
      <c r="B1322" s="7" t="s">
        <v>3481</v>
      </c>
      <c r="C1322" s="7" t="s">
        <v>260</v>
      </c>
      <c r="D1322" s="7" t="s">
        <v>97</v>
      </c>
      <c r="E1322" s="7" t="s">
        <v>47</v>
      </c>
      <c r="F1322" s="7" t="s">
        <v>98</v>
      </c>
      <c r="G1322" s="7" t="s">
        <v>3484</v>
      </c>
      <c r="I1322" s="1">
        <f t="shared" si="100"/>
        <v>1</v>
      </c>
      <c r="J1322" s="1" t="str">
        <f>'Source build'!A1322</f>
        <v>L01316</v>
      </c>
      <c r="K1322" s="1">
        <f>1322</f>
        <v>1322</v>
      </c>
      <c r="L1322" s="10">
        <f t="shared" si="101"/>
        <v>1154</v>
      </c>
      <c r="M1322" s="1">
        <f t="shared" si="102"/>
        <v>1</v>
      </c>
      <c r="N1322" s="1">
        <f t="shared" si="103"/>
        <v>1</v>
      </c>
      <c r="O1322" s="1" t="str">
        <f>IF(I1322=0,"UNUSED",IF(A1322="","MISSING ID",IF(K1322=0,"UNEXPECTED ID",IF(N1322&lt;&gt;1,"ID / ORDER DIFFERENCE",IF('Source build'!U1322&lt;&gt;"INCLUDED","EXCLUDED SOURCE",IF(NOT(M1322),"INVALID AMOUNT",IF('Source build'!Y1322&lt;&gt;0,"CHANGED FIELDS","MATCH")))))))</f>
        <v>MATCH</v>
      </c>
      <c r="P1322" s="1" t="str">
        <f t="shared" si="104"/>
        <v>2026-01</v>
      </c>
    </row>
    <row r="1323" spans="1:16" ht="18.95" customHeight="1">
      <c r="A1323" s="7" t="s">
        <v>3485</v>
      </c>
      <c r="B1323" s="7" t="s">
        <v>3486</v>
      </c>
      <c r="C1323" s="7" t="s">
        <v>266</v>
      </c>
      <c r="D1323" s="7" t="s">
        <v>103</v>
      </c>
      <c r="E1323" s="7" t="s">
        <v>48</v>
      </c>
      <c r="F1323" s="7" t="s">
        <v>98</v>
      </c>
      <c r="G1323" s="7" t="s">
        <v>3487</v>
      </c>
      <c r="I1323" s="1">
        <f t="shared" si="100"/>
        <v>1</v>
      </c>
      <c r="J1323" s="1" t="str">
        <f>'Source build'!A1323</f>
        <v>L01317</v>
      </c>
      <c r="K1323" s="1">
        <f>1323</f>
        <v>1323</v>
      </c>
      <c r="L1323" s="10">
        <f t="shared" si="101"/>
        <v>3573</v>
      </c>
      <c r="M1323" s="1">
        <f t="shared" si="102"/>
        <v>1</v>
      </c>
      <c r="N1323" s="1">
        <f t="shared" si="103"/>
        <v>1</v>
      </c>
      <c r="O1323" s="1" t="str">
        <f>IF(I1323=0,"UNUSED",IF(A1323="","MISSING ID",IF(K1323=0,"UNEXPECTED ID",IF(N1323&lt;&gt;1,"ID / ORDER DIFFERENCE",IF('Source build'!U1323&lt;&gt;"INCLUDED","EXCLUDED SOURCE",IF(NOT(M1323),"INVALID AMOUNT",IF('Source build'!Y1323&lt;&gt;0,"CHANGED FIELDS","MATCH")))))))</f>
        <v>MATCH</v>
      </c>
      <c r="P1323" s="1" t="str">
        <f t="shared" si="104"/>
        <v>2026-01</v>
      </c>
    </row>
    <row r="1324" spans="1:16" ht="18.95" customHeight="1">
      <c r="A1324" s="7" t="s">
        <v>3488</v>
      </c>
      <c r="B1324" s="7" t="s">
        <v>3486</v>
      </c>
      <c r="C1324" s="7" t="s">
        <v>266</v>
      </c>
      <c r="D1324" s="7" t="s">
        <v>93</v>
      </c>
      <c r="E1324" s="7" t="s">
        <v>46</v>
      </c>
      <c r="F1324" s="7" t="s">
        <v>98</v>
      </c>
      <c r="G1324" s="7" t="s">
        <v>3489</v>
      </c>
      <c r="I1324" s="1">
        <f t="shared" si="100"/>
        <v>1</v>
      </c>
      <c r="J1324" s="1" t="str">
        <f>'Source build'!A1324</f>
        <v>L01318</v>
      </c>
      <c r="K1324" s="1">
        <f>1324</f>
        <v>1324</v>
      </c>
      <c r="L1324" s="10">
        <f t="shared" si="101"/>
        <v>6140</v>
      </c>
      <c r="M1324" s="1">
        <f t="shared" si="102"/>
        <v>1</v>
      </c>
      <c r="N1324" s="1">
        <f t="shared" si="103"/>
        <v>1</v>
      </c>
      <c r="O1324" s="1" t="str">
        <f>IF(I1324=0,"UNUSED",IF(A1324="","MISSING ID",IF(K1324=0,"UNEXPECTED ID",IF(N1324&lt;&gt;1,"ID / ORDER DIFFERENCE",IF('Source build'!U1324&lt;&gt;"INCLUDED","EXCLUDED SOURCE",IF(NOT(M1324),"INVALID AMOUNT",IF('Source build'!Y1324&lt;&gt;0,"CHANGED FIELDS","MATCH")))))))</f>
        <v>MATCH</v>
      </c>
      <c r="P1324" s="1" t="str">
        <f t="shared" si="104"/>
        <v>2026-01</v>
      </c>
    </row>
    <row r="1325" spans="1:16" ht="18.95" customHeight="1">
      <c r="A1325" s="7" t="s">
        <v>3490</v>
      </c>
      <c r="B1325" s="7" t="s">
        <v>3491</v>
      </c>
      <c r="C1325" s="7" t="s">
        <v>272</v>
      </c>
      <c r="D1325" s="7" t="s">
        <v>97</v>
      </c>
      <c r="E1325" s="7" t="s">
        <v>47</v>
      </c>
      <c r="F1325" s="7" t="s">
        <v>98</v>
      </c>
      <c r="G1325" s="7" t="s">
        <v>3492</v>
      </c>
      <c r="I1325" s="1">
        <f t="shared" si="100"/>
        <v>1</v>
      </c>
      <c r="J1325" s="1" t="str">
        <f>'Source build'!A1325</f>
        <v>L01319</v>
      </c>
      <c r="K1325" s="1">
        <f>1325</f>
        <v>1325</v>
      </c>
      <c r="L1325" s="10">
        <f t="shared" si="101"/>
        <v>2530</v>
      </c>
      <c r="M1325" s="1">
        <f t="shared" si="102"/>
        <v>1</v>
      </c>
      <c r="N1325" s="1">
        <f t="shared" si="103"/>
        <v>1</v>
      </c>
      <c r="O1325" s="1" t="str">
        <f>IF(I1325=0,"UNUSED",IF(A1325="","MISSING ID",IF(K1325=0,"UNEXPECTED ID",IF(N1325&lt;&gt;1,"ID / ORDER DIFFERENCE",IF('Source build'!U1325&lt;&gt;"INCLUDED","EXCLUDED SOURCE",IF(NOT(M1325),"INVALID AMOUNT",IF('Source build'!Y1325&lt;&gt;0,"CHANGED FIELDS","MATCH")))))))</f>
        <v>MATCH</v>
      </c>
      <c r="P1325" s="1" t="str">
        <f t="shared" si="104"/>
        <v>2026-01</v>
      </c>
    </row>
    <row r="1326" spans="1:16" ht="18.95" customHeight="1">
      <c r="A1326" s="7" t="s">
        <v>3493</v>
      </c>
      <c r="B1326" s="7" t="s">
        <v>3491</v>
      </c>
      <c r="C1326" s="7" t="s">
        <v>272</v>
      </c>
      <c r="D1326" s="7" t="s">
        <v>103</v>
      </c>
      <c r="E1326" s="7" t="s">
        <v>48</v>
      </c>
      <c r="F1326" s="7" t="s">
        <v>98</v>
      </c>
      <c r="G1326" s="7" t="s">
        <v>3494</v>
      </c>
      <c r="I1326" s="1">
        <f t="shared" si="100"/>
        <v>1</v>
      </c>
      <c r="J1326" s="1" t="str">
        <f>'Source build'!A1326</f>
        <v>L01320</v>
      </c>
      <c r="K1326" s="1">
        <f>1326</f>
        <v>1326</v>
      </c>
      <c r="L1326" s="10">
        <f t="shared" si="101"/>
        <v>5208</v>
      </c>
      <c r="M1326" s="1">
        <f t="shared" si="102"/>
        <v>1</v>
      </c>
      <c r="N1326" s="1">
        <f t="shared" si="103"/>
        <v>1</v>
      </c>
      <c r="O1326" s="1" t="str">
        <f>IF(I1326=0,"UNUSED",IF(A1326="","MISSING ID",IF(K1326=0,"UNEXPECTED ID",IF(N1326&lt;&gt;1,"ID / ORDER DIFFERENCE",IF('Source build'!U1326&lt;&gt;"INCLUDED","EXCLUDED SOURCE",IF(NOT(M1326),"INVALID AMOUNT",IF('Source build'!Y1326&lt;&gt;0,"CHANGED FIELDS","MATCH")))))))</f>
        <v>MATCH</v>
      </c>
      <c r="P1326" s="1" t="str">
        <f t="shared" si="104"/>
        <v>2026-01</v>
      </c>
    </row>
    <row r="1327" spans="1:16" ht="18.95" customHeight="1">
      <c r="A1327" s="7" t="s">
        <v>3495</v>
      </c>
      <c r="B1327" s="7" t="s">
        <v>3496</v>
      </c>
      <c r="C1327" s="7" t="s">
        <v>278</v>
      </c>
      <c r="D1327" s="7" t="s">
        <v>93</v>
      </c>
      <c r="E1327" s="7" t="s">
        <v>46</v>
      </c>
      <c r="F1327" s="7" t="s">
        <v>98</v>
      </c>
      <c r="G1327" s="7" t="s">
        <v>3497</v>
      </c>
      <c r="I1327" s="1">
        <f t="shared" si="100"/>
        <v>1</v>
      </c>
      <c r="J1327" s="1" t="str">
        <f>'Source build'!A1327</f>
        <v>L01321</v>
      </c>
      <c r="K1327" s="1">
        <f>1327</f>
        <v>1327</v>
      </c>
      <c r="L1327" s="10">
        <f t="shared" si="101"/>
        <v>1339</v>
      </c>
      <c r="M1327" s="1">
        <f t="shared" si="102"/>
        <v>1</v>
      </c>
      <c r="N1327" s="1">
        <f t="shared" si="103"/>
        <v>1</v>
      </c>
      <c r="O1327" s="1" t="str">
        <f>IF(I1327=0,"UNUSED",IF(A1327="","MISSING ID",IF(K1327=0,"UNEXPECTED ID",IF(N1327&lt;&gt;1,"ID / ORDER DIFFERENCE",IF('Source build'!U1327&lt;&gt;"INCLUDED","EXCLUDED SOURCE",IF(NOT(M1327),"INVALID AMOUNT",IF('Source build'!Y1327&lt;&gt;0,"CHANGED FIELDS","MATCH")))))))</f>
        <v>MATCH</v>
      </c>
      <c r="P1327" s="1" t="str">
        <f t="shared" si="104"/>
        <v>2026-01</v>
      </c>
    </row>
    <row r="1328" spans="1:16" ht="18.95" customHeight="1">
      <c r="A1328" s="7" t="s">
        <v>3498</v>
      </c>
      <c r="B1328" s="7" t="s">
        <v>3496</v>
      </c>
      <c r="C1328" s="7" t="s">
        <v>278</v>
      </c>
      <c r="D1328" s="7" t="s">
        <v>97</v>
      </c>
      <c r="E1328" s="7" t="s">
        <v>47</v>
      </c>
      <c r="F1328" s="7" t="s">
        <v>98</v>
      </c>
      <c r="G1328" s="7" t="s">
        <v>3499</v>
      </c>
      <c r="I1328" s="1">
        <f t="shared" si="100"/>
        <v>1</v>
      </c>
      <c r="J1328" s="1" t="str">
        <f>'Source build'!A1328</f>
        <v>L01322</v>
      </c>
      <c r="K1328" s="1">
        <f>1328</f>
        <v>1328</v>
      </c>
      <c r="L1328" s="10">
        <f t="shared" si="101"/>
        <v>4128</v>
      </c>
      <c r="M1328" s="1">
        <f t="shared" si="102"/>
        <v>1</v>
      </c>
      <c r="N1328" s="1">
        <f t="shared" si="103"/>
        <v>1</v>
      </c>
      <c r="O1328" s="1" t="str">
        <f>IF(I1328=0,"UNUSED",IF(A1328="","MISSING ID",IF(K1328=0,"UNEXPECTED ID",IF(N1328&lt;&gt;1,"ID / ORDER DIFFERENCE",IF('Source build'!U1328&lt;&gt;"INCLUDED","EXCLUDED SOURCE",IF(NOT(M1328),"INVALID AMOUNT",IF('Source build'!Y1328&lt;&gt;0,"CHANGED FIELDS","MATCH")))))))</f>
        <v>MATCH</v>
      </c>
      <c r="P1328" s="1" t="str">
        <f t="shared" si="104"/>
        <v>2026-01</v>
      </c>
    </row>
    <row r="1329" spans="1:16" ht="18.95" customHeight="1">
      <c r="A1329" s="7" t="s">
        <v>3500</v>
      </c>
      <c r="B1329" s="7" t="s">
        <v>3501</v>
      </c>
      <c r="C1329" s="7" t="s">
        <v>284</v>
      </c>
      <c r="D1329" s="7" t="s">
        <v>103</v>
      </c>
      <c r="E1329" s="7" t="s">
        <v>48</v>
      </c>
      <c r="F1329" s="7" t="s">
        <v>98</v>
      </c>
      <c r="G1329" s="7" t="s">
        <v>3502</v>
      </c>
      <c r="I1329" s="1">
        <f t="shared" si="100"/>
        <v>1</v>
      </c>
      <c r="J1329" s="1" t="str">
        <f>'Source build'!A1329</f>
        <v>L01323</v>
      </c>
      <c r="K1329" s="1">
        <f>1329</f>
        <v>1329</v>
      </c>
      <c r="L1329" s="10">
        <f t="shared" si="101"/>
        <v>7065</v>
      </c>
      <c r="M1329" s="1">
        <f t="shared" si="102"/>
        <v>1</v>
      </c>
      <c r="N1329" s="1">
        <f t="shared" si="103"/>
        <v>1</v>
      </c>
      <c r="O1329" s="1" t="str">
        <f>IF(I1329=0,"UNUSED",IF(A1329="","MISSING ID",IF(K1329=0,"UNEXPECTED ID",IF(N1329&lt;&gt;1,"ID / ORDER DIFFERENCE",IF('Source build'!U1329&lt;&gt;"INCLUDED","EXCLUDED SOURCE",IF(NOT(M1329),"INVALID AMOUNT",IF('Source build'!Y1329&lt;&gt;0,"CHANGED FIELDS","MATCH")))))))</f>
        <v>MATCH</v>
      </c>
      <c r="P1329" s="1" t="str">
        <f t="shared" si="104"/>
        <v>2026-02</v>
      </c>
    </row>
    <row r="1330" spans="1:16" ht="18.95" customHeight="1">
      <c r="A1330" s="7" t="s">
        <v>3503</v>
      </c>
      <c r="B1330" s="7" t="s">
        <v>3501</v>
      </c>
      <c r="C1330" s="7" t="s">
        <v>284</v>
      </c>
      <c r="D1330" s="7" t="s">
        <v>93</v>
      </c>
      <c r="E1330" s="7" t="s">
        <v>46</v>
      </c>
      <c r="F1330" s="7" t="s">
        <v>98</v>
      </c>
      <c r="G1330" s="7" t="s">
        <v>3504</v>
      </c>
      <c r="I1330" s="1">
        <f t="shared" si="100"/>
        <v>1</v>
      </c>
      <c r="J1330" s="1" t="str">
        <f>'Source build'!A1330</f>
        <v>L01324</v>
      </c>
      <c r="K1330" s="1">
        <f>1330</f>
        <v>1330</v>
      </c>
      <c r="L1330" s="10">
        <f t="shared" si="101"/>
        <v>2900</v>
      </c>
      <c r="M1330" s="1">
        <f t="shared" si="102"/>
        <v>1</v>
      </c>
      <c r="N1330" s="1">
        <f t="shared" si="103"/>
        <v>1</v>
      </c>
      <c r="O1330" s="1" t="str">
        <f>IF(I1330=0,"UNUSED",IF(A1330="","MISSING ID",IF(K1330=0,"UNEXPECTED ID",IF(N1330&lt;&gt;1,"ID / ORDER DIFFERENCE",IF('Source build'!U1330&lt;&gt;"INCLUDED","EXCLUDED SOURCE",IF(NOT(M1330),"INVALID AMOUNT",IF('Source build'!Y1330&lt;&gt;0,"CHANGED FIELDS","MATCH")))))))</f>
        <v>MATCH</v>
      </c>
      <c r="P1330" s="1" t="str">
        <f t="shared" si="104"/>
        <v>2026-02</v>
      </c>
    </row>
    <row r="1331" spans="1:16" ht="18.95" customHeight="1">
      <c r="A1331" s="7" t="s">
        <v>3505</v>
      </c>
      <c r="B1331" s="7" t="s">
        <v>3506</v>
      </c>
      <c r="C1331" s="7" t="s">
        <v>290</v>
      </c>
      <c r="D1331" s="7" t="s">
        <v>97</v>
      </c>
      <c r="E1331" s="7" t="s">
        <v>47</v>
      </c>
      <c r="F1331" s="7" t="s">
        <v>98</v>
      </c>
      <c r="G1331" s="7" t="s">
        <v>3507</v>
      </c>
      <c r="I1331" s="1">
        <f t="shared" si="100"/>
        <v>1</v>
      </c>
      <c r="J1331" s="1" t="str">
        <f>'Source build'!A1331</f>
        <v>L01325</v>
      </c>
      <c r="K1331" s="1">
        <f>1331</f>
        <v>1331</v>
      </c>
      <c r="L1331" s="10">
        <f t="shared" si="101"/>
        <v>5948</v>
      </c>
      <c r="M1331" s="1">
        <f t="shared" si="102"/>
        <v>1</v>
      </c>
      <c r="N1331" s="1">
        <f t="shared" si="103"/>
        <v>1</v>
      </c>
      <c r="O1331" s="1" t="str">
        <f>IF(I1331=0,"UNUSED",IF(A1331="","MISSING ID",IF(K1331=0,"UNEXPECTED ID",IF(N1331&lt;&gt;1,"ID / ORDER DIFFERENCE",IF('Source build'!U1331&lt;&gt;"INCLUDED","EXCLUDED SOURCE",IF(NOT(M1331),"INVALID AMOUNT",IF('Source build'!Y1331&lt;&gt;0,"CHANGED FIELDS","MATCH")))))))</f>
        <v>MATCH</v>
      </c>
      <c r="P1331" s="1" t="str">
        <f t="shared" si="104"/>
        <v>2026-02</v>
      </c>
    </row>
    <row r="1332" spans="1:16" ht="18.95" customHeight="1">
      <c r="A1332" s="7" t="s">
        <v>3508</v>
      </c>
      <c r="B1332" s="7" t="s">
        <v>3506</v>
      </c>
      <c r="C1332" s="7" t="s">
        <v>290</v>
      </c>
      <c r="D1332" s="7" t="s">
        <v>103</v>
      </c>
      <c r="E1332" s="7" t="s">
        <v>48</v>
      </c>
      <c r="F1332" s="7" t="s">
        <v>98</v>
      </c>
      <c r="G1332" s="7" t="s">
        <v>3509</v>
      </c>
      <c r="I1332" s="1">
        <f t="shared" si="100"/>
        <v>1</v>
      </c>
      <c r="J1332" s="1" t="str">
        <f>'Source build'!A1332</f>
        <v>L01326</v>
      </c>
      <c r="K1332" s="1">
        <f>1332</f>
        <v>1332</v>
      </c>
      <c r="L1332" s="10">
        <f t="shared" si="101"/>
        <v>1524</v>
      </c>
      <c r="M1332" s="1">
        <f t="shared" si="102"/>
        <v>1</v>
      </c>
      <c r="N1332" s="1">
        <f t="shared" si="103"/>
        <v>1</v>
      </c>
      <c r="O1332" s="1" t="str">
        <f>IF(I1332=0,"UNUSED",IF(A1332="","MISSING ID",IF(K1332=0,"UNEXPECTED ID",IF(N1332&lt;&gt;1,"ID / ORDER DIFFERENCE",IF('Source build'!U1332&lt;&gt;"INCLUDED","EXCLUDED SOURCE",IF(NOT(M1332),"INVALID AMOUNT",IF('Source build'!Y1332&lt;&gt;0,"CHANGED FIELDS","MATCH")))))))</f>
        <v>MATCH</v>
      </c>
      <c r="P1332" s="1" t="str">
        <f t="shared" si="104"/>
        <v>2026-02</v>
      </c>
    </row>
    <row r="1333" spans="1:16" ht="18.95" customHeight="1">
      <c r="A1333" s="7" t="s">
        <v>3510</v>
      </c>
      <c r="B1333" s="7" t="s">
        <v>3511</v>
      </c>
      <c r="C1333" s="7" t="s">
        <v>296</v>
      </c>
      <c r="D1333" s="7" t="s">
        <v>93</v>
      </c>
      <c r="E1333" s="7" t="s">
        <v>46</v>
      </c>
      <c r="F1333" s="7" t="s">
        <v>98</v>
      </c>
      <c r="G1333" s="7" t="s">
        <v>3512</v>
      </c>
      <c r="I1333" s="1">
        <f t="shared" si="100"/>
        <v>1</v>
      </c>
      <c r="J1333" s="1" t="str">
        <f>'Source build'!A1333</f>
        <v>L01327</v>
      </c>
      <c r="K1333" s="1">
        <f>1333</f>
        <v>1333</v>
      </c>
      <c r="L1333" s="10">
        <f t="shared" si="101"/>
        <v>4683</v>
      </c>
      <c r="M1333" s="1">
        <f t="shared" si="102"/>
        <v>1</v>
      </c>
      <c r="N1333" s="1">
        <f t="shared" si="103"/>
        <v>1</v>
      </c>
      <c r="O1333" s="1" t="str">
        <f>IF(I1333=0,"UNUSED",IF(A1333="","MISSING ID",IF(K1333=0,"UNEXPECTED ID",IF(N1333&lt;&gt;1,"ID / ORDER DIFFERENCE",IF('Source build'!U1333&lt;&gt;"INCLUDED","EXCLUDED SOURCE",IF(NOT(M1333),"INVALID AMOUNT",IF('Source build'!Y1333&lt;&gt;0,"CHANGED FIELDS","MATCH")))))))</f>
        <v>MATCH</v>
      </c>
      <c r="P1333" s="1" t="str">
        <f t="shared" si="104"/>
        <v>2026-02</v>
      </c>
    </row>
    <row r="1334" spans="1:16" ht="18.95" customHeight="1">
      <c r="A1334" s="7" t="s">
        <v>3513</v>
      </c>
      <c r="B1334" s="7" t="s">
        <v>3511</v>
      </c>
      <c r="C1334" s="7" t="s">
        <v>296</v>
      </c>
      <c r="D1334" s="7" t="s">
        <v>97</v>
      </c>
      <c r="E1334" s="7" t="s">
        <v>47</v>
      </c>
      <c r="F1334" s="7" t="s">
        <v>98</v>
      </c>
      <c r="G1334" s="7" t="s">
        <v>3514</v>
      </c>
      <c r="I1334" s="1">
        <f t="shared" si="100"/>
        <v>1</v>
      </c>
      <c r="J1334" s="1" t="str">
        <f>'Source build'!A1334</f>
        <v>L01328</v>
      </c>
      <c r="K1334" s="1">
        <f>1334</f>
        <v>1334</v>
      </c>
      <c r="L1334" s="10">
        <f t="shared" si="101"/>
        <v>7990</v>
      </c>
      <c r="M1334" s="1">
        <f t="shared" si="102"/>
        <v>1</v>
      </c>
      <c r="N1334" s="1">
        <f t="shared" si="103"/>
        <v>1</v>
      </c>
      <c r="O1334" s="1" t="str">
        <f>IF(I1334=0,"UNUSED",IF(A1334="","MISSING ID",IF(K1334=0,"UNEXPECTED ID",IF(N1334&lt;&gt;1,"ID / ORDER DIFFERENCE",IF('Source build'!U1334&lt;&gt;"INCLUDED","EXCLUDED SOURCE",IF(NOT(M1334),"INVALID AMOUNT",IF('Source build'!Y1334&lt;&gt;0,"CHANGED FIELDS","MATCH")))))))</f>
        <v>MATCH</v>
      </c>
      <c r="P1334" s="1" t="str">
        <f t="shared" si="104"/>
        <v>2026-02</v>
      </c>
    </row>
    <row r="1335" spans="1:16" ht="18.95" customHeight="1">
      <c r="A1335" s="7" t="s">
        <v>3515</v>
      </c>
      <c r="B1335" s="7" t="s">
        <v>3516</v>
      </c>
      <c r="C1335" s="7" t="s">
        <v>302</v>
      </c>
      <c r="D1335" s="7" t="s">
        <v>103</v>
      </c>
      <c r="E1335" s="7" t="s">
        <v>48</v>
      </c>
      <c r="F1335" s="7" t="s">
        <v>98</v>
      </c>
      <c r="G1335" s="7" t="s">
        <v>3517</v>
      </c>
      <c r="I1335" s="1">
        <f t="shared" si="100"/>
        <v>1</v>
      </c>
      <c r="J1335" s="1" t="str">
        <f>'Source build'!A1335</f>
        <v>L01329</v>
      </c>
      <c r="K1335" s="1">
        <f>1335</f>
        <v>1335</v>
      </c>
      <c r="L1335" s="10">
        <f t="shared" si="101"/>
        <v>3270</v>
      </c>
      <c r="M1335" s="1">
        <f t="shared" si="102"/>
        <v>1</v>
      </c>
      <c r="N1335" s="1">
        <f t="shared" si="103"/>
        <v>1</v>
      </c>
      <c r="O1335" s="1" t="str">
        <f>IF(I1335=0,"UNUSED",IF(A1335="","MISSING ID",IF(K1335=0,"UNEXPECTED ID",IF(N1335&lt;&gt;1,"ID / ORDER DIFFERENCE",IF('Source build'!U1335&lt;&gt;"INCLUDED","EXCLUDED SOURCE",IF(NOT(M1335),"INVALID AMOUNT",IF('Source build'!Y1335&lt;&gt;0,"CHANGED FIELDS","MATCH")))))))</f>
        <v>MATCH</v>
      </c>
      <c r="P1335" s="1" t="str">
        <f t="shared" si="104"/>
        <v>2026-02</v>
      </c>
    </row>
    <row r="1336" spans="1:16" ht="18.95" customHeight="1">
      <c r="A1336" s="7" t="s">
        <v>3518</v>
      </c>
      <c r="B1336" s="7" t="s">
        <v>3516</v>
      </c>
      <c r="C1336" s="7" t="s">
        <v>302</v>
      </c>
      <c r="D1336" s="7" t="s">
        <v>93</v>
      </c>
      <c r="E1336" s="7" t="s">
        <v>46</v>
      </c>
      <c r="F1336" s="7" t="s">
        <v>98</v>
      </c>
      <c r="G1336" s="7" t="s">
        <v>3519</v>
      </c>
      <c r="I1336" s="1">
        <f t="shared" si="100"/>
        <v>1</v>
      </c>
      <c r="J1336" s="1" t="str">
        <f>'Source build'!A1336</f>
        <v>L01330</v>
      </c>
      <c r="K1336" s="1">
        <f>1336</f>
        <v>1336</v>
      </c>
      <c r="L1336" s="10">
        <f t="shared" si="101"/>
        <v>6688</v>
      </c>
      <c r="M1336" s="1">
        <f t="shared" si="102"/>
        <v>1</v>
      </c>
      <c r="N1336" s="1">
        <f t="shared" si="103"/>
        <v>1</v>
      </c>
      <c r="O1336" s="1" t="str">
        <f>IF(I1336=0,"UNUSED",IF(A1336="","MISSING ID",IF(K1336=0,"UNEXPECTED ID",IF(N1336&lt;&gt;1,"ID / ORDER DIFFERENCE",IF('Source build'!U1336&lt;&gt;"INCLUDED","EXCLUDED SOURCE",IF(NOT(M1336),"INVALID AMOUNT",IF('Source build'!Y1336&lt;&gt;0,"CHANGED FIELDS","MATCH")))))))</f>
        <v>MATCH</v>
      </c>
      <c r="P1336" s="1" t="str">
        <f t="shared" si="104"/>
        <v>2026-02</v>
      </c>
    </row>
    <row r="1337" spans="1:16" ht="18.95" customHeight="1">
      <c r="A1337" s="7" t="s">
        <v>3520</v>
      </c>
      <c r="B1337" s="7" t="s">
        <v>3521</v>
      </c>
      <c r="C1337" s="7" t="s">
        <v>308</v>
      </c>
      <c r="D1337" s="7" t="s">
        <v>97</v>
      </c>
      <c r="E1337" s="7" t="s">
        <v>47</v>
      </c>
      <c r="F1337" s="7" t="s">
        <v>98</v>
      </c>
      <c r="G1337" s="7" t="s">
        <v>3522</v>
      </c>
      <c r="I1337" s="1">
        <f t="shared" si="100"/>
        <v>1</v>
      </c>
      <c r="J1337" s="1" t="str">
        <f>'Source build'!A1337</f>
        <v>L01331</v>
      </c>
      <c r="K1337" s="1">
        <f>1337</f>
        <v>1337</v>
      </c>
      <c r="L1337" s="10">
        <f t="shared" si="101"/>
        <v>1709</v>
      </c>
      <c r="M1337" s="1">
        <f t="shared" si="102"/>
        <v>1</v>
      </c>
      <c r="N1337" s="1">
        <f t="shared" si="103"/>
        <v>1</v>
      </c>
      <c r="O1337" s="1" t="str">
        <f>IF(I1337=0,"UNUSED",IF(A1337="","MISSING ID",IF(K1337=0,"UNEXPECTED ID",IF(N1337&lt;&gt;1,"ID / ORDER DIFFERENCE",IF('Source build'!U1337&lt;&gt;"INCLUDED","EXCLUDED SOURCE",IF(NOT(M1337),"INVALID AMOUNT",IF('Source build'!Y1337&lt;&gt;0,"CHANGED FIELDS","MATCH")))))))</f>
        <v>MATCH</v>
      </c>
      <c r="P1337" s="1" t="str">
        <f t="shared" si="104"/>
        <v>2026-03</v>
      </c>
    </row>
    <row r="1338" spans="1:16" ht="18.95" customHeight="1">
      <c r="A1338" s="7" t="s">
        <v>3523</v>
      </c>
      <c r="B1338" s="7" t="s">
        <v>3521</v>
      </c>
      <c r="C1338" s="7" t="s">
        <v>308</v>
      </c>
      <c r="D1338" s="7" t="s">
        <v>103</v>
      </c>
      <c r="E1338" s="7" t="s">
        <v>48</v>
      </c>
      <c r="F1338" s="7" t="s">
        <v>98</v>
      </c>
      <c r="G1338" s="7" t="s">
        <v>3524</v>
      </c>
      <c r="I1338" s="1">
        <f t="shared" si="100"/>
        <v>1</v>
      </c>
      <c r="J1338" s="1" t="str">
        <f>'Source build'!A1338</f>
        <v>L01332</v>
      </c>
      <c r="K1338" s="1">
        <f>1338</f>
        <v>1338</v>
      </c>
      <c r="L1338" s="10">
        <f t="shared" si="101"/>
        <v>5238</v>
      </c>
      <c r="M1338" s="1">
        <f t="shared" si="102"/>
        <v>1</v>
      </c>
      <c r="N1338" s="1">
        <f t="shared" si="103"/>
        <v>1</v>
      </c>
      <c r="O1338" s="1" t="str">
        <f>IF(I1338=0,"UNUSED",IF(A1338="","MISSING ID",IF(K1338=0,"UNEXPECTED ID",IF(N1338&lt;&gt;1,"ID / ORDER DIFFERENCE",IF('Source build'!U1338&lt;&gt;"INCLUDED","EXCLUDED SOURCE",IF(NOT(M1338),"INVALID AMOUNT",IF('Source build'!Y1338&lt;&gt;0,"CHANGED FIELDS","MATCH")))))))</f>
        <v>MATCH</v>
      </c>
      <c r="P1338" s="1" t="str">
        <f t="shared" si="104"/>
        <v>2026-03</v>
      </c>
    </row>
    <row r="1339" spans="1:16" ht="18.95" customHeight="1">
      <c r="A1339" s="7" t="s">
        <v>3525</v>
      </c>
      <c r="B1339" s="7" t="s">
        <v>3526</v>
      </c>
      <c r="C1339" s="7" t="s">
        <v>314</v>
      </c>
      <c r="D1339" s="7" t="s">
        <v>93</v>
      </c>
      <c r="E1339" s="7" t="s">
        <v>46</v>
      </c>
      <c r="F1339" s="7" t="s">
        <v>98</v>
      </c>
      <c r="G1339" s="7" t="s">
        <v>3527</v>
      </c>
      <c r="I1339" s="1">
        <f t="shared" si="100"/>
        <v>1</v>
      </c>
      <c r="J1339" s="1" t="str">
        <f>'Source build'!A1339</f>
        <v>L01333</v>
      </c>
      <c r="K1339" s="1">
        <f>1339</f>
        <v>1339</v>
      </c>
      <c r="L1339" s="10">
        <f t="shared" si="101"/>
        <v>8915</v>
      </c>
      <c r="M1339" s="1">
        <f t="shared" si="102"/>
        <v>1</v>
      </c>
      <c r="N1339" s="1">
        <f t="shared" si="103"/>
        <v>1</v>
      </c>
      <c r="O1339" s="1" t="str">
        <f>IF(I1339=0,"UNUSED",IF(A1339="","MISSING ID",IF(K1339=0,"UNEXPECTED ID",IF(N1339&lt;&gt;1,"ID / ORDER DIFFERENCE",IF('Source build'!U1339&lt;&gt;"INCLUDED","EXCLUDED SOURCE",IF(NOT(M1339),"INVALID AMOUNT",IF('Source build'!Y1339&lt;&gt;0,"CHANGED FIELDS","MATCH")))))))</f>
        <v>MATCH</v>
      </c>
      <c r="P1339" s="1" t="str">
        <f t="shared" si="104"/>
        <v>2026-03</v>
      </c>
    </row>
    <row r="1340" spans="1:16" ht="18.95" customHeight="1">
      <c r="A1340" s="7" t="s">
        <v>3528</v>
      </c>
      <c r="B1340" s="7" t="s">
        <v>3526</v>
      </c>
      <c r="C1340" s="7" t="s">
        <v>314</v>
      </c>
      <c r="D1340" s="7" t="s">
        <v>97</v>
      </c>
      <c r="E1340" s="7" t="s">
        <v>47</v>
      </c>
      <c r="F1340" s="7" t="s">
        <v>98</v>
      </c>
      <c r="G1340" s="7" t="s">
        <v>3529</v>
      </c>
      <c r="I1340" s="1">
        <f t="shared" si="100"/>
        <v>1</v>
      </c>
      <c r="J1340" s="1" t="str">
        <f>'Source build'!A1340</f>
        <v>L01334</v>
      </c>
      <c r="K1340" s="1">
        <f>1340</f>
        <v>1340</v>
      </c>
      <c r="L1340" s="10">
        <f t="shared" si="101"/>
        <v>3640</v>
      </c>
      <c r="M1340" s="1">
        <f t="shared" si="102"/>
        <v>1</v>
      </c>
      <c r="N1340" s="1">
        <f t="shared" si="103"/>
        <v>1</v>
      </c>
      <c r="O1340" s="1" t="str">
        <f>IF(I1340=0,"UNUSED",IF(A1340="","MISSING ID",IF(K1340=0,"UNEXPECTED ID",IF(N1340&lt;&gt;1,"ID / ORDER DIFFERENCE",IF('Source build'!U1340&lt;&gt;"INCLUDED","EXCLUDED SOURCE",IF(NOT(M1340),"INVALID AMOUNT",IF('Source build'!Y1340&lt;&gt;0,"CHANGED FIELDS","MATCH")))))))</f>
        <v>MATCH</v>
      </c>
      <c r="P1340" s="1" t="str">
        <f t="shared" si="104"/>
        <v>2026-03</v>
      </c>
    </row>
    <row r="1341" spans="1:16" ht="18.95" customHeight="1">
      <c r="A1341" s="7" t="s">
        <v>3530</v>
      </c>
      <c r="B1341" s="7" t="s">
        <v>3531</v>
      </c>
      <c r="C1341" s="7" t="s">
        <v>320</v>
      </c>
      <c r="D1341" s="7" t="s">
        <v>103</v>
      </c>
      <c r="E1341" s="7" t="s">
        <v>48</v>
      </c>
      <c r="F1341" s="7" t="s">
        <v>94</v>
      </c>
      <c r="G1341" s="7" t="s">
        <v>3532</v>
      </c>
      <c r="I1341" s="1">
        <f t="shared" si="100"/>
        <v>1</v>
      </c>
      <c r="J1341" s="1" t="str">
        <f>'Source build'!A1341</f>
        <v>L01335</v>
      </c>
      <c r="K1341" s="1">
        <f>1341</f>
        <v>1341</v>
      </c>
      <c r="L1341" s="10">
        <f t="shared" si="101"/>
        <v>-7428</v>
      </c>
      <c r="M1341" s="1">
        <f t="shared" si="102"/>
        <v>1</v>
      </c>
      <c r="N1341" s="1">
        <f t="shared" si="103"/>
        <v>1</v>
      </c>
      <c r="O1341" s="1" t="str">
        <f>IF(I1341=0,"UNUSED",IF(A1341="","MISSING ID",IF(K1341=0,"UNEXPECTED ID",IF(N1341&lt;&gt;1,"ID / ORDER DIFFERENCE",IF('Source build'!U1341&lt;&gt;"INCLUDED","EXCLUDED SOURCE",IF(NOT(M1341),"INVALID AMOUNT",IF('Source build'!Y1341&lt;&gt;0,"CHANGED FIELDS","MATCH")))))))</f>
        <v>MATCH</v>
      </c>
      <c r="P1341" s="1" t="str">
        <f t="shared" si="104"/>
        <v>2026-03</v>
      </c>
    </row>
    <row r="1342" spans="1:16" ht="18.95" customHeight="1">
      <c r="A1342" s="7" t="s">
        <v>3533</v>
      </c>
      <c r="B1342" s="7" t="s">
        <v>3531</v>
      </c>
      <c r="C1342" s="7" t="s">
        <v>320</v>
      </c>
      <c r="D1342" s="7" t="s">
        <v>93</v>
      </c>
      <c r="E1342" s="7" t="s">
        <v>46</v>
      </c>
      <c r="F1342" s="7" t="s">
        <v>98</v>
      </c>
      <c r="G1342" s="7" t="s">
        <v>3534</v>
      </c>
      <c r="I1342" s="1">
        <f t="shared" si="100"/>
        <v>1</v>
      </c>
      <c r="J1342" s="1" t="str">
        <f>'Source build'!A1342</f>
        <v>L01336</v>
      </c>
      <c r="K1342" s="1">
        <f>1342</f>
        <v>1342</v>
      </c>
      <c r="L1342" s="10">
        <f t="shared" si="101"/>
        <v>1894</v>
      </c>
      <c r="M1342" s="1">
        <f t="shared" si="102"/>
        <v>1</v>
      </c>
      <c r="N1342" s="1">
        <f t="shared" si="103"/>
        <v>1</v>
      </c>
      <c r="O1342" s="1" t="str">
        <f>IF(I1342=0,"UNUSED",IF(A1342="","MISSING ID",IF(K1342=0,"UNEXPECTED ID",IF(N1342&lt;&gt;1,"ID / ORDER DIFFERENCE",IF('Source build'!U1342&lt;&gt;"INCLUDED","EXCLUDED SOURCE",IF(NOT(M1342),"INVALID AMOUNT",IF('Source build'!Y1342&lt;&gt;0,"CHANGED FIELDS","MATCH")))))))</f>
        <v>MATCH</v>
      </c>
      <c r="P1342" s="1" t="str">
        <f t="shared" si="104"/>
        <v>2026-03</v>
      </c>
    </row>
    <row r="1343" spans="1:16" ht="18.95" customHeight="1">
      <c r="A1343" s="7" t="s">
        <v>3535</v>
      </c>
      <c r="B1343" s="7" t="s">
        <v>3536</v>
      </c>
      <c r="C1343" s="7" t="s">
        <v>326</v>
      </c>
      <c r="D1343" s="7" t="s">
        <v>97</v>
      </c>
      <c r="E1343" s="7" t="s">
        <v>47</v>
      </c>
      <c r="F1343" s="7" t="s">
        <v>98</v>
      </c>
      <c r="G1343" s="7" t="s">
        <v>3537</v>
      </c>
      <c r="I1343" s="1">
        <f t="shared" si="100"/>
        <v>1</v>
      </c>
      <c r="J1343" s="1" t="str">
        <f>'Source build'!A1343</f>
        <v>L01337</v>
      </c>
      <c r="K1343" s="1">
        <f>1343</f>
        <v>1343</v>
      </c>
      <c r="L1343" s="10">
        <f t="shared" si="101"/>
        <v>5793</v>
      </c>
      <c r="M1343" s="1">
        <f t="shared" si="102"/>
        <v>1</v>
      </c>
      <c r="N1343" s="1">
        <f t="shared" si="103"/>
        <v>1</v>
      </c>
      <c r="O1343" s="1" t="str">
        <f>IF(I1343=0,"UNUSED",IF(A1343="","MISSING ID",IF(K1343=0,"UNEXPECTED ID",IF(N1343&lt;&gt;1,"ID / ORDER DIFFERENCE",IF('Source build'!U1343&lt;&gt;"INCLUDED","EXCLUDED SOURCE",IF(NOT(M1343),"INVALID AMOUNT",IF('Source build'!Y1343&lt;&gt;0,"CHANGED FIELDS","MATCH")))))))</f>
        <v>MATCH</v>
      </c>
      <c r="P1343" s="1" t="str">
        <f t="shared" si="104"/>
        <v>2026-03</v>
      </c>
    </row>
    <row r="1344" spans="1:16" ht="18.95" customHeight="1">
      <c r="A1344" s="7" t="s">
        <v>3538</v>
      </c>
      <c r="B1344" s="7" t="s">
        <v>3536</v>
      </c>
      <c r="C1344" s="7" t="s">
        <v>326</v>
      </c>
      <c r="D1344" s="7" t="s">
        <v>103</v>
      </c>
      <c r="E1344" s="7" t="s">
        <v>48</v>
      </c>
      <c r="F1344" s="7" t="s">
        <v>98</v>
      </c>
      <c r="G1344" s="7" t="s">
        <v>3539</v>
      </c>
      <c r="I1344" s="1">
        <f t="shared" si="100"/>
        <v>1</v>
      </c>
      <c r="J1344" s="1" t="str">
        <f>'Source build'!A1344</f>
        <v>L01338</v>
      </c>
      <c r="K1344" s="1">
        <f>1344</f>
        <v>1344</v>
      </c>
      <c r="L1344" s="10">
        <f t="shared" si="101"/>
        <v>9840</v>
      </c>
      <c r="M1344" s="1">
        <f t="shared" si="102"/>
        <v>1</v>
      </c>
      <c r="N1344" s="1">
        <f t="shared" si="103"/>
        <v>1</v>
      </c>
      <c r="O1344" s="1" t="str">
        <f>IF(I1344=0,"UNUSED",IF(A1344="","MISSING ID",IF(K1344=0,"UNEXPECTED ID",IF(N1344&lt;&gt;1,"ID / ORDER DIFFERENCE",IF('Source build'!U1344&lt;&gt;"INCLUDED","EXCLUDED SOURCE",IF(NOT(M1344),"INVALID AMOUNT",IF('Source build'!Y1344&lt;&gt;0,"CHANGED FIELDS","MATCH")))))))</f>
        <v>MATCH</v>
      </c>
      <c r="P1344" s="1" t="str">
        <f t="shared" si="104"/>
        <v>2026-03</v>
      </c>
    </row>
    <row r="1345" spans="1:16" ht="18.95" customHeight="1">
      <c r="A1345" s="7" t="s">
        <v>3540</v>
      </c>
      <c r="B1345" s="7" t="s">
        <v>3541</v>
      </c>
      <c r="C1345" s="7" t="s">
        <v>332</v>
      </c>
      <c r="D1345" s="7" t="s">
        <v>93</v>
      </c>
      <c r="E1345" s="7" t="s">
        <v>46</v>
      </c>
      <c r="F1345" s="7" t="s">
        <v>98</v>
      </c>
      <c r="G1345" s="7" t="s">
        <v>3542</v>
      </c>
      <c r="I1345" s="1">
        <f t="shared" si="100"/>
        <v>1</v>
      </c>
      <c r="J1345" s="1" t="str">
        <f>'Source build'!A1345</f>
        <v>L01339</v>
      </c>
      <c r="K1345" s="1">
        <f>1345</f>
        <v>1345</v>
      </c>
      <c r="L1345" s="10">
        <f t="shared" si="101"/>
        <v>4010</v>
      </c>
      <c r="M1345" s="1">
        <f t="shared" si="102"/>
        <v>1</v>
      </c>
      <c r="N1345" s="1">
        <f t="shared" si="103"/>
        <v>1</v>
      </c>
      <c r="O1345" s="1" t="str">
        <f>IF(I1345=0,"UNUSED",IF(A1345="","MISSING ID",IF(K1345=0,"UNEXPECTED ID",IF(N1345&lt;&gt;1,"ID / ORDER DIFFERENCE",IF('Source build'!U1345&lt;&gt;"INCLUDED","EXCLUDED SOURCE",IF(NOT(M1345),"INVALID AMOUNT",IF('Source build'!Y1345&lt;&gt;0,"CHANGED FIELDS","MATCH")))))))</f>
        <v>MATCH</v>
      </c>
      <c r="P1345" s="1" t="str">
        <f t="shared" si="104"/>
        <v>2026-01</v>
      </c>
    </row>
    <row r="1346" spans="1:16" ht="18.95" customHeight="1">
      <c r="A1346" s="7" t="s">
        <v>3543</v>
      </c>
      <c r="B1346" s="7" t="s">
        <v>3541</v>
      </c>
      <c r="C1346" s="7" t="s">
        <v>332</v>
      </c>
      <c r="D1346" s="7" t="s">
        <v>97</v>
      </c>
      <c r="E1346" s="7" t="s">
        <v>47</v>
      </c>
      <c r="F1346" s="7" t="s">
        <v>98</v>
      </c>
      <c r="G1346" s="7" t="s">
        <v>3544</v>
      </c>
      <c r="I1346" s="1">
        <f t="shared" si="100"/>
        <v>1</v>
      </c>
      <c r="J1346" s="1" t="str">
        <f>'Source build'!A1346</f>
        <v>L01340</v>
      </c>
      <c r="K1346" s="1">
        <f>1346</f>
        <v>1346</v>
      </c>
      <c r="L1346" s="10">
        <f t="shared" si="101"/>
        <v>8168</v>
      </c>
      <c r="M1346" s="1">
        <f t="shared" si="102"/>
        <v>1</v>
      </c>
      <c r="N1346" s="1">
        <f t="shared" si="103"/>
        <v>1</v>
      </c>
      <c r="O1346" s="1" t="str">
        <f>IF(I1346=0,"UNUSED",IF(A1346="","MISSING ID",IF(K1346=0,"UNEXPECTED ID",IF(N1346&lt;&gt;1,"ID / ORDER DIFFERENCE",IF('Source build'!U1346&lt;&gt;"INCLUDED","EXCLUDED SOURCE",IF(NOT(M1346),"INVALID AMOUNT",IF('Source build'!Y1346&lt;&gt;0,"CHANGED FIELDS","MATCH")))))))</f>
        <v>MATCH</v>
      </c>
      <c r="P1346" s="1" t="str">
        <f t="shared" si="104"/>
        <v>2026-01</v>
      </c>
    </row>
    <row r="1347" spans="1:16" ht="18.95" customHeight="1">
      <c r="A1347" s="7" t="s">
        <v>3545</v>
      </c>
      <c r="B1347" s="7" t="s">
        <v>3546</v>
      </c>
      <c r="C1347" s="7" t="s">
        <v>338</v>
      </c>
      <c r="D1347" s="7" t="s">
        <v>103</v>
      </c>
      <c r="E1347" s="7" t="s">
        <v>48</v>
      </c>
      <c r="F1347" s="7" t="s">
        <v>98</v>
      </c>
      <c r="G1347" s="7" t="s">
        <v>3547</v>
      </c>
      <c r="I1347" s="1">
        <f t="shared" si="100"/>
        <v>1</v>
      </c>
      <c r="J1347" s="1" t="str">
        <f>'Source build'!A1347</f>
        <v>L01341</v>
      </c>
      <c r="K1347" s="1">
        <f>1347</f>
        <v>1347</v>
      </c>
      <c r="L1347" s="10">
        <f t="shared" si="101"/>
        <v>2079</v>
      </c>
      <c r="M1347" s="1">
        <f t="shared" si="102"/>
        <v>1</v>
      </c>
      <c r="N1347" s="1">
        <f t="shared" si="103"/>
        <v>1</v>
      </c>
      <c r="O1347" s="1" t="str">
        <f>IF(I1347=0,"UNUSED",IF(A1347="","MISSING ID",IF(K1347=0,"UNEXPECTED ID",IF(N1347&lt;&gt;1,"ID / ORDER DIFFERENCE",IF('Source build'!U1347&lt;&gt;"INCLUDED","EXCLUDED SOURCE",IF(NOT(M1347),"INVALID AMOUNT",IF('Source build'!Y1347&lt;&gt;0,"CHANGED FIELDS","MATCH")))))))</f>
        <v>MATCH</v>
      </c>
      <c r="P1347" s="1" t="str">
        <f t="shared" si="104"/>
        <v>2026-01</v>
      </c>
    </row>
    <row r="1348" spans="1:16" ht="18.95" customHeight="1">
      <c r="A1348" s="7" t="s">
        <v>3548</v>
      </c>
      <c r="B1348" s="7" t="s">
        <v>3546</v>
      </c>
      <c r="C1348" s="7" t="s">
        <v>338</v>
      </c>
      <c r="D1348" s="7" t="s">
        <v>93</v>
      </c>
      <c r="E1348" s="7" t="s">
        <v>46</v>
      </c>
      <c r="F1348" s="7" t="s">
        <v>98</v>
      </c>
      <c r="G1348" s="7" t="s">
        <v>3549</v>
      </c>
      <c r="I1348" s="1">
        <f t="shared" si="100"/>
        <v>1</v>
      </c>
      <c r="J1348" s="1" t="str">
        <f>'Source build'!A1348</f>
        <v>L01342</v>
      </c>
      <c r="K1348" s="1">
        <f>1348</f>
        <v>1348</v>
      </c>
      <c r="L1348" s="10">
        <f t="shared" si="101"/>
        <v>6348</v>
      </c>
      <c r="M1348" s="1">
        <f t="shared" si="102"/>
        <v>1</v>
      </c>
      <c r="N1348" s="1">
        <f t="shared" si="103"/>
        <v>1</v>
      </c>
      <c r="O1348" s="1" t="str">
        <f>IF(I1348=0,"UNUSED",IF(A1348="","MISSING ID",IF(K1348=0,"UNEXPECTED ID",IF(N1348&lt;&gt;1,"ID / ORDER DIFFERENCE",IF('Source build'!U1348&lt;&gt;"INCLUDED","EXCLUDED SOURCE",IF(NOT(M1348),"INVALID AMOUNT",IF('Source build'!Y1348&lt;&gt;0,"CHANGED FIELDS","MATCH")))))))</f>
        <v>MATCH</v>
      </c>
      <c r="P1348" s="1" t="str">
        <f t="shared" si="104"/>
        <v>2026-01</v>
      </c>
    </row>
    <row r="1349" spans="1:16" ht="18.95" customHeight="1">
      <c r="A1349" s="7" t="s">
        <v>3550</v>
      </c>
      <c r="B1349" s="7" t="s">
        <v>3551</v>
      </c>
      <c r="C1349" s="7" t="s">
        <v>344</v>
      </c>
      <c r="D1349" s="7" t="s">
        <v>97</v>
      </c>
      <c r="E1349" s="7" t="s">
        <v>47</v>
      </c>
      <c r="F1349" s="7" t="s">
        <v>98</v>
      </c>
      <c r="G1349" s="7" t="s">
        <v>3552</v>
      </c>
      <c r="I1349" s="1">
        <f t="shared" si="100"/>
        <v>1</v>
      </c>
      <c r="J1349" s="1" t="str">
        <f>'Source build'!A1349</f>
        <v>L01343</v>
      </c>
      <c r="K1349" s="1">
        <f>1349</f>
        <v>1349</v>
      </c>
      <c r="L1349" s="10">
        <f t="shared" si="101"/>
        <v>10765</v>
      </c>
      <c r="M1349" s="1">
        <f t="shared" si="102"/>
        <v>1</v>
      </c>
      <c r="N1349" s="1">
        <f t="shared" si="103"/>
        <v>1</v>
      </c>
      <c r="O1349" s="1" t="str">
        <f>IF(I1349=0,"UNUSED",IF(A1349="","MISSING ID",IF(K1349=0,"UNEXPECTED ID",IF(N1349&lt;&gt;1,"ID / ORDER DIFFERENCE",IF('Source build'!U1349&lt;&gt;"INCLUDED","EXCLUDED SOURCE",IF(NOT(M1349),"INVALID AMOUNT",IF('Source build'!Y1349&lt;&gt;0,"CHANGED FIELDS","MATCH")))))))</f>
        <v>MATCH</v>
      </c>
      <c r="P1349" s="1" t="str">
        <f t="shared" si="104"/>
        <v>2026-01</v>
      </c>
    </row>
    <row r="1350" spans="1:16" ht="18.95" customHeight="1">
      <c r="A1350" s="7" t="s">
        <v>3553</v>
      </c>
      <c r="B1350" s="7" t="s">
        <v>3551</v>
      </c>
      <c r="C1350" s="7" t="s">
        <v>344</v>
      </c>
      <c r="D1350" s="7" t="s">
        <v>103</v>
      </c>
      <c r="E1350" s="7" t="s">
        <v>48</v>
      </c>
      <c r="F1350" s="7" t="s">
        <v>98</v>
      </c>
      <c r="G1350" s="7" t="s">
        <v>3554</v>
      </c>
      <c r="I1350" s="1">
        <f t="shared" si="100"/>
        <v>1</v>
      </c>
      <c r="J1350" s="1" t="str">
        <f>'Source build'!A1350</f>
        <v>L01344</v>
      </c>
      <c r="K1350" s="1">
        <f>1350</f>
        <v>1350</v>
      </c>
      <c r="L1350" s="10">
        <f t="shared" si="101"/>
        <v>4380</v>
      </c>
      <c r="M1350" s="1">
        <f t="shared" si="102"/>
        <v>1</v>
      </c>
      <c r="N1350" s="1">
        <f t="shared" si="103"/>
        <v>1</v>
      </c>
      <c r="O1350" s="1" t="str">
        <f>IF(I1350=0,"UNUSED",IF(A1350="","MISSING ID",IF(K1350=0,"UNEXPECTED ID",IF(N1350&lt;&gt;1,"ID / ORDER DIFFERENCE",IF('Source build'!U1350&lt;&gt;"INCLUDED","EXCLUDED SOURCE",IF(NOT(M1350),"INVALID AMOUNT",IF('Source build'!Y1350&lt;&gt;0,"CHANGED FIELDS","MATCH")))))))</f>
        <v>MATCH</v>
      </c>
      <c r="P1350" s="1" t="str">
        <f t="shared" si="104"/>
        <v>2026-01</v>
      </c>
    </row>
    <row r="1351" spans="1:16" ht="18.95" customHeight="1">
      <c r="A1351" s="7" t="s">
        <v>3555</v>
      </c>
      <c r="B1351" s="7" t="s">
        <v>3556</v>
      </c>
      <c r="C1351" s="7" t="s">
        <v>350</v>
      </c>
      <c r="D1351" s="7" t="s">
        <v>93</v>
      </c>
      <c r="E1351" s="7" t="s">
        <v>46</v>
      </c>
      <c r="F1351" s="7" t="s">
        <v>98</v>
      </c>
      <c r="G1351" s="7" t="s">
        <v>3557</v>
      </c>
      <c r="I1351" s="1">
        <f t="shared" ref="I1351:I1414" si="105">IF(AND(A1351="",B1351="",C1351="",D1351="",E1351="",F1351="",G1351=""),0,1)</f>
        <v>1</v>
      </c>
      <c r="J1351" s="1" t="str">
        <f>'Source build'!A1351</f>
        <v>L01345</v>
      </c>
      <c r="K1351" s="1">
        <f>1351</f>
        <v>1351</v>
      </c>
      <c r="L1351" s="10">
        <f t="shared" ref="L1351:L1414" si="106">IFERROR(IF(ABS(VALUE(G1351)*100-ROUND(VALUE(G1351)*100,0))&lt;0.0000001,ROUND(VALUE(G1351)*100,0),0),0)</f>
        <v>8908</v>
      </c>
      <c r="M1351" s="1">
        <f t="shared" ref="M1351:M1414" si="107">--IF(I1351=0,TRUE,IF(TRIM(G1351)="",FALSE,IFERROR(AND(ISNUMBER(VALUE(G1351)),ABS(VALUE(G1351)*100-ROUND(VALUE(G1351)*100,0))&lt;0.0000001,OR(ISNUMBER(G1351),EXACT(G1351,TEXT(VALUE(G1351),"0.00"))),OR(AND(EXACT(F1351,"sale"),VALUE(G1351)&gt;0),AND(EXACT(F1351,"refund"),VALUE(G1351)&lt;0))),FALSE)))</f>
        <v>1</v>
      </c>
      <c r="N1351" s="1">
        <f t="shared" ref="N1351:N1414" si="108">IF(I1351=1,IF(EXACT(A1351,J1351),1,0),0)</f>
        <v>1</v>
      </c>
      <c r="O1351" s="1" t="str">
        <f>IF(I1351=0,"UNUSED",IF(A1351="","MISSING ID",IF(K1351=0,"UNEXPECTED ID",IF(N1351&lt;&gt;1,"ID / ORDER DIFFERENCE",IF('Source build'!U1351&lt;&gt;"INCLUDED","EXCLUDED SOURCE",IF(NOT(M1351),"INVALID AMOUNT",IF('Source build'!Y1351&lt;&gt;0,"CHANGED FIELDS","MATCH")))))))</f>
        <v>MATCH</v>
      </c>
      <c r="P1351" s="1" t="str">
        <f t="shared" ref="P1351:P1414" si="109">IF(I1351=1,LEFT(C1351,7),"")</f>
        <v>2026-01</v>
      </c>
    </row>
    <row r="1352" spans="1:16" ht="18.95" customHeight="1">
      <c r="A1352" s="7" t="s">
        <v>3558</v>
      </c>
      <c r="B1352" s="7" t="s">
        <v>3556</v>
      </c>
      <c r="C1352" s="7" t="s">
        <v>350</v>
      </c>
      <c r="D1352" s="7" t="s">
        <v>97</v>
      </c>
      <c r="E1352" s="7" t="s">
        <v>47</v>
      </c>
      <c r="F1352" s="7" t="s">
        <v>98</v>
      </c>
      <c r="G1352" s="7" t="s">
        <v>3559</v>
      </c>
      <c r="I1352" s="1">
        <f t="shared" si="105"/>
        <v>1</v>
      </c>
      <c r="J1352" s="1" t="str">
        <f>'Source build'!A1352</f>
        <v>L01346</v>
      </c>
      <c r="K1352" s="1">
        <f>1352</f>
        <v>1352</v>
      </c>
      <c r="L1352" s="10">
        <f t="shared" si="106"/>
        <v>2264</v>
      </c>
      <c r="M1352" s="1">
        <f t="shared" si="107"/>
        <v>1</v>
      </c>
      <c r="N1352" s="1">
        <f t="shared" si="108"/>
        <v>1</v>
      </c>
      <c r="O1352" s="1" t="str">
        <f>IF(I1352=0,"UNUSED",IF(A1352="","MISSING ID",IF(K1352=0,"UNEXPECTED ID",IF(N1352&lt;&gt;1,"ID / ORDER DIFFERENCE",IF('Source build'!U1352&lt;&gt;"INCLUDED","EXCLUDED SOURCE",IF(NOT(M1352),"INVALID AMOUNT",IF('Source build'!Y1352&lt;&gt;0,"CHANGED FIELDS","MATCH")))))))</f>
        <v>MATCH</v>
      </c>
      <c r="P1352" s="1" t="str">
        <f t="shared" si="109"/>
        <v>2026-01</v>
      </c>
    </row>
    <row r="1353" spans="1:16" ht="18.95" customHeight="1">
      <c r="A1353" s="7" t="s">
        <v>3560</v>
      </c>
      <c r="B1353" s="7" t="s">
        <v>3561</v>
      </c>
      <c r="C1353" s="7" t="s">
        <v>356</v>
      </c>
      <c r="D1353" s="7" t="s">
        <v>103</v>
      </c>
      <c r="E1353" s="7" t="s">
        <v>48</v>
      </c>
      <c r="F1353" s="7" t="s">
        <v>98</v>
      </c>
      <c r="G1353" s="7" t="s">
        <v>3562</v>
      </c>
      <c r="I1353" s="1">
        <f t="shared" si="105"/>
        <v>1</v>
      </c>
      <c r="J1353" s="1" t="str">
        <f>'Source build'!A1353</f>
        <v>L01347</v>
      </c>
      <c r="K1353" s="1">
        <f>1353</f>
        <v>1353</v>
      </c>
      <c r="L1353" s="10">
        <f t="shared" si="106"/>
        <v>6903</v>
      </c>
      <c r="M1353" s="1">
        <f t="shared" si="107"/>
        <v>1</v>
      </c>
      <c r="N1353" s="1">
        <f t="shared" si="108"/>
        <v>1</v>
      </c>
      <c r="O1353" s="1" t="str">
        <f>IF(I1353=0,"UNUSED",IF(A1353="","MISSING ID",IF(K1353=0,"UNEXPECTED ID",IF(N1353&lt;&gt;1,"ID / ORDER DIFFERENCE",IF('Source build'!U1353&lt;&gt;"INCLUDED","EXCLUDED SOURCE",IF(NOT(M1353),"INVALID AMOUNT",IF('Source build'!Y1353&lt;&gt;0,"CHANGED FIELDS","MATCH")))))))</f>
        <v>MATCH</v>
      </c>
      <c r="P1353" s="1" t="str">
        <f t="shared" si="109"/>
        <v>2026-02</v>
      </c>
    </row>
    <row r="1354" spans="1:16" ht="18.95" customHeight="1">
      <c r="A1354" s="7" t="s">
        <v>3563</v>
      </c>
      <c r="B1354" s="7" t="s">
        <v>3561</v>
      </c>
      <c r="C1354" s="7" t="s">
        <v>356</v>
      </c>
      <c r="D1354" s="7" t="s">
        <v>93</v>
      </c>
      <c r="E1354" s="7" t="s">
        <v>46</v>
      </c>
      <c r="F1354" s="7" t="s">
        <v>98</v>
      </c>
      <c r="G1354" s="7" t="s">
        <v>3564</v>
      </c>
      <c r="I1354" s="1">
        <f t="shared" si="105"/>
        <v>1</v>
      </c>
      <c r="J1354" s="1" t="str">
        <f>'Source build'!A1354</f>
        <v>L01348</v>
      </c>
      <c r="K1354" s="1">
        <f>1354</f>
        <v>1354</v>
      </c>
      <c r="L1354" s="10">
        <f t="shared" si="106"/>
        <v>11690</v>
      </c>
      <c r="M1354" s="1">
        <f t="shared" si="107"/>
        <v>1</v>
      </c>
      <c r="N1354" s="1">
        <f t="shared" si="108"/>
        <v>1</v>
      </c>
      <c r="O1354" s="1" t="str">
        <f>IF(I1354=0,"UNUSED",IF(A1354="","MISSING ID",IF(K1354=0,"UNEXPECTED ID",IF(N1354&lt;&gt;1,"ID / ORDER DIFFERENCE",IF('Source build'!U1354&lt;&gt;"INCLUDED","EXCLUDED SOURCE",IF(NOT(M1354),"INVALID AMOUNT",IF('Source build'!Y1354&lt;&gt;0,"CHANGED FIELDS","MATCH")))))))</f>
        <v>MATCH</v>
      </c>
      <c r="P1354" s="1" t="str">
        <f t="shared" si="109"/>
        <v>2026-02</v>
      </c>
    </row>
    <row r="1355" spans="1:16" ht="18.95" customHeight="1">
      <c r="A1355" s="7" t="s">
        <v>3565</v>
      </c>
      <c r="B1355" s="7" t="s">
        <v>3566</v>
      </c>
      <c r="C1355" s="7" t="s">
        <v>362</v>
      </c>
      <c r="D1355" s="7" t="s">
        <v>97</v>
      </c>
      <c r="E1355" s="7" t="s">
        <v>47</v>
      </c>
      <c r="F1355" s="7" t="s">
        <v>98</v>
      </c>
      <c r="G1355" s="7" t="s">
        <v>3567</v>
      </c>
      <c r="I1355" s="1">
        <f t="shared" si="105"/>
        <v>1</v>
      </c>
      <c r="J1355" s="1" t="str">
        <f>'Source build'!A1355</f>
        <v>L01349</v>
      </c>
      <c r="K1355" s="1">
        <f>1355</f>
        <v>1355</v>
      </c>
      <c r="L1355" s="10">
        <f t="shared" si="106"/>
        <v>4750</v>
      </c>
      <c r="M1355" s="1">
        <f t="shared" si="107"/>
        <v>1</v>
      </c>
      <c r="N1355" s="1">
        <f t="shared" si="108"/>
        <v>1</v>
      </c>
      <c r="O1355" s="1" t="str">
        <f>IF(I1355=0,"UNUSED",IF(A1355="","MISSING ID",IF(K1355=0,"UNEXPECTED ID",IF(N1355&lt;&gt;1,"ID / ORDER DIFFERENCE",IF('Source build'!U1355&lt;&gt;"INCLUDED","EXCLUDED SOURCE",IF(NOT(M1355),"INVALID AMOUNT",IF('Source build'!Y1355&lt;&gt;0,"CHANGED FIELDS","MATCH")))))))</f>
        <v>MATCH</v>
      </c>
      <c r="P1355" s="1" t="str">
        <f t="shared" si="109"/>
        <v>2026-02</v>
      </c>
    </row>
    <row r="1356" spans="1:16" ht="18.95" customHeight="1">
      <c r="A1356" s="7" t="s">
        <v>3568</v>
      </c>
      <c r="B1356" s="7" t="s">
        <v>3566</v>
      </c>
      <c r="C1356" s="7" t="s">
        <v>362</v>
      </c>
      <c r="D1356" s="7" t="s">
        <v>103</v>
      </c>
      <c r="E1356" s="7" t="s">
        <v>48</v>
      </c>
      <c r="F1356" s="7" t="s">
        <v>98</v>
      </c>
      <c r="G1356" s="7" t="s">
        <v>3569</v>
      </c>
      <c r="I1356" s="1">
        <f t="shared" si="105"/>
        <v>1</v>
      </c>
      <c r="J1356" s="1" t="str">
        <f>'Source build'!A1356</f>
        <v>L01350</v>
      </c>
      <c r="K1356" s="1">
        <f>1356</f>
        <v>1356</v>
      </c>
      <c r="L1356" s="10">
        <f t="shared" si="106"/>
        <v>9648</v>
      </c>
      <c r="M1356" s="1">
        <f t="shared" si="107"/>
        <v>1</v>
      </c>
      <c r="N1356" s="1">
        <f t="shared" si="108"/>
        <v>1</v>
      </c>
      <c r="O1356" s="1" t="str">
        <f>IF(I1356=0,"UNUSED",IF(A1356="","MISSING ID",IF(K1356=0,"UNEXPECTED ID",IF(N1356&lt;&gt;1,"ID / ORDER DIFFERENCE",IF('Source build'!U1356&lt;&gt;"INCLUDED","EXCLUDED SOURCE",IF(NOT(M1356),"INVALID AMOUNT",IF('Source build'!Y1356&lt;&gt;0,"CHANGED FIELDS","MATCH")))))))</f>
        <v>MATCH</v>
      </c>
      <c r="P1356" s="1" t="str">
        <f t="shared" si="109"/>
        <v>2026-02</v>
      </c>
    </row>
    <row r="1357" spans="1:16" ht="18.95" customHeight="1">
      <c r="A1357" s="7" t="s">
        <v>3570</v>
      </c>
      <c r="B1357" s="7" t="s">
        <v>3571</v>
      </c>
      <c r="C1357" s="7" t="s">
        <v>368</v>
      </c>
      <c r="D1357" s="7" t="s">
        <v>93</v>
      </c>
      <c r="E1357" s="7" t="s">
        <v>46</v>
      </c>
      <c r="F1357" s="7" t="s">
        <v>98</v>
      </c>
      <c r="G1357" s="7" t="s">
        <v>3572</v>
      </c>
      <c r="I1357" s="1">
        <f t="shared" si="105"/>
        <v>1</v>
      </c>
      <c r="J1357" s="1" t="str">
        <f>'Source build'!A1357</f>
        <v>L01351</v>
      </c>
      <c r="K1357" s="1">
        <f>1357</f>
        <v>1357</v>
      </c>
      <c r="L1357" s="10">
        <f t="shared" si="106"/>
        <v>2449</v>
      </c>
      <c r="M1357" s="1">
        <f t="shared" si="107"/>
        <v>1</v>
      </c>
      <c r="N1357" s="1">
        <f t="shared" si="108"/>
        <v>1</v>
      </c>
      <c r="O1357" s="1" t="str">
        <f>IF(I1357=0,"UNUSED",IF(A1357="","MISSING ID",IF(K1357=0,"UNEXPECTED ID",IF(N1357&lt;&gt;1,"ID / ORDER DIFFERENCE",IF('Source build'!U1357&lt;&gt;"INCLUDED","EXCLUDED SOURCE",IF(NOT(M1357),"INVALID AMOUNT",IF('Source build'!Y1357&lt;&gt;0,"CHANGED FIELDS","MATCH")))))))</f>
        <v>MATCH</v>
      </c>
      <c r="P1357" s="1" t="str">
        <f t="shared" si="109"/>
        <v>2026-02</v>
      </c>
    </row>
    <row r="1358" spans="1:16" ht="18.95" customHeight="1">
      <c r="A1358" s="7" t="s">
        <v>3573</v>
      </c>
      <c r="B1358" s="7" t="s">
        <v>3571</v>
      </c>
      <c r="C1358" s="7" t="s">
        <v>368</v>
      </c>
      <c r="D1358" s="7" t="s">
        <v>97</v>
      </c>
      <c r="E1358" s="7" t="s">
        <v>47</v>
      </c>
      <c r="F1358" s="7" t="s">
        <v>98</v>
      </c>
      <c r="G1358" s="7" t="s">
        <v>3574</v>
      </c>
      <c r="I1358" s="1">
        <f t="shared" si="105"/>
        <v>1</v>
      </c>
      <c r="J1358" s="1" t="str">
        <f>'Source build'!A1358</f>
        <v>L01352</v>
      </c>
      <c r="K1358" s="1">
        <f>1358</f>
        <v>1358</v>
      </c>
      <c r="L1358" s="10">
        <f t="shared" si="106"/>
        <v>7458</v>
      </c>
      <c r="M1358" s="1">
        <f t="shared" si="107"/>
        <v>1</v>
      </c>
      <c r="N1358" s="1">
        <f t="shared" si="108"/>
        <v>1</v>
      </c>
      <c r="O1358" s="1" t="str">
        <f>IF(I1358=0,"UNUSED",IF(A1358="","MISSING ID",IF(K1358=0,"UNEXPECTED ID",IF(N1358&lt;&gt;1,"ID / ORDER DIFFERENCE",IF('Source build'!U1358&lt;&gt;"INCLUDED","EXCLUDED SOURCE",IF(NOT(M1358),"INVALID AMOUNT",IF('Source build'!Y1358&lt;&gt;0,"CHANGED FIELDS","MATCH")))))))</f>
        <v>MATCH</v>
      </c>
      <c r="P1358" s="1" t="str">
        <f t="shared" si="109"/>
        <v>2026-02</v>
      </c>
    </row>
    <row r="1359" spans="1:16" ht="18.95" customHeight="1">
      <c r="A1359" s="7" t="s">
        <v>3575</v>
      </c>
      <c r="B1359" s="7" t="s">
        <v>3576</v>
      </c>
      <c r="C1359" s="7" t="s">
        <v>374</v>
      </c>
      <c r="D1359" s="7" t="s">
        <v>103</v>
      </c>
      <c r="E1359" s="7" t="s">
        <v>48</v>
      </c>
      <c r="F1359" s="7" t="s">
        <v>98</v>
      </c>
      <c r="G1359" s="7" t="s">
        <v>3577</v>
      </c>
      <c r="I1359" s="1">
        <f t="shared" si="105"/>
        <v>1</v>
      </c>
      <c r="J1359" s="1" t="str">
        <f>'Source build'!A1359</f>
        <v>L01353</v>
      </c>
      <c r="K1359" s="1">
        <f>1359</f>
        <v>1359</v>
      </c>
      <c r="L1359" s="10">
        <f t="shared" si="106"/>
        <v>12615</v>
      </c>
      <c r="M1359" s="1">
        <f t="shared" si="107"/>
        <v>1</v>
      </c>
      <c r="N1359" s="1">
        <f t="shared" si="108"/>
        <v>1</v>
      </c>
      <c r="O1359" s="1" t="str">
        <f>IF(I1359=0,"UNUSED",IF(A1359="","MISSING ID",IF(K1359=0,"UNEXPECTED ID",IF(N1359&lt;&gt;1,"ID / ORDER DIFFERENCE",IF('Source build'!U1359&lt;&gt;"INCLUDED","EXCLUDED SOURCE",IF(NOT(M1359),"INVALID AMOUNT",IF('Source build'!Y1359&lt;&gt;0,"CHANGED FIELDS","MATCH")))))))</f>
        <v>MATCH</v>
      </c>
      <c r="P1359" s="1" t="str">
        <f t="shared" si="109"/>
        <v>2026-02</v>
      </c>
    </row>
    <row r="1360" spans="1:16" ht="18.95" customHeight="1">
      <c r="A1360" s="7" t="s">
        <v>3578</v>
      </c>
      <c r="B1360" s="7" t="s">
        <v>3576</v>
      </c>
      <c r="C1360" s="7" t="s">
        <v>374</v>
      </c>
      <c r="D1360" s="7" t="s">
        <v>93</v>
      </c>
      <c r="E1360" s="7" t="s">
        <v>46</v>
      </c>
      <c r="F1360" s="7" t="s">
        <v>98</v>
      </c>
      <c r="G1360" s="7" t="s">
        <v>3579</v>
      </c>
      <c r="I1360" s="1">
        <f t="shared" si="105"/>
        <v>1</v>
      </c>
      <c r="J1360" s="1" t="str">
        <f>'Source build'!A1360</f>
        <v>L01354</v>
      </c>
      <c r="K1360" s="1">
        <f>1360</f>
        <v>1360</v>
      </c>
      <c r="L1360" s="10">
        <f t="shared" si="106"/>
        <v>5120</v>
      </c>
      <c r="M1360" s="1">
        <f t="shared" si="107"/>
        <v>1</v>
      </c>
      <c r="N1360" s="1">
        <f t="shared" si="108"/>
        <v>1</v>
      </c>
      <c r="O1360" s="1" t="str">
        <f>IF(I1360=0,"UNUSED",IF(A1360="","MISSING ID",IF(K1360=0,"UNEXPECTED ID",IF(N1360&lt;&gt;1,"ID / ORDER DIFFERENCE",IF('Source build'!U1360&lt;&gt;"INCLUDED","EXCLUDED SOURCE",IF(NOT(M1360),"INVALID AMOUNT",IF('Source build'!Y1360&lt;&gt;0,"CHANGED FIELDS","MATCH")))))))</f>
        <v>MATCH</v>
      </c>
      <c r="P1360" s="1" t="str">
        <f t="shared" si="109"/>
        <v>2026-02</v>
      </c>
    </row>
    <row r="1361" spans="1:16" ht="18.95" customHeight="1">
      <c r="A1361" s="7" t="s">
        <v>3580</v>
      </c>
      <c r="B1361" s="7" t="s">
        <v>3581</v>
      </c>
      <c r="C1361" s="7" t="s">
        <v>380</v>
      </c>
      <c r="D1361" s="7" t="s">
        <v>97</v>
      </c>
      <c r="E1361" s="7" t="s">
        <v>47</v>
      </c>
      <c r="F1361" s="7" t="s">
        <v>98</v>
      </c>
      <c r="G1361" s="7" t="s">
        <v>3582</v>
      </c>
      <c r="I1361" s="1">
        <f t="shared" si="105"/>
        <v>1</v>
      </c>
      <c r="J1361" s="1" t="str">
        <f>'Source build'!A1361</f>
        <v>L01355</v>
      </c>
      <c r="K1361" s="1">
        <f>1361</f>
        <v>1361</v>
      </c>
      <c r="L1361" s="10">
        <f t="shared" si="106"/>
        <v>10388</v>
      </c>
      <c r="M1361" s="1">
        <f t="shared" si="107"/>
        <v>1</v>
      </c>
      <c r="N1361" s="1">
        <f t="shared" si="108"/>
        <v>1</v>
      </c>
      <c r="O1361" s="1" t="str">
        <f>IF(I1361=0,"UNUSED",IF(A1361="","MISSING ID",IF(K1361=0,"UNEXPECTED ID",IF(N1361&lt;&gt;1,"ID / ORDER DIFFERENCE",IF('Source build'!U1361&lt;&gt;"INCLUDED","EXCLUDED SOURCE",IF(NOT(M1361),"INVALID AMOUNT",IF('Source build'!Y1361&lt;&gt;0,"CHANGED FIELDS","MATCH")))))))</f>
        <v>MATCH</v>
      </c>
      <c r="P1361" s="1" t="str">
        <f t="shared" si="109"/>
        <v>2026-03</v>
      </c>
    </row>
    <row r="1362" spans="1:16" ht="18.95" customHeight="1">
      <c r="A1362" s="7" t="s">
        <v>3583</v>
      </c>
      <c r="B1362" s="7" t="s">
        <v>3581</v>
      </c>
      <c r="C1362" s="7" t="s">
        <v>380</v>
      </c>
      <c r="D1362" s="7" t="s">
        <v>103</v>
      </c>
      <c r="E1362" s="7" t="s">
        <v>48</v>
      </c>
      <c r="F1362" s="7" t="s">
        <v>98</v>
      </c>
      <c r="G1362" s="7" t="s">
        <v>3584</v>
      </c>
      <c r="I1362" s="1">
        <f t="shared" si="105"/>
        <v>1</v>
      </c>
      <c r="J1362" s="1" t="str">
        <f>'Source build'!A1362</f>
        <v>L01356</v>
      </c>
      <c r="K1362" s="1">
        <f>1362</f>
        <v>1362</v>
      </c>
      <c r="L1362" s="10">
        <f t="shared" si="106"/>
        <v>2634</v>
      </c>
      <c r="M1362" s="1">
        <f t="shared" si="107"/>
        <v>1</v>
      </c>
      <c r="N1362" s="1">
        <f t="shared" si="108"/>
        <v>1</v>
      </c>
      <c r="O1362" s="1" t="str">
        <f>IF(I1362=0,"UNUSED",IF(A1362="","MISSING ID",IF(K1362=0,"UNEXPECTED ID",IF(N1362&lt;&gt;1,"ID / ORDER DIFFERENCE",IF('Source build'!U1362&lt;&gt;"INCLUDED","EXCLUDED SOURCE",IF(NOT(M1362),"INVALID AMOUNT",IF('Source build'!Y1362&lt;&gt;0,"CHANGED FIELDS","MATCH")))))))</f>
        <v>MATCH</v>
      </c>
      <c r="P1362" s="1" t="str">
        <f t="shared" si="109"/>
        <v>2026-03</v>
      </c>
    </row>
    <row r="1363" spans="1:16" ht="18.95" customHeight="1">
      <c r="A1363" s="7" t="s">
        <v>3585</v>
      </c>
      <c r="B1363" s="7" t="s">
        <v>3586</v>
      </c>
      <c r="C1363" s="7" t="s">
        <v>386</v>
      </c>
      <c r="D1363" s="7" t="s">
        <v>93</v>
      </c>
      <c r="E1363" s="7" t="s">
        <v>46</v>
      </c>
      <c r="F1363" s="7" t="s">
        <v>98</v>
      </c>
      <c r="G1363" s="7" t="s">
        <v>3587</v>
      </c>
      <c r="I1363" s="1">
        <f t="shared" si="105"/>
        <v>1</v>
      </c>
      <c r="J1363" s="1" t="str">
        <f>'Source build'!A1363</f>
        <v>L01357</v>
      </c>
      <c r="K1363" s="1">
        <f>1363</f>
        <v>1363</v>
      </c>
      <c r="L1363" s="10">
        <f t="shared" si="106"/>
        <v>8013</v>
      </c>
      <c r="M1363" s="1">
        <f t="shared" si="107"/>
        <v>1</v>
      </c>
      <c r="N1363" s="1">
        <f t="shared" si="108"/>
        <v>1</v>
      </c>
      <c r="O1363" s="1" t="str">
        <f>IF(I1363=0,"UNUSED",IF(A1363="","MISSING ID",IF(K1363=0,"UNEXPECTED ID",IF(N1363&lt;&gt;1,"ID / ORDER DIFFERENCE",IF('Source build'!U1363&lt;&gt;"INCLUDED","EXCLUDED SOURCE",IF(NOT(M1363),"INVALID AMOUNT",IF('Source build'!Y1363&lt;&gt;0,"CHANGED FIELDS","MATCH")))))))</f>
        <v>MATCH</v>
      </c>
      <c r="P1363" s="1" t="str">
        <f t="shared" si="109"/>
        <v>2026-03</v>
      </c>
    </row>
    <row r="1364" spans="1:16" ht="18.95" customHeight="1">
      <c r="A1364" s="7" t="s">
        <v>3588</v>
      </c>
      <c r="B1364" s="7" t="s">
        <v>3586</v>
      </c>
      <c r="C1364" s="7" t="s">
        <v>386</v>
      </c>
      <c r="D1364" s="7" t="s">
        <v>97</v>
      </c>
      <c r="E1364" s="7" t="s">
        <v>47</v>
      </c>
      <c r="F1364" s="7" t="s">
        <v>94</v>
      </c>
      <c r="G1364" s="7" t="s">
        <v>3589</v>
      </c>
      <c r="I1364" s="1">
        <f t="shared" si="105"/>
        <v>1</v>
      </c>
      <c r="J1364" s="1" t="str">
        <f>'Source build'!A1364</f>
        <v>L01358</v>
      </c>
      <c r="K1364" s="1">
        <f>1364</f>
        <v>1364</v>
      </c>
      <c r="L1364" s="10">
        <f t="shared" si="106"/>
        <v>-13540</v>
      </c>
      <c r="M1364" s="1">
        <f t="shared" si="107"/>
        <v>1</v>
      </c>
      <c r="N1364" s="1">
        <f t="shared" si="108"/>
        <v>1</v>
      </c>
      <c r="O1364" s="1" t="str">
        <f>IF(I1364=0,"UNUSED",IF(A1364="","MISSING ID",IF(K1364=0,"UNEXPECTED ID",IF(N1364&lt;&gt;1,"ID / ORDER DIFFERENCE",IF('Source build'!U1364&lt;&gt;"INCLUDED","EXCLUDED SOURCE",IF(NOT(M1364),"INVALID AMOUNT",IF('Source build'!Y1364&lt;&gt;0,"CHANGED FIELDS","MATCH")))))))</f>
        <v>MATCH</v>
      </c>
      <c r="P1364" s="1" t="str">
        <f t="shared" si="109"/>
        <v>2026-03</v>
      </c>
    </row>
    <row r="1365" spans="1:16" ht="18.95" customHeight="1">
      <c r="A1365" s="7" t="s">
        <v>3590</v>
      </c>
      <c r="B1365" s="7" t="s">
        <v>3591</v>
      </c>
      <c r="C1365" s="7" t="s">
        <v>392</v>
      </c>
      <c r="D1365" s="7" t="s">
        <v>103</v>
      </c>
      <c r="E1365" s="7" t="s">
        <v>48</v>
      </c>
      <c r="F1365" s="7" t="s">
        <v>98</v>
      </c>
      <c r="G1365" s="7" t="s">
        <v>3592</v>
      </c>
      <c r="I1365" s="1">
        <f t="shared" si="105"/>
        <v>1</v>
      </c>
      <c r="J1365" s="1" t="str">
        <f>'Source build'!A1365</f>
        <v>L01359</v>
      </c>
      <c r="K1365" s="1">
        <f>1365</f>
        <v>1365</v>
      </c>
      <c r="L1365" s="10">
        <f t="shared" si="106"/>
        <v>5490</v>
      </c>
      <c r="M1365" s="1">
        <f t="shared" si="107"/>
        <v>1</v>
      </c>
      <c r="N1365" s="1">
        <f t="shared" si="108"/>
        <v>1</v>
      </c>
      <c r="O1365" s="1" t="str">
        <f>IF(I1365=0,"UNUSED",IF(A1365="","MISSING ID",IF(K1365=0,"UNEXPECTED ID",IF(N1365&lt;&gt;1,"ID / ORDER DIFFERENCE",IF('Source build'!U1365&lt;&gt;"INCLUDED","EXCLUDED SOURCE",IF(NOT(M1365),"INVALID AMOUNT",IF('Source build'!Y1365&lt;&gt;0,"CHANGED FIELDS","MATCH")))))))</f>
        <v>MATCH</v>
      </c>
      <c r="P1365" s="1" t="str">
        <f t="shared" si="109"/>
        <v>2026-03</v>
      </c>
    </row>
    <row r="1366" spans="1:16" ht="18.95" customHeight="1">
      <c r="A1366" s="7" t="s">
        <v>3593</v>
      </c>
      <c r="B1366" s="7" t="s">
        <v>3591</v>
      </c>
      <c r="C1366" s="7" t="s">
        <v>392</v>
      </c>
      <c r="D1366" s="7" t="s">
        <v>93</v>
      </c>
      <c r="E1366" s="7" t="s">
        <v>46</v>
      </c>
      <c r="F1366" s="7" t="s">
        <v>98</v>
      </c>
      <c r="G1366" s="7" t="s">
        <v>3594</v>
      </c>
      <c r="I1366" s="1">
        <f t="shared" si="105"/>
        <v>1</v>
      </c>
      <c r="J1366" s="1" t="str">
        <f>'Source build'!A1366</f>
        <v>L01360</v>
      </c>
      <c r="K1366" s="1">
        <f>1366</f>
        <v>1366</v>
      </c>
      <c r="L1366" s="10">
        <f t="shared" si="106"/>
        <v>11128</v>
      </c>
      <c r="M1366" s="1">
        <f t="shared" si="107"/>
        <v>1</v>
      </c>
      <c r="N1366" s="1">
        <f t="shared" si="108"/>
        <v>1</v>
      </c>
      <c r="O1366" s="1" t="str">
        <f>IF(I1366=0,"UNUSED",IF(A1366="","MISSING ID",IF(K1366=0,"UNEXPECTED ID",IF(N1366&lt;&gt;1,"ID / ORDER DIFFERENCE",IF('Source build'!U1366&lt;&gt;"INCLUDED","EXCLUDED SOURCE",IF(NOT(M1366),"INVALID AMOUNT",IF('Source build'!Y1366&lt;&gt;0,"CHANGED FIELDS","MATCH")))))))</f>
        <v>MATCH</v>
      </c>
      <c r="P1366" s="1" t="str">
        <f t="shared" si="109"/>
        <v>2026-03</v>
      </c>
    </row>
    <row r="1367" spans="1:16" ht="18.95" customHeight="1">
      <c r="A1367" s="7" t="s">
        <v>3595</v>
      </c>
      <c r="B1367" s="7" t="s">
        <v>3596</v>
      </c>
      <c r="C1367" s="7" t="s">
        <v>398</v>
      </c>
      <c r="D1367" s="7" t="s">
        <v>97</v>
      </c>
      <c r="E1367" s="7" t="s">
        <v>47</v>
      </c>
      <c r="F1367" s="7" t="s">
        <v>98</v>
      </c>
      <c r="G1367" s="7" t="s">
        <v>3597</v>
      </c>
      <c r="I1367" s="1">
        <f t="shared" si="105"/>
        <v>1</v>
      </c>
      <c r="J1367" s="1" t="str">
        <f>'Source build'!A1367</f>
        <v>L01361</v>
      </c>
      <c r="K1367" s="1">
        <f>1367</f>
        <v>1367</v>
      </c>
      <c r="L1367" s="10">
        <f t="shared" si="106"/>
        <v>2819</v>
      </c>
      <c r="M1367" s="1">
        <f t="shared" si="107"/>
        <v>1</v>
      </c>
      <c r="N1367" s="1">
        <f t="shared" si="108"/>
        <v>1</v>
      </c>
      <c r="O1367" s="1" t="str">
        <f>IF(I1367=0,"UNUSED",IF(A1367="","MISSING ID",IF(K1367=0,"UNEXPECTED ID",IF(N1367&lt;&gt;1,"ID / ORDER DIFFERENCE",IF('Source build'!U1367&lt;&gt;"INCLUDED","EXCLUDED SOURCE",IF(NOT(M1367),"INVALID AMOUNT",IF('Source build'!Y1367&lt;&gt;0,"CHANGED FIELDS","MATCH")))))))</f>
        <v>MATCH</v>
      </c>
      <c r="P1367" s="1" t="str">
        <f t="shared" si="109"/>
        <v>2026-03</v>
      </c>
    </row>
    <row r="1368" spans="1:16" ht="18.95" customHeight="1">
      <c r="A1368" s="7" t="s">
        <v>3598</v>
      </c>
      <c r="B1368" s="7" t="s">
        <v>3596</v>
      </c>
      <c r="C1368" s="7" t="s">
        <v>398</v>
      </c>
      <c r="D1368" s="7" t="s">
        <v>103</v>
      </c>
      <c r="E1368" s="7" t="s">
        <v>48</v>
      </c>
      <c r="F1368" s="7" t="s">
        <v>98</v>
      </c>
      <c r="G1368" s="7" t="s">
        <v>5144</v>
      </c>
      <c r="I1368" s="1">
        <f t="shared" si="105"/>
        <v>1</v>
      </c>
      <c r="J1368" s="1" t="str">
        <f>'Source build'!A1368</f>
        <v>L01362</v>
      </c>
      <c r="K1368" s="1">
        <f>1368</f>
        <v>1368</v>
      </c>
      <c r="L1368" s="10">
        <f t="shared" si="106"/>
        <v>8568</v>
      </c>
      <c r="M1368" s="1">
        <f t="shared" si="107"/>
        <v>1</v>
      </c>
      <c r="N1368" s="1">
        <f t="shared" si="108"/>
        <v>1</v>
      </c>
      <c r="O1368" s="1" t="str">
        <f>IF(I1368=0,"UNUSED",IF(A1368="","MISSING ID",IF(K1368=0,"UNEXPECTED ID",IF(N1368&lt;&gt;1,"ID / ORDER DIFFERENCE",IF('Source build'!U1368&lt;&gt;"INCLUDED","EXCLUDED SOURCE",IF(NOT(M1368),"INVALID AMOUNT",IF('Source build'!Y1368&lt;&gt;0,"CHANGED FIELDS","MATCH")))))))</f>
        <v>MATCH</v>
      </c>
      <c r="P1368" s="1" t="str">
        <f t="shared" si="109"/>
        <v>2026-03</v>
      </c>
    </row>
    <row r="1369" spans="1:16" ht="18.95" customHeight="1">
      <c r="A1369" s="7" t="s">
        <v>3600</v>
      </c>
      <c r="B1369" s="7" t="s">
        <v>3601</v>
      </c>
      <c r="C1369" s="7" t="s">
        <v>404</v>
      </c>
      <c r="D1369" s="7" t="s">
        <v>93</v>
      </c>
      <c r="E1369" s="7" t="s">
        <v>46</v>
      </c>
      <c r="F1369" s="7" t="s">
        <v>98</v>
      </c>
      <c r="G1369" s="7" t="s">
        <v>3602</v>
      </c>
      <c r="I1369" s="1">
        <f t="shared" si="105"/>
        <v>1</v>
      </c>
      <c r="J1369" s="1" t="str">
        <f>'Source build'!A1369</f>
        <v>L01363</v>
      </c>
      <c r="K1369" s="1">
        <f>1369</f>
        <v>1369</v>
      </c>
      <c r="L1369" s="10">
        <f t="shared" si="106"/>
        <v>14465</v>
      </c>
      <c r="M1369" s="1">
        <f t="shared" si="107"/>
        <v>1</v>
      </c>
      <c r="N1369" s="1">
        <f t="shared" si="108"/>
        <v>1</v>
      </c>
      <c r="O1369" s="1" t="str">
        <f>IF(I1369=0,"UNUSED",IF(A1369="","MISSING ID",IF(K1369=0,"UNEXPECTED ID",IF(N1369&lt;&gt;1,"ID / ORDER DIFFERENCE",IF('Source build'!U1369&lt;&gt;"INCLUDED","EXCLUDED SOURCE",IF(NOT(M1369),"INVALID AMOUNT",IF('Source build'!Y1369&lt;&gt;0,"CHANGED FIELDS","MATCH")))))))</f>
        <v>MATCH</v>
      </c>
      <c r="P1369" s="1" t="str">
        <f t="shared" si="109"/>
        <v>2026-03</v>
      </c>
    </row>
    <row r="1370" spans="1:16" ht="18.95" customHeight="1">
      <c r="A1370" s="7" t="s">
        <v>3603</v>
      </c>
      <c r="B1370" s="7" t="s">
        <v>3601</v>
      </c>
      <c r="C1370" s="7" t="s">
        <v>404</v>
      </c>
      <c r="D1370" s="7" t="s">
        <v>97</v>
      </c>
      <c r="E1370" s="7" t="s">
        <v>47</v>
      </c>
      <c r="F1370" s="7" t="s">
        <v>98</v>
      </c>
      <c r="G1370" s="7" t="s">
        <v>3604</v>
      </c>
      <c r="I1370" s="1">
        <f t="shared" si="105"/>
        <v>1</v>
      </c>
      <c r="J1370" s="1" t="str">
        <f>'Source build'!A1370</f>
        <v>L01364</v>
      </c>
      <c r="K1370" s="1">
        <f>1370</f>
        <v>1370</v>
      </c>
      <c r="L1370" s="10">
        <f t="shared" si="106"/>
        <v>5860</v>
      </c>
      <c r="M1370" s="1">
        <f t="shared" si="107"/>
        <v>1</v>
      </c>
      <c r="N1370" s="1">
        <f t="shared" si="108"/>
        <v>1</v>
      </c>
      <c r="O1370" s="1" t="str">
        <f>IF(I1370=0,"UNUSED",IF(A1370="","MISSING ID",IF(K1370=0,"UNEXPECTED ID",IF(N1370&lt;&gt;1,"ID / ORDER DIFFERENCE",IF('Source build'!U1370&lt;&gt;"INCLUDED","EXCLUDED SOURCE",IF(NOT(M1370),"INVALID AMOUNT",IF('Source build'!Y1370&lt;&gt;0,"CHANGED FIELDS","MATCH")))))))</f>
        <v>MATCH</v>
      </c>
      <c r="P1370" s="1" t="str">
        <f t="shared" si="109"/>
        <v>2026-03</v>
      </c>
    </row>
    <row r="1371" spans="1:16" ht="18.95" customHeight="1">
      <c r="A1371" s="7" t="s">
        <v>3605</v>
      </c>
      <c r="B1371" s="7" t="s">
        <v>3606</v>
      </c>
      <c r="C1371" s="7" t="s">
        <v>410</v>
      </c>
      <c r="D1371" s="7" t="s">
        <v>103</v>
      </c>
      <c r="E1371" s="7" t="s">
        <v>48</v>
      </c>
      <c r="F1371" s="7" t="s">
        <v>98</v>
      </c>
      <c r="G1371" s="7" t="s">
        <v>3607</v>
      </c>
      <c r="I1371" s="1">
        <f t="shared" si="105"/>
        <v>1</v>
      </c>
      <c r="J1371" s="1" t="str">
        <f>'Source build'!A1371</f>
        <v>L01365</v>
      </c>
      <c r="K1371" s="1">
        <f>1371</f>
        <v>1371</v>
      </c>
      <c r="L1371" s="10">
        <f t="shared" si="106"/>
        <v>11868</v>
      </c>
      <c r="M1371" s="1">
        <f t="shared" si="107"/>
        <v>1</v>
      </c>
      <c r="N1371" s="1">
        <f t="shared" si="108"/>
        <v>1</v>
      </c>
      <c r="O1371" s="1" t="str">
        <f>IF(I1371=0,"UNUSED",IF(A1371="","MISSING ID",IF(K1371=0,"UNEXPECTED ID",IF(N1371&lt;&gt;1,"ID / ORDER DIFFERENCE",IF('Source build'!U1371&lt;&gt;"INCLUDED","EXCLUDED SOURCE",IF(NOT(M1371),"INVALID AMOUNT",IF('Source build'!Y1371&lt;&gt;0,"CHANGED FIELDS","MATCH")))))))</f>
        <v>MATCH</v>
      </c>
      <c r="P1371" s="1" t="str">
        <f t="shared" si="109"/>
        <v>2026-01</v>
      </c>
    </row>
    <row r="1372" spans="1:16" ht="18.95" customHeight="1">
      <c r="A1372" s="7" t="s">
        <v>3608</v>
      </c>
      <c r="B1372" s="7" t="s">
        <v>3606</v>
      </c>
      <c r="C1372" s="7" t="s">
        <v>410</v>
      </c>
      <c r="D1372" s="7" t="s">
        <v>93</v>
      </c>
      <c r="E1372" s="7" t="s">
        <v>46</v>
      </c>
      <c r="F1372" s="7" t="s">
        <v>98</v>
      </c>
      <c r="G1372" s="7" t="s">
        <v>3609</v>
      </c>
      <c r="I1372" s="1">
        <f t="shared" si="105"/>
        <v>1</v>
      </c>
      <c r="J1372" s="1" t="str">
        <f>'Source build'!A1372</f>
        <v>L01366</v>
      </c>
      <c r="K1372" s="1">
        <f>1372</f>
        <v>1372</v>
      </c>
      <c r="L1372" s="10">
        <f t="shared" si="106"/>
        <v>3004</v>
      </c>
      <c r="M1372" s="1">
        <f t="shared" si="107"/>
        <v>1</v>
      </c>
      <c r="N1372" s="1">
        <f t="shared" si="108"/>
        <v>1</v>
      </c>
      <c r="O1372" s="1" t="str">
        <f>IF(I1372=0,"UNUSED",IF(A1372="","MISSING ID",IF(K1372=0,"UNEXPECTED ID",IF(N1372&lt;&gt;1,"ID / ORDER DIFFERENCE",IF('Source build'!U1372&lt;&gt;"INCLUDED","EXCLUDED SOURCE",IF(NOT(M1372),"INVALID AMOUNT",IF('Source build'!Y1372&lt;&gt;0,"CHANGED FIELDS","MATCH")))))))</f>
        <v>MATCH</v>
      </c>
      <c r="P1372" s="1" t="str">
        <f t="shared" si="109"/>
        <v>2026-01</v>
      </c>
    </row>
    <row r="1373" spans="1:16" ht="18.95" customHeight="1">
      <c r="A1373" s="7" t="s">
        <v>3610</v>
      </c>
      <c r="B1373" s="7" t="s">
        <v>3611</v>
      </c>
      <c r="C1373" s="7" t="s">
        <v>416</v>
      </c>
      <c r="D1373" s="7" t="s">
        <v>97</v>
      </c>
      <c r="E1373" s="7" t="s">
        <v>47</v>
      </c>
      <c r="F1373" s="7" t="s">
        <v>98</v>
      </c>
      <c r="G1373" s="7" t="s">
        <v>3612</v>
      </c>
      <c r="I1373" s="1">
        <f t="shared" si="105"/>
        <v>1</v>
      </c>
      <c r="J1373" s="1" t="str">
        <f>'Source build'!A1373</f>
        <v>L01367</v>
      </c>
      <c r="K1373" s="1">
        <f>1373</f>
        <v>1373</v>
      </c>
      <c r="L1373" s="10">
        <f t="shared" si="106"/>
        <v>9123</v>
      </c>
      <c r="M1373" s="1">
        <f t="shared" si="107"/>
        <v>1</v>
      </c>
      <c r="N1373" s="1">
        <f t="shared" si="108"/>
        <v>1</v>
      </c>
      <c r="O1373" s="1" t="str">
        <f>IF(I1373=0,"UNUSED",IF(A1373="","MISSING ID",IF(K1373=0,"UNEXPECTED ID",IF(N1373&lt;&gt;1,"ID / ORDER DIFFERENCE",IF('Source build'!U1373&lt;&gt;"INCLUDED","EXCLUDED SOURCE",IF(NOT(M1373),"INVALID AMOUNT",IF('Source build'!Y1373&lt;&gt;0,"CHANGED FIELDS","MATCH")))))))</f>
        <v>MATCH</v>
      </c>
      <c r="P1373" s="1" t="str">
        <f t="shared" si="109"/>
        <v>2026-01</v>
      </c>
    </row>
    <row r="1374" spans="1:16" ht="18.95" customHeight="1">
      <c r="A1374" s="7" t="s">
        <v>3613</v>
      </c>
      <c r="B1374" s="7" t="s">
        <v>3611</v>
      </c>
      <c r="C1374" s="7" t="s">
        <v>416</v>
      </c>
      <c r="D1374" s="7" t="s">
        <v>103</v>
      </c>
      <c r="E1374" s="7" t="s">
        <v>48</v>
      </c>
      <c r="F1374" s="7" t="s">
        <v>98</v>
      </c>
      <c r="G1374" s="7" t="s">
        <v>3614</v>
      </c>
      <c r="I1374" s="1">
        <f t="shared" si="105"/>
        <v>1</v>
      </c>
      <c r="J1374" s="1" t="str">
        <f>'Source build'!A1374</f>
        <v>L01368</v>
      </c>
      <c r="K1374" s="1">
        <f>1374</f>
        <v>1374</v>
      </c>
      <c r="L1374" s="10">
        <f t="shared" si="106"/>
        <v>15390</v>
      </c>
      <c r="M1374" s="1">
        <f t="shared" si="107"/>
        <v>1</v>
      </c>
      <c r="N1374" s="1">
        <f t="shared" si="108"/>
        <v>1</v>
      </c>
      <c r="O1374" s="1" t="str">
        <f>IF(I1374=0,"UNUSED",IF(A1374="","MISSING ID",IF(K1374=0,"UNEXPECTED ID",IF(N1374&lt;&gt;1,"ID / ORDER DIFFERENCE",IF('Source build'!U1374&lt;&gt;"INCLUDED","EXCLUDED SOURCE",IF(NOT(M1374),"INVALID AMOUNT",IF('Source build'!Y1374&lt;&gt;0,"CHANGED FIELDS","MATCH")))))))</f>
        <v>MATCH</v>
      </c>
      <c r="P1374" s="1" t="str">
        <f t="shared" si="109"/>
        <v>2026-01</v>
      </c>
    </row>
    <row r="1375" spans="1:16" ht="18.95" customHeight="1">
      <c r="A1375" s="7" t="s">
        <v>3615</v>
      </c>
      <c r="B1375" s="7" t="s">
        <v>3616</v>
      </c>
      <c r="C1375" s="7" t="s">
        <v>422</v>
      </c>
      <c r="D1375" s="7" t="s">
        <v>93</v>
      </c>
      <c r="E1375" s="7" t="s">
        <v>46</v>
      </c>
      <c r="F1375" s="7" t="s">
        <v>98</v>
      </c>
      <c r="G1375" s="7" t="s">
        <v>3617</v>
      </c>
      <c r="I1375" s="1">
        <f t="shared" si="105"/>
        <v>1</v>
      </c>
      <c r="J1375" s="1" t="str">
        <f>'Source build'!A1375</f>
        <v>L01369</v>
      </c>
      <c r="K1375" s="1">
        <f>1375</f>
        <v>1375</v>
      </c>
      <c r="L1375" s="10">
        <f t="shared" si="106"/>
        <v>6230</v>
      </c>
      <c r="M1375" s="1">
        <f t="shared" si="107"/>
        <v>1</v>
      </c>
      <c r="N1375" s="1">
        <f t="shared" si="108"/>
        <v>1</v>
      </c>
      <c r="O1375" s="1" t="str">
        <f>IF(I1375=0,"UNUSED",IF(A1375="","MISSING ID",IF(K1375=0,"UNEXPECTED ID",IF(N1375&lt;&gt;1,"ID / ORDER DIFFERENCE",IF('Source build'!U1375&lt;&gt;"INCLUDED","EXCLUDED SOURCE",IF(NOT(M1375),"INVALID AMOUNT",IF('Source build'!Y1375&lt;&gt;0,"CHANGED FIELDS","MATCH")))))))</f>
        <v>MATCH</v>
      </c>
      <c r="P1375" s="1" t="str">
        <f t="shared" si="109"/>
        <v>2026-01</v>
      </c>
    </row>
    <row r="1376" spans="1:16" ht="18.95" customHeight="1">
      <c r="A1376" s="7" t="s">
        <v>3618</v>
      </c>
      <c r="B1376" s="7" t="s">
        <v>3616</v>
      </c>
      <c r="C1376" s="7" t="s">
        <v>422</v>
      </c>
      <c r="D1376" s="7" t="s">
        <v>97</v>
      </c>
      <c r="E1376" s="7" t="s">
        <v>47</v>
      </c>
      <c r="F1376" s="7" t="s">
        <v>98</v>
      </c>
      <c r="G1376" s="7" t="s">
        <v>3619</v>
      </c>
      <c r="I1376" s="1">
        <f t="shared" si="105"/>
        <v>1</v>
      </c>
      <c r="J1376" s="1" t="str">
        <f>'Source build'!A1376</f>
        <v>L01370</v>
      </c>
      <c r="K1376" s="1">
        <f>1376</f>
        <v>1376</v>
      </c>
      <c r="L1376" s="10">
        <f t="shared" si="106"/>
        <v>12608</v>
      </c>
      <c r="M1376" s="1">
        <f t="shared" si="107"/>
        <v>1</v>
      </c>
      <c r="N1376" s="1">
        <f t="shared" si="108"/>
        <v>1</v>
      </c>
      <c r="O1376" s="1" t="str">
        <f>IF(I1376=0,"UNUSED",IF(A1376="","MISSING ID",IF(K1376=0,"UNEXPECTED ID",IF(N1376&lt;&gt;1,"ID / ORDER DIFFERENCE",IF('Source build'!U1376&lt;&gt;"INCLUDED","EXCLUDED SOURCE",IF(NOT(M1376),"INVALID AMOUNT",IF('Source build'!Y1376&lt;&gt;0,"CHANGED FIELDS","MATCH")))))))</f>
        <v>MATCH</v>
      </c>
      <c r="P1376" s="1" t="str">
        <f t="shared" si="109"/>
        <v>2026-01</v>
      </c>
    </row>
    <row r="1377" spans="1:16" ht="18.95" customHeight="1">
      <c r="A1377" s="7" t="s">
        <v>3620</v>
      </c>
      <c r="B1377" s="7" t="s">
        <v>3621</v>
      </c>
      <c r="C1377" s="7" t="s">
        <v>428</v>
      </c>
      <c r="D1377" s="7" t="s">
        <v>103</v>
      </c>
      <c r="E1377" s="7" t="s">
        <v>48</v>
      </c>
      <c r="F1377" s="7" t="s">
        <v>98</v>
      </c>
      <c r="G1377" s="7" t="s">
        <v>3622</v>
      </c>
      <c r="I1377" s="1">
        <f t="shared" si="105"/>
        <v>1</v>
      </c>
      <c r="J1377" s="1" t="str">
        <f>'Source build'!A1377</f>
        <v>L01371</v>
      </c>
      <c r="K1377" s="1">
        <f>1377</f>
        <v>1377</v>
      </c>
      <c r="L1377" s="10">
        <f t="shared" si="106"/>
        <v>3189</v>
      </c>
      <c r="M1377" s="1">
        <f t="shared" si="107"/>
        <v>1</v>
      </c>
      <c r="N1377" s="1">
        <f t="shared" si="108"/>
        <v>1</v>
      </c>
      <c r="O1377" s="1" t="str">
        <f>IF(I1377=0,"UNUSED",IF(A1377="","MISSING ID",IF(K1377=0,"UNEXPECTED ID",IF(N1377&lt;&gt;1,"ID / ORDER DIFFERENCE",IF('Source build'!U1377&lt;&gt;"INCLUDED","EXCLUDED SOURCE",IF(NOT(M1377),"INVALID AMOUNT",IF('Source build'!Y1377&lt;&gt;0,"CHANGED FIELDS","MATCH")))))))</f>
        <v>MATCH</v>
      </c>
      <c r="P1377" s="1" t="str">
        <f t="shared" si="109"/>
        <v>2026-01</v>
      </c>
    </row>
    <row r="1378" spans="1:16" ht="18.95" customHeight="1">
      <c r="A1378" s="7" t="s">
        <v>3623</v>
      </c>
      <c r="B1378" s="7" t="s">
        <v>3621</v>
      </c>
      <c r="C1378" s="7" t="s">
        <v>428</v>
      </c>
      <c r="D1378" s="7" t="s">
        <v>93</v>
      </c>
      <c r="E1378" s="7" t="s">
        <v>46</v>
      </c>
      <c r="F1378" s="7" t="s">
        <v>98</v>
      </c>
      <c r="G1378" s="7" t="s">
        <v>3624</v>
      </c>
      <c r="I1378" s="1">
        <f t="shared" si="105"/>
        <v>1</v>
      </c>
      <c r="J1378" s="1" t="str">
        <f>'Source build'!A1378</f>
        <v>L01372</v>
      </c>
      <c r="K1378" s="1">
        <f>1378</f>
        <v>1378</v>
      </c>
      <c r="L1378" s="10">
        <f t="shared" si="106"/>
        <v>9678</v>
      </c>
      <c r="M1378" s="1">
        <f t="shared" si="107"/>
        <v>1</v>
      </c>
      <c r="N1378" s="1">
        <f t="shared" si="108"/>
        <v>1</v>
      </c>
      <c r="O1378" s="1" t="str">
        <f>IF(I1378=0,"UNUSED",IF(A1378="","MISSING ID",IF(K1378=0,"UNEXPECTED ID",IF(N1378&lt;&gt;1,"ID / ORDER DIFFERENCE",IF('Source build'!U1378&lt;&gt;"INCLUDED","EXCLUDED SOURCE",IF(NOT(M1378),"INVALID AMOUNT",IF('Source build'!Y1378&lt;&gt;0,"CHANGED FIELDS","MATCH")))))))</f>
        <v>MATCH</v>
      </c>
      <c r="P1378" s="1" t="str">
        <f t="shared" si="109"/>
        <v>2026-01</v>
      </c>
    </row>
    <row r="1379" spans="1:16" ht="18.95" customHeight="1">
      <c r="A1379" s="7" t="s">
        <v>3625</v>
      </c>
      <c r="B1379" s="7" t="s">
        <v>3626</v>
      </c>
      <c r="C1379" s="7" t="s">
        <v>434</v>
      </c>
      <c r="D1379" s="7" t="s">
        <v>97</v>
      </c>
      <c r="E1379" s="7" t="s">
        <v>47</v>
      </c>
      <c r="F1379" s="7" t="s">
        <v>98</v>
      </c>
      <c r="G1379" s="7" t="s">
        <v>3627</v>
      </c>
      <c r="I1379" s="1">
        <f t="shared" si="105"/>
        <v>1</v>
      </c>
      <c r="J1379" s="1" t="str">
        <f>'Source build'!A1379</f>
        <v>L01373</v>
      </c>
      <c r="K1379" s="1">
        <f>1379</f>
        <v>1379</v>
      </c>
      <c r="L1379" s="10">
        <f t="shared" si="106"/>
        <v>16315</v>
      </c>
      <c r="M1379" s="1">
        <f t="shared" si="107"/>
        <v>1</v>
      </c>
      <c r="N1379" s="1">
        <f t="shared" si="108"/>
        <v>1</v>
      </c>
      <c r="O1379" s="1" t="str">
        <f>IF(I1379=0,"UNUSED",IF(A1379="","MISSING ID",IF(K1379=0,"UNEXPECTED ID",IF(N1379&lt;&gt;1,"ID / ORDER DIFFERENCE",IF('Source build'!U1379&lt;&gt;"INCLUDED","EXCLUDED SOURCE",IF(NOT(M1379),"INVALID AMOUNT",IF('Source build'!Y1379&lt;&gt;0,"CHANGED FIELDS","MATCH")))))))</f>
        <v>MATCH</v>
      </c>
      <c r="P1379" s="1" t="str">
        <f t="shared" si="109"/>
        <v>2026-02</v>
      </c>
    </row>
    <row r="1380" spans="1:16" ht="18.95" customHeight="1">
      <c r="A1380" s="7" t="s">
        <v>3628</v>
      </c>
      <c r="B1380" s="7" t="s">
        <v>3626</v>
      </c>
      <c r="C1380" s="7" t="s">
        <v>434</v>
      </c>
      <c r="D1380" s="7" t="s">
        <v>103</v>
      </c>
      <c r="E1380" s="7" t="s">
        <v>48</v>
      </c>
      <c r="F1380" s="7" t="s">
        <v>98</v>
      </c>
      <c r="G1380" s="7" t="s">
        <v>3629</v>
      </c>
      <c r="I1380" s="1">
        <f t="shared" si="105"/>
        <v>1</v>
      </c>
      <c r="J1380" s="1" t="str">
        <f>'Source build'!A1380</f>
        <v>L01374</v>
      </c>
      <c r="K1380" s="1">
        <f>1380</f>
        <v>1380</v>
      </c>
      <c r="L1380" s="10">
        <f t="shared" si="106"/>
        <v>6600</v>
      </c>
      <c r="M1380" s="1">
        <f t="shared" si="107"/>
        <v>1</v>
      </c>
      <c r="N1380" s="1">
        <f t="shared" si="108"/>
        <v>1</v>
      </c>
      <c r="O1380" s="1" t="str">
        <f>IF(I1380=0,"UNUSED",IF(A1380="","MISSING ID",IF(K1380=0,"UNEXPECTED ID",IF(N1380&lt;&gt;1,"ID / ORDER DIFFERENCE",IF('Source build'!U1380&lt;&gt;"INCLUDED","EXCLUDED SOURCE",IF(NOT(M1380),"INVALID AMOUNT",IF('Source build'!Y1380&lt;&gt;0,"CHANGED FIELDS","MATCH")))))))</f>
        <v>MATCH</v>
      </c>
      <c r="P1380" s="1" t="str">
        <f t="shared" si="109"/>
        <v>2026-02</v>
      </c>
    </row>
    <row r="1381" spans="1:16" ht="18.95" customHeight="1">
      <c r="A1381" s="7" t="s">
        <v>3630</v>
      </c>
      <c r="B1381" s="7" t="s">
        <v>3631</v>
      </c>
      <c r="C1381" s="7" t="s">
        <v>440</v>
      </c>
      <c r="D1381" s="7" t="s">
        <v>93</v>
      </c>
      <c r="E1381" s="7" t="s">
        <v>46</v>
      </c>
      <c r="F1381" s="7" t="s">
        <v>98</v>
      </c>
      <c r="G1381" s="7" t="s">
        <v>3632</v>
      </c>
      <c r="I1381" s="1">
        <f t="shared" si="105"/>
        <v>1</v>
      </c>
      <c r="J1381" s="1" t="str">
        <f>'Source build'!A1381</f>
        <v>L01375</v>
      </c>
      <c r="K1381" s="1">
        <f>1381</f>
        <v>1381</v>
      </c>
      <c r="L1381" s="10">
        <f t="shared" si="106"/>
        <v>13348</v>
      </c>
      <c r="M1381" s="1">
        <f t="shared" si="107"/>
        <v>1</v>
      </c>
      <c r="N1381" s="1">
        <f t="shared" si="108"/>
        <v>1</v>
      </c>
      <c r="O1381" s="1" t="str">
        <f>IF(I1381=0,"UNUSED",IF(A1381="","MISSING ID",IF(K1381=0,"UNEXPECTED ID",IF(N1381&lt;&gt;1,"ID / ORDER DIFFERENCE",IF('Source build'!U1381&lt;&gt;"INCLUDED","EXCLUDED SOURCE",IF(NOT(M1381),"INVALID AMOUNT",IF('Source build'!Y1381&lt;&gt;0,"CHANGED FIELDS","MATCH")))))))</f>
        <v>MATCH</v>
      </c>
      <c r="P1381" s="1" t="str">
        <f t="shared" si="109"/>
        <v>2026-02</v>
      </c>
    </row>
    <row r="1382" spans="1:16" ht="18.95" customHeight="1">
      <c r="A1382" s="7" t="s">
        <v>3633</v>
      </c>
      <c r="B1382" s="7" t="s">
        <v>3631</v>
      </c>
      <c r="C1382" s="7" t="s">
        <v>440</v>
      </c>
      <c r="D1382" s="7" t="s">
        <v>97</v>
      </c>
      <c r="E1382" s="7" t="s">
        <v>47</v>
      </c>
      <c r="F1382" s="7" t="s">
        <v>98</v>
      </c>
      <c r="G1382" s="7" t="s">
        <v>3634</v>
      </c>
      <c r="I1382" s="1">
        <f t="shared" si="105"/>
        <v>1</v>
      </c>
      <c r="J1382" s="1" t="str">
        <f>'Source build'!A1382</f>
        <v>L01376</v>
      </c>
      <c r="K1382" s="1">
        <f>1382</f>
        <v>1382</v>
      </c>
      <c r="L1382" s="10">
        <f t="shared" si="106"/>
        <v>3374</v>
      </c>
      <c r="M1382" s="1">
        <f t="shared" si="107"/>
        <v>1</v>
      </c>
      <c r="N1382" s="1">
        <f t="shared" si="108"/>
        <v>1</v>
      </c>
      <c r="O1382" s="1" t="str">
        <f>IF(I1382=0,"UNUSED",IF(A1382="","MISSING ID",IF(K1382=0,"UNEXPECTED ID",IF(N1382&lt;&gt;1,"ID / ORDER DIFFERENCE",IF('Source build'!U1382&lt;&gt;"INCLUDED","EXCLUDED SOURCE",IF(NOT(M1382),"INVALID AMOUNT",IF('Source build'!Y1382&lt;&gt;0,"CHANGED FIELDS","MATCH")))))))</f>
        <v>MATCH</v>
      </c>
      <c r="P1382" s="1" t="str">
        <f t="shared" si="109"/>
        <v>2026-02</v>
      </c>
    </row>
    <row r="1383" spans="1:16" ht="18.95" customHeight="1">
      <c r="A1383" s="7" t="s">
        <v>3635</v>
      </c>
      <c r="B1383" s="7" t="s">
        <v>3636</v>
      </c>
      <c r="C1383" s="7" t="s">
        <v>446</v>
      </c>
      <c r="D1383" s="7" t="s">
        <v>103</v>
      </c>
      <c r="E1383" s="7" t="s">
        <v>48</v>
      </c>
      <c r="F1383" s="7" t="s">
        <v>98</v>
      </c>
      <c r="G1383" s="7" t="s">
        <v>3637</v>
      </c>
      <c r="I1383" s="1">
        <f t="shared" si="105"/>
        <v>1</v>
      </c>
      <c r="J1383" s="1" t="str">
        <f>'Source build'!A1383</f>
        <v>L01377</v>
      </c>
      <c r="K1383" s="1">
        <f>1383</f>
        <v>1383</v>
      </c>
      <c r="L1383" s="10">
        <f t="shared" si="106"/>
        <v>10233</v>
      </c>
      <c r="M1383" s="1">
        <f t="shared" si="107"/>
        <v>1</v>
      </c>
      <c r="N1383" s="1">
        <f t="shared" si="108"/>
        <v>1</v>
      </c>
      <c r="O1383" s="1" t="str">
        <f>IF(I1383=0,"UNUSED",IF(A1383="","MISSING ID",IF(K1383=0,"UNEXPECTED ID",IF(N1383&lt;&gt;1,"ID / ORDER DIFFERENCE",IF('Source build'!U1383&lt;&gt;"INCLUDED","EXCLUDED SOURCE",IF(NOT(M1383),"INVALID AMOUNT",IF('Source build'!Y1383&lt;&gt;0,"CHANGED FIELDS","MATCH")))))))</f>
        <v>MATCH</v>
      </c>
      <c r="P1383" s="1" t="str">
        <f t="shared" si="109"/>
        <v>2026-02</v>
      </c>
    </row>
    <row r="1384" spans="1:16" ht="18.95" customHeight="1">
      <c r="A1384" s="7" t="s">
        <v>3638</v>
      </c>
      <c r="B1384" s="7" t="s">
        <v>3636</v>
      </c>
      <c r="C1384" s="7" t="s">
        <v>446</v>
      </c>
      <c r="D1384" s="7" t="s">
        <v>93</v>
      </c>
      <c r="E1384" s="7" t="s">
        <v>46</v>
      </c>
      <c r="F1384" s="7" t="s">
        <v>98</v>
      </c>
      <c r="G1384" s="7" t="s">
        <v>3639</v>
      </c>
      <c r="I1384" s="1">
        <f t="shared" si="105"/>
        <v>1</v>
      </c>
      <c r="J1384" s="1" t="str">
        <f>'Source build'!A1384</f>
        <v>L01378</v>
      </c>
      <c r="K1384" s="1">
        <f>1384</f>
        <v>1384</v>
      </c>
      <c r="L1384" s="10">
        <f t="shared" si="106"/>
        <v>17240</v>
      </c>
      <c r="M1384" s="1">
        <f t="shared" si="107"/>
        <v>1</v>
      </c>
      <c r="N1384" s="1">
        <f t="shared" si="108"/>
        <v>1</v>
      </c>
      <c r="O1384" s="1" t="str">
        <f>IF(I1384=0,"UNUSED",IF(A1384="","MISSING ID",IF(K1384=0,"UNEXPECTED ID",IF(N1384&lt;&gt;1,"ID / ORDER DIFFERENCE",IF('Source build'!U1384&lt;&gt;"INCLUDED","EXCLUDED SOURCE",IF(NOT(M1384),"INVALID AMOUNT",IF('Source build'!Y1384&lt;&gt;0,"CHANGED FIELDS","MATCH")))))))</f>
        <v>MATCH</v>
      </c>
      <c r="P1384" s="1" t="str">
        <f t="shared" si="109"/>
        <v>2026-02</v>
      </c>
    </row>
    <row r="1385" spans="1:16" ht="18.95" customHeight="1">
      <c r="A1385" s="7" t="s">
        <v>3640</v>
      </c>
      <c r="B1385" s="7" t="s">
        <v>3641</v>
      </c>
      <c r="C1385" s="7" t="s">
        <v>452</v>
      </c>
      <c r="D1385" s="7" t="s">
        <v>97</v>
      </c>
      <c r="E1385" s="7" t="s">
        <v>47</v>
      </c>
      <c r="F1385" s="7" t="s">
        <v>98</v>
      </c>
      <c r="G1385" s="7" t="s">
        <v>3642</v>
      </c>
      <c r="I1385" s="1">
        <f t="shared" si="105"/>
        <v>1</v>
      </c>
      <c r="J1385" s="1" t="str">
        <f>'Source build'!A1385</f>
        <v>L01379</v>
      </c>
      <c r="K1385" s="1">
        <f>1385</f>
        <v>1385</v>
      </c>
      <c r="L1385" s="10">
        <f t="shared" si="106"/>
        <v>6970</v>
      </c>
      <c r="M1385" s="1">
        <f t="shared" si="107"/>
        <v>1</v>
      </c>
      <c r="N1385" s="1">
        <f t="shared" si="108"/>
        <v>1</v>
      </c>
      <c r="O1385" s="1" t="str">
        <f>IF(I1385=0,"UNUSED",IF(A1385="","MISSING ID",IF(K1385=0,"UNEXPECTED ID",IF(N1385&lt;&gt;1,"ID / ORDER DIFFERENCE",IF('Source build'!U1385&lt;&gt;"INCLUDED","EXCLUDED SOURCE",IF(NOT(M1385),"INVALID AMOUNT",IF('Source build'!Y1385&lt;&gt;0,"CHANGED FIELDS","MATCH")))))))</f>
        <v>MATCH</v>
      </c>
      <c r="P1385" s="1" t="str">
        <f t="shared" si="109"/>
        <v>2026-02</v>
      </c>
    </row>
    <row r="1386" spans="1:16" ht="18.95" customHeight="1">
      <c r="A1386" s="7" t="s">
        <v>3643</v>
      </c>
      <c r="B1386" s="7" t="s">
        <v>3641</v>
      </c>
      <c r="C1386" s="7" t="s">
        <v>452</v>
      </c>
      <c r="D1386" s="7" t="s">
        <v>103</v>
      </c>
      <c r="E1386" s="7" t="s">
        <v>48</v>
      </c>
      <c r="F1386" s="7" t="s">
        <v>98</v>
      </c>
      <c r="G1386" s="7" t="s">
        <v>3644</v>
      </c>
      <c r="I1386" s="1">
        <f t="shared" si="105"/>
        <v>1</v>
      </c>
      <c r="J1386" s="1" t="str">
        <f>'Source build'!A1386</f>
        <v>L01380</v>
      </c>
      <c r="K1386" s="1">
        <f>1386</f>
        <v>1386</v>
      </c>
      <c r="L1386" s="10">
        <f t="shared" si="106"/>
        <v>14088</v>
      </c>
      <c r="M1386" s="1">
        <f t="shared" si="107"/>
        <v>1</v>
      </c>
      <c r="N1386" s="1">
        <f t="shared" si="108"/>
        <v>1</v>
      </c>
      <c r="O1386" s="1" t="str">
        <f>IF(I1386=0,"UNUSED",IF(A1386="","MISSING ID",IF(K1386=0,"UNEXPECTED ID",IF(N1386&lt;&gt;1,"ID / ORDER DIFFERENCE",IF('Source build'!U1386&lt;&gt;"INCLUDED","EXCLUDED SOURCE",IF(NOT(M1386),"INVALID AMOUNT",IF('Source build'!Y1386&lt;&gt;0,"CHANGED FIELDS","MATCH")))))))</f>
        <v>MATCH</v>
      </c>
      <c r="P1386" s="1" t="str">
        <f t="shared" si="109"/>
        <v>2026-02</v>
      </c>
    </row>
    <row r="1387" spans="1:16" ht="18.95" customHeight="1">
      <c r="A1387" s="7" t="s">
        <v>3645</v>
      </c>
      <c r="B1387" s="7" t="s">
        <v>3646</v>
      </c>
      <c r="C1387" s="7" t="s">
        <v>458</v>
      </c>
      <c r="D1387" s="7" t="s">
        <v>93</v>
      </c>
      <c r="E1387" s="7" t="s">
        <v>46</v>
      </c>
      <c r="F1387" s="7" t="s">
        <v>94</v>
      </c>
      <c r="G1387" s="7" t="s">
        <v>3647</v>
      </c>
      <c r="I1387" s="1">
        <f t="shared" si="105"/>
        <v>1</v>
      </c>
      <c r="J1387" s="1" t="str">
        <f>'Source build'!A1387</f>
        <v>L01381</v>
      </c>
      <c r="K1387" s="1">
        <f>1387</f>
        <v>1387</v>
      </c>
      <c r="L1387" s="10">
        <f t="shared" si="106"/>
        <v>-3559</v>
      </c>
      <c r="M1387" s="1">
        <f t="shared" si="107"/>
        <v>1</v>
      </c>
      <c r="N1387" s="1">
        <f t="shared" si="108"/>
        <v>1</v>
      </c>
      <c r="O1387" s="1" t="str">
        <f>IF(I1387=0,"UNUSED",IF(A1387="","MISSING ID",IF(K1387=0,"UNEXPECTED ID",IF(N1387&lt;&gt;1,"ID / ORDER DIFFERENCE",IF('Source build'!U1387&lt;&gt;"INCLUDED","EXCLUDED SOURCE",IF(NOT(M1387),"INVALID AMOUNT",IF('Source build'!Y1387&lt;&gt;0,"CHANGED FIELDS","MATCH")))))))</f>
        <v>MATCH</v>
      </c>
      <c r="P1387" s="1" t="str">
        <f t="shared" si="109"/>
        <v>2026-03</v>
      </c>
    </row>
    <row r="1388" spans="1:16" ht="18.95" customHeight="1">
      <c r="A1388" s="7" t="s">
        <v>3648</v>
      </c>
      <c r="B1388" s="7" t="s">
        <v>3646</v>
      </c>
      <c r="C1388" s="7" t="s">
        <v>458</v>
      </c>
      <c r="D1388" s="7" t="s">
        <v>97</v>
      </c>
      <c r="E1388" s="7" t="s">
        <v>47</v>
      </c>
      <c r="F1388" s="7" t="s">
        <v>98</v>
      </c>
      <c r="G1388" s="7" t="s">
        <v>3649</v>
      </c>
      <c r="I1388" s="1">
        <f t="shared" si="105"/>
        <v>1</v>
      </c>
      <c r="J1388" s="1" t="str">
        <f>'Source build'!A1388</f>
        <v>L01382</v>
      </c>
      <c r="K1388" s="1">
        <f>1388</f>
        <v>1388</v>
      </c>
      <c r="L1388" s="10">
        <f t="shared" si="106"/>
        <v>10788</v>
      </c>
      <c r="M1388" s="1">
        <f t="shared" si="107"/>
        <v>1</v>
      </c>
      <c r="N1388" s="1">
        <f t="shared" si="108"/>
        <v>1</v>
      </c>
      <c r="O1388" s="1" t="str">
        <f>IF(I1388=0,"UNUSED",IF(A1388="","MISSING ID",IF(K1388=0,"UNEXPECTED ID",IF(N1388&lt;&gt;1,"ID / ORDER DIFFERENCE",IF('Source build'!U1388&lt;&gt;"INCLUDED","EXCLUDED SOURCE",IF(NOT(M1388),"INVALID AMOUNT",IF('Source build'!Y1388&lt;&gt;0,"CHANGED FIELDS","MATCH")))))))</f>
        <v>MATCH</v>
      </c>
      <c r="P1388" s="1" t="str">
        <f t="shared" si="109"/>
        <v>2026-03</v>
      </c>
    </row>
    <row r="1389" spans="1:16" ht="18.95" customHeight="1">
      <c r="A1389" s="7" t="s">
        <v>3650</v>
      </c>
      <c r="B1389" s="7" t="s">
        <v>3651</v>
      </c>
      <c r="C1389" s="7" t="s">
        <v>464</v>
      </c>
      <c r="D1389" s="7" t="s">
        <v>103</v>
      </c>
      <c r="E1389" s="7" t="s">
        <v>48</v>
      </c>
      <c r="F1389" s="7" t="s">
        <v>98</v>
      </c>
      <c r="G1389" s="7" t="s">
        <v>3652</v>
      </c>
      <c r="I1389" s="1">
        <f t="shared" si="105"/>
        <v>1</v>
      </c>
      <c r="J1389" s="1" t="str">
        <f>'Source build'!A1389</f>
        <v>L01383</v>
      </c>
      <c r="K1389" s="1">
        <f>1389</f>
        <v>1389</v>
      </c>
      <c r="L1389" s="10">
        <f t="shared" si="106"/>
        <v>18165</v>
      </c>
      <c r="M1389" s="1">
        <f t="shared" si="107"/>
        <v>1</v>
      </c>
      <c r="N1389" s="1">
        <f t="shared" si="108"/>
        <v>1</v>
      </c>
      <c r="O1389" s="1" t="str">
        <f>IF(I1389=0,"UNUSED",IF(A1389="","MISSING ID",IF(K1389=0,"UNEXPECTED ID",IF(N1389&lt;&gt;1,"ID / ORDER DIFFERENCE",IF('Source build'!U1389&lt;&gt;"INCLUDED","EXCLUDED SOURCE",IF(NOT(M1389),"INVALID AMOUNT",IF('Source build'!Y1389&lt;&gt;0,"CHANGED FIELDS","MATCH")))))))</f>
        <v>MATCH</v>
      </c>
      <c r="P1389" s="1" t="str">
        <f t="shared" si="109"/>
        <v>2026-03</v>
      </c>
    </row>
    <row r="1390" spans="1:16" ht="18.95" customHeight="1">
      <c r="A1390" s="7" t="s">
        <v>3653</v>
      </c>
      <c r="B1390" s="7" t="s">
        <v>3651</v>
      </c>
      <c r="C1390" s="7" t="s">
        <v>464</v>
      </c>
      <c r="D1390" s="7" t="s">
        <v>93</v>
      </c>
      <c r="E1390" s="7" t="s">
        <v>46</v>
      </c>
      <c r="F1390" s="7" t="s">
        <v>98</v>
      </c>
      <c r="G1390" s="7" t="s">
        <v>3654</v>
      </c>
      <c r="I1390" s="1">
        <f t="shared" si="105"/>
        <v>1</v>
      </c>
      <c r="J1390" s="1" t="str">
        <f>'Source build'!A1390</f>
        <v>L01384</v>
      </c>
      <c r="K1390" s="1">
        <f>1390</f>
        <v>1390</v>
      </c>
      <c r="L1390" s="10">
        <f t="shared" si="106"/>
        <v>7340</v>
      </c>
      <c r="M1390" s="1">
        <f t="shared" si="107"/>
        <v>1</v>
      </c>
      <c r="N1390" s="1">
        <f t="shared" si="108"/>
        <v>1</v>
      </c>
      <c r="O1390" s="1" t="str">
        <f>IF(I1390=0,"UNUSED",IF(A1390="","MISSING ID",IF(K1390=0,"UNEXPECTED ID",IF(N1390&lt;&gt;1,"ID / ORDER DIFFERENCE",IF('Source build'!U1390&lt;&gt;"INCLUDED","EXCLUDED SOURCE",IF(NOT(M1390),"INVALID AMOUNT",IF('Source build'!Y1390&lt;&gt;0,"CHANGED FIELDS","MATCH")))))))</f>
        <v>MATCH</v>
      </c>
      <c r="P1390" s="1" t="str">
        <f t="shared" si="109"/>
        <v>2026-03</v>
      </c>
    </row>
    <row r="1391" spans="1:16" ht="18.95" customHeight="1">
      <c r="A1391" s="7" t="s">
        <v>3655</v>
      </c>
      <c r="B1391" s="7" t="s">
        <v>3656</v>
      </c>
      <c r="C1391" s="7" t="s">
        <v>470</v>
      </c>
      <c r="D1391" s="7" t="s">
        <v>97</v>
      </c>
      <c r="E1391" s="7" t="s">
        <v>47</v>
      </c>
      <c r="F1391" s="7" t="s">
        <v>98</v>
      </c>
      <c r="G1391" s="7" t="s">
        <v>3657</v>
      </c>
      <c r="I1391" s="1">
        <f t="shared" si="105"/>
        <v>1</v>
      </c>
      <c r="J1391" s="1" t="str">
        <f>'Source build'!A1391</f>
        <v>L01385</v>
      </c>
      <c r="K1391" s="1">
        <f>1391</f>
        <v>1391</v>
      </c>
      <c r="L1391" s="10">
        <f t="shared" si="106"/>
        <v>14828</v>
      </c>
      <c r="M1391" s="1">
        <f t="shared" si="107"/>
        <v>1</v>
      </c>
      <c r="N1391" s="1">
        <f t="shared" si="108"/>
        <v>1</v>
      </c>
      <c r="O1391" s="1" t="str">
        <f>IF(I1391=0,"UNUSED",IF(A1391="","MISSING ID",IF(K1391=0,"UNEXPECTED ID",IF(N1391&lt;&gt;1,"ID / ORDER DIFFERENCE",IF('Source build'!U1391&lt;&gt;"INCLUDED","EXCLUDED SOURCE",IF(NOT(M1391),"INVALID AMOUNT",IF('Source build'!Y1391&lt;&gt;0,"CHANGED FIELDS","MATCH")))))))</f>
        <v>MATCH</v>
      </c>
      <c r="P1391" s="1" t="str">
        <f t="shared" si="109"/>
        <v>2026-03</v>
      </c>
    </row>
    <row r="1392" spans="1:16" ht="18.95" customHeight="1">
      <c r="A1392" s="7" t="s">
        <v>3658</v>
      </c>
      <c r="B1392" s="7" t="s">
        <v>3656</v>
      </c>
      <c r="C1392" s="7" t="s">
        <v>470</v>
      </c>
      <c r="D1392" s="7" t="s">
        <v>103</v>
      </c>
      <c r="E1392" s="7" t="s">
        <v>48</v>
      </c>
      <c r="F1392" s="7" t="s">
        <v>98</v>
      </c>
      <c r="G1392" s="7" t="s">
        <v>3659</v>
      </c>
      <c r="I1392" s="1">
        <f t="shared" si="105"/>
        <v>1</v>
      </c>
      <c r="J1392" s="1" t="str">
        <f>'Source build'!A1392</f>
        <v>L01386</v>
      </c>
      <c r="K1392" s="1">
        <f>1392</f>
        <v>1392</v>
      </c>
      <c r="L1392" s="10">
        <f t="shared" si="106"/>
        <v>3744</v>
      </c>
      <c r="M1392" s="1">
        <f t="shared" si="107"/>
        <v>1</v>
      </c>
      <c r="N1392" s="1">
        <f t="shared" si="108"/>
        <v>1</v>
      </c>
      <c r="O1392" s="1" t="str">
        <f>IF(I1392=0,"UNUSED",IF(A1392="","MISSING ID",IF(K1392=0,"UNEXPECTED ID",IF(N1392&lt;&gt;1,"ID / ORDER DIFFERENCE",IF('Source build'!U1392&lt;&gt;"INCLUDED","EXCLUDED SOURCE",IF(NOT(M1392),"INVALID AMOUNT",IF('Source build'!Y1392&lt;&gt;0,"CHANGED FIELDS","MATCH")))))))</f>
        <v>MATCH</v>
      </c>
      <c r="P1392" s="1" t="str">
        <f t="shared" si="109"/>
        <v>2026-03</v>
      </c>
    </row>
    <row r="1393" spans="1:16" ht="18.95" customHeight="1">
      <c r="A1393" s="7" t="s">
        <v>3660</v>
      </c>
      <c r="B1393" s="7" t="s">
        <v>3661</v>
      </c>
      <c r="C1393" s="7" t="s">
        <v>476</v>
      </c>
      <c r="D1393" s="7" t="s">
        <v>93</v>
      </c>
      <c r="E1393" s="7" t="s">
        <v>46</v>
      </c>
      <c r="F1393" s="7" t="s">
        <v>98</v>
      </c>
      <c r="G1393" s="7" t="s">
        <v>3662</v>
      </c>
      <c r="I1393" s="1">
        <f t="shared" si="105"/>
        <v>1</v>
      </c>
      <c r="J1393" s="1" t="str">
        <f>'Source build'!A1393</f>
        <v>L01387</v>
      </c>
      <c r="K1393" s="1">
        <f>1393</f>
        <v>1393</v>
      </c>
      <c r="L1393" s="10">
        <f t="shared" si="106"/>
        <v>11343</v>
      </c>
      <c r="M1393" s="1">
        <f t="shared" si="107"/>
        <v>1</v>
      </c>
      <c r="N1393" s="1">
        <f t="shared" si="108"/>
        <v>1</v>
      </c>
      <c r="O1393" s="1" t="str">
        <f>IF(I1393=0,"UNUSED",IF(A1393="","MISSING ID",IF(K1393=0,"UNEXPECTED ID",IF(N1393&lt;&gt;1,"ID / ORDER DIFFERENCE",IF('Source build'!U1393&lt;&gt;"INCLUDED","EXCLUDED SOURCE",IF(NOT(M1393),"INVALID AMOUNT",IF('Source build'!Y1393&lt;&gt;0,"CHANGED FIELDS","MATCH")))))))</f>
        <v>MATCH</v>
      </c>
      <c r="P1393" s="1" t="str">
        <f t="shared" si="109"/>
        <v>2026-03</v>
      </c>
    </row>
    <row r="1394" spans="1:16" ht="18.95" customHeight="1">
      <c r="A1394" s="7" t="s">
        <v>3663</v>
      </c>
      <c r="B1394" s="7" t="s">
        <v>3661</v>
      </c>
      <c r="C1394" s="7" t="s">
        <v>476</v>
      </c>
      <c r="D1394" s="7" t="s">
        <v>97</v>
      </c>
      <c r="E1394" s="7" t="s">
        <v>47</v>
      </c>
      <c r="F1394" s="7" t="s">
        <v>98</v>
      </c>
      <c r="G1394" s="7" t="s">
        <v>3664</v>
      </c>
      <c r="I1394" s="1">
        <f t="shared" si="105"/>
        <v>1</v>
      </c>
      <c r="J1394" s="1" t="str">
        <f>'Source build'!A1394</f>
        <v>L01388</v>
      </c>
      <c r="K1394" s="1">
        <f>1394</f>
        <v>1394</v>
      </c>
      <c r="L1394" s="10">
        <f t="shared" si="106"/>
        <v>19090</v>
      </c>
      <c r="M1394" s="1">
        <f t="shared" si="107"/>
        <v>1</v>
      </c>
      <c r="N1394" s="1">
        <f t="shared" si="108"/>
        <v>1</v>
      </c>
      <c r="O1394" s="1" t="str">
        <f>IF(I1394=0,"UNUSED",IF(A1394="","MISSING ID",IF(K1394=0,"UNEXPECTED ID",IF(N1394&lt;&gt;1,"ID / ORDER DIFFERENCE",IF('Source build'!U1394&lt;&gt;"INCLUDED","EXCLUDED SOURCE",IF(NOT(M1394),"INVALID AMOUNT",IF('Source build'!Y1394&lt;&gt;0,"CHANGED FIELDS","MATCH")))))))</f>
        <v>MATCH</v>
      </c>
      <c r="P1394" s="1" t="str">
        <f t="shared" si="109"/>
        <v>2026-03</v>
      </c>
    </row>
    <row r="1395" spans="1:16" ht="18.95" customHeight="1">
      <c r="A1395" s="7" t="s">
        <v>3665</v>
      </c>
      <c r="B1395" s="7" t="s">
        <v>3666</v>
      </c>
      <c r="C1395" s="7" t="s">
        <v>482</v>
      </c>
      <c r="D1395" s="7" t="s">
        <v>103</v>
      </c>
      <c r="E1395" s="7" t="s">
        <v>48</v>
      </c>
      <c r="F1395" s="7" t="s">
        <v>98</v>
      </c>
      <c r="G1395" s="7" t="s">
        <v>3667</v>
      </c>
      <c r="I1395" s="1">
        <f t="shared" si="105"/>
        <v>1</v>
      </c>
      <c r="J1395" s="1" t="str">
        <f>'Source build'!A1395</f>
        <v>L01389</v>
      </c>
      <c r="K1395" s="1">
        <f>1395</f>
        <v>1395</v>
      </c>
      <c r="L1395" s="10">
        <f t="shared" si="106"/>
        <v>7710</v>
      </c>
      <c r="M1395" s="1">
        <f t="shared" si="107"/>
        <v>1</v>
      </c>
      <c r="N1395" s="1">
        <f t="shared" si="108"/>
        <v>1</v>
      </c>
      <c r="O1395" s="1" t="str">
        <f>IF(I1395=0,"UNUSED",IF(A1395="","MISSING ID",IF(K1395=0,"UNEXPECTED ID",IF(N1395&lt;&gt;1,"ID / ORDER DIFFERENCE",IF('Source build'!U1395&lt;&gt;"INCLUDED","EXCLUDED SOURCE",IF(NOT(M1395),"INVALID AMOUNT",IF('Source build'!Y1395&lt;&gt;0,"CHANGED FIELDS","MATCH")))))))</f>
        <v>MATCH</v>
      </c>
      <c r="P1395" s="1" t="str">
        <f t="shared" si="109"/>
        <v>2026-03</v>
      </c>
    </row>
    <row r="1396" spans="1:16" ht="18.95" customHeight="1">
      <c r="A1396" s="7" t="s">
        <v>3668</v>
      </c>
      <c r="B1396" s="7" t="s">
        <v>3666</v>
      </c>
      <c r="C1396" s="7" t="s">
        <v>482</v>
      </c>
      <c r="D1396" s="7" t="s">
        <v>93</v>
      </c>
      <c r="E1396" s="7" t="s">
        <v>46</v>
      </c>
      <c r="F1396" s="7" t="s">
        <v>98</v>
      </c>
      <c r="G1396" s="7" t="s">
        <v>3669</v>
      </c>
      <c r="I1396" s="1">
        <f t="shared" si="105"/>
        <v>1</v>
      </c>
      <c r="J1396" s="1" t="str">
        <f>'Source build'!A1396</f>
        <v>L01390</v>
      </c>
      <c r="K1396" s="1">
        <f>1396</f>
        <v>1396</v>
      </c>
      <c r="L1396" s="10">
        <f t="shared" si="106"/>
        <v>15568</v>
      </c>
      <c r="M1396" s="1">
        <f t="shared" si="107"/>
        <v>1</v>
      </c>
      <c r="N1396" s="1">
        <f t="shared" si="108"/>
        <v>1</v>
      </c>
      <c r="O1396" s="1" t="str">
        <f>IF(I1396=0,"UNUSED",IF(A1396="","MISSING ID",IF(K1396=0,"UNEXPECTED ID",IF(N1396&lt;&gt;1,"ID / ORDER DIFFERENCE",IF('Source build'!U1396&lt;&gt;"INCLUDED","EXCLUDED SOURCE",IF(NOT(M1396),"INVALID AMOUNT",IF('Source build'!Y1396&lt;&gt;0,"CHANGED FIELDS","MATCH")))))))</f>
        <v>MATCH</v>
      </c>
      <c r="P1396" s="1" t="str">
        <f t="shared" si="109"/>
        <v>2026-03</v>
      </c>
    </row>
    <row r="1397" spans="1:16" ht="18.95" customHeight="1">
      <c r="A1397" s="7" t="s">
        <v>3670</v>
      </c>
      <c r="B1397" s="7" t="s">
        <v>3671</v>
      </c>
      <c r="C1397" s="7" t="s">
        <v>488</v>
      </c>
      <c r="D1397" s="7" t="s">
        <v>97</v>
      </c>
      <c r="E1397" s="7" t="s">
        <v>47</v>
      </c>
      <c r="F1397" s="7" t="s">
        <v>98</v>
      </c>
      <c r="G1397" s="7" t="s">
        <v>3672</v>
      </c>
      <c r="I1397" s="1">
        <f t="shared" si="105"/>
        <v>1</v>
      </c>
      <c r="J1397" s="1" t="str">
        <f>'Source build'!A1397</f>
        <v>L01391</v>
      </c>
      <c r="K1397" s="1">
        <f>1397</f>
        <v>1397</v>
      </c>
      <c r="L1397" s="10">
        <f t="shared" si="106"/>
        <v>3929</v>
      </c>
      <c r="M1397" s="1">
        <f t="shared" si="107"/>
        <v>1</v>
      </c>
      <c r="N1397" s="1">
        <f t="shared" si="108"/>
        <v>1</v>
      </c>
      <c r="O1397" s="1" t="str">
        <f>IF(I1397=0,"UNUSED",IF(A1397="","MISSING ID",IF(K1397=0,"UNEXPECTED ID",IF(N1397&lt;&gt;1,"ID / ORDER DIFFERENCE",IF('Source build'!U1397&lt;&gt;"INCLUDED","EXCLUDED SOURCE",IF(NOT(M1397),"INVALID AMOUNT",IF('Source build'!Y1397&lt;&gt;0,"CHANGED FIELDS","MATCH")))))))</f>
        <v>MATCH</v>
      </c>
      <c r="P1397" s="1" t="str">
        <f t="shared" si="109"/>
        <v>2026-01</v>
      </c>
    </row>
    <row r="1398" spans="1:16" ht="18.95" customHeight="1">
      <c r="A1398" s="7" t="s">
        <v>3673</v>
      </c>
      <c r="B1398" s="7" t="s">
        <v>3671</v>
      </c>
      <c r="C1398" s="7" t="s">
        <v>488</v>
      </c>
      <c r="D1398" s="7" t="s">
        <v>103</v>
      </c>
      <c r="E1398" s="7" t="s">
        <v>48</v>
      </c>
      <c r="F1398" s="7" t="s">
        <v>98</v>
      </c>
      <c r="G1398" s="7" t="s">
        <v>3674</v>
      </c>
      <c r="I1398" s="1">
        <f t="shared" si="105"/>
        <v>1</v>
      </c>
      <c r="J1398" s="1" t="str">
        <f>'Source build'!A1398</f>
        <v>L01392</v>
      </c>
      <c r="K1398" s="1">
        <f>1398</f>
        <v>1398</v>
      </c>
      <c r="L1398" s="10">
        <f t="shared" si="106"/>
        <v>11898</v>
      </c>
      <c r="M1398" s="1">
        <f t="shared" si="107"/>
        <v>1</v>
      </c>
      <c r="N1398" s="1">
        <f t="shared" si="108"/>
        <v>1</v>
      </c>
      <c r="O1398" s="1" t="str">
        <f>IF(I1398=0,"UNUSED",IF(A1398="","MISSING ID",IF(K1398=0,"UNEXPECTED ID",IF(N1398&lt;&gt;1,"ID / ORDER DIFFERENCE",IF('Source build'!U1398&lt;&gt;"INCLUDED","EXCLUDED SOURCE",IF(NOT(M1398),"INVALID AMOUNT",IF('Source build'!Y1398&lt;&gt;0,"CHANGED FIELDS","MATCH")))))))</f>
        <v>MATCH</v>
      </c>
      <c r="P1398" s="1" t="str">
        <f t="shared" si="109"/>
        <v>2026-01</v>
      </c>
    </row>
    <row r="1399" spans="1:16" ht="18.95" customHeight="1">
      <c r="A1399" s="7" t="s">
        <v>3675</v>
      </c>
      <c r="B1399" s="7" t="s">
        <v>3676</v>
      </c>
      <c r="C1399" s="7" t="s">
        <v>494</v>
      </c>
      <c r="D1399" s="7" t="s">
        <v>93</v>
      </c>
      <c r="E1399" s="7" t="s">
        <v>46</v>
      </c>
      <c r="F1399" s="7" t="s">
        <v>98</v>
      </c>
      <c r="G1399" s="7" t="s">
        <v>3677</v>
      </c>
      <c r="I1399" s="1">
        <f t="shared" si="105"/>
        <v>1</v>
      </c>
      <c r="J1399" s="1" t="str">
        <f>'Source build'!A1399</f>
        <v>L01393</v>
      </c>
      <c r="K1399" s="1">
        <f>1399</f>
        <v>1399</v>
      </c>
      <c r="L1399" s="10">
        <f t="shared" si="106"/>
        <v>20015</v>
      </c>
      <c r="M1399" s="1">
        <f t="shared" si="107"/>
        <v>1</v>
      </c>
      <c r="N1399" s="1">
        <f t="shared" si="108"/>
        <v>1</v>
      </c>
      <c r="O1399" s="1" t="str">
        <f>IF(I1399=0,"UNUSED",IF(A1399="","MISSING ID",IF(K1399=0,"UNEXPECTED ID",IF(N1399&lt;&gt;1,"ID / ORDER DIFFERENCE",IF('Source build'!U1399&lt;&gt;"INCLUDED","EXCLUDED SOURCE",IF(NOT(M1399),"INVALID AMOUNT",IF('Source build'!Y1399&lt;&gt;0,"CHANGED FIELDS","MATCH")))))))</f>
        <v>MATCH</v>
      </c>
      <c r="P1399" s="1" t="str">
        <f t="shared" si="109"/>
        <v>2026-01</v>
      </c>
    </row>
    <row r="1400" spans="1:16" ht="18.95" customHeight="1">
      <c r="A1400" s="7" t="s">
        <v>3678</v>
      </c>
      <c r="B1400" s="7" t="s">
        <v>3676</v>
      </c>
      <c r="C1400" s="7" t="s">
        <v>494</v>
      </c>
      <c r="D1400" s="7" t="s">
        <v>97</v>
      </c>
      <c r="E1400" s="7" t="s">
        <v>47</v>
      </c>
      <c r="F1400" s="7" t="s">
        <v>98</v>
      </c>
      <c r="G1400" s="7" t="s">
        <v>3679</v>
      </c>
      <c r="I1400" s="1">
        <f t="shared" si="105"/>
        <v>1</v>
      </c>
      <c r="J1400" s="1" t="str">
        <f>'Source build'!A1400</f>
        <v>L01394</v>
      </c>
      <c r="K1400" s="1">
        <f>1400</f>
        <v>1400</v>
      </c>
      <c r="L1400" s="10">
        <f t="shared" si="106"/>
        <v>8080</v>
      </c>
      <c r="M1400" s="1">
        <f t="shared" si="107"/>
        <v>1</v>
      </c>
      <c r="N1400" s="1">
        <f t="shared" si="108"/>
        <v>1</v>
      </c>
      <c r="O1400" s="1" t="str">
        <f>IF(I1400=0,"UNUSED",IF(A1400="","MISSING ID",IF(K1400=0,"UNEXPECTED ID",IF(N1400&lt;&gt;1,"ID / ORDER DIFFERENCE",IF('Source build'!U1400&lt;&gt;"INCLUDED","EXCLUDED SOURCE",IF(NOT(M1400),"INVALID AMOUNT",IF('Source build'!Y1400&lt;&gt;0,"CHANGED FIELDS","MATCH")))))))</f>
        <v>MATCH</v>
      </c>
      <c r="P1400" s="1" t="str">
        <f t="shared" si="109"/>
        <v>2026-01</v>
      </c>
    </row>
    <row r="1401" spans="1:16" ht="18.95" customHeight="1">
      <c r="A1401" s="7" t="s">
        <v>3680</v>
      </c>
      <c r="B1401" s="7" t="s">
        <v>3681</v>
      </c>
      <c r="C1401" s="7" t="s">
        <v>500</v>
      </c>
      <c r="D1401" s="7" t="s">
        <v>103</v>
      </c>
      <c r="E1401" s="7" t="s">
        <v>48</v>
      </c>
      <c r="F1401" s="7" t="s">
        <v>98</v>
      </c>
      <c r="G1401" s="7" t="s">
        <v>3682</v>
      </c>
      <c r="I1401" s="1">
        <f t="shared" si="105"/>
        <v>1</v>
      </c>
      <c r="J1401" s="1" t="str">
        <f>'Source build'!A1401</f>
        <v>L01395</v>
      </c>
      <c r="K1401" s="1">
        <f>1401</f>
        <v>1401</v>
      </c>
      <c r="L1401" s="10">
        <f t="shared" si="106"/>
        <v>16308</v>
      </c>
      <c r="M1401" s="1">
        <f t="shared" si="107"/>
        <v>1</v>
      </c>
      <c r="N1401" s="1">
        <f t="shared" si="108"/>
        <v>1</v>
      </c>
      <c r="O1401" s="1" t="str">
        <f>IF(I1401=0,"UNUSED",IF(A1401="","MISSING ID",IF(K1401=0,"UNEXPECTED ID",IF(N1401&lt;&gt;1,"ID / ORDER DIFFERENCE",IF('Source build'!U1401&lt;&gt;"INCLUDED","EXCLUDED SOURCE",IF(NOT(M1401),"INVALID AMOUNT",IF('Source build'!Y1401&lt;&gt;0,"CHANGED FIELDS","MATCH")))))))</f>
        <v>MATCH</v>
      </c>
      <c r="P1401" s="1" t="str">
        <f t="shared" si="109"/>
        <v>2026-01</v>
      </c>
    </row>
    <row r="1402" spans="1:16" ht="18.95" customHeight="1">
      <c r="A1402" s="7" t="s">
        <v>3683</v>
      </c>
      <c r="B1402" s="7" t="s">
        <v>3681</v>
      </c>
      <c r="C1402" s="7" t="s">
        <v>500</v>
      </c>
      <c r="D1402" s="7" t="s">
        <v>93</v>
      </c>
      <c r="E1402" s="7" t="s">
        <v>46</v>
      </c>
      <c r="F1402" s="7" t="s">
        <v>98</v>
      </c>
      <c r="G1402" s="7" t="s">
        <v>3684</v>
      </c>
      <c r="I1402" s="1">
        <f t="shared" si="105"/>
        <v>1</v>
      </c>
      <c r="J1402" s="1" t="str">
        <f>'Source build'!A1402</f>
        <v>L01396</v>
      </c>
      <c r="K1402" s="1">
        <f>1402</f>
        <v>1402</v>
      </c>
      <c r="L1402" s="10">
        <f t="shared" si="106"/>
        <v>4114</v>
      </c>
      <c r="M1402" s="1">
        <f t="shared" si="107"/>
        <v>1</v>
      </c>
      <c r="N1402" s="1">
        <f t="shared" si="108"/>
        <v>1</v>
      </c>
      <c r="O1402" s="1" t="str">
        <f>IF(I1402=0,"UNUSED",IF(A1402="","MISSING ID",IF(K1402=0,"UNEXPECTED ID",IF(N1402&lt;&gt;1,"ID / ORDER DIFFERENCE",IF('Source build'!U1402&lt;&gt;"INCLUDED","EXCLUDED SOURCE",IF(NOT(M1402),"INVALID AMOUNT",IF('Source build'!Y1402&lt;&gt;0,"CHANGED FIELDS","MATCH")))))))</f>
        <v>MATCH</v>
      </c>
      <c r="P1402" s="1" t="str">
        <f t="shared" si="109"/>
        <v>2026-01</v>
      </c>
    </row>
    <row r="1403" spans="1:16" ht="18.95" customHeight="1">
      <c r="A1403" s="7" t="s">
        <v>3685</v>
      </c>
      <c r="B1403" s="7" t="s">
        <v>3686</v>
      </c>
      <c r="C1403" s="7" t="s">
        <v>506</v>
      </c>
      <c r="D1403" s="7" t="s">
        <v>97</v>
      </c>
      <c r="E1403" s="7" t="s">
        <v>47</v>
      </c>
      <c r="F1403" s="7" t="s">
        <v>98</v>
      </c>
      <c r="G1403" s="7" t="s">
        <v>3687</v>
      </c>
      <c r="I1403" s="1">
        <f t="shared" si="105"/>
        <v>1</v>
      </c>
      <c r="J1403" s="1" t="str">
        <f>'Source build'!A1403</f>
        <v>L01397</v>
      </c>
      <c r="K1403" s="1">
        <f>1403</f>
        <v>1403</v>
      </c>
      <c r="L1403" s="10">
        <f t="shared" si="106"/>
        <v>12453</v>
      </c>
      <c r="M1403" s="1">
        <f t="shared" si="107"/>
        <v>1</v>
      </c>
      <c r="N1403" s="1">
        <f t="shared" si="108"/>
        <v>1</v>
      </c>
      <c r="O1403" s="1" t="str">
        <f>IF(I1403=0,"UNUSED",IF(A1403="","MISSING ID",IF(K1403=0,"UNEXPECTED ID",IF(N1403&lt;&gt;1,"ID / ORDER DIFFERENCE",IF('Source build'!U1403&lt;&gt;"INCLUDED","EXCLUDED SOURCE",IF(NOT(M1403),"INVALID AMOUNT",IF('Source build'!Y1403&lt;&gt;0,"CHANGED FIELDS","MATCH")))))))</f>
        <v>MATCH</v>
      </c>
      <c r="P1403" s="1" t="str">
        <f t="shared" si="109"/>
        <v>2026-01</v>
      </c>
    </row>
    <row r="1404" spans="1:16" ht="18.95" customHeight="1">
      <c r="A1404" s="7" t="s">
        <v>3688</v>
      </c>
      <c r="B1404" s="7" t="s">
        <v>3686</v>
      </c>
      <c r="C1404" s="7" t="s">
        <v>506</v>
      </c>
      <c r="D1404" s="7" t="s">
        <v>103</v>
      </c>
      <c r="E1404" s="7" t="s">
        <v>48</v>
      </c>
      <c r="F1404" s="7" t="s">
        <v>98</v>
      </c>
      <c r="G1404" s="7" t="s">
        <v>3689</v>
      </c>
      <c r="I1404" s="1">
        <f t="shared" si="105"/>
        <v>1</v>
      </c>
      <c r="J1404" s="1" t="str">
        <f>'Source build'!A1404</f>
        <v>L01398</v>
      </c>
      <c r="K1404" s="1">
        <f>1404</f>
        <v>1404</v>
      </c>
      <c r="L1404" s="10">
        <f t="shared" si="106"/>
        <v>20940</v>
      </c>
      <c r="M1404" s="1">
        <f t="shared" si="107"/>
        <v>1</v>
      </c>
      <c r="N1404" s="1">
        <f t="shared" si="108"/>
        <v>1</v>
      </c>
      <c r="O1404" s="1" t="str">
        <f>IF(I1404=0,"UNUSED",IF(A1404="","MISSING ID",IF(K1404=0,"UNEXPECTED ID",IF(N1404&lt;&gt;1,"ID / ORDER DIFFERENCE",IF('Source build'!U1404&lt;&gt;"INCLUDED","EXCLUDED SOURCE",IF(NOT(M1404),"INVALID AMOUNT",IF('Source build'!Y1404&lt;&gt;0,"CHANGED FIELDS","MATCH")))))))</f>
        <v>MATCH</v>
      </c>
      <c r="P1404" s="1" t="str">
        <f t="shared" si="109"/>
        <v>2026-01</v>
      </c>
    </row>
    <row r="1405" spans="1:16" ht="18.95" customHeight="1">
      <c r="A1405" s="7" t="s">
        <v>3690</v>
      </c>
      <c r="B1405" s="7" t="s">
        <v>3691</v>
      </c>
      <c r="C1405" s="7" t="s">
        <v>512</v>
      </c>
      <c r="D1405" s="7" t="s">
        <v>93</v>
      </c>
      <c r="E1405" s="7" t="s">
        <v>46</v>
      </c>
      <c r="F1405" s="7" t="s">
        <v>98</v>
      </c>
      <c r="G1405" s="7" t="s">
        <v>3692</v>
      </c>
      <c r="I1405" s="1">
        <f t="shared" si="105"/>
        <v>1</v>
      </c>
      <c r="J1405" s="1" t="str">
        <f>'Source build'!A1405</f>
        <v>L01399</v>
      </c>
      <c r="K1405" s="1">
        <f>1405</f>
        <v>1405</v>
      </c>
      <c r="L1405" s="10">
        <f t="shared" si="106"/>
        <v>8450</v>
      </c>
      <c r="M1405" s="1">
        <f t="shared" si="107"/>
        <v>1</v>
      </c>
      <c r="N1405" s="1">
        <f t="shared" si="108"/>
        <v>1</v>
      </c>
      <c r="O1405" s="1" t="str">
        <f>IF(I1405=0,"UNUSED",IF(A1405="","MISSING ID",IF(K1405=0,"UNEXPECTED ID",IF(N1405&lt;&gt;1,"ID / ORDER DIFFERENCE",IF('Source build'!U1405&lt;&gt;"INCLUDED","EXCLUDED SOURCE",IF(NOT(M1405),"INVALID AMOUNT",IF('Source build'!Y1405&lt;&gt;0,"CHANGED FIELDS","MATCH")))))))</f>
        <v>MATCH</v>
      </c>
      <c r="P1405" s="1" t="str">
        <f t="shared" si="109"/>
        <v>2026-02</v>
      </c>
    </row>
    <row r="1406" spans="1:16" ht="18.95" customHeight="1">
      <c r="A1406" s="7" t="s">
        <v>3693</v>
      </c>
      <c r="B1406" s="7" t="s">
        <v>3691</v>
      </c>
      <c r="C1406" s="7" t="s">
        <v>512</v>
      </c>
      <c r="D1406" s="7" t="s">
        <v>97</v>
      </c>
      <c r="E1406" s="7" t="s">
        <v>47</v>
      </c>
      <c r="F1406" s="7" t="s">
        <v>98</v>
      </c>
      <c r="G1406" s="7" t="s">
        <v>3694</v>
      </c>
      <c r="I1406" s="1">
        <f t="shared" si="105"/>
        <v>1</v>
      </c>
      <c r="J1406" s="1" t="str">
        <f>'Source build'!A1406</f>
        <v>L01400</v>
      </c>
      <c r="K1406" s="1">
        <f>1406</f>
        <v>1406</v>
      </c>
      <c r="L1406" s="10">
        <f t="shared" si="106"/>
        <v>17048</v>
      </c>
      <c r="M1406" s="1">
        <f t="shared" si="107"/>
        <v>1</v>
      </c>
      <c r="N1406" s="1">
        <f t="shared" si="108"/>
        <v>1</v>
      </c>
      <c r="O1406" s="1" t="str">
        <f>IF(I1406=0,"UNUSED",IF(A1406="","MISSING ID",IF(K1406=0,"UNEXPECTED ID",IF(N1406&lt;&gt;1,"ID / ORDER DIFFERENCE",IF('Source build'!U1406&lt;&gt;"INCLUDED","EXCLUDED SOURCE",IF(NOT(M1406),"INVALID AMOUNT",IF('Source build'!Y1406&lt;&gt;0,"CHANGED FIELDS","MATCH")))))))</f>
        <v>MATCH</v>
      </c>
      <c r="P1406" s="1" t="str">
        <f t="shared" si="109"/>
        <v>2026-02</v>
      </c>
    </row>
    <row r="1407" spans="1:16" ht="18.95" customHeight="1">
      <c r="A1407" s="7" t="s">
        <v>3695</v>
      </c>
      <c r="B1407" s="7" t="s">
        <v>3696</v>
      </c>
      <c r="C1407" s="7" t="s">
        <v>518</v>
      </c>
      <c r="D1407" s="7" t="s">
        <v>103</v>
      </c>
      <c r="E1407" s="7" t="s">
        <v>48</v>
      </c>
      <c r="F1407" s="7" t="s">
        <v>98</v>
      </c>
      <c r="G1407" s="7" t="s">
        <v>3697</v>
      </c>
      <c r="I1407" s="1">
        <f t="shared" si="105"/>
        <v>1</v>
      </c>
      <c r="J1407" s="1" t="str">
        <f>'Source build'!A1407</f>
        <v>L01401</v>
      </c>
      <c r="K1407" s="1">
        <f>1407</f>
        <v>1407</v>
      </c>
      <c r="L1407" s="10">
        <f t="shared" si="106"/>
        <v>4299</v>
      </c>
      <c r="M1407" s="1">
        <f t="shared" si="107"/>
        <v>1</v>
      </c>
      <c r="N1407" s="1">
        <f t="shared" si="108"/>
        <v>1</v>
      </c>
      <c r="O1407" s="1" t="str">
        <f>IF(I1407=0,"UNUSED",IF(A1407="","MISSING ID",IF(K1407=0,"UNEXPECTED ID",IF(N1407&lt;&gt;1,"ID / ORDER DIFFERENCE",IF('Source build'!U1407&lt;&gt;"INCLUDED","EXCLUDED SOURCE",IF(NOT(M1407),"INVALID AMOUNT",IF('Source build'!Y1407&lt;&gt;0,"CHANGED FIELDS","MATCH")))))))</f>
        <v>MATCH</v>
      </c>
      <c r="P1407" s="1" t="str">
        <f t="shared" si="109"/>
        <v>2026-02</v>
      </c>
    </row>
    <row r="1408" spans="1:16" ht="18.95" customHeight="1">
      <c r="A1408" s="7" t="s">
        <v>3698</v>
      </c>
      <c r="B1408" s="7" t="s">
        <v>3696</v>
      </c>
      <c r="C1408" s="7" t="s">
        <v>518</v>
      </c>
      <c r="D1408" s="7" t="s">
        <v>93</v>
      </c>
      <c r="E1408" s="7" t="s">
        <v>46</v>
      </c>
      <c r="F1408" s="7" t="s">
        <v>98</v>
      </c>
      <c r="G1408" s="7" t="s">
        <v>3699</v>
      </c>
      <c r="I1408" s="1">
        <f t="shared" si="105"/>
        <v>1</v>
      </c>
      <c r="J1408" s="1" t="str">
        <f>'Source build'!A1408</f>
        <v>L01402</v>
      </c>
      <c r="K1408" s="1">
        <f>1408</f>
        <v>1408</v>
      </c>
      <c r="L1408" s="10">
        <f t="shared" si="106"/>
        <v>13008</v>
      </c>
      <c r="M1408" s="1">
        <f t="shared" si="107"/>
        <v>1</v>
      </c>
      <c r="N1408" s="1">
        <f t="shared" si="108"/>
        <v>1</v>
      </c>
      <c r="O1408" s="1" t="str">
        <f>IF(I1408=0,"UNUSED",IF(A1408="","MISSING ID",IF(K1408=0,"UNEXPECTED ID",IF(N1408&lt;&gt;1,"ID / ORDER DIFFERENCE",IF('Source build'!U1408&lt;&gt;"INCLUDED","EXCLUDED SOURCE",IF(NOT(M1408),"INVALID AMOUNT",IF('Source build'!Y1408&lt;&gt;0,"CHANGED FIELDS","MATCH")))))))</f>
        <v>MATCH</v>
      </c>
      <c r="P1408" s="1" t="str">
        <f t="shared" si="109"/>
        <v>2026-02</v>
      </c>
    </row>
    <row r="1409" spans="1:16" ht="18.95" customHeight="1">
      <c r="A1409" s="7" t="s">
        <v>3700</v>
      </c>
      <c r="B1409" s="7" t="s">
        <v>3701</v>
      </c>
      <c r="C1409" s="7" t="s">
        <v>524</v>
      </c>
      <c r="D1409" s="7" t="s">
        <v>97</v>
      </c>
      <c r="E1409" s="7" t="s">
        <v>47</v>
      </c>
      <c r="F1409" s="7" t="s">
        <v>98</v>
      </c>
      <c r="G1409" s="7" t="s">
        <v>3702</v>
      </c>
      <c r="I1409" s="1">
        <f t="shared" si="105"/>
        <v>1</v>
      </c>
      <c r="J1409" s="1" t="str">
        <f>'Source build'!A1409</f>
        <v>L01403</v>
      </c>
      <c r="K1409" s="1">
        <f>1409</f>
        <v>1409</v>
      </c>
      <c r="L1409" s="10">
        <f t="shared" si="106"/>
        <v>21865</v>
      </c>
      <c r="M1409" s="1">
        <f t="shared" si="107"/>
        <v>1</v>
      </c>
      <c r="N1409" s="1">
        <f t="shared" si="108"/>
        <v>1</v>
      </c>
      <c r="O1409" s="1" t="str">
        <f>IF(I1409=0,"UNUSED",IF(A1409="","MISSING ID",IF(K1409=0,"UNEXPECTED ID",IF(N1409&lt;&gt;1,"ID / ORDER DIFFERENCE",IF('Source build'!U1409&lt;&gt;"INCLUDED","EXCLUDED SOURCE",IF(NOT(M1409),"INVALID AMOUNT",IF('Source build'!Y1409&lt;&gt;0,"CHANGED FIELDS","MATCH")))))))</f>
        <v>MATCH</v>
      </c>
      <c r="P1409" s="1" t="str">
        <f t="shared" si="109"/>
        <v>2026-02</v>
      </c>
    </row>
    <row r="1410" spans="1:16" ht="18.95" customHeight="1">
      <c r="A1410" s="7" t="s">
        <v>3703</v>
      </c>
      <c r="B1410" s="7" t="s">
        <v>3701</v>
      </c>
      <c r="C1410" s="7" t="s">
        <v>524</v>
      </c>
      <c r="D1410" s="7" t="s">
        <v>103</v>
      </c>
      <c r="E1410" s="7" t="s">
        <v>48</v>
      </c>
      <c r="F1410" s="7" t="s">
        <v>94</v>
      </c>
      <c r="G1410" s="7" t="s">
        <v>3705</v>
      </c>
      <c r="I1410" s="1">
        <f t="shared" si="105"/>
        <v>1</v>
      </c>
      <c r="J1410" s="1" t="str">
        <f>'Source build'!A1410</f>
        <v>L01404</v>
      </c>
      <c r="K1410" s="1">
        <f>1410</f>
        <v>1410</v>
      </c>
      <c r="L1410" s="10">
        <f t="shared" si="106"/>
        <v>-8820</v>
      </c>
      <c r="M1410" s="1">
        <f t="shared" si="107"/>
        <v>1</v>
      </c>
      <c r="N1410" s="1">
        <f t="shared" si="108"/>
        <v>1</v>
      </c>
      <c r="O1410" s="1" t="str">
        <f>IF(I1410=0,"UNUSED",IF(A1410="","MISSING ID",IF(K1410=0,"UNEXPECTED ID",IF(N1410&lt;&gt;1,"ID / ORDER DIFFERENCE",IF('Source build'!U1410&lt;&gt;"INCLUDED","EXCLUDED SOURCE",IF(NOT(M1410),"INVALID AMOUNT",IF('Source build'!Y1410&lt;&gt;0,"CHANGED FIELDS","MATCH")))))))</f>
        <v>MATCH</v>
      </c>
      <c r="P1410" s="1" t="str">
        <f t="shared" si="109"/>
        <v>2026-02</v>
      </c>
    </row>
    <row r="1411" spans="1:16" ht="18.95" customHeight="1">
      <c r="A1411" s="7" t="s">
        <v>3706</v>
      </c>
      <c r="B1411" s="7" t="s">
        <v>3707</v>
      </c>
      <c r="C1411" s="7" t="s">
        <v>530</v>
      </c>
      <c r="D1411" s="7" t="s">
        <v>93</v>
      </c>
      <c r="E1411" s="7" t="s">
        <v>46</v>
      </c>
      <c r="F1411" s="7" t="s">
        <v>98</v>
      </c>
      <c r="G1411" s="7" t="s">
        <v>3708</v>
      </c>
      <c r="I1411" s="1">
        <f t="shared" si="105"/>
        <v>1</v>
      </c>
      <c r="J1411" s="1" t="str">
        <f>'Source build'!A1411</f>
        <v>L01405</v>
      </c>
      <c r="K1411" s="1">
        <f>1411</f>
        <v>1411</v>
      </c>
      <c r="L1411" s="10">
        <f t="shared" si="106"/>
        <v>17788</v>
      </c>
      <c r="M1411" s="1">
        <f t="shared" si="107"/>
        <v>1</v>
      </c>
      <c r="N1411" s="1">
        <f t="shared" si="108"/>
        <v>1</v>
      </c>
      <c r="O1411" s="1" t="str">
        <f>IF(I1411=0,"UNUSED",IF(A1411="","MISSING ID",IF(K1411=0,"UNEXPECTED ID",IF(N1411&lt;&gt;1,"ID / ORDER DIFFERENCE",IF('Source build'!U1411&lt;&gt;"INCLUDED","EXCLUDED SOURCE",IF(NOT(M1411),"INVALID AMOUNT",IF('Source build'!Y1411&lt;&gt;0,"CHANGED FIELDS","MATCH")))))))</f>
        <v>MATCH</v>
      </c>
      <c r="P1411" s="1" t="str">
        <f t="shared" si="109"/>
        <v>2026-02</v>
      </c>
    </row>
    <row r="1412" spans="1:16" ht="18.95" customHeight="1">
      <c r="A1412" s="7" t="s">
        <v>3709</v>
      </c>
      <c r="B1412" s="7" t="s">
        <v>3707</v>
      </c>
      <c r="C1412" s="7" t="s">
        <v>530</v>
      </c>
      <c r="D1412" s="7" t="s">
        <v>97</v>
      </c>
      <c r="E1412" s="7" t="s">
        <v>47</v>
      </c>
      <c r="F1412" s="7" t="s">
        <v>98</v>
      </c>
      <c r="G1412" s="7" t="s">
        <v>3710</v>
      </c>
      <c r="I1412" s="1">
        <f t="shared" si="105"/>
        <v>1</v>
      </c>
      <c r="J1412" s="1" t="str">
        <f>'Source build'!A1412</f>
        <v>L01406</v>
      </c>
      <c r="K1412" s="1">
        <f>1412</f>
        <v>1412</v>
      </c>
      <c r="L1412" s="10">
        <f t="shared" si="106"/>
        <v>4484</v>
      </c>
      <c r="M1412" s="1">
        <f t="shared" si="107"/>
        <v>1</v>
      </c>
      <c r="N1412" s="1">
        <f t="shared" si="108"/>
        <v>1</v>
      </c>
      <c r="O1412" s="1" t="str">
        <f>IF(I1412=0,"UNUSED",IF(A1412="","MISSING ID",IF(K1412=0,"UNEXPECTED ID",IF(N1412&lt;&gt;1,"ID / ORDER DIFFERENCE",IF('Source build'!U1412&lt;&gt;"INCLUDED","EXCLUDED SOURCE",IF(NOT(M1412),"INVALID AMOUNT",IF('Source build'!Y1412&lt;&gt;0,"CHANGED FIELDS","MATCH")))))))</f>
        <v>MATCH</v>
      </c>
      <c r="P1412" s="1" t="str">
        <f t="shared" si="109"/>
        <v>2026-02</v>
      </c>
    </row>
    <row r="1413" spans="1:16" ht="18.95" customHeight="1">
      <c r="A1413" s="7" t="s">
        <v>3711</v>
      </c>
      <c r="B1413" s="7" t="s">
        <v>3712</v>
      </c>
      <c r="C1413" s="7" t="s">
        <v>536</v>
      </c>
      <c r="D1413" s="7" t="s">
        <v>103</v>
      </c>
      <c r="E1413" s="7" t="s">
        <v>48</v>
      </c>
      <c r="F1413" s="7" t="s">
        <v>98</v>
      </c>
      <c r="G1413" s="7" t="s">
        <v>3713</v>
      </c>
      <c r="I1413" s="1">
        <f t="shared" si="105"/>
        <v>1</v>
      </c>
      <c r="J1413" s="1" t="str">
        <f>'Source build'!A1413</f>
        <v>L01407</v>
      </c>
      <c r="K1413" s="1">
        <f>1413</f>
        <v>1413</v>
      </c>
      <c r="L1413" s="10">
        <f t="shared" si="106"/>
        <v>13563</v>
      </c>
      <c r="M1413" s="1">
        <f t="shared" si="107"/>
        <v>1</v>
      </c>
      <c r="N1413" s="1">
        <f t="shared" si="108"/>
        <v>1</v>
      </c>
      <c r="O1413" s="1" t="str">
        <f>IF(I1413=0,"UNUSED",IF(A1413="","MISSING ID",IF(K1413=0,"UNEXPECTED ID",IF(N1413&lt;&gt;1,"ID / ORDER DIFFERENCE",IF('Source build'!U1413&lt;&gt;"INCLUDED","EXCLUDED SOURCE",IF(NOT(M1413),"INVALID AMOUNT",IF('Source build'!Y1413&lt;&gt;0,"CHANGED FIELDS","MATCH")))))))</f>
        <v>MATCH</v>
      </c>
      <c r="P1413" s="1" t="str">
        <f t="shared" si="109"/>
        <v>2026-03</v>
      </c>
    </row>
    <row r="1414" spans="1:16" ht="18.95" customHeight="1">
      <c r="A1414" s="7" t="s">
        <v>3714</v>
      </c>
      <c r="B1414" s="7" t="s">
        <v>3712</v>
      </c>
      <c r="C1414" s="7" t="s">
        <v>536</v>
      </c>
      <c r="D1414" s="7" t="s">
        <v>93</v>
      </c>
      <c r="E1414" s="7" t="s">
        <v>46</v>
      </c>
      <c r="F1414" s="7" t="s">
        <v>98</v>
      </c>
      <c r="G1414" s="7" t="s">
        <v>3715</v>
      </c>
      <c r="I1414" s="1">
        <f t="shared" si="105"/>
        <v>1</v>
      </c>
      <c r="J1414" s="1" t="str">
        <f>'Source build'!A1414</f>
        <v>L01408</v>
      </c>
      <c r="K1414" s="1">
        <f>1414</f>
        <v>1414</v>
      </c>
      <c r="L1414" s="10">
        <f t="shared" si="106"/>
        <v>22790</v>
      </c>
      <c r="M1414" s="1">
        <f t="shared" si="107"/>
        <v>1</v>
      </c>
      <c r="N1414" s="1">
        <f t="shared" si="108"/>
        <v>1</v>
      </c>
      <c r="O1414" s="1" t="str">
        <f>IF(I1414=0,"UNUSED",IF(A1414="","MISSING ID",IF(K1414=0,"UNEXPECTED ID",IF(N1414&lt;&gt;1,"ID / ORDER DIFFERENCE",IF('Source build'!U1414&lt;&gt;"INCLUDED","EXCLUDED SOURCE",IF(NOT(M1414),"INVALID AMOUNT",IF('Source build'!Y1414&lt;&gt;0,"CHANGED FIELDS","MATCH")))))))</f>
        <v>MATCH</v>
      </c>
      <c r="P1414" s="1" t="str">
        <f t="shared" si="109"/>
        <v>2026-03</v>
      </c>
    </row>
    <row r="1415" spans="1:16" ht="18.95" customHeight="1">
      <c r="A1415" s="7" t="s">
        <v>3716</v>
      </c>
      <c r="B1415" s="7" t="s">
        <v>3717</v>
      </c>
      <c r="C1415" s="7" t="s">
        <v>542</v>
      </c>
      <c r="D1415" s="7" t="s">
        <v>97</v>
      </c>
      <c r="E1415" s="7" t="s">
        <v>47</v>
      </c>
      <c r="F1415" s="7" t="s">
        <v>98</v>
      </c>
      <c r="G1415" s="7" t="s">
        <v>3718</v>
      </c>
      <c r="I1415" s="1">
        <f t="shared" ref="I1415:I1478" si="110">IF(AND(A1415="",B1415="",C1415="",D1415="",E1415="",F1415="",G1415=""),0,1)</f>
        <v>1</v>
      </c>
      <c r="J1415" s="1" t="str">
        <f>'Source build'!A1415</f>
        <v>L01409</v>
      </c>
      <c r="K1415" s="1">
        <f>1415</f>
        <v>1415</v>
      </c>
      <c r="L1415" s="10">
        <f t="shared" ref="L1415:L1478" si="111">IFERROR(IF(ABS(VALUE(G1415)*100-ROUND(VALUE(G1415)*100,0))&lt;0.0000001,ROUND(VALUE(G1415)*100,0),0),0)</f>
        <v>9190</v>
      </c>
      <c r="M1415" s="1">
        <f t="shared" ref="M1415:M1478" si="112">--IF(I1415=0,TRUE,IF(TRIM(G1415)="",FALSE,IFERROR(AND(ISNUMBER(VALUE(G1415)),ABS(VALUE(G1415)*100-ROUND(VALUE(G1415)*100,0))&lt;0.0000001,OR(ISNUMBER(G1415),EXACT(G1415,TEXT(VALUE(G1415),"0.00"))),OR(AND(EXACT(F1415,"sale"),VALUE(G1415)&gt;0),AND(EXACT(F1415,"refund"),VALUE(G1415)&lt;0))),FALSE)))</f>
        <v>1</v>
      </c>
      <c r="N1415" s="1">
        <f t="shared" ref="N1415:N1478" si="113">IF(I1415=1,IF(EXACT(A1415,J1415),1,0),0)</f>
        <v>1</v>
      </c>
      <c r="O1415" s="1" t="str">
        <f>IF(I1415=0,"UNUSED",IF(A1415="","MISSING ID",IF(K1415=0,"UNEXPECTED ID",IF(N1415&lt;&gt;1,"ID / ORDER DIFFERENCE",IF('Source build'!U1415&lt;&gt;"INCLUDED","EXCLUDED SOURCE",IF(NOT(M1415),"INVALID AMOUNT",IF('Source build'!Y1415&lt;&gt;0,"CHANGED FIELDS","MATCH")))))))</f>
        <v>MATCH</v>
      </c>
      <c r="P1415" s="1" t="str">
        <f t="shared" ref="P1415:P1478" si="114">IF(I1415=1,LEFT(C1415,7),"")</f>
        <v>2026-03</v>
      </c>
    </row>
    <row r="1416" spans="1:16" ht="18.95" customHeight="1">
      <c r="A1416" s="7" t="s">
        <v>3719</v>
      </c>
      <c r="B1416" s="7" t="s">
        <v>3717</v>
      </c>
      <c r="C1416" s="7" t="s">
        <v>542</v>
      </c>
      <c r="D1416" s="7" t="s">
        <v>103</v>
      </c>
      <c r="E1416" s="7" t="s">
        <v>48</v>
      </c>
      <c r="F1416" s="7" t="s">
        <v>98</v>
      </c>
      <c r="G1416" s="7" t="s">
        <v>3720</v>
      </c>
      <c r="I1416" s="1">
        <f t="shared" si="110"/>
        <v>1</v>
      </c>
      <c r="J1416" s="1" t="str">
        <f>'Source build'!A1416</f>
        <v>L01410</v>
      </c>
      <c r="K1416" s="1">
        <f>1416</f>
        <v>1416</v>
      </c>
      <c r="L1416" s="10">
        <f t="shared" si="111"/>
        <v>18528</v>
      </c>
      <c r="M1416" s="1">
        <f t="shared" si="112"/>
        <v>1</v>
      </c>
      <c r="N1416" s="1">
        <f t="shared" si="113"/>
        <v>1</v>
      </c>
      <c r="O1416" s="1" t="str">
        <f>IF(I1416=0,"UNUSED",IF(A1416="","MISSING ID",IF(K1416=0,"UNEXPECTED ID",IF(N1416&lt;&gt;1,"ID / ORDER DIFFERENCE",IF('Source build'!U1416&lt;&gt;"INCLUDED","EXCLUDED SOURCE",IF(NOT(M1416),"INVALID AMOUNT",IF('Source build'!Y1416&lt;&gt;0,"CHANGED FIELDS","MATCH")))))))</f>
        <v>MATCH</v>
      </c>
      <c r="P1416" s="1" t="str">
        <f t="shared" si="114"/>
        <v>2026-03</v>
      </c>
    </row>
    <row r="1417" spans="1:16" ht="18.95" customHeight="1">
      <c r="A1417" s="7" t="s">
        <v>3721</v>
      </c>
      <c r="B1417" s="7" t="s">
        <v>3722</v>
      </c>
      <c r="C1417" s="7" t="s">
        <v>548</v>
      </c>
      <c r="D1417" s="7" t="s">
        <v>93</v>
      </c>
      <c r="E1417" s="7" t="s">
        <v>46</v>
      </c>
      <c r="F1417" s="7" t="s">
        <v>98</v>
      </c>
      <c r="G1417" s="7" t="s">
        <v>3723</v>
      </c>
      <c r="I1417" s="1">
        <f t="shared" si="110"/>
        <v>1</v>
      </c>
      <c r="J1417" s="1" t="str">
        <f>'Source build'!A1417</f>
        <v>L01411</v>
      </c>
      <c r="K1417" s="1">
        <f>1417</f>
        <v>1417</v>
      </c>
      <c r="L1417" s="10">
        <f t="shared" si="111"/>
        <v>4669</v>
      </c>
      <c r="M1417" s="1">
        <f t="shared" si="112"/>
        <v>1</v>
      </c>
      <c r="N1417" s="1">
        <f t="shared" si="113"/>
        <v>1</v>
      </c>
      <c r="O1417" s="1" t="str">
        <f>IF(I1417=0,"UNUSED",IF(A1417="","MISSING ID",IF(K1417=0,"UNEXPECTED ID",IF(N1417&lt;&gt;1,"ID / ORDER DIFFERENCE",IF('Source build'!U1417&lt;&gt;"INCLUDED","EXCLUDED SOURCE",IF(NOT(M1417),"INVALID AMOUNT",IF('Source build'!Y1417&lt;&gt;0,"CHANGED FIELDS","MATCH")))))))</f>
        <v>MATCH</v>
      </c>
      <c r="P1417" s="1" t="str">
        <f t="shared" si="114"/>
        <v>2026-03</v>
      </c>
    </row>
    <row r="1418" spans="1:16" ht="18.95" customHeight="1">
      <c r="A1418" s="7" t="s">
        <v>3724</v>
      </c>
      <c r="B1418" s="7" t="s">
        <v>3722</v>
      </c>
      <c r="C1418" s="7" t="s">
        <v>548</v>
      </c>
      <c r="D1418" s="7" t="s">
        <v>97</v>
      </c>
      <c r="E1418" s="7" t="s">
        <v>47</v>
      </c>
      <c r="F1418" s="7" t="s">
        <v>98</v>
      </c>
      <c r="G1418" s="7" t="s">
        <v>3725</v>
      </c>
      <c r="I1418" s="1">
        <f t="shared" si="110"/>
        <v>1</v>
      </c>
      <c r="J1418" s="1" t="str">
        <f>'Source build'!A1418</f>
        <v>L01412</v>
      </c>
      <c r="K1418" s="1">
        <f>1418</f>
        <v>1418</v>
      </c>
      <c r="L1418" s="10">
        <f t="shared" si="111"/>
        <v>14118</v>
      </c>
      <c r="M1418" s="1">
        <f t="shared" si="112"/>
        <v>1</v>
      </c>
      <c r="N1418" s="1">
        <f t="shared" si="113"/>
        <v>1</v>
      </c>
      <c r="O1418" s="1" t="str">
        <f>IF(I1418=0,"UNUSED",IF(A1418="","MISSING ID",IF(K1418=0,"UNEXPECTED ID",IF(N1418&lt;&gt;1,"ID / ORDER DIFFERENCE",IF('Source build'!U1418&lt;&gt;"INCLUDED","EXCLUDED SOURCE",IF(NOT(M1418),"INVALID AMOUNT",IF('Source build'!Y1418&lt;&gt;0,"CHANGED FIELDS","MATCH")))))))</f>
        <v>MATCH</v>
      </c>
      <c r="P1418" s="1" t="str">
        <f t="shared" si="114"/>
        <v>2026-03</v>
      </c>
    </row>
    <row r="1419" spans="1:16" ht="18.95" customHeight="1">
      <c r="A1419" s="7" t="s">
        <v>3726</v>
      </c>
      <c r="B1419" s="7" t="s">
        <v>3727</v>
      </c>
      <c r="C1419" s="7" t="s">
        <v>554</v>
      </c>
      <c r="D1419" s="7" t="s">
        <v>103</v>
      </c>
      <c r="E1419" s="7" t="s">
        <v>48</v>
      </c>
      <c r="F1419" s="7" t="s">
        <v>98</v>
      </c>
      <c r="G1419" s="7" t="s">
        <v>3728</v>
      </c>
      <c r="I1419" s="1">
        <f t="shared" si="110"/>
        <v>1</v>
      </c>
      <c r="J1419" s="1" t="str">
        <f>'Source build'!A1419</f>
        <v>L01413</v>
      </c>
      <c r="K1419" s="1">
        <f>1419</f>
        <v>1419</v>
      </c>
      <c r="L1419" s="10">
        <f t="shared" si="111"/>
        <v>23715</v>
      </c>
      <c r="M1419" s="1">
        <f t="shared" si="112"/>
        <v>1</v>
      </c>
      <c r="N1419" s="1">
        <f t="shared" si="113"/>
        <v>1</v>
      </c>
      <c r="O1419" s="1" t="str">
        <f>IF(I1419=0,"UNUSED",IF(A1419="","MISSING ID",IF(K1419=0,"UNEXPECTED ID",IF(N1419&lt;&gt;1,"ID / ORDER DIFFERENCE",IF('Source build'!U1419&lt;&gt;"INCLUDED","EXCLUDED SOURCE",IF(NOT(M1419),"INVALID AMOUNT",IF('Source build'!Y1419&lt;&gt;0,"CHANGED FIELDS","MATCH")))))))</f>
        <v>MATCH</v>
      </c>
      <c r="P1419" s="1" t="str">
        <f t="shared" si="114"/>
        <v>2026-03</v>
      </c>
    </row>
    <row r="1420" spans="1:16" ht="18.95" customHeight="1">
      <c r="A1420" s="7" t="s">
        <v>3729</v>
      </c>
      <c r="B1420" s="7" t="s">
        <v>3727</v>
      </c>
      <c r="C1420" s="7" t="s">
        <v>554</v>
      </c>
      <c r="D1420" s="7" t="s">
        <v>93</v>
      </c>
      <c r="E1420" s="7" t="s">
        <v>46</v>
      </c>
      <c r="F1420" s="7" t="s">
        <v>98</v>
      </c>
      <c r="G1420" s="7" t="s">
        <v>3730</v>
      </c>
      <c r="I1420" s="1">
        <f t="shared" si="110"/>
        <v>1</v>
      </c>
      <c r="J1420" s="1" t="str">
        <f>'Source build'!A1420</f>
        <v>L01414</v>
      </c>
      <c r="K1420" s="1">
        <f>1420</f>
        <v>1420</v>
      </c>
      <c r="L1420" s="10">
        <f t="shared" si="111"/>
        <v>9560</v>
      </c>
      <c r="M1420" s="1">
        <f t="shared" si="112"/>
        <v>1</v>
      </c>
      <c r="N1420" s="1">
        <f t="shared" si="113"/>
        <v>1</v>
      </c>
      <c r="O1420" s="1" t="str">
        <f>IF(I1420=0,"UNUSED",IF(A1420="","MISSING ID",IF(K1420=0,"UNEXPECTED ID",IF(N1420&lt;&gt;1,"ID / ORDER DIFFERENCE",IF('Source build'!U1420&lt;&gt;"INCLUDED","EXCLUDED SOURCE",IF(NOT(M1420),"INVALID AMOUNT",IF('Source build'!Y1420&lt;&gt;0,"CHANGED FIELDS","MATCH")))))))</f>
        <v>MATCH</v>
      </c>
      <c r="P1420" s="1" t="str">
        <f t="shared" si="114"/>
        <v>2026-03</v>
      </c>
    </row>
    <row r="1421" spans="1:16" ht="18.95" customHeight="1">
      <c r="A1421" s="7" t="s">
        <v>3731</v>
      </c>
      <c r="B1421" s="7" t="s">
        <v>3732</v>
      </c>
      <c r="C1421" s="7" t="s">
        <v>560</v>
      </c>
      <c r="D1421" s="7" t="s">
        <v>97</v>
      </c>
      <c r="E1421" s="7" t="s">
        <v>47</v>
      </c>
      <c r="F1421" s="7" t="s">
        <v>98</v>
      </c>
      <c r="G1421" s="7" t="s">
        <v>3733</v>
      </c>
      <c r="I1421" s="1">
        <f t="shared" si="110"/>
        <v>1</v>
      </c>
      <c r="J1421" s="1" t="str">
        <f>'Source build'!A1421</f>
        <v>L01415</v>
      </c>
      <c r="K1421" s="1">
        <f>1421</f>
        <v>1421</v>
      </c>
      <c r="L1421" s="10">
        <f t="shared" si="111"/>
        <v>19268</v>
      </c>
      <c r="M1421" s="1">
        <f t="shared" si="112"/>
        <v>1</v>
      </c>
      <c r="N1421" s="1">
        <f t="shared" si="113"/>
        <v>1</v>
      </c>
      <c r="O1421" s="1" t="str">
        <f>IF(I1421=0,"UNUSED",IF(A1421="","MISSING ID",IF(K1421=0,"UNEXPECTED ID",IF(N1421&lt;&gt;1,"ID / ORDER DIFFERENCE",IF('Source build'!U1421&lt;&gt;"INCLUDED","EXCLUDED SOURCE",IF(NOT(M1421),"INVALID AMOUNT",IF('Source build'!Y1421&lt;&gt;0,"CHANGED FIELDS","MATCH")))))))</f>
        <v>MATCH</v>
      </c>
      <c r="P1421" s="1" t="str">
        <f t="shared" si="114"/>
        <v>2026-03</v>
      </c>
    </row>
    <row r="1422" spans="1:16" ht="18.95" customHeight="1">
      <c r="A1422" s="7" t="s">
        <v>3734</v>
      </c>
      <c r="B1422" s="7" t="s">
        <v>3732</v>
      </c>
      <c r="C1422" s="7" t="s">
        <v>560</v>
      </c>
      <c r="D1422" s="7" t="s">
        <v>103</v>
      </c>
      <c r="E1422" s="7" t="s">
        <v>48</v>
      </c>
      <c r="F1422" s="7" t="s">
        <v>98</v>
      </c>
      <c r="G1422" s="7" t="s">
        <v>3735</v>
      </c>
      <c r="I1422" s="1">
        <f t="shared" si="110"/>
        <v>1</v>
      </c>
      <c r="J1422" s="1" t="str">
        <f>'Source build'!A1422</f>
        <v>L01416</v>
      </c>
      <c r="K1422" s="1">
        <f>1422</f>
        <v>1422</v>
      </c>
      <c r="L1422" s="10">
        <f t="shared" si="111"/>
        <v>4854</v>
      </c>
      <c r="M1422" s="1">
        <f t="shared" si="112"/>
        <v>1</v>
      </c>
      <c r="N1422" s="1">
        <f t="shared" si="113"/>
        <v>1</v>
      </c>
      <c r="O1422" s="1" t="str">
        <f>IF(I1422=0,"UNUSED",IF(A1422="","MISSING ID",IF(K1422=0,"UNEXPECTED ID",IF(N1422&lt;&gt;1,"ID / ORDER DIFFERENCE",IF('Source build'!U1422&lt;&gt;"INCLUDED","EXCLUDED SOURCE",IF(NOT(M1422),"INVALID AMOUNT",IF('Source build'!Y1422&lt;&gt;0,"CHANGED FIELDS","MATCH")))))))</f>
        <v>MATCH</v>
      </c>
      <c r="P1422" s="1" t="str">
        <f t="shared" si="114"/>
        <v>2026-03</v>
      </c>
    </row>
    <row r="1423" spans="1:16" ht="18.95" customHeight="1">
      <c r="A1423" s="7" t="s">
        <v>3736</v>
      </c>
      <c r="B1423" s="7" t="s">
        <v>3737</v>
      </c>
      <c r="C1423" s="7" t="s">
        <v>566</v>
      </c>
      <c r="D1423" s="7" t="s">
        <v>93</v>
      </c>
      <c r="E1423" s="7" t="s">
        <v>46</v>
      </c>
      <c r="F1423" s="7" t="s">
        <v>98</v>
      </c>
      <c r="G1423" s="7" t="s">
        <v>3738</v>
      </c>
      <c r="I1423" s="1">
        <f t="shared" si="110"/>
        <v>1</v>
      </c>
      <c r="J1423" s="1" t="str">
        <f>'Source build'!A1423</f>
        <v>L01417</v>
      </c>
      <c r="K1423" s="1">
        <f>1423</f>
        <v>1423</v>
      </c>
      <c r="L1423" s="10">
        <f t="shared" si="111"/>
        <v>14673</v>
      </c>
      <c r="M1423" s="1">
        <f t="shared" si="112"/>
        <v>1</v>
      </c>
      <c r="N1423" s="1">
        <f t="shared" si="113"/>
        <v>1</v>
      </c>
      <c r="O1423" s="1" t="str">
        <f>IF(I1423=0,"UNUSED",IF(A1423="","MISSING ID",IF(K1423=0,"UNEXPECTED ID",IF(N1423&lt;&gt;1,"ID / ORDER DIFFERENCE",IF('Source build'!U1423&lt;&gt;"INCLUDED","EXCLUDED SOURCE",IF(NOT(M1423),"INVALID AMOUNT",IF('Source build'!Y1423&lt;&gt;0,"CHANGED FIELDS","MATCH")))))))</f>
        <v>MATCH</v>
      </c>
      <c r="P1423" s="1" t="str">
        <f t="shared" si="114"/>
        <v>2026-01</v>
      </c>
    </row>
    <row r="1424" spans="1:16" ht="18.95" customHeight="1">
      <c r="A1424" s="7" t="s">
        <v>3739</v>
      </c>
      <c r="B1424" s="7" t="s">
        <v>3737</v>
      </c>
      <c r="C1424" s="7" t="s">
        <v>566</v>
      </c>
      <c r="D1424" s="7" t="s">
        <v>97</v>
      </c>
      <c r="E1424" s="7" t="s">
        <v>47</v>
      </c>
      <c r="F1424" s="7" t="s">
        <v>98</v>
      </c>
      <c r="G1424" s="7" t="s">
        <v>3740</v>
      </c>
      <c r="I1424" s="1">
        <f t="shared" si="110"/>
        <v>1</v>
      </c>
      <c r="J1424" s="1" t="str">
        <f>'Source build'!A1424</f>
        <v>L01418</v>
      </c>
      <c r="K1424" s="1">
        <f>1424</f>
        <v>1424</v>
      </c>
      <c r="L1424" s="10">
        <f t="shared" si="111"/>
        <v>24640</v>
      </c>
      <c r="M1424" s="1">
        <f t="shared" si="112"/>
        <v>1</v>
      </c>
      <c r="N1424" s="1">
        <f t="shared" si="113"/>
        <v>1</v>
      </c>
      <c r="O1424" s="1" t="str">
        <f>IF(I1424=0,"UNUSED",IF(A1424="","MISSING ID",IF(K1424=0,"UNEXPECTED ID",IF(N1424&lt;&gt;1,"ID / ORDER DIFFERENCE",IF('Source build'!U1424&lt;&gt;"INCLUDED","EXCLUDED SOURCE",IF(NOT(M1424),"INVALID AMOUNT",IF('Source build'!Y1424&lt;&gt;0,"CHANGED FIELDS","MATCH")))))))</f>
        <v>MATCH</v>
      </c>
      <c r="P1424" s="1" t="str">
        <f t="shared" si="114"/>
        <v>2026-01</v>
      </c>
    </row>
    <row r="1425" spans="1:16" ht="18.95" customHeight="1">
      <c r="A1425" s="7" t="s">
        <v>3741</v>
      </c>
      <c r="B1425" s="7" t="s">
        <v>3742</v>
      </c>
      <c r="C1425" s="7" t="s">
        <v>572</v>
      </c>
      <c r="D1425" s="7" t="s">
        <v>103</v>
      </c>
      <c r="E1425" s="7" t="s">
        <v>48</v>
      </c>
      <c r="F1425" s="7" t="s">
        <v>98</v>
      </c>
      <c r="G1425" s="7" t="s">
        <v>3743</v>
      </c>
      <c r="I1425" s="1">
        <f t="shared" si="110"/>
        <v>1</v>
      </c>
      <c r="J1425" s="1" t="str">
        <f>'Source build'!A1425</f>
        <v>L01419</v>
      </c>
      <c r="K1425" s="1">
        <f>1425</f>
        <v>1425</v>
      </c>
      <c r="L1425" s="10">
        <f t="shared" si="111"/>
        <v>9930</v>
      </c>
      <c r="M1425" s="1">
        <f t="shared" si="112"/>
        <v>1</v>
      </c>
      <c r="N1425" s="1">
        <f t="shared" si="113"/>
        <v>1</v>
      </c>
      <c r="O1425" s="1" t="str">
        <f>IF(I1425=0,"UNUSED",IF(A1425="","MISSING ID",IF(K1425=0,"UNEXPECTED ID",IF(N1425&lt;&gt;1,"ID / ORDER DIFFERENCE",IF('Source build'!U1425&lt;&gt;"INCLUDED","EXCLUDED SOURCE",IF(NOT(M1425),"INVALID AMOUNT",IF('Source build'!Y1425&lt;&gt;0,"CHANGED FIELDS","MATCH")))))))</f>
        <v>MATCH</v>
      </c>
      <c r="P1425" s="1" t="str">
        <f t="shared" si="114"/>
        <v>2026-01</v>
      </c>
    </row>
    <row r="1426" spans="1:16" ht="18.95" customHeight="1">
      <c r="A1426" s="7" t="s">
        <v>3744</v>
      </c>
      <c r="B1426" s="7" t="s">
        <v>3742</v>
      </c>
      <c r="C1426" s="7" t="s">
        <v>572</v>
      </c>
      <c r="D1426" s="7" t="s">
        <v>93</v>
      </c>
      <c r="E1426" s="7" t="s">
        <v>46</v>
      </c>
      <c r="F1426" s="7" t="s">
        <v>98</v>
      </c>
      <c r="G1426" s="7" t="s">
        <v>3745</v>
      </c>
      <c r="I1426" s="1">
        <f t="shared" si="110"/>
        <v>1</v>
      </c>
      <c r="J1426" s="1" t="str">
        <f>'Source build'!A1426</f>
        <v>L01420</v>
      </c>
      <c r="K1426" s="1">
        <f>1426</f>
        <v>1426</v>
      </c>
      <c r="L1426" s="10">
        <f t="shared" si="111"/>
        <v>20008</v>
      </c>
      <c r="M1426" s="1">
        <f t="shared" si="112"/>
        <v>1</v>
      </c>
      <c r="N1426" s="1">
        <f t="shared" si="113"/>
        <v>1</v>
      </c>
      <c r="O1426" s="1" t="str">
        <f>IF(I1426=0,"UNUSED",IF(A1426="","MISSING ID",IF(K1426=0,"UNEXPECTED ID",IF(N1426&lt;&gt;1,"ID / ORDER DIFFERENCE",IF('Source build'!U1426&lt;&gt;"INCLUDED","EXCLUDED SOURCE",IF(NOT(M1426),"INVALID AMOUNT",IF('Source build'!Y1426&lt;&gt;0,"CHANGED FIELDS","MATCH")))))))</f>
        <v>MATCH</v>
      </c>
      <c r="P1426" s="1" t="str">
        <f t="shared" si="114"/>
        <v>2026-01</v>
      </c>
    </row>
    <row r="1427" spans="1:16" ht="18.95" customHeight="1">
      <c r="A1427" s="7" t="s">
        <v>3746</v>
      </c>
      <c r="B1427" s="7" t="s">
        <v>3747</v>
      </c>
      <c r="C1427" s="7" t="s">
        <v>578</v>
      </c>
      <c r="D1427" s="7" t="s">
        <v>97</v>
      </c>
      <c r="E1427" s="7" t="s">
        <v>47</v>
      </c>
      <c r="F1427" s="7" t="s">
        <v>98</v>
      </c>
      <c r="G1427" s="7" t="s">
        <v>3748</v>
      </c>
      <c r="I1427" s="1">
        <f t="shared" si="110"/>
        <v>1</v>
      </c>
      <c r="J1427" s="1" t="str">
        <f>'Source build'!A1427</f>
        <v>L01421</v>
      </c>
      <c r="K1427" s="1">
        <f>1427</f>
        <v>1427</v>
      </c>
      <c r="L1427" s="10">
        <f t="shared" si="111"/>
        <v>5039</v>
      </c>
      <c r="M1427" s="1">
        <f t="shared" si="112"/>
        <v>1</v>
      </c>
      <c r="N1427" s="1">
        <f t="shared" si="113"/>
        <v>1</v>
      </c>
      <c r="O1427" s="1" t="str">
        <f>IF(I1427=0,"UNUSED",IF(A1427="","MISSING ID",IF(K1427=0,"UNEXPECTED ID",IF(N1427&lt;&gt;1,"ID / ORDER DIFFERENCE",IF('Source build'!U1427&lt;&gt;"INCLUDED","EXCLUDED SOURCE",IF(NOT(M1427),"INVALID AMOUNT",IF('Source build'!Y1427&lt;&gt;0,"CHANGED FIELDS","MATCH")))))))</f>
        <v>MATCH</v>
      </c>
      <c r="P1427" s="1" t="str">
        <f t="shared" si="114"/>
        <v>2026-01</v>
      </c>
    </row>
    <row r="1428" spans="1:16" ht="18.95" customHeight="1">
      <c r="A1428" s="7" t="s">
        <v>3749</v>
      </c>
      <c r="B1428" s="7" t="s">
        <v>3747</v>
      </c>
      <c r="C1428" s="7" t="s">
        <v>578</v>
      </c>
      <c r="D1428" s="7" t="s">
        <v>103</v>
      </c>
      <c r="E1428" s="7" t="s">
        <v>48</v>
      </c>
      <c r="F1428" s="7" t="s">
        <v>98</v>
      </c>
      <c r="G1428" s="7" t="s">
        <v>3750</v>
      </c>
      <c r="I1428" s="1">
        <f t="shared" si="110"/>
        <v>1</v>
      </c>
      <c r="J1428" s="1" t="str">
        <f>'Source build'!A1428</f>
        <v>L01422</v>
      </c>
      <c r="K1428" s="1">
        <f>1428</f>
        <v>1428</v>
      </c>
      <c r="L1428" s="10">
        <f t="shared" si="111"/>
        <v>15228</v>
      </c>
      <c r="M1428" s="1">
        <f t="shared" si="112"/>
        <v>1</v>
      </c>
      <c r="N1428" s="1">
        <f t="shared" si="113"/>
        <v>1</v>
      </c>
      <c r="O1428" s="1" t="str">
        <f>IF(I1428=0,"UNUSED",IF(A1428="","MISSING ID",IF(K1428=0,"UNEXPECTED ID",IF(N1428&lt;&gt;1,"ID / ORDER DIFFERENCE",IF('Source build'!U1428&lt;&gt;"INCLUDED","EXCLUDED SOURCE",IF(NOT(M1428),"INVALID AMOUNT",IF('Source build'!Y1428&lt;&gt;0,"CHANGED FIELDS","MATCH")))))))</f>
        <v>MATCH</v>
      </c>
      <c r="P1428" s="1" t="str">
        <f t="shared" si="114"/>
        <v>2026-01</v>
      </c>
    </row>
    <row r="1429" spans="1:16" ht="18.95" customHeight="1">
      <c r="A1429" s="7" t="s">
        <v>3751</v>
      </c>
      <c r="B1429" s="7" t="s">
        <v>3752</v>
      </c>
      <c r="C1429" s="7" t="s">
        <v>584</v>
      </c>
      <c r="D1429" s="7" t="s">
        <v>93</v>
      </c>
      <c r="E1429" s="7" t="s">
        <v>46</v>
      </c>
      <c r="F1429" s="7" t="s">
        <v>98</v>
      </c>
      <c r="G1429" s="7" t="s">
        <v>3753</v>
      </c>
      <c r="I1429" s="1">
        <f t="shared" si="110"/>
        <v>1</v>
      </c>
      <c r="J1429" s="1" t="str">
        <f>'Source build'!A1429</f>
        <v>L01423</v>
      </c>
      <c r="K1429" s="1">
        <f>1429</f>
        <v>1429</v>
      </c>
      <c r="L1429" s="10">
        <f t="shared" si="111"/>
        <v>25565</v>
      </c>
      <c r="M1429" s="1">
        <f t="shared" si="112"/>
        <v>1</v>
      </c>
      <c r="N1429" s="1">
        <f t="shared" si="113"/>
        <v>1</v>
      </c>
      <c r="O1429" s="1" t="str">
        <f>IF(I1429=0,"UNUSED",IF(A1429="","MISSING ID",IF(K1429=0,"UNEXPECTED ID",IF(N1429&lt;&gt;1,"ID / ORDER DIFFERENCE",IF('Source build'!U1429&lt;&gt;"INCLUDED","EXCLUDED SOURCE",IF(NOT(M1429),"INVALID AMOUNT",IF('Source build'!Y1429&lt;&gt;0,"CHANGED FIELDS","MATCH")))))))</f>
        <v>MATCH</v>
      </c>
      <c r="P1429" s="1" t="str">
        <f t="shared" si="114"/>
        <v>2026-01</v>
      </c>
    </row>
    <row r="1430" spans="1:16" ht="18.95" customHeight="1">
      <c r="A1430" s="7" t="s">
        <v>3754</v>
      </c>
      <c r="B1430" s="7" t="s">
        <v>3752</v>
      </c>
      <c r="C1430" s="7" t="s">
        <v>584</v>
      </c>
      <c r="D1430" s="7" t="s">
        <v>97</v>
      </c>
      <c r="E1430" s="7" t="s">
        <v>47</v>
      </c>
      <c r="F1430" s="7" t="s">
        <v>98</v>
      </c>
      <c r="G1430" s="7" t="s">
        <v>3755</v>
      </c>
      <c r="I1430" s="1">
        <f t="shared" si="110"/>
        <v>1</v>
      </c>
      <c r="J1430" s="1" t="str">
        <f>'Source build'!A1430</f>
        <v>L01424</v>
      </c>
      <c r="K1430" s="1">
        <f>1430</f>
        <v>1430</v>
      </c>
      <c r="L1430" s="10">
        <f t="shared" si="111"/>
        <v>10300</v>
      </c>
      <c r="M1430" s="1">
        <f t="shared" si="112"/>
        <v>1</v>
      </c>
      <c r="N1430" s="1">
        <f t="shared" si="113"/>
        <v>1</v>
      </c>
      <c r="O1430" s="1" t="str">
        <f>IF(I1430=0,"UNUSED",IF(A1430="","MISSING ID",IF(K1430=0,"UNEXPECTED ID",IF(N1430&lt;&gt;1,"ID / ORDER DIFFERENCE",IF('Source build'!U1430&lt;&gt;"INCLUDED","EXCLUDED SOURCE",IF(NOT(M1430),"INVALID AMOUNT",IF('Source build'!Y1430&lt;&gt;0,"CHANGED FIELDS","MATCH")))))))</f>
        <v>MATCH</v>
      </c>
      <c r="P1430" s="1" t="str">
        <f t="shared" si="114"/>
        <v>2026-01</v>
      </c>
    </row>
    <row r="1431" spans="1:16" ht="18.95" customHeight="1">
      <c r="A1431" s="7" t="s">
        <v>3756</v>
      </c>
      <c r="B1431" s="7" t="s">
        <v>3757</v>
      </c>
      <c r="C1431" s="7" t="s">
        <v>590</v>
      </c>
      <c r="D1431" s="7" t="s">
        <v>103</v>
      </c>
      <c r="E1431" s="7" t="s">
        <v>48</v>
      </c>
      <c r="F1431" s="7" t="s">
        <v>98</v>
      </c>
      <c r="G1431" s="7" t="s">
        <v>3758</v>
      </c>
      <c r="I1431" s="1">
        <f t="shared" si="110"/>
        <v>1</v>
      </c>
      <c r="J1431" s="1" t="str">
        <f>'Source build'!A1431</f>
        <v>L01425</v>
      </c>
      <c r="K1431" s="1">
        <f>1431</f>
        <v>1431</v>
      </c>
      <c r="L1431" s="10">
        <f t="shared" si="111"/>
        <v>20748</v>
      </c>
      <c r="M1431" s="1">
        <f t="shared" si="112"/>
        <v>1</v>
      </c>
      <c r="N1431" s="1">
        <f t="shared" si="113"/>
        <v>1</v>
      </c>
      <c r="O1431" s="1" t="str">
        <f>IF(I1431=0,"UNUSED",IF(A1431="","MISSING ID",IF(K1431=0,"UNEXPECTED ID",IF(N1431&lt;&gt;1,"ID / ORDER DIFFERENCE",IF('Source build'!U1431&lt;&gt;"INCLUDED","EXCLUDED SOURCE",IF(NOT(M1431),"INVALID AMOUNT",IF('Source build'!Y1431&lt;&gt;0,"CHANGED FIELDS","MATCH")))))))</f>
        <v>MATCH</v>
      </c>
      <c r="P1431" s="1" t="str">
        <f t="shared" si="114"/>
        <v>2026-02</v>
      </c>
    </row>
    <row r="1432" spans="1:16" ht="18.95" customHeight="1">
      <c r="A1432" s="7" t="s">
        <v>3759</v>
      </c>
      <c r="B1432" s="7" t="s">
        <v>3757</v>
      </c>
      <c r="C1432" s="7" t="s">
        <v>590</v>
      </c>
      <c r="D1432" s="7" t="s">
        <v>93</v>
      </c>
      <c r="E1432" s="7" t="s">
        <v>46</v>
      </c>
      <c r="F1432" s="7" t="s">
        <v>98</v>
      </c>
      <c r="G1432" s="7" t="s">
        <v>3760</v>
      </c>
      <c r="I1432" s="1">
        <f t="shared" si="110"/>
        <v>1</v>
      </c>
      <c r="J1432" s="1" t="str">
        <f>'Source build'!A1432</f>
        <v>L01426</v>
      </c>
      <c r="K1432" s="1">
        <f>1432</f>
        <v>1432</v>
      </c>
      <c r="L1432" s="10">
        <f t="shared" si="111"/>
        <v>5224</v>
      </c>
      <c r="M1432" s="1">
        <f t="shared" si="112"/>
        <v>1</v>
      </c>
      <c r="N1432" s="1">
        <f t="shared" si="113"/>
        <v>1</v>
      </c>
      <c r="O1432" s="1" t="str">
        <f>IF(I1432=0,"UNUSED",IF(A1432="","MISSING ID",IF(K1432=0,"UNEXPECTED ID",IF(N1432&lt;&gt;1,"ID / ORDER DIFFERENCE",IF('Source build'!U1432&lt;&gt;"INCLUDED","EXCLUDED SOURCE",IF(NOT(M1432),"INVALID AMOUNT",IF('Source build'!Y1432&lt;&gt;0,"CHANGED FIELDS","MATCH")))))))</f>
        <v>MATCH</v>
      </c>
      <c r="P1432" s="1" t="str">
        <f t="shared" si="114"/>
        <v>2026-02</v>
      </c>
    </row>
    <row r="1433" spans="1:16" ht="18.95" customHeight="1">
      <c r="A1433" s="7" t="s">
        <v>3761</v>
      </c>
      <c r="B1433" s="7" t="s">
        <v>3762</v>
      </c>
      <c r="C1433" s="7" t="s">
        <v>596</v>
      </c>
      <c r="D1433" s="7" t="s">
        <v>97</v>
      </c>
      <c r="E1433" s="7" t="s">
        <v>47</v>
      </c>
      <c r="F1433" s="7" t="s">
        <v>94</v>
      </c>
      <c r="G1433" s="7" t="s">
        <v>3763</v>
      </c>
      <c r="I1433" s="1">
        <f t="shared" si="110"/>
        <v>1</v>
      </c>
      <c r="J1433" s="1" t="str">
        <f>'Source build'!A1433</f>
        <v>L01427</v>
      </c>
      <c r="K1433" s="1">
        <f>1433</f>
        <v>1433</v>
      </c>
      <c r="L1433" s="10">
        <f t="shared" si="111"/>
        <v>-15783</v>
      </c>
      <c r="M1433" s="1">
        <f t="shared" si="112"/>
        <v>1</v>
      </c>
      <c r="N1433" s="1">
        <f t="shared" si="113"/>
        <v>1</v>
      </c>
      <c r="O1433" s="1" t="str">
        <f>IF(I1433=0,"UNUSED",IF(A1433="","MISSING ID",IF(K1433=0,"UNEXPECTED ID",IF(N1433&lt;&gt;1,"ID / ORDER DIFFERENCE",IF('Source build'!U1433&lt;&gt;"INCLUDED","EXCLUDED SOURCE",IF(NOT(M1433),"INVALID AMOUNT",IF('Source build'!Y1433&lt;&gt;0,"CHANGED FIELDS","MATCH")))))))</f>
        <v>MATCH</v>
      </c>
      <c r="P1433" s="1" t="str">
        <f t="shared" si="114"/>
        <v>2026-02</v>
      </c>
    </row>
    <row r="1434" spans="1:16" ht="18.95" customHeight="1">
      <c r="A1434" s="7" t="s">
        <v>3764</v>
      </c>
      <c r="B1434" s="7" t="s">
        <v>3762</v>
      </c>
      <c r="C1434" s="7" t="s">
        <v>596</v>
      </c>
      <c r="D1434" s="7" t="s">
        <v>103</v>
      </c>
      <c r="E1434" s="7" t="s">
        <v>48</v>
      </c>
      <c r="F1434" s="7" t="s">
        <v>98</v>
      </c>
      <c r="G1434" s="7" t="s">
        <v>3765</v>
      </c>
      <c r="I1434" s="1">
        <f t="shared" si="110"/>
        <v>1</v>
      </c>
      <c r="J1434" s="1" t="str">
        <f>'Source build'!A1434</f>
        <v>L01428</v>
      </c>
      <c r="K1434" s="1">
        <f>1434</f>
        <v>1434</v>
      </c>
      <c r="L1434" s="10">
        <f t="shared" si="111"/>
        <v>26490</v>
      </c>
      <c r="M1434" s="1">
        <f t="shared" si="112"/>
        <v>1</v>
      </c>
      <c r="N1434" s="1">
        <f t="shared" si="113"/>
        <v>1</v>
      </c>
      <c r="O1434" s="1" t="str">
        <f>IF(I1434=0,"UNUSED",IF(A1434="","MISSING ID",IF(K1434=0,"UNEXPECTED ID",IF(N1434&lt;&gt;1,"ID / ORDER DIFFERENCE",IF('Source build'!U1434&lt;&gt;"INCLUDED","EXCLUDED SOURCE",IF(NOT(M1434),"INVALID AMOUNT",IF('Source build'!Y1434&lt;&gt;0,"CHANGED FIELDS","MATCH")))))))</f>
        <v>MATCH</v>
      </c>
      <c r="P1434" s="1" t="str">
        <f t="shared" si="114"/>
        <v>2026-02</v>
      </c>
    </row>
    <row r="1435" spans="1:16" ht="18.95" customHeight="1">
      <c r="A1435" s="7" t="s">
        <v>3766</v>
      </c>
      <c r="B1435" s="7" t="s">
        <v>3767</v>
      </c>
      <c r="C1435" s="7" t="s">
        <v>602</v>
      </c>
      <c r="D1435" s="7" t="s">
        <v>93</v>
      </c>
      <c r="E1435" s="7" t="s">
        <v>46</v>
      </c>
      <c r="F1435" s="7" t="s">
        <v>98</v>
      </c>
      <c r="G1435" s="7" t="s">
        <v>3768</v>
      </c>
      <c r="I1435" s="1">
        <f t="shared" si="110"/>
        <v>1</v>
      </c>
      <c r="J1435" s="1" t="str">
        <f>'Source build'!A1435</f>
        <v>L01429</v>
      </c>
      <c r="K1435" s="1">
        <f>1435</f>
        <v>1435</v>
      </c>
      <c r="L1435" s="10">
        <f t="shared" si="111"/>
        <v>10670</v>
      </c>
      <c r="M1435" s="1">
        <f t="shared" si="112"/>
        <v>1</v>
      </c>
      <c r="N1435" s="1">
        <f t="shared" si="113"/>
        <v>1</v>
      </c>
      <c r="O1435" s="1" t="str">
        <f>IF(I1435=0,"UNUSED",IF(A1435="","MISSING ID",IF(K1435=0,"UNEXPECTED ID",IF(N1435&lt;&gt;1,"ID / ORDER DIFFERENCE",IF('Source build'!U1435&lt;&gt;"INCLUDED","EXCLUDED SOURCE",IF(NOT(M1435),"INVALID AMOUNT",IF('Source build'!Y1435&lt;&gt;0,"CHANGED FIELDS","MATCH")))))))</f>
        <v>MATCH</v>
      </c>
      <c r="P1435" s="1" t="str">
        <f t="shared" si="114"/>
        <v>2026-02</v>
      </c>
    </row>
    <row r="1436" spans="1:16" ht="18.95" customHeight="1">
      <c r="A1436" s="7" t="s">
        <v>3769</v>
      </c>
      <c r="B1436" s="7" t="s">
        <v>3767</v>
      </c>
      <c r="C1436" s="7" t="s">
        <v>602</v>
      </c>
      <c r="D1436" s="7" t="s">
        <v>97</v>
      </c>
      <c r="E1436" s="7" t="s">
        <v>47</v>
      </c>
      <c r="F1436" s="7" t="s">
        <v>98</v>
      </c>
      <c r="G1436" s="7" t="s">
        <v>3770</v>
      </c>
      <c r="I1436" s="1">
        <f t="shared" si="110"/>
        <v>1</v>
      </c>
      <c r="J1436" s="1" t="str">
        <f>'Source build'!A1436</f>
        <v>L01430</v>
      </c>
      <c r="K1436" s="1">
        <f>1436</f>
        <v>1436</v>
      </c>
      <c r="L1436" s="10">
        <f t="shared" si="111"/>
        <v>21488</v>
      </c>
      <c r="M1436" s="1">
        <f t="shared" si="112"/>
        <v>1</v>
      </c>
      <c r="N1436" s="1">
        <f t="shared" si="113"/>
        <v>1</v>
      </c>
      <c r="O1436" s="1" t="str">
        <f>IF(I1436=0,"UNUSED",IF(A1436="","MISSING ID",IF(K1436=0,"UNEXPECTED ID",IF(N1436&lt;&gt;1,"ID / ORDER DIFFERENCE",IF('Source build'!U1436&lt;&gt;"INCLUDED","EXCLUDED SOURCE",IF(NOT(M1436),"INVALID AMOUNT",IF('Source build'!Y1436&lt;&gt;0,"CHANGED FIELDS","MATCH")))))))</f>
        <v>MATCH</v>
      </c>
      <c r="P1436" s="1" t="str">
        <f t="shared" si="114"/>
        <v>2026-02</v>
      </c>
    </row>
    <row r="1437" spans="1:16" ht="18.95" customHeight="1">
      <c r="A1437" s="7" t="s">
        <v>3771</v>
      </c>
      <c r="B1437" s="7" t="s">
        <v>3772</v>
      </c>
      <c r="C1437" s="7" t="s">
        <v>611</v>
      </c>
      <c r="D1437" s="7" t="s">
        <v>103</v>
      </c>
      <c r="E1437" s="7" t="s">
        <v>48</v>
      </c>
      <c r="F1437" s="7" t="s">
        <v>98</v>
      </c>
      <c r="G1437" s="7" t="s">
        <v>3773</v>
      </c>
      <c r="I1437" s="1">
        <f t="shared" si="110"/>
        <v>1</v>
      </c>
      <c r="J1437" s="1" t="str">
        <f>'Source build'!A1437</f>
        <v>L01431</v>
      </c>
      <c r="K1437" s="1">
        <f>1437</f>
        <v>1437</v>
      </c>
      <c r="L1437" s="10">
        <f t="shared" si="111"/>
        <v>5409</v>
      </c>
      <c r="M1437" s="1">
        <f t="shared" si="112"/>
        <v>1</v>
      </c>
      <c r="N1437" s="1">
        <f t="shared" si="113"/>
        <v>1</v>
      </c>
      <c r="O1437" s="1" t="str">
        <f>IF(I1437=0,"UNUSED",IF(A1437="","MISSING ID",IF(K1437=0,"UNEXPECTED ID",IF(N1437&lt;&gt;1,"ID / ORDER DIFFERENCE",IF('Source build'!U1437&lt;&gt;"INCLUDED","EXCLUDED SOURCE",IF(NOT(M1437),"INVALID AMOUNT",IF('Source build'!Y1437&lt;&gt;0,"CHANGED FIELDS","MATCH")))))))</f>
        <v>MATCH</v>
      </c>
      <c r="P1437" s="1" t="str">
        <f t="shared" si="114"/>
        <v>2026-02</v>
      </c>
    </row>
    <row r="1438" spans="1:16" ht="18.95" customHeight="1">
      <c r="A1438" s="7" t="s">
        <v>3774</v>
      </c>
      <c r="B1438" s="7" t="s">
        <v>3772</v>
      </c>
      <c r="C1438" s="7" t="s">
        <v>611</v>
      </c>
      <c r="D1438" s="7" t="s">
        <v>93</v>
      </c>
      <c r="E1438" s="7" t="s">
        <v>46</v>
      </c>
      <c r="F1438" s="7" t="s">
        <v>98</v>
      </c>
      <c r="G1438" s="7" t="s">
        <v>3775</v>
      </c>
      <c r="I1438" s="1">
        <f t="shared" si="110"/>
        <v>1</v>
      </c>
      <c r="J1438" s="1" t="str">
        <f>'Source build'!A1438</f>
        <v>L01432</v>
      </c>
      <c r="K1438" s="1">
        <f>1438</f>
        <v>1438</v>
      </c>
      <c r="L1438" s="10">
        <f t="shared" si="111"/>
        <v>16338</v>
      </c>
      <c r="M1438" s="1">
        <f t="shared" si="112"/>
        <v>1</v>
      </c>
      <c r="N1438" s="1">
        <f t="shared" si="113"/>
        <v>1</v>
      </c>
      <c r="O1438" s="1" t="str">
        <f>IF(I1438=0,"UNUSED",IF(A1438="","MISSING ID",IF(K1438=0,"UNEXPECTED ID",IF(N1438&lt;&gt;1,"ID / ORDER DIFFERENCE",IF('Source build'!U1438&lt;&gt;"INCLUDED","EXCLUDED SOURCE",IF(NOT(M1438),"INVALID AMOUNT",IF('Source build'!Y1438&lt;&gt;0,"CHANGED FIELDS","MATCH")))))))</f>
        <v>MATCH</v>
      </c>
      <c r="P1438" s="1" t="str">
        <f t="shared" si="114"/>
        <v>2026-02</v>
      </c>
    </row>
    <row r="1439" spans="1:16" ht="18.95" customHeight="1">
      <c r="A1439" s="7" t="s">
        <v>3776</v>
      </c>
      <c r="B1439" s="7" t="s">
        <v>3777</v>
      </c>
      <c r="C1439" s="7" t="s">
        <v>615</v>
      </c>
      <c r="D1439" s="7" t="s">
        <v>97</v>
      </c>
      <c r="E1439" s="7" t="s">
        <v>47</v>
      </c>
      <c r="F1439" s="7" t="s">
        <v>98</v>
      </c>
      <c r="G1439" s="7" t="s">
        <v>3778</v>
      </c>
      <c r="I1439" s="1">
        <f t="shared" si="110"/>
        <v>1</v>
      </c>
      <c r="J1439" s="1" t="str">
        <f>'Source build'!A1439</f>
        <v>L01433</v>
      </c>
      <c r="K1439" s="1">
        <f>1439</f>
        <v>1439</v>
      </c>
      <c r="L1439" s="10">
        <f t="shared" si="111"/>
        <v>27415</v>
      </c>
      <c r="M1439" s="1">
        <f t="shared" si="112"/>
        <v>1</v>
      </c>
      <c r="N1439" s="1">
        <f t="shared" si="113"/>
        <v>1</v>
      </c>
      <c r="O1439" s="1" t="str">
        <f>IF(I1439=0,"UNUSED",IF(A1439="","MISSING ID",IF(K1439=0,"UNEXPECTED ID",IF(N1439&lt;&gt;1,"ID / ORDER DIFFERENCE",IF('Source build'!U1439&lt;&gt;"INCLUDED","EXCLUDED SOURCE",IF(NOT(M1439),"INVALID AMOUNT",IF('Source build'!Y1439&lt;&gt;0,"CHANGED FIELDS","MATCH")))))))</f>
        <v>MATCH</v>
      </c>
      <c r="P1439" s="1" t="str">
        <f t="shared" si="114"/>
        <v>2026-03</v>
      </c>
    </row>
    <row r="1440" spans="1:16" ht="18.95" customHeight="1">
      <c r="A1440" s="7" t="s">
        <v>3779</v>
      </c>
      <c r="B1440" s="7" t="s">
        <v>3777</v>
      </c>
      <c r="C1440" s="7" t="s">
        <v>615</v>
      </c>
      <c r="D1440" s="7" t="s">
        <v>103</v>
      </c>
      <c r="E1440" s="7" t="s">
        <v>48</v>
      </c>
      <c r="F1440" s="7" t="s">
        <v>98</v>
      </c>
      <c r="G1440" s="7" t="s">
        <v>3780</v>
      </c>
      <c r="I1440" s="1">
        <f t="shared" si="110"/>
        <v>1</v>
      </c>
      <c r="J1440" s="1" t="str">
        <f>'Source build'!A1440</f>
        <v>L01434</v>
      </c>
      <c r="K1440" s="1">
        <f>1440</f>
        <v>1440</v>
      </c>
      <c r="L1440" s="10">
        <f t="shared" si="111"/>
        <v>11040</v>
      </c>
      <c r="M1440" s="1">
        <f t="shared" si="112"/>
        <v>1</v>
      </c>
      <c r="N1440" s="1">
        <f t="shared" si="113"/>
        <v>1</v>
      </c>
      <c r="O1440" s="1" t="str">
        <f>IF(I1440=0,"UNUSED",IF(A1440="","MISSING ID",IF(K1440=0,"UNEXPECTED ID",IF(N1440&lt;&gt;1,"ID / ORDER DIFFERENCE",IF('Source build'!U1440&lt;&gt;"INCLUDED","EXCLUDED SOURCE",IF(NOT(M1440),"INVALID AMOUNT",IF('Source build'!Y1440&lt;&gt;0,"CHANGED FIELDS","MATCH")))))))</f>
        <v>MATCH</v>
      </c>
      <c r="P1440" s="1" t="str">
        <f t="shared" si="114"/>
        <v>2026-03</v>
      </c>
    </row>
    <row r="1441" spans="1:16" ht="18.95" customHeight="1">
      <c r="A1441" s="7" t="s">
        <v>3781</v>
      </c>
      <c r="B1441" s="7" t="s">
        <v>3782</v>
      </c>
      <c r="C1441" s="7" t="s">
        <v>621</v>
      </c>
      <c r="D1441" s="7" t="s">
        <v>93</v>
      </c>
      <c r="E1441" s="7" t="s">
        <v>46</v>
      </c>
      <c r="F1441" s="7" t="s">
        <v>98</v>
      </c>
      <c r="G1441" s="7" t="s">
        <v>3783</v>
      </c>
      <c r="I1441" s="1">
        <f t="shared" si="110"/>
        <v>1</v>
      </c>
      <c r="J1441" s="1" t="str">
        <f>'Source build'!A1441</f>
        <v>L01435</v>
      </c>
      <c r="K1441" s="1">
        <f>1441</f>
        <v>1441</v>
      </c>
      <c r="L1441" s="10">
        <f t="shared" si="111"/>
        <v>22228</v>
      </c>
      <c r="M1441" s="1">
        <f t="shared" si="112"/>
        <v>1</v>
      </c>
      <c r="N1441" s="1">
        <f t="shared" si="113"/>
        <v>1</v>
      </c>
      <c r="O1441" s="1" t="str">
        <f>IF(I1441=0,"UNUSED",IF(A1441="","MISSING ID",IF(K1441=0,"UNEXPECTED ID",IF(N1441&lt;&gt;1,"ID / ORDER DIFFERENCE",IF('Source build'!U1441&lt;&gt;"INCLUDED","EXCLUDED SOURCE",IF(NOT(M1441),"INVALID AMOUNT",IF('Source build'!Y1441&lt;&gt;0,"CHANGED FIELDS","MATCH")))))))</f>
        <v>MATCH</v>
      </c>
      <c r="P1441" s="1" t="str">
        <f t="shared" si="114"/>
        <v>2026-03</v>
      </c>
    </row>
    <row r="1442" spans="1:16" ht="18.95" customHeight="1">
      <c r="A1442" s="7" t="s">
        <v>3784</v>
      </c>
      <c r="B1442" s="7" t="s">
        <v>3782</v>
      </c>
      <c r="C1442" s="7" t="s">
        <v>621</v>
      </c>
      <c r="D1442" s="7" t="s">
        <v>97</v>
      </c>
      <c r="E1442" s="7" t="s">
        <v>47</v>
      </c>
      <c r="F1442" s="7" t="s">
        <v>98</v>
      </c>
      <c r="G1442" s="7" t="s">
        <v>3785</v>
      </c>
      <c r="I1442" s="1">
        <f t="shared" si="110"/>
        <v>1</v>
      </c>
      <c r="J1442" s="1" t="str">
        <f>'Source build'!A1442</f>
        <v>L01436</v>
      </c>
      <c r="K1442" s="1">
        <f>1442</f>
        <v>1442</v>
      </c>
      <c r="L1442" s="10">
        <f t="shared" si="111"/>
        <v>5594</v>
      </c>
      <c r="M1442" s="1">
        <f t="shared" si="112"/>
        <v>1</v>
      </c>
      <c r="N1442" s="1">
        <f t="shared" si="113"/>
        <v>1</v>
      </c>
      <c r="O1442" s="1" t="str">
        <f>IF(I1442=0,"UNUSED",IF(A1442="","MISSING ID",IF(K1442=0,"UNEXPECTED ID",IF(N1442&lt;&gt;1,"ID / ORDER DIFFERENCE",IF('Source build'!U1442&lt;&gt;"INCLUDED","EXCLUDED SOURCE",IF(NOT(M1442),"INVALID AMOUNT",IF('Source build'!Y1442&lt;&gt;0,"CHANGED FIELDS","MATCH")))))))</f>
        <v>MATCH</v>
      </c>
      <c r="P1442" s="1" t="str">
        <f t="shared" si="114"/>
        <v>2026-03</v>
      </c>
    </row>
    <row r="1443" spans="1:16" ht="18.95" customHeight="1">
      <c r="A1443" s="7" t="s">
        <v>3786</v>
      </c>
      <c r="B1443" s="7" t="s">
        <v>3787</v>
      </c>
      <c r="C1443" s="7" t="s">
        <v>627</v>
      </c>
      <c r="D1443" s="7" t="s">
        <v>103</v>
      </c>
      <c r="E1443" s="7" t="s">
        <v>48</v>
      </c>
      <c r="F1443" s="7" t="s">
        <v>98</v>
      </c>
      <c r="G1443" s="7" t="s">
        <v>3788</v>
      </c>
      <c r="I1443" s="1">
        <f t="shared" si="110"/>
        <v>1</v>
      </c>
      <c r="J1443" s="1" t="str">
        <f>'Source build'!A1443</f>
        <v>L01437</v>
      </c>
      <c r="K1443" s="1">
        <f>1443</f>
        <v>1443</v>
      </c>
      <c r="L1443" s="10">
        <f t="shared" si="111"/>
        <v>16893</v>
      </c>
      <c r="M1443" s="1">
        <f t="shared" si="112"/>
        <v>1</v>
      </c>
      <c r="N1443" s="1">
        <f t="shared" si="113"/>
        <v>1</v>
      </c>
      <c r="O1443" s="1" t="str">
        <f>IF(I1443=0,"UNUSED",IF(A1443="","MISSING ID",IF(K1443=0,"UNEXPECTED ID",IF(N1443&lt;&gt;1,"ID / ORDER DIFFERENCE",IF('Source build'!U1443&lt;&gt;"INCLUDED","EXCLUDED SOURCE",IF(NOT(M1443),"INVALID AMOUNT",IF('Source build'!Y1443&lt;&gt;0,"CHANGED FIELDS","MATCH")))))))</f>
        <v>MATCH</v>
      </c>
      <c r="P1443" s="1" t="str">
        <f t="shared" si="114"/>
        <v>2026-03</v>
      </c>
    </row>
    <row r="1444" spans="1:16" ht="18.95" customHeight="1">
      <c r="A1444" s="7" t="s">
        <v>3789</v>
      </c>
      <c r="B1444" s="7" t="s">
        <v>3787</v>
      </c>
      <c r="C1444" s="7" t="s">
        <v>627</v>
      </c>
      <c r="D1444" s="7" t="s">
        <v>93</v>
      </c>
      <c r="E1444" s="7" t="s">
        <v>46</v>
      </c>
      <c r="F1444" s="7" t="s">
        <v>98</v>
      </c>
      <c r="G1444" s="7" t="s">
        <v>3790</v>
      </c>
      <c r="I1444" s="1">
        <f t="shared" si="110"/>
        <v>1</v>
      </c>
      <c r="J1444" s="1" t="str">
        <f>'Source build'!A1444</f>
        <v>L01438</v>
      </c>
      <c r="K1444" s="1">
        <f>1444</f>
        <v>1444</v>
      </c>
      <c r="L1444" s="10">
        <f t="shared" si="111"/>
        <v>28340</v>
      </c>
      <c r="M1444" s="1">
        <f t="shared" si="112"/>
        <v>1</v>
      </c>
      <c r="N1444" s="1">
        <f t="shared" si="113"/>
        <v>1</v>
      </c>
      <c r="O1444" s="1" t="str">
        <f>IF(I1444=0,"UNUSED",IF(A1444="","MISSING ID",IF(K1444=0,"UNEXPECTED ID",IF(N1444&lt;&gt;1,"ID / ORDER DIFFERENCE",IF('Source build'!U1444&lt;&gt;"INCLUDED","EXCLUDED SOURCE",IF(NOT(M1444),"INVALID AMOUNT",IF('Source build'!Y1444&lt;&gt;0,"CHANGED FIELDS","MATCH")))))))</f>
        <v>MATCH</v>
      </c>
      <c r="P1444" s="1" t="str">
        <f t="shared" si="114"/>
        <v>2026-03</v>
      </c>
    </row>
    <row r="1445" spans="1:16" ht="18.95" customHeight="1">
      <c r="A1445" s="7" t="s">
        <v>3791</v>
      </c>
      <c r="B1445" s="7" t="s">
        <v>3792</v>
      </c>
      <c r="C1445" s="7" t="s">
        <v>633</v>
      </c>
      <c r="D1445" s="7" t="s">
        <v>97</v>
      </c>
      <c r="E1445" s="7" t="s">
        <v>47</v>
      </c>
      <c r="F1445" s="7" t="s">
        <v>98</v>
      </c>
      <c r="G1445" s="7" t="s">
        <v>3793</v>
      </c>
      <c r="I1445" s="1">
        <f t="shared" si="110"/>
        <v>1</v>
      </c>
      <c r="J1445" s="1" t="str">
        <f>'Source build'!A1445</f>
        <v>L01439</v>
      </c>
      <c r="K1445" s="1">
        <f>1445</f>
        <v>1445</v>
      </c>
      <c r="L1445" s="10">
        <f t="shared" si="111"/>
        <v>11410</v>
      </c>
      <c r="M1445" s="1">
        <f t="shared" si="112"/>
        <v>1</v>
      </c>
      <c r="N1445" s="1">
        <f t="shared" si="113"/>
        <v>1</v>
      </c>
      <c r="O1445" s="1" t="str">
        <f>IF(I1445=0,"UNUSED",IF(A1445="","MISSING ID",IF(K1445=0,"UNEXPECTED ID",IF(N1445&lt;&gt;1,"ID / ORDER DIFFERENCE",IF('Source build'!U1445&lt;&gt;"INCLUDED","EXCLUDED SOURCE",IF(NOT(M1445),"INVALID AMOUNT",IF('Source build'!Y1445&lt;&gt;0,"CHANGED FIELDS","MATCH")))))))</f>
        <v>MATCH</v>
      </c>
      <c r="P1445" s="1" t="str">
        <f t="shared" si="114"/>
        <v>2026-03</v>
      </c>
    </row>
    <row r="1446" spans="1:16" ht="18.95" customHeight="1">
      <c r="A1446" s="7" t="s">
        <v>3794</v>
      </c>
      <c r="B1446" s="7" t="s">
        <v>3792</v>
      </c>
      <c r="C1446" s="7" t="s">
        <v>633</v>
      </c>
      <c r="D1446" s="7" t="s">
        <v>103</v>
      </c>
      <c r="E1446" s="7" t="s">
        <v>48</v>
      </c>
      <c r="F1446" s="7" t="s">
        <v>98</v>
      </c>
      <c r="G1446" s="7" t="s">
        <v>3795</v>
      </c>
      <c r="I1446" s="1">
        <f t="shared" si="110"/>
        <v>1</v>
      </c>
      <c r="J1446" s="1" t="str">
        <f>'Source build'!A1446</f>
        <v>L01440</v>
      </c>
      <c r="K1446" s="1">
        <f>1446</f>
        <v>1446</v>
      </c>
      <c r="L1446" s="10">
        <f t="shared" si="111"/>
        <v>22968</v>
      </c>
      <c r="M1446" s="1">
        <f t="shared" si="112"/>
        <v>1</v>
      </c>
      <c r="N1446" s="1">
        <f t="shared" si="113"/>
        <v>1</v>
      </c>
      <c r="O1446" s="1" t="str">
        <f>IF(I1446=0,"UNUSED",IF(A1446="","MISSING ID",IF(K1446=0,"UNEXPECTED ID",IF(N1446&lt;&gt;1,"ID / ORDER DIFFERENCE",IF('Source build'!U1446&lt;&gt;"INCLUDED","EXCLUDED SOURCE",IF(NOT(M1446),"INVALID AMOUNT",IF('Source build'!Y1446&lt;&gt;0,"CHANGED FIELDS","MATCH")))))))</f>
        <v>MATCH</v>
      </c>
      <c r="P1446" s="1" t="str">
        <f t="shared" si="114"/>
        <v>2026-03</v>
      </c>
    </row>
    <row r="1447" spans="1:16" ht="18.95" customHeight="1">
      <c r="A1447" s="7" t="s">
        <v>3796</v>
      </c>
      <c r="B1447" s="7" t="s">
        <v>3797</v>
      </c>
      <c r="C1447" s="7" t="s">
        <v>92</v>
      </c>
      <c r="D1447" s="7" t="s">
        <v>93</v>
      </c>
      <c r="E1447" s="7" t="s">
        <v>46</v>
      </c>
      <c r="F1447" s="7" t="s">
        <v>98</v>
      </c>
      <c r="G1447" s="7" t="s">
        <v>3798</v>
      </c>
      <c r="I1447" s="1">
        <f t="shared" si="110"/>
        <v>1</v>
      </c>
      <c r="J1447" s="1" t="str">
        <f>'Source build'!A1447</f>
        <v>L01441</v>
      </c>
      <c r="K1447" s="1">
        <f>1447</f>
        <v>1447</v>
      </c>
      <c r="L1447" s="10">
        <f t="shared" si="111"/>
        <v>5779</v>
      </c>
      <c r="M1447" s="1">
        <f t="shared" si="112"/>
        <v>1</v>
      </c>
      <c r="N1447" s="1">
        <f t="shared" si="113"/>
        <v>1</v>
      </c>
      <c r="O1447" s="1" t="str">
        <f>IF(I1447=0,"UNUSED",IF(A1447="","MISSING ID",IF(K1447=0,"UNEXPECTED ID",IF(N1447&lt;&gt;1,"ID / ORDER DIFFERENCE",IF('Source build'!U1447&lt;&gt;"INCLUDED","EXCLUDED SOURCE",IF(NOT(M1447),"INVALID AMOUNT",IF('Source build'!Y1447&lt;&gt;0,"CHANGED FIELDS","MATCH")))))))</f>
        <v>MATCH</v>
      </c>
      <c r="P1447" s="1" t="str">
        <f t="shared" si="114"/>
        <v>2026-01</v>
      </c>
    </row>
    <row r="1448" spans="1:16" ht="18.95" customHeight="1">
      <c r="A1448" s="7" t="s">
        <v>3799</v>
      </c>
      <c r="B1448" s="7" t="s">
        <v>3797</v>
      </c>
      <c r="C1448" s="7" t="s">
        <v>92</v>
      </c>
      <c r="D1448" s="7" t="s">
        <v>97</v>
      </c>
      <c r="E1448" s="7" t="s">
        <v>47</v>
      </c>
      <c r="F1448" s="7" t="s">
        <v>98</v>
      </c>
      <c r="G1448" s="7" t="s">
        <v>3800</v>
      </c>
      <c r="I1448" s="1">
        <f t="shared" si="110"/>
        <v>1</v>
      </c>
      <c r="J1448" s="1" t="str">
        <f>'Source build'!A1448</f>
        <v>L01442</v>
      </c>
      <c r="K1448" s="1">
        <f>1448</f>
        <v>1448</v>
      </c>
      <c r="L1448" s="10">
        <f t="shared" si="111"/>
        <v>17448</v>
      </c>
      <c r="M1448" s="1">
        <f t="shared" si="112"/>
        <v>1</v>
      </c>
      <c r="N1448" s="1">
        <f t="shared" si="113"/>
        <v>1</v>
      </c>
      <c r="O1448" s="1" t="str">
        <f>IF(I1448=0,"UNUSED",IF(A1448="","MISSING ID",IF(K1448=0,"UNEXPECTED ID",IF(N1448&lt;&gt;1,"ID / ORDER DIFFERENCE",IF('Source build'!U1448&lt;&gt;"INCLUDED","EXCLUDED SOURCE",IF(NOT(M1448),"INVALID AMOUNT",IF('Source build'!Y1448&lt;&gt;0,"CHANGED FIELDS","MATCH")))))))</f>
        <v>MATCH</v>
      </c>
      <c r="P1448" s="1" t="str">
        <f t="shared" si="114"/>
        <v>2026-01</v>
      </c>
    </row>
    <row r="1449" spans="1:16" ht="18.95" customHeight="1">
      <c r="A1449" s="7" t="s">
        <v>3801</v>
      </c>
      <c r="B1449" s="7" t="s">
        <v>3802</v>
      </c>
      <c r="C1449" s="7" t="s">
        <v>102</v>
      </c>
      <c r="D1449" s="7" t="s">
        <v>103</v>
      </c>
      <c r="E1449" s="7" t="s">
        <v>48</v>
      </c>
      <c r="F1449" s="7" t="s">
        <v>98</v>
      </c>
      <c r="G1449" s="7" t="s">
        <v>3803</v>
      </c>
      <c r="I1449" s="1">
        <f t="shared" si="110"/>
        <v>1</v>
      </c>
      <c r="J1449" s="1" t="str">
        <f>'Source build'!A1449</f>
        <v>L01443</v>
      </c>
      <c r="K1449" s="1">
        <f>1449</f>
        <v>1449</v>
      </c>
      <c r="L1449" s="10">
        <f t="shared" si="111"/>
        <v>29265</v>
      </c>
      <c r="M1449" s="1">
        <f t="shared" si="112"/>
        <v>1</v>
      </c>
      <c r="N1449" s="1">
        <f t="shared" si="113"/>
        <v>1</v>
      </c>
      <c r="O1449" s="1" t="str">
        <f>IF(I1449=0,"UNUSED",IF(A1449="","MISSING ID",IF(K1449=0,"UNEXPECTED ID",IF(N1449&lt;&gt;1,"ID / ORDER DIFFERENCE",IF('Source build'!U1449&lt;&gt;"INCLUDED","EXCLUDED SOURCE",IF(NOT(M1449),"INVALID AMOUNT",IF('Source build'!Y1449&lt;&gt;0,"CHANGED FIELDS","MATCH")))))))</f>
        <v>MATCH</v>
      </c>
      <c r="P1449" s="1" t="str">
        <f t="shared" si="114"/>
        <v>2026-01</v>
      </c>
    </row>
    <row r="1450" spans="1:16" ht="18.95" customHeight="1">
      <c r="A1450" s="7" t="s">
        <v>3804</v>
      </c>
      <c r="B1450" s="7" t="s">
        <v>3802</v>
      </c>
      <c r="C1450" s="7" t="s">
        <v>102</v>
      </c>
      <c r="D1450" s="7" t="s">
        <v>93</v>
      </c>
      <c r="E1450" s="7" t="s">
        <v>46</v>
      </c>
      <c r="F1450" s="7" t="s">
        <v>98</v>
      </c>
      <c r="G1450" s="7" t="s">
        <v>3805</v>
      </c>
      <c r="I1450" s="1">
        <f t="shared" si="110"/>
        <v>1</v>
      </c>
      <c r="J1450" s="1" t="str">
        <f>'Source build'!A1450</f>
        <v>L01444</v>
      </c>
      <c r="K1450" s="1">
        <f>1450</f>
        <v>1450</v>
      </c>
      <c r="L1450" s="10">
        <f t="shared" si="111"/>
        <v>11780</v>
      </c>
      <c r="M1450" s="1">
        <f t="shared" si="112"/>
        <v>1</v>
      </c>
      <c r="N1450" s="1">
        <f t="shared" si="113"/>
        <v>1</v>
      </c>
      <c r="O1450" s="1" t="str">
        <f>IF(I1450=0,"UNUSED",IF(A1450="","MISSING ID",IF(K1450=0,"UNEXPECTED ID",IF(N1450&lt;&gt;1,"ID / ORDER DIFFERENCE",IF('Source build'!U1450&lt;&gt;"INCLUDED","EXCLUDED SOURCE",IF(NOT(M1450),"INVALID AMOUNT",IF('Source build'!Y1450&lt;&gt;0,"CHANGED FIELDS","MATCH")))))))</f>
        <v>MATCH</v>
      </c>
      <c r="P1450" s="1" t="str">
        <f t="shared" si="114"/>
        <v>2026-01</v>
      </c>
    </row>
    <row r="1451" spans="1:16" ht="18.95" customHeight="1">
      <c r="A1451" s="7" t="s">
        <v>3806</v>
      </c>
      <c r="B1451" s="7" t="s">
        <v>3807</v>
      </c>
      <c r="C1451" s="7" t="s">
        <v>109</v>
      </c>
      <c r="D1451" s="7" t="s">
        <v>97</v>
      </c>
      <c r="E1451" s="7" t="s">
        <v>47</v>
      </c>
      <c r="F1451" s="7" t="s">
        <v>98</v>
      </c>
      <c r="G1451" s="7" t="s">
        <v>3808</v>
      </c>
      <c r="I1451" s="1">
        <f t="shared" si="110"/>
        <v>1</v>
      </c>
      <c r="J1451" s="1" t="str">
        <f>'Source build'!A1451</f>
        <v>L01445</v>
      </c>
      <c r="K1451" s="1">
        <f>1451</f>
        <v>1451</v>
      </c>
      <c r="L1451" s="10">
        <f t="shared" si="111"/>
        <v>23708</v>
      </c>
      <c r="M1451" s="1">
        <f t="shared" si="112"/>
        <v>1</v>
      </c>
      <c r="N1451" s="1">
        <f t="shared" si="113"/>
        <v>1</v>
      </c>
      <c r="O1451" s="1" t="str">
        <f>IF(I1451=0,"UNUSED",IF(A1451="","MISSING ID",IF(K1451=0,"UNEXPECTED ID",IF(N1451&lt;&gt;1,"ID / ORDER DIFFERENCE",IF('Source build'!U1451&lt;&gt;"INCLUDED","EXCLUDED SOURCE",IF(NOT(M1451),"INVALID AMOUNT",IF('Source build'!Y1451&lt;&gt;0,"CHANGED FIELDS","MATCH")))))))</f>
        <v>MATCH</v>
      </c>
      <c r="P1451" s="1" t="str">
        <f t="shared" si="114"/>
        <v>2026-01</v>
      </c>
    </row>
    <row r="1452" spans="1:16" ht="18.95" customHeight="1">
      <c r="A1452" s="7" t="s">
        <v>3809</v>
      </c>
      <c r="B1452" s="7" t="s">
        <v>3807</v>
      </c>
      <c r="C1452" s="7" t="s">
        <v>109</v>
      </c>
      <c r="D1452" s="7" t="s">
        <v>103</v>
      </c>
      <c r="E1452" s="7" t="s">
        <v>48</v>
      </c>
      <c r="F1452" s="7" t="s">
        <v>98</v>
      </c>
      <c r="G1452" s="7" t="s">
        <v>3810</v>
      </c>
      <c r="I1452" s="1">
        <f t="shared" si="110"/>
        <v>1</v>
      </c>
      <c r="J1452" s="1" t="str">
        <f>'Source build'!A1452</f>
        <v>L01446</v>
      </c>
      <c r="K1452" s="1">
        <f>1452</f>
        <v>1452</v>
      </c>
      <c r="L1452" s="10">
        <f t="shared" si="111"/>
        <v>5964</v>
      </c>
      <c r="M1452" s="1">
        <f t="shared" si="112"/>
        <v>1</v>
      </c>
      <c r="N1452" s="1">
        <f t="shared" si="113"/>
        <v>1</v>
      </c>
      <c r="O1452" s="1" t="str">
        <f>IF(I1452=0,"UNUSED",IF(A1452="","MISSING ID",IF(K1452=0,"UNEXPECTED ID",IF(N1452&lt;&gt;1,"ID / ORDER DIFFERENCE",IF('Source build'!U1452&lt;&gt;"INCLUDED","EXCLUDED SOURCE",IF(NOT(M1452),"INVALID AMOUNT",IF('Source build'!Y1452&lt;&gt;0,"CHANGED FIELDS","MATCH")))))))</f>
        <v>MATCH</v>
      </c>
      <c r="P1452" s="1" t="str">
        <f t="shared" si="114"/>
        <v>2026-01</v>
      </c>
    </row>
    <row r="1453" spans="1:16" ht="18.95" customHeight="1">
      <c r="A1453" s="7" t="s">
        <v>3811</v>
      </c>
      <c r="B1453" s="7" t="s">
        <v>3812</v>
      </c>
      <c r="C1453" s="7" t="s">
        <v>115</v>
      </c>
      <c r="D1453" s="7" t="s">
        <v>93</v>
      </c>
      <c r="E1453" s="7" t="s">
        <v>46</v>
      </c>
      <c r="F1453" s="7" t="s">
        <v>98</v>
      </c>
      <c r="G1453" s="7" t="s">
        <v>3813</v>
      </c>
      <c r="I1453" s="1">
        <f t="shared" si="110"/>
        <v>1</v>
      </c>
      <c r="J1453" s="1" t="str">
        <f>'Source build'!A1453</f>
        <v>L01447</v>
      </c>
      <c r="K1453" s="1">
        <f>1453</f>
        <v>1453</v>
      </c>
      <c r="L1453" s="10">
        <f t="shared" si="111"/>
        <v>18003</v>
      </c>
      <c r="M1453" s="1">
        <f t="shared" si="112"/>
        <v>1</v>
      </c>
      <c r="N1453" s="1">
        <f t="shared" si="113"/>
        <v>1</v>
      </c>
      <c r="O1453" s="1" t="str">
        <f>IF(I1453=0,"UNUSED",IF(A1453="","MISSING ID",IF(K1453=0,"UNEXPECTED ID",IF(N1453&lt;&gt;1,"ID / ORDER DIFFERENCE",IF('Source build'!U1453&lt;&gt;"INCLUDED","EXCLUDED SOURCE",IF(NOT(M1453),"INVALID AMOUNT",IF('Source build'!Y1453&lt;&gt;0,"CHANGED FIELDS","MATCH")))))))</f>
        <v>MATCH</v>
      </c>
      <c r="P1453" s="1" t="str">
        <f t="shared" si="114"/>
        <v>2026-01</v>
      </c>
    </row>
    <row r="1454" spans="1:16" ht="18.95" customHeight="1">
      <c r="A1454" s="7" t="s">
        <v>3814</v>
      </c>
      <c r="B1454" s="7" t="s">
        <v>3812</v>
      </c>
      <c r="C1454" s="7" t="s">
        <v>115</v>
      </c>
      <c r="D1454" s="7" t="s">
        <v>97</v>
      </c>
      <c r="E1454" s="7" t="s">
        <v>47</v>
      </c>
      <c r="F1454" s="7" t="s">
        <v>98</v>
      </c>
      <c r="G1454" s="7" t="s">
        <v>3815</v>
      </c>
      <c r="I1454" s="1">
        <f t="shared" si="110"/>
        <v>1</v>
      </c>
      <c r="J1454" s="1" t="str">
        <f>'Source build'!A1454</f>
        <v>L01448</v>
      </c>
      <c r="K1454" s="1">
        <f>1454</f>
        <v>1454</v>
      </c>
      <c r="L1454" s="10">
        <f t="shared" si="111"/>
        <v>30190</v>
      </c>
      <c r="M1454" s="1">
        <f t="shared" si="112"/>
        <v>1</v>
      </c>
      <c r="N1454" s="1">
        <f t="shared" si="113"/>
        <v>1</v>
      </c>
      <c r="O1454" s="1" t="str">
        <f>IF(I1454=0,"UNUSED",IF(A1454="","MISSING ID",IF(K1454=0,"UNEXPECTED ID",IF(N1454&lt;&gt;1,"ID / ORDER DIFFERENCE",IF('Source build'!U1454&lt;&gt;"INCLUDED","EXCLUDED SOURCE",IF(NOT(M1454),"INVALID AMOUNT",IF('Source build'!Y1454&lt;&gt;0,"CHANGED FIELDS","MATCH")))))))</f>
        <v>MATCH</v>
      </c>
      <c r="P1454" s="1" t="str">
        <f t="shared" si="114"/>
        <v>2026-01</v>
      </c>
    </row>
    <row r="1455" spans="1:16" ht="18.95" customHeight="1">
      <c r="A1455" s="7" t="s">
        <v>3816</v>
      </c>
      <c r="B1455" s="7" t="s">
        <v>3817</v>
      </c>
      <c r="C1455" s="7" t="s">
        <v>121</v>
      </c>
      <c r="D1455" s="7" t="s">
        <v>103</v>
      </c>
      <c r="E1455" s="7" t="s">
        <v>48</v>
      </c>
      <c r="F1455" s="7" t="s">
        <v>98</v>
      </c>
      <c r="G1455" s="7" t="s">
        <v>3818</v>
      </c>
      <c r="I1455" s="1">
        <f t="shared" si="110"/>
        <v>1</v>
      </c>
      <c r="J1455" s="1" t="str">
        <f>'Source build'!A1455</f>
        <v>L01449</v>
      </c>
      <c r="K1455" s="1">
        <f>1455</f>
        <v>1455</v>
      </c>
      <c r="L1455" s="10">
        <f t="shared" si="111"/>
        <v>12150</v>
      </c>
      <c r="M1455" s="1">
        <f t="shared" si="112"/>
        <v>1</v>
      </c>
      <c r="N1455" s="1">
        <f t="shared" si="113"/>
        <v>1</v>
      </c>
      <c r="O1455" s="1" t="str">
        <f>IF(I1455=0,"UNUSED",IF(A1455="","MISSING ID",IF(K1455=0,"UNEXPECTED ID",IF(N1455&lt;&gt;1,"ID / ORDER DIFFERENCE",IF('Source build'!U1455&lt;&gt;"INCLUDED","EXCLUDED SOURCE",IF(NOT(M1455),"INVALID AMOUNT",IF('Source build'!Y1455&lt;&gt;0,"CHANGED FIELDS","MATCH")))))))</f>
        <v>MATCH</v>
      </c>
      <c r="P1455" s="1" t="str">
        <f t="shared" si="114"/>
        <v>2026-01</v>
      </c>
    </row>
    <row r="1456" spans="1:16" ht="18.95" customHeight="1">
      <c r="A1456" s="7" t="s">
        <v>3819</v>
      </c>
      <c r="B1456" s="7" t="s">
        <v>3817</v>
      </c>
      <c r="C1456" s="7" t="s">
        <v>121</v>
      </c>
      <c r="D1456" s="7" t="s">
        <v>93</v>
      </c>
      <c r="E1456" s="7" t="s">
        <v>46</v>
      </c>
      <c r="F1456" s="7" t="s">
        <v>94</v>
      </c>
      <c r="G1456" s="7" t="s">
        <v>3820</v>
      </c>
      <c r="I1456" s="1">
        <f t="shared" si="110"/>
        <v>1</v>
      </c>
      <c r="J1456" s="1" t="str">
        <f>'Source build'!A1456</f>
        <v>L01450</v>
      </c>
      <c r="K1456" s="1">
        <f>1456</f>
        <v>1456</v>
      </c>
      <c r="L1456" s="10">
        <f t="shared" si="111"/>
        <v>-24448</v>
      </c>
      <c r="M1456" s="1">
        <f t="shared" si="112"/>
        <v>1</v>
      </c>
      <c r="N1456" s="1">
        <f t="shared" si="113"/>
        <v>1</v>
      </c>
      <c r="O1456" s="1" t="str">
        <f>IF(I1456=0,"UNUSED",IF(A1456="","MISSING ID",IF(K1456=0,"UNEXPECTED ID",IF(N1456&lt;&gt;1,"ID / ORDER DIFFERENCE",IF('Source build'!U1456&lt;&gt;"INCLUDED","EXCLUDED SOURCE",IF(NOT(M1456),"INVALID AMOUNT",IF('Source build'!Y1456&lt;&gt;0,"CHANGED FIELDS","MATCH")))))))</f>
        <v>MATCH</v>
      </c>
      <c r="P1456" s="1" t="str">
        <f t="shared" si="114"/>
        <v>2026-01</v>
      </c>
    </row>
    <row r="1457" spans="1:16" ht="18.95" customHeight="1">
      <c r="A1457" s="7" t="s">
        <v>3821</v>
      </c>
      <c r="B1457" s="7" t="s">
        <v>3822</v>
      </c>
      <c r="C1457" s="7" t="s">
        <v>127</v>
      </c>
      <c r="D1457" s="7" t="s">
        <v>97</v>
      </c>
      <c r="E1457" s="7" t="s">
        <v>47</v>
      </c>
      <c r="F1457" s="7" t="s">
        <v>98</v>
      </c>
      <c r="G1457" s="7" t="s">
        <v>3823</v>
      </c>
      <c r="I1457" s="1">
        <f t="shared" si="110"/>
        <v>1</v>
      </c>
      <c r="J1457" s="1" t="str">
        <f>'Source build'!A1457</f>
        <v>L01451</v>
      </c>
      <c r="K1457" s="1">
        <f>1457</f>
        <v>1457</v>
      </c>
      <c r="L1457" s="10">
        <f t="shared" si="111"/>
        <v>6149</v>
      </c>
      <c r="M1457" s="1">
        <f t="shared" si="112"/>
        <v>1</v>
      </c>
      <c r="N1457" s="1">
        <f t="shared" si="113"/>
        <v>1</v>
      </c>
      <c r="O1457" s="1" t="str">
        <f>IF(I1457=0,"UNUSED",IF(A1457="","MISSING ID",IF(K1457=0,"UNEXPECTED ID",IF(N1457&lt;&gt;1,"ID / ORDER DIFFERENCE",IF('Source build'!U1457&lt;&gt;"INCLUDED","EXCLUDED SOURCE",IF(NOT(M1457),"INVALID AMOUNT",IF('Source build'!Y1457&lt;&gt;0,"CHANGED FIELDS","MATCH")))))))</f>
        <v>MATCH</v>
      </c>
      <c r="P1457" s="1" t="str">
        <f t="shared" si="114"/>
        <v>2026-02</v>
      </c>
    </row>
    <row r="1458" spans="1:16" ht="18.95" customHeight="1">
      <c r="A1458" s="7" t="s">
        <v>3824</v>
      </c>
      <c r="B1458" s="7" t="s">
        <v>3822</v>
      </c>
      <c r="C1458" s="7" t="s">
        <v>127</v>
      </c>
      <c r="D1458" s="7" t="s">
        <v>103</v>
      </c>
      <c r="E1458" s="7" t="s">
        <v>48</v>
      </c>
      <c r="F1458" s="7" t="s">
        <v>98</v>
      </c>
      <c r="G1458" s="7" t="s">
        <v>3825</v>
      </c>
      <c r="I1458" s="1">
        <f t="shared" si="110"/>
        <v>1</v>
      </c>
      <c r="J1458" s="1" t="str">
        <f>'Source build'!A1458</f>
        <v>L01452</v>
      </c>
      <c r="K1458" s="1">
        <f>1458</f>
        <v>1458</v>
      </c>
      <c r="L1458" s="10">
        <f t="shared" si="111"/>
        <v>18558</v>
      </c>
      <c r="M1458" s="1">
        <f t="shared" si="112"/>
        <v>1</v>
      </c>
      <c r="N1458" s="1">
        <f t="shared" si="113"/>
        <v>1</v>
      </c>
      <c r="O1458" s="1" t="str">
        <f>IF(I1458=0,"UNUSED",IF(A1458="","MISSING ID",IF(K1458=0,"UNEXPECTED ID",IF(N1458&lt;&gt;1,"ID / ORDER DIFFERENCE",IF('Source build'!U1458&lt;&gt;"INCLUDED","EXCLUDED SOURCE",IF(NOT(M1458),"INVALID AMOUNT",IF('Source build'!Y1458&lt;&gt;0,"CHANGED FIELDS","MATCH")))))))</f>
        <v>MATCH</v>
      </c>
      <c r="P1458" s="1" t="str">
        <f t="shared" si="114"/>
        <v>2026-02</v>
      </c>
    </row>
    <row r="1459" spans="1:16" ht="18.95" customHeight="1">
      <c r="A1459" s="7" t="s">
        <v>3826</v>
      </c>
      <c r="B1459" s="7" t="s">
        <v>3827</v>
      </c>
      <c r="C1459" s="7" t="s">
        <v>133</v>
      </c>
      <c r="D1459" s="7" t="s">
        <v>93</v>
      </c>
      <c r="E1459" s="7" t="s">
        <v>46</v>
      </c>
      <c r="F1459" s="7" t="s">
        <v>98</v>
      </c>
      <c r="G1459" s="7" t="s">
        <v>3828</v>
      </c>
      <c r="I1459" s="1">
        <f t="shared" si="110"/>
        <v>1</v>
      </c>
      <c r="J1459" s="1" t="str">
        <f>'Source build'!A1459</f>
        <v>L01453</v>
      </c>
      <c r="K1459" s="1">
        <f>1459</f>
        <v>1459</v>
      </c>
      <c r="L1459" s="10">
        <f t="shared" si="111"/>
        <v>31115</v>
      </c>
      <c r="M1459" s="1">
        <f t="shared" si="112"/>
        <v>1</v>
      </c>
      <c r="N1459" s="1">
        <f t="shared" si="113"/>
        <v>1</v>
      </c>
      <c r="O1459" s="1" t="str">
        <f>IF(I1459=0,"UNUSED",IF(A1459="","MISSING ID",IF(K1459=0,"UNEXPECTED ID",IF(N1459&lt;&gt;1,"ID / ORDER DIFFERENCE",IF('Source build'!U1459&lt;&gt;"INCLUDED","EXCLUDED SOURCE",IF(NOT(M1459),"INVALID AMOUNT",IF('Source build'!Y1459&lt;&gt;0,"CHANGED FIELDS","MATCH")))))))</f>
        <v>MATCH</v>
      </c>
      <c r="P1459" s="1" t="str">
        <f t="shared" si="114"/>
        <v>2026-02</v>
      </c>
    </row>
    <row r="1460" spans="1:16" ht="18.95" customHeight="1">
      <c r="A1460" s="7" t="s">
        <v>3829</v>
      </c>
      <c r="B1460" s="7" t="s">
        <v>3827</v>
      </c>
      <c r="C1460" s="7" t="s">
        <v>133</v>
      </c>
      <c r="D1460" s="7" t="s">
        <v>97</v>
      </c>
      <c r="E1460" s="7" t="s">
        <v>47</v>
      </c>
      <c r="F1460" s="7" t="s">
        <v>98</v>
      </c>
      <c r="G1460" s="7" t="s">
        <v>3830</v>
      </c>
      <c r="I1460" s="1">
        <f t="shared" si="110"/>
        <v>1</v>
      </c>
      <c r="J1460" s="1" t="str">
        <f>'Source build'!A1460</f>
        <v>L01454</v>
      </c>
      <c r="K1460" s="1">
        <f>1460</f>
        <v>1460</v>
      </c>
      <c r="L1460" s="10">
        <f t="shared" si="111"/>
        <v>12520</v>
      </c>
      <c r="M1460" s="1">
        <f t="shared" si="112"/>
        <v>1</v>
      </c>
      <c r="N1460" s="1">
        <f t="shared" si="113"/>
        <v>1</v>
      </c>
      <c r="O1460" s="1" t="str">
        <f>IF(I1460=0,"UNUSED",IF(A1460="","MISSING ID",IF(K1460=0,"UNEXPECTED ID",IF(N1460&lt;&gt;1,"ID / ORDER DIFFERENCE",IF('Source build'!U1460&lt;&gt;"INCLUDED","EXCLUDED SOURCE",IF(NOT(M1460),"INVALID AMOUNT",IF('Source build'!Y1460&lt;&gt;0,"CHANGED FIELDS","MATCH")))))))</f>
        <v>MATCH</v>
      </c>
      <c r="P1460" s="1" t="str">
        <f t="shared" si="114"/>
        <v>2026-02</v>
      </c>
    </row>
    <row r="1461" spans="1:16" ht="18.95" customHeight="1">
      <c r="A1461" s="7" t="s">
        <v>3831</v>
      </c>
      <c r="B1461" s="7" t="s">
        <v>3832</v>
      </c>
      <c r="C1461" s="7" t="s">
        <v>139</v>
      </c>
      <c r="D1461" s="7" t="s">
        <v>103</v>
      </c>
      <c r="E1461" s="7" t="s">
        <v>48</v>
      </c>
      <c r="F1461" s="7" t="s">
        <v>98</v>
      </c>
      <c r="G1461" s="7" t="s">
        <v>3833</v>
      </c>
      <c r="I1461" s="1">
        <f t="shared" si="110"/>
        <v>1</v>
      </c>
      <c r="J1461" s="1" t="str">
        <f>'Source build'!A1461</f>
        <v>L01455</v>
      </c>
      <c r="K1461" s="1">
        <f>1461</f>
        <v>1461</v>
      </c>
      <c r="L1461" s="10">
        <f t="shared" si="111"/>
        <v>25188</v>
      </c>
      <c r="M1461" s="1">
        <f t="shared" si="112"/>
        <v>1</v>
      </c>
      <c r="N1461" s="1">
        <f t="shared" si="113"/>
        <v>1</v>
      </c>
      <c r="O1461" s="1" t="str">
        <f>IF(I1461=0,"UNUSED",IF(A1461="","MISSING ID",IF(K1461=0,"UNEXPECTED ID",IF(N1461&lt;&gt;1,"ID / ORDER DIFFERENCE",IF('Source build'!U1461&lt;&gt;"INCLUDED","EXCLUDED SOURCE",IF(NOT(M1461),"INVALID AMOUNT",IF('Source build'!Y1461&lt;&gt;0,"CHANGED FIELDS","MATCH")))))))</f>
        <v>MATCH</v>
      </c>
      <c r="P1461" s="1" t="str">
        <f t="shared" si="114"/>
        <v>2026-02</v>
      </c>
    </row>
    <row r="1462" spans="1:16" ht="18.95" customHeight="1">
      <c r="A1462" s="7" t="s">
        <v>3834</v>
      </c>
      <c r="B1462" s="7" t="s">
        <v>3832</v>
      </c>
      <c r="C1462" s="7" t="s">
        <v>139</v>
      </c>
      <c r="D1462" s="7" t="s">
        <v>93</v>
      </c>
      <c r="E1462" s="7" t="s">
        <v>46</v>
      </c>
      <c r="F1462" s="7" t="s">
        <v>98</v>
      </c>
      <c r="G1462" s="7" t="s">
        <v>3835</v>
      </c>
      <c r="I1462" s="1">
        <f t="shared" si="110"/>
        <v>1</v>
      </c>
      <c r="J1462" s="1" t="str">
        <f>'Source build'!A1462</f>
        <v>L01456</v>
      </c>
      <c r="K1462" s="1">
        <f>1462</f>
        <v>1462</v>
      </c>
      <c r="L1462" s="10">
        <f t="shared" si="111"/>
        <v>6334</v>
      </c>
      <c r="M1462" s="1">
        <f t="shared" si="112"/>
        <v>1</v>
      </c>
      <c r="N1462" s="1">
        <f t="shared" si="113"/>
        <v>1</v>
      </c>
      <c r="O1462" s="1" t="str">
        <f>IF(I1462=0,"UNUSED",IF(A1462="","MISSING ID",IF(K1462=0,"UNEXPECTED ID",IF(N1462&lt;&gt;1,"ID / ORDER DIFFERENCE",IF('Source build'!U1462&lt;&gt;"INCLUDED","EXCLUDED SOURCE",IF(NOT(M1462),"INVALID AMOUNT",IF('Source build'!Y1462&lt;&gt;0,"CHANGED FIELDS","MATCH")))))))</f>
        <v>MATCH</v>
      </c>
      <c r="P1462" s="1" t="str">
        <f t="shared" si="114"/>
        <v>2026-02</v>
      </c>
    </row>
    <row r="1463" spans="1:16" ht="18.95" customHeight="1">
      <c r="A1463" s="7" t="s">
        <v>3836</v>
      </c>
      <c r="B1463" s="7" t="s">
        <v>3837</v>
      </c>
      <c r="C1463" s="7" t="s">
        <v>145</v>
      </c>
      <c r="D1463" s="7" t="s">
        <v>97</v>
      </c>
      <c r="E1463" s="7" t="s">
        <v>47</v>
      </c>
      <c r="F1463" s="7" t="s">
        <v>98</v>
      </c>
      <c r="G1463" s="7" t="s">
        <v>3838</v>
      </c>
      <c r="I1463" s="1">
        <f t="shared" si="110"/>
        <v>1</v>
      </c>
      <c r="J1463" s="1" t="str">
        <f>'Source build'!A1463</f>
        <v>L01457</v>
      </c>
      <c r="K1463" s="1">
        <f>1463</f>
        <v>1463</v>
      </c>
      <c r="L1463" s="10">
        <f t="shared" si="111"/>
        <v>19113</v>
      </c>
      <c r="M1463" s="1">
        <f t="shared" si="112"/>
        <v>1</v>
      </c>
      <c r="N1463" s="1">
        <f t="shared" si="113"/>
        <v>1</v>
      </c>
      <c r="O1463" s="1" t="str">
        <f>IF(I1463=0,"UNUSED",IF(A1463="","MISSING ID",IF(K1463=0,"UNEXPECTED ID",IF(N1463&lt;&gt;1,"ID / ORDER DIFFERENCE",IF('Source build'!U1463&lt;&gt;"INCLUDED","EXCLUDED SOURCE",IF(NOT(M1463),"INVALID AMOUNT",IF('Source build'!Y1463&lt;&gt;0,"CHANGED FIELDS","MATCH")))))))</f>
        <v>MATCH</v>
      </c>
      <c r="P1463" s="1" t="str">
        <f t="shared" si="114"/>
        <v>2026-02</v>
      </c>
    </row>
    <row r="1464" spans="1:16" ht="18.95" customHeight="1">
      <c r="A1464" s="7" t="s">
        <v>3839</v>
      </c>
      <c r="B1464" s="7" t="s">
        <v>3837</v>
      </c>
      <c r="C1464" s="7" t="s">
        <v>145</v>
      </c>
      <c r="D1464" s="7" t="s">
        <v>103</v>
      </c>
      <c r="E1464" s="7" t="s">
        <v>48</v>
      </c>
      <c r="F1464" s="7" t="s">
        <v>98</v>
      </c>
      <c r="G1464" s="7" t="s">
        <v>3840</v>
      </c>
      <c r="I1464" s="1">
        <f t="shared" si="110"/>
        <v>1</v>
      </c>
      <c r="J1464" s="1" t="str">
        <f>'Source build'!A1464</f>
        <v>L01458</v>
      </c>
      <c r="K1464" s="1">
        <f>1464</f>
        <v>1464</v>
      </c>
      <c r="L1464" s="10">
        <f t="shared" si="111"/>
        <v>32040</v>
      </c>
      <c r="M1464" s="1">
        <f t="shared" si="112"/>
        <v>1</v>
      </c>
      <c r="N1464" s="1">
        <f t="shared" si="113"/>
        <v>1</v>
      </c>
      <c r="O1464" s="1" t="str">
        <f>IF(I1464=0,"UNUSED",IF(A1464="","MISSING ID",IF(K1464=0,"UNEXPECTED ID",IF(N1464&lt;&gt;1,"ID / ORDER DIFFERENCE",IF('Source build'!U1464&lt;&gt;"INCLUDED","EXCLUDED SOURCE",IF(NOT(M1464),"INVALID AMOUNT",IF('Source build'!Y1464&lt;&gt;0,"CHANGED FIELDS","MATCH")))))))</f>
        <v>MATCH</v>
      </c>
      <c r="P1464" s="1" t="str">
        <f t="shared" si="114"/>
        <v>2026-02</v>
      </c>
    </row>
    <row r="1465" spans="1:16" ht="18.95" customHeight="1">
      <c r="A1465" s="7" t="s">
        <v>3841</v>
      </c>
      <c r="B1465" s="7" t="s">
        <v>3842</v>
      </c>
      <c r="C1465" s="7" t="s">
        <v>151</v>
      </c>
      <c r="D1465" s="7" t="s">
        <v>93</v>
      </c>
      <c r="E1465" s="7" t="s">
        <v>46</v>
      </c>
      <c r="F1465" s="7" t="s">
        <v>98</v>
      </c>
      <c r="G1465" s="7" t="s">
        <v>3843</v>
      </c>
      <c r="I1465" s="1">
        <f t="shared" si="110"/>
        <v>1</v>
      </c>
      <c r="J1465" s="1" t="str">
        <f>'Source build'!A1465</f>
        <v>L01459</v>
      </c>
      <c r="K1465" s="1">
        <f>1465</f>
        <v>1465</v>
      </c>
      <c r="L1465" s="10">
        <f t="shared" si="111"/>
        <v>12890</v>
      </c>
      <c r="M1465" s="1">
        <f t="shared" si="112"/>
        <v>1</v>
      </c>
      <c r="N1465" s="1">
        <f t="shared" si="113"/>
        <v>1</v>
      </c>
      <c r="O1465" s="1" t="str">
        <f>IF(I1465=0,"UNUSED",IF(A1465="","MISSING ID",IF(K1465=0,"UNEXPECTED ID",IF(N1465&lt;&gt;1,"ID / ORDER DIFFERENCE",IF('Source build'!U1465&lt;&gt;"INCLUDED","EXCLUDED SOURCE",IF(NOT(M1465),"INVALID AMOUNT",IF('Source build'!Y1465&lt;&gt;0,"CHANGED FIELDS","MATCH")))))))</f>
        <v>MATCH</v>
      </c>
      <c r="P1465" s="1" t="str">
        <f t="shared" si="114"/>
        <v>2026-03</v>
      </c>
    </row>
    <row r="1466" spans="1:16" ht="18.95" customHeight="1">
      <c r="A1466" s="7" t="s">
        <v>3844</v>
      </c>
      <c r="B1466" s="7" t="s">
        <v>3842</v>
      </c>
      <c r="C1466" s="7" t="s">
        <v>151</v>
      </c>
      <c r="D1466" s="7" t="s">
        <v>97</v>
      </c>
      <c r="E1466" s="7" t="s">
        <v>47</v>
      </c>
      <c r="F1466" s="7" t="s">
        <v>98</v>
      </c>
      <c r="G1466" s="7" t="s">
        <v>3845</v>
      </c>
      <c r="I1466" s="1">
        <f t="shared" si="110"/>
        <v>1</v>
      </c>
      <c r="J1466" s="1" t="str">
        <f>'Source build'!A1466</f>
        <v>L01460</v>
      </c>
      <c r="K1466" s="1">
        <f>1466</f>
        <v>1466</v>
      </c>
      <c r="L1466" s="10">
        <f t="shared" si="111"/>
        <v>25928</v>
      </c>
      <c r="M1466" s="1">
        <f t="shared" si="112"/>
        <v>1</v>
      </c>
      <c r="N1466" s="1">
        <f t="shared" si="113"/>
        <v>1</v>
      </c>
      <c r="O1466" s="1" t="str">
        <f>IF(I1466=0,"UNUSED",IF(A1466="","MISSING ID",IF(K1466=0,"UNEXPECTED ID",IF(N1466&lt;&gt;1,"ID / ORDER DIFFERENCE",IF('Source build'!U1466&lt;&gt;"INCLUDED","EXCLUDED SOURCE",IF(NOT(M1466),"INVALID AMOUNT",IF('Source build'!Y1466&lt;&gt;0,"CHANGED FIELDS","MATCH")))))))</f>
        <v>MATCH</v>
      </c>
      <c r="P1466" s="1" t="str">
        <f t="shared" si="114"/>
        <v>2026-03</v>
      </c>
    </row>
    <row r="1467" spans="1:16" ht="18.95" customHeight="1">
      <c r="A1467" s="7" t="s">
        <v>3846</v>
      </c>
      <c r="B1467" s="7" t="s">
        <v>3847</v>
      </c>
      <c r="C1467" s="7" t="s">
        <v>157</v>
      </c>
      <c r="D1467" s="7" t="s">
        <v>103</v>
      </c>
      <c r="E1467" s="7" t="s">
        <v>48</v>
      </c>
      <c r="F1467" s="7" t="s">
        <v>98</v>
      </c>
      <c r="G1467" s="7" t="s">
        <v>3848</v>
      </c>
      <c r="I1467" s="1">
        <f t="shared" si="110"/>
        <v>1</v>
      </c>
      <c r="J1467" s="1" t="str">
        <f>'Source build'!A1467</f>
        <v>L01461</v>
      </c>
      <c r="K1467" s="1">
        <f>1467</f>
        <v>1467</v>
      </c>
      <c r="L1467" s="10">
        <f t="shared" si="111"/>
        <v>6519</v>
      </c>
      <c r="M1467" s="1">
        <f t="shared" si="112"/>
        <v>1</v>
      </c>
      <c r="N1467" s="1">
        <f t="shared" si="113"/>
        <v>1</v>
      </c>
      <c r="O1467" s="1" t="str">
        <f>IF(I1467=0,"UNUSED",IF(A1467="","MISSING ID",IF(K1467=0,"UNEXPECTED ID",IF(N1467&lt;&gt;1,"ID / ORDER DIFFERENCE",IF('Source build'!U1467&lt;&gt;"INCLUDED","EXCLUDED SOURCE",IF(NOT(M1467),"INVALID AMOUNT",IF('Source build'!Y1467&lt;&gt;0,"CHANGED FIELDS","MATCH")))))))</f>
        <v>MATCH</v>
      </c>
      <c r="P1467" s="1" t="str">
        <f t="shared" si="114"/>
        <v>2026-03</v>
      </c>
    </row>
    <row r="1468" spans="1:16" ht="18.95" customHeight="1">
      <c r="A1468" s="7" t="s">
        <v>3849</v>
      </c>
      <c r="B1468" s="7" t="s">
        <v>3847</v>
      </c>
      <c r="C1468" s="7" t="s">
        <v>157</v>
      </c>
      <c r="D1468" s="7" t="s">
        <v>93</v>
      </c>
      <c r="E1468" s="7" t="s">
        <v>46</v>
      </c>
      <c r="F1468" s="7" t="s">
        <v>98</v>
      </c>
      <c r="G1468" s="7" t="s">
        <v>3850</v>
      </c>
      <c r="I1468" s="1">
        <f t="shared" si="110"/>
        <v>1</v>
      </c>
      <c r="J1468" s="1" t="str">
        <f>'Source build'!A1468</f>
        <v>L01462</v>
      </c>
      <c r="K1468" s="1">
        <f>1468</f>
        <v>1468</v>
      </c>
      <c r="L1468" s="10">
        <f t="shared" si="111"/>
        <v>19668</v>
      </c>
      <c r="M1468" s="1">
        <f t="shared" si="112"/>
        <v>1</v>
      </c>
      <c r="N1468" s="1">
        <f t="shared" si="113"/>
        <v>1</v>
      </c>
      <c r="O1468" s="1" t="str">
        <f>IF(I1468=0,"UNUSED",IF(A1468="","MISSING ID",IF(K1468=0,"UNEXPECTED ID",IF(N1468&lt;&gt;1,"ID / ORDER DIFFERENCE",IF('Source build'!U1468&lt;&gt;"INCLUDED","EXCLUDED SOURCE",IF(NOT(M1468),"INVALID AMOUNT",IF('Source build'!Y1468&lt;&gt;0,"CHANGED FIELDS","MATCH")))))))</f>
        <v>MATCH</v>
      </c>
      <c r="P1468" s="1" t="str">
        <f t="shared" si="114"/>
        <v>2026-03</v>
      </c>
    </row>
    <row r="1469" spans="1:16" ht="18.95" customHeight="1">
      <c r="A1469" s="7" t="s">
        <v>3851</v>
      </c>
      <c r="B1469" s="7" t="s">
        <v>3852</v>
      </c>
      <c r="C1469" s="7" t="s">
        <v>163</v>
      </c>
      <c r="D1469" s="7" t="s">
        <v>97</v>
      </c>
      <c r="E1469" s="7" t="s">
        <v>47</v>
      </c>
      <c r="F1469" s="7" t="s">
        <v>98</v>
      </c>
      <c r="G1469" s="7" t="s">
        <v>3853</v>
      </c>
      <c r="I1469" s="1">
        <f t="shared" si="110"/>
        <v>1</v>
      </c>
      <c r="J1469" s="1" t="str">
        <f>'Source build'!A1469</f>
        <v>L01463</v>
      </c>
      <c r="K1469" s="1">
        <f>1469</f>
        <v>1469</v>
      </c>
      <c r="L1469" s="10">
        <f t="shared" si="111"/>
        <v>32965</v>
      </c>
      <c r="M1469" s="1">
        <f t="shared" si="112"/>
        <v>1</v>
      </c>
      <c r="N1469" s="1">
        <f t="shared" si="113"/>
        <v>1</v>
      </c>
      <c r="O1469" s="1" t="str">
        <f>IF(I1469=0,"UNUSED",IF(A1469="","MISSING ID",IF(K1469=0,"UNEXPECTED ID",IF(N1469&lt;&gt;1,"ID / ORDER DIFFERENCE",IF('Source build'!U1469&lt;&gt;"INCLUDED","EXCLUDED SOURCE",IF(NOT(M1469),"INVALID AMOUNT",IF('Source build'!Y1469&lt;&gt;0,"CHANGED FIELDS","MATCH")))))))</f>
        <v>MATCH</v>
      </c>
      <c r="P1469" s="1" t="str">
        <f t="shared" si="114"/>
        <v>2026-03</v>
      </c>
    </row>
    <row r="1470" spans="1:16" ht="18.95" customHeight="1">
      <c r="A1470" s="7" t="s">
        <v>3854</v>
      </c>
      <c r="B1470" s="7" t="s">
        <v>3852</v>
      </c>
      <c r="C1470" s="7" t="s">
        <v>163</v>
      </c>
      <c r="D1470" s="7" t="s">
        <v>103</v>
      </c>
      <c r="E1470" s="7" t="s">
        <v>48</v>
      </c>
      <c r="F1470" s="7" t="s">
        <v>98</v>
      </c>
      <c r="G1470" s="7" t="s">
        <v>3855</v>
      </c>
      <c r="I1470" s="1">
        <f t="shared" si="110"/>
        <v>1</v>
      </c>
      <c r="J1470" s="1" t="str">
        <f>'Source build'!A1470</f>
        <v>L01464</v>
      </c>
      <c r="K1470" s="1">
        <f>1470</f>
        <v>1470</v>
      </c>
      <c r="L1470" s="10">
        <f t="shared" si="111"/>
        <v>13260</v>
      </c>
      <c r="M1470" s="1">
        <f t="shared" si="112"/>
        <v>1</v>
      </c>
      <c r="N1470" s="1">
        <f t="shared" si="113"/>
        <v>1</v>
      </c>
      <c r="O1470" s="1" t="str">
        <f>IF(I1470=0,"UNUSED",IF(A1470="","MISSING ID",IF(K1470=0,"UNEXPECTED ID",IF(N1470&lt;&gt;1,"ID / ORDER DIFFERENCE",IF('Source build'!U1470&lt;&gt;"INCLUDED","EXCLUDED SOURCE",IF(NOT(M1470),"INVALID AMOUNT",IF('Source build'!Y1470&lt;&gt;0,"CHANGED FIELDS","MATCH")))))))</f>
        <v>MATCH</v>
      </c>
      <c r="P1470" s="1" t="str">
        <f t="shared" si="114"/>
        <v>2026-03</v>
      </c>
    </row>
    <row r="1471" spans="1:16" ht="18.95" customHeight="1">
      <c r="A1471" s="7" t="s">
        <v>3856</v>
      </c>
      <c r="B1471" s="7" t="s">
        <v>3857</v>
      </c>
      <c r="C1471" s="7" t="s">
        <v>169</v>
      </c>
      <c r="D1471" s="7" t="s">
        <v>93</v>
      </c>
      <c r="E1471" s="7" t="s">
        <v>46</v>
      </c>
      <c r="F1471" s="7" t="s">
        <v>98</v>
      </c>
      <c r="G1471" s="7" t="s">
        <v>5145</v>
      </c>
      <c r="I1471" s="1">
        <f t="shared" si="110"/>
        <v>1</v>
      </c>
      <c r="J1471" s="1" t="str">
        <f>'Source build'!A1471</f>
        <v>L01465</v>
      </c>
      <c r="K1471" s="1">
        <f>1471</f>
        <v>1471</v>
      </c>
      <c r="L1471" s="10">
        <f t="shared" si="111"/>
        <v>26668</v>
      </c>
      <c r="M1471" s="1">
        <f t="shared" si="112"/>
        <v>1</v>
      </c>
      <c r="N1471" s="1">
        <f t="shared" si="113"/>
        <v>1</v>
      </c>
      <c r="O1471" s="1" t="str">
        <f>IF(I1471=0,"UNUSED",IF(A1471="","MISSING ID",IF(K1471=0,"UNEXPECTED ID",IF(N1471&lt;&gt;1,"ID / ORDER DIFFERENCE",IF('Source build'!U1471&lt;&gt;"INCLUDED","EXCLUDED SOURCE",IF(NOT(M1471),"INVALID AMOUNT",IF('Source build'!Y1471&lt;&gt;0,"CHANGED FIELDS","MATCH")))))))</f>
        <v>MATCH</v>
      </c>
      <c r="P1471" s="1" t="str">
        <f t="shared" si="114"/>
        <v>2026-03</v>
      </c>
    </row>
    <row r="1472" spans="1:16" ht="18.95" customHeight="1">
      <c r="A1472" s="7" t="s">
        <v>3859</v>
      </c>
      <c r="B1472" s="7" t="s">
        <v>3857</v>
      </c>
      <c r="C1472" s="7" t="s">
        <v>169</v>
      </c>
      <c r="D1472" s="7" t="s">
        <v>97</v>
      </c>
      <c r="E1472" s="7" t="s">
        <v>47</v>
      </c>
      <c r="F1472" s="7" t="s">
        <v>98</v>
      </c>
      <c r="G1472" s="7" t="s">
        <v>3860</v>
      </c>
      <c r="I1472" s="1">
        <f t="shared" si="110"/>
        <v>1</v>
      </c>
      <c r="J1472" s="1" t="str">
        <f>'Source build'!A1472</f>
        <v>L01466</v>
      </c>
      <c r="K1472" s="1">
        <f>1472</f>
        <v>1472</v>
      </c>
      <c r="L1472" s="10">
        <f t="shared" si="111"/>
        <v>6704</v>
      </c>
      <c r="M1472" s="1">
        <f t="shared" si="112"/>
        <v>1</v>
      </c>
      <c r="N1472" s="1">
        <f t="shared" si="113"/>
        <v>1</v>
      </c>
      <c r="O1472" s="1" t="str">
        <f>IF(I1472=0,"UNUSED",IF(A1472="","MISSING ID",IF(K1472=0,"UNEXPECTED ID",IF(N1472&lt;&gt;1,"ID / ORDER DIFFERENCE",IF('Source build'!U1472&lt;&gt;"INCLUDED","EXCLUDED SOURCE",IF(NOT(M1472),"INVALID AMOUNT",IF('Source build'!Y1472&lt;&gt;0,"CHANGED FIELDS","MATCH")))))))</f>
        <v>MATCH</v>
      </c>
      <c r="P1472" s="1" t="str">
        <f t="shared" si="114"/>
        <v>2026-03</v>
      </c>
    </row>
    <row r="1473" spans="1:16" ht="18.95" customHeight="1">
      <c r="A1473" s="7" t="s">
        <v>3861</v>
      </c>
      <c r="B1473" s="7" t="s">
        <v>3862</v>
      </c>
      <c r="C1473" s="7" t="s">
        <v>175</v>
      </c>
      <c r="D1473" s="7" t="s">
        <v>103</v>
      </c>
      <c r="E1473" s="7" t="s">
        <v>48</v>
      </c>
      <c r="F1473" s="7" t="s">
        <v>98</v>
      </c>
      <c r="G1473" s="7" t="s">
        <v>3863</v>
      </c>
      <c r="I1473" s="1">
        <f t="shared" si="110"/>
        <v>1</v>
      </c>
      <c r="J1473" s="1" t="str">
        <f>'Source build'!A1473</f>
        <v>L01467</v>
      </c>
      <c r="K1473" s="1">
        <f>1473</f>
        <v>1473</v>
      </c>
      <c r="L1473" s="10">
        <f t="shared" si="111"/>
        <v>20223</v>
      </c>
      <c r="M1473" s="1">
        <f t="shared" si="112"/>
        <v>1</v>
      </c>
      <c r="N1473" s="1">
        <f t="shared" si="113"/>
        <v>1</v>
      </c>
      <c r="O1473" s="1" t="str">
        <f>IF(I1473=0,"UNUSED",IF(A1473="","MISSING ID",IF(K1473=0,"UNEXPECTED ID",IF(N1473&lt;&gt;1,"ID / ORDER DIFFERENCE",IF('Source build'!U1473&lt;&gt;"INCLUDED","EXCLUDED SOURCE",IF(NOT(M1473),"INVALID AMOUNT",IF('Source build'!Y1473&lt;&gt;0,"CHANGED FIELDS","MATCH")))))))</f>
        <v>MATCH</v>
      </c>
      <c r="P1473" s="1" t="str">
        <f t="shared" si="114"/>
        <v>2026-01</v>
      </c>
    </row>
    <row r="1474" spans="1:16" ht="18.95" customHeight="1">
      <c r="A1474" s="7" t="s">
        <v>3864</v>
      </c>
      <c r="B1474" s="7" t="s">
        <v>3862</v>
      </c>
      <c r="C1474" s="7" t="s">
        <v>175</v>
      </c>
      <c r="D1474" s="7" t="s">
        <v>93</v>
      </c>
      <c r="E1474" s="7" t="s">
        <v>46</v>
      </c>
      <c r="F1474" s="7" t="s">
        <v>98</v>
      </c>
      <c r="G1474" s="7" t="s">
        <v>3865</v>
      </c>
      <c r="I1474" s="1">
        <f t="shared" si="110"/>
        <v>1</v>
      </c>
      <c r="J1474" s="1" t="str">
        <f>'Source build'!A1474</f>
        <v>L01468</v>
      </c>
      <c r="K1474" s="1">
        <f>1474</f>
        <v>1474</v>
      </c>
      <c r="L1474" s="10">
        <f t="shared" si="111"/>
        <v>33890</v>
      </c>
      <c r="M1474" s="1">
        <f t="shared" si="112"/>
        <v>1</v>
      </c>
      <c r="N1474" s="1">
        <f t="shared" si="113"/>
        <v>1</v>
      </c>
      <c r="O1474" s="1" t="str">
        <f>IF(I1474=0,"UNUSED",IF(A1474="","MISSING ID",IF(K1474=0,"UNEXPECTED ID",IF(N1474&lt;&gt;1,"ID / ORDER DIFFERENCE",IF('Source build'!U1474&lt;&gt;"INCLUDED","EXCLUDED SOURCE",IF(NOT(M1474),"INVALID AMOUNT",IF('Source build'!Y1474&lt;&gt;0,"CHANGED FIELDS","MATCH")))))))</f>
        <v>MATCH</v>
      </c>
      <c r="P1474" s="1" t="str">
        <f t="shared" si="114"/>
        <v>2026-01</v>
      </c>
    </row>
    <row r="1475" spans="1:16" ht="18.95" customHeight="1">
      <c r="A1475" s="7" t="s">
        <v>3866</v>
      </c>
      <c r="B1475" s="7" t="s">
        <v>3867</v>
      </c>
      <c r="C1475" s="7" t="s">
        <v>181</v>
      </c>
      <c r="D1475" s="7" t="s">
        <v>97</v>
      </c>
      <c r="E1475" s="7" t="s">
        <v>47</v>
      </c>
      <c r="F1475" s="7" t="s">
        <v>98</v>
      </c>
      <c r="G1475" s="7" t="s">
        <v>3868</v>
      </c>
      <c r="I1475" s="1">
        <f t="shared" si="110"/>
        <v>1</v>
      </c>
      <c r="J1475" s="1" t="str">
        <f>'Source build'!A1475</f>
        <v>L01469</v>
      </c>
      <c r="K1475" s="1">
        <f>1475</f>
        <v>1475</v>
      </c>
      <c r="L1475" s="10">
        <f t="shared" si="111"/>
        <v>13630</v>
      </c>
      <c r="M1475" s="1">
        <f t="shared" si="112"/>
        <v>1</v>
      </c>
      <c r="N1475" s="1">
        <f t="shared" si="113"/>
        <v>1</v>
      </c>
      <c r="O1475" s="1" t="str">
        <f>IF(I1475=0,"UNUSED",IF(A1475="","MISSING ID",IF(K1475=0,"UNEXPECTED ID",IF(N1475&lt;&gt;1,"ID / ORDER DIFFERENCE",IF('Source build'!U1475&lt;&gt;"INCLUDED","EXCLUDED SOURCE",IF(NOT(M1475),"INVALID AMOUNT",IF('Source build'!Y1475&lt;&gt;0,"CHANGED FIELDS","MATCH")))))))</f>
        <v>MATCH</v>
      </c>
      <c r="P1475" s="1" t="str">
        <f t="shared" si="114"/>
        <v>2026-01</v>
      </c>
    </row>
    <row r="1476" spans="1:16" ht="18.95" customHeight="1">
      <c r="A1476" s="7" t="s">
        <v>3869</v>
      </c>
      <c r="B1476" s="7" t="s">
        <v>3867</v>
      </c>
      <c r="C1476" s="7" t="s">
        <v>181</v>
      </c>
      <c r="D1476" s="7" t="s">
        <v>103</v>
      </c>
      <c r="E1476" s="7" t="s">
        <v>48</v>
      </c>
      <c r="F1476" s="7" t="s">
        <v>98</v>
      </c>
      <c r="G1476" s="7" t="s">
        <v>3870</v>
      </c>
      <c r="I1476" s="1">
        <f t="shared" si="110"/>
        <v>1</v>
      </c>
      <c r="J1476" s="1" t="str">
        <f>'Source build'!A1476</f>
        <v>L01470</v>
      </c>
      <c r="K1476" s="1">
        <f>1476</f>
        <v>1476</v>
      </c>
      <c r="L1476" s="10">
        <f t="shared" si="111"/>
        <v>27408</v>
      </c>
      <c r="M1476" s="1">
        <f t="shared" si="112"/>
        <v>1</v>
      </c>
      <c r="N1476" s="1">
        <f t="shared" si="113"/>
        <v>1</v>
      </c>
      <c r="O1476" s="1" t="str">
        <f>IF(I1476=0,"UNUSED",IF(A1476="","MISSING ID",IF(K1476=0,"UNEXPECTED ID",IF(N1476&lt;&gt;1,"ID / ORDER DIFFERENCE",IF('Source build'!U1476&lt;&gt;"INCLUDED","EXCLUDED SOURCE",IF(NOT(M1476),"INVALID AMOUNT",IF('Source build'!Y1476&lt;&gt;0,"CHANGED FIELDS","MATCH")))))))</f>
        <v>MATCH</v>
      </c>
      <c r="P1476" s="1" t="str">
        <f t="shared" si="114"/>
        <v>2026-01</v>
      </c>
    </row>
    <row r="1477" spans="1:16" ht="18.95" customHeight="1">
      <c r="A1477" s="7" t="s">
        <v>3871</v>
      </c>
      <c r="B1477" s="7" t="s">
        <v>3872</v>
      </c>
      <c r="C1477" s="7" t="s">
        <v>187</v>
      </c>
      <c r="D1477" s="7" t="s">
        <v>93</v>
      </c>
      <c r="E1477" s="7" t="s">
        <v>46</v>
      </c>
      <c r="F1477" s="7" t="s">
        <v>98</v>
      </c>
      <c r="G1477" s="7" t="s">
        <v>3873</v>
      </c>
      <c r="I1477" s="1">
        <f t="shared" si="110"/>
        <v>1</v>
      </c>
      <c r="J1477" s="1" t="str">
        <f>'Source build'!A1477</f>
        <v>L01471</v>
      </c>
      <c r="K1477" s="1">
        <f>1477</f>
        <v>1477</v>
      </c>
      <c r="L1477" s="10">
        <f t="shared" si="111"/>
        <v>6889</v>
      </c>
      <c r="M1477" s="1">
        <f t="shared" si="112"/>
        <v>1</v>
      </c>
      <c r="N1477" s="1">
        <f t="shared" si="113"/>
        <v>1</v>
      </c>
      <c r="O1477" s="1" t="str">
        <f>IF(I1477=0,"UNUSED",IF(A1477="","MISSING ID",IF(K1477=0,"UNEXPECTED ID",IF(N1477&lt;&gt;1,"ID / ORDER DIFFERENCE",IF('Source build'!U1477&lt;&gt;"INCLUDED","EXCLUDED SOURCE",IF(NOT(M1477),"INVALID AMOUNT",IF('Source build'!Y1477&lt;&gt;0,"CHANGED FIELDS","MATCH")))))))</f>
        <v>MATCH</v>
      </c>
      <c r="P1477" s="1" t="str">
        <f t="shared" si="114"/>
        <v>2026-01</v>
      </c>
    </row>
    <row r="1478" spans="1:16" ht="18.95" customHeight="1">
      <c r="A1478" s="7" t="s">
        <v>3874</v>
      </c>
      <c r="B1478" s="7" t="s">
        <v>3872</v>
      </c>
      <c r="C1478" s="7" t="s">
        <v>187</v>
      </c>
      <c r="D1478" s="7" t="s">
        <v>97</v>
      </c>
      <c r="E1478" s="7" t="s">
        <v>47</v>
      </c>
      <c r="F1478" s="7" t="s">
        <v>98</v>
      </c>
      <c r="G1478" s="7" t="s">
        <v>3875</v>
      </c>
      <c r="I1478" s="1">
        <f t="shared" si="110"/>
        <v>1</v>
      </c>
      <c r="J1478" s="1" t="str">
        <f>'Source build'!A1478</f>
        <v>L01472</v>
      </c>
      <c r="K1478" s="1">
        <f>1478</f>
        <v>1478</v>
      </c>
      <c r="L1478" s="10">
        <f t="shared" si="111"/>
        <v>20778</v>
      </c>
      <c r="M1478" s="1">
        <f t="shared" si="112"/>
        <v>1</v>
      </c>
      <c r="N1478" s="1">
        <f t="shared" si="113"/>
        <v>1</v>
      </c>
      <c r="O1478" s="1" t="str">
        <f>IF(I1478=0,"UNUSED",IF(A1478="","MISSING ID",IF(K1478=0,"UNEXPECTED ID",IF(N1478&lt;&gt;1,"ID / ORDER DIFFERENCE",IF('Source build'!U1478&lt;&gt;"INCLUDED","EXCLUDED SOURCE",IF(NOT(M1478),"INVALID AMOUNT",IF('Source build'!Y1478&lt;&gt;0,"CHANGED FIELDS","MATCH")))))))</f>
        <v>MATCH</v>
      </c>
      <c r="P1478" s="1" t="str">
        <f t="shared" si="114"/>
        <v>2026-01</v>
      </c>
    </row>
    <row r="1479" spans="1:16" ht="18.95" customHeight="1">
      <c r="A1479" s="7" t="s">
        <v>3876</v>
      </c>
      <c r="B1479" s="7" t="s">
        <v>3877</v>
      </c>
      <c r="C1479" s="7" t="s">
        <v>193</v>
      </c>
      <c r="D1479" s="7" t="s">
        <v>103</v>
      </c>
      <c r="E1479" s="7" t="s">
        <v>48</v>
      </c>
      <c r="F1479" s="7" t="s">
        <v>94</v>
      </c>
      <c r="G1479" s="7" t="s">
        <v>3878</v>
      </c>
      <c r="I1479" s="1">
        <f t="shared" ref="I1479:I1542" si="115">IF(AND(A1479="",B1479="",C1479="",D1479="",E1479="",F1479="",G1479=""),0,1)</f>
        <v>1</v>
      </c>
      <c r="J1479" s="1" t="str">
        <f>'Source build'!A1479</f>
        <v>L01473</v>
      </c>
      <c r="K1479" s="1">
        <f>1479</f>
        <v>1479</v>
      </c>
      <c r="L1479" s="10">
        <f t="shared" ref="L1479:L1542" si="116">IFERROR(IF(ABS(VALUE(G1479)*100-ROUND(VALUE(G1479)*100,0))&lt;0.0000001,ROUND(VALUE(G1479)*100,0),0),0)</f>
        <v>-34815</v>
      </c>
      <c r="M1479" s="1">
        <f t="shared" ref="M1479:M1542" si="117">--IF(I1479=0,TRUE,IF(TRIM(G1479)="",FALSE,IFERROR(AND(ISNUMBER(VALUE(G1479)),ABS(VALUE(G1479)*100-ROUND(VALUE(G1479)*100,0))&lt;0.0000001,OR(ISNUMBER(G1479),EXACT(G1479,TEXT(VALUE(G1479),"0.00"))),OR(AND(EXACT(F1479,"sale"),VALUE(G1479)&gt;0),AND(EXACT(F1479,"refund"),VALUE(G1479)&lt;0))),FALSE)))</f>
        <v>1</v>
      </c>
      <c r="N1479" s="1">
        <f t="shared" ref="N1479:N1542" si="118">IF(I1479=1,IF(EXACT(A1479,J1479),1,0),0)</f>
        <v>1</v>
      </c>
      <c r="O1479" s="1" t="str">
        <f>IF(I1479=0,"UNUSED",IF(A1479="","MISSING ID",IF(K1479=0,"UNEXPECTED ID",IF(N1479&lt;&gt;1,"ID / ORDER DIFFERENCE",IF('Source build'!U1479&lt;&gt;"INCLUDED","EXCLUDED SOURCE",IF(NOT(M1479),"INVALID AMOUNT",IF('Source build'!Y1479&lt;&gt;0,"CHANGED FIELDS","MATCH")))))))</f>
        <v>MATCH</v>
      </c>
      <c r="P1479" s="1" t="str">
        <f t="shared" ref="P1479:P1542" si="119">IF(I1479=1,LEFT(C1479,7),"")</f>
        <v>2026-01</v>
      </c>
    </row>
    <row r="1480" spans="1:16" ht="18.95" customHeight="1">
      <c r="A1480" s="7" t="s">
        <v>3879</v>
      </c>
      <c r="B1480" s="7" t="s">
        <v>3877</v>
      </c>
      <c r="C1480" s="7" t="s">
        <v>193</v>
      </c>
      <c r="D1480" s="7" t="s">
        <v>93</v>
      </c>
      <c r="E1480" s="7" t="s">
        <v>46</v>
      </c>
      <c r="F1480" s="7" t="s">
        <v>98</v>
      </c>
      <c r="G1480" s="7" t="s">
        <v>3880</v>
      </c>
      <c r="I1480" s="1">
        <f t="shared" si="115"/>
        <v>1</v>
      </c>
      <c r="J1480" s="1" t="str">
        <f>'Source build'!A1480</f>
        <v>L01474</v>
      </c>
      <c r="K1480" s="1">
        <f>1480</f>
        <v>1480</v>
      </c>
      <c r="L1480" s="10">
        <f t="shared" si="116"/>
        <v>14000</v>
      </c>
      <c r="M1480" s="1">
        <f t="shared" si="117"/>
        <v>1</v>
      </c>
      <c r="N1480" s="1">
        <f t="shared" si="118"/>
        <v>1</v>
      </c>
      <c r="O1480" s="1" t="str">
        <f>IF(I1480=0,"UNUSED",IF(A1480="","MISSING ID",IF(K1480=0,"UNEXPECTED ID",IF(N1480&lt;&gt;1,"ID / ORDER DIFFERENCE",IF('Source build'!U1480&lt;&gt;"INCLUDED","EXCLUDED SOURCE",IF(NOT(M1480),"INVALID AMOUNT",IF('Source build'!Y1480&lt;&gt;0,"CHANGED FIELDS","MATCH")))))))</f>
        <v>MATCH</v>
      </c>
      <c r="P1480" s="1" t="str">
        <f t="shared" si="119"/>
        <v>2026-01</v>
      </c>
    </row>
    <row r="1481" spans="1:16" ht="18.95" customHeight="1">
      <c r="A1481" s="7" t="s">
        <v>3881</v>
      </c>
      <c r="B1481" s="7" t="s">
        <v>3882</v>
      </c>
      <c r="C1481" s="7" t="s">
        <v>200</v>
      </c>
      <c r="D1481" s="7" t="s">
        <v>97</v>
      </c>
      <c r="E1481" s="7" t="s">
        <v>47</v>
      </c>
      <c r="F1481" s="7" t="s">
        <v>98</v>
      </c>
      <c r="G1481" s="7" t="s">
        <v>3883</v>
      </c>
      <c r="I1481" s="1">
        <f t="shared" si="115"/>
        <v>1</v>
      </c>
      <c r="J1481" s="1" t="str">
        <f>'Source build'!A1481</f>
        <v>L01475</v>
      </c>
      <c r="K1481" s="1">
        <f>1481</f>
        <v>1481</v>
      </c>
      <c r="L1481" s="10">
        <f t="shared" si="116"/>
        <v>28148</v>
      </c>
      <c r="M1481" s="1">
        <f t="shared" si="117"/>
        <v>1</v>
      </c>
      <c r="N1481" s="1">
        <f t="shared" si="118"/>
        <v>1</v>
      </c>
      <c r="O1481" s="1" t="str">
        <f>IF(I1481=0,"UNUSED",IF(A1481="","MISSING ID",IF(K1481=0,"UNEXPECTED ID",IF(N1481&lt;&gt;1,"ID / ORDER DIFFERENCE",IF('Source build'!U1481&lt;&gt;"INCLUDED","EXCLUDED SOURCE",IF(NOT(M1481),"INVALID AMOUNT",IF('Source build'!Y1481&lt;&gt;0,"CHANGED FIELDS","MATCH")))))))</f>
        <v>MATCH</v>
      </c>
      <c r="P1481" s="1" t="str">
        <f t="shared" si="119"/>
        <v>2026-01</v>
      </c>
    </row>
    <row r="1482" spans="1:16" ht="18.95" customHeight="1">
      <c r="A1482" s="7" t="s">
        <v>3884</v>
      </c>
      <c r="B1482" s="7" t="s">
        <v>3882</v>
      </c>
      <c r="C1482" s="7" t="s">
        <v>200</v>
      </c>
      <c r="D1482" s="7" t="s">
        <v>103</v>
      </c>
      <c r="E1482" s="7" t="s">
        <v>48</v>
      </c>
      <c r="F1482" s="7" t="s">
        <v>98</v>
      </c>
      <c r="G1482" s="7" t="s">
        <v>3885</v>
      </c>
      <c r="I1482" s="1">
        <f t="shared" si="115"/>
        <v>1</v>
      </c>
      <c r="J1482" s="1" t="str">
        <f>'Source build'!A1482</f>
        <v>L01476</v>
      </c>
      <c r="K1482" s="1">
        <f>1482</f>
        <v>1482</v>
      </c>
      <c r="L1482" s="10">
        <f t="shared" si="116"/>
        <v>7074</v>
      </c>
      <c r="M1482" s="1">
        <f t="shared" si="117"/>
        <v>1</v>
      </c>
      <c r="N1482" s="1">
        <f t="shared" si="118"/>
        <v>1</v>
      </c>
      <c r="O1482" s="1" t="str">
        <f>IF(I1482=0,"UNUSED",IF(A1482="","MISSING ID",IF(K1482=0,"UNEXPECTED ID",IF(N1482&lt;&gt;1,"ID / ORDER DIFFERENCE",IF('Source build'!U1482&lt;&gt;"INCLUDED","EXCLUDED SOURCE",IF(NOT(M1482),"INVALID AMOUNT",IF('Source build'!Y1482&lt;&gt;0,"CHANGED FIELDS","MATCH")))))))</f>
        <v>MATCH</v>
      </c>
      <c r="P1482" s="1" t="str">
        <f t="shared" si="119"/>
        <v>2026-01</v>
      </c>
    </row>
    <row r="1483" spans="1:16" ht="18.95" customHeight="1">
      <c r="A1483" s="7" t="s">
        <v>3886</v>
      </c>
      <c r="B1483" s="7" t="s">
        <v>3887</v>
      </c>
      <c r="C1483" s="7" t="s">
        <v>206</v>
      </c>
      <c r="D1483" s="7" t="s">
        <v>93</v>
      </c>
      <c r="E1483" s="7" t="s">
        <v>46</v>
      </c>
      <c r="F1483" s="7" t="s">
        <v>98</v>
      </c>
      <c r="G1483" s="7" t="s">
        <v>3888</v>
      </c>
      <c r="I1483" s="1">
        <f t="shared" si="115"/>
        <v>1</v>
      </c>
      <c r="J1483" s="1" t="str">
        <f>'Source build'!A1483</f>
        <v>L01477</v>
      </c>
      <c r="K1483" s="1">
        <f>1483</f>
        <v>1483</v>
      </c>
      <c r="L1483" s="10">
        <f t="shared" si="116"/>
        <v>21333</v>
      </c>
      <c r="M1483" s="1">
        <f t="shared" si="117"/>
        <v>1</v>
      </c>
      <c r="N1483" s="1">
        <f t="shared" si="118"/>
        <v>1</v>
      </c>
      <c r="O1483" s="1" t="str">
        <f>IF(I1483=0,"UNUSED",IF(A1483="","MISSING ID",IF(K1483=0,"UNEXPECTED ID",IF(N1483&lt;&gt;1,"ID / ORDER DIFFERENCE",IF('Source build'!U1483&lt;&gt;"INCLUDED","EXCLUDED SOURCE",IF(NOT(M1483),"INVALID AMOUNT",IF('Source build'!Y1483&lt;&gt;0,"CHANGED FIELDS","MATCH")))))))</f>
        <v>MATCH</v>
      </c>
      <c r="P1483" s="1" t="str">
        <f t="shared" si="119"/>
        <v>2026-02</v>
      </c>
    </row>
    <row r="1484" spans="1:16" ht="18.95" customHeight="1">
      <c r="A1484" s="7" t="s">
        <v>3889</v>
      </c>
      <c r="B1484" s="7" t="s">
        <v>3887</v>
      </c>
      <c r="C1484" s="7" t="s">
        <v>206</v>
      </c>
      <c r="D1484" s="7" t="s">
        <v>97</v>
      </c>
      <c r="E1484" s="7" t="s">
        <v>47</v>
      </c>
      <c r="F1484" s="7" t="s">
        <v>98</v>
      </c>
      <c r="G1484" s="7" t="s">
        <v>3890</v>
      </c>
      <c r="I1484" s="1">
        <f t="shared" si="115"/>
        <v>1</v>
      </c>
      <c r="J1484" s="1" t="str">
        <f>'Source build'!A1484</f>
        <v>L01478</v>
      </c>
      <c r="K1484" s="1">
        <f>1484</f>
        <v>1484</v>
      </c>
      <c r="L1484" s="10">
        <f t="shared" si="116"/>
        <v>35740</v>
      </c>
      <c r="M1484" s="1">
        <f t="shared" si="117"/>
        <v>1</v>
      </c>
      <c r="N1484" s="1">
        <f t="shared" si="118"/>
        <v>1</v>
      </c>
      <c r="O1484" s="1" t="str">
        <f>IF(I1484=0,"UNUSED",IF(A1484="","MISSING ID",IF(K1484=0,"UNEXPECTED ID",IF(N1484&lt;&gt;1,"ID / ORDER DIFFERENCE",IF('Source build'!U1484&lt;&gt;"INCLUDED","EXCLUDED SOURCE",IF(NOT(M1484),"INVALID AMOUNT",IF('Source build'!Y1484&lt;&gt;0,"CHANGED FIELDS","MATCH")))))))</f>
        <v>MATCH</v>
      </c>
      <c r="P1484" s="1" t="str">
        <f t="shared" si="119"/>
        <v>2026-02</v>
      </c>
    </row>
    <row r="1485" spans="1:16" ht="18.95" customHeight="1">
      <c r="A1485" s="7" t="s">
        <v>3891</v>
      </c>
      <c r="B1485" s="7" t="s">
        <v>3892</v>
      </c>
      <c r="C1485" s="7" t="s">
        <v>212</v>
      </c>
      <c r="D1485" s="7" t="s">
        <v>103</v>
      </c>
      <c r="E1485" s="7" t="s">
        <v>48</v>
      </c>
      <c r="F1485" s="7" t="s">
        <v>98</v>
      </c>
      <c r="G1485" s="7" t="s">
        <v>3893</v>
      </c>
      <c r="I1485" s="1">
        <f t="shared" si="115"/>
        <v>1</v>
      </c>
      <c r="J1485" s="1" t="str">
        <f>'Source build'!A1485</f>
        <v>L01479</v>
      </c>
      <c r="K1485" s="1">
        <f>1485</f>
        <v>1485</v>
      </c>
      <c r="L1485" s="10">
        <f t="shared" si="116"/>
        <v>14370</v>
      </c>
      <c r="M1485" s="1">
        <f t="shared" si="117"/>
        <v>1</v>
      </c>
      <c r="N1485" s="1">
        <f t="shared" si="118"/>
        <v>1</v>
      </c>
      <c r="O1485" s="1" t="str">
        <f>IF(I1485=0,"UNUSED",IF(A1485="","MISSING ID",IF(K1485=0,"UNEXPECTED ID",IF(N1485&lt;&gt;1,"ID / ORDER DIFFERENCE",IF('Source build'!U1485&lt;&gt;"INCLUDED","EXCLUDED SOURCE",IF(NOT(M1485),"INVALID AMOUNT",IF('Source build'!Y1485&lt;&gt;0,"CHANGED FIELDS","MATCH")))))))</f>
        <v>MATCH</v>
      </c>
      <c r="P1485" s="1" t="str">
        <f t="shared" si="119"/>
        <v>2026-02</v>
      </c>
    </row>
    <row r="1486" spans="1:16" ht="18.95" customHeight="1">
      <c r="A1486" s="7" t="s">
        <v>3894</v>
      </c>
      <c r="B1486" s="7" t="s">
        <v>3892</v>
      </c>
      <c r="C1486" s="7" t="s">
        <v>212</v>
      </c>
      <c r="D1486" s="7" t="s">
        <v>93</v>
      </c>
      <c r="E1486" s="7" t="s">
        <v>46</v>
      </c>
      <c r="F1486" s="7" t="s">
        <v>98</v>
      </c>
      <c r="G1486" s="7" t="s">
        <v>3895</v>
      </c>
      <c r="I1486" s="1">
        <f t="shared" si="115"/>
        <v>1</v>
      </c>
      <c r="J1486" s="1" t="str">
        <f>'Source build'!A1486</f>
        <v>L01480</v>
      </c>
      <c r="K1486" s="1">
        <f>1486</f>
        <v>1486</v>
      </c>
      <c r="L1486" s="10">
        <f t="shared" si="116"/>
        <v>28888</v>
      </c>
      <c r="M1486" s="1">
        <f t="shared" si="117"/>
        <v>1</v>
      </c>
      <c r="N1486" s="1">
        <f t="shared" si="118"/>
        <v>1</v>
      </c>
      <c r="O1486" s="1" t="str">
        <f>IF(I1486=0,"UNUSED",IF(A1486="","MISSING ID",IF(K1486=0,"UNEXPECTED ID",IF(N1486&lt;&gt;1,"ID / ORDER DIFFERENCE",IF('Source build'!U1486&lt;&gt;"INCLUDED","EXCLUDED SOURCE",IF(NOT(M1486),"INVALID AMOUNT",IF('Source build'!Y1486&lt;&gt;0,"CHANGED FIELDS","MATCH")))))))</f>
        <v>MATCH</v>
      </c>
      <c r="P1486" s="1" t="str">
        <f t="shared" si="119"/>
        <v>2026-02</v>
      </c>
    </row>
    <row r="1487" spans="1:16" ht="18.95" customHeight="1">
      <c r="A1487" s="7" t="s">
        <v>3896</v>
      </c>
      <c r="B1487" s="7" t="s">
        <v>3897</v>
      </c>
      <c r="C1487" s="7" t="s">
        <v>218</v>
      </c>
      <c r="D1487" s="7" t="s">
        <v>97</v>
      </c>
      <c r="E1487" s="7" t="s">
        <v>47</v>
      </c>
      <c r="F1487" s="7" t="s">
        <v>98</v>
      </c>
      <c r="G1487" s="7" t="s">
        <v>3898</v>
      </c>
      <c r="I1487" s="1">
        <f t="shared" si="115"/>
        <v>1</v>
      </c>
      <c r="J1487" s="1" t="str">
        <f>'Source build'!A1487</f>
        <v>L01481</v>
      </c>
      <c r="K1487" s="1">
        <f>1487</f>
        <v>1487</v>
      </c>
      <c r="L1487" s="10">
        <f t="shared" si="116"/>
        <v>7259</v>
      </c>
      <c r="M1487" s="1">
        <f t="shared" si="117"/>
        <v>1</v>
      </c>
      <c r="N1487" s="1">
        <f t="shared" si="118"/>
        <v>1</v>
      </c>
      <c r="O1487" s="1" t="str">
        <f>IF(I1487=0,"UNUSED",IF(A1487="","MISSING ID",IF(K1487=0,"UNEXPECTED ID",IF(N1487&lt;&gt;1,"ID / ORDER DIFFERENCE",IF('Source build'!U1487&lt;&gt;"INCLUDED","EXCLUDED SOURCE",IF(NOT(M1487),"INVALID AMOUNT",IF('Source build'!Y1487&lt;&gt;0,"CHANGED FIELDS","MATCH")))))))</f>
        <v>MATCH</v>
      </c>
      <c r="P1487" s="1" t="str">
        <f t="shared" si="119"/>
        <v>2026-02</v>
      </c>
    </row>
    <row r="1488" spans="1:16" ht="18.95" customHeight="1">
      <c r="A1488" s="7" t="s">
        <v>3899</v>
      </c>
      <c r="B1488" s="7" t="s">
        <v>3897</v>
      </c>
      <c r="C1488" s="7" t="s">
        <v>218</v>
      </c>
      <c r="D1488" s="7" t="s">
        <v>103</v>
      </c>
      <c r="E1488" s="7" t="s">
        <v>48</v>
      </c>
      <c r="F1488" s="7" t="s">
        <v>98</v>
      </c>
      <c r="G1488" s="7" t="s">
        <v>3900</v>
      </c>
      <c r="I1488" s="1">
        <f t="shared" si="115"/>
        <v>1</v>
      </c>
      <c r="J1488" s="1" t="str">
        <f>'Source build'!A1488</f>
        <v>L01482</v>
      </c>
      <c r="K1488" s="1">
        <f>1488</f>
        <v>1488</v>
      </c>
      <c r="L1488" s="10">
        <f t="shared" si="116"/>
        <v>21888</v>
      </c>
      <c r="M1488" s="1">
        <f t="shared" si="117"/>
        <v>1</v>
      </c>
      <c r="N1488" s="1">
        <f t="shared" si="118"/>
        <v>1</v>
      </c>
      <c r="O1488" s="1" t="str">
        <f>IF(I1488=0,"UNUSED",IF(A1488="","MISSING ID",IF(K1488=0,"UNEXPECTED ID",IF(N1488&lt;&gt;1,"ID / ORDER DIFFERENCE",IF('Source build'!U1488&lt;&gt;"INCLUDED","EXCLUDED SOURCE",IF(NOT(M1488),"INVALID AMOUNT",IF('Source build'!Y1488&lt;&gt;0,"CHANGED FIELDS","MATCH")))))))</f>
        <v>MATCH</v>
      </c>
      <c r="P1488" s="1" t="str">
        <f t="shared" si="119"/>
        <v>2026-02</v>
      </c>
    </row>
    <row r="1489" spans="1:16" ht="18.95" customHeight="1">
      <c r="A1489" s="7" t="s">
        <v>3901</v>
      </c>
      <c r="B1489" s="7" t="s">
        <v>3902</v>
      </c>
      <c r="C1489" s="7" t="s">
        <v>224</v>
      </c>
      <c r="D1489" s="7" t="s">
        <v>93</v>
      </c>
      <c r="E1489" s="7" t="s">
        <v>46</v>
      </c>
      <c r="F1489" s="7" t="s">
        <v>98</v>
      </c>
      <c r="G1489" s="7" t="s">
        <v>3903</v>
      </c>
      <c r="I1489" s="1">
        <f t="shared" si="115"/>
        <v>1</v>
      </c>
      <c r="J1489" s="1" t="str">
        <f>'Source build'!A1489</f>
        <v>L01483</v>
      </c>
      <c r="K1489" s="1">
        <f>1489</f>
        <v>1489</v>
      </c>
      <c r="L1489" s="10">
        <f t="shared" si="116"/>
        <v>36665</v>
      </c>
      <c r="M1489" s="1">
        <f t="shared" si="117"/>
        <v>1</v>
      </c>
      <c r="N1489" s="1">
        <f t="shared" si="118"/>
        <v>1</v>
      </c>
      <c r="O1489" s="1" t="str">
        <f>IF(I1489=0,"UNUSED",IF(A1489="","MISSING ID",IF(K1489=0,"UNEXPECTED ID",IF(N1489&lt;&gt;1,"ID / ORDER DIFFERENCE",IF('Source build'!U1489&lt;&gt;"INCLUDED","EXCLUDED SOURCE",IF(NOT(M1489),"INVALID AMOUNT",IF('Source build'!Y1489&lt;&gt;0,"CHANGED FIELDS","MATCH")))))))</f>
        <v>MATCH</v>
      </c>
      <c r="P1489" s="1" t="str">
        <f t="shared" si="119"/>
        <v>2026-02</v>
      </c>
    </row>
    <row r="1490" spans="1:16" ht="18.95" customHeight="1">
      <c r="A1490" s="7" t="s">
        <v>3904</v>
      </c>
      <c r="B1490" s="7" t="s">
        <v>3902</v>
      </c>
      <c r="C1490" s="7" t="s">
        <v>224</v>
      </c>
      <c r="D1490" s="7" t="s">
        <v>97</v>
      </c>
      <c r="E1490" s="7" t="s">
        <v>47</v>
      </c>
      <c r="F1490" s="7" t="s">
        <v>98</v>
      </c>
      <c r="G1490" s="7" t="s">
        <v>3905</v>
      </c>
      <c r="I1490" s="1">
        <f t="shared" si="115"/>
        <v>1</v>
      </c>
      <c r="J1490" s="1" t="str">
        <f>'Source build'!A1490</f>
        <v>L01484</v>
      </c>
      <c r="K1490" s="1">
        <f>1490</f>
        <v>1490</v>
      </c>
      <c r="L1490" s="10">
        <f t="shared" si="116"/>
        <v>14740</v>
      </c>
      <c r="M1490" s="1">
        <f t="shared" si="117"/>
        <v>1</v>
      </c>
      <c r="N1490" s="1">
        <f t="shared" si="118"/>
        <v>1</v>
      </c>
      <c r="O1490" s="1" t="str">
        <f>IF(I1490=0,"UNUSED",IF(A1490="","MISSING ID",IF(K1490=0,"UNEXPECTED ID",IF(N1490&lt;&gt;1,"ID / ORDER DIFFERENCE",IF('Source build'!U1490&lt;&gt;"INCLUDED","EXCLUDED SOURCE",IF(NOT(M1490),"INVALID AMOUNT",IF('Source build'!Y1490&lt;&gt;0,"CHANGED FIELDS","MATCH")))))))</f>
        <v>MATCH</v>
      </c>
      <c r="P1490" s="1" t="str">
        <f t="shared" si="119"/>
        <v>2026-02</v>
      </c>
    </row>
    <row r="1491" spans="1:16" ht="18.95" customHeight="1">
      <c r="A1491" s="7" t="s">
        <v>3906</v>
      </c>
      <c r="B1491" s="7" t="s">
        <v>3907</v>
      </c>
      <c r="C1491" s="7" t="s">
        <v>230</v>
      </c>
      <c r="D1491" s="7" t="s">
        <v>103</v>
      </c>
      <c r="E1491" s="7" t="s">
        <v>48</v>
      </c>
      <c r="F1491" s="7" t="s">
        <v>98</v>
      </c>
      <c r="G1491" s="7" t="s">
        <v>3908</v>
      </c>
      <c r="I1491" s="1">
        <f t="shared" si="115"/>
        <v>1</v>
      </c>
      <c r="J1491" s="1" t="str">
        <f>'Source build'!A1491</f>
        <v>L01485</v>
      </c>
      <c r="K1491" s="1">
        <f>1491</f>
        <v>1491</v>
      </c>
      <c r="L1491" s="10">
        <f t="shared" si="116"/>
        <v>29628</v>
      </c>
      <c r="M1491" s="1">
        <f t="shared" si="117"/>
        <v>1</v>
      </c>
      <c r="N1491" s="1">
        <f t="shared" si="118"/>
        <v>1</v>
      </c>
      <c r="O1491" s="1" t="str">
        <f>IF(I1491=0,"UNUSED",IF(A1491="","MISSING ID",IF(K1491=0,"UNEXPECTED ID",IF(N1491&lt;&gt;1,"ID / ORDER DIFFERENCE",IF('Source build'!U1491&lt;&gt;"INCLUDED","EXCLUDED SOURCE",IF(NOT(M1491),"INVALID AMOUNT",IF('Source build'!Y1491&lt;&gt;0,"CHANGED FIELDS","MATCH")))))))</f>
        <v>MATCH</v>
      </c>
      <c r="P1491" s="1" t="str">
        <f t="shared" si="119"/>
        <v>2026-03</v>
      </c>
    </row>
    <row r="1492" spans="1:16" ht="18.95" customHeight="1">
      <c r="A1492" s="7" t="s">
        <v>3909</v>
      </c>
      <c r="B1492" s="7" t="s">
        <v>3907</v>
      </c>
      <c r="C1492" s="7" t="s">
        <v>230</v>
      </c>
      <c r="D1492" s="7" t="s">
        <v>93</v>
      </c>
      <c r="E1492" s="7" t="s">
        <v>46</v>
      </c>
      <c r="F1492" s="7" t="s">
        <v>98</v>
      </c>
      <c r="G1492" s="7" t="s">
        <v>3910</v>
      </c>
      <c r="I1492" s="1">
        <f t="shared" si="115"/>
        <v>1</v>
      </c>
      <c r="J1492" s="1" t="str">
        <f>'Source build'!A1492</f>
        <v>L01486</v>
      </c>
      <c r="K1492" s="1">
        <f>1492</f>
        <v>1492</v>
      </c>
      <c r="L1492" s="10">
        <f t="shared" si="116"/>
        <v>7444</v>
      </c>
      <c r="M1492" s="1">
        <f t="shared" si="117"/>
        <v>1</v>
      </c>
      <c r="N1492" s="1">
        <f t="shared" si="118"/>
        <v>1</v>
      </c>
      <c r="O1492" s="1" t="str">
        <f>IF(I1492=0,"UNUSED",IF(A1492="","MISSING ID",IF(K1492=0,"UNEXPECTED ID",IF(N1492&lt;&gt;1,"ID / ORDER DIFFERENCE",IF('Source build'!U1492&lt;&gt;"INCLUDED","EXCLUDED SOURCE",IF(NOT(M1492),"INVALID AMOUNT",IF('Source build'!Y1492&lt;&gt;0,"CHANGED FIELDS","MATCH")))))))</f>
        <v>MATCH</v>
      </c>
      <c r="P1492" s="1" t="str">
        <f t="shared" si="119"/>
        <v>2026-03</v>
      </c>
    </row>
    <row r="1493" spans="1:16" ht="18.95" customHeight="1">
      <c r="A1493" s="7" t="s">
        <v>3911</v>
      </c>
      <c r="B1493" s="7" t="s">
        <v>3912</v>
      </c>
      <c r="C1493" s="7" t="s">
        <v>236</v>
      </c>
      <c r="D1493" s="7" t="s">
        <v>97</v>
      </c>
      <c r="E1493" s="7" t="s">
        <v>47</v>
      </c>
      <c r="F1493" s="7" t="s">
        <v>98</v>
      </c>
      <c r="G1493" s="7" t="s">
        <v>3913</v>
      </c>
      <c r="I1493" s="1">
        <f t="shared" si="115"/>
        <v>1</v>
      </c>
      <c r="J1493" s="1" t="str">
        <f>'Source build'!A1493</f>
        <v>L01487</v>
      </c>
      <c r="K1493" s="1">
        <f>1493</f>
        <v>1493</v>
      </c>
      <c r="L1493" s="10">
        <f t="shared" si="116"/>
        <v>22443</v>
      </c>
      <c r="M1493" s="1">
        <f t="shared" si="117"/>
        <v>1</v>
      </c>
      <c r="N1493" s="1">
        <f t="shared" si="118"/>
        <v>1</v>
      </c>
      <c r="O1493" s="1" t="str">
        <f>IF(I1493=0,"UNUSED",IF(A1493="","MISSING ID",IF(K1493=0,"UNEXPECTED ID",IF(N1493&lt;&gt;1,"ID / ORDER DIFFERENCE",IF('Source build'!U1493&lt;&gt;"INCLUDED","EXCLUDED SOURCE",IF(NOT(M1493),"INVALID AMOUNT",IF('Source build'!Y1493&lt;&gt;0,"CHANGED FIELDS","MATCH")))))))</f>
        <v>MATCH</v>
      </c>
      <c r="P1493" s="1" t="str">
        <f t="shared" si="119"/>
        <v>2026-03</v>
      </c>
    </row>
    <row r="1494" spans="1:16" ht="18.95" customHeight="1">
      <c r="A1494" s="7" t="s">
        <v>3914</v>
      </c>
      <c r="B1494" s="7" t="s">
        <v>3912</v>
      </c>
      <c r="C1494" s="7" t="s">
        <v>236</v>
      </c>
      <c r="D1494" s="7" t="s">
        <v>103</v>
      </c>
      <c r="E1494" s="7" t="s">
        <v>48</v>
      </c>
      <c r="F1494" s="7" t="s">
        <v>98</v>
      </c>
      <c r="G1494" s="7" t="s">
        <v>3915</v>
      </c>
      <c r="I1494" s="1">
        <f t="shared" si="115"/>
        <v>1</v>
      </c>
      <c r="J1494" s="1" t="str">
        <f>'Source build'!A1494</f>
        <v>L01488</v>
      </c>
      <c r="K1494" s="1">
        <f>1494</f>
        <v>1494</v>
      </c>
      <c r="L1494" s="10">
        <f t="shared" si="116"/>
        <v>37590</v>
      </c>
      <c r="M1494" s="1">
        <f t="shared" si="117"/>
        <v>1</v>
      </c>
      <c r="N1494" s="1">
        <f t="shared" si="118"/>
        <v>1</v>
      </c>
      <c r="O1494" s="1" t="str">
        <f>IF(I1494=0,"UNUSED",IF(A1494="","MISSING ID",IF(K1494=0,"UNEXPECTED ID",IF(N1494&lt;&gt;1,"ID / ORDER DIFFERENCE",IF('Source build'!U1494&lt;&gt;"INCLUDED","EXCLUDED SOURCE",IF(NOT(M1494),"INVALID AMOUNT",IF('Source build'!Y1494&lt;&gt;0,"CHANGED FIELDS","MATCH")))))))</f>
        <v>MATCH</v>
      </c>
      <c r="P1494" s="1" t="str">
        <f t="shared" si="119"/>
        <v>2026-03</v>
      </c>
    </row>
    <row r="1495" spans="1:16" ht="18.95" customHeight="1">
      <c r="A1495" s="7" t="s">
        <v>3916</v>
      </c>
      <c r="B1495" s="7" t="s">
        <v>3917</v>
      </c>
      <c r="C1495" s="7" t="s">
        <v>242</v>
      </c>
      <c r="D1495" s="7" t="s">
        <v>93</v>
      </c>
      <c r="E1495" s="7" t="s">
        <v>46</v>
      </c>
      <c r="F1495" s="7" t="s">
        <v>98</v>
      </c>
      <c r="G1495" s="7" t="s">
        <v>3918</v>
      </c>
      <c r="I1495" s="1">
        <f t="shared" si="115"/>
        <v>1</v>
      </c>
      <c r="J1495" s="1" t="str">
        <f>'Source build'!A1495</f>
        <v>L01489</v>
      </c>
      <c r="K1495" s="1">
        <f>1495</f>
        <v>1495</v>
      </c>
      <c r="L1495" s="10">
        <f t="shared" si="116"/>
        <v>15110</v>
      </c>
      <c r="M1495" s="1">
        <f t="shared" si="117"/>
        <v>1</v>
      </c>
      <c r="N1495" s="1">
        <f t="shared" si="118"/>
        <v>1</v>
      </c>
      <c r="O1495" s="1" t="str">
        <f>IF(I1495=0,"UNUSED",IF(A1495="","MISSING ID",IF(K1495=0,"UNEXPECTED ID",IF(N1495&lt;&gt;1,"ID / ORDER DIFFERENCE",IF('Source build'!U1495&lt;&gt;"INCLUDED","EXCLUDED SOURCE",IF(NOT(M1495),"INVALID AMOUNT",IF('Source build'!Y1495&lt;&gt;0,"CHANGED FIELDS","MATCH")))))))</f>
        <v>MATCH</v>
      </c>
      <c r="P1495" s="1" t="str">
        <f t="shared" si="119"/>
        <v>2026-03</v>
      </c>
    </row>
    <row r="1496" spans="1:16" ht="18.95" customHeight="1">
      <c r="A1496" s="7" t="s">
        <v>3919</v>
      </c>
      <c r="B1496" s="7" t="s">
        <v>3917</v>
      </c>
      <c r="C1496" s="7" t="s">
        <v>242</v>
      </c>
      <c r="D1496" s="7" t="s">
        <v>97</v>
      </c>
      <c r="E1496" s="7" t="s">
        <v>47</v>
      </c>
      <c r="F1496" s="7" t="s">
        <v>98</v>
      </c>
      <c r="G1496" s="7" t="s">
        <v>3920</v>
      </c>
      <c r="I1496" s="1">
        <f t="shared" si="115"/>
        <v>1</v>
      </c>
      <c r="J1496" s="1" t="str">
        <f>'Source build'!A1496</f>
        <v>L01490</v>
      </c>
      <c r="K1496" s="1">
        <f>1496</f>
        <v>1496</v>
      </c>
      <c r="L1496" s="10">
        <f t="shared" si="116"/>
        <v>30368</v>
      </c>
      <c r="M1496" s="1">
        <f t="shared" si="117"/>
        <v>1</v>
      </c>
      <c r="N1496" s="1">
        <f t="shared" si="118"/>
        <v>1</v>
      </c>
      <c r="O1496" s="1" t="str">
        <f>IF(I1496=0,"UNUSED",IF(A1496="","MISSING ID",IF(K1496=0,"UNEXPECTED ID",IF(N1496&lt;&gt;1,"ID / ORDER DIFFERENCE",IF('Source build'!U1496&lt;&gt;"INCLUDED","EXCLUDED SOURCE",IF(NOT(M1496),"INVALID AMOUNT",IF('Source build'!Y1496&lt;&gt;0,"CHANGED FIELDS","MATCH")))))))</f>
        <v>MATCH</v>
      </c>
      <c r="P1496" s="1" t="str">
        <f t="shared" si="119"/>
        <v>2026-03</v>
      </c>
    </row>
    <row r="1497" spans="1:16" ht="18.95" customHeight="1">
      <c r="A1497" s="7" t="s">
        <v>3921</v>
      </c>
      <c r="B1497" s="7" t="s">
        <v>3922</v>
      </c>
      <c r="C1497" s="7" t="s">
        <v>248</v>
      </c>
      <c r="D1497" s="7" t="s">
        <v>103</v>
      </c>
      <c r="E1497" s="7" t="s">
        <v>48</v>
      </c>
      <c r="F1497" s="7" t="s">
        <v>98</v>
      </c>
      <c r="G1497" s="7" t="s">
        <v>3923</v>
      </c>
      <c r="I1497" s="1">
        <f t="shared" si="115"/>
        <v>1</v>
      </c>
      <c r="J1497" s="1" t="str">
        <f>'Source build'!A1497</f>
        <v>L01491</v>
      </c>
      <c r="K1497" s="1">
        <f>1497</f>
        <v>1497</v>
      </c>
      <c r="L1497" s="10">
        <f t="shared" si="116"/>
        <v>7629</v>
      </c>
      <c r="M1497" s="1">
        <f t="shared" si="117"/>
        <v>1</v>
      </c>
      <c r="N1497" s="1">
        <f t="shared" si="118"/>
        <v>1</v>
      </c>
      <c r="O1497" s="1" t="str">
        <f>IF(I1497=0,"UNUSED",IF(A1497="","MISSING ID",IF(K1497=0,"UNEXPECTED ID",IF(N1497&lt;&gt;1,"ID / ORDER DIFFERENCE",IF('Source build'!U1497&lt;&gt;"INCLUDED","EXCLUDED SOURCE",IF(NOT(M1497),"INVALID AMOUNT",IF('Source build'!Y1497&lt;&gt;0,"CHANGED FIELDS","MATCH")))))))</f>
        <v>MATCH</v>
      </c>
      <c r="P1497" s="1" t="str">
        <f t="shared" si="119"/>
        <v>2026-03</v>
      </c>
    </row>
    <row r="1498" spans="1:16" ht="18.95" customHeight="1">
      <c r="A1498" s="7" t="s">
        <v>3924</v>
      </c>
      <c r="B1498" s="7" t="s">
        <v>3922</v>
      </c>
      <c r="C1498" s="7" t="s">
        <v>248</v>
      </c>
      <c r="D1498" s="7" t="s">
        <v>93</v>
      </c>
      <c r="E1498" s="7" t="s">
        <v>46</v>
      </c>
      <c r="F1498" s="7" t="s">
        <v>98</v>
      </c>
      <c r="G1498" s="7" t="s">
        <v>3925</v>
      </c>
      <c r="I1498" s="1">
        <f t="shared" si="115"/>
        <v>1</v>
      </c>
      <c r="J1498" s="1" t="str">
        <f>'Source build'!A1498</f>
        <v>L01492</v>
      </c>
      <c r="K1498" s="1">
        <f>1498</f>
        <v>1498</v>
      </c>
      <c r="L1498" s="10">
        <f t="shared" si="116"/>
        <v>22998</v>
      </c>
      <c r="M1498" s="1">
        <f t="shared" si="117"/>
        <v>1</v>
      </c>
      <c r="N1498" s="1">
        <f t="shared" si="118"/>
        <v>1</v>
      </c>
      <c r="O1498" s="1" t="str">
        <f>IF(I1498=0,"UNUSED",IF(A1498="","MISSING ID",IF(K1498=0,"UNEXPECTED ID",IF(N1498&lt;&gt;1,"ID / ORDER DIFFERENCE",IF('Source build'!U1498&lt;&gt;"INCLUDED","EXCLUDED SOURCE",IF(NOT(M1498),"INVALID AMOUNT",IF('Source build'!Y1498&lt;&gt;0,"CHANGED FIELDS","MATCH")))))))</f>
        <v>MATCH</v>
      </c>
      <c r="P1498" s="1" t="str">
        <f t="shared" si="119"/>
        <v>2026-03</v>
      </c>
    </row>
    <row r="1499" spans="1:16" ht="18.95" customHeight="1">
      <c r="A1499" s="7" t="s">
        <v>3926</v>
      </c>
      <c r="B1499" s="7" t="s">
        <v>3927</v>
      </c>
      <c r="C1499" s="7" t="s">
        <v>254</v>
      </c>
      <c r="D1499" s="7" t="s">
        <v>97</v>
      </c>
      <c r="E1499" s="7" t="s">
        <v>47</v>
      </c>
      <c r="F1499" s="7" t="s">
        <v>98</v>
      </c>
      <c r="G1499" s="7" t="s">
        <v>3928</v>
      </c>
      <c r="I1499" s="1">
        <f t="shared" si="115"/>
        <v>1</v>
      </c>
      <c r="J1499" s="1" t="str">
        <f>'Source build'!A1499</f>
        <v>L01493</v>
      </c>
      <c r="K1499" s="1">
        <f>1499</f>
        <v>1499</v>
      </c>
      <c r="L1499" s="10">
        <f t="shared" si="116"/>
        <v>38515</v>
      </c>
      <c r="M1499" s="1">
        <f t="shared" si="117"/>
        <v>1</v>
      </c>
      <c r="N1499" s="1">
        <f t="shared" si="118"/>
        <v>1</v>
      </c>
      <c r="O1499" s="1" t="str">
        <f>IF(I1499=0,"UNUSED",IF(A1499="","MISSING ID",IF(K1499=0,"UNEXPECTED ID",IF(N1499&lt;&gt;1,"ID / ORDER DIFFERENCE",IF('Source build'!U1499&lt;&gt;"INCLUDED","EXCLUDED SOURCE",IF(NOT(M1499),"INVALID AMOUNT",IF('Source build'!Y1499&lt;&gt;0,"CHANGED FIELDS","MATCH")))))))</f>
        <v>MATCH</v>
      </c>
      <c r="P1499" s="1" t="str">
        <f t="shared" si="119"/>
        <v>2026-01</v>
      </c>
    </row>
    <row r="1500" spans="1:16" ht="18.95" customHeight="1">
      <c r="A1500" s="7" t="s">
        <v>3929</v>
      </c>
      <c r="B1500" s="7" t="s">
        <v>3927</v>
      </c>
      <c r="C1500" s="7" t="s">
        <v>254</v>
      </c>
      <c r="D1500" s="7" t="s">
        <v>103</v>
      </c>
      <c r="E1500" s="7" t="s">
        <v>48</v>
      </c>
      <c r="F1500" s="7" t="s">
        <v>98</v>
      </c>
      <c r="G1500" s="7" t="s">
        <v>3930</v>
      </c>
      <c r="I1500" s="1">
        <f t="shared" si="115"/>
        <v>1</v>
      </c>
      <c r="J1500" s="1" t="str">
        <f>'Source build'!A1500</f>
        <v>L01494</v>
      </c>
      <c r="K1500" s="1">
        <f>1500</f>
        <v>1500</v>
      </c>
      <c r="L1500" s="10">
        <f t="shared" si="116"/>
        <v>15480</v>
      </c>
      <c r="M1500" s="1">
        <f t="shared" si="117"/>
        <v>1</v>
      </c>
      <c r="N1500" s="1">
        <f t="shared" si="118"/>
        <v>1</v>
      </c>
      <c r="O1500" s="1" t="str">
        <f>IF(I1500=0,"UNUSED",IF(A1500="","MISSING ID",IF(K1500=0,"UNEXPECTED ID",IF(N1500&lt;&gt;1,"ID / ORDER DIFFERENCE",IF('Source build'!U1500&lt;&gt;"INCLUDED","EXCLUDED SOURCE",IF(NOT(M1500),"INVALID AMOUNT",IF('Source build'!Y1500&lt;&gt;0,"CHANGED FIELDS","MATCH")))))))</f>
        <v>MATCH</v>
      </c>
      <c r="P1500" s="1" t="str">
        <f t="shared" si="119"/>
        <v>2026-01</v>
      </c>
    </row>
    <row r="1501" spans="1:16" ht="18.95" customHeight="1">
      <c r="A1501" s="7" t="s">
        <v>3931</v>
      </c>
      <c r="B1501" s="7" t="s">
        <v>3932</v>
      </c>
      <c r="C1501" s="7" t="s">
        <v>260</v>
      </c>
      <c r="D1501" s="7" t="s">
        <v>93</v>
      </c>
      <c r="E1501" s="7" t="s">
        <v>46</v>
      </c>
      <c r="F1501" s="7" t="s">
        <v>98</v>
      </c>
      <c r="G1501" s="7" t="s">
        <v>3933</v>
      </c>
      <c r="I1501" s="1">
        <f t="shared" si="115"/>
        <v>1</v>
      </c>
      <c r="J1501" s="1" t="str">
        <f>'Source build'!A1501</f>
        <v>L01495</v>
      </c>
      <c r="K1501" s="1">
        <f>1501</f>
        <v>1501</v>
      </c>
      <c r="L1501" s="10">
        <f t="shared" si="116"/>
        <v>31108</v>
      </c>
      <c r="M1501" s="1">
        <f t="shared" si="117"/>
        <v>1</v>
      </c>
      <c r="N1501" s="1">
        <f t="shared" si="118"/>
        <v>1</v>
      </c>
      <c r="O1501" s="1" t="str">
        <f>IF(I1501=0,"UNUSED",IF(A1501="","MISSING ID",IF(K1501=0,"UNEXPECTED ID",IF(N1501&lt;&gt;1,"ID / ORDER DIFFERENCE",IF('Source build'!U1501&lt;&gt;"INCLUDED","EXCLUDED SOURCE",IF(NOT(M1501),"INVALID AMOUNT",IF('Source build'!Y1501&lt;&gt;0,"CHANGED FIELDS","MATCH")))))))</f>
        <v>MATCH</v>
      </c>
      <c r="P1501" s="1" t="str">
        <f t="shared" si="119"/>
        <v>2026-01</v>
      </c>
    </row>
    <row r="1502" spans="1:16" ht="18.95" customHeight="1">
      <c r="A1502" s="7" t="s">
        <v>3934</v>
      </c>
      <c r="B1502" s="7" t="s">
        <v>3932</v>
      </c>
      <c r="C1502" s="7" t="s">
        <v>260</v>
      </c>
      <c r="D1502" s="7" t="s">
        <v>97</v>
      </c>
      <c r="E1502" s="7" t="s">
        <v>47</v>
      </c>
      <c r="F1502" s="7" t="s">
        <v>94</v>
      </c>
      <c r="G1502" s="7" t="s">
        <v>3935</v>
      </c>
      <c r="I1502" s="1">
        <f t="shared" si="115"/>
        <v>1</v>
      </c>
      <c r="J1502" s="1" t="str">
        <f>'Source build'!A1502</f>
        <v>L01496</v>
      </c>
      <c r="K1502" s="1">
        <f>1502</f>
        <v>1502</v>
      </c>
      <c r="L1502" s="10">
        <f t="shared" si="116"/>
        <v>-7814</v>
      </c>
      <c r="M1502" s="1">
        <f t="shared" si="117"/>
        <v>1</v>
      </c>
      <c r="N1502" s="1">
        <f t="shared" si="118"/>
        <v>1</v>
      </c>
      <c r="O1502" s="1" t="str">
        <f>IF(I1502=0,"UNUSED",IF(A1502="","MISSING ID",IF(K1502=0,"UNEXPECTED ID",IF(N1502&lt;&gt;1,"ID / ORDER DIFFERENCE",IF('Source build'!U1502&lt;&gt;"INCLUDED","EXCLUDED SOURCE",IF(NOT(M1502),"INVALID AMOUNT",IF('Source build'!Y1502&lt;&gt;0,"CHANGED FIELDS","MATCH")))))))</f>
        <v>MATCH</v>
      </c>
      <c r="P1502" s="1" t="str">
        <f t="shared" si="119"/>
        <v>2026-01</v>
      </c>
    </row>
    <row r="1503" spans="1:16" ht="18.95" customHeight="1">
      <c r="A1503" s="7" t="s">
        <v>3936</v>
      </c>
      <c r="B1503" s="7" t="s">
        <v>3937</v>
      </c>
      <c r="C1503" s="7" t="s">
        <v>266</v>
      </c>
      <c r="D1503" s="7" t="s">
        <v>103</v>
      </c>
      <c r="E1503" s="7" t="s">
        <v>48</v>
      </c>
      <c r="F1503" s="7" t="s">
        <v>98</v>
      </c>
      <c r="G1503" s="7" t="s">
        <v>3938</v>
      </c>
      <c r="I1503" s="1">
        <f t="shared" si="115"/>
        <v>1</v>
      </c>
      <c r="J1503" s="1" t="str">
        <f>'Source build'!A1503</f>
        <v>L01497</v>
      </c>
      <c r="K1503" s="1">
        <f>1503</f>
        <v>1503</v>
      </c>
      <c r="L1503" s="10">
        <f t="shared" si="116"/>
        <v>23553</v>
      </c>
      <c r="M1503" s="1">
        <f t="shared" si="117"/>
        <v>1</v>
      </c>
      <c r="N1503" s="1">
        <f t="shared" si="118"/>
        <v>1</v>
      </c>
      <c r="O1503" s="1" t="str">
        <f>IF(I1503=0,"UNUSED",IF(A1503="","MISSING ID",IF(K1503=0,"UNEXPECTED ID",IF(N1503&lt;&gt;1,"ID / ORDER DIFFERENCE",IF('Source build'!U1503&lt;&gt;"INCLUDED","EXCLUDED SOURCE",IF(NOT(M1503),"INVALID AMOUNT",IF('Source build'!Y1503&lt;&gt;0,"CHANGED FIELDS","MATCH")))))))</f>
        <v>MATCH</v>
      </c>
      <c r="P1503" s="1" t="str">
        <f t="shared" si="119"/>
        <v>2026-01</v>
      </c>
    </row>
    <row r="1504" spans="1:16" ht="18.95" customHeight="1">
      <c r="A1504" s="7" t="s">
        <v>3939</v>
      </c>
      <c r="B1504" s="7" t="s">
        <v>3937</v>
      </c>
      <c r="C1504" s="7" t="s">
        <v>266</v>
      </c>
      <c r="D1504" s="7" t="s">
        <v>93</v>
      </c>
      <c r="E1504" s="7" t="s">
        <v>46</v>
      </c>
      <c r="F1504" s="7" t="s">
        <v>98</v>
      </c>
      <c r="G1504" s="7" t="s">
        <v>3940</v>
      </c>
      <c r="I1504" s="1">
        <f t="shared" si="115"/>
        <v>1</v>
      </c>
      <c r="J1504" s="1" t="str">
        <f>'Source build'!A1504</f>
        <v>L01498</v>
      </c>
      <c r="K1504" s="1">
        <f>1504</f>
        <v>1504</v>
      </c>
      <c r="L1504" s="10">
        <f t="shared" si="116"/>
        <v>39440</v>
      </c>
      <c r="M1504" s="1">
        <f t="shared" si="117"/>
        <v>1</v>
      </c>
      <c r="N1504" s="1">
        <f t="shared" si="118"/>
        <v>1</v>
      </c>
      <c r="O1504" s="1" t="str">
        <f>IF(I1504=0,"UNUSED",IF(A1504="","MISSING ID",IF(K1504=0,"UNEXPECTED ID",IF(N1504&lt;&gt;1,"ID / ORDER DIFFERENCE",IF('Source build'!U1504&lt;&gt;"INCLUDED","EXCLUDED SOURCE",IF(NOT(M1504),"INVALID AMOUNT",IF('Source build'!Y1504&lt;&gt;0,"CHANGED FIELDS","MATCH")))))))</f>
        <v>MATCH</v>
      </c>
      <c r="P1504" s="1" t="str">
        <f t="shared" si="119"/>
        <v>2026-01</v>
      </c>
    </row>
    <row r="1505" spans="1:16" ht="18.95" customHeight="1">
      <c r="A1505" s="7" t="s">
        <v>3941</v>
      </c>
      <c r="B1505" s="7" t="s">
        <v>3942</v>
      </c>
      <c r="C1505" s="7" t="s">
        <v>272</v>
      </c>
      <c r="D1505" s="7" t="s">
        <v>97</v>
      </c>
      <c r="E1505" s="7" t="s">
        <v>47</v>
      </c>
      <c r="F1505" s="7" t="s">
        <v>98</v>
      </c>
      <c r="G1505" s="7" t="s">
        <v>3943</v>
      </c>
      <c r="I1505" s="1">
        <f t="shared" si="115"/>
        <v>1</v>
      </c>
      <c r="J1505" s="1" t="str">
        <f>'Source build'!A1505</f>
        <v>L01499</v>
      </c>
      <c r="K1505" s="1">
        <f>1505</f>
        <v>1505</v>
      </c>
      <c r="L1505" s="10">
        <f t="shared" si="116"/>
        <v>15850</v>
      </c>
      <c r="M1505" s="1">
        <f t="shared" si="117"/>
        <v>1</v>
      </c>
      <c r="N1505" s="1">
        <f t="shared" si="118"/>
        <v>1</v>
      </c>
      <c r="O1505" s="1" t="str">
        <f>IF(I1505=0,"UNUSED",IF(A1505="","MISSING ID",IF(K1505=0,"UNEXPECTED ID",IF(N1505&lt;&gt;1,"ID / ORDER DIFFERENCE",IF('Source build'!U1505&lt;&gt;"INCLUDED","EXCLUDED SOURCE",IF(NOT(M1505),"INVALID AMOUNT",IF('Source build'!Y1505&lt;&gt;0,"CHANGED FIELDS","MATCH")))))))</f>
        <v>MATCH</v>
      </c>
      <c r="P1505" s="1" t="str">
        <f t="shared" si="119"/>
        <v>2026-01</v>
      </c>
    </row>
    <row r="1506" spans="1:16" ht="18.95" customHeight="1">
      <c r="A1506" s="7" t="s">
        <v>3944</v>
      </c>
      <c r="B1506" s="7" t="s">
        <v>3942</v>
      </c>
      <c r="C1506" s="7" t="s">
        <v>272</v>
      </c>
      <c r="D1506" s="7" t="s">
        <v>103</v>
      </c>
      <c r="E1506" s="7" t="s">
        <v>48</v>
      </c>
      <c r="F1506" s="7" t="s">
        <v>98</v>
      </c>
      <c r="G1506" s="7" t="s">
        <v>3945</v>
      </c>
      <c r="I1506" s="1">
        <f t="shared" si="115"/>
        <v>1</v>
      </c>
      <c r="J1506" s="1" t="str">
        <f>'Source build'!A1506</f>
        <v>L01500</v>
      </c>
      <c r="K1506" s="1">
        <f>1506</f>
        <v>1506</v>
      </c>
      <c r="L1506" s="10">
        <f t="shared" si="116"/>
        <v>31848</v>
      </c>
      <c r="M1506" s="1">
        <f t="shared" si="117"/>
        <v>1</v>
      </c>
      <c r="N1506" s="1">
        <f t="shared" si="118"/>
        <v>1</v>
      </c>
      <c r="O1506" s="1" t="str">
        <f>IF(I1506=0,"UNUSED",IF(A1506="","MISSING ID",IF(K1506=0,"UNEXPECTED ID",IF(N1506&lt;&gt;1,"ID / ORDER DIFFERENCE",IF('Source build'!U1506&lt;&gt;"INCLUDED","EXCLUDED SOURCE",IF(NOT(M1506),"INVALID AMOUNT",IF('Source build'!Y1506&lt;&gt;0,"CHANGED FIELDS","MATCH")))))))</f>
        <v>MATCH</v>
      </c>
      <c r="P1506" s="1" t="str">
        <f t="shared" si="119"/>
        <v>2026-01</v>
      </c>
    </row>
    <row r="1507" spans="1:16" ht="18.95" customHeight="1">
      <c r="A1507" s="7" t="s">
        <v>3946</v>
      </c>
      <c r="B1507" s="7" t="s">
        <v>3947</v>
      </c>
      <c r="C1507" s="7" t="s">
        <v>278</v>
      </c>
      <c r="D1507" s="7" t="s">
        <v>93</v>
      </c>
      <c r="E1507" s="7" t="s">
        <v>46</v>
      </c>
      <c r="F1507" s="7" t="s">
        <v>98</v>
      </c>
      <c r="G1507" s="7" t="s">
        <v>3948</v>
      </c>
      <c r="I1507" s="1">
        <f t="shared" si="115"/>
        <v>1</v>
      </c>
      <c r="J1507" s="1" t="str">
        <f>'Source build'!A1507</f>
        <v>L01501</v>
      </c>
      <c r="K1507" s="1">
        <f>1507</f>
        <v>1507</v>
      </c>
      <c r="L1507" s="10">
        <f t="shared" si="116"/>
        <v>7999</v>
      </c>
      <c r="M1507" s="1">
        <f t="shared" si="117"/>
        <v>1</v>
      </c>
      <c r="N1507" s="1">
        <f t="shared" si="118"/>
        <v>1</v>
      </c>
      <c r="O1507" s="1" t="str">
        <f>IF(I1507=0,"UNUSED",IF(A1507="","MISSING ID",IF(K1507=0,"UNEXPECTED ID",IF(N1507&lt;&gt;1,"ID / ORDER DIFFERENCE",IF('Source build'!U1507&lt;&gt;"INCLUDED","EXCLUDED SOURCE",IF(NOT(M1507),"INVALID AMOUNT",IF('Source build'!Y1507&lt;&gt;0,"CHANGED FIELDS","MATCH")))))))</f>
        <v>MATCH</v>
      </c>
      <c r="P1507" s="1" t="str">
        <f t="shared" si="119"/>
        <v>2026-01</v>
      </c>
    </row>
    <row r="1508" spans="1:16" ht="18.95" customHeight="1">
      <c r="A1508" s="7" t="s">
        <v>3949</v>
      </c>
      <c r="B1508" s="7" t="s">
        <v>3947</v>
      </c>
      <c r="C1508" s="7" t="s">
        <v>278</v>
      </c>
      <c r="D1508" s="7" t="s">
        <v>97</v>
      </c>
      <c r="E1508" s="7" t="s">
        <v>47</v>
      </c>
      <c r="F1508" s="7" t="s">
        <v>98</v>
      </c>
      <c r="G1508" s="7" t="s">
        <v>3950</v>
      </c>
      <c r="I1508" s="1">
        <f t="shared" si="115"/>
        <v>1</v>
      </c>
      <c r="J1508" s="1" t="str">
        <f>'Source build'!A1508</f>
        <v>L01502</v>
      </c>
      <c r="K1508" s="1">
        <f>1508</f>
        <v>1508</v>
      </c>
      <c r="L1508" s="10">
        <f t="shared" si="116"/>
        <v>24108</v>
      </c>
      <c r="M1508" s="1">
        <f t="shared" si="117"/>
        <v>1</v>
      </c>
      <c r="N1508" s="1">
        <f t="shared" si="118"/>
        <v>1</v>
      </c>
      <c r="O1508" s="1" t="str">
        <f>IF(I1508=0,"UNUSED",IF(A1508="","MISSING ID",IF(K1508=0,"UNEXPECTED ID",IF(N1508&lt;&gt;1,"ID / ORDER DIFFERENCE",IF('Source build'!U1508&lt;&gt;"INCLUDED","EXCLUDED SOURCE",IF(NOT(M1508),"INVALID AMOUNT",IF('Source build'!Y1508&lt;&gt;0,"CHANGED FIELDS","MATCH")))))))</f>
        <v>MATCH</v>
      </c>
      <c r="P1508" s="1" t="str">
        <f t="shared" si="119"/>
        <v>2026-01</v>
      </c>
    </row>
    <row r="1509" spans="1:16" ht="18.95" customHeight="1">
      <c r="A1509" s="7" t="s">
        <v>3951</v>
      </c>
      <c r="B1509" s="7" t="s">
        <v>3952</v>
      </c>
      <c r="C1509" s="7" t="s">
        <v>284</v>
      </c>
      <c r="D1509" s="7" t="s">
        <v>103</v>
      </c>
      <c r="E1509" s="7" t="s">
        <v>48</v>
      </c>
      <c r="F1509" s="7" t="s">
        <v>98</v>
      </c>
      <c r="G1509" s="7" t="s">
        <v>3953</v>
      </c>
      <c r="I1509" s="1">
        <f t="shared" si="115"/>
        <v>1</v>
      </c>
      <c r="J1509" s="1" t="str">
        <f>'Source build'!A1509</f>
        <v>L01503</v>
      </c>
      <c r="K1509" s="1">
        <f>1509</f>
        <v>1509</v>
      </c>
      <c r="L1509" s="10">
        <f t="shared" si="116"/>
        <v>40365</v>
      </c>
      <c r="M1509" s="1">
        <f t="shared" si="117"/>
        <v>1</v>
      </c>
      <c r="N1509" s="1">
        <f t="shared" si="118"/>
        <v>1</v>
      </c>
      <c r="O1509" s="1" t="str">
        <f>IF(I1509=0,"UNUSED",IF(A1509="","MISSING ID",IF(K1509=0,"UNEXPECTED ID",IF(N1509&lt;&gt;1,"ID / ORDER DIFFERENCE",IF('Source build'!U1509&lt;&gt;"INCLUDED","EXCLUDED SOURCE",IF(NOT(M1509),"INVALID AMOUNT",IF('Source build'!Y1509&lt;&gt;0,"CHANGED FIELDS","MATCH")))))))</f>
        <v>MATCH</v>
      </c>
      <c r="P1509" s="1" t="str">
        <f t="shared" si="119"/>
        <v>2026-02</v>
      </c>
    </row>
    <row r="1510" spans="1:16" ht="18.95" customHeight="1">
      <c r="A1510" s="7" t="s">
        <v>3954</v>
      </c>
      <c r="B1510" s="7" t="s">
        <v>3952</v>
      </c>
      <c r="C1510" s="7" t="s">
        <v>284</v>
      </c>
      <c r="D1510" s="7" t="s">
        <v>93</v>
      </c>
      <c r="E1510" s="7" t="s">
        <v>46</v>
      </c>
      <c r="F1510" s="7" t="s">
        <v>98</v>
      </c>
      <c r="G1510" s="7" t="s">
        <v>3955</v>
      </c>
      <c r="I1510" s="1">
        <f t="shared" si="115"/>
        <v>1</v>
      </c>
      <c r="J1510" s="1" t="str">
        <f>'Source build'!A1510</f>
        <v>L01504</v>
      </c>
      <c r="K1510" s="1">
        <f>1510</f>
        <v>1510</v>
      </c>
      <c r="L1510" s="10">
        <f t="shared" si="116"/>
        <v>16220</v>
      </c>
      <c r="M1510" s="1">
        <f t="shared" si="117"/>
        <v>1</v>
      </c>
      <c r="N1510" s="1">
        <f t="shared" si="118"/>
        <v>1</v>
      </c>
      <c r="O1510" s="1" t="str">
        <f>IF(I1510=0,"UNUSED",IF(A1510="","MISSING ID",IF(K1510=0,"UNEXPECTED ID",IF(N1510&lt;&gt;1,"ID / ORDER DIFFERENCE",IF('Source build'!U1510&lt;&gt;"INCLUDED","EXCLUDED SOURCE",IF(NOT(M1510),"INVALID AMOUNT",IF('Source build'!Y1510&lt;&gt;0,"CHANGED FIELDS","MATCH")))))))</f>
        <v>MATCH</v>
      </c>
      <c r="P1510" s="1" t="str">
        <f t="shared" si="119"/>
        <v>2026-02</v>
      </c>
    </row>
    <row r="1511" spans="1:16" ht="18.95" customHeight="1">
      <c r="A1511" s="7" t="s">
        <v>3956</v>
      </c>
      <c r="B1511" s="7" t="s">
        <v>3957</v>
      </c>
      <c r="C1511" s="7" t="s">
        <v>290</v>
      </c>
      <c r="D1511" s="7" t="s">
        <v>97</v>
      </c>
      <c r="E1511" s="7" t="s">
        <v>47</v>
      </c>
      <c r="F1511" s="7" t="s">
        <v>98</v>
      </c>
      <c r="G1511" s="7" t="s">
        <v>3958</v>
      </c>
      <c r="I1511" s="1">
        <f t="shared" si="115"/>
        <v>1</v>
      </c>
      <c r="J1511" s="1" t="str">
        <f>'Source build'!A1511</f>
        <v>L01505</v>
      </c>
      <c r="K1511" s="1">
        <f>1511</f>
        <v>1511</v>
      </c>
      <c r="L1511" s="10">
        <f t="shared" si="116"/>
        <v>32588</v>
      </c>
      <c r="M1511" s="1">
        <f t="shared" si="117"/>
        <v>1</v>
      </c>
      <c r="N1511" s="1">
        <f t="shared" si="118"/>
        <v>1</v>
      </c>
      <c r="O1511" s="1" t="str">
        <f>IF(I1511=0,"UNUSED",IF(A1511="","MISSING ID",IF(K1511=0,"UNEXPECTED ID",IF(N1511&lt;&gt;1,"ID / ORDER DIFFERENCE",IF('Source build'!U1511&lt;&gt;"INCLUDED","EXCLUDED SOURCE",IF(NOT(M1511),"INVALID AMOUNT",IF('Source build'!Y1511&lt;&gt;0,"CHANGED FIELDS","MATCH")))))))</f>
        <v>MATCH</v>
      </c>
      <c r="P1511" s="1" t="str">
        <f t="shared" si="119"/>
        <v>2026-02</v>
      </c>
    </row>
    <row r="1512" spans="1:16" ht="18.95" customHeight="1">
      <c r="A1512" s="7" t="s">
        <v>3959</v>
      </c>
      <c r="B1512" s="7" t="s">
        <v>3957</v>
      </c>
      <c r="C1512" s="7" t="s">
        <v>290</v>
      </c>
      <c r="D1512" s="7" t="s">
        <v>103</v>
      </c>
      <c r="E1512" s="7" t="s">
        <v>48</v>
      </c>
      <c r="F1512" s="7" t="s">
        <v>98</v>
      </c>
      <c r="G1512" s="7" t="s">
        <v>3960</v>
      </c>
      <c r="I1512" s="1">
        <f t="shared" si="115"/>
        <v>1</v>
      </c>
      <c r="J1512" s="1" t="str">
        <f>'Source build'!A1512</f>
        <v>L01506</v>
      </c>
      <c r="K1512" s="1">
        <f>1512</f>
        <v>1512</v>
      </c>
      <c r="L1512" s="10">
        <f t="shared" si="116"/>
        <v>8184</v>
      </c>
      <c r="M1512" s="1">
        <f t="shared" si="117"/>
        <v>1</v>
      </c>
      <c r="N1512" s="1">
        <f t="shared" si="118"/>
        <v>1</v>
      </c>
      <c r="O1512" s="1" t="str">
        <f>IF(I1512=0,"UNUSED",IF(A1512="","MISSING ID",IF(K1512=0,"UNEXPECTED ID",IF(N1512&lt;&gt;1,"ID / ORDER DIFFERENCE",IF('Source build'!U1512&lt;&gt;"INCLUDED","EXCLUDED SOURCE",IF(NOT(M1512),"INVALID AMOUNT",IF('Source build'!Y1512&lt;&gt;0,"CHANGED FIELDS","MATCH")))))))</f>
        <v>MATCH</v>
      </c>
      <c r="P1512" s="1" t="str">
        <f t="shared" si="119"/>
        <v>2026-02</v>
      </c>
    </row>
    <row r="1513" spans="1:16" ht="18.95" customHeight="1">
      <c r="A1513" s="7" t="s">
        <v>3961</v>
      </c>
      <c r="B1513" s="7" t="s">
        <v>3962</v>
      </c>
      <c r="C1513" s="7" t="s">
        <v>296</v>
      </c>
      <c r="D1513" s="7" t="s">
        <v>93</v>
      </c>
      <c r="E1513" s="7" t="s">
        <v>46</v>
      </c>
      <c r="F1513" s="7" t="s">
        <v>98</v>
      </c>
      <c r="G1513" s="7" t="s">
        <v>3963</v>
      </c>
      <c r="I1513" s="1">
        <f t="shared" si="115"/>
        <v>1</v>
      </c>
      <c r="J1513" s="1" t="str">
        <f>'Source build'!A1513</f>
        <v>L01507</v>
      </c>
      <c r="K1513" s="1">
        <f>1513</f>
        <v>1513</v>
      </c>
      <c r="L1513" s="10">
        <f t="shared" si="116"/>
        <v>24663</v>
      </c>
      <c r="M1513" s="1">
        <f t="shared" si="117"/>
        <v>1</v>
      </c>
      <c r="N1513" s="1">
        <f t="shared" si="118"/>
        <v>1</v>
      </c>
      <c r="O1513" s="1" t="str">
        <f>IF(I1513=0,"UNUSED",IF(A1513="","MISSING ID",IF(K1513=0,"UNEXPECTED ID",IF(N1513&lt;&gt;1,"ID / ORDER DIFFERENCE",IF('Source build'!U1513&lt;&gt;"INCLUDED","EXCLUDED SOURCE",IF(NOT(M1513),"INVALID AMOUNT",IF('Source build'!Y1513&lt;&gt;0,"CHANGED FIELDS","MATCH")))))))</f>
        <v>MATCH</v>
      </c>
      <c r="P1513" s="1" t="str">
        <f t="shared" si="119"/>
        <v>2026-02</v>
      </c>
    </row>
    <row r="1514" spans="1:16" ht="18.95" customHeight="1">
      <c r="A1514" s="7" t="s">
        <v>3964</v>
      </c>
      <c r="B1514" s="7" t="s">
        <v>3962</v>
      </c>
      <c r="C1514" s="7" t="s">
        <v>296</v>
      </c>
      <c r="D1514" s="7" t="s">
        <v>97</v>
      </c>
      <c r="E1514" s="7" t="s">
        <v>47</v>
      </c>
      <c r="F1514" s="7" t="s">
        <v>98</v>
      </c>
      <c r="G1514" s="7" t="s">
        <v>3965</v>
      </c>
      <c r="I1514" s="1">
        <f t="shared" si="115"/>
        <v>1</v>
      </c>
      <c r="J1514" s="1" t="str">
        <f>'Source build'!A1514</f>
        <v>L01508</v>
      </c>
      <c r="K1514" s="1">
        <f>1514</f>
        <v>1514</v>
      </c>
      <c r="L1514" s="10">
        <f t="shared" si="116"/>
        <v>41290</v>
      </c>
      <c r="M1514" s="1">
        <f t="shared" si="117"/>
        <v>1</v>
      </c>
      <c r="N1514" s="1">
        <f t="shared" si="118"/>
        <v>1</v>
      </c>
      <c r="O1514" s="1" t="str">
        <f>IF(I1514=0,"UNUSED",IF(A1514="","MISSING ID",IF(K1514=0,"UNEXPECTED ID",IF(N1514&lt;&gt;1,"ID / ORDER DIFFERENCE",IF('Source build'!U1514&lt;&gt;"INCLUDED","EXCLUDED SOURCE",IF(NOT(M1514),"INVALID AMOUNT",IF('Source build'!Y1514&lt;&gt;0,"CHANGED FIELDS","MATCH")))))))</f>
        <v>MATCH</v>
      </c>
      <c r="P1514" s="1" t="str">
        <f t="shared" si="119"/>
        <v>2026-02</v>
      </c>
    </row>
    <row r="1515" spans="1:16" ht="18.95" customHeight="1">
      <c r="A1515" s="7" t="s">
        <v>3966</v>
      </c>
      <c r="B1515" s="7" t="s">
        <v>3967</v>
      </c>
      <c r="C1515" s="7" t="s">
        <v>302</v>
      </c>
      <c r="D1515" s="7" t="s">
        <v>103</v>
      </c>
      <c r="E1515" s="7" t="s">
        <v>48</v>
      </c>
      <c r="F1515" s="7" t="s">
        <v>98</v>
      </c>
      <c r="G1515" s="7" t="s">
        <v>3968</v>
      </c>
      <c r="I1515" s="1">
        <f t="shared" si="115"/>
        <v>1</v>
      </c>
      <c r="J1515" s="1" t="str">
        <f>'Source build'!A1515</f>
        <v>L01509</v>
      </c>
      <c r="K1515" s="1">
        <f>1515</f>
        <v>1515</v>
      </c>
      <c r="L1515" s="10">
        <f t="shared" si="116"/>
        <v>16590</v>
      </c>
      <c r="M1515" s="1">
        <f t="shared" si="117"/>
        <v>1</v>
      </c>
      <c r="N1515" s="1">
        <f t="shared" si="118"/>
        <v>1</v>
      </c>
      <c r="O1515" s="1" t="str">
        <f>IF(I1515=0,"UNUSED",IF(A1515="","MISSING ID",IF(K1515=0,"UNEXPECTED ID",IF(N1515&lt;&gt;1,"ID / ORDER DIFFERENCE",IF('Source build'!U1515&lt;&gt;"INCLUDED","EXCLUDED SOURCE",IF(NOT(M1515),"INVALID AMOUNT",IF('Source build'!Y1515&lt;&gt;0,"CHANGED FIELDS","MATCH")))))))</f>
        <v>MATCH</v>
      </c>
      <c r="P1515" s="1" t="str">
        <f t="shared" si="119"/>
        <v>2026-02</v>
      </c>
    </row>
    <row r="1516" spans="1:16" ht="18.95" customHeight="1">
      <c r="A1516" s="7" t="s">
        <v>3969</v>
      </c>
      <c r="B1516" s="7" t="s">
        <v>3967</v>
      </c>
      <c r="C1516" s="7" t="s">
        <v>302</v>
      </c>
      <c r="D1516" s="7" t="s">
        <v>93</v>
      </c>
      <c r="E1516" s="7" t="s">
        <v>46</v>
      </c>
      <c r="F1516" s="7" t="s">
        <v>98</v>
      </c>
      <c r="G1516" s="7" t="s">
        <v>3970</v>
      </c>
      <c r="I1516" s="1">
        <f t="shared" si="115"/>
        <v>1</v>
      </c>
      <c r="J1516" s="1" t="str">
        <f>'Source build'!A1516</f>
        <v>L01510</v>
      </c>
      <c r="K1516" s="1">
        <f>1516</f>
        <v>1516</v>
      </c>
      <c r="L1516" s="10">
        <f t="shared" si="116"/>
        <v>33328</v>
      </c>
      <c r="M1516" s="1">
        <f t="shared" si="117"/>
        <v>1</v>
      </c>
      <c r="N1516" s="1">
        <f t="shared" si="118"/>
        <v>1</v>
      </c>
      <c r="O1516" s="1" t="str">
        <f>IF(I1516=0,"UNUSED",IF(A1516="","MISSING ID",IF(K1516=0,"UNEXPECTED ID",IF(N1516&lt;&gt;1,"ID / ORDER DIFFERENCE",IF('Source build'!U1516&lt;&gt;"INCLUDED","EXCLUDED SOURCE",IF(NOT(M1516),"INVALID AMOUNT",IF('Source build'!Y1516&lt;&gt;0,"CHANGED FIELDS","MATCH")))))))</f>
        <v>MATCH</v>
      </c>
      <c r="P1516" s="1" t="str">
        <f t="shared" si="119"/>
        <v>2026-02</v>
      </c>
    </row>
    <row r="1517" spans="1:16" ht="18.95" customHeight="1">
      <c r="A1517" s="7" t="s">
        <v>3971</v>
      </c>
      <c r="B1517" s="7" t="s">
        <v>3972</v>
      </c>
      <c r="C1517" s="7" t="s">
        <v>308</v>
      </c>
      <c r="D1517" s="7" t="s">
        <v>97</v>
      </c>
      <c r="E1517" s="7" t="s">
        <v>47</v>
      </c>
      <c r="F1517" s="7" t="s">
        <v>98</v>
      </c>
      <c r="G1517" s="7" t="s">
        <v>3973</v>
      </c>
      <c r="I1517" s="1">
        <f t="shared" si="115"/>
        <v>1</v>
      </c>
      <c r="J1517" s="1" t="str">
        <f>'Source build'!A1517</f>
        <v>L01511</v>
      </c>
      <c r="K1517" s="1">
        <f>1517</f>
        <v>1517</v>
      </c>
      <c r="L1517" s="10">
        <f t="shared" si="116"/>
        <v>8369</v>
      </c>
      <c r="M1517" s="1">
        <f t="shared" si="117"/>
        <v>1</v>
      </c>
      <c r="N1517" s="1">
        <f t="shared" si="118"/>
        <v>1</v>
      </c>
      <c r="O1517" s="1" t="str">
        <f>IF(I1517=0,"UNUSED",IF(A1517="","MISSING ID",IF(K1517=0,"UNEXPECTED ID",IF(N1517&lt;&gt;1,"ID / ORDER DIFFERENCE",IF('Source build'!U1517&lt;&gt;"INCLUDED","EXCLUDED SOURCE",IF(NOT(M1517),"INVALID AMOUNT",IF('Source build'!Y1517&lt;&gt;0,"CHANGED FIELDS","MATCH")))))))</f>
        <v>MATCH</v>
      </c>
      <c r="P1517" s="1" t="str">
        <f t="shared" si="119"/>
        <v>2026-03</v>
      </c>
    </row>
    <row r="1518" spans="1:16" ht="18.95" customHeight="1">
      <c r="A1518" s="7" t="s">
        <v>3974</v>
      </c>
      <c r="B1518" s="7" t="s">
        <v>3972</v>
      </c>
      <c r="C1518" s="7" t="s">
        <v>308</v>
      </c>
      <c r="D1518" s="7" t="s">
        <v>103</v>
      </c>
      <c r="E1518" s="7" t="s">
        <v>48</v>
      </c>
      <c r="F1518" s="7" t="s">
        <v>98</v>
      </c>
      <c r="G1518" s="7" t="s">
        <v>3975</v>
      </c>
      <c r="I1518" s="1">
        <f t="shared" si="115"/>
        <v>1</v>
      </c>
      <c r="J1518" s="1" t="str">
        <f>'Source build'!A1518</f>
        <v>L01512</v>
      </c>
      <c r="K1518" s="1">
        <f>1518</f>
        <v>1518</v>
      </c>
      <c r="L1518" s="10">
        <f t="shared" si="116"/>
        <v>25218</v>
      </c>
      <c r="M1518" s="1">
        <f t="shared" si="117"/>
        <v>1</v>
      </c>
      <c r="N1518" s="1">
        <f t="shared" si="118"/>
        <v>1</v>
      </c>
      <c r="O1518" s="1" t="str">
        <f>IF(I1518=0,"UNUSED",IF(A1518="","MISSING ID",IF(K1518=0,"UNEXPECTED ID",IF(N1518&lt;&gt;1,"ID / ORDER DIFFERENCE",IF('Source build'!U1518&lt;&gt;"INCLUDED","EXCLUDED SOURCE",IF(NOT(M1518),"INVALID AMOUNT",IF('Source build'!Y1518&lt;&gt;0,"CHANGED FIELDS","MATCH")))))))</f>
        <v>MATCH</v>
      </c>
      <c r="P1518" s="1" t="str">
        <f t="shared" si="119"/>
        <v>2026-03</v>
      </c>
    </row>
    <row r="1519" spans="1:16" ht="18.95" customHeight="1">
      <c r="A1519" s="7" t="s">
        <v>3976</v>
      </c>
      <c r="B1519" s="7" t="s">
        <v>3977</v>
      </c>
      <c r="C1519" s="7" t="s">
        <v>314</v>
      </c>
      <c r="D1519" s="7" t="s">
        <v>93</v>
      </c>
      <c r="E1519" s="7" t="s">
        <v>46</v>
      </c>
      <c r="F1519" s="7" t="s">
        <v>98</v>
      </c>
      <c r="G1519" s="7" t="s">
        <v>3978</v>
      </c>
      <c r="I1519" s="1">
        <f t="shared" si="115"/>
        <v>1</v>
      </c>
      <c r="J1519" s="1" t="str">
        <f>'Source build'!A1519</f>
        <v>L01513</v>
      </c>
      <c r="K1519" s="1">
        <f>1519</f>
        <v>1519</v>
      </c>
      <c r="L1519" s="10">
        <f t="shared" si="116"/>
        <v>42215</v>
      </c>
      <c r="M1519" s="1">
        <f t="shared" si="117"/>
        <v>1</v>
      </c>
      <c r="N1519" s="1">
        <f t="shared" si="118"/>
        <v>1</v>
      </c>
      <c r="O1519" s="1" t="str">
        <f>IF(I1519=0,"UNUSED",IF(A1519="","MISSING ID",IF(K1519=0,"UNEXPECTED ID",IF(N1519&lt;&gt;1,"ID / ORDER DIFFERENCE",IF('Source build'!U1519&lt;&gt;"INCLUDED","EXCLUDED SOURCE",IF(NOT(M1519),"INVALID AMOUNT",IF('Source build'!Y1519&lt;&gt;0,"CHANGED FIELDS","MATCH")))))))</f>
        <v>MATCH</v>
      </c>
      <c r="P1519" s="1" t="str">
        <f t="shared" si="119"/>
        <v>2026-03</v>
      </c>
    </row>
    <row r="1520" spans="1:16" ht="18.95" customHeight="1">
      <c r="A1520" s="7" t="s">
        <v>3979</v>
      </c>
      <c r="B1520" s="7" t="s">
        <v>3977</v>
      </c>
      <c r="C1520" s="7" t="s">
        <v>314</v>
      </c>
      <c r="D1520" s="7" t="s">
        <v>97</v>
      </c>
      <c r="E1520" s="7" t="s">
        <v>47</v>
      </c>
      <c r="F1520" s="7" t="s">
        <v>98</v>
      </c>
      <c r="G1520" s="7" t="s">
        <v>3980</v>
      </c>
      <c r="I1520" s="1">
        <f t="shared" si="115"/>
        <v>1</v>
      </c>
      <c r="J1520" s="1" t="str">
        <f>'Source build'!A1520</f>
        <v>L01514</v>
      </c>
      <c r="K1520" s="1">
        <f>1520</f>
        <v>1520</v>
      </c>
      <c r="L1520" s="10">
        <f t="shared" si="116"/>
        <v>16960</v>
      </c>
      <c r="M1520" s="1">
        <f t="shared" si="117"/>
        <v>1</v>
      </c>
      <c r="N1520" s="1">
        <f t="shared" si="118"/>
        <v>1</v>
      </c>
      <c r="O1520" s="1" t="str">
        <f>IF(I1520=0,"UNUSED",IF(A1520="","MISSING ID",IF(K1520=0,"UNEXPECTED ID",IF(N1520&lt;&gt;1,"ID / ORDER DIFFERENCE",IF('Source build'!U1520&lt;&gt;"INCLUDED","EXCLUDED SOURCE",IF(NOT(M1520),"INVALID AMOUNT",IF('Source build'!Y1520&lt;&gt;0,"CHANGED FIELDS","MATCH")))))))</f>
        <v>MATCH</v>
      </c>
      <c r="P1520" s="1" t="str">
        <f t="shared" si="119"/>
        <v>2026-03</v>
      </c>
    </row>
    <row r="1521" spans="1:16" ht="18.95" customHeight="1">
      <c r="A1521" s="7" t="s">
        <v>3981</v>
      </c>
      <c r="B1521" s="7" t="s">
        <v>3982</v>
      </c>
      <c r="C1521" s="7" t="s">
        <v>320</v>
      </c>
      <c r="D1521" s="7" t="s">
        <v>103</v>
      </c>
      <c r="E1521" s="7" t="s">
        <v>48</v>
      </c>
      <c r="F1521" s="7" t="s">
        <v>98</v>
      </c>
      <c r="G1521" s="7" t="s">
        <v>3983</v>
      </c>
      <c r="I1521" s="1">
        <f t="shared" si="115"/>
        <v>1</v>
      </c>
      <c r="J1521" s="1" t="str">
        <f>'Source build'!A1521</f>
        <v>L01515</v>
      </c>
      <c r="K1521" s="1">
        <f>1521</f>
        <v>1521</v>
      </c>
      <c r="L1521" s="10">
        <f t="shared" si="116"/>
        <v>34068</v>
      </c>
      <c r="M1521" s="1">
        <f t="shared" si="117"/>
        <v>1</v>
      </c>
      <c r="N1521" s="1">
        <f t="shared" si="118"/>
        <v>1</v>
      </c>
      <c r="O1521" s="1" t="str">
        <f>IF(I1521=0,"UNUSED",IF(A1521="","MISSING ID",IF(K1521=0,"UNEXPECTED ID",IF(N1521&lt;&gt;1,"ID / ORDER DIFFERENCE",IF('Source build'!U1521&lt;&gt;"INCLUDED","EXCLUDED SOURCE",IF(NOT(M1521),"INVALID AMOUNT",IF('Source build'!Y1521&lt;&gt;0,"CHANGED FIELDS","MATCH")))))))</f>
        <v>MATCH</v>
      </c>
      <c r="P1521" s="1" t="str">
        <f t="shared" si="119"/>
        <v>2026-03</v>
      </c>
    </row>
    <row r="1522" spans="1:16" ht="18.95" customHeight="1">
      <c r="A1522" s="7" t="s">
        <v>3984</v>
      </c>
      <c r="B1522" s="7" t="s">
        <v>3982</v>
      </c>
      <c r="C1522" s="7" t="s">
        <v>320</v>
      </c>
      <c r="D1522" s="7" t="s">
        <v>93</v>
      </c>
      <c r="E1522" s="7" t="s">
        <v>46</v>
      </c>
      <c r="F1522" s="7" t="s">
        <v>98</v>
      </c>
      <c r="G1522" s="7" t="s">
        <v>3985</v>
      </c>
      <c r="I1522" s="1">
        <f t="shared" si="115"/>
        <v>1</v>
      </c>
      <c r="J1522" s="1" t="str">
        <f>'Source build'!A1522</f>
        <v>L01516</v>
      </c>
      <c r="K1522" s="1">
        <f>1522</f>
        <v>1522</v>
      </c>
      <c r="L1522" s="10">
        <f t="shared" si="116"/>
        <v>8554</v>
      </c>
      <c r="M1522" s="1">
        <f t="shared" si="117"/>
        <v>1</v>
      </c>
      <c r="N1522" s="1">
        <f t="shared" si="118"/>
        <v>1</v>
      </c>
      <c r="O1522" s="1" t="str">
        <f>IF(I1522=0,"UNUSED",IF(A1522="","MISSING ID",IF(K1522=0,"UNEXPECTED ID",IF(N1522&lt;&gt;1,"ID / ORDER DIFFERENCE",IF('Source build'!U1522&lt;&gt;"INCLUDED","EXCLUDED SOURCE",IF(NOT(M1522),"INVALID AMOUNT",IF('Source build'!Y1522&lt;&gt;0,"CHANGED FIELDS","MATCH")))))))</f>
        <v>MATCH</v>
      </c>
      <c r="P1522" s="1" t="str">
        <f t="shared" si="119"/>
        <v>2026-03</v>
      </c>
    </row>
    <row r="1523" spans="1:16" ht="18.95" customHeight="1">
      <c r="A1523" s="7" t="s">
        <v>3986</v>
      </c>
      <c r="B1523" s="7" t="s">
        <v>3987</v>
      </c>
      <c r="C1523" s="7" t="s">
        <v>326</v>
      </c>
      <c r="D1523" s="7" t="s">
        <v>97</v>
      </c>
      <c r="E1523" s="7" t="s">
        <v>47</v>
      </c>
      <c r="F1523" s="7" t="s">
        <v>98</v>
      </c>
      <c r="G1523" s="7" t="s">
        <v>3988</v>
      </c>
      <c r="I1523" s="1">
        <f t="shared" si="115"/>
        <v>1</v>
      </c>
      <c r="J1523" s="1" t="str">
        <f>'Source build'!A1523</f>
        <v>L01517</v>
      </c>
      <c r="K1523" s="1">
        <f>1523</f>
        <v>1523</v>
      </c>
      <c r="L1523" s="10">
        <f t="shared" si="116"/>
        <v>25773</v>
      </c>
      <c r="M1523" s="1">
        <f t="shared" si="117"/>
        <v>1</v>
      </c>
      <c r="N1523" s="1">
        <f t="shared" si="118"/>
        <v>1</v>
      </c>
      <c r="O1523" s="1" t="str">
        <f>IF(I1523=0,"UNUSED",IF(A1523="","MISSING ID",IF(K1523=0,"UNEXPECTED ID",IF(N1523&lt;&gt;1,"ID / ORDER DIFFERENCE",IF('Source build'!U1523&lt;&gt;"INCLUDED","EXCLUDED SOURCE",IF(NOT(M1523),"INVALID AMOUNT",IF('Source build'!Y1523&lt;&gt;0,"CHANGED FIELDS","MATCH")))))))</f>
        <v>MATCH</v>
      </c>
      <c r="P1523" s="1" t="str">
        <f t="shared" si="119"/>
        <v>2026-03</v>
      </c>
    </row>
    <row r="1524" spans="1:16" ht="18.95" customHeight="1">
      <c r="A1524" s="7" t="s">
        <v>3989</v>
      </c>
      <c r="B1524" s="7" t="s">
        <v>3987</v>
      </c>
      <c r="C1524" s="7" t="s">
        <v>326</v>
      </c>
      <c r="D1524" s="7" t="s">
        <v>103</v>
      </c>
      <c r="E1524" s="7" t="s">
        <v>48</v>
      </c>
      <c r="F1524" s="7" t="s">
        <v>98</v>
      </c>
      <c r="G1524" s="7" t="s">
        <v>3990</v>
      </c>
      <c r="I1524" s="1">
        <f t="shared" si="115"/>
        <v>1</v>
      </c>
      <c r="J1524" s="1" t="str">
        <f>'Source build'!A1524</f>
        <v>L01518</v>
      </c>
      <c r="K1524" s="1">
        <f>1524</f>
        <v>1524</v>
      </c>
      <c r="L1524" s="10">
        <f t="shared" si="116"/>
        <v>43140</v>
      </c>
      <c r="M1524" s="1">
        <f t="shared" si="117"/>
        <v>1</v>
      </c>
      <c r="N1524" s="1">
        <f t="shared" si="118"/>
        <v>1</v>
      </c>
      <c r="O1524" s="1" t="str">
        <f>IF(I1524=0,"UNUSED",IF(A1524="","MISSING ID",IF(K1524=0,"UNEXPECTED ID",IF(N1524&lt;&gt;1,"ID / ORDER DIFFERENCE",IF('Source build'!U1524&lt;&gt;"INCLUDED","EXCLUDED SOURCE",IF(NOT(M1524),"INVALID AMOUNT",IF('Source build'!Y1524&lt;&gt;0,"CHANGED FIELDS","MATCH")))))))</f>
        <v>MATCH</v>
      </c>
      <c r="P1524" s="1" t="str">
        <f t="shared" si="119"/>
        <v>2026-03</v>
      </c>
    </row>
    <row r="1525" spans="1:16" ht="18.95" customHeight="1">
      <c r="A1525" s="7" t="s">
        <v>3991</v>
      </c>
      <c r="B1525" s="7" t="s">
        <v>3992</v>
      </c>
      <c r="C1525" s="7" t="s">
        <v>332</v>
      </c>
      <c r="D1525" s="7" t="s">
        <v>93</v>
      </c>
      <c r="E1525" s="7" t="s">
        <v>46</v>
      </c>
      <c r="F1525" s="7" t="s">
        <v>94</v>
      </c>
      <c r="G1525" s="7" t="s">
        <v>3993</v>
      </c>
      <c r="I1525" s="1">
        <f t="shared" si="115"/>
        <v>1</v>
      </c>
      <c r="J1525" s="1" t="str">
        <f>'Source build'!A1525</f>
        <v>L01519</v>
      </c>
      <c r="K1525" s="1">
        <f>1525</f>
        <v>1525</v>
      </c>
      <c r="L1525" s="10">
        <f t="shared" si="116"/>
        <v>-17330</v>
      </c>
      <c r="M1525" s="1">
        <f t="shared" si="117"/>
        <v>1</v>
      </c>
      <c r="N1525" s="1">
        <f t="shared" si="118"/>
        <v>1</v>
      </c>
      <c r="O1525" s="1" t="str">
        <f>IF(I1525=0,"UNUSED",IF(A1525="","MISSING ID",IF(K1525=0,"UNEXPECTED ID",IF(N1525&lt;&gt;1,"ID / ORDER DIFFERENCE",IF('Source build'!U1525&lt;&gt;"INCLUDED","EXCLUDED SOURCE",IF(NOT(M1525),"INVALID AMOUNT",IF('Source build'!Y1525&lt;&gt;0,"CHANGED FIELDS","MATCH")))))))</f>
        <v>MATCH</v>
      </c>
      <c r="P1525" s="1" t="str">
        <f t="shared" si="119"/>
        <v>2026-01</v>
      </c>
    </row>
    <row r="1526" spans="1:16" ht="18.95" customHeight="1">
      <c r="A1526" s="7" t="s">
        <v>3994</v>
      </c>
      <c r="B1526" s="7" t="s">
        <v>3992</v>
      </c>
      <c r="C1526" s="7" t="s">
        <v>332</v>
      </c>
      <c r="D1526" s="7" t="s">
        <v>97</v>
      </c>
      <c r="E1526" s="7" t="s">
        <v>47</v>
      </c>
      <c r="F1526" s="7" t="s">
        <v>98</v>
      </c>
      <c r="G1526" s="7" t="s">
        <v>3995</v>
      </c>
      <c r="I1526" s="1">
        <f t="shared" si="115"/>
        <v>1</v>
      </c>
      <c r="J1526" s="1" t="str">
        <f>'Source build'!A1526</f>
        <v>L01520</v>
      </c>
      <c r="K1526" s="1">
        <f>1526</f>
        <v>1526</v>
      </c>
      <c r="L1526" s="10">
        <f t="shared" si="116"/>
        <v>34808</v>
      </c>
      <c r="M1526" s="1">
        <f t="shared" si="117"/>
        <v>1</v>
      </c>
      <c r="N1526" s="1">
        <f t="shared" si="118"/>
        <v>1</v>
      </c>
      <c r="O1526" s="1" t="str">
        <f>IF(I1526=0,"UNUSED",IF(A1526="","MISSING ID",IF(K1526=0,"UNEXPECTED ID",IF(N1526&lt;&gt;1,"ID / ORDER DIFFERENCE",IF('Source build'!U1526&lt;&gt;"INCLUDED","EXCLUDED SOURCE",IF(NOT(M1526),"INVALID AMOUNT",IF('Source build'!Y1526&lt;&gt;0,"CHANGED FIELDS","MATCH")))))))</f>
        <v>MATCH</v>
      </c>
      <c r="P1526" s="1" t="str">
        <f t="shared" si="119"/>
        <v>2026-01</v>
      </c>
    </row>
    <row r="1527" spans="1:16" ht="18.95" customHeight="1">
      <c r="A1527" s="7" t="s">
        <v>3996</v>
      </c>
      <c r="B1527" s="7" t="s">
        <v>3997</v>
      </c>
      <c r="C1527" s="7" t="s">
        <v>338</v>
      </c>
      <c r="D1527" s="7" t="s">
        <v>103</v>
      </c>
      <c r="E1527" s="7" t="s">
        <v>48</v>
      </c>
      <c r="F1527" s="7" t="s">
        <v>98</v>
      </c>
      <c r="G1527" s="7" t="s">
        <v>3998</v>
      </c>
      <c r="I1527" s="1">
        <f t="shared" si="115"/>
        <v>1</v>
      </c>
      <c r="J1527" s="1" t="str">
        <f>'Source build'!A1527</f>
        <v>L01521</v>
      </c>
      <c r="K1527" s="1">
        <f>1527</f>
        <v>1527</v>
      </c>
      <c r="L1527" s="10">
        <f t="shared" si="116"/>
        <v>8739</v>
      </c>
      <c r="M1527" s="1">
        <f t="shared" si="117"/>
        <v>1</v>
      </c>
      <c r="N1527" s="1">
        <f t="shared" si="118"/>
        <v>1</v>
      </c>
      <c r="O1527" s="1" t="str">
        <f>IF(I1527=0,"UNUSED",IF(A1527="","MISSING ID",IF(K1527=0,"UNEXPECTED ID",IF(N1527&lt;&gt;1,"ID / ORDER DIFFERENCE",IF('Source build'!U1527&lt;&gt;"INCLUDED","EXCLUDED SOURCE",IF(NOT(M1527),"INVALID AMOUNT",IF('Source build'!Y1527&lt;&gt;0,"CHANGED FIELDS","MATCH")))))))</f>
        <v>MATCH</v>
      </c>
      <c r="P1527" s="1" t="str">
        <f t="shared" si="119"/>
        <v>2026-01</v>
      </c>
    </row>
    <row r="1528" spans="1:16" ht="18.95" customHeight="1">
      <c r="A1528" s="7" t="s">
        <v>3999</v>
      </c>
      <c r="B1528" s="7" t="s">
        <v>3997</v>
      </c>
      <c r="C1528" s="7" t="s">
        <v>338</v>
      </c>
      <c r="D1528" s="7" t="s">
        <v>93</v>
      </c>
      <c r="E1528" s="7" t="s">
        <v>46</v>
      </c>
      <c r="F1528" s="7" t="s">
        <v>98</v>
      </c>
      <c r="G1528" s="7" t="s">
        <v>4000</v>
      </c>
      <c r="I1528" s="1">
        <f t="shared" si="115"/>
        <v>1</v>
      </c>
      <c r="J1528" s="1" t="str">
        <f>'Source build'!A1528</f>
        <v>L01522</v>
      </c>
      <c r="K1528" s="1">
        <f>1528</f>
        <v>1528</v>
      </c>
      <c r="L1528" s="10">
        <f t="shared" si="116"/>
        <v>26328</v>
      </c>
      <c r="M1528" s="1">
        <f t="shared" si="117"/>
        <v>1</v>
      </c>
      <c r="N1528" s="1">
        <f t="shared" si="118"/>
        <v>1</v>
      </c>
      <c r="O1528" s="1" t="str">
        <f>IF(I1528=0,"UNUSED",IF(A1528="","MISSING ID",IF(K1528=0,"UNEXPECTED ID",IF(N1528&lt;&gt;1,"ID / ORDER DIFFERENCE",IF('Source build'!U1528&lt;&gt;"INCLUDED","EXCLUDED SOURCE",IF(NOT(M1528),"INVALID AMOUNT",IF('Source build'!Y1528&lt;&gt;0,"CHANGED FIELDS","MATCH")))))))</f>
        <v>MATCH</v>
      </c>
      <c r="P1528" s="1" t="str">
        <f t="shared" si="119"/>
        <v>2026-01</v>
      </c>
    </row>
    <row r="1529" spans="1:16" ht="18.95" customHeight="1">
      <c r="A1529" s="7" t="s">
        <v>4001</v>
      </c>
      <c r="B1529" s="7" t="s">
        <v>4002</v>
      </c>
      <c r="C1529" s="7" t="s">
        <v>344</v>
      </c>
      <c r="D1529" s="7" t="s">
        <v>97</v>
      </c>
      <c r="E1529" s="7" t="s">
        <v>47</v>
      </c>
      <c r="F1529" s="7" t="s">
        <v>98</v>
      </c>
      <c r="G1529" s="7" t="s">
        <v>4003</v>
      </c>
      <c r="I1529" s="1">
        <f t="shared" si="115"/>
        <v>1</v>
      </c>
      <c r="J1529" s="1" t="str">
        <f>'Source build'!A1529</f>
        <v>L01523</v>
      </c>
      <c r="K1529" s="1">
        <f>1529</f>
        <v>1529</v>
      </c>
      <c r="L1529" s="10">
        <f t="shared" si="116"/>
        <v>44065</v>
      </c>
      <c r="M1529" s="1">
        <f t="shared" si="117"/>
        <v>1</v>
      </c>
      <c r="N1529" s="1">
        <f t="shared" si="118"/>
        <v>1</v>
      </c>
      <c r="O1529" s="1" t="str">
        <f>IF(I1529=0,"UNUSED",IF(A1529="","MISSING ID",IF(K1529=0,"UNEXPECTED ID",IF(N1529&lt;&gt;1,"ID / ORDER DIFFERENCE",IF('Source build'!U1529&lt;&gt;"INCLUDED","EXCLUDED SOURCE",IF(NOT(M1529),"INVALID AMOUNT",IF('Source build'!Y1529&lt;&gt;0,"CHANGED FIELDS","MATCH")))))))</f>
        <v>MATCH</v>
      </c>
      <c r="P1529" s="1" t="str">
        <f t="shared" si="119"/>
        <v>2026-01</v>
      </c>
    </row>
    <row r="1530" spans="1:16" ht="18.95" customHeight="1">
      <c r="A1530" s="7" t="s">
        <v>4004</v>
      </c>
      <c r="B1530" s="7" t="s">
        <v>4002</v>
      </c>
      <c r="C1530" s="7" t="s">
        <v>344</v>
      </c>
      <c r="D1530" s="7" t="s">
        <v>103</v>
      </c>
      <c r="E1530" s="7" t="s">
        <v>48</v>
      </c>
      <c r="F1530" s="7" t="s">
        <v>98</v>
      </c>
      <c r="G1530" s="7" t="s">
        <v>4005</v>
      </c>
      <c r="I1530" s="1">
        <f t="shared" si="115"/>
        <v>1</v>
      </c>
      <c r="J1530" s="1" t="str">
        <f>'Source build'!A1530</f>
        <v>L01524</v>
      </c>
      <c r="K1530" s="1">
        <f>1530</f>
        <v>1530</v>
      </c>
      <c r="L1530" s="10">
        <f t="shared" si="116"/>
        <v>17700</v>
      </c>
      <c r="M1530" s="1">
        <f t="shared" si="117"/>
        <v>1</v>
      </c>
      <c r="N1530" s="1">
        <f t="shared" si="118"/>
        <v>1</v>
      </c>
      <c r="O1530" s="1" t="str">
        <f>IF(I1530=0,"UNUSED",IF(A1530="","MISSING ID",IF(K1530=0,"UNEXPECTED ID",IF(N1530&lt;&gt;1,"ID / ORDER DIFFERENCE",IF('Source build'!U1530&lt;&gt;"INCLUDED","EXCLUDED SOURCE",IF(NOT(M1530),"INVALID AMOUNT",IF('Source build'!Y1530&lt;&gt;0,"CHANGED FIELDS","MATCH")))))))</f>
        <v>MATCH</v>
      </c>
      <c r="P1530" s="1" t="str">
        <f t="shared" si="119"/>
        <v>2026-01</v>
      </c>
    </row>
    <row r="1531" spans="1:16" ht="18.95" customHeight="1">
      <c r="A1531" s="7" t="s">
        <v>4006</v>
      </c>
      <c r="B1531" s="7" t="s">
        <v>4007</v>
      </c>
      <c r="C1531" s="7" t="s">
        <v>350</v>
      </c>
      <c r="D1531" s="7" t="s">
        <v>93</v>
      </c>
      <c r="E1531" s="7" t="s">
        <v>46</v>
      </c>
      <c r="F1531" s="7" t="s">
        <v>98</v>
      </c>
      <c r="G1531" s="7" t="s">
        <v>4008</v>
      </c>
      <c r="I1531" s="1">
        <f t="shared" si="115"/>
        <v>1</v>
      </c>
      <c r="J1531" s="1" t="str">
        <f>'Source build'!A1531</f>
        <v>L01525</v>
      </c>
      <c r="K1531" s="1">
        <f>1531</f>
        <v>1531</v>
      </c>
      <c r="L1531" s="10">
        <f t="shared" si="116"/>
        <v>35548</v>
      </c>
      <c r="M1531" s="1">
        <f t="shared" si="117"/>
        <v>1</v>
      </c>
      <c r="N1531" s="1">
        <f t="shared" si="118"/>
        <v>1</v>
      </c>
      <c r="O1531" s="1" t="str">
        <f>IF(I1531=0,"UNUSED",IF(A1531="","MISSING ID",IF(K1531=0,"UNEXPECTED ID",IF(N1531&lt;&gt;1,"ID / ORDER DIFFERENCE",IF('Source build'!U1531&lt;&gt;"INCLUDED","EXCLUDED SOURCE",IF(NOT(M1531),"INVALID AMOUNT",IF('Source build'!Y1531&lt;&gt;0,"CHANGED FIELDS","MATCH")))))))</f>
        <v>MATCH</v>
      </c>
      <c r="P1531" s="1" t="str">
        <f t="shared" si="119"/>
        <v>2026-01</v>
      </c>
    </row>
    <row r="1532" spans="1:16" ht="18.95" customHeight="1">
      <c r="A1532" s="7" t="s">
        <v>4009</v>
      </c>
      <c r="B1532" s="7" t="s">
        <v>4007</v>
      </c>
      <c r="C1532" s="7" t="s">
        <v>350</v>
      </c>
      <c r="D1532" s="7" t="s">
        <v>97</v>
      </c>
      <c r="E1532" s="7" t="s">
        <v>47</v>
      </c>
      <c r="F1532" s="7" t="s">
        <v>98</v>
      </c>
      <c r="G1532" s="7" t="s">
        <v>4010</v>
      </c>
      <c r="I1532" s="1">
        <f t="shared" si="115"/>
        <v>1</v>
      </c>
      <c r="J1532" s="1" t="str">
        <f>'Source build'!A1532</f>
        <v>L01526</v>
      </c>
      <c r="K1532" s="1">
        <f>1532</f>
        <v>1532</v>
      </c>
      <c r="L1532" s="10">
        <f t="shared" si="116"/>
        <v>8924</v>
      </c>
      <c r="M1532" s="1">
        <f t="shared" si="117"/>
        <v>1</v>
      </c>
      <c r="N1532" s="1">
        <f t="shared" si="118"/>
        <v>1</v>
      </c>
      <c r="O1532" s="1" t="str">
        <f>IF(I1532=0,"UNUSED",IF(A1532="","MISSING ID",IF(K1532=0,"UNEXPECTED ID",IF(N1532&lt;&gt;1,"ID / ORDER DIFFERENCE",IF('Source build'!U1532&lt;&gt;"INCLUDED","EXCLUDED SOURCE",IF(NOT(M1532),"INVALID AMOUNT",IF('Source build'!Y1532&lt;&gt;0,"CHANGED FIELDS","MATCH")))))))</f>
        <v>MATCH</v>
      </c>
      <c r="P1532" s="1" t="str">
        <f t="shared" si="119"/>
        <v>2026-01</v>
      </c>
    </row>
    <row r="1533" spans="1:16" ht="18.95" customHeight="1">
      <c r="A1533" s="7" t="s">
        <v>4011</v>
      </c>
      <c r="B1533" s="7" t="s">
        <v>4012</v>
      </c>
      <c r="C1533" s="7" t="s">
        <v>356</v>
      </c>
      <c r="D1533" s="7" t="s">
        <v>103</v>
      </c>
      <c r="E1533" s="7" t="s">
        <v>48</v>
      </c>
      <c r="F1533" s="7" t="s">
        <v>98</v>
      </c>
      <c r="G1533" s="7" t="s">
        <v>4013</v>
      </c>
      <c r="I1533" s="1">
        <f t="shared" si="115"/>
        <v>1</v>
      </c>
      <c r="J1533" s="1" t="str">
        <f>'Source build'!A1533</f>
        <v>L01527</v>
      </c>
      <c r="K1533" s="1">
        <f>1533</f>
        <v>1533</v>
      </c>
      <c r="L1533" s="10">
        <f t="shared" si="116"/>
        <v>26883</v>
      </c>
      <c r="M1533" s="1">
        <f t="shared" si="117"/>
        <v>1</v>
      </c>
      <c r="N1533" s="1">
        <f t="shared" si="118"/>
        <v>1</v>
      </c>
      <c r="O1533" s="1" t="str">
        <f>IF(I1533=0,"UNUSED",IF(A1533="","MISSING ID",IF(K1533=0,"UNEXPECTED ID",IF(N1533&lt;&gt;1,"ID / ORDER DIFFERENCE",IF('Source build'!U1533&lt;&gt;"INCLUDED","EXCLUDED SOURCE",IF(NOT(M1533),"INVALID AMOUNT",IF('Source build'!Y1533&lt;&gt;0,"CHANGED FIELDS","MATCH")))))))</f>
        <v>MATCH</v>
      </c>
      <c r="P1533" s="1" t="str">
        <f t="shared" si="119"/>
        <v>2026-02</v>
      </c>
    </row>
    <row r="1534" spans="1:16" ht="18.95" customHeight="1">
      <c r="A1534" s="7" t="s">
        <v>4014</v>
      </c>
      <c r="B1534" s="7" t="s">
        <v>4012</v>
      </c>
      <c r="C1534" s="7" t="s">
        <v>356</v>
      </c>
      <c r="D1534" s="7" t="s">
        <v>93</v>
      </c>
      <c r="E1534" s="7" t="s">
        <v>46</v>
      </c>
      <c r="F1534" s="7" t="s">
        <v>98</v>
      </c>
      <c r="G1534" s="7" t="s">
        <v>4015</v>
      </c>
      <c r="I1534" s="1">
        <f t="shared" si="115"/>
        <v>1</v>
      </c>
      <c r="J1534" s="1" t="str">
        <f>'Source build'!A1534</f>
        <v>L01528</v>
      </c>
      <c r="K1534" s="1">
        <f>1534</f>
        <v>1534</v>
      </c>
      <c r="L1534" s="10">
        <f t="shared" si="116"/>
        <v>44990</v>
      </c>
      <c r="M1534" s="1">
        <f t="shared" si="117"/>
        <v>1</v>
      </c>
      <c r="N1534" s="1">
        <f t="shared" si="118"/>
        <v>1</v>
      </c>
      <c r="O1534" s="1" t="str">
        <f>IF(I1534=0,"UNUSED",IF(A1534="","MISSING ID",IF(K1534=0,"UNEXPECTED ID",IF(N1534&lt;&gt;1,"ID / ORDER DIFFERENCE",IF('Source build'!U1534&lt;&gt;"INCLUDED","EXCLUDED SOURCE",IF(NOT(M1534),"INVALID AMOUNT",IF('Source build'!Y1534&lt;&gt;0,"CHANGED FIELDS","MATCH")))))))</f>
        <v>MATCH</v>
      </c>
      <c r="P1534" s="1" t="str">
        <f t="shared" si="119"/>
        <v>2026-02</v>
      </c>
    </row>
    <row r="1535" spans="1:16" ht="18.95" customHeight="1">
      <c r="A1535" s="7" t="s">
        <v>4016</v>
      </c>
      <c r="B1535" s="7" t="s">
        <v>4017</v>
      </c>
      <c r="C1535" s="7" t="s">
        <v>362</v>
      </c>
      <c r="D1535" s="7" t="s">
        <v>97</v>
      </c>
      <c r="E1535" s="7" t="s">
        <v>47</v>
      </c>
      <c r="F1535" s="7" t="s">
        <v>98</v>
      </c>
      <c r="G1535" s="7" t="s">
        <v>4018</v>
      </c>
      <c r="I1535" s="1">
        <f t="shared" si="115"/>
        <v>1</v>
      </c>
      <c r="J1535" s="1" t="str">
        <f>'Source build'!A1535</f>
        <v>L01529</v>
      </c>
      <c r="K1535" s="1">
        <f>1535</f>
        <v>1535</v>
      </c>
      <c r="L1535" s="10">
        <f t="shared" si="116"/>
        <v>18070</v>
      </c>
      <c r="M1535" s="1">
        <f t="shared" si="117"/>
        <v>1</v>
      </c>
      <c r="N1535" s="1">
        <f t="shared" si="118"/>
        <v>1</v>
      </c>
      <c r="O1535" s="1" t="str">
        <f>IF(I1535=0,"UNUSED",IF(A1535="","MISSING ID",IF(K1535=0,"UNEXPECTED ID",IF(N1535&lt;&gt;1,"ID / ORDER DIFFERENCE",IF('Source build'!U1535&lt;&gt;"INCLUDED","EXCLUDED SOURCE",IF(NOT(M1535),"INVALID AMOUNT",IF('Source build'!Y1535&lt;&gt;0,"CHANGED FIELDS","MATCH")))))))</f>
        <v>MATCH</v>
      </c>
      <c r="P1535" s="1" t="str">
        <f t="shared" si="119"/>
        <v>2026-02</v>
      </c>
    </row>
    <row r="1536" spans="1:16" ht="18.95" customHeight="1">
      <c r="A1536" s="7" t="s">
        <v>4019</v>
      </c>
      <c r="B1536" s="7" t="s">
        <v>4017</v>
      </c>
      <c r="C1536" s="7" t="s">
        <v>362</v>
      </c>
      <c r="D1536" s="7" t="s">
        <v>103</v>
      </c>
      <c r="E1536" s="7" t="s">
        <v>48</v>
      </c>
      <c r="F1536" s="7" t="s">
        <v>98</v>
      </c>
      <c r="G1536" s="7" t="s">
        <v>4020</v>
      </c>
      <c r="I1536" s="1">
        <f t="shared" si="115"/>
        <v>1</v>
      </c>
      <c r="J1536" s="1" t="str">
        <f>'Source build'!A1536</f>
        <v>L01530</v>
      </c>
      <c r="K1536" s="1">
        <f>1536</f>
        <v>1536</v>
      </c>
      <c r="L1536" s="10">
        <f t="shared" si="116"/>
        <v>36288</v>
      </c>
      <c r="M1536" s="1">
        <f t="shared" si="117"/>
        <v>1</v>
      </c>
      <c r="N1536" s="1">
        <f t="shared" si="118"/>
        <v>1</v>
      </c>
      <c r="O1536" s="1" t="str">
        <f>IF(I1536=0,"UNUSED",IF(A1536="","MISSING ID",IF(K1536=0,"UNEXPECTED ID",IF(N1536&lt;&gt;1,"ID / ORDER DIFFERENCE",IF('Source build'!U1536&lt;&gt;"INCLUDED","EXCLUDED SOURCE",IF(NOT(M1536),"INVALID AMOUNT",IF('Source build'!Y1536&lt;&gt;0,"CHANGED FIELDS","MATCH")))))))</f>
        <v>MATCH</v>
      </c>
      <c r="P1536" s="1" t="str">
        <f t="shared" si="119"/>
        <v>2026-02</v>
      </c>
    </row>
    <row r="1537" spans="1:16" ht="18.95" customHeight="1">
      <c r="A1537" s="7" t="s">
        <v>4021</v>
      </c>
      <c r="B1537" s="7" t="s">
        <v>4022</v>
      </c>
      <c r="C1537" s="7" t="s">
        <v>368</v>
      </c>
      <c r="D1537" s="7" t="s">
        <v>93</v>
      </c>
      <c r="E1537" s="7" t="s">
        <v>46</v>
      </c>
      <c r="F1537" s="7" t="s">
        <v>98</v>
      </c>
      <c r="G1537" s="7" t="s">
        <v>4023</v>
      </c>
      <c r="I1537" s="1">
        <f t="shared" si="115"/>
        <v>1</v>
      </c>
      <c r="J1537" s="1" t="str">
        <f>'Source build'!A1537</f>
        <v>L01531</v>
      </c>
      <c r="K1537" s="1">
        <f>1537</f>
        <v>1537</v>
      </c>
      <c r="L1537" s="10">
        <f t="shared" si="116"/>
        <v>9109</v>
      </c>
      <c r="M1537" s="1">
        <f t="shared" si="117"/>
        <v>1</v>
      </c>
      <c r="N1537" s="1">
        <f t="shared" si="118"/>
        <v>1</v>
      </c>
      <c r="O1537" s="1" t="str">
        <f>IF(I1537=0,"UNUSED",IF(A1537="","MISSING ID",IF(K1537=0,"UNEXPECTED ID",IF(N1537&lt;&gt;1,"ID / ORDER DIFFERENCE",IF('Source build'!U1537&lt;&gt;"INCLUDED","EXCLUDED SOURCE",IF(NOT(M1537),"INVALID AMOUNT",IF('Source build'!Y1537&lt;&gt;0,"CHANGED FIELDS","MATCH")))))))</f>
        <v>MATCH</v>
      </c>
      <c r="P1537" s="1" t="str">
        <f t="shared" si="119"/>
        <v>2026-02</v>
      </c>
    </row>
    <row r="1538" spans="1:16" ht="18.95" customHeight="1">
      <c r="A1538" s="7" t="s">
        <v>4024</v>
      </c>
      <c r="B1538" s="7" t="s">
        <v>4022</v>
      </c>
      <c r="C1538" s="7" t="s">
        <v>368</v>
      </c>
      <c r="D1538" s="7" t="s">
        <v>97</v>
      </c>
      <c r="E1538" s="7" t="s">
        <v>47</v>
      </c>
      <c r="F1538" s="7" t="s">
        <v>98</v>
      </c>
      <c r="G1538" s="7" t="s">
        <v>4025</v>
      </c>
      <c r="I1538" s="1">
        <f t="shared" si="115"/>
        <v>1</v>
      </c>
      <c r="J1538" s="1" t="str">
        <f>'Source build'!A1538</f>
        <v>L01532</v>
      </c>
      <c r="K1538" s="1">
        <f>1538</f>
        <v>1538</v>
      </c>
      <c r="L1538" s="10">
        <f t="shared" si="116"/>
        <v>27438</v>
      </c>
      <c r="M1538" s="1">
        <f t="shared" si="117"/>
        <v>1</v>
      </c>
      <c r="N1538" s="1">
        <f t="shared" si="118"/>
        <v>1</v>
      </c>
      <c r="O1538" s="1" t="str">
        <f>IF(I1538=0,"UNUSED",IF(A1538="","MISSING ID",IF(K1538=0,"UNEXPECTED ID",IF(N1538&lt;&gt;1,"ID / ORDER DIFFERENCE",IF('Source build'!U1538&lt;&gt;"INCLUDED","EXCLUDED SOURCE",IF(NOT(M1538),"INVALID AMOUNT",IF('Source build'!Y1538&lt;&gt;0,"CHANGED FIELDS","MATCH")))))))</f>
        <v>MATCH</v>
      </c>
      <c r="P1538" s="1" t="str">
        <f t="shared" si="119"/>
        <v>2026-02</v>
      </c>
    </row>
    <row r="1539" spans="1:16" ht="18.95" customHeight="1">
      <c r="A1539" s="7" t="s">
        <v>4026</v>
      </c>
      <c r="B1539" s="7" t="s">
        <v>4027</v>
      </c>
      <c r="C1539" s="7" t="s">
        <v>374</v>
      </c>
      <c r="D1539" s="7" t="s">
        <v>103</v>
      </c>
      <c r="E1539" s="7" t="s">
        <v>48</v>
      </c>
      <c r="F1539" s="7" t="s">
        <v>98</v>
      </c>
      <c r="G1539" s="7" t="s">
        <v>4028</v>
      </c>
      <c r="I1539" s="1">
        <f t="shared" si="115"/>
        <v>1</v>
      </c>
      <c r="J1539" s="1" t="str">
        <f>'Source build'!A1539</f>
        <v>L01533</v>
      </c>
      <c r="K1539" s="1">
        <f>1539</f>
        <v>1539</v>
      </c>
      <c r="L1539" s="10">
        <f t="shared" si="116"/>
        <v>45915</v>
      </c>
      <c r="M1539" s="1">
        <f t="shared" si="117"/>
        <v>1</v>
      </c>
      <c r="N1539" s="1">
        <f t="shared" si="118"/>
        <v>1</v>
      </c>
      <c r="O1539" s="1" t="str">
        <f>IF(I1539=0,"UNUSED",IF(A1539="","MISSING ID",IF(K1539=0,"UNEXPECTED ID",IF(N1539&lt;&gt;1,"ID / ORDER DIFFERENCE",IF('Source build'!U1539&lt;&gt;"INCLUDED","EXCLUDED SOURCE",IF(NOT(M1539),"INVALID AMOUNT",IF('Source build'!Y1539&lt;&gt;0,"CHANGED FIELDS","MATCH")))))))</f>
        <v>MATCH</v>
      </c>
      <c r="P1539" s="1" t="str">
        <f t="shared" si="119"/>
        <v>2026-02</v>
      </c>
    </row>
    <row r="1540" spans="1:16" ht="18.95" customHeight="1">
      <c r="A1540" s="7" t="s">
        <v>4029</v>
      </c>
      <c r="B1540" s="7" t="s">
        <v>4027</v>
      </c>
      <c r="C1540" s="7" t="s">
        <v>374</v>
      </c>
      <c r="D1540" s="7" t="s">
        <v>93</v>
      </c>
      <c r="E1540" s="7" t="s">
        <v>46</v>
      </c>
      <c r="F1540" s="7" t="s">
        <v>98</v>
      </c>
      <c r="G1540" s="7" t="s">
        <v>4030</v>
      </c>
      <c r="I1540" s="1">
        <f t="shared" si="115"/>
        <v>1</v>
      </c>
      <c r="J1540" s="1" t="str">
        <f>'Source build'!A1540</f>
        <v>L01534</v>
      </c>
      <c r="K1540" s="1">
        <f>1540</f>
        <v>1540</v>
      </c>
      <c r="L1540" s="10">
        <f t="shared" si="116"/>
        <v>18440</v>
      </c>
      <c r="M1540" s="1">
        <f t="shared" si="117"/>
        <v>1</v>
      </c>
      <c r="N1540" s="1">
        <f t="shared" si="118"/>
        <v>1</v>
      </c>
      <c r="O1540" s="1" t="str">
        <f>IF(I1540=0,"UNUSED",IF(A1540="","MISSING ID",IF(K1540=0,"UNEXPECTED ID",IF(N1540&lt;&gt;1,"ID / ORDER DIFFERENCE",IF('Source build'!U1540&lt;&gt;"INCLUDED","EXCLUDED SOURCE",IF(NOT(M1540),"INVALID AMOUNT",IF('Source build'!Y1540&lt;&gt;0,"CHANGED FIELDS","MATCH")))))))</f>
        <v>MATCH</v>
      </c>
      <c r="P1540" s="1" t="str">
        <f t="shared" si="119"/>
        <v>2026-02</v>
      </c>
    </row>
    <row r="1541" spans="1:16" ht="18.95" customHeight="1">
      <c r="A1541" s="7" t="s">
        <v>4031</v>
      </c>
      <c r="B1541" s="7" t="s">
        <v>4032</v>
      </c>
      <c r="C1541" s="7" t="s">
        <v>380</v>
      </c>
      <c r="D1541" s="7" t="s">
        <v>97</v>
      </c>
      <c r="E1541" s="7" t="s">
        <v>47</v>
      </c>
      <c r="F1541" s="7" t="s">
        <v>98</v>
      </c>
      <c r="G1541" s="7" t="s">
        <v>4033</v>
      </c>
      <c r="I1541" s="1">
        <f t="shared" si="115"/>
        <v>1</v>
      </c>
      <c r="J1541" s="1" t="str">
        <f>'Source build'!A1541</f>
        <v>L01535</v>
      </c>
      <c r="K1541" s="1">
        <f>1541</f>
        <v>1541</v>
      </c>
      <c r="L1541" s="10">
        <f t="shared" si="116"/>
        <v>37028</v>
      </c>
      <c r="M1541" s="1">
        <f t="shared" si="117"/>
        <v>1</v>
      </c>
      <c r="N1541" s="1">
        <f t="shared" si="118"/>
        <v>1</v>
      </c>
      <c r="O1541" s="1" t="str">
        <f>IF(I1541=0,"UNUSED",IF(A1541="","MISSING ID",IF(K1541=0,"UNEXPECTED ID",IF(N1541&lt;&gt;1,"ID / ORDER DIFFERENCE",IF('Source build'!U1541&lt;&gt;"INCLUDED","EXCLUDED SOURCE",IF(NOT(M1541),"INVALID AMOUNT",IF('Source build'!Y1541&lt;&gt;0,"CHANGED FIELDS","MATCH")))))))</f>
        <v>MATCH</v>
      </c>
      <c r="P1541" s="1" t="str">
        <f t="shared" si="119"/>
        <v>2026-03</v>
      </c>
    </row>
    <row r="1542" spans="1:16" ht="18.95" customHeight="1">
      <c r="A1542" s="7" t="s">
        <v>4034</v>
      </c>
      <c r="B1542" s="7" t="s">
        <v>4032</v>
      </c>
      <c r="C1542" s="7" t="s">
        <v>380</v>
      </c>
      <c r="D1542" s="7" t="s">
        <v>103</v>
      </c>
      <c r="E1542" s="7" t="s">
        <v>48</v>
      </c>
      <c r="F1542" s="7" t="s">
        <v>98</v>
      </c>
      <c r="G1542" s="7" t="s">
        <v>4035</v>
      </c>
      <c r="I1542" s="1">
        <f t="shared" si="115"/>
        <v>1</v>
      </c>
      <c r="J1542" s="1" t="str">
        <f>'Source build'!A1542</f>
        <v>L01536</v>
      </c>
      <c r="K1542" s="1">
        <f>1542</f>
        <v>1542</v>
      </c>
      <c r="L1542" s="10">
        <f t="shared" si="116"/>
        <v>9294</v>
      </c>
      <c r="M1542" s="1">
        <f t="shared" si="117"/>
        <v>1</v>
      </c>
      <c r="N1542" s="1">
        <f t="shared" si="118"/>
        <v>1</v>
      </c>
      <c r="O1542" s="1" t="str">
        <f>IF(I1542=0,"UNUSED",IF(A1542="","MISSING ID",IF(K1542=0,"UNEXPECTED ID",IF(N1542&lt;&gt;1,"ID / ORDER DIFFERENCE",IF('Source build'!U1542&lt;&gt;"INCLUDED","EXCLUDED SOURCE",IF(NOT(M1542),"INVALID AMOUNT",IF('Source build'!Y1542&lt;&gt;0,"CHANGED FIELDS","MATCH")))))))</f>
        <v>MATCH</v>
      </c>
      <c r="P1542" s="1" t="str">
        <f t="shared" si="119"/>
        <v>2026-03</v>
      </c>
    </row>
    <row r="1543" spans="1:16" ht="18.95" customHeight="1">
      <c r="A1543" s="7" t="s">
        <v>4036</v>
      </c>
      <c r="B1543" s="7" t="s">
        <v>4037</v>
      </c>
      <c r="C1543" s="7" t="s">
        <v>386</v>
      </c>
      <c r="D1543" s="7" t="s">
        <v>93</v>
      </c>
      <c r="E1543" s="7" t="s">
        <v>46</v>
      </c>
      <c r="F1543" s="7" t="s">
        <v>98</v>
      </c>
      <c r="G1543" s="7" t="s">
        <v>4038</v>
      </c>
      <c r="I1543" s="1">
        <f t="shared" ref="I1543:I1606" si="120">IF(AND(A1543="",B1543="",C1543="",D1543="",E1543="",F1543="",G1543=""),0,1)</f>
        <v>1</v>
      </c>
      <c r="J1543" s="1" t="str">
        <f>'Source build'!A1543</f>
        <v>L01537</v>
      </c>
      <c r="K1543" s="1">
        <f>1543</f>
        <v>1543</v>
      </c>
      <c r="L1543" s="10">
        <f t="shared" ref="L1543:L1606" si="121">IFERROR(IF(ABS(VALUE(G1543)*100-ROUND(VALUE(G1543)*100,0))&lt;0.0000001,ROUND(VALUE(G1543)*100,0),0),0)</f>
        <v>27993</v>
      </c>
      <c r="M1543" s="1">
        <f t="shared" ref="M1543:M1606" si="122">--IF(I1543=0,TRUE,IF(TRIM(G1543)="",FALSE,IFERROR(AND(ISNUMBER(VALUE(G1543)),ABS(VALUE(G1543)*100-ROUND(VALUE(G1543)*100,0))&lt;0.0000001,OR(ISNUMBER(G1543),EXACT(G1543,TEXT(VALUE(G1543),"0.00"))),OR(AND(EXACT(F1543,"sale"),VALUE(G1543)&gt;0),AND(EXACT(F1543,"refund"),VALUE(G1543)&lt;0))),FALSE)))</f>
        <v>1</v>
      </c>
      <c r="N1543" s="1">
        <f t="shared" ref="N1543:N1606" si="123">IF(I1543=1,IF(EXACT(A1543,J1543),1,0),0)</f>
        <v>1</v>
      </c>
      <c r="O1543" s="1" t="str">
        <f>IF(I1543=0,"UNUSED",IF(A1543="","MISSING ID",IF(K1543=0,"UNEXPECTED ID",IF(N1543&lt;&gt;1,"ID / ORDER DIFFERENCE",IF('Source build'!U1543&lt;&gt;"INCLUDED","EXCLUDED SOURCE",IF(NOT(M1543),"INVALID AMOUNT",IF('Source build'!Y1543&lt;&gt;0,"CHANGED FIELDS","MATCH")))))))</f>
        <v>MATCH</v>
      </c>
      <c r="P1543" s="1" t="str">
        <f t="shared" ref="P1543:P1606" si="124">IF(I1543=1,LEFT(C1543,7),"")</f>
        <v>2026-03</v>
      </c>
    </row>
    <row r="1544" spans="1:16" ht="18.95" customHeight="1">
      <c r="A1544" s="7" t="s">
        <v>4039</v>
      </c>
      <c r="B1544" s="7" t="s">
        <v>4037</v>
      </c>
      <c r="C1544" s="7" t="s">
        <v>386</v>
      </c>
      <c r="D1544" s="7" t="s">
        <v>97</v>
      </c>
      <c r="E1544" s="7" t="s">
        <v>47</v>
      </c>
      <c r="F1544" s="7" t="s">
        <v>98</v>
      </c>
      <c r="G1544" s="7" t="s">
        <v>4040</v>
      </c>
      <c r="I1544" s="1">
        <f t="shared" si="120"/>
        <v>1</v>
      </c>
      <c r="J1544" s="1" t="str">
        <f>'Source build'!A1544</f>
        <v>L01538</v>
      </c>
      <c r="K1544" s="1">
        <f>1544</f>
        <v>1544</v>
      </c>
      <c r="L1544" s="10">
        <f t="shared" si="121"/>
        <v>46840</v>
      </c>
      <c r="M1544" s="1">
        <f t="shared" si="122"/>
        <v>1</v>
      </c>
      <c r="N1544" s="1">
        <f t="shared" si="123"/>
        <v>1</v>
      </c>
      <c r="O1544" s="1" t="str">
        <f>IF(I1544=0,"UNUSED",IF(A1544="","MISSING ID",IF(K1544=0,"UNEXPECTED ID",IF(N1544&lt;&gt;1,"ID / ORDER DIFFERENCE",IF('Source build'!U1544&lt;&gt;"INCLUDED","EXCLUDED SOURCE",IF(NOT(M1544),"INVALID AMOUNT",IF('Source build'!Y1544&lt;&gt;0,"CHANGED FIELDS","MATCH")))))))</f>
        <v>MATCH</v>
      </c>
      <c r="P1544" s="1" t="str">
        <f t="shared" si="124"/>
        <v>2026-03</v>
      </c>
    </row>
    <row r="1545" spans="1:16" ht="18.95" customHeight="1">
      <c r="A1545" s="7" t="s">
        <v>4041</v>
      </c>
      <c r="B1545" s="7" t="s">
        <v>4042</v>
      </c>
      <c r="C1545" s="7" t="s">
        <v>392</v>
      </c>
      <c r="D1545" s="7" t="s">
        <v>103</v>
      </c>
      <c r="E1545" s="7" t="s">
        <v>48</v>
      </c>
      <c r="F1545" s="7" t="s">
        <v>98</v>
      </c>
      <c r="G1545" s="7" t="s">
        <v>4043</v>
      </c>
      <c r="I1545" s="1">
        <f t="shared" si="120"/>
        <v>1</v>
      </c>
      <c r="J1545" s="1" t="str">
        <f>'Source build'!A1545</f>
        <v>L01539</v>
      </c>
      <c r="K1545" s="1">
        <f>1545</f>
        <v>1545</v>
      </c>
      <c r="L1545" s="10">
        <f t="shared" si="121"/>
        <v>18810</v>
      </c>
      <c r="M1545" s="1">
        <f t="shared" si="122"/>
        <v>1</v>
      </c>
      <c r="N1545" s="1">
        <f t="shared" si="123"/>
        <v>1</v>
      </c>
      <c r="O1545" s="1" t="str">
        <f>IF(I1545=0,"UNUSED",IF(A1545="","MISSING ID",IF(K1545=0,"UNEXPECTED ID",IF(N1545&lt;&gt;1,"ID / ORDER DIFFERENCE",IF('Source build'!U1545&lt;&gt;"INCLUDED","EXCLUDED SOURCE",IF(NOT(M1545),"INVALID AMOUNT",IF('Source build'!Y1545&lt;&gt;0,"CHANGED FIELDS","MATCH")))))))</f>
        <v>MATCH</v>
      </c>
      <c r="P1545" s="1" t="str">
        <f t="shared" si="124"/>
        <v>2026-03</v>
      </c>
    </row>
    <row r="1546" spans="1:16" ht="18.95" customHeight="1">
      <c r="A1546" s="7" t="s">
        <v>4044</v>
      </c>
      <c r="B1546" s="7" t="s">
        <v>4042</v>
      </c>
      <c r="C1546" s="7" t="s">
        <v>392</v>
      </c>
      <c r="D1546" s="7" t="s">
        <v>93</v>
      </c>
      <c r="E1546" s="7" t="s">
        <v>46</v>
      </c>
      <c r="F1546" s="7" t="s">
        <v>98</v>
      </c>
      <c r="G1546" s="7" t="s">
        <v>4045</v>
      </c>
      <c r="I1546" s="1">
        <f t="shared" si="120"/>
        <v>1</v>
      </c>
      <c r="J1546" s="1" t="str">
        <f>'Source build'!A1546</f>
        <v>L01540</v>
      </c>
      <c r="K1546" s="1">
        <f>1546</f>
        <v>1546</v>
      </c>
      <c r="L1546" s="10">
        <f t="shared" si="121"/>
        <v>37768</v>
      </c>
      <c r="M1546" s="1">
        <f t="shared" si="122"/>
        <v>1</v>
      </c>
      <c r="N1546" s="1">
        <f t="shared" si="123"/>
        <v>1</v>
      </c>
      <c r="O1546" s="1" t="str">
        <f>IF(I1546=0,"UNUSED",IF(A1546="","MISSING ID",IF(K1546=0,"UNEXPECTED ID",IF(N1546&lt;&gt;1,"ID / ORDER DIFFERENCE",IF('Source build'!U1546&lt;&gt;"INCLUDED","EXCLUDED SOURCE",IF(NOT(M1546),"INVALID AMOUNT",IF('Source build'!Y1546&lt;&gt;0,"CHANGED FIELDS","MATCH")))))))</f>
        <v>MATCH</v>
      </c>
      <c r="P1546" s="1" t="str">
        <f t="shared" si="124"/>
        <v>2026-03</v>
      </c>
    </row>
    <row r="1547" spans="1:16" ht="18.95" customHeight="1">
      <c r="A1547" s="7" t="s">
        <v>4046</v>
      </c>
      <c r="B1547" s="7" t="s">
        <v>4047</v>
      </c>
      <c r="C1547" s="7" t="s">
        <v>398</v>
      </c>
      <c r="D1547" s="7" t="s">
        <v>97</v>
      </c>
      <c r="E1547" s="7" t="s">
        <v>47</v>
      </c>
      <c r="F1547" s="7" t="s">
        <v>98</v>
      </c>
      <c r="G1547" s="7" t="s">
        <v>4049</v>
      </c>
      <c r="I1547" s="1">
        <f t="shared" si="120"/>
        <v>1</v>
      </c>
      <c r="J1547" s="1" t="str">
        <f>'Source build'!A1547</f>
        <v>L01541</v>
      </c>
      <c r="K1547" s="1">
        <f>1547</f>
        <v>1547</v>
      </c>
      <c r="L1547" s="10">
        <f t="shared" si="121"/>
        <v>9479</v>
      </c>
      <c r="M1547" s="1">
        <f t="shared" si="122"/>
        <v>1</v>
      </c>
      <c r="N1547" s="1">
        <f t="shared" si="123"/>
        <v>1</v>
      </c>
      <c r="O1547" s="1" t="str">
        <f>IF(I1547=0,"UNUSED",IF(A1547="","MISSING ID",IF(K1547=0,"UNEXPECTED ID",IF(N1547&lt;&gt;1,"ID / ORDER DIFFERENCE",IF('Source build'!U1547&lt;&gt;"INCLUDED","EXCLUDED SOURCE",IF(NOT(M1547),"INVALID AMOUNT",IF('Source build'!Y1547&lt;&gt;0,"CHANGED FIELDS","MATCH")))))))</f>
        <v>MATCH</v>
      </c>
      <c r="P1547" s="1" t="str">
        <f t="shared" si="124"/>
        <v>2026-03</v>
      </c>
    </row>
    <row r="1548" spans="1:16" ht="18.95" customHeight="1">
      <c r="A1548" s="7" t="s">
        <v>4050</v>
      </c>
      <c r="B1548" s="7" t="s">
        <v>4047</v>
      </c>
      <c r="C1548" s="7" t="s">
        <v>398</v>
      </c>
      <c r="D1548" s="7" t="s">
        <v>103</v>
      </c>
      <c r="E1548" s="7" t="s">
        <v>48</v>
      </c>
      <c r="F1548" s="7" t="s">
        <v>94</v>
      </c>
      <c r="G1548" s="7" t="s">
        <v>4051</v>
      </c>
      <c r="I1548" s="1">
        <f t="shared" si="120"/>
        <v>1</v>
      </c>
      <c r="J1548" s="1" t="str">
        <f>'Source build'!A1548</f>
        <v>L01542</v>
      </c>
      <c r="K1548" s="1">
        <f>1548</f>
        <v>1548</v>
      </c>
      <c r="L1548" s="10">
        <f t="shared" si="121"/>
        <v>-28548</v>
      </c>
      <c r="M1548" s="1">
        <f t="shared" si="122"/>
        <v>1</v>
      </c>
      <c r="N1548" s="1">
        <f t="shared" si="123"/>
        <v>1</v>
      </c>
      <c r="O1548" s="1" t="str">
        <f>IF(I1548=0,"UNUSED",IF(A1548="","MISSING ID",IF(K1548=0,"UNEXPECTED ID",IF(N1548&lt;&gt;1,"ID / ORDER DIFFERENCE",IF('Source build'!U1548&lt;&gt;"INCLUDED","EXCLUDED SOURCE",IF(NOT(M1548),"INVALID AMOUNT",IF('Source build'!Y1548&lt;&gt;0,"CHANGED FIELDS","MATCH")))))))</f>
        <v>MATCH</v>
      </c>
      <c r="P1548" s="1" t="str">
        <f t="shared" si="124"/>
        <v>2026-03</v>
      </c>
    </row>
    <row r="1549" spans="1:16" ht="18.95" customHeight="1">
      <c r="A1549" s="7" t="s">
        <v>4052</v>
      </c>
      <c r="B1549" s="7" t="s">
        <v>4053</v>
      </c>
      <c r="C1549" s="7" t="s">
        <v>404</v>
      </c>
      <c r="D1549" s="7" t="s">
        <v>93</v>
      </c>
      <c r="E1549" s="7" t="s">
        <v>46</v>
      </c>
      <c r="F1549" s="7" t="s">
        <v>98</v>
      </c>
      <c r="G1549" s="7" t="s">
        <v>4054</v>
      </c>
      <c r="I1549" s="1">
        <f t="shared" si="120"/>
        <v>1</v>
      </c>
      <c r="J1549" s="1" t="str">
        <f>'Source build'!A1549</f>
        <v>L01543</v>
      </c>
      <c r="K1549" s="1">
        <f>1549</f>
        <v>1549</v>
      </c>
      <c r="L1549" s="10">
        <f t="shared" si="121"/>
        <v>47765</v>
      </c>
      <c r="M1549" s="1">
        <f t="shared" si="122"/>
        <v>1</v>
      </c>
      <c r="N1549" s="1">
        <f t="shared" si="123"/>
        <v>1</v>
      </c>
      <c r="O1549" s="1" t="str">
        <f>IF(I1549=0,"UNUSED",IF(A1549="","MISSING ID",IF(K1549=0,"UNEXPECTED ID",IF(N1549&lt;&gt;1,"ID / ORDER DIFFERENCE",IF('Source build'!U1549&lt;&gt;"INCLUDED","EXCLUDED SOURCE",IF(NOT(M1549),"INVALID AMOUNT",IF('Source build'!Y1549&lt;&gt;0,"CHANGED FIELDS","MATCH")))))))</f>
        <v>MATCH</v>
      </c>
      <c r="P1549" s="1" t="str">
        <f t="shared" si="124"/>
        <v>2026-03</v>
      </c>
    </row>
    <row r="1550" spans="1:16" ht="18.95" customHeight="1">
      <c r="A1550" s="7" t="s">
        <v>4055</v>
      </c>
      <c r="B1550" s="7" t="s">
        <v>4053</v>
      </c>
      <c r="C1550" s="7" t="s">
        <v>404</v>
      </c>
      <c r="D1550" s="7" t="s">
        <v>97</v>
      </c>
      <c r="E1550" s="7" t="s">
        <v>47</v>
      </c>
      <c r="F1550" s="7" t="s">
        <v>98</v>
      </c>
      <c r="G1550" s="7" t="s">
        <v>4056</v>
      </c>
      <c r="I1550" s="1">
        <f t="shared" si="120"/>
        <v>1</v>
      </c>
      <c r="J1550" s="1" t="str">
        <f>'Source build'!A1550</f>
        <v>L01544</v>
      </c>
      <c r="K1550" s="1">
        <f>1550</f>
        <v>1550</v>
      </c>
      <c r="L1550" s="10">
        <f t="shared" si="121"/>
        <v>19180</v>
      </c>
      <c r="M1550" s="1">
        <f t="shared" si="122"/>
        <v>1</v>
      </c>
      <c r="N1550" s="1">
        <f t="shared" si="123"/>
        <v>1</v>
      </c>
      <c r="O1550" s="1" t="str">
        <f>IF(I1550=0,"UNUSED",IF(A1550="","MISSING ID",IF(K1550=0,"UNEXPECTED ID",IF(N1550&lt;&gt;1,"ID / ORDER DIFFERENCE",IF('Source build'!U1550&lt;&gt;"INCLUDED","EXCLUDED SOURCE",IF(NOT(M1550),"INVALID AMOUNT",IF('Source build'!Y1550&lt;&gt;0,"CHANGED FIELDS","MATCH")))))))</f>
        <v>MATCH</v>
      </c>
      <c r="P1550" s="1" t="str">
        <f t="shared" si="124"/>
        <v>2026-03</v>
      </c>
    </row>
    <row r="1551" spans="1:16" ht="18.95" customHeight="1">
      <c r="A1551" s="7" t="s">
        <v>4057</v>
      </c>
      <c r="B1551" s="7" t="s">
        <v>4058</v>
      </c>
      <c r="C1551" s="7" t="s">
        <v>410</v>
      </c>
      <c r="D1551" s="7" t="s">
        <v>103</v>
      </c>
      <c r="E1551" s="7" t="s">
        <v>48</v>
      </c>
      <c r="F1551" s="7" t="s">
        <v>98</v>
      </c>
      <c r="G1551" s="7" t="s">
        <v>4059</v>
      </c>
      <c r="I1551" s="1">
        <f t="shared" si="120"/>
        <v>1</v>
      </c>
      <c r="J1551" s="1" t="str">
        <f>'Source build'!A1551</f>
        <v>L01545</v>
      </c>
      <c r="K1551" s="1">
        <f>1551</f>
        <v>1551</v>
      </c>
      <c r="L1551" s="10">
        <f t="shared" si="121"/>
        <v>38508</v>
      </c>
      <c r="M1551" s="1">
        <f t="shared" si="122"/>
        <v>1</v>
      </c>
      <c r="N1551" s="1">
        <f t="shared" si="123"/>
        <v>1</v>
      </c>
      <c r="O1551" s="1" t="str">
        <f>IF(I1551=0,"UNUSED",IF(A1551="","MISSING ID",IF(K1551=0,"UNEXPECTED ID",IF(N1551&lt;&gt;1,"ID / ORDER DIFFERENCE",IF('Source build'!U1551&lt;&gt;"INCLUDED","EXCLUDED SOURCE",IF(NOT(M1551),"INVALID AMOUNT",IF('Source build'!Y1551&lt;&gt;0,"CHANGED FIELDS","MATCH")))))))</f>
        <v>MATCH</v>
      </c>
      <c r="P1551" s="1" t="str">
        <f t="shared" si="124"/>
        <v>2026-01</v>
      </c>
    </row>
    <row r="1552" spans="1:16" ht="18.95" customHeight="1">
      <c r="A1552" s="7" t="s">
        <v>4060</v>
      </c>
      <c r="B1552" s="7" t="s">
        <v>4058</v>
      </c>
      <c r="C1552" s="7" t="s">
        <v>410</v>
      </c>
      <c r="D1552" s="7" t="s">
        <v>93</v>
      </c>
      <c r="E1552" s="7" t="s">
        <v>46</v>
      </c>
      <c r="F1552" s="7" t="s">
        <v>98</v>
      </c>
      <c r="G1552" s="7" t="s">
        <v>4061</v>
      </c>
      <c r="I1552" s="1">
        <f t="shared" si="120"/>
        <v>1</v>
      </c>
      <c r="J1552" s="1" t="str">
        <f>'Source build'!A1552</f>
        <v>L01546</v>
      </c>
      <c r="K1552" s="1">
        <f>1552</f>
        <v>1552</v>
      </c>
      <c r="L1552" s="10">
        <f t="shared" si="121"/>
        <v>9664</v>
      </c>
      <c r="M1552" s="1">
        <f t="shared" si="122"/>
        <v>1</v>
      </c>
      <c r="N1552" s="1">
        <f t="shared" si="123"/>
        <v>1</v>
      </c>
      <c r="O1552" s="1" t="str">
        <f>IF(I1552=0,"UNUSED",IF(A1552="","MISSING ID",IF(K1552=0,"UNEXPECTED ID",IF(N1552&lt;&gt;1,"ID / ORDER DIFFERENCE",IF('Source build'!U1552&lt;&gt;"INCLUDED","EXCLUDED SOURCE",IF(NOT(M1552),"INVALID AMOUNT",IF('Source build'!Y1552&lt;&gt;0,"CHANGED FIELDS","MATCH")))))))</f>
        <v>MATCH</v>
      </c>
      <c r="P1552" s="1" t="str">
        <f t="shared" si="124"/>
        <v>2026-01</v>
      </c>
    </row>
    <row r="1553" spans="1:16" ht="18.95" customHeight="1">
      <c r="A1553" s="7" t="s">
        <v>4062</v>
      </c>
      <c r="B1553" s="7" t="s">
        <v>4063</v>
      </c>
      <c r="C1553" s="7" t="s">
        <v>416</v>
      </c>
      <c r="D1553" s="7" t="s">
        <v>97</v>
      </c>
      <c r="E1553" s="7" t="s">
        <v>47</v>
      </c>
      <c r="F1553" s="7" t="s">
        <v>98</v>
      </c>
      <c r="G1553" s="7" t="s">
        <v>4064</v>
      </c>
      <c r="I1553" s="1">
        <f t="shared" si="120"/>
        <v>1</v>
      </c>
      <c r="J1553" s="1" t="str">
        <f>'Source build'!A1553</f>
        <v>L01547</v>
      </c>
      <c r="K1553" s="1">
        <f>1553</f>
        <v>1553</v>
      </c>
      <c r="L1553" s="10">
        <f t="shared" si="121"/>
        <v>29103</v>
      </c>
      <c r="M1553" s="1">
        <f t="shared" si="122"/>
        <v>1</v>
      </c>
      <c r="N1553" s="1">
        <f t="shared" si="123"/>
        <v>1</v>
      </c>
      <c r="O1553" s="1" t="str">
        <f>IF(I1553=0,"UNUSED",IF(A1553="","MISSING ID",IF(K1553=0,"UNEXPECTED ID",IF(N1553&lt;&gt;1,"ID / ORDER DIFFERENCE",IF('Source build'!U1553&lt;&gt;"INCLUDED","EXCLUDED SOURCE",IF(NOT(M1553),"INVALID AMOUNT",IF('Source build'!Y1553&lt;&gt;0,"CHANGED FIELDS","MATCH")))))))</f>
        <v>MATCH</v>
      </c>
      <c r="P1553" s="1" t="str">
        <f t="shared" si="124"/>
        <v>2026-01</v>
      </c>
    </row>
    <row r="1554" spans="1:16" ht="18.95" customHeight="1">
      <c r="A1554" s="7" t="s">
        <v>4065</v>
      </c>
      <c r="B1554" s="7" t="s">
        <v>4063</v>
      </c>
      <c r="C1554" s="7" t="s">
        <v>416</v>
      </c>
      <c r="D1554" s="7" t="s">
        <v>103</v>
      </c>
      <c r="E1554" s="7" t="s">
        <v>48</v>
      </c>
      <c r="F1554" s="7" t="s">
        <v>98</v>
      </c>
      <c r="G1554" s="7" t="s">
        <v>4066</v>
      </c>
      <c r="I1554" s="1">
        <f t="shared" si="120"/>
        <v>1</v>
      </c>
      <c r="J1554" s="1" t="str">
        <f>'Source build'!A1554</f>
        <v>L01548</v>
      </c>
      <c r="K1554" s="1">
        <f>1554</f>
        <v>1554</v>
      </c>
      <c r="L1554" s="10">
        <f t="shared" si="121"/>
        <v>48690</v>
      </c>
      <c r="M1554" s="1">
        <f t="shared" si="122"/>
        <v>1</v>
      </c>
      <c r="N1554" s="1">
        <f t="shared" si="123"/>
        <v>1</v>
      </c>
      <c r="O1554" s="1" t="str">
        <f>IF(I1554=0,"UNUSED",IF(A1554="","MISSING ID",IF(K1554=0,"UNEXPECTED ID",IF(N1554&lt;&gt;1,"ID / ORDER DIFFERENCE",IF('Source build'!U1554&lt;&gt;"INCLUDED","EXCLUDED SOURCE",IF(NOT(M1554),"INVALID AMOUNT",IF('Source build'!Y1554&lt;&gt;0,"CHANGED FIELDS","MATCH")))))))</f>
        <v>MATCH</v>
      </c>
      <c r="P1554" s="1" t="str">
        <f t="shared" si="124"/>
        <v>2026-01</v>
      </c>
    </row>
    <row r="1555" spans="1:16" ht="18.95" customHeight="1">
      <c r="A1555" s="7" t="s">
        <v>4067</v>
      </c>
      <c r="B1555" s="7" t="s">
        <v>4068</v>
      </c>
      <c r="C1555" s="7" t="s">
        <v>422</v>
      </c>
      <c r="D1555" s="7" t="s">
        <v>93</v>
      </c>
      <c r="E1555" s="7" t="s">
        <v>46</v>
      </c>
      <c r="F1555" s="7" t="s">
        <v>98</v>
      </c>
      <c r="G1555" s="7" t="s">
        <v>4069</v>
      </c>
      <c r="I1555" s="1">
        <f t="shared" si="120"/>
        <v>1</v>
      </c>
      <c r="J1555" s="1" t="str">
        <f>'Source build'!A1555</f>
        <v>L01549</v>
      </c>
      <c r="K1555" s="1">
        <f>1555</f>
        <v>1555</v>
      </c>
      <c r="L1555" s="10">
        <f t="shared" si="121"/>
        <v>19550</v>
      </c>
      <c r="M1555" s="1">
        <f t="shared" si="122"/>
        <v>1</v>
      </c>
      <c r="N1555" s="1">
        <f t="shared" si="123"/>
        <v>1</v>
      </c>
      <c r="O1555" s="1" t="str">
        <f>IF(I1555=0,"UNUSED",IF(A1555="","MISSING ID",IF(K1555=0,"UNEXPECTED ID",IF(N1555&lt;&gt;1,"ID / ORDER DIFFERENCE",IF('Source build'!U1555&lt;&gt;"INCLUDED","EXCLUDED SOURCE",IF(NOT(M1555),"INVALID AMOUNT",IF('Source build'!Y1555&lt;&gt;0,"CHANGED FIELDS","MATCH")))))))</f>
        <v>MATCH</v>
      </c>
      <c r="P1555" s="1" t="str">
        <f t="shared" si="124"/>
        <v>2026-01</v>
      </c>
    </row>
    <row r="1556" spans="1:16" ht="18.95" customHeight="1">
      <c r="A1556" s="7" t="s">
        <v>4070</v>
      </c>
      <c r="B1556" s="7" t="s">
        <v>4068</v>
      </c>
      <c r="C1556" s="7" t="s">
        <v>422</v>
      </c>
      <c r="D1556" s="7" t="s">
        <v>97</v>
      </c>
      <c r="E1556" s="7" t="s">
        <v>47</v>
      </c>
      <c r="F1556" s="7" t="s">
        <v>98</v>
      </c>
      <c r="G1556" s="7" t="s">
        <v>4071</v>
      </c>
      <c r="I1556" s="1">
        <f t="shared" si="120"/>
        <v>1</v>
      </c>
      <c r="J1556" s="1" t="str">
        <f>'Source build'!A1556</f>
        <v>L01550</v>
      </c>
      <c r="K1556" s="1">
        <f>1556</f>
        <v>1556</v>
      </c>
      <c r="L1556" s="10">
        <f t="shared" si="121"/>
        <v>39248</v>
      </c>
      <c r="M1556" s="1">
        <f t="shared" si="122"/>
        <v>1</v>
      </c>
      <c r="N1556" s="1">
        <f t="shared" si="123"/>
        <v>1</v>
      </c>
      <c r="O1556" s="1" t="str">
        <f>IF(I1556=0,"UNUSED",IF(A1556="","MISSING ID",IF(K1556=0,"UNEXPECTED ID",IF(N1556&lt;&gt;1,"ID / ORDER DIFFERENCE",IF('Source build'!U1556&lt;&gt;"INCLUDED","EXCLUDED SOURCE",IF(NOT(M1556),"INVALID AMOUNT",IF('Source build'!Y1556&lt;&gt;0,"CHANGED FIELDS","MATCH")))))))</f>
        <v>MATCH</v>
      </c>
      <c r="P1556" s="1" t="str">
        <f t="shared" si="124"/>
        <v>2026-01</v>
      </c>
    </row>
    <row r="1557" spans="1:16" ht="18.95" customHeight="1">
      <c r="A1557" s="7" t="s">
        <v>4072</v>
      </c>
      <c r="B1557" s="7" t="s">
        <v>4073</v>
      </c>
      <c r="C1557" s="7" t="s">
        <v>428</v>
      </c>
      <c r="D1557" s="7" t="s">
        <v>103</v>
      </c>
      <c r="E1557" s="7" t="s">
        <v>48</v>
      </c>
      <c r="F1557" s="7" t="s">
        <v>98</v>
      </c>
      <c r="G1557" s="7" t="s">
        <v>4074</v>
      </c>
      <c r="I1557" s="1">
        <f t="shared" si="120"/>
        <v>1</v>
      </c>
      <c r="J1557" s="1" t="str">
        <f>'Source build'!A1557</f>
        <v>L01551</v>
      </c>
      <c r="K1557" s="1">
        <f>1557</f>
        <v>1557</v>
      </c>
      <c r="L1557" s="10">
        <f t="shared" si="121"/>
        <v>9849</v>
      </c>
      <c r="M1557" s="1">
        <f t="shared" si="122"/>
        <v>1</v>
      </c>
      <c r="N1557" s="1">
        <f t="shared" si="123"/>
        <v>1</v>
      </c>
      <c r="O1557" s="1" t="str">
        <f>IF(I1557=0,"UNUSED",IF(A1557="","MISSING ID",IF(K1557=0,"UNEXPECTED ID",IF(N1557&lt;&gt;1,"ID / ORDER DIFFERENCE",IF('Source build'!U1557&lt;&gt;"INCLUDED","EXCLUDED SOURCE",IF(NOT(M1557),"INVALID AMOUNT",IF('Source build'!Y1557&lt;&gt;0,"CHANGED FIELDS","MATCH")))))))</f>
        <v>MATCH</v>
      </c>
      <c r="P1557" s="1" t="str">
        <f t="shared" si="124"/>
        <v>2026-01</v>
      </c>
    </row>
    <row r="1558" spans="1:16" ht="18.95" customHeight="1">
      <c r="A1558" s="7" t="s">
        <v>4075</v>
      </c>
      <c r="B1558" s="7" t="s">
        <v>4073</v>
      </c>
      <c r="C1558" s="7" t="s">
        <v>428</v>
      </c>
      <c r="D1558" s="7" t="s">
        <v>93</v>
      </c>
      <c r="E1558" s="7" t="s">
        <v>46</v>
      </c>
      <c r="F1558" s="7" t="s">
        <v>98</v>
      </c>
      <c r="G1558" s="7" t="s">
        <v>4076</v>
      </c>
      <c r="I1558" s="1">
        <f t="shared" si="120"/>
        <v>1</v>
      </c>
      <c r="J1558" s="1" t="str">
        <f>'Source build'!A1558</f>
        <v>L01552</v>
      </c>
      <c r="K1558" s="1">
        <f>1558</f>
        <v>1558</v>
      </c>
      <c r="L1558" s="10">
        <f t="shared" si="121"/>
        <v>29658</v>
      </c>
      <c r="M1558" s="1">
        <f t="shared" si="122"/>
        <v>1</v>
      </c>
      <c r="N1558" s="1">
        <f t="shared" si="123"/>
        <v>1</v>
      </c>
      <c r="O1558" s="1" t="str">
        <f>IF(I1558=0,"UNUSED",IF(A1558="","MISSING ID",IF(K1558=0,"UNEXPECTED ID",IF(N1558&lt;&gt;1,"ID / ORDER DIFFERENCE",IF('Source build'!U1558&lt;&gt;"INCLUDED","EXCLUDED SOURCE",IF(NOT(M1558),"INVALID AMOUNT",IF('Source build'!Y1558&lt;&gt;0,"CHANGED FIELDS","MATCH")))))))</f>
        <v>MATCH</v>
      </c>
      <c r="P1558" s="1" t="str">
        <f t="shared" si="124"/>
        <v>2026-01</v>
      </c>
    </row>
    <row r="1559" spans="1:16" ht="18.95" customHeight="1">
      <c r="A1559" s="7" t="s">
        <v>4077</v>
      </c>
      <c r="B1559" s="7" t="s">
        <v>4078</v>
      </c>
      <c r="C1559" s="7" t="s">
        <v>434</v>
      </c>
      <c r="D1559" s="7" t="s">
        <v>97</v>
      </c>
      <c r="E1559" s="7" t="s">
        <v>47</v>
      </c>
      <c r="F1559" s="7" t="s">
        <v>98</v>
      </c>
      <c r="G1559" s="7" t="s">
        <v>4079</v>
      </c>
      <c r="I1559" s="1">
        <f t="shared" si="120"/>
        <v>1</v>
      </c>
      <c r="J1559" s="1" t="str">
        <f>'Source build'!A1559</f>
        <v>L01553</v>
      </c>
      <c r="K1559" s="1">
        <f>1559</f>
        <v>1559</v>
      </c>
      <c r="L1559" s="10">
        <f t="shared" si="121"/>
        <v>49615</v>
      </c>
      <c r="M1559" s="1">
        <f t="shared" si="122"/>
        <v>1</v>
      </c>
      <c r="N1559" s="1">
        <f t="shared" si="123"/>
        <v>1</v>
      </c>
      <c r="O1559" s="1" t="str">
        <f>IF(I1559=0,"UNUSED",IF(A1559="","MISSING ID",IF(K1559=0,"UNEXPECTED ID",IF(N1559&lt;&gt;1,"ID / ORDER DIFFERENCE",IF('Source build'!U1559&lt;&gt;"INCLUDED","EXCLUDED SOURCE",IF(NOT(M1559),"INVALID AMOUNT",IF('Source build'!Y1559&lt;&gt;0,"CHANGED FIELDS","MATCH")))))))</f>
        <v>MATCH</v>
      </c>
      <c r="P1559" s="1" t="str">
        <f t="shared" si="124"/>
        <v>2026-02</v>
      </c>
    </row>
    <row r="1560" spans="1:16" ht="18.95" customHeight="1">
      <c r="A1560" s="7" t="s">
        <v>4080</v>
      </c>
      <c r="B1560" s="7" t="s">
        <v>4078</v>
      </c>
      <c r="C1560" s="7" t="s">
        <v>434</v>
      </c>
      <c r="D1560" s="7" t="s">
        <v>103</v>
      </c>
      <c r="E1560" s="7" t="s">
        <v>48</v>
      </c>
      <c r="F1560" s="7" t="s">
        <v>98</v>
      </c>
      <c r="G1560" s="7" t="s">
        <v>4081</v>
      </c>
      <c r="I1560" s="1">
        <f t="shared" si="120"/>
        <v>1</v>
      </c>
      <c r="J1560" s="1" t="str">
        <f>'Source build'!A1560</f>
        <v>L01554</v>
      </c>
      <c r="K1560" s="1">
        <f>1560</f>
        <v>1560</v>
      </c>
      <c r="L1560" s="10">
        <f t="shared" si="121"/>
        <v>19920</v>
      </c>
      <c r="M1560" s="1">
        <f t="shared" si="122"/>
        <v>1</v>
      </c>
      <c r="N1560" s="1">
        <f t="shared" si="123"/>
        <v>1</v>
      </c>
      <c r="O1560" s="1" t="str">
        <f>IF(I1560=0,"UNUSED",IF(A1560="","MISSING ID",IF(K1560=0,"UNEXPECTED ID",IF(N1560&lt;&gt;1,"ID / ORDER DIFFERENCE",IF('Source build'!U1560&lt;&gt;"INCLUDED","EXCLUDED SOURCE",IF(NOT(M1560),"INVALID AMOUNT",IF('Source build'!Y1560&lt;&gt;0,"CHANGED FIELDS","MATCH")))))))</f>
        <v>MATCH</v>
      </c>
      <c r="P1560" s="1" t="str">
        <f t="shared" si="124"/>
        <v>2026-02</v>
      </c>
    </row>
    <row r="1561" spans="1:16" ht="18.95" customHeight="1">
      <c r="A1561" s="7" t="s">
        <v>4082</v>
      </c>
      <c r="B1561" s="7" t="s">
        <v>4083</v>
      </c>
      <c r="C1561" s="7" t="s">
        <v>440</v>
      </c>
      <c r="D1561" s="7" t="s">
        <v>93</v>
      </c>
      <c r="E1561" s="7" t="s">
        <v>46</v>
      </c>
      <c r="F1561" s="7" t="s">
        <v>98</v>
      </c>
      <c r="G1561" s="7" t="s">
        <v>4084</v>
      </c>
      <c r="I1561" s="1">
        <f t="shared" si="120"/>
        <v>1</v>
      </c>
      <c r="J1561" s="1" t="str">
        <f>'Source build'!A1561</f>
        <v>L01555</v>
      </c>
      <c r="K1561" s="1">
        <f>1561</f>
        <v>1561</v>
      </c>
      <c r="L1561" s="10">
        <f t="shared" si="121"/>
        <v>39988</v>
      </c>
      <c r="M1561" s="1">
        <f t="shared" si="122"/>
        <v>1</v>
      </c>
      <c r="N1561" s="1">
        <f t="shared" si="123"/>
        <v>1</v>
      </c>
      <c r="O1561" s="1" t="str">
        <f>IF(I1561=0,"UNUSED",IF(A1561="","MISSING ID",IF(K1561=0,"UNEXPECTED ID",IF(N1561&lt;&gt;1,"ID / ORDER DIFFERENCE",IF('Source build'!U1561&lt;&gt;"INCLUDED","EXCLUDED SOURCE",IF(NOT(M1561),"INVALID AMOUNT",IF('Source build'!Y1561&lt;&gt;0,"CHANGED FIELDS","MATCH")))))))</f>
        <v>MATCH</v>
      </c>
      <c r="P1561" s="1" t="str">
        <f t="shared" si="124"/>
        <v>2026-02</v>
      </c>
    </row>
    <row r="1562" spans="1:16" ht="18.95" customHeight="1">
      <c r="A1562" s="7" t="s">
        <v>4085</v>
      </c>
      <c r="B1562" s="7" t="s">
        <v>4083</v>
      </c>
      <c r="C1562" s="7" t="s">
        <v>440</v>
      </c>
      <c r="D1562" s="7" t="s">
        <v>97</v>
      </c>
      <c r="E1562" s="7" t="s">
        <v>47</v>
      </c>
      <c r="F1562" s="7" t="s">
        <v>98</v>
      </c>
      <c r="G1562" s="7" t="s">
        <v>4086</v>
      </c>
      <c r="I1562" s="1">
        <f t="shared" si="120"/>
        <v>1</v>
      </c>
      <c r="J1562" s="1" t="str">
        <f>'Source build'!A1562</f>
        <v>L01556</v>
      </c>
      <c r="K1562" s="1">
        <f>1562</f>
        <v>1562</v>
      </c>
      <c r="L1562" s="10">
        <f t="shared" si="121"/>
        <v>10034</v>
      </c>
      <c r="M1562" s="1">
        <f t="shared" si="122"/>
        <v>1</v>
      </c>
      <c r="N1562" s="1">
        <f t="shared" si="123"/>
        <v>1</v>
      </c>
      <c r="O1562" s="1" t="str">
        <f>IF(I1562=0,"UNUSED",IF(A1562="","MISSING ID",IF(K1562=0,"UNEXPECTED ID",IF(N1562&lt;&gt;1,"ID / ORDER DIFFERENCE",IF('Source build'!U1562&lt;&gt;"INCLUDED","EXCLUDED SOURCE",IF(NOT(M1562),"INVALID AMOUNT",IF('Source build'!Y1562&lt;&gt;0,"CHANGED FIELDS","MATCH")))))))</f>
        <v>MATCH</v>
      </c>
      <c r="P1562" s="1" t="str">
        <f t="shared" si="124"/>
        <v>2026-02</v>
      </c>
    </row>
    <row r="1563" spans="1:16" ht="18.95" customHeight="1">
      <c r="A1563" s="7" t="s">
        <v>4087</v>
      </c>
      <c r="B1563" s="7" t="s">
        <v>4088</v>
      </c>
      <c r="C1563" s="7" t="s">
        <v>446</v>
      </c>
      <c r="D1563" s="7" t="s">
        <v>103</v>
      </c>
      <c r="E1563" s="7" t="s">
        <v>48</v>
      </c>
      <c r="F1563" s="7" t="s">
        <v>98</v>
      </c>
      <c r="G1563" s="7" t="s">
        <v>4089</v>
      </c>
      <c r="I1563" s="1">
        <f t="shared" si="120"/>
        <v>1</v>
      </c>
      <c r="J1563" s="1" t="str">
        <f>'Source build'!A1563</f>
        <v>L01557</v>
      </c>
      <c r="K1563" s="1">
        <f>1563</f>
        <v>1563</v>
      </c>
      <c r="L1563" s="10">
        <f t="shared" si="121"/>
        <v>30213</v>
      </c>
      <c r="M1563" s="1">
        <f t="shared" si="122"/>
        <v>1</v>
      </c>
      <c r="N1563" s="1">
        <f t="shared" si="123"/>
        <v>1</v>
      </c>
      <c r="O1563" s="1" t="str">
        <f>IF(I1563=0,"UNUSED",IF(A1563="","MISSING ID",IF(K1563=0,"UNEXPECTED ID",IF(N1563&lt;&gt;1,"ID / ORDER DIFFERENCE",IF('Source build'!U1563&lt;&gt;"INCLUDED","EXCLUDED SOURCE",IF(NOT(M1563),"INVALID AMOUNT",IF('Source build'!Y1563&lt;&gt;0,"CHANGED FIELDS","MATCH")))))))</f>
        <v>MATCH</v>
      </c>
      <c r="P1563" s="1" t="str">
        <f t="shared" si="124"/>
        <v>2026-02</v>
      </c>
    </row>
    <row r="1564" spans="1:16" ht="18.95" customHeight="1">
      <c r="A1564" s="7" t="s">
        <v>4090</v>
      </c>
      <c r="B1564" s="7" t="s">
        <v>4088</v>
      </c>
      <c r="C1564" s="7" t="s">
        <v>446</v>
      </c>
      <c r="D1564" s="7" t="s">
        <v>93</v>
      </c>
      <c r="E1564" s="7" t="s">
        <v>46</v>
      </c>
      <c r="F1564" s="7" t="s">
        <v>98</v>
      </c>
      <c r="G1564" s="7" t="s">
        <v>4091</v>
      </c>
      <c r="I1564" s="1">
        <f t="shared" si="120"/>
        <v>1</v>
      </c>
      <c r="J1564" s="1" t="str">
        <f>'Source build'!A1564</f>
        <v>L01558</v>
      </c>
      <c r="K1564" s="1">
        <f>1564</f>
        <v>1564</v>
      </c>
      <c r="L1564" s="10">
        <f t="shared" si="121"/>
        <v>50540</v>
      </c>
      <c r="M1564" s="1">
        <f t="shared" si="122"/>
        <v>1</v>
      </c>
      <c r="N1564" s="1">
        <f t="shared" si="123"/>
        <v>1</v>
      </c>
      <c r="O1564" s="1" t="str">
        <f>IF(I1564=0,"UNUSED",IF(A1564="","MISSING ID",IF(K1564=0,"UNEXPECTED ID",IF(N1564&lt;&gt;1,"ID / ORDER DIFFERENCE",IF('Source build'!U1564&lt;&gt;"INCLUDED","EXCLUDED SOURCE",IF(NOT(M1564),"INVALID AMOUNT",IF('Source build'!Y1564&lt;&gt;0,"CHANGED FIELDS","MATCH")))))))</f>
        <v>MATCH</v>
      </c>
      <c r="P1564" s="1" t="str">
        <f t="shared" si="124"/>
        <v>2026-02</v>
      </c>
    </row>
    <row r="1565" spans="1:16" ht="18.95" customHeight="1">
      <c r="A1565" s="7" t="s">
        <v>4092</v>
      </c>
      <c r="B1565" s="7" t="s">
        <v>4093</v>
      </c>
      <c r="C1565" s="7" t="s">
        <v>452</v>
      </c>
      <c r="D1565" s="7" t="s">
        <v>97</v>
      </c>
      <c r="E1565" s="7" t="s">
        <v>47</v>
      </c>
      <c r="F1565" s="7" t="s">
        <v>98</v>
      </c>
      <c r="G1565" s="7" t="s">
        <v>4094</v>
      </c>
      <c r="I1565" s="1">
        <f t="shared" si="120"/>
        <v>1</v>
      </c>
      <c r="J1565" s="1" t="str">
        <f>'Source build'!A1565</f>
        <v>L01559</v>
      </c>
      <c r="K1565" s="1">
        <f>1565</f>
        <v>1565</v>
      </c>
      <c r="L1565" s="10">
        <f t="shared" si="121"/>
        <v>20290</v>
      </c>
      <c r="M1565" s="1">
        <f t="shared" si="122"/>
        <v>1</v>
      </c>
      <c r="N1565" s="1">
        <f t="shared" si="123"/>
        <v>1</v>
      </c>
      <c r="O1565" s="1" t="str">
        <f>IF(I1565=0,"UNUSED",IF(A1565="","MISSING ID",IF(K1565=0,"UNEXPECTED ID",IF(N1565&lt;&gt;1,"ID / ORDER DIFFERENCE",IF('Source build'!U1565&lt;&gt;"INCLUDED","EXCLUDED SOURCE",IF(NOT(M1565),"INVALID AMOUNT",IF('Source build'!Y1565&lt;&gt;0,"CHANGED FIELDS","MATCH")))))))</f>
        <v>MATCH</v>
      </c>
      <c r="P1565" s="1" t="str">
        <f t="shared" si="124"/>
        <v>2026-02</v>
      </c>
    </row>
    <row r="1566" spans="1:16" ht="18.95" customHeight="1">
      <c r="A1566" s="7" t="s">
        <v>4095</v>
      </c>
      <c r="B1566" s="7" t="s">
        <v>4093</v>
      </c>
      <c r="C1566" s="7" t="s">
        <v>452</v>
      </c>
      <c r="D1566" s="7" t="s">
        <v>103</v>
      </c>
      <c r="E1566" s="7" t="s">
        <v>48</v>
      </c>
      <c r="F1566" s="7" t="s">
        <v>98</v>
      </c>
      <c r="G1566" s="7" t="s">
        <v>4096</v>
      </c>
      <c r="I1566" s="1">
        <f t="shared" si="120"/>
        <v>1</v>
      </c>
      <c r="J1566" s="1" t="str">
        <f>'Source build'!A1566</f>
        <v>L01560</v>
      </c>
      <c r="K1566" s="1">
        <f>1566</f>
        <v>1566</v>
      </c>
      <c r="L1566" s="10">
        <f t="shared" si="121"/>
        <v>40728</v>
      </c>
      <c r="M1566" s="1">
        <f t="shared" si="122"/>
        <v>1</v>
      </c>
      <c r="N1566" s="1">
        <f t="shared" si="123"/>
        <v>1</v>
      </c>
      <c r="O1566" s="1" t="str">
        <f>IF(I1566=0,"UNUSED",IF(A1566="","MISSING ID",IF(K1566=0,"UNEXPECTED ID",IF(N1566&lt;&gt;1,"ID / ORDER DIFFERENCE",IF('Source build'!U1566&lt;&gt;"INCLUDED","EXCLUDED SOURCE",IF(NOT(M1566),"INVALID AMOUNT",IF('Source build'!Y1566&lt;&gt;0,"CHANGED FIELDS","MATCH")))))))</f>
        <v>MATCH</v>
      </c>
      <c r="P1566" s="1" t="str">
        <f t="shared" si="124"/>
        <v>2026-02</v>
      </c>
    </row>
    <row r="1567" spans="1:16" ht="18.95" customHeight="1">
      <c r="A1567" s="7" t="s">
        <v>4097</v>
      </c>
      <c r="B1567" s="7" t="s">
        <v>4098</v>
      </c>
      <c r="C1567" s="7" t="s">
        <v>458</v>
      </c>
      <c r="D1567" s="7" t="s">
        <v>93</v>
      </c>
      <c r="E1567" s="7" t="s">
        <v>46</v>
      </c>
      <c r="F1567" s="7" t="s">
        <v>98</v>
      </c>
      <c r="G1567" s="7" t="s">
        <v>4099</v>
      </c>
      <c r="I1567" s="1">
        <f t="shared" si="120"/>
        <v>1</v>
      </c>
      <c r="J1567" s="1" t="str">
        <f>'Source build'!A1567</f>
        <v>L01561</v>
      </c>
      <c r="K1567" s="1">
        <f>1567</f>
        <v>1567</v>
      </c>
      <c r="L1567" s="10">
        <f t="shared" si="121"/>
        <v>10219</v>
      </c>
      <c r="M1567" s="1">
        <f t="shared" si="122"/>
        <v>1</v>
      </c>
      <c r="N1567" s="1">
        <f t="shared" si="123"/>
        <v>1</v>
      </c>
      <c r="O1567" s="1" t="str">
        <f>IF(I1567=0,"UNUSED",IF(A1567="","MISSING ID",IF(K1567=0,"UNEXPECTED ID",IF(N1567&lt;&gt;1,"ID / ORDER DIFFERENCE",IF('Source build'!U1567&lt;&gt;"INCLUDED","EXCLUDED SOURCE",IF(NOT(M1567),"INVALID AMOUNT",IF('Source build'!Y1567&lt;&gt;0,"CHANGED FIELDS","MATCH")))))))</f>
        <v>MATCH</v>
      </c>
      <c r="P1567" s="1" t="str">
        <f t="shared" si="124"/>
        <v>2026-03</v>
      </c>
    </row>
    <row r="1568" spans="1:16" ht="18.95" customHeight="1">
      <c r="A1568" s="7" t="s">
        <v>4100</v>
      </c>
      <c r="B1568" s="7" t="s">
        <v>4098</v>
      </c>
      <c r="C1568" s="7" t="s">
        <v>458</v>
      </c>
      <c r="D1568" s="7" t="s">
        <v>97</v>
      </c>
      <c r="E1568" s="7" t="s">
        <v>47</v>
      </c>
      <c r="F1568" s="7" t="s">
        <v>98</v>
      </c>
      <c r="G1568" s="7" t="s">
        <v>4101</v>
      </c>
      <c r="I1568" s="1">
        <f t="shared" si="120"/>
        <v>1</v>
      </c>
      <c r="J1568" s="1" t="str">
        <f>'Source build'!A1568</f>
        <v>L01562</v>
      </c>
      <c r="K1568" s="1">
        <f>1568</f>
        <v>1568</v>
      </c>
      <c r="L1568" s="10">
        <f t="shared" si="121"/>
        <v>30768</v>
      </c>
      <c r="M1568" s="1">
        <f t="shared" si="122"/>
        <v>1</v>
      </c>
      <c r="N1568" s="1">
        <f t="shared" si="123"/>
        <v>1</v>
      </c>
      <c r="O1568" s="1" t="str">
        <f>IF(I1568=0,"UNUSED",IF(A1568="","MISSING ID",IF(K1568=0,"UNEXPECTED ID",IF(N1568&lt;&gt;1,"ID / ORDER DIFFERENCE",IF('Source build'!U1568&lt;&gt;"INCLUDED","EXCLUDED SOURCE",IF(NOT(M1568),"INVALID AMOUNT",IF('Source build'!Y1568&lt;&gt;0,"CHANGED FIELDS","MATCH")))))))</f>
        <v>MATCH</v>
      </c>
      <c r="P1568" s="1" t="str">
        <f t="shared" si="124"/>
        <v>2026-03</v>
      </c>
    </row>
    <row r="1569" spans="1:16" ht="18.95" customHeight="1">
      <c r="A1569" s="7" t="s">
        <v>4102</v>
      </c>
      <c r="B1569" s="7" t="s">
        <v>4103</v>
      </c>
      <c r="C1569" s="7" t="s">
        <v>464</v>
      </c>
      <c r="D1569" s="7" t="s">
        <v>103</v>
      </c>
      <c r="E1569" s="7" t="s">
        <v>48</v>
      </c>
      <c r="F1569" s="7" t="s">
        <v>98</v>
      </c>
      <c r="G1569" s="7" t="s">
        <v>4104</v>
      </c>
      <c r="I1569" s="1">
        <f t="shared" si="120"/>
        <v>1</v>
      </c>
      <c r="J1569" s="1" t="str">
        <f>'Source build'!A1569</f>
        <v>L01563</v>
      </c>
      <c r="K1569" s="1">
        <f>1569</f>
        <v>1569</v>
      </c>
      <c r="L1569" s="10">
        <f t="shared" si="121"/>
        <v>51465</v>
      </c>
      <c r="M1569" s="1">
        <f t="shared" si="122"/>
        <v>1</v>
      </c>
      <c r="N1569" s="1">
        <f t="shared" si="123"/>
        <v>1</v>
      </c>
      <c r="O1569" s="1" t="str">
        <f>IF(I1569=0,"UNUSED",IF(A1569="","MISSING ID",IF(K1569=0,"UNEXPECTED ID",IF(N1569&lt;&gt;1,"ID / ORDER DIFFERENCE",IF('Source build'!U1569&lt;&gt;"INCLUDED","EXCLUDED SOURCE",IF(NOT(M1569),"INVALID AMOUNT",IF('Source build'!Y1569&lt;&gt;0,"CHANGED FIELDS","MATCH")))))))</f>
        <v>MATCH</v>
      </c>
      <c r="P1569" s="1" t="str">
        <f t="shared" si="124"/>
        <v>2026-03</v>
      </c>
    </row>
    <row r="1570" spans="1:16" ht="18.95" customHeight="1">
      <c r="A1570" s="7" t="s">
        <v>4105</v>
      </c>
      <c r="B1570" s="7" t="s">
        <v>4103</v>
      </c>
      <c r="C1570" s="7" t="s">
        <v>464</v>
      </c>
      <c r="D1570" s="7" t="s">
        <v>93</v>
      </c>
      <c r="E1570" s="7" t="s">
        <v>46</v>
      </c>
      <c r="F1570" s="7" t="s">
        <v>98</v>
      </c>
      <c r="G1570" s="7" t="s">
        <v>4106</v>
      </c>
      <c r="I1570" s="1">
        <f t="shared" si="120"/>
        <v>1</v>
      </c>
      <c r="J1570" s="1" t="str">
        <f>'Source build'!A1570</f>
        <v>L01564</v>
      </c>
      <c r="K1570" s="1">
        <f>1570</f>
        <v>1570</v>
      </c>
      <c r="L1570" s="10">
        <f t="shared" si="121"/>
        <v>20660</v>
      </c>
      <c r="M1570" s="1">
        <f t="shared" si="122"/>
        <v>1</v>
      </c>
      <c r="N1570" s="1">
        <f t="shared" si="123"/>
        <v>1</v>
      </c>
      <c r="O1570" s="1" t="str">
        <f>IF(I1570=0,"UNUSED",IF(A1570="","MISSING ID",IF(K1570=0,"UNEXPECTED ID",IF(N1570&lt;&gt;1,"ID / ORDER DIFFERENCE",IF('Source build'!U1570&lt;&gt;"INCLUDED","EXCLUDED SOURCE",IF(NOT(M1570),"INVALID AMOUNT",IF('Source build'!Y1570&lt;&gt;0,"CHANGED FIELDS","MATCH")))))))</f>
        <v>MATCH</v>
      </c>
      <c r="P1570" s="1" t="str">
        <f t="shared" si="124"/>
        <v>2026-03</v>
      </c>
    </row>
    <row r="1571" spans="1:16" ht="18.95" customHeight="1">
      <c r="A1571" s="7" t="s">
        <v>4107</v>
      </c>
      <c r="B1571" s="7" t="s">
        <v>4108</v>
      </c>
      <c r="C1571" s="7" t="s">
        <v>470</v>
      </c>
      <c r="D1571" s="7" t="s">
        <v>97</v>
      </c>
      <c r="E1571" s="7" t="s">
        <v>47</v>
      </c>
      <c r="F1571" s="7" t="s">
        <v>94</v>
      </c>
      <c r="G1571" s="7" t="s">
        <v>4109</v>
      </c>
      <c r="I1571" s="1">
        <f t="shared" si="120"/>
        <v>1</v>
      </c>
      <c r="J1571" s="1" t="str">
        <f>'Source build'!A1571</f>
        <v>L01565</v>
      </c>
      <c r="K1571" s="1">
        <f>1571</f>
        <v>1571</v>
      </c>
      <c r="L1571" s="10">
        <f t="shared" si="121"/>
        <v>-41468</v>
      </c>
      <c r="M1571" s="1">
        <f t="shared" si="122"/>
        <v>1</v>
      </c>
      <c r="N1571" s="1">
        <f t="shared" si="123"/>
        <v>1</v>
      </c>
      <c r="O1571" s="1" t="str">
        <f>IF(I1571=0,"UNUSED",IF(A1571="","MISSING ID",IF(K1571=0,"UNEXPECTED ID",IF(N1571&lt;&gt;1,"ID / ORDER DIFFERENCE",IF('Source build'!U1571&lt;&gt;"INCLUDED","EXCLUDED SOURCE",IF(NOT(M1571),"INVALID AMOUNT",IF('Source build'!Y1571&lt;&gt;0,"CHANGED FIELDS","MATCH")))))))</f>
        <v>MATCH</v>
      </c>
      <c r="P1571" s="1" t="str">
        <f t="shared" si="124"/>
        <v>2026-03</v>
      </c>
    </row>
    <row r="1572" spans="1:16" ht="18.95" customHeight="1">
      <c r="A1572" s="7" t="s">
        <v>4110</v>
      </c>
      <c r="B1572" s="7" t="s">
        <v>4108</v>
      </c>
      <c r="C1572" s="7" t="s">
        <v>470</v>
      </c>
      <c r="D1572" s="7" t="s">
        <v>103</v>
      </c>
      <c r="E1572" s="7" t="s">
        <v>48</v>
      </c>
      <c r="F1572" s="7" t="s">
        <v>98</v>
      </c>
      <c r="G1572" s="7" t="s">
        <v>4111</v>
      </c>
      <c r="I1572" s="1">
        <f t="shared" si="120"/>
        <v>1</v>
      </c>
      <c r="J1572" s="1" t="str">
        <f>'Source build'!A1572</f>
        <v>L01566</v>
      </c>
      <c r="K1572" s="1">
        <f>1572</f>
        <v>1572</v>
      </c>
      <c r="L1572" s="10">
        <f t="shared" si="121"/>
        <v>10404</v>
      </c>
      <c r="M1572" s="1">
        <f t="shared" si="122"/>
        <v>1</v>
      </c>
      <c r="N1572" s="1">
        <f t="shared" si="123"/>
        <v>1</v>
      </c>
      <c r="O1572" s="1" t="str">
        <f>IF(I1572=0,"UNUSED",IF(A1572="","MISSING ID",IF(K1572=0,"UNEXPECTED ID",IF(N1572&lt;&gt;1,"ID / ORDER DIFFERENCE",IF('Source build'!U1572&lt;&gt;"INCLUDED","EXCLUDED SOURCE",IF(NOT(M1572),"INVALID AMOUNT",IF('Source build'!Y1572&lt;&gt;0,"CHANGED FIELDS","MATCH")))))))</f>
        <v>MATCH</v>
      </c>
      <c r="P1572" s="1" t="str">
        <f t="shared" si="124"/>
        <v>2026-03</v>
      </c>
    </row>
    <row r="1573" spans="1:16" ht="18.95" customHeight="1">
      <c r="A1573" s="7" t="s">
        <v>4112</v>
      </c>
      <c r="B1573" s="7" t="s">
        <v>4113</v>
      </c>
      <c r="C1573" s="7" t="s">
        <v>476</v>
      </c>
      <c r="D1573" s="7" t="s">
        <v>93</v>
      </c>
      <c r="E1573" s="7" t="s">
        <v>46</v>
      </c>
      <c r="F1573" s="7" t="s">
        <v>98</v>
      </c>
      <c r="G1573" s="7" t="s">
        <v>4114</v>
      </c>
      <c r="I1573" s="1">
        <f t="shared" si="120"/>
        <v>1</v>
      </c>
      <c r="J1573" s="1" t="str">
        <f>'Source build'!A1573</f>
        <v>L01567</v>
      </c>
      <c r="K1573" s="1">
        <f>1573</f>
        <v>1573</v>
      </c>
      <c r="L1573" s="10">
        <f t="shared" si="121"/>
        <v>31323</v>
      </c>
      <c r="M1573" s="1">
        <f t="shared" si="122"/>
        <v>1</v>
      </c>
      <c r="N1573" s="1">
        <f t="shared" si="123"/>
        <v>1</v>
      </c>
      <c r="O1573" s="1" t="str">
        <f>IF(I1573=0,"UNUSED",IF(A1573="","MISSING ID",IF(K1573=0,"UNEXPECTED ID",IF(N1573&lt;&gt;1,"ID / ORDER DIFFERENCE",IF('Source build'!U1573&lt;&gt;"INCLUDED","EXCLUDED SOURCE",IF(NOT(M1573),"INVALID AMOUNT",IF('Source build'!Y1573&lt;&gt;0,"CHANGED FIELDS","MATCH")))))))</f>
        <v>MATCH</v>
      </c>
      <c r="P1573" s="1" t="str">
        <f t="shared" si="124"/>
        <v>2026-03</v>
      </c>
    </row>
    <row r="1574" spans="1:16" ht="18.95" customHeight="1">
      <c r="A1574" s="7" t="s">
        <v>4115</v>
      </c>
      <c r="B1574" s="7" t="s">
        <v>4113</v>
      </c>
      <c r="C1574" s="7" t="s">
        <v>476</v>
      </c>
      <c r="D1574" s="7" t="s">
        <v>97</v>
      </c>
      <c r="E1574" s="7" t="s">
        <v>47</v>
      </c>
      <c r="F1574" s="7" t="s">
        <v>98</v>
      </c>
      <c r="G1574" s="7" t="s">
        <v>5146</v>
      </c>
      <c r="I1574" s="1">
        <f t="shared" si="120"/>
        <v>1</v>
      </c>
      <c r="J1574" s="1" t="str">
        <f>'Source build'!A1574</f>
        <v>L01568</v>
      </c>
      <c r="K1574" s="1">
        <f>1574</f>
        <v>1574</v>
      </c>
      <c r="L1574" s="10">
        <f t="shared" si="121"/>
        <v>52390</v>
      </c>
      <c r="M1574" s="1">
        <f t="shared" si="122"/>
        <v>1</v>
      </c>
      <c r="N1574" s="1">
        <f t="shared" si="123"/>
        <v>1</v>
      </c>
      <c r="O1574" s="1" t="str">
        <f>IF(I1574=0,"UNUSED",IF(A1574="","MISSING ID",IF(K1574=0,"UNEXPECTED ID",IF(N1574&lt;&gt;1,"ID / ORDER DIFFERENCE",IF('Source build'!U1574&lt;&gt;"INCLUDED","EXCLUDED SOURCE",IF(NOT(M1574),"INVALID AMOUNT",IF('Source build'!Y1574&lt;&gt;0,"CHANGED FIELDS","MATCH")))))))</f>
        <v>MATCH</v>
      </c>
      <c r="P1574" s="1" t="str">
        <f t="shared" si="124"/>
        <v>2026-03</v>
      </c>
    </row>
    <row r="1575" spans="1:16" ht="18.95" customHeight="1">
      <c r="A1575" s="7" t="s">
        <v>4117</v>
      </c>
      <c r="B1575" s="7" t="s">
        <v>4118</v>
      </c>
      <c r="C1575" s="7" t="s">
        <v>482</v>
      </c>
      <c r="D1575" s="7" t="s">
        <v>103</v>
      </c>
      <c r="E1575" s="7" t="s">
        <v>48</v>
      </c>
      <c r="F1575" s="7" t="s">
        <v>98</v>
      </c>
      <c r="G1575" s="7" t="s">
        <v>4119</v>
      </c>
      <c r="I1575" s="1">
        <f t="shared" si="120"/>
        <v>1</v>
      </c>
      <c r="J1575" s="1" t="str">
        <f>'Source build'!A1575</f>
        <v>L01569</v>
      </c>
      <c r="K1575" s="1">
        <f>1575</f>
        <v>1575</v>
      </c>
      <c r="L1575" s="10">
        <f t="shared" si="121"/>
        <v>21030</v>
      </c>
      <c r="M1575" s="1">
        <f t="shared" si="122"/>
        <v>1</v>
      </c>
      <c r="N1575" s="1">
        <f t="shared" si="123"/>
        <v>1</v>
      </c>
      <c r="O1575" s="1" t="str">
        <f>IF(I1575=0,"UNUSED",IF(A1575="","MISSING ID",IF(K1575=0,"UNEXPECTED ID",IF(N1575&lt;&gt;1,"ID / ORDER DIFFERENCE",IF('Source build'!U1575&lt;&gt;"INCLUDED","EXCLUDED SOURCE",IF(NOT(M1575),"INVALID AMOUNT",IF('Source build'!Y1575&lt;&gt;0,"CHANGED FIELDS","MATCH")))))))</f>
        <v>MATCH</v>
      </c>
      <c r="P1575" s="1" t="str">
        <f t="shared" si="124"/>
        <v>2026-03</v>
      </c>
    </row>
    <row r="1576" spans="1:16" ht="18.95" customHeight="1">
      <c r="A1576" s="7" t="s">
        <v>4120</v>
      </c>
      <c r="B1576" s="7" t="s">
        <v>4118</v>
      </c>
      <c r="C1576" s="7" t="s">
        <v>482</v>
      </c>
      <c r="D1576" s="7" t="s">
        <v>93</v>
      </c>
      <c r="E1576" s="7" t="s">
        <v>46</v>
      </c>
      <c r="F1576" s="7" t="s">
        <v>98</v>
      </c>
      <c r="G1576" s="7" t="s">
        <v>4121</v>
      </c>
      <c r="I1576" s="1">
        <f t="shared" si="120"/>
        <v>1</v>
      </c>
      <c r="J1576" s="1" t="str">
        <f>'Source build'!A1576</f>
        <v>L01570</v>
      </c>
      <c r="K1576" s="1">
        <f>1576</f>
        <v>1576</v>
      </c>
      <c r="L1576" s="10">
        <f t="shared" si="121"/>
        <v>42208</v>
      </c>
      <c r="M1576" s="1">
        <f t="shared" si="122"/>
        <v>1</v>
      </c>
      <c r="N1576" s="1">
        <f t="shared" si="123"/>
        <v>1</v>
      </c>
      <c r="O1576" s="1" t="str">
        <f>IF(I1576=0,"UNUSED",IF(A1576="","MISSING ID",IF(K1576=0,"UNEXPECTED ID",IF(N1576&lt;&gt;1,"ID / ORDER DIFFERENCE",IF('Source build'!U1576&lt;&gt;"INCLUDED","EXCLUDED SOURCE",IF(NOT(M1576),"INVALID AMOUNT",IF('Source build'!Y1576&lt;&gt;0,"CHANGED FIELDS","MATCH")))))))</f>
        <v>MATCH</v>
      </c>
      <c r="P1576" s="1" t="str">
        <f t="shared" si="124"/>
        <v>2026-03</v>
      </c>
    </row>
    <row r="1577" spans="1:16" ht="18.95" customHeight="1">
      <c r="A1577" s="7" t="s">
        <v>4122</v>
      </c>
      <c r="B1577" s="7" t="s">
        <v>4123</v>
      </c>
      <c r="C1577" s="7" t="s">
        <v>488</v>
      </c>
      <c r="D1577" s="7" t="s">
        <v>97</v>
      </c>
      <c r="E1577" s="7" t="s">
        <v>47</v>
      </c>
      <c r="F1577" s="7" t="s">
        <v>98</v>
      </c>
      <c r="G1577" s="7" t="s">
        <v>4124</v>
      </c>
      <c r="I1577" s="1">
        <f t="shared" si="120"/>
        <v>1</v>
      </c>
      <c r="J1577" s="1" t="str">
        <f>'Source build'!A1577</f>
        <v>L01571</v>
      </c>
      <c r="K1577" s="1">
        <f>1577</f>
        <v>1577</v>
      </c>
      <c r="L1577" s="10">
        <f t="shared" si="121"/>
        <v>10589</v>
      </c>
      <c r="M1577" s="1">
        <f t="shared" si="122"/>
        <v>1</v>
      </c>
      <c r="N1577" s="1">
        <f t="shared" si="123"/>
        <v>1</v>
      </c>
      <c r="O1577" s="1" t="str">
        <f>IF(I1577=0,"UNUSED",IF(A1577="","MISSING ID",IF(K1577=0,"UNEXPECTED ID",IF(N1577&lt;&gt;1,"ID / ORDER DIFFERENCE",IF('Source build'!U1577&lt;&gt;"INCLUDED","EXCLUDED SOURCE",IF(NOT(M1577),"INVALID AMOUNT",IF('Source build'!Y1577&lt;&gt;0,"CHANGED FIELDS","MATCH")))))))</f>
        <v>MATCH</v>
      </c>
      <c r="P1577" s="1" t="str">
        <f t="shared" si="124"/>
        <v>2026-01</v>
      </c>
    </row>
    <row r="1578" spans="1:16" ht="18.95" customHeight="1">
      <c r="A1578" s="7" t="s">
        <v>4125</v>
      </c>
      <c r="B1578" s="7" t="s">
        <v>4123</v>
      </c>
      <c r="C1578" s="7" t="s">
        <v>488</v>
      </c>
      <c r="D1578" s="7" t="s">
        <v>103</v>
      </c>
      <c r="E1578" s="7" t="s">
        <v>48</v>
      </c>
      <c r="F1578" s="7" t="s">
        <v>98</v>
      </c>
      <c r="G1578" s="7" t="s">
        <v>4126</v>
      </c>
      <c r="I1578" s="1">
        <f t="shared" si="120"/>
        <v>1</v>
      </c>
      <c r="J1578" s="1" t="str">
        <f>'Source build'!A1578</f>
        <v>L01572</v>
      </c>
      <c r="K1578" s="1">
        <f>1578</f>
        <v>1578</v>
      </c>
      <c r="L1578" s="10">
        <f t="shared" si="121"/>
        <v>31878</v>
      </c>
      <c r="M1578" s="1">
        <f t="shared" si="122"/>
        <v>1</v>
      </c>
      <c r="N1578" s="1">
        <f t="shared" si="123"/>
        <v>1</v>
      </c>
      <c r="O1578" s="1" t="str">
        <f>IF(I1578=0,"UNUSED",IF(A1578="","MISSING ID",IF(K1578=0,"UNEXPECTED ID",IF(N1578&lt;&gt;1,"ID / ORDER DIFFERENCE",IF('Source build'!U1578&lt;&gt;"INCLUDED","EXCLUDED SOURCE",IF(NOT(M1578),"INVALID AMOUNT",IF('Source build'!Y1578&lt;&gt;0,"CHANGED FIELDS","MATCH")))))))</f>
        <v>MATCH</v>
      </c>
      <c r="P1578" s="1" t="str">
        <f t="shared" si="124"/>
        <v>2026-01</v>
      </c>
    </row>
    <row r="1579" spans="1:16" ht="18.95" customHeight="1">
      <c r="A1579" s="7" t="s">
        <v>4127</v>
      </c>
      <c r="B1579" s="7" t="s">
        <v>4128</v>
      </c>
      <c r="C1579" s="7" t="s">
        <v>494</v>
      </c>
      <c r="D1579" s="7" t="s">
        <v>93</v>
      </c>
      <c r="E1579" s="7" t="s">
        <v>46</v>
      </c>
      <c r="F1579" s="7" t="s">
        <v>98</v>
      </c>
      <c r="G1579" s="7" t="s">
        <v>4129</v>
      </c>
      <c r="I1579" s="1">
        <f t="shared" si="120"/>
        <v>1</v>
      </c>
      <c r="J1579" s="1" t="str">
        <f>'Source build'!A1579</f>
        <v>L01573</v>
      </c>
      <c r="K1579" s="1">
        <f>1579</f>
        <v>1579</v>
      </c>
      <c r="L1579" s="10">
        <f t="shared" si="121"/>
        <v>53315</v>
      </c>
      <c r="M1579" s="1">
        <f t="shared" si="122"/>
        <v>1</v>
      </c>
      <c r="N1579" s="1">
        <f t="shared" si="123"/>
        <v>1</v>
      </c>
      <c r="O1579" s="1" t="str">
        <f>IF(I1579=0,"UNUSED",IF(A1579="","MISSING ID",IF(K1579=0,"UNEXPECTED ID",IF(N1579&lt;&gt;1,"ID / ORDER DIFFERENCE",IF('Source build'!U1579&lt;&gt;"INCLUDED","EXCLUDED SOURCE",IF(NOT(M1579),"INVALID AMOUNT",IF('Source build'!Y1579&lt;&gt;0,"CHANGED FIELDS","MATCH")))))))</f>
        <v>MATCH</v>
      </c>
      <c r="P1579" s="1" t="str">
        <f t="shared" si="124"/>
        <v>2026-01</v>
      </c>
    </row>
    <row r="1580" spans="1:16" ht="18.95" customHeight="1">
      <c r="A1580" s="7" t="s">
        <v>4130</v>
      </c>
      <c r="B1580" s="7" t="s">
        <v>4128</v>
      </c>
      <c r="C1580" s="7" t="s">
        <v>494</v>
      </c>
      <c r="D1580" s="7" t="s">
        <v>97</v>
      </c>
      <c r="E1580" s="7" t="s">
        <v>47</v>
      </c>
      <c r="F1580" s="7" t="s">
        <v>98</v>
      </c>
      <c r="G1580" s="7" t="s">
        <v>4131</v>
      </c>
      <c r="I1580" s="1">
        <f t="shared" si="120"/>
        <v>1</v>
      </c>
      <c r="J1580" s="1" t="str">
        <f>'Source build'!A1580</f>
        <v>L01574</v>
      </c>
      <c r="K1580" s="1">
        <f>1580</f>
        <v>1580</v>
      </c>
      <c r="L1580" s="10">
        <f t="shared" si="121"/>
        <v>21400</v>
      </c>
      <c r="M1580" s="1">
        <f t="shared" si="122"/>
        <v>1</v>
      </c>
      <c r="N1580" s="1">
        <f t="shared" si="123"/>
        <v>1</v>
      </c>
      <c r="O1580" s="1" t="str">
        <f>IF(I1580=0,"UNUSED",IF(A1580="","MISSING ID",IF(K1580=0,"UNEXPECTED ID",IF(N1580&lt;&gt;1,"ID / ORDER DIFFERENCE",IF('Source build'!U1580&lt;&gt;"INCLUDED","EXCLUDED SOURCE",IF(NOT(M1580),"INVALID AMOUNT",IF('Source build'!Y1580&lt;&gt;0,"CHANGED FIELDS","MATCH")))))))</f>
        <v>MATCH</v>
      </c>
      <c r="P1580" s="1" t="str">
        <f t="shared" si="124"/>
        <v>2026-01</v>
      </c>
    </row>
    <row r="1581" spans="1:16" ht="18.95" customHeight="1">
      <c r="A1581" s="7" t="s">
        <v>4132</v>
      </c>
      <c r="B1581" s="7" t="s">
        <v>4133</v>
      </c>
      <c r="C1581" s="7" t="s">
        <v>500</v>
      </c>
      <c r="D1581" s="7" t="s">
        <v>103</v>
      </c>
      <c r="E1581" s="7" t="s">
        <v>48</v>
      </c>
      <c r="F1581" s="7" t="s">
        <v>98</v>
      </c>
      <c r="G1581" s="7" t="s">
        <v>4134</v>
      </c>
      <c r="I1581" s="1">
        <f t="shared" si="120"/>
        <v>1</v>
      </c>
      <c r="J1581" s="1" t="str">
        <f>'Source build'!A1581</f>
        <v>L01575</v>
      </c>
      <c r="K1581" s="1">
        <f>1581</f>
        <v>1581</v>
      </c>
      <c r="L1581" s="10">
        <f t="shared" si="121"/>
        <v>42948</v>
      </c>
      <c r="M1581" s="1">
        <f t="shared" si="122"/>
        <v>1</v>
      </c>
      <c r="N1581" s="1">
        <f t="shared" si="123"/>
        <v>1</v>
      </c>
      <c r="O1581" s="1" t="str">
        <f>IF(I1581=0,"UNUSED",IF(A1581="","MISSING ID",IF(K1581=0,"UNEXPECTED ID",IF(N1581&lt;&gt;1,"ID / ORDER DIFFERENCE",IF('Source build'!U1581&lt;&gt;"INCLUDED","EXCLUDED SOURCE",IF(NOT(M1581),"INVALID AMOUNT",IF('Source build'!Y1581&lt;&gt;0,"CHANGED FIELDS","MATCH")))))))</f>
        <v>MATCH</v>
      </c>
      <c r="P1581" s="1" t="str">
        <f t="shared" si="124"/>
        <v>2026-01</v>
      </c>
    </row>
    <row r="1582" spans="1:16" ht="18.95" customHeight="1">
      <c r="A1582" s="7" t="s">
        <v>4135</v>
      </c>
      <c r="B1582" s="7" t="s">
        <v>4133</v>
      </c>
      <c r="C1582" s="7" t="s">
        <v>500</v>
      </c>
      <c r="D1582" s="7" t="s">
        <v>93</v>
      </c>
      <c r="E1582" s="7" t="s">
        <v>46</v>
      </c>
      <c r="F1582" s="7" t="s">
        <v>98</v>
      </c>
      <c r="G1582" s="7" t="s">
        <v>4136</v>
      </c>
      <c r="I1582" s="1">
        <f t="shared" si="120"/>
        <v>1</v>
      </c>
      <c r="J1582" s="1" t="str">
        <f>'Source build'!A1582</f>
        <v>L01576</v>
      </c>
      <c r="K1582" s="1">
        <f>1582</f>
        <v>1582</v>
      </c>
      <c r="L1582" s="10">
        <f t="shared" si="121"/>
        <v>10774</v>
      </c>
      <c r="M1582" s="1">
        <f t="shared" si="122"/>
        <v>1</v>
      </c>
      <c r="N1582" s="1">
        <f t="shared" si="123"/>
        <v>1</v>
      </c>
      <c r="O1582" s="1" t="str">
        <f>IF(I1582=0,"UNUSED",IF(A1582="","MISSING ID",IF(K1582=0,"UNEXPECTED ID",IF(N1582&lt;&gt;1,"ID / ORDER DIFFERENCE",IF('Source build'!U1582&lt;&gt;"INCLUDED","EXCLUDED SOURCE",IF(NOT(M1582),"INVALID AMOUNT",IF('Source build'!Y1582&lt;&gt;0,"CHANGED FIELDS","MATCH")))))))</f>
        <v>MATCH</v>
      </c>
      <c r="P1582" s="1" t="str">
        <f t="shared" si="124"/>
        <v>2026-01</v>
      </c>
    </row>
    <row r="1583" spans="1:16" ht="18.95" customHeight="1">
      <c r="A1583" s="7" t="s">
        <v>4137</v>
      </c>
      <c r="B1583" s="7" t="s">
        <v>4138</v>
      </c>
      <c r="C1583" s="7" t="s">
        <v>506</v>
      </c>
      <c r="D1583" s="7" t="s">
        <v>97</v>
      </c>
      <c r="E1583" s="7" t="s">
        <v>47</v>
      </c>
      <c r="F1583" s="7" t="s">
        <v>98</v>
      </c>
      <c r="G1583" s="7" t="s">
        <v>4139</v>
      </c>
      <c r="I1583" s="1">
        <f t="shared" si="120"/>
        <v>1</v>
      </c>
      <c r="J1583" s="1" t="str">
        <f>'Source build'!A1583</f>
        <v>L01577</v>
      </c>
      <c r="K1583" s="1">
        <f>1583</f>
        <v>1583</v>
      </c>
      <c r="L1583" s="10">
        <f t="shared" si="121"/>
        <v>32433</v>
      </c>
      <c r="M1583" s="1">
        <f t="shared" si="122"/>
        <v>1</v>
      </c>
      <c r="N1583" s="1">
        <f t="shared" si="123"/>
        <v>1</v>
      </c>
      <c r="O1583" s="1" t="str">
        <f>IF(I1583=0,"UNUSED",IF(A1583="","MISSING ID",IF(K1583=0,"UNEXPECTED ID",IF(N1583&lt;&gt;1,"ID / ORDER DIFFERENCE",IF('Source build'!U1583&lt;&gt;"INCLUDED","EXCLUDED SOURCE",IF(NOT(M1583),"INVALID AMOUNT",IF('Source build'!Y1583&lt;&gt;0,"CHANGED FIELDS","MATCH")))))))</f>
        <v>MATCH</v>
      </c>
      <c r="P1583" s="1" t="str">
        <f t="shared" si="124"/>
        <v>2026-01</v>
      </c>
    </row>
    <row r="1584" spans="1:16" ht="18.95" customHeight="1">
      <c r="A1584" s="7" t="s">
        <v>4140</v>
      </c>
      <c r="B1584" s="7" t="s">
        <v>4138</v>
      </c>
      <c r="C1584" s="7" t="s">
        <v>506</v>
      </c>
      <c r="D1584" s="7" t="s">
        <v>103</v>
      </c>
      <c r="E1584" s="7" t="s">
        <v>48</v>
      </c>
      <c r="F1584" s="7" t="s">
        <v>98</v>
      </c>
      <c r="G1584" s="7" t="s">
        <v>4141</v>
      </c>
      <c r="I1584" s="1">
        <f t="shared" si="120"/>
        <v>1</v>
      </c>
      <c r="J1584" s="1" t="str">
        <f>'Source build'!A1584</f>
        <v>L01578</v>
      </c>
      <c r="K1584" s="1">
        <f>1584</f>
        <v>1584</v>
      </c>
      <c r="L1584" s="10">
        <f t="shared" si="121"/>
        <v>54240</v>
      </c>
      <c r="M1584" s="1">
        <f t="shared" si="122"/>
        <v>1</v>
      </c>
      <c r="N1584" s="1">
        <f t="shared" si="123"/>
        <v>1</v>
      </c>
      <c r="O1584" s="1" t="str">
        <f>IF(I1584=0,"UNUSED",IF(A1584="","MISSING ID",IF(K1584=0,"UNEXPECTED ID",IF(N1584&lt;&gt;1,"ID / ORDER DIFFERENCE",IF('Source build'!U1584&lt;&gt;"INCLUDED","EXCLUDED SOURCE",IF(NOT(M1584),"INVALID AMOUNT",IF('Source build'!Y1584&lt;&gt;0,"CHANGED FIELDS","MATCH")))))))</f>
        <v>MATCH</v>
      </c>
      <c r="P1584" s="1" t="str">
        <f t="shared" si="124"/>
        <v>2026-01</v>
      </c>
    </row>
    <row r="1585" spans="1:16" ht="18.95" customHeight="1">
      <c r="A1585" s="7" t="s">
        <v>4142</v>
      </c>
      <c r="B1585" s="7" t="s">
        <v>4143</v>
      </c>
      <c r="C1585" s="7" t="s">
        <v>512</v>
      </c>
      <c r="D1585" s="7" t="s">
        <v>93</v>
      </c>
      <c r="E1585" s="7" t="s">
        <v>46</v>
      </c>
      <c r="F1585" s="7" t="s">
        <v>98</v>
      </c>
      <c r="G1585" s="7" t="s">
        <v>4144</v>
      </c>
      <c r="I1585" s="1">
        <f t="shared" si="120"/>
        <v>1</v>
      </c>
      <c r="J1585" s="1" t="str">
        <f>'Source build'!A1585</f>
        <v>L01579</v>
      </c>
      <c r="K1585" s="1">
        <f>1585</f>
        <v>1585</v>
      </c>
      <c r="L1585" s="10">
        <f t="shared" si="121"/>
        <v>21770</v>
      </c>
      <c r="M1585" s="1">
        <f t="shared" si="122"/>
        <v>1</v>
      </c>
      <c r="N1585" s="1">
        <f t="shared" si="123"/>
        <v>1</v>
      </c>
      <c r="O1585" s="1" t="str">
        <f>IF(I1585=0,"UNUSED",IF(A1585="","MISSING ID",IF(K1585=0,"UNEXPECTED ID",IF(N1585&lt;&gt;1,"ID / ORDER DIFFERENCE",IF('Source build'!U1585&lt;&gt;"INCLUDED","EXCLUDED SOURCE",IF(NOT(M1585),"INVALID AMOUNT",IF('Source build'!Y1585&lt;&gt;0,"CHANGED FIELDS","MATCH")))))))</f>
        <v>MATCH</v>
      </c>
      <c r="P1585" s="1" t="str">
        <f t="shared" si="124"/>
        <v>2026-02</v>
      </c>
    </row>
    <row r="1586" spans="1:16" ht="18.95" customHeight="1">
      <c r="A1586" s="7" t="s">
        <v>4145</v>
      </c>
      <c r="B1586" s="7" t="s">
        <v>4143</v>
      </c>
      <c r="C1586" s="7" t="s">
        <v>512</v>
      </c>
      <c r="D1586" s="7" t="s">
        <v>97</v>
      </c>
      <c r="E1586" s="7" t="s">
        <v>47</v>
      </c>
      <c r="F1586" s="7" t="s">
        <v>98</v>
      </c>
      <c r="G1586" s="7" t="s">
        <v>4146</v>
      </c>
      <c r="I1586" s="1">
        <f t="shared" si="120"/>
        <v>1</v>
      </c>
      <c r="J1586" s="1" t="str">
        <f>'Source build'!A1586</f>
        <v>L01580</v>
      </c>
      <c r="K1586" s="1">
        <f>1586</f>
        <v>1586</v>
      </c>
      <c r="L1586" s="10">
        <f t="shared" si="121"/>
        <v>43688</v>
      </c>
      <c r="M1586" s="1">
        <f t="shared" si="122"/>
        <v>1</v>
      </c>
      <c r="N1586" s="1">
        <f t="shared" si="123"/>
        <v>1</v>
      </c>
      <c r="O1586" s="1" t="str">
        <f>IF(I1586=0,"UNUSED",IF(A1586="","MISSING ID",IF(K1586=0,"UNEXPECTED ID",IF(N1586&lt;&gt;1,"ID / ORDER DIFFERENCE",IF('Source build'!U1586&lt;&gt;"INCLUDED","EXCLUDED SOURCE",IF(NOT(M1586),"INVALID AMOUNT",IF('Source build'!Y1586&lt;&gt;0,"CHANGED FIELDS","MATCH")))))))</f>
        <v>MATCH</v>
      </c>
      <c r="P1586" s="1" t="str">
        <f t="shared" si="124"/>
        <v>2026-02</v>
      </c>
    </row>
    <row r="1587" spans="1:16" ht="18.95" customHeight="1">
      <c r="A1587" s="7" t="s">
        <v>4147</v>
      </c>
      <c r="B1587" s="7" t="s">
        <v>4148</v>
      </c>
      <c r="C1587" s="7" t="s">
        <v>518</v>
      </c>
      <c r="D1587" s="7" t="s">
        <v>103</v>
      </c>
      <c r="E1587" s="7" t="s">
        <v>48</v>
      </c>
      <c r="F1587" s="7" t="s">
        <v>98</v>
      </c>
      <c r="G1587" s="7" t="s">
        <v>4149</v>
      </c>
      <c r="I1587" s="1">
        <f t="shared" si="120"/>
        <v>1</v>
      </c>
      <c r="J1587" s="1" t="str">
        <f>'Source build'!A1587</f>
        <v>L01581</v>
      </c>
      <c r="K1587" s="1">
        <f>1587</f>
        <v>1587</v>
      </c>
      <c r="L1587" s="10">
        <f t="shared" si="121"/>
        <v>10959</v>
      </c>
      <c r="M1587" s="1">
        <f t="shared" si="122"/>
        <v>1</v>
      </c>
      <c r="N1587" s="1">
        <f t="shared" si="123"/>
        <v>1</v>
      </c>
      <c r="O1587" s="1" t="str">
        <f>IF(I1587=0,"UNUSED",IF(A1587="","MISSING ID",IF(K1587=0,"UNEXPECTED ID",IF(N1587&lt;&gt;1,"ID / ORDER DIFFERENCE",IF('Source build'!U1587&lt;&gt;"INCLUDED","EXCLUDED SOURCE",IF(NOT(M1587),"INVALID AMOUNT",IF('Source build'!Y1587&lt;&gt;0,"CHANGED FIELDS","MATCH")))))))</f>
        <v>MATCH</v>
      </c>
      <c r="P1587" s="1" t="str">
        <f t="shared" si="124"/>
        <v>2026-02</v>
      </c>
    </row>
    <row r="1588" spans="1:16" ht="18.95" customHeight="1">
      <c r="A1588" s="7" t="s">
        <v>4150</v>
      </c>
      <c r="B1588" s="7" t="s">
        <v>4148</v>
      </c>
      <c r="C1588" s="7" t="s">
        <v>518</v>
      </c>
      <c r="D1588" s="7" t="s">
        <v>93</v>
      </c>
      <c r="E1588" s="7" t="s">
        <v>46</v>
      </c>
      <c r="F1588" s="7" t="s">
        <v>98</v>
      </c>
      <c r="G1588" s="7" t="s">
        <v>4151</v>
      </c>
      <c r="I1588" s="1">
        <f t="shared" si="120"/>
        <v>1</v>
      </c>
      <c r="J1588" s="1" t="str">
        <f>'Source build'!A1588</f>
        <v>L01582</v>
      </c>
      <c r="K1588" s="1">
        <f>1588</f>
        <v>1588</v>
      </c>
      <c r="L1588" s="10">
        <f t="shared" si="121"/>
        <v>32988</v>
      </c>
      <c r="M1588" s="1">
        <f t="shared" si="122"/>
        <v>1</v>
      </c>
      <c r="N1588" s="1">
        <f t="shared" si="123"/>
        <v>1</v>
      </c>
      <c r="O1588" s="1" t="str">
        <f>IF(I1588=0,"UNUSED",IF(A1588="","MISSING ID",IF(K1588=0,"UNEXPECTED ID",IF(N1588&lt;&gt;1,"ID / ORDER DIFFERENCE",IF('Source build'!U1588&lt;&gt;"INCLUDED","EXCLUDED SOURCE",IF(NOT(M1588),"INVALID AMOUNT",IF('Source build'!Y1588&lt;&gt;0,"CHANGED FIELDS","MATCH")))))))</f>
        <v>MATCH</v>
      </c>
      <c r="P1588" s="1" t="str">
        <f t="shared" si="124"/>
        <v>2026-02</v>
      </c>
    </row>
    <row r="1589" spans="1:16" ht="18.95" customHeight="1">
      <c r="A1589" s="7" t="s">
        <v>4152</v>
      </c>
      <c r="B1589" s="7" t="s">
        <v>4153</v>
      </c>
      <c r="C1589" s="7" t="s">
        <v>524</v>
      </c>
      <c r="D1589" s="7" t="s">
        <v>97</v>
      </c>
      <c r="E1589" s="7" t="s">
        <v>47</v>
      </c>
      <c r="F1589" s="7" t="s">
        <v>98</v>
      </c>
      <c r="G1589" s="7" t="s">
        <v>4154</v>
      </c>
      <c r="I1589" s="1">
        <f t="shared" si="120"/>
        <v>1</v>
      </c>
      <c r="J1589" s="1" t="str">
        <f>'Source build'!A1589</f>
        <v>L01583</v>
      </c>
      <c r="K1589" s="1">
        <f>1589</f>
        <v>1589</v>
      </c>
      <c r="L1589" s="10">
        <f t="shared" si="121"/>
        <v>55165</v>
      </c>
      <c r="M1589" s="1">
        <f t="shared" si="122"/>
        <v>1</v>
      </c>
      <c r="N1589" s="1">
        <f t="shared" si="123"/>
        <v>1</v>
      </c>
      <c r="O1589" s="1" t="str">
        <f>IF(I1589=0,"UNUSED",IF(A1589="","MISSING ID",IF(K1589=0,"UNEXPECTED ID",IF(N1589&lt;&gt;1,"ID / ORDER DIFFERENCE",IF('Source build'!U1589&lt;&gt;"INCLUDED","EXCLUDED SOURCE",IF(NOT(M1589),"INVALID AMOUNT",IF('Source build'!Y1589&lt;&gt;0,"CHANGED FIELDS","MATCH")))))))</f>
        <v>MATCH</v>
      </c>
      <c r="P1589" s="1" t="str">
        <f t="shared" si="124"/>
        <v>2026-02</v>
      </c>
    </row>
    <row r="1590" spans="1:16" ht="18.95" customHeight="1">
      <c r="A1590" s="7" t="s">
        <v>4155</v>
      </c>
      <c r="B1590" s="7" t="s">
        <v>4153</v>
      </c>
      <c r="C1590" s="7" t="s">
        <v>524</v>
      </c>
      <c r="D1590" s="7" t="s">
        <v>103</v>
      </c>
      <c r="E1590" s="7" t="s">
        <v>48</v>
      </c>
      <c r="F1590" s="7" t="s">
        <v>98</v>
      </c>
      <c r="G1590" s="7" t="s">
        <v>4156</v>
      </c>
      <c r="I1590" s="1">
        <f t="shared" si="120"/>
        <v>1</v>
      </c>
      <c r="J1590" s="1" t="str">
        <f>'Source build'!A1590</f>
        <v>L01584</v>
      </c>
      <c r="K1590" s="1">
        <f>1590</f>
        <v>1590</v>
      </c>
      <c r="L1590" s="10">
        <f t="shared" si="121"/>
        <v>22140</v>
      </c>
      <c r="M1590" s="1">
        <f t="shared" si="122"/>
        <v>1</v>
      </c>
      <c r="N1590" s="1">
        <f t="shared" si="123"/>
        <v>1</v>
      </c>
      <c r="O1590" s="1" t="str">
        <f>IF(I1590=0,"UNUSED",IF(A1590="","MISSING ID",IF(K1590=0,"UNEXPECTED ID",IF(N1590&lt;&gt;1,"ID / ORDER DIFFERENCE",IF('Source build'!U1590&lt;&gt;"INCLUDED","EXCLUDED SOURCE",IF(NOT(M1590),"INVALID AMOUNT",IF('Source build'!Y1590&lt;&gt;0,"CHANGED FIELDS","MATCH")))))))</f>
        <v>MATCH</v>
      </c>
      <c r="P1590" s="1" t="str">
        <f t="shared" si="124"/>
        <v>2026-02</v>
      </c>
    </row>
    <row r="1591" spans="1:16" ht="18.95" customHeight="1">
      <c r="A1591" s="7" t="s">
        <v>4157</v>
      </c>
      <c r="B1591" s="7" t="s">
        <v>4158</v>
      </c>
      <c r="C1591" s="7" t="s">
        <v>530</v>
      </c>
      <c r="D1591" s="7" t="s">
        <v>93</v>
      </c>
      <c r="E1591" s="7" t="s">
        <v>46</v>
      </c>
      <c r="F1591" s="7" t="s">
        <v>98</v>
      </c>
      <c r="G1591" s="7" t="s">
        <v>4159</v>
      </c>
      <c r="I1591" s="1">
        <f t="shared" si="120"/>
        <v>1</v>
      </c>
      <c r="J1591" s="1" t="str">
        <f>'Source build'!A1591</f>
        <v>L01585</v>
      </c>
      <c r="K1591" s="1">
        <f>1591</f>
        <v>1591</v>
      </c>
      <c r="L1591" s="10">
        <f t="shared" si="121"/>
        <v>44428</v>
      </c>
      <c r="M1591" s="1">
        <f t="shared" si="122"/>
        <v>1</v>
      </c>
      <c r="N1591" s="1">
        <f t="shared" si="123"/>
        <v>1</v>
      </c>
      <c r="O1591" s="1" t="str">
        <f>IF(I1591=0,"UNUSED",IF(A1591="","MISSING ID",IF(K1591=0,"UNEXPECTED ID",IF(N1591&lt;&gt;1,"ID / ORDER DIFFERENCE",IF('Source build'!U1591&lt;&gt;"INCLUDED","EXCLUDED SOURCE",IF(NOT(M1591),"INVALID AMOUNT",IF('Source build'!Y1591&lt;&gt;0,"CHANGED FIELDS","MATCH")))))))</f>
        <v>MATCH</v>
      </c>
      <c r="P1591" s="1" t="str">
        <f t="shared" si="124"/>
        <v>2026-02</v>
      </c>
    </row>
    <row r="1592" spans="1:16" ht="18.95" customHeight="1">
      <c r="A1592" s="7" t="s">
        <v>4160</v>
      </c>
      <c r="B1592" s="7" t="s">
        <v>4158</v>
      </c>
      <c r="C1592" s="7" t="s">
        <v>530</v>
      </c>
      <c r="D1592" s="7" t="s">
        <v>97</v>
      </c>
      <c r="E1592" s="7" t="s">
        <v>47</v>
      </c>
      <c r="F1592" s="7" t="s">
        <v>98</v>
      </c>
      <c r="G1592" s="7" t="s">
        <v>4161</v>
      </c>
      <c r="I1592" s="1">
        <f t="shared" si="120"/>
        <v>1</v>
      </c>
      <c r="J1592" s="1" t="str">
        <f>'Source build'!A1592</f>
        <v>L01586</v>
      </c>
      <c r="K1592" s="1">
        <f>1592</f>
        <v>1592</v>
      </c>
      <c r="L1592" s="10">
        <f t="shared" si="121"/>
        <v>11144</v>
      </c>
      <c r="M1592" s="1">
        <f t="shared" si="122"/>
        <v>1</v>
      </c>
      <c r="N1592" s="1">
        <f t="shared" si="123"/>
        <v>1</v>
      </c>
      <c r="O1592" s="1" t="str">
        <f>IF(I1592=0,"UNUSED",IF(A1592="","MISSING ID",IF(K1592=0,"UNEXPECTED ID",IF(N1592&lt;&gt;1,"ID / ORDER DIFFERENCE",IF('Source build'!U1592&lt;&gt;"INCLUDED","EXCLUDED SOURCE",IF(NOT(M1592),"INVALID AMOUNT",IF('Source build'!Y1592&lt;&gt;0,"CHANGED FIELDS","MATCH")))))))</f>
        <v>MATCH</v>
      </c>
      <c r="P1592" s="1" t="str">
        <f t="shared" si="124"/>
        <v>2026-02</v>
      </c>
    </row>
    <row r="1593" spans="1:16" ht="18.95" customHeight="1">
      <c r="A1593" s="7" t="s">
        <v>4162</v>
      </c>
      <c r="B1593" s="7" t="s">
        <v>4163</v>
      </c>
      <c r="C1593" s="7" t="s">
        <v>536</v>
      </c>
      <c r="D1593" s="7" t="s">
        <v>103</v>
      </c>
      <c r="E1593" s="7" t="s">
        <v>48</v>
      </c>
      <c r="F1593" s="7" t="s">
        <v>98</v>
      </c>
      <c r="G1593" s="7" t="s">
        <v>4164</v>
      </c>
      <c r="I1593" s="1">
        <f t="shared" si="120"/>
        <v>1</v>
      </c>
      <c r="J1593" s="1" t="str">
        <f>'Source build'!A1593</f>
        <v>L01587</v>
      </c>
      <c r="K1593" s="1">
        <f>1593</f>
        <v>1593</v>
      </c>
      <c r="L1593" s="10">
        <f t="shared" si="121"/>
        <v>33543</v>
      </c>
      <c r="M1593" s="1">
        <f t="shared" si="122"/>
        <v>1</v>
      </c>
      <c r="N1593" s="1">
        <f t="shared" si="123"/>
        <v>1</v>
      </c>
      <c r="O1593" s="1" t="str">
        <f>IF(I1593=0,"UNUSED",IF(A1593="","MISSING ID",IF(K1593=0,"UNEXPECTED ID",IF(N1593&lt;&gt;1,"ID / ORDER DIFFERENCE",IF('Source build'!U1593&lt;&gt;"INCLUDED","EXCLUDED SOURCE",IF(NOT(M1593),"INVALID AMOUNT",IF('Source build'!Y1593&lt;&gt;0,"CHANGED FIELDS","MATCH")))))))</f>
        <v>MATCH</v>
      </c>
      <c r="P1593" s="1" t="str">
        <f t="shared" si="124"/>
        <v>2026-03</v>
      </c>
    </row>
    <row r="1594" spans="1:16" ht="18.95" customHeight="1">
      <c r="A1594" s="7" t="s">
        <v>4165</v>
      </c>
      <c r="B1594" s="7" t="s">
        <v>4163</v>
      </c>
      <c r="C1594" s="7" t="s">
        <v>536</v>
      </c>
      <c r="D1594" s="7" t="s">
        <v>93</v>
      </c>
      <c r="E1594" s="7" t="s">
        <v>46</v>
      </c>
      <c r="F1594" s="7" t="s">
        <v>94</v>
      </c>
      <c r="G1594" s="7" t="s">
        <v>4166</v>
      </c>
      <c r="I1594" s="1">
        <f t="shared" si="120"/>
        <v>1</v>
      </c>
      <c r="J1594" s="1" t="str">
        <f>'Source build'!A1594</f>
        <v>L01588</v>
      </c>
      <c r="K1594" s="1">
        <f>1594</f>
        <v>1594</v>
      </c>
      <c r="L1594" s="10">
        <f t="shared" si="121"/>
        <v>-56090</v>
      </c>
      <c r="M1594" s="1">
        <f t="shared" si="122"/>
        <v>1</v>
      </c>
      <c r="N1594" s="1">
        <f t="shared" si="123"/>
        <v>1</v>
      </c>
      <c r="O1594" s="1" t="str">
        <f>IF(I1594=0,"UNUSED",IF(A1594="","MISSING ID",IF(K1594=0,"UNEXPECTED ID",IF(N1594&lt;&gt;1,"ID / ORDER DIFFERENCE",IF('Source build'!U1594&lt;&gt;"INCLUDED","EXCLUDED SOURCE",IF(NOT(M1594),"INVALID AMOUNT",IF('Source build'!Y1594&lt;&gt;0,"CHANGED FIELDS","MATCH")))))))</f>
        <v>MATCH</v>
      </c>
      <c r="P1594" s="1" t="str">
        <f t="shared" si="124"/>
        <v>2026-03</v>
      </c>
    </row>
    <row r="1595" spans="1:16" ht="18.95" customHeight="1">
      <c r="A1595" s="7" t="s">
        <v>4167</v>
      </c>
      <c r="B1595" s="7" t="s">
        <v>4168</v>
      </c>
      <c r="C1595" s="7" t="s">
        <v>542</v>
      </c>
      <c r="D1595" s="7" t="s">
        <v>97</v>
      </c>
      <c r="E1595" s="7" t="s">
        <v>47</v>
      </c>
      <c r="F1595" s="7" t="s">
        <v>98</v>
      </c>
      <c r="G1595" s="7" t="s">
        <v>4169</v>
      </c>
      <c r="I1595" s="1">
        <f t="shared" si="120"/>
        <v>1</v>
      </c>
      <c r="J1595" s="1" t="str">
        <f>'Source build'!A1595</f>
        <v>L01589</v>
      </c>
      <c r="K1595" s="1">
        <f>1595</f>
        <v>1595</v>
      </c>
      <c r="L1595" s="10">
        <f t="shared" si="121"/>
        <v>22510</v>
      </c>
      <c r="M1595" s="1">
        <f t="shared" si="122"/>
        <v>1</v>
      </c>
      <c r="N1595" s="1">
        <f t="shared" si="123"/>
        <v>1</v>
      </c>
      <c r="O1595" s="1" t="str">
        <f>IF(I1595=0,"UNUSED",IF(A1595="","MISSING ID",IF(K1595=0,"UNEXPECTED ID",IF(N1595&lt;&gt;1,"ID / ORDER DIFFERENCE",IF('Source build'!U1595&lt;&gt;"INCLUDED","EXCLUDED SOURCE",IF(NOT(M1595),"INVALID AMOUNT",IF('Source build'!Y1595&lt;&gt;0,"CHANGED FIELDS","MATCH")))))))</f>
        <v>MATCH</v>
      </c>
      <c r="P1595" s="1" t="str">
        <f t="shared" si="124"/>
        <v>2026-03</v>
      </c>
    </row>
    <row r="1596" spans="1:16" ht="18.95" customHeight="1">
      <c r="A1596" s="7" t="s">
        <v>4170</v>
      </c>
      <c r="B1596" s="7" t="s">
        <v>4168</v>
      </c>
      <c r="C1596" s="7" t="s">
        <v>542</v>
      </c>
      <c r="D1596" s="7" t="s">
        <v>103</v>
      </c>
      <c r="E1596" s="7" t="s">
        <v>48</v>
      </c>
      <c r="F1596" s="7" t="s">
        <v>98</v>
      </c>
      <c r="G1596" s="7" t="s">
        <v>4171</v>
      </c>
      <c r="I1596" s="1">
        <f t="shared" si="120"/>
        <v>1</v>
      </c>
      <c r="J1596" s="1" t="str">
        <f>'Source build'!A1596</f>
        <v>L01590</v>
      </c>
      <c r="K1596" s="1">
        <f>1596</f>
        <v>1596</v>
      </c>
      <c r="L1596" s="10">
        <f t="shared" si="121"/>
        <v>45168</v>
      </c>
      <c r="M1596" s="1">
        <f t="shared" si="122"/>
        <v>1</v>
      </c>
      <c r="N1596" s="1">
        <f t="shared" si="123"/>
        <v>1</v>
      </c>
      <c r="O1596" s="1" t="str">
        <f>IF(I1596=0,"UNUSED",IF(A1596="","MISSING ID",IF(K1596=0,"UNEXPECTED ID",IF(N1596&lt;&gt;1,"ID / ORDER DIFFERENCE",IF('Source build'!U1596&lt;&gt;"INCLUDED","EXCLUDED SOURCE",IF(NOT(M1596),"INVALID AMOUNT",IF('Source build'!Y1596&lt;&gt;0,"CHANGED FIELDS","MATCH")))))))</f>
        <v>MATCH</v>
      </c>
      <c r="P1596" s="1" t="str">
        <f t="shared" si="124"/>
        <v>2026-03</v>
      </c>
    </row>
    <row r="1597" spans="1:16" ht="18.95" customHeight="1">
      <c r="A1597" s="7" t="s">
        <v>4172</v>
      </c>
      <c r="B1597" s="7" t="s">
        <v>4173</v>
      </c>
      <c r="C1597" s="7" t="s">
        <v>548</v>
      </c>
      <c r="D1597" s="7" t="s">
        <v>93</v>
      </c>
      <c r="E1597" s="7" t="s">
        <v>46</v>
      </c>
      <c r="F1597" s="7" t="s">
        <v>98</v>
      </c>
      <c r="G1597" s="7" t="s">
        <v>4174</v>
      </c>
      <c r="I1597" s="1">
        <f t="shared" si="120"/>
        <v>1</v>
      </c>
      <c r="J1597" s="1" t="str">
        <f>'Source build'!A1597</f>
        <v>L01591</v>
      </c>
      <c r="K1597" s="1">
        <f>1597</f>
        <v>1597</v>
      </c>
      <c r="L1597" s="10">
        <f t="shared" si="121"/>
        <v>11329</v>
      </c>
      <c r="M1597" s="1">
        <f t="shared" si="122"/>
        <v>1</v>
      </c>
      <c r="N1597" s="1">
        <f t="shared" si="123"/>
        <v>1</v>
      </c>
      <c r="O1597" s="1" t="str">
        <f>IF(I1597=0,"UNUSED",IF(A1597="","MISSING ID",IF(K1597=0,"UNEXPECTED ID",IF(N1597&lt;&gt;1,"ID / ORDER DIFFERENCE",IF('Source build'!U1597&lt;&gt;"INCLUDED","EXCLUDED SOURCE",IF(NOT(M1597),"INVALID AMOUNT",IF('Source build'!Y1597&lt;&gt;0,"CHANGED FIELDS","MATCH")))))))</f>
        <v>MATCH</v>
      </c>
      <c r="P1597" s="1" t="str">
        <f t="shared" si="124"/>
        <v>2026-03</v>
      </c>
    </row>
    <row r="1598" spans="1:16" ht="18.95" customHeight="1">
      <c r="A1598" s="7" t="s">
        <v>4175</v>
      </c>
      <c r="B1598" s="7" t="s">
        <v>4173</v>
      </c>
      <c r="C1598" s="7" t="s">
        <v>548</v>
      </c>
      <c r="D1598" s="7" t="s">
        <v>97</v>
      </c>
      <c r="E1598" s="7" t="s">
        <v>47</v>
      </c>
      <c r="F1598" s="7" t="s">
        <v>98</v>
      </c>
      <c r="G1598" s="7" t="s">
        <v>4176</v>
      </c>
      <c r="I1598" s="1">
        <f t="shared" si="120"/>
        <v>1</v>
      </c>
      <c r="J1598" s="1" t="str">
        <f>'Source build'!A1598</f>
        <v>L01592</v>
      </c>
      <c r="K1598" s="1">
        <f>1598</f>
        <v>1598</v>
      </c>
      <c r="L1598" s="10">
        <f t="shared" si="121"/>
        <v>34098</v>
      </c>
      <c r="M1598" s="1">
        <f t="shared" si="122"/>
        <v>1</v>
      </c>
      <c r="N1598" s="1">
        <f t="shared" si="123"/>
        <v>1</v>
      </c>
      <c r="O1598" s="1" t="str">
        <f>IF(I1598=0,"UNUSED",IF(A1598="","MISSING ID",IF(K1598=0,"UNEXPECTED ID",IF(N1598&lt;&gt;1,"ID / ORDER DIFFERENCE",IF('Source build'!U1598&lt;&gt;"INCLUDED","EXCLUDED SOURCE",IF(NOT(M1598),"INVALID AMOUNT",IF('Source build'!Y1598&lt;&gt;0,"CHANGED FIELDS","MATCH")))))))</f>
        <v>MATCH</v>
      </c>
      <c r="P1598" s="1" t="str">
        <f t="shared" si="124"/>
        <v>2026-03</v>
      </c>
    </row>
    <row r="1599" spans="1:16" ht="18.95" customHeight="1">
      <c r="A1599" s="7" t="s">
        <v>4177</v>
      </c>
      <c r="B1599" s="7" t="s">
        <v>4178</v>
      </c>
      <c r="C1599" s="7" t="s">
        <v>554</v>
      </c>
      <c r="D1599" s="7" t="s">
        <v>103</v>
      </c>
      <c r="E1599" s="7" t="s">
        <v>48</v>
      </c>
      <c r="F1599" s="7" t="s">
        <v>98</v>
      </c>
      <c r="G1599" s="7" t="s">
        <v>4179</v>
      </c>
      <c r="I1599" s="1">
        <f t="shared" si="120"/>
        <v>1</v>
      </c>
      <c r="J1599" s="1" t="str">
        <f>'Source build'!A1599</f>
        <v>L01593</v>
      </c>
      <c r="K1599" s="1">
        <f>1599</f>
        <v>1599</v>
      </c>
      <c r="L1599" s="10">
        <f t="shared" si="121"/>
        <v>57015</v>
      </c>
      <c r="M1599" s="1">
        <f t="shared" si="122"/>
        <v>1</v>
      </c>
      <c r="N1599" s="1">
        <f t="shared" si="123"/>
        <v>1</v>
      </c>
      <c r="O1599" s="1" t="str">
        <f>IF(I1599=0,"UNUSED",IF(A1599="","MISSING ID",IF(K1599=0,"UNEXPECTED ID",IF(N1599&lt;&gt;1,"ID / ORDER DIFFERENCE",IF('Source build'!U1599&lt;&gt;"INCLUDED","EXCLUDED SOURCE",IF(NOT(M1599),"INVALID AMOUNT",IF('Source build'!Y1599&lt;&gt;0,"CHANGED FIELDS","MATCH")))))))</f>
        <v>MATCH</v>
      </c>
      <c r="P1599" s="1" t="str">
        <f t="shared" si="124"/>
        <v>2026-03</v>
      </c>
    </row>
    <row r="1600" spans="1:16" ht="18.95" customHeight="1">
      <c r="A1600" s="7" t="s">
        <v>4180</v>
      </c>
      <c r="B1600" s="7" t="s">
        <v>4178</v>
      </c>
      <c r="C1600" s="7" t="s">
        <v>554</v>
      </c>
      <c r="D1600" s="7" t="s">
        <v>93</v>
      </c>
      <c r="E1600" s="7" t="s">
        <v>46</v>
      </c>
      <c r="F1600" s="7" t="s">
        <v>98</v>
      </c>
      <c r="G1600" s="7" t="s">
        <v>4181</v>
      </c>
      <c r="I1600" s="1">
        <f t="shared" si="120"/>
        <v>1</v>
      </c>
      <c r="J1600" s="1" t="str">
        <f>'Source build'!A1600</f>
        <v>L01594</v>
      </c>
      <c r="K1600" s="1">
        <f>1600</f>
        <v>1600</v>
      </c>
      <c r="L1600" s="10">
        <f t="shared" si="121"/>
        <v>22880</v>
      </c>
      <c r="M1600" s="1">
        <f t="shared" si="122"/>
        <v>1</v>
      </c>
      <c r="N1600" s="1">
        <f t="shared" si="123"/>
        <v>1</v>
      </c>
      <c r="O1600" s="1" t="str">
        <f>IF(I1600=0,"UNUSED",IF(A1600="","MISSING ID",IF(K1600=0,"UNEXPECTED ID",IF(N1600&lt;&gt;1,"ID / ORDER DIFFERENCE",IF('Source build'!U1600&lt;&gt;"INCLUDED","EXCLUDED SOURCE",IF(NOT(M1600),"INVALID AMOUNT",IF('Source build'!Y1600&lt;&gt;0,"CHANGED FIELDS","MATCH")))))))</f>
        <v>MATCH</v>
      </c>
      <c r="P1600" s="1" t="str">
        <f t="shared" si="124"/>
        <v>2026-03</v>
      </c>
    </row>
    <row r="1601" spans="1:16" ht="18.95" customHeight="1">
      <c r="A1601" s="7" t="s">
        <v>4182</v>
      </c>
      <c r="B1601" s="7" t="s">
        <v>4183</v>
      </c>
      <c r="C1601" s="7" t="s">
        <v>560</v>
      </c>
      <c r="D1601" s="7" t="s">
        <v>97</v>
      </c>
      <c r="E1601" s="7" t="s">
        <v>47</v>
      </c>
      <c r="F1601" s="7" t="s">
        <v>98</v>
      </c>
      <c r="G1601" s="7" t="s">
        <v>4184</v>
      </c>
      <c r="I1601" s="1">
        <f t="shared" si="120"/>
        <v>1</v>
      </c>
      <c r="J1601" s="1" t="str">
        <f>'Source build'!A1601</f>
        <v>L01595</v>
      </c>
      <c r="K1601" s="1">
        <f>1601</f>
        <v>1601</v>
      </c>
      <c r="L1601" s="10">
        <f t="shared" si="121"/>
        <v>45908</v>
      </c>
      <c r="M1601" s="1">
        <f t="shared" si="122"/>
        <v>1</v>
      </c>
      <c r="N1601" s="1">
        <f t="shared" si="123"/>
        <v>1</v>
      </c>
      <c r="O1601" s="1" t="str">
        <f>IF(I1601=0,"UNUSED",IF(A1601="","MISSING ID",IF(K1601=0,"UNEXPECTED ID",IF(N1601&lt;&gt;1,"ID / ORDER DIFFERENCE",IF('Source build'!U1601&lt;&gt;"INCLUDED","EXCLUDED SOURCE",IF(NOT(M1601),"INVALID AMOUNT",IF('Source build'!Y1601&lt;&gt;0,"CHANGED FIELDS","MATCH")))))))</f>
        <v>MATCH</v>
      </c>
      <c r="P1601" s="1" t="str">
        <f t="shared" si="124"/>
        <v>2026-03</v>
      </c>
    </row>
    <row r="1602" spans="1:16" ht="18.95" customHeight="1">
      <c r="A1602" s="7" t="s">
        <v>4185</v>
      </c>
      <c r="B1602" s="7" t="s">
        <v>4183</v>
      </c>
      <c r="C1602" s="7" t="s">
        <v>560</v>
      </c>
      <c r="D1602" s="7" t="s">
        <v>103</v>
      </c>
      <c r="E1602" s="7" t="s">
        <v>48</v>
      </c>
      <c r="F1602" s="7" t="s">
        <v>98</v>
      </c>
      <c r="G1602" s="7" t="s">
        <v>4186</v>
      </c>
      <c r="I1602" s="1">
        <f t="shared" si="120"/>
        <v>1</v>
      </c>
      <c r="J1602" s="1" t="str">
        <f>'Source build'!A1602</f>
        <v>L01596</v>
      </c>
      <c r="K1602" s="1">
        <f>1602</f>
        <v>1602</v>
      </c>
      <c r="L1602" s="10">
        <f t="shared" si="121"/>
        <v>11514</v>
      </c>
      <c r="M1602" s="1">
        <f t="shared" si="122"/>
        <v>1</v>
      </c>
      <c r="N1602" s="1">
        <f t="shared" si="123"/>
        <v>1</v>
      </c>
      <c r="O1602" s="1" t="str">
        <f>IF(I1602=0,"UNUSED",IF(A1602="","MISSING ID",IF(K1602=0,"UNEXPECTED ID",IF(N1602&lt;&gt;1,"ID / ORDER DIFFERENCE",IF('Source build'!U1602&lt;&gt;"INCLUDED","EXCLUDED SOURCE",IF(NOT(M1602),"INVALID AMOUNT",IF('Source build'!Y1602&lt;&gt;0,"CHANGED FIELDS","MATCH")))))))</f>
        <v>MATCH</v>
      </c>
      <c r="P1602" s="1" t="str">
        <f t="shared" si="124"/>
        <v>2026-03</v>
      </c>
    </row>
    <row r="1603" spans="1:16" ht="18.95" customHeight="1">
      <c r="A1603" s="7" t="s">
        <v>4187</v>
      </c>
      <c r="B1603" s="7" t="s">
        <v>4188</v>
      </c>
      <c r="C1603" s="7" t="s">
        <v>566</v>
      </c>
      <c r="D1603" s="7" t="s">
        <v>93</v>
      </c>
      <c r="E1603" s="7" t="s">
        <v>46</v>
      </c>
      <c r="F1603" s="7" t="s">
        <v>98</v>
      </c>
      <c r="G1603" s="7" t="s">
        <v>4189</v>
      </c>
      <c r="I1603" s="1">
        <f t="shared" si="120"/>
        <v>1</v>
      </c>
      <c r="J1603" s="1" t="str">
        <f>'Source build'!A1603</f>
        <v>L01597</v>
      </c>
      <c r="K1603" s="1">
        <f>1603</f>
        <v>1603</v>
      </c>
      <c r="L1603" s="10">
        <f t="shared" si="121"/>
        <v>34653</v>
      </c>
      <c r="M1603" s="1">
        <f t="shared" si="122"/>
        <v>1</v>
      </c>
      <c r="N1603" s="1">
        <f t="shared" si="123"/>
        <v>1</v>
      </c>
      <c r="O1603" s="1" t="str">
        <f>IF(I1603=0,"UNUSED",IF(A1603="","MISSING ID",IF(K1603=0,"UNEXPECTED ID",IF(N1603&lt;&gt;1,"ID / ORDER DIFFERENCE",IF('Source build'!U1603&lt;&gt;"INCLUDED","EXCLUDED SOURCE",IF(NOT(M1603),"INVALID AMOUNT",IF('Source build'!Y1603&lt;&gt;0,"CHANGED FIELDS","MATCH")))))))</f>
        <v>MATCH</v>
      </c>
      <c r="P1603" s="1" t="str">
        <f t="shared" si="124"/>
        <v>2026-01</v>
      </c>
    </row>
    <row r="1604" spans="1:16" ht="18.95" customHeight="1">
      <c r="A1604" s="7" t="s">
        <v>4190</v>
      </c>
      <c r="B1604" s="7" t="s">
        <v>4188</v>
      </c>
      <c r="C1604" s="7" t="s">
        <v>566</v>
      </c>
      <c r="D1604" s="7" t="s">
        <v>97</v>
      </c>
      <c r="E1604" s="7" t="s">
        <v>47</v>
      </c>
      <c r="F1604" s="7" t="s">
        <v>98</v>
      </c>
      <c r="G1604" s="7" t="s">
        <v>4191</v>
      </c>
      <c r="I1604" s="1">
        <f t="shared" si="120"/>
        <v>1</v>
      </c>
      <c r="J1604" s="1" t="str">
        <f>'Source build'!A1604</f>
        <v>L01598</v>
      </c>
      <c r="K1604" s="1">
        <f>1604</f>
        <v>1604</v>
      </c>
      <c r="L1604" s="10">
        <f t="shared" si="121"/>
        <v>57940</v>
      </c>
      <c r="M1604" s="1">
        <f t="shared" si="122"/>
        <v>1</v>
      </c>
      <c r="N1604" s="1">
        <f t="shared" si="123"/>
        <v>1</v>
      </c>
      <c r="O1604" s="1" t="str">
        <f>IF(I1604=0,"UNUSED",IF(A1604="","MISSING ID",IF(K1604=0,"UNEXPECTED ID",IF(N1604&lt;&gt;1,"ID / ORDER DIFFERENCE",IF('Source build'!U1604&lt;&gt;"INCLUDED","EXCLUDED SOURCE",IF(NOT(M1604),"INVALID AMOUNT",IF('Source build'!Y1604&lt;&gt;0,"CHANGED FIELDS","MATCH")))))))</f>
        <v>MATCH</v>
      </c>
      <c r="P1604" s="1" t="str">
        <f t="shared" si="124"/>
        <v>2026-01</v>
      </c>
    </row>
    <row r="1605" spans="1:16" ht="18.95" customHeight="1">
      <c r="A1605" s="7" t="s">
        <v>4192</v>
      </c>
      <c r="B1605" s="7" t="s">
        <v>4193</v>
      </c>
      <c r="C1605" s="7" t="s">
        <v>572</v>
      </c>
      <c r="D1605" s="7" t="s">
        <v>103</v>
      </c>
      <c r="E1605" s="7" t="s">
        <v>48</v>
      </c>
      <c r="F1605" s="7" t="s">
        <v>98</v>
      </c>
      <c r="G1605" s="7" t="s">
        <v>4194</v>
      </c>
      <c r="I1605" s="1">
        <f t="shared" si="120"/>
        <v>1</v>
      </c>
      <c r="J1605" s="1" t="str">
        <f>'Source build'!A1605</f>
        <v>L01599</v>
      </c>
      <c r="K1605" s="1">
        <f>1605</f>
        <v>1605</v>
      </c>
      <c r="L1605" s="10">
        <f t="shared" si="121"/>
        <v>23250</v>
      </c>
      <c r="M1605" s="1">
        <f t="shared" si="122"/>
        <v>1</v>
      </c>
      <c r="N1605" s="1">
        <f t="shared" si="123"/>
        <v>1</v>
      </c>
      <c r="O1605" s="1" t="str">
        <f>IF(I1605=0,"UNUSED",IF(A1605="","MISSING ID",IF(K1605=0,"UNEXPECTED ID",IF(N1605&lt;&gt;1,"ID / ORDER DIFFERENCE",IF('Source build'!U1605&lt;&gt;"INCLUDED","EXCLUDED SOURCE",IF(NOT(M1605),"INVALID AMOUNT",IF('Source build'!Y1605&lt;&gt;0,"CHANGED FIELDS","MATCH")))))))</f>
        <v>MATCH</v>
      </c>
      <c r="P1605" s="1" t="str">
        <f t="shared" si="124"/>
        <v>2026-01</v>
      </c>
    </row>
    <row r="1606" spans="1:16" ht="18.95" customHeight="1">
      <c r="A1606" s="7" t="s">
        <v>4195</v>
      </c>
      <c r="B1606" s="7" t="s">
        <v>4193</v>
      </c>
      <c r="C1606" s="7" t="s">
        <v>572</v>
      </c>
      <c r="D1606" s="7" t="s">
        <v>93</v>
      </c>
      <c r="E1606" s="7" t="s">
        <v>46</v>
      </c>
      <c r="F1606" s="7" t="s">
        <v>98</v>
      </c>
      <c r="G1606" s="7" t="s">
        <v>4196</v>
      </c>
      <c r="I1606" s="1">
        <f t="shared" si="120"/>
        <v>1</v>
      </c>
      <c r="J1606" s="1" t="str">
        <f>'Source build'!A1606</f>
        <v>L01600</v>
      </c>
      <c r="K1606" s="1">
        <f>1606</f>
        <v>1606</v>
      </c>
      <c r="L1606" s="10">
        <f t="shared" si="121"/>
        <v>46648</v>
      </c>
      <c r="M1606" s="1">
        <f t="shared" si="122"/>
        <v>1</v>
      </c>
      <c r="N1606" s="1">
        <f t="shared" si="123"/>
        <v>1</v>
      </c>
      <c r="O1606" s="1" t="str">
        <f>IF(I1606=0,"UNUSED",IF(A1606="","MISSING ID",IF(K1606=0,"UNEXPECTED ID",IF(N1606&lt;&gt;1,"ID / ORDER DIFFERENCE",IF('Source build'!U1606&lt;&gt;"INCLUDED","EXCLUDED SOURCE",IF(NOT(M1606),"INVALID AMOUNT",IF('Source build'!Y1606&lt;&gt;0,"CHANGED FIELDS","MATCH")))))))</f>
        <v>MATCH</v>
      </c>
      <c r="P1606" s="1" t="str">
        <f t="shared" si="124"/>
        <v>2026-01</v>
      </c>
    </row>
    <row r="1607" spans="1:16" ht="18.95" customHeight="1">
      <c r="A1607" s="7" t="s">
        <v>4197</v>
      </c>
      <c r="B1607" s="7" t="s">
        <v>4198</v>
      </c>
      <c r="C1607" s="7" t="s">
        <v>578</v>
      </c>
      <c r="D1607" s="7" t="s">
        <v>97</v>
      </c>
      <c r="E1607" s="7" t="s">
        <v>47</v>
      </c>
      <c r="F1607" s="7" t="s">
        <v>98</v>
      </c>
      <c r="G1607" s="7" t="s">
        <v>4199</v>
      </c>
      <c r="I1607" s="1">
        <f t="shared" ref="I1607:I1670" si="125">IF(AND(A1607="",B1607="",C1607="",D1607="",E1607="",F1607="",G1607=""),0,1)</f>
        <v>1</v>
      </c>
      <c r="J1607" s="1" t="str">
        <f>'Source build'!A1607</f>
        <v>L01601</v>
      </c>
      <c r="K1607" s="1">
        <f>1607</f>
        <v>1607</v>
      </c>
      <c r="L1607" s="10">
        <f t="shared" ref="L1607:L1670" si="126">IFERROR(IF(ABS(VALUE(G1607)*100-ROUND(VALUE(G1607)*100,0))&lt;0.0000001,ROUND(VALUE(G1607)*100,0),0),0)</f>
        <v>11699</v>
      </c>
      <c r="M1607" s="1">
        <f t="shared" ref="M1607:M1670" si="127">--IF(I1607=0,TRUE,IF(TRIM(G1607)="",FALSE,IFERROR(AND(ISNUMBER(VALUE(G1607)),ABS(VALUE(G1607)*100-ROUND(VALUE(G1607)*100,0))&lt;0.0000001,OR(ISNUMBER(G1607),EXACT(G1607,TEXT(VALUE(G1607),"0.00"))),OR(AND(EXACT(F1607,"sale"),VALUE(G1607)&gt;0),AND(EXACT(F1607,"refund"),VALUE(G1607)&lt;0))),FALSE)))</f>
        <v>1</v>
      </c>
      <c r="N1607" s="1">
        <f t="shared" ref="N1607:N1670" si="128">IF(I1607=1,IF(EXACT(A1607,J1607),1,0),0)</f>
        <v>1</v>
      </c>
      <c r="O1607" s="1" t="str">
        <f>IF(I1607=0,"UNUSED",IF(A1607="","MISSING ID",IF(K1607=0,"UNEXPECTED ID",IF(N1607&lt;&gt;1,"ID / ORDER DIFFERENCE",IF('Source build'!U1607&lt;&gt;"INCLUDED","EXCLUDED SOURCE",IF(NOT(M1607),"INVALID AMOUNT",IF('Source build'!Y1607&lt;&gt;0,"CHANGED FIELDS","MATCH")))))))</f>
        <v>MATCH</v>
      </c>
      <c r="P1607" s="1" t="str">
        <f t="shared" ref="P1607:P1670" si="129">IF(I1607=1,LEFT(C1607,7),"")</f>
        <v>2026-01</v>
      </c>
    </row>
    <row r="1608" spans="1:16" ht="18.95" customHeight="1">
      <c r="A1608" s="7" t="s">
        <v>4200</v>
      </c>
      <c r="B1608" s="7" t="s">
        <v>4198</v>
      </c>
      <c r="C1608" s="7" t="s">
        <v>578</v>
      </c>
      <c r="D1608" s="7" t="s">
        <v>103</v>
      </c>
      <c r="E1608" s="7" t="s">
        <v>48</v>
      </c>
      <c r="F1608" s="7" t="s">
        <v>98</v>
      </c>
      <c r="G1608" s="7" t="s">
        <v>4201</v>
      </c>
      <c r="I1608" s="1">
        <f t="shared" si="125"/>
        <v>1</v>
      </c>
      <c r="J1608" s="1" t="str">
        <f>'Source build'!A1608</f>
        <v>L01602</v>
      </c>
      <c r="K1608" s="1">
        <f>1608</f>
        <v>1608</v>
      </c>
      <c r="L1608" s="10">
        <f t="shared" si="126"/>
        <v>35208</v>
      </c>
      <c r="M1608" s="1">
        <f t="shared" si="127"/>
        <v>1</v>
      </c>
      <c r="N1608" s="1">
        <f t="shared" si="128"/>
        <v>1</v>
      </c>
      <c r="O1608" s="1" t="str">
        <f>IF(I1608=0,"UNUSED",IF(A1608="","MISSING ID",IF(K1608=0,"UNEXPECTED ID",IF(N1608&lt;&gt;1,"ID / ORDER DIFFERENCE",IF('Source build'!U1608&lt;&gt;"INCLUDED","EXCLUDED SOURCE",IF(NOT(M1608),"INVALID AMOUNT",IF('Source build'!Y1608&lt;&gt;0,"CHANGED FIELDS","MATCH")))))))</f>
        <v>MATCH</v>
      </c>
      <c r="P1608" s="1" t="str">
        <f t="shared" si="129"/>
        <v>2026-01</v>
      </c>
    </row>
    <row r="1609" spans="1:16" ht="18.95" customHeight="1">
      <c r="A1609" s="7" t="s">
        <v>4202</v>
      </c>
      <c r="B1609" s="7" t="s">
        <v>4203</v>
      </c>
      <c r="C1609" s="7" t="s">
        <v>584</v>
      </c>
      <c r="D1609" s="7" t="s">
        <v>93</v>
      </c>
      <c r="E1609" s="7" t="s">
        <v>46</v>
      </c>
      <c r="F1609" s="7" t="s">
        <v>98</v>
      </c>
      <c r="G1609" s="7" t="s">
        <v>4204</v>
      </c>
      <c r="I1609" s="1">
        <f t="shared" si="125"/>
        <v>1</v>
      </c>
      <c r="J1609" s="1" t="str">
        <f>'Source build'!A1609</f>
        <v>L01603</v>
      </c>
      <c r="K1609" s="1">
        <f>1609</f>
        <v>1609</v>
      </c>
      <c r="L1609" s="10">
        <f t="shared" si="126"/>
        <v>58865</v>
      </c>
      <c r="M1609" s="1">
        <f t="shared" si="127"/>
        <v>1</v>
      </c>
      <c r="N1609" s="1">
        <f t="shared" si="128"/>
        <v>1</v>
      </c>
      <c r="O1609" s="1" t="str">
        <f>IF(I1609=0,"UNUSED",IF(A1609="","MISSING ID",IF(K1609=0,"UNEXPECTED ID",IF(N1609&lt;&gt;1,"ID / ORDER DIFFERENCE",IF('Source build'!U1609&lt;&gt;"INCLUDED","EXCLUDED SOURCE",IF(NOT(M1609),"INVALID AMOUNT",IF('Source build'!Y1609&lt;&gt;0,"CHANGED FIELDS","MATCH")))))))</f>
        <v>MATCH</v>
      </c>
      <c r="P1609" s="1" t="str">
        <f t="shared" si="129"/>
        <v>2026-01</v>
      </c>
    </row>
    <row r="1610" spans="1:16" ht="18.95" customHeight="1">
      <c r="A1610" s="7" t="s">
        <v>4205</v>
      </c>
      <c r="B1610" s="7" t="s">
        <v>4203</v>
      </c>
      <c r="C1610" s="7" t="s">
        <v>584</v>
      </c>
      <c r="D1610" s="7" t="s">
        <v>97</v>
      </c>
      <c r="E1610" s="7" t="s">
        <v>47</v>
      </c>
      <c r="F1610" s="7" t="s">
        <v>98</v>
      </c>
      <c r="G1610" s="7" t="s">
        <v>4206</v>
      </c>
      <c r="I1610" s="1">
        <f t="shared" si="125"/>
        <v>1</v>
      </c>
      <c r="J1610" s="1" t="str">
        <f>'Source build'!A1610</f>
        <v>L01604</v>
      </c>
      <c r="K1610" s="1">
        <f>1610</f>
        <v>1610</v>
      </c>
      <c r="L1610" s="10">
        <f t="shared" si="126"/>
        <v>23620</v>
      </c>
      <c r="M1610" s="1">
        <f t="shared" si="127"/>
        <v>1</v>
      </c>
      <c r="N1610" s="1">
        <f t="shared" si="128"/>
        <v>1</v>
      </c>
      <c r="O1610" s="1" t="str">
        <f>IF(I1610=0,"UNUSED",IF(A1610="","MISSING ID",IF(K1610=0,"UNEXPECTED ID",IF(N1610&lt;&gt;1,"ID / ORDER DIFFERENCE",IF('Source build'!U1610&lt;&gt;"INCLUDED","EXCLUDED SOURCE",IF(NOT(M1610),"INVALID AMOUNT",IF('Source build'!Y1610&lt;&gt;0,"CHANGED FIELDS","MATCH")))))))</f>
        <v>MATCH</v>
      </c>
      <c r="P1610" s="1" t="str">
        <f t="shared" si="129"/>
        <v>2026-01</v>
      </c>
    </row>
    <row r="1611" spans="1:16" ht="18.95" customHeight="1">
      <c r="A1611" s="7" t="s">
        <v>4207</v>
      </c>
      <c r="B1611" s="7" t="s">
        <v>4208</v>
      </c>
      <c r="C1611" s="7" t="s">
        <v>590</v>
      </c>
      <c r="D1611" s="7" t="s">
        <v>103</v>
      </c>
      <c r="E1611" s="7" t="s">
        <v>48</v>
      </c>
      <c r="F1611" s="7" t="s">
        <v>98</v>
      </c>
      <c r="G1611" s="7" t="s">
        <v>4209</v>
      </c>
      <c r="I1611" s="1">
        <f t="shared" si="125"/>
        <v>1</v>
      </c>
      <c r="J1611" s="1" t="str">
        <f>'Source build'!A1611</f>
        <v>L01605</v>
      </c>
      <c r="K1611" s="1">
        <f>1611</f>
        <v>1611</v>
      </c>
      <c r="L1611" s="10">
        <f t="shared" si="126"/>
        <v>47388</v>
      </c>
      <c r="M1611" s="1">
        <f t="shared" si="127"/>
        <v>1</v>
      </c>
      <c r="N1611" s="1">
        <f t="shared" si="128"/>
        <v>1</v>
      </c>
      <c r="O1611" s="1" t="str">
        <f>IF(I1611=0,"UNUSED",IF(A1611="","MISSING ID",IF(K1611=0,"UNEXPECTED ID",IF(N1611&lt;&gt;1,"ID / ORDER DIFFERENCE",IF('Source build'!U1611&lt;&gt;"INCLUDED","EXCLUDED SOURCE",IF(NOT(M1611),"INVALID AMOUNT",IF('Source build'!Y1611&lt;&gt;0,"CHANGED FIELDS","MATCH")))))))</f>
        <v>MATCH</v>
      </c>
      <c r="P1611" s="1" t="str">
        <f t="shared" si="129"/>
        <v>2026-02</v>
      </c>
    </row>
    <row r="1612" spans="1:16" ht="18.95" customHeight="1">
      <c r="A1612" s="7" t="s">
        <v>4210</v>
      </c>
      <c r="B1612" s="7" t="s">
        <v>4208</v>
      </c>
      <c r="C1612" s="7" t="s">
        <v>590</v>
      </c>
      <c r="D1612" s="7" t="s">
        <v>93</v>
      </c>
      <c r="E1612" s="7" t="s">
        <v>46</v>
      </c>
      <c r="F1612" s="7" t="s">
        <v>98</v>
      </c>
      <c r="G1612" s="7" t="s">
        <v>4211</v>
      </c>
      <c r="I1612" s="1">
        <f t="shared" si="125"/>
        <v>1</v>
      </c>
      <c r="J1612" s="1" t="str">
        <f>'Source build'!A1612</f>
        <v>L01606</v>
      </c>
      <c r="K1612" s="1">
        <f>1612</f>
        <v>1612</v>
      </c>
      <c r="L1612" s="10">
        <f t="shared" si="126"/>
        <v>11884</v>
      </c>
      <c r="M1612" s="1">
        <f t="shared" si="127"/>
        <v>1</v>
      </c>
      <c r="N1612" s="1">
        <f t="shared" si="128"/>
        <v>1</v>
      </c>
      <c r="O1612" s="1" t="str">
        <f>IF(I1612=0,"UNUSED",IF(A1612="","MISSING ID",IF(K1612=0,"UNEXPECTED ID",IF(N1612&lt;&gt;1,"ID / ORDER DIFFERENCE",IF('Source build'!U1612&lt;&gt;"INCLUDED","EXCLUDED SOURCE",IF(NOT(M1612),"INVALID AMOUNT",IF('Source build'!Y1612&lt;&gt;0,"CHANGED FIELDS","MATCH")))))))</f>
        <v>MATCH</v>
      </c>
      <c r="P1612" s="1" t="str">
        <f t="shared" si="129"/>
        <v>2026-02</v>
      </c>
    </row>
    <row r="1613" spans="1:16" ht="18.95" customHeight="1">
      <c r="A1613" s="7" t="s">
        <v>4212</v>
      </c>
      <c r="B1613" s="7" t="s">
        <v>4213</v>
      </c>
      <c r="C1613" s="7" t="s">
        <v>596</v>
      </c>
      <c r="D1613" s="7" t="s">
        <v>97</v>
      </c>
      <c r="E1613" s="7" t="s">
        <v>47</v>
      </c>
      <c r="F1613" s="7" t="s">
        <v>98</v>
      </c>
      <c r="G1613" s="7" t="s">
        <v>4214</v>
      </c>
      <c r="I1613" s="1">
        <f t="shared" si="125"/>
        <v>1</v>
      </c>
      <c r="J1613" s="1" t="str">
        <f>'Source build'!A1613</f>
        <v>L01607</v>
      </c>
      <c r="K1613" s="1">
        <f>1613</f>
        <v>1613</v>
      </c>
      <c r="L1613" s="10">
        <f t="shared" si="126"/>
        <v>35763</v>
      </c>
      <c r="M1613" s="1">
        <f t="shared" si="127"/>
        <v>1</v>
      </c>
      <c r="N1613" s="1">
        <f t="shared" si="128"/>
        <v>1</v>
      </c>
      <c r="O1613" s="1" t="str">
        <f>IF(I1613=0,"UNUSED",IF(A1613="","MISSING ID",IF(K1613=0,"UNEXPECTED ID",IF(N1613&lt;&gt;1,"ID / ORDER DIFFERENCE",IF('Source build'!U1613&lt;&gt;"INCLUDED","EXCLUDED SOURCE",IF(NOT(M1613),"INVALID AMOUNT",IF('Source build'!Y1613&lt;&gt;0,"CHANGED FIELDS","MATCH")))))))</f>
        <v>MATCH</v>
      </c>
      <c r="P1613" s="1" t="str">
        <f t="shared" si="129"/>
        <v>2026-02</v>
      </c>
    </row>
    <row r="1614" spans="1:16" ht="18.95" customHeight="1">
      <c r="A1614" s="7" t="s">
        <v>4215</v>
      </c>
      <c r="B1614" s="7" t="s">
        <v>4213</v>
      </c>
      <c r="C1614" s="7" t="s">
        <v>596</v>
      </c>
      <c r="D1614" s="7" t="s">
        <v>103</v>
      </c>
      <c r="E1614" s="7" t="s">
        <v>48</v>
      </c>
      <c r="F1614" s="7" t="s">
        <v>98</v>
      </c>
      <c r="G1614" s="7" t="s">
        <v>4216</v>
      </c>
      <c r="I1614" s="1">
        <f t="shared" si="125"/>
        <v>1</v>
      </c>
      <c r="J1614" s="1" t="str">
        <f>'Source build'!A1614</f>
        <v>L01608</v>
      </c>
      <c r="K1614" s="1">
        <f>1614</f>
        <v>1614</v>
      </c>
      <c r="L1614" s="10">
        <f t="shared" si="126"/>
        <v>59790</v>
      </c>
      <c r="M1614" s="1">
        <f t="shared" si="127"/>
        <v>1</v>
      </c>
      <c r="N1614" s="1">
        <f t="shared" si="128"/>
        <v>1</v>
      </c>
      <c r="O1614" s="1" t="str">
        <f>IF(I1614=0,"UNUSED",IF(A1614="","MISSING ID",IF(K1614=0,"UNEXPECTED ID",IF(N1614&lt;&gt;1,"ID / ORDER DIFFERENCE",IF('Source build'!U1614&lt;&gt;"INCLUDED","EXCLUDED SOURCE",IF(NOT(M1614),"INVALID AMOUNT",IF('Source build'!Y1614&lt;&gt;0,"CHANGED FIELDS","MATCH")))))))</f>
        <v>MATCH</v>
      </c>
      <c r="P1614" s="1" t="str">
        <f t="shared" si="129"/>
        <v>2026-02</v>
      </c>
    </row>
    <row r="1615" spans="1:16" ht="18.95" customHeight="1">
      <c r="A1615" s="7" t="s">
        <v>4217</v>
      </c>
      <c r="B1615" s="7" t="s">
        <v>4218</v>
      </c>
      <c r="C1615" s="7" t="s">
        <v>602</v>
      </c>
      <c r="D1615" s="7" t="s">
        <v>93</v>
      </c>
      <c r="E1615" s="7" t="s">
        <v>46</v>
      </c>
      <c r="F1615" s="7" t="s">
        <v>98</v>
      </c>
      <c r="G1615" s="7" t="s">
        <v>4219</v>
      </c>
      <c r="I1615" s="1">
        <f t="shared" si="125"/>
        <v>1</v>
      </c>
      <c r="J1615" s="1" t="str">
        <f>'Source build'!A1615</f>
        <v>L01609</v>
      </c>
      <c r="K1615" s="1">
        <f>1615</f>
        <v>1615</v>
      </c>
      <c r="L1615" s="10">
        <f t="shared" si="126"/>
        <v>23990</v>
      </c>
      <c r="M1615" s="1">
        <f t="shared" si="127"/>
        <v>1</v>
      </c>
      <c r="N1615" s="1">
        <f t="shared" si="128"/>
        <v>1</v>
      </c>
      <c r="O1615" s="1" t="str">
        <f>IF(I1615=0,"UNUSED",IF(A1615="","MISSING ID",IF(K1615=0,"UNEXPECTED ID",IF(N1615&lt;&gt;1,"ID / ORDER DIFFERENCE",IF('Source build'!U1615&lt;&gt;"INCLUDED","EXCLUDED SOURCE",IF(NOT(M1615),"INVALID AMOUNT",IF('Source build'!Y1615&lt;&gt;0,"CHANGED FIELDS","MATCH")))))))</f>
        <v>MATCH</v>
      </c>
      <c r="P1615" s="1" t="str">
        <f t="shared" si="129"/>
        <v>2026-02</v>
      </c>
    </row>
    <row r="1616" spans="1:16" ht="18.95" customHeight="1">
      <c r="A1616" s="7" t="s">
        <v>4220</v>
      </c>
      <c r="B1616" s="7" t="s">
        <v>4218</v>
      </c>
      <c r="C1616" s="7" t="s">
        <v>602</v>
      </c>
      <c r="D1616" s="7" t="s">
        <v>97</v>
      </c>
      <c r="E1616" s="7" t="s">
        <v>47</v>
      </c>
      <c r="F1616" s="7" t="s">
        <v>98</v>
      </c>
      <c r="G1616" s="7" t="s">
        <v>4221</v>
      </c>
      <c r="I1616" s="1">
        <f t="shared" si="125"/>
        <v>1</v>
      </c>
      <c r="J1616" s="1" t="str">
        <f>'Source build'!A1616</f>
        <v>L01610</v>
      </c>
      <c r="K1616" s="1">
        <f>1616</f>
        <v>1616</v>
      </c>
      <c r="L1616" s="10">
        <f t="shared" si="126"/>
        <v>48128</v>
      </c>
      <c r="M1616" s="1">
        <f t="shared" si="127"/>
        <v>1</v>
      </c>
      <c r="N1616" s="1">
        <f t="shared" si="128"/>
        <v>1</v>
      </c>
      <c r="O1616" s="1" t="str">
        <f>IF(I1616=0,"UNUSED",IF(A1616="","MISSING ID",IF(K1616=0,"UNEXPECTED ID",IF(N1616&lt;&gt;1,"ID / ORDER DIFFERENCE",IF('Source build'!U1616&lt;&gt;"INCLUDED","EXCLUDED SOURCE",IF(NOT(M1616),"INVALID AMOUNT",IF('Source build'!Y1616&lt;&gt;0,"CHANGED FIELDS","MATCH")))))))</f>
        <v>MATCH</v>
      </c>
      <c r="P1616" s="1" t="str">
        <f t="shared" si="129"/>
        <v>2026-02</v>
      </c>
    </row>
    <row r="1617" spans="1:16" ht="18.95" customHeight="1">
      <c r="A1617" s="7" t="s">
        <v>4222</v>
      </c>
      <c r="B1617" s="7" t="s">
        <v>4223</v>
      </c>
      <c r="C1617" s="7" t="s">
        <v>611</v>
      </c>
      <c r="D1617" s="7" t="s">
        <v>103</v>
      </c>
      <c r="E1617" s="7" t="s">
        <v>48</v>
      </c>
      <c r="F1617" s="7" t="s">
        <v>94</v>
      </c>
      <c r="G1617" s="7" t="s">
        <v>4224</v>
      </c>
      <c r="I1617" s="1">
        <f t="shared" si="125"/>
        <v>1</v>
      </c>
      <c r="J1617" s="1" t="str">
        <f>'Source build'!A1617</f>
        <v>L01611</v>
      </c>
      <c r="K1617" s="1">
        <f>1617</f>
        <v>1617</v>
      </c>
      <c r="L1617" s="10">
        <f t="shared" si="126"/>
        <v>-12069</v>
      </c>
      <c r="M1617" s="1">
        <f t="shared" si="127"/>
        <v>1</v>
      </c>
      <c r="N1617" s="1">
        <f t="shared" si="128"/>
        <v>1</v>
      </c>
      <c r="O1617" s="1" t="str">
        <f>IF(I1617=0,"UNUSED",IF(A1617="","MISSING ID",IF(K1617=0,"UNEXPECTED ID",IF(N1617&lt;&gt;1,"ID / ORDER DIFFERENCE",IF('Source build'!U1617&lt;&gt;"INCLUDED","EXCLUDED SOURCE",IF(NOT(M1617),"INVALID AMOUNT",IF('Source build'!Y1617&lt;&gt;0,"CHANGED FIELDS","MATCH")))))))</f>
        <v>MATCH</v>
      </c>
      <c r="P1617" s="1" t="str">
        <f t="shared" si="129"/>
        <v>2026-02</v>
      </c>
    </row>
    <row r="1618" spans="1:16" ht="18.95" customHeight="1">
      <c r="A1618" s="7" t="s">
        <v>4225</v>
      </c>
      <c r="B1618" s="7" t="s">
        <v>4223</v>
      </c>
      <c r="C1618" s="7" t="s">
        <v>611</v>
      </c>
      <c r="D1618" s="7" t="s">
        <v>93</v>
      </c>
      <c r="E1618" s="7" t="s">
        <v>46</v>
      </c>
      <c r="F1618" s="7" t="s">
        <v>98</v>
      </c>
      <c r="G1618" s="7" t="s">
        <v>4226</v>
      </c>
      <c r="I1618" s="1">
        <f t="shared" si="125"/>
        <v>1</v>
      </c>
      <c r="J1618" s="1" t="str">
        <f>'Source build'!A1618</f>
        <v>L01612</v>
      </c>
      <c r="K1618" s="1">
        <f>1618</f>
        <v>1618</v>
      </c>
      <c r="L1618" s="10">
        <f t="shared" si="126"/>
        <v>36318</v>
      </c>
      <c r="M1618" s="1">
        <f t="shared" si="127"/>
        <v>1</v>
      </c>
      <c r="N1618" s="1">
        <f t="shared" si="128"/>
        <v>1</v>
      </c>
      <c r="O1618" s="1" t="str">
        <f>IF(I1618=0,"UNUSED",IF(A1618="","MISSING ID",IF(K1618=0,"UNEXPECTED ID",IF(N1618&lt;&gt;1,"ID / ORDER DIFFERENCE",IF('Source build'!U1618&lt;&gt;"INCLUDED","EXCLUDED SOURCE",IF(NOT(M1618),"INVALID AMOUNT",IF('Source build'!Y1618&lt;&gt;0,"CHANGED FIELDS","MATCH")))))))</f>
        <v>MATCH</v>
      </c>
      <c r="P1618" s="1" t="str">
        <f t="shared" si="129"/>
        <v>2026-02</v>
      </c>
    </row>
    <row r="1619" spans="1:16" ht="18.95" customHeight="1">
      <c r="A1619" s="7" t="s">
        <v>4227</v>
      </c>
      <c r="B1619" s="7" t="s">
        <v>4228</v>
      </c>
      <c r="C1619" s="7" t="s">
        <v>615</v>
      </c>
      <c r="D1619" s="7" t="s">
        <v>97</v>
      </c>
      <c r="E1619" s="7" t="s">
        <v>47</v>
      </c>
      <c r="F1619" s="7" t="s">
        <v>98</v>
      </c>
      <c r="G1619" s="7" t="s">
        <v>4229</v>
      </c>
      <c r="I1619" s="1">
        <f t="shared" si="125"/>
        <v>1</v>
      </c>
      <c r="J1619" s="1" t="str">
        <f>'Source build'!A1619</f>
        <v>L01613</v>
      </c>
      <c r="K1619" s="1">
        <f>1619</f>
        <v>1619</v>
      </c>
      <c r="L1619" s="10">
        <f t="shared" si="126"/>
        <v>60715</v>
      </c>
      <c r="M1619" s="1">
        <f t="shared" si="127"/>
        <v>1</v>
      </c>
      <c r="N1619" s="1">
        <f t="shared" si="128"/>
        <v>1</v>
      </c>
      <c r="O1619" s="1" t="str">
        <f>IF(I1619=0,"UNUSED",IF(A1619="","MISSING ID",IF(K1619=0,"UNEXPECTED ID",IF(N1619&lt;&gt;1,"ID / ORDER DIFFERENCE",IF('Source build'!U1619&lt;&gt;"INCLUDED","EXCLUDED SOURCE",IF(NOT(M1619),"INVALID AMOUNT",IF('Source build'!Y1619&lt;&gt;0,"CHANGED FIELDS","MATCH")))))))</f>
        <v>MATCH</v>
      </c>
      <c r="P1619" s="1" t="str">
        <f t="shared" si="129"/>
        <v>2026-03</v>
      </c>
    </row>
    <row r="1620" spans="1:16" ht="18.95" customHeight="1">
      <c r="A1620" s="7" t="s">
        <v>4230</v>
      </c>
      <c r="B1620" s="7" t="s">
        <v>4228</v>
      </c>
      <c r="C1620" s="7" t="s">
        <v>615</v>
      </c>
      <c r="D1620" s="7" t="s">
        <v>103</v>
      </c>
      <c r="E1620" s="7" t="s">
        <v>48</v>
      </c>
      <c r="F1620" s="7" t="s">
        <v>98</v>
      </c>
      <c r="G1620" s="7" t="s">
        <v>4231</v>
      </c>
      <c r="I1620" s="1">
        <f t="shared" si="125"/>
        <v>1</v>
      </c>
      <c r="J1620" s="1" t="str">
        <f>'Source build'!A1620</f>
        <v>L01614</v>
      </c>
      <c r="K1620" s="1">
        <f>1620</f>
        <v>1620</v>
      </c>
      <c r="L1620" s="10">
        <f t="shared" si="126"/>
        <v>24360</v>
      </c>
      <c r="M1620" s="1">
        <f t="shared" si="127"/>
        <v>1</v>
      </c>
      <c r="N1620" s="1">
        <f t="shared" si="128"/>
        <v>1</v>
      </c>
      <c r="O1620" s="1" t="str">
        <f>IF(I1620=0,"UNUSED",IF(A1620="","MISSING ID",IF(K1620=0,"UNEXPECTED ID",IF(N1620&lt;&gt;1,"ID / ORDER DIFFERENCE",IF('Source build'!U1620&lt;&gt;"INCLUDED","EXCLUDED SOURCE",IF(NOT(M1620),"INVALID AMOUNT",IF('Source build'!Y1620&lt;&gt;0,"CHANGED FIELDS","MATCH")))))))</f>
        <v>MATCH</v>
      </c>
      <c r="P1620" s="1" t="str">
        <f t="shared" si="129"/>
        <v>2026-03</v>
      </c>
    </row>
    <row r="1621" spans="1:16" ht="18.95" customHeight="1">
      <c r="A1621" s="7" t="s">
        <v>4232</v>
      </c>
      <c r="B1621" s="7" t="s">
        <v>4233</v>
      </c>
      <c r="C1621" s="7" t="s">
        <v>621</v>
      </c>
      <c r="D1621" s="7" t="s">
        <v>93</v>
      </c>
      <c r="E1621" s="7" t="s">
        <v>46</v>
      </c>
      <c r="F1621" s="7" t="s">
        <v>98</v>
      </c>
      <c r="G1621" s="7" t="s">
        <v>4234</v>
      </c>
      <c r="I1621" s="1">
        <f t="shared" si="125"/>
        <v>1</v>
      </c>
      <c r="J1621" s="1" t="str">
        <f>'Source build'!A1621</f>
        <v>L01615</v>
      </c>
      <c r="K1621" s="1">
        <f>1621</f>
        <v>1621</v>
      </c>
      <c r="L1621" s="10">
        <f t="shared" si="126"/>
        <v>48868</v>
      </c>
      <c r="M1621" s="1">
        <f t="shared" si="127"/>
        <v>1</v>
      </c>
      <c r="N1621" s="1">
        <f t="shared" si="128"/>
        <v>1</v>
      </c>
      <c r="O1621" s="1" t="str">
        <f>IF(I1621=0,"UNUSED",IF(A1621="","MISSING ID",IF(K1621=0,"UNEXPECTED ID",IF(N1621&lt;&gt;1,"ID / ORDER DIFFERENCE",IF('Source build'!U1621&lt;&gt;"INCLUDED","EXCLUDED SOURCE",IF(NOT(M1621),"INVALID AMOUNT",IF('Source build'!Y1621&lt;&gt;0,"CHANGED FIELDS","MATCH")))))))</f>
        <v>MATCH</v>
      </c>
      <c r="P1621" s="1" t="str">
        <f t="shared" si="129"/>
        <v>2026-03</v>
      </c>
    </row>
    <row r="1622" spans="1:16" ht="18.95" customHeight="1">
      <c r="A1622" s="7" t="s">
        <v>4235</v>
      </c>
      <c r="B1622" s="7" t="s">
        <v>4233</v>
      </c>
      <c r="C1622" s="7" t="s">
        <v>621</v>
      </c>
      <c r="D1622" s="7" t="s">
        <v>97</v>
      </c>
      <c r="E1622" s="7" t="s">
        <v>47</v>
      </c>
      <c r="F1622" s="7" t="s">
        <v>98</v>
      </c>
      <c r="G1622" s="7" t="s">
        <v>4236</v>
      </c>
      <c r="I1622" s="1">
        <f t="shared" si="125"/>
        <v>1</v>
      </c>
      <c r="J1622" s="1" t="str">
        <f>'Source build'!A1622</f>
        <v>L01616</v>
      </c>
      <c r="K1622" s="1">
        <f>1622</f>
        <v>1622</v>
      </c>
      <c r="L1622" s="10">
        <f t="shared" si="126"/>
        <v>12254</v>
      </c>
      <c r="M1622" s="1">
        <f t="shared" si="127"/>
        <v>1</v>
      </c>
      <c r="N1622" s="1">
        <f t="shared" si="128"/>
        <v>1</v>
      </c>
      <c r="O1622" s="1" t="str">
        <f>IF(I1622=0,"UNUSED",IF(A1622="","MISSING ID",IF(K1622=0,"UNEXPECTED ID",IF(N1622&lt;&gt;1,"ID / ORDER DIFFERENCE",IF('Source build'!U1622&lt;&gt;"INCLUDED","EXCLUDED SOURCE",IF(NOT(M1622),"INVALID AMOUNT",IF('Source build'!Y1622&lt;&gt;0,"CHANGED FIELDS","MATCH")))))))</f>
        <v>MATCH</v>
      </c>
      <c r="P1622" s="1" t="str">
        <f t="shared" si="129"/>
        <v>2026-03</v>
      </c>
    </row>
    <row r="1623" spans="1:16" ht="18.95" customHeight="1">
      <c r="A1623" s="7" t="s">
        <v>4237</v>
      </c>
      <c r="B1623" s="7" t="s">
        <v>4238</v>
      </c>
      <c r="C1623" s="7" t="s">
        <v>627</v>
      </c>
      <c r="D1623" s="7" t="s">
        <v>103</v>
      </c>
      <c r="E1623" s="7" t="s">
        <v>48</v>
      </c>
      <c r="F1623" s="7" t="s">
        <v>98</v>
      </c>
      <c r="G1623" s="7" t="s">
        <v>4239</v>
      </c>
      <c r="I1623" s="1">
        <f t="shared" si="125"/>
        <v>1</v>
      </c>
      <c r="J1623" s="1" t="str">
        <f>'Source build'!A1623</f>
        <v>L01617</v>
      </c>
      <c r="K1623" s="1">
        <f>1623</f>
        <v>1623</v>
      </c>
      <c r="L1623" s="10">
        <f t="shared" si="126"/>
        <v>36873</v>
      </c>
      <c r="M1623" s="1">
        <f t="shared" si="127"/>
        <v>1</v>
      </c>
      <c r="N1623" s="1">
        <f t="shared" si="128"/>
        <v>1</v>
      </c>
      <c r="O1623" s="1" t="str">
        <f>IF(I1623=0,"UNUSED",IF(A1623="","MISSING ID",IF(K1623=0,"UNEXPECTED ID",IF(N1623&lt;&gt;1,"ID / ORDER DIFFERENCE",IF('Source build'!U1623&lt;&gt;"INCLUDED","EXCLUDED SOURCE",IF(NOT(M1623),"INVALID AMOUNT",IF('Source build'!Y1623&lt;&gt;0,"CHANGED FIELDS","MATCH")))))))</f>
        <v>MATCH</v>
      </c>
      <c r="P1623" s="1" t="str">
        <f t="shared" si="129"/>
        <v>2026-03</v>
      </c>
    </row>
    <row r="1624" spans="1:16" ht="18.95" customHeight="1">
      <c r="A1624" s="7" t="s">
        <v>4240</v>
      </c>
      <c r="B1624" s="7" t="s">
        <v>4238</v>
      </c>
      <c r="C1624" s="7" t="s">
        <v>627</v>
      </c>
      <c r="D1624" s="7" t="s">
        <v>93</v>
      </c>
      <c r="E1624" s="7" t="s">
        <v>46</v>
      </c>
      <c r="F1624" s="7" t="s">
        <v>98</v>
      </c>
      <c r="G1624" s="7" t="s">
        <v>4241</v>
      </c>
      <c r="I1624" s="1">
        <f t="shared" si="125"/>
        <v>1</v>
      </c>
      <c r="J1624" s="1" t="str">
        <f>'Source build'!A1624</f>
        <v>L01618</v>
      </c>
      <c r="K1624" s="1">
        <f>1624</f>
        <v>1624</v>
      </c>
      <c r="L1624" s="10">
        <f t="shared" si="126"/>
        <v>61640</v>
      </c>
      <c r="M1624" s="1">
        <f t="shared" si="127"/>
        <v>1</v>
      </c>
      <c r="N1624" s="1">
        <f t="shared" si="128"/>
        <v>1</v>
      </c>
      <c r="O1624" s="1" t="str">
        <f>IF(I1624=0,"UNUSED",IF(A1624="","MISSING ID",IF(K1624=0,"UNEXPECTED ID",IF(N1624&lt;&gt;1,"ID / ORDER DIFFERENCE",IF('Source build'!U1624&lt;&gt;"INCLUDED","EXCLUDED SOURCE",IF(NOT(M1624),"INVALID AMOUNT",IF('Source build'!Y1624&lt;&gt;0,"CHANGED FIELDS","MATCH")))))))</f>
        <v>MATCH</v>
      </c>
      <c r="P1624" s="1" t="str">
        <f t="shared" si="129"/>
        <v>2026-03</v>
      </c>
    </row>
    <row r="1625" spans="1:16" ht="18.95" customHeight="1">
      <c r="A1625" s="7" t="s">
        <v>4242</v>
      </c>
      <c r="B1625" s="7" t="s">
        <v>4243</v>
      </c>
      <c r="C1625" s="7" t="s">
        <v>633</v>
      </c>
      <c r="D1625" s="7" t="s">
        <v>97</v>
      </c>
      <c r="E1625" s="7" t="s">
        <v>47</v>
      </c>
      <c r="F1625" s="7" t="s">
        <v>98</v>
      </c>
      <c r="G1625" s="7" t="s">
        <v>4244</v>
      </c>
      <c r="I1625" s="1">
        <f t="shared" si="125"/>
        <v>1</v>
      </c>
      <c r="J1625" s="1" t="str">
        <f>'Source build'!A1625</f>
        <v>L01619</v>
      </c>
      <c r="K1625" s="1">
        <f>1625</f>
        <v>1625</v>
      </c>
      <c r="L1625" s="10">
        <f t="shared" si="126"/>
        <v>24730</v>
      </c>
      <c r="M1625" s="1">
        <f t="shared" si="127"/>
        <v>1</v>
      </c>
      <c r="N1625" s="1">
        <f t="shared" si="128"/>
        <v>1</v>
      </c>
      <c r="O1625" s="1" t="str">
        <f>IF(I1625=0,"UNUSED",IF(A1625="","MISSING ID",IF(K1625=0,"UNEXPECTED ID",IF(N1625&lt;&gt;1,"ID / ORDER DIFFERENCE",IF('Source build'!U1625&lt;&gt;"INCLUDED","EXCLUDED SOURCE",IF(NOT(M1625),"INVALID AMOUNT",IF('Source build'!Y1625&lt;&gt;0,"CHANGED FIELDS","MATCH")))))))</f>
        <v>MATCH</v>
      </c>
      <c r="P1625" s="1" t="str">
        <f t="shared" si="129"/>
        <v>2026-03</v>
      </c>
    </row>
    <row r="1626" spans="1:16" ht="18.95" customHeight="1">
      <c r="A1626" s="7" t="s">
        <v>4245</v>
      </c>
      <c r="B1626" s="7" t="s">
        <v>4243</v>
      </c>
      <c r="C1626" s="7" t="s">
        <v>633</v>
      </c>
      <c r="D1626" s="7" t="s">
        <v>103</v>
      </c>
      <c r="E1626" s="7" t="s">
        <v>48</v>
      </c>
      <c r="F1626" s="7" t="s">
        <v>98</v>
      </c>
      <c r="G1626" s="7" t="s">
        <v>4246</v>
      </c>
      <c r="I1626" s="1">
        <f t="shared" si="125"/>
        <v>1</v>
      </c>
      <c r="J1626" s="1" t="str">
        <f>'Source build'!A1626</f>
        <v>L01620</v>
      </c>
      <c r="K1626" s="1">
        <f>1626</f>
        <v>1626</v>
      </c>
      <c r="L1626" s="10">
        <f t="shared" si="126"/>
        <v>49608</v>
      </c>
      <c r="M1626" s="1">
        <f t="shared" si="127"/>
        <v>1</v>
      </c>
      <c r="N1626" s="1">
        <f t="shared" si="128"/>
        <v>1</v>
      </c>
      <c r="O1626" s="1" t="str">
        <f>IF(I1626=0,"UNUSED",IF(A1626="","MISSING ID",IF(K1626=0,"UNEXPECTED ID",IF(N1626&lt;&gt;1,"ID / ORDER DIFFERENCE",IF('Source build'!U1626&lt;&gt;"INCLUDED","EXCLUDED SOURCE",IF(NOT(M1626),"INVALID AMOUNT",IF('Source build'!Y1626&lt;&gt;0,"CHANGED FIELDS","MATCH")))))))</f>
        <v>MATCH</v>
      </c>
      <c r="P1626" s="1" t="str">
        <f t="shared" si="129"/>
        <v>2026-03</v>
      </c>
    </row>
    <row r="1627" spans="1:16" ht="18.95" customHeight="1">
      <c r="A1627" s="7" t="s">
        <v>4247</v>
      </c>
      <c r="B1627" s="7" t="s">
        <v>4248</v>
      </c>
      <c r="C1627" s="7" t="s">
        <v>92</v>
      </c>
      <c r="D1627" s="7" t="s">
        <v>93</v>
      </c>
      <c r="E1627" s="7" t="s">
        <v>46</v>
      </c>
      <c r="F1627" s="7" t="s">
        <v>98</v>
      </c>
      <c r="G1627" s="7" t="s">
        <v>4249</v>
      </c>
      <c r="I1627" s="1">
        <f t="shared" si="125"/>
        <v>1</v>
      </c>
      <c r="J1627" s="1" t="str">
        <f>'Source build'!A1627</f>
        <v>L01621</v>
      </c>
      <c r="K1627" s="1">
        <f>1627</f>
        <v>1627</v>
      </c>
      <c r="L1627" s="10">
        <f t="shared" si="126"/>
        <v>12439</v>
      </c>
      <c r="M1627" s="1">
        <f t="shared" si="127"/>
        <v>1</v>
      </c>
      <c r="N1627" s="1">
        <f t="shared" si="128"/>
        <v>1</v>
      </c>
      <c r="O1627" s="1" t="str">
        <f>IF(I1627=0,"UNUSED",IF(A1627="","MISSING ID",IF(K1627=0,"UNEXPECTED ID",IF(N1627&lt;&gt;1,"ID / ORDER DIFFERENCE",IF('Source build'!U1627&lt;&gt;"INCLUDED","EXCLUDED SOURCE",IF(NOT(M1627),"INVALID AMOUNT",IF('Source build'!Y1627&lt;&gt;0,"CHANGED FIELDS","MATCH")))))))</f>
        <v>MATCH</v>
      </c>
      <c r="P1627" s="1" t="str">
        <f t="shared" si="129"/>
        <v>2026-01</v>
      </c>
    </row>
    <row r="1628" spans="1:16" ht="18.95" customHeight="1">
      <c r="A1628" s="7" t="s">
        <v>4250</v>
      </c>
      <c r="B1628" s="7" t="s">
        <v>4248</v>
      </c>
      <c r="C1628" s="7" t="s">
        <v>92</v>
      </c>
      <c r="D1628" s="7" t="s">
        <v>97</v>
      </c>
      <c r="E1628" s="7" t="s">
        <v>47</v>
      </c>
      <c r="F1628" s="7" t="s">
        <v>98</v>
      </c>
      <c r="G1628" s="7" t="s">
        <v>4251</v>
      </c>
      <c r="I1628" s="1">
        <f t="shared" si="125"/>
        <v>1</v>
      </c>
      <c r="J1628" s="1" t="str">
        <f>'Source build'!A1628</f>
        <v>L01622</v>
      </c>
      <c r="K1628" s="1">
        <f>1628</f>
        <v>1628</v>
      </c>
      <c r="L1628" s="10">
        <f t="shared" si="126"/>
        <v>37428</v>
      </c>
      <c r="M1628" s="1">
        <f t="shared" si="127"/>
        <v>1</v>
      </c>
      <c r="N1628" s="1">
        <f t="shared" si="128"/>
        <v>1</v>
      </c>
      <c r="O1628" s="1" t="str">
        <f>IF(I1628=0,"UNUSED",IF(A1628="","MISSING ID",IF(K1628=0,"UNEXPECTED ID",IF(N1628&lt;&gt;1,"ID / ORDER DIFFERENCE",IF('Source build'!U1628&lt;&gt;"INCLUDED","EXCLUDED SOURCE",IF(NOT(M1628),"INVALID AMOUNT",IF('Source build'!Y1628&lt;&gt;0,"CHANGED FIELDS","MATCH")))))))</f>
        <v>MATCH</v>
      </c>
      <c r="P1628" s="1" t="str">
        <f t="shared" si="129"/>
        <v>2026-01</v>
      </c>
    </row>
    <row r="1629" spans="1:16" ht="18.95" customHeight="1">
      <c r="A1629" s="7" t="s">
        <v>4252</v>
      </c>
      <c r="B1629" s="7" t="s">
        <v>4253</v>
      </c>
      <c r="C1629" s="7" t="s">
        <v>102</v>
      </c>
      <c r="D1629" s="7" t="s">
        <v>103</v>
      </c>
      <c r="E1629" s="7" t="s">
        <v>48</v>
      </c>
      <c r="F1629" s="7" t="s">
        <v>98</v>
      </c>
      <c r="G1629" s="7" t="s">
        <v>4254</v>
      </c>
      <c r="I1629" s="1">
        <f t="shared" si="125"/>
        <v>1</v>
      </c>
      <c r="J1629" s="1" t="str">
        <f>'Source build'!A1629</f>
        <v>L01623</v>
      </c>
      <c r="K1629" s="1">
        <f>1629</f>
        <v>1629</v>
      </c>
      <c r="L1629" s="10">
        <f t="shared" si="126"/>
        <v>2565</v>
      </c>
      <c r="M1629" s="1">
        <f t="shared" si="127"/>
        <v>1</v>
      </c>
      <c r="N1629" s="1">
        <f t="shared" si="128"/>
        <v>1</v>
      </c>
      <c r="O1629" s="1" t="str">
        <f>IF(I1629=0,"UNUSED",IF(A1629="","MISSING ID",IF(K1629=0,"UNEXPECTED ID",IF(N1629&lt;&gt;1,"ID / ORDER DIFFERENCE",IF('Source build'!U1629&lt;&gt;"INCLUDED","EXCLUDED SOURCE",IF(NOT(M1629),"INVALID AMOUNT",IF('Source build'!Y1629&lt;&gt;0,"CHANGED FIELDS","MATCH")))))))</f>
        <v>MATCH</v>
      </c>
      <c r="P1629" s="1" t="str">
        <f t="shared" si="129"/>
        <v>2026-01</v>
      </c>
    </row>
    <row r="1630" spans="1:16" ht="18.95" customHeight="1">
      <c r="A1630" s="7" t="s">
        <v>4255</v>
      </c>
      <c r="B1630" s="7" t="s">
        <v>4253</v>
      </c>
      <c r="C1630" s="7" t="s">
        <v>102</v>
      </c>
      <c r="D1630" s="7" t="s">
        <v>93</v>
      </c>
      <c r="E1630" s="7" t="s">
        <v>46</v>
      </c>
      <c r="F1630" s="7" t="s">
        <v>98</v>
      </c>
      <c r="G1630" s="7" t="s">
        <v>4256</v>
      </c>
      <c r="I1630" s="1">
        <f t="shared" si="125"/>
        <v>1</v>
      </c>
      <c r="J1630" s="1" t="str">
        <f>'Source build'!A1630</f>
        <v>L01624</v>
      </c>
      <c r="K1630" s="1">
        <f>1630</f>
        <v>1630</v>
      </c>
      <c r="L1630" s="10">
        <f t="shared" si="126"/>
        <v>1100</v>
      </c>
      <c r="M1630" s="1">
        <f t="shared" si="127"/>
        <v>1</v>
      </c>
      <c r="N1630" s="1">
        <f t="shared" si="128"/>
        <v>1</v>
      </c>
      <c r="O1630" s="1" t="str">
        <f>IF(I1630=0,"UNUSED",IF(A1630="","MISSING ID",IF(K1630=0,"UNEXPECTED ID",IF(N1630&lt;&gt;1,"ID / ORDER DIFFERENCE",IF('Source build'!U1630&lt;&gt;"INCLUDED","EXCLUDED SOURCE",IF(NOT(M1630),"INVALID AMOUNT",IF('Source build'!Y1630&lt;&gt;0,"CHANGED FIELDS","MATCH")))))))</f>
        <v>MATCH</v>
      </c>
      <c r="P1630" s="1" t="str">
        <f t="shared" si="129"/>
        <v>2026-01</v>
      </c>
    </row>
    <row r="1631" spans="1:16" ht="18.95" customHeight="1">
      <c r="A1631" s="7" t="s">
        <v>4257</v>
      </c>
      <c r="B1631" s="7" t="s">
        <v>4258</v>
      </c>
      <c r="C1631" s="7" t="s">
        <v>109</v>
      </c>
      <c r="D1631" s="7" t="s">
        <v>97</v>
      </c>
      <c r="E1631" s="7" t="s">
        <v>47</v>
      </c>
      <c r="F1631" s="7" t="s">
        <v>98</v>
      </c>
      <c r="G1631" s="7" t="s">
        <v>4259</v>
      </c>
      <c r="I1631" s="1">
        <f t="shared" si="125"/>
        <v>1</v>
      </c>
      <c r="J1631" s="1" t="str">
        <f>'Source build'!A1631</f>
        <v>L01625</v>
      </c>
      <c r="K1631" s="1">
        <f>1631</f>
        <v>1631</v>
      </c>
      <c r="L1631" s="10">
        <f t="shared" si="126"/>
        <v>2348</v>
      </c>
      <c r="M1631" s="1">
        <f t="shared" si="127"/>
        <v>1</v>
      </c>
      <c r="N1631" s="1">
        <f t="shared" si="128"/>
        <v>1</v>
      </c>
      <c r="O1631" s="1" t="str">
        <f>IF(I1631=0,"UNUSED",IF(A1631="","MISSING ID",IF(K1631=0,"UNEXPECTED ID",IF(N1631&lt;&gt;1,"ID / ORDER DIFFERENCE",IF('Source build'!U1631&lt;&gt;"INCLUDED","EXCLUDED SOURCE",IF(NOT(M1631),"INVALID AMOUNT",IF('Source build'!Y1631&lt;&gt;0,"CHANGED FIELDS","MATCH")))))))</f>
        <v>MATCH</v>
      </c>
      <c r="P1631" s="1" t="str">
        <f t="shared" si="129"/>
        <v>2026-01</v>
      </c>
    </row>
    <row r="1632" spans="1:16" ht="18.95" customHeight="1">
      <c r="A1632" s="7" t="s">
        <v>4260</v>
      </c>
      <c r="B1632" s="7" t="s">
        <v>4258</v>
      </c>
      <c r="C1632" s="7" t="s">
        <v>109</v>
      </c>
      <c r="D1632" s="7" t="s">
        <v>103</v>
      </c>
      <c r="E1632" s="7" t="s">
        <v>48</v>
      </c>
      <c r="F1632" s="7" t="s">
        <v>98</v>
      </c>
      <c r="G1632" s="7" t="s">
        <v>4261</v>
      </c>
      <c r="I1632" s="1">
        <f t="shared" si="125"/>
        <v>1</v>
      </c>
      <c r="J1632" s="1" t="str">
        <f>'Source build'!A1632</f>
        <v>L01626</v>
      </c>
      <c r="K1632" s="1">
        <f>1632</f>
        <v>1632</v>
      </c>
      <c r="L1632" s="10">
        <f t="shared" si="126"/>
        <v>624</v>
      </c>
      <c r="M1632" s="1">
        <f t="shared" si="127"/>
        <v>1</v>
      </c>
      <c r="N1632" s="1">
        <f t="shared" si="128"/>
        <v>1</v>
      </c>
      <c r="O1632" s="1" t="str">
        <f>IF(I1632=0,"UNUSED",IF(A1632="","MISSING ID",IF(K1632=0,"UNEXPECTED ID",IF(N1632&lt;&gt;1,"ID / ORDER DIFFERENCE",IF('Source build'!U1632&lt;&gt;"INCLUDED","EXCLUDED SOURCE",IF(NOT(M1632),"INVALID AMOUNT",IF('Source build'!Y1632&lt;&gt;0,"CHANGED FIELDS","MATCH")))))))</f>
        <v>MATCH</v>
      </c>
      <c r="P1632" s="1" t="str">
        <f t="shared" si="129"/>
        <v>2026-01</v>
      </c>
    </row>
    <row r="1633" spans="1:16" ht="18.95" customHeight="1">
      <c r="A1633" s="7" t="s">
        <v>4262</v>
      </c>
      <c r="B1633" s="7" t="s">
        <v>4263</v>
      </c>
      <c r="C1633" s="7" t="s">
        <v>115</v>
      </c>
      <c r="D1633" s="7" t="s">
        <v>93</v>
      </c>
      <c r="E1633" s="7" t="s">
        <v>46</v>
      </c>
      <c r="F1633" s="7" t="s">
        <v>98</v>
      </c>
      <c r="G1633" s="7" t="s">
        <v>4264</v>
      </c>
      <c r="I1633" s="1">
        <f t="shared" si="125"/>
        <v>1</v>
      </c>
      <c r="J1633" s="1" t="str">
        <f>'Source build'!A1633</f>
        <v>L01627</v>
      </c>
      <c r="K1633" s="1">
        <f>1633</f>
        <v>1633</v>
      </c>
      <c r="L1633" s="10">
        <f t="shared" si="126"/>
        <v>1983</v>
      </c>
      <c r="M1633" s="1">
        <f t="shared" si="127"/>
        <v>1</v>
      </c>
      <c r="N1633" s="1">
        <f t="shared" si="128"/>
        <v>1</v>
      </c>
      <c r="O1633" s="1" t="str">
        <f>IF(I1633=0,"UNUSED",IF(A1633="","MISSING ID",IF(K1633=0,"UNEXPECTED ID",IF(N1633&lt;&gt;1,"ID / ORDER DIFFERENCE",IF('Source build'!U1633&lt;&gt;"INCLUDED","EXCLUDED SOURCE",IF(NOT(M1633),"INVALID AMOUNT",IF('Source build'!Y1633&lt;&gt;0,"CHANGED FIELDS","MATCH")))))))</f>
        <v>MATCH</v>
      </c>
      <c r="P1633" s="1" t="str">
        <f t="shared" si="129"/>
        <v>2026-01</v>
      </c>
    </row>
    <row r="1634" spans="1:16" ht="18.95" customHeight="1">
      <c r="A1634" s="7" t="s">
        <v>4265</v>
      </c>
      <c r="B1634" s="7" t="s">
        <v>4263</v>
      </c>
      <c r="C1634" s="7" t="s">
        <v>115</v>
      </c>
      <c r="D1634" s="7" t="s">
        <v>97</v>
      </c>
      <c r="E1634" s="7" t="s">
        <v>47</v>
      </c>
      <c r="F1634" s="7" t="s">
        <v>98</v>
      </c>
      <c r="G1634" s="7" t="s">
        <v>1085</v>
      </c>
      <c r="I1634" s="1">
        <f t="shared" si="125"/>
        <v>1</v>
      </c>
      <c r="J1634" s="1" t="str">
        <f>'Source build'!A1634</f>
        <v>L01628</v>
      </c>
      <c r="K1634" s="1">
        <f>1634</f>
        <v>1634</v>
      </c>
      <c r="L1634" s="10">
        <f t="shared" si="126"/>
        <v>3490</v>
      </c>
      <c r="M1634" s="1">
        <f t="shared" si="127"/>
        <v>1</v>
      </c>
      <c r="N1634" s="1">
        <f t="shared" si="128"/>
        <v>1</v>
      </c>
      <c r="O1634" s="1" t="str">
        <f>IF(I1634=0,"UNUSED",IF(A1634="","MISSING ID",IF(K1634=0,"UNEXPECTED ID",IF(N1634&lt;&gt;1,"ID / ORDER DIFFERENCE",IF('Source build'!U1634&lt;&gt;"INCLUDED","EXCLUDED SOURCE",IF(NOT(M1634),"INVALID AMOUNT",IF('Source build'!Y1634&lt;&gt;0,"CHANGED FIELDS","MATCH")))))))</f>
        <v>MATCH</v>
      </c>
      <c r="P1634" s="1" t="str">
        <f t="shared" si="129"/>
        <v>2026-01</v>
      </c>
    </row>
    <row r="1635" spans="1:16" ht="18.95" customHeight="1">
      <c r="A1635" s="7" t="s">
        <v>4266</v>
      </c>
      <c r="B1635" s="7" t="s">
        <v>4267</v>
      </c>
      <c r="C1635" s="7" t="s">
        <v>121</v>
      </c>
      <c r="D1635" s="7" t="s">
        <v>103</v>
      </c>
      <c r="E1635" s="7" t="s">
        <v>48</v>
      </c>
      <c r="F1635" s="7" t="s">
        <v>98</v>
      </c>
      <c r="G1635" s="7" t="s">
        <v>4268</v>
      </c>
      <c r="I1635" s="1">
        <f t="shared" si="125"/>
        <v>1</v>
      </c>
      <c r="J1635" s="1" t="str">
        <f>'Source build'!A1635</f>
        <v>L01629</v>
      </c>
      <c r="K1635" s="1">
        <f>1635</f>
        <v>1635</v>
      </c>
      <c r="L1635" s="10">
        <f t="shared" si="126"/>
        <v>1470</v>
      </c>
      <c r="M1635" s="1">
        <f t="shared" si="127"/>
        <v>1</v>
      </c>
      <c r="N1635" s="1">
        <f t="shared" si="128"/>
        <v>1</v>
      </c>
      <c r="O1635" s="1" t="str">
        <f>IF(I1635=0,"UNUSED",IF(A1635="","MISSING ID",IF(K1635=0,"UNEXPECTED ID",IF(N1635&lt;&gt;1,"ID / ORDER DIFFERENCE",IF('Source build'!U1635&lt;&gt;"INCLUDED","EXCLUDED SOURCE",IF(NOT(M1635),"INVALID AMOUNT",IF('Source build'!Y1635&lt;&gt;0,"CHANGED FIELDS","MATCH")))))))</f>
        <v>MATCH</v>
      </c>
      <c r="P1635" s="1" t="str">
        <f t="shared" si="129"/>
        <v>2026-01</v>
      </c>
    </row>
    <row r="1636" spans="1:16" ht="18.95" customHeight="1">
      <c r="A1636" s="7" t="s">
        <v>4269</v>
      </c>
      <c r="B1636" s="7" t="s">
        <v>4267</v>
      </c>
      <c r="C1636" s="7" t="s">
        <v>121</v>
      </c>
      <c r="D1636" s="7" t="s">
        <v>93</v>
      </c>
      <c r="E1636" s="7" t="s">
        <v>46</v>
      </c>
      <c r="F1636" s="7" t="s">
        <v>98</v>
      </c>
      <c r="G1636" s="7" t="s">
        <v>4270</v>
      </c>
      <c r="I1636" s="1">
        <f t="shared" si="125"/>
        <v>1</v>
      </c>
      <c r="J1636" s="1" t="str">
        <f>'Source build'!A1636</f>
        <v>L01630</v>
      </c>
      <c r="K1636" s="1">
        <f>1636</f>
        <v>1636</v>
      </c>
      <c r="L1636" s="10">
        <f t="shared" si="126"/>
        <v>3088</v>
      </c>
      <c r="M1636" s="1">
        <f t="shared" si="127"/>
        <v>1</v>
      </c>
      <c r="N1636" s="1">
        <f t="shared" si="128"/>
        <v>1</v>
      </c>
      <c r="O1636" s="1" t="str">
        <f>IF(I1636=0,"UNUSED",IF(A1636="","MISSING ID",IF(K1636=0,"UNEXPECTED ID",IF(N1636&lt;&gt;1,"ID / ORDER DIFFERENCE",IF('Source build'!U1636&lt;&gt;"INCLUDED","EXCLUDED SOURCE",IF(NOT(M1636),"INVALID AMOUNT",IF('Source build'!Y1636&lt;&gt;0,"CHANGED FIELDS","MATCH")))))))</f>
        <v>MATCH</v>
      </c>
      <c r="P1636" s="1" t="str">
        <f t="shared" si="129"/>
        <v>2026-01</v>
      </c>
    </row>
    <row r="1637" spans="1:16" ht="18.95" customHeight="1">
      <c r="A1637" s="7" t="s">
        <v>4271</v>
      </c>
      <c r="B1637" s="7" t="s">
        <v>4272</v>
      </c>
      <c r="C1637" s="7" t="s">
        <v>127</v>
      </c>
      <c r="D1637" s="7" t="s">
        <v>97</v>
      </c>
      <c r="E1637" s="7" t="s">
        <v>47</v>
      </c>
      <c r="F1637" s="7" t="s">
        <v>98</v>
      </c>
      <c r="G1637" s="7" t="s">
        <v>4273</v>
      </c>
      <c r="I1637" s="1">
        <f t="shared" si="125"/>
        <v>1</v>
      </c>
      <c r="J1637" s="1" t="str">
        <f>'Source build'!A1637</f>
        <v>L01631</v>
      </c>
      <c r="K1637" s="1">
        <f>1637</f>
        <v>1637</v>
      </c>
      <c r="L1637" s="10">
        <f t="shared" si="126"/>
        <v>809</v>
      </c>
      <c r="M1637" s="1">
        <f t="shared" si="127"/>
        <v>1</v>
      </c>
      <c r="N1637" s="1">
        <f t="shared" si="128"/>
        <v>1</v>
      </c>
      <c r="O1637" s="1" t="str">
        <f>IF(I1637=0,"UNUSED",IF(A1637="","MISSING ID",IF(K1637=0,"UNEXPECTED ID",IF(N1637&lt;&gt;1,"ID / ORDER DIFFERENCE",IF('Source build'!U1637&lt;&gt;"INCLUDED","EXCLUDED SOURCE",IF(NOT(M1637),"INVALID AMOUNT",IF('Source build'!Y1637&lt;&gt;0,"CHANGED FIELDS","MATCH")))))))</f>
        <v>MATCH</v>
      </c>
      <c r="P1637" s="1" t="str">
        <f t="shared" si="129"/>
        <v>2026-02</v>
      </c>
    </row>
    <row r="1638" spans="1:16" ht="18.95" customHeight="1">
      <c r="A1638" s="7" t="s">
        <v>4274</v>
      </c>
      <c r="B1638" s="7" t="s">
        <v>4272</v>
      </c>
      <c r="C1638" s="7" t="s">
        <v>127</v>
      </c>
      <c r="D1638" s="7" t="s">
        <v>103</v>
      </c>
      <c r="E1638" s="7" t="s">
        <v>48</v>
      </c>
      <c r="F1638" s="7" t="s">
        <v>98</v>
      </c>
      <c r="G1638" s="7" t="s">
        <v>4275</v>
      </c>
      <c r="I1638" s="1">
        <f t="shared" si="125"/>
        <v>1</v>
      </c>
      <c r="J1638" s="1" t="str">
        <f>'Source build'!A1638</f>
        <v>L01632</v>
      </c>
      <c r="K1638" s="1">
        <f>1638</f>
        <v>1638</v>
      </c>
      <c r="L1638" s="10">
        <f t="shared" si="126"/>
        <v>2538</v>
      </c>
      <c r="M1638" s="1">
        <f t="shared" si="127"/>
        <v>1</v>
      </c>
      <c r="N1638" s="1">
        <f t="shared" si="128"/>
        <v>1</v>
      </c>
      <c r="O1638" s="1" t="str">
        <f>IF(I1638=0,"UNUSED",IF(A1638="","MISSING ID",IF(K1638=0,"UNEXPECTED ID",IF(N1638&lt;&gt;1,"ID / ORDER DIFFERENCE",IF('Source build'!U1638&lt;&gt;"INCLUDED","EXCLUDED SOURCE",IF(NOT(M1638),"INVALID AMOUNT",IF('Source build'!Y1638&lt;&gt;0,"CHANGED FIELDS","MATCH")))))))</f>
        <v>MATCH</v>
      </c>
      <c r="P1638" s="1" t="str">
        <f t="shared" si="129"/>
        <v>2026-02</v>
      </c>
    </row>
    <row r="1639" spans="1:16" ht="18.95" customHeight="1">
      <c r="A1639" s="7" t="s">
        <v>4276</v>
      </c>
      <c r="B1639" s="7" t="s">
        <v>4277</v>
      </c>
      <c r="C1639" s="7" t="s">
        <v>133</v>
      </c>
      <c r="D1639" s="7" t="s">
        <v>93</v>
      </c>
      <c r="E1639" s="7" t="s">
        <v>46</v>
      </c>
      <c r="F1639" s="7" t="s">
        <v>98</v>
      </c>
      <c r="G1639" s="7" t="s">
        <v>4278</v>
      </c>
      <c r="I1639" s="1">
        <f t="shared" si="125"/>
        <v>1</v>
      </c>
      <c r="J1639" s="1" t="str">
        <f>'Source build'!A1639</f>
        <v>L01633</v>
      </c>
      <c r="K1639" s="1">
        <f>1639</f>
        <v>1639</v>
      </c>
      <c r="L1639" s="10">
        <f t="shared" si="126"/>
        <v>4415</v>
      </c>
      <c r="M1639" s="1">
        <f t="shared" si="127"/>
        <v>1</v>
      </c>
      <c r="N1639" s="1">
        <f t="shared" si="128"/>
        <v>1</v>
      </c>
      <c r="O1639" s="1" t="str">
        <f>IF(I1639=0,"UNUSED",IF(A1639="","MISSING ID",IF(K1639=0,"UNEXPECTED ID",IF(N1639&lt;&gt;1,"ID / ORDER DIFFERENCE",IF('Source build'!U1639&lt;&gt;"INCLUDED","EXCLUDED SOURCE",IF(NOT(M1639),"INVALID AMOUNT",IF('Source build'!Y1639&lt;&gt;0,"CHANGED FIELDS","MATCH")))))))</f>
        <v>MATCH</v>
      </c>
      <c r="P1639" s="1" t="str">
        <f t="shared" si="129"/>
        <v>2026-02</v>
      </c>
    </row>
    <row r="1640" spans="1:16" ht="18.95" customHeight="1">
      <c r="A1640" s="7" t="s">
        <v>4279</v>
      </c>
      <c r="B1640" s="7" t="s">
        <v>4277</v>
      </c>
      <c r="C1640" s="7" t="s">
        <v>133</v>
      </c>
      <c r="D1640" s="7" t="s">
        <v>97</v>
      </c>
      <c r="E1640" s="7" t="s">
        <v>47</v>
      </c>
      <c r="F1640" s="7" t="s">
        <v>94</v>
      </c>
      <c r="G1640" s="7" t="s">
        <v>4280</v>
      </c>
      <c r="I1640" s="1">
        <f t="shared" si="125"/>
        <v>1</v>
      </c>
      <c r="J1640" s="1" t="str">
        <f>'Source build'!A1640</f>
        <v>L01634</v>
      </c>
      <c r="K1640" s="1">
        <f>1640</f>
        <v>1640</v>
      </c>
      <c r="L1640" s="10">
        <f t="shared" si="126"/>
        <v>-1840</v>
      </c>
      <c r="M1640" s="1">
        <f t="shared" si="127"/>
        <v>1</v>
      </c>
      <c r="N1640" s="1">
        <f t="shared" si="128"/>
        <v>1</v>
      </c>
      <c r="O1640" s="1" t="str">
        <f>IF(I1640=0,"UNUSED",IF(A1640="","MISSING ID",IF(K1640=0,"UNEXPECTED ID",IF(N1640&lt;&gt;1,"ID / ORDER DIFFERENCE",IF('Source build'!U1640&lt;&gt;"INCLUDED","EXCLUDED SOURCE",IF(NOT(M1640),"INVALID AMOUNT",IF('Source build'!Y1640&lt;&gt;0,"CHANGED FIELDS","MATCH")))))))</f>
        <v>MATCH</v>
      </c>
      <c r="P1640" s="1" t="str">
        <f t="shared" si="129"/>
        <v>2026-02</v>
      </c>
    </row>
    <row r="1641" spans="1:16" ht="18.95" customHeight="1">
      <c r="A1641" s="7" t="s">
        <v>4281</v>
      </c>
      <c r="B1641" s="7" t="s">
        <v>4282</v>
      </c>
      <c r="C1641" s="7" t="s">
        <v>139</v>
      </c>
      <c r="D1641" s="7" t="s">
        <v>103</v>
      </c>
      <c r="E1641" s="7" t="s">
        <v>48</v>
      </c>
      <c r="F1641" s="7" t="s">
        <v>98</v>
      </c>
      <c r="G1641" s="7" t="s">
        <v>160</v>
      </c>
      <c r="I1641" s="1">
        <f t="shared" si="125"/>
        <v>1</v>
      </c>
      <c r="J1641" s="1" t="str">
        <f>'Source build'!A1641</f>
        <v>L01635</v>
      </c>
      <c r="K1641" s="1">
        <f>1641</f>
        <v>1641</v>
      </c>
      <c r="L1641" s="10">
        <f t="shared" si="126"/>
        <v>3828</v>
      </c>
      <c r="M1641" s="1">
        <f t="shared" si="127"/>
        <v>1</v>
      </c>
      <c r="N1641" s="1">
        <f t="shared" si="128"/>
        <v>1</v>
      </c>
      <c r="O1641" s="1" t="str">
        <f>IF(I1641=0,"UNUSED",IF(A1641="","MISSING ID",IF(K1641=0,"UNEXPECTED ID",IF(N1641&lt;&gt;1,"ID / ORDER DIFFERENCE",IF('Source build'!U1641&lt;&gt;"INCLUDED","EXCLUDED SOURCE",IF(NOT(M1641),"INVALID AMOUNT",IF('Source build'!Y1641&lt;&gt;0,"CHANGED FIELDS","MATCH")))))))</f>
        <v>MATCH</v>
      </c>
      <c r="P1641" s="1" t="str">
        <f t="shared" si="129"/>
        <v>2026-02</v>
      </c>
    </row>
    <row r="1642" spans="1:16" ht="18.95" customHeight="1">
      <c r="A1642" s="7" t="s">
        <v>4283</v>
      </c>
      <c r="B1642" s="7" t="s">
        <v>4282</v>
      </c>
      <c r="C1642" s="7" t="s">
        <v>139</v>
      </c>
      <c r="D1642" s="7" t="s">
        <v>93</v>
      </c>
      <c r="E1642" s="7" t="s">
        <v>46</v>
      </c>
      <c r="F1642" s="7" t="s">
        <v>98</v>
      </c>
      <c r="G1642" s="7" t="s">
        <v>4284</v>
      </c>
      <c r="I1642" s="1">
        <f t="shared" si="125"/>
        <v>1</v>
      </c>
      <c r="J1642" s="1" t="str">
        <f>'Source build'!A1642</f>
        <v>L01636</v>
      </c>
      <c r="K1642" s="1">
        <f>1642</f>
        <v>1642</v>
      </c>
      <c r="L1642" s="10">
        <f t="shared" si="126"/>
        <v>994</v>
      </c>
      <c r="M1642" s="1">
        <f t="shared" si="127"/>
        <v>1</v>
      </c>
      <c r="N1642" s="1">
        <f t="shared" si="128"/>
        <v>1</v>
      </c>
      <c r="O1642" s="1" t="str">
        <f>IF(I1642=0,"UNUSED",IF(A1642="","MISSING ID",IF(K1642=0,"UNEXPECTED ID",IF(N1642&lt;&gt;1,"ID / ORDER DIFFERENCE",IF('Source build'!U1642&lt;&gt;"INCLUDED","EXCLUDED SOURCE",IF(NOT(M1642),"INVALID AMOUNT",IF('Source build'!Y1642&lt;&gt;0,"CHANGED FIELDS","MATCH")))))))</f>
        <v>MATCH</v>
      </c>
      <c r="P1642" s="1" t="str">
        <f t="shared" si="129"/>
        <v>2026-02</v>
      </c>
    </row>
    <row r="1643" spans="1:16" ht="18.95" customHeight="1">
      <c r="A1643" s="7" t="s">
        <v>4285</v>
      </c>
      <c r="B1643" s="7" t="s">
        <v>4286</v>
      </c>
      <c r="C1643" s="7" t="s">
        <v>145</v>
      </c>
      <c r="D1643" s="7" t="s">
        <v>97</v>
      </c>
      <c r="E1643" s="7" t="s">
        <v>47</v>
      </c>
      <c r="F1643" s="7" t="s">
        <v>98</v>
      </c>
      <c r="G1643" s="7" t="s">
        <v>4287</v>
      </c>
      <c r="I1643" s="1">
        <f t="shared" si="125"/>
        <v>1</v>
      </c>
      <c r="J1643" s="1" t="str">
        <f>'Source build'!A1643</f>
        <v>L01637</v>
      </c>
      <c r="K1643" s="1">
        <f>1643</f>
        <v>1643</v>
      </c>
      <c r="L1643" s="10">
        <f t="shared" si="126"/>
        <v>3093</v>
      </c>
      <c r="M1643" s="1">
        <f t="shared" si="127"/>
        <v>1</v>
      </c>
      <c r="N1643" s="1">
        <f t="shared" si="128"/>
        <v>1</v>
      </c>
      <c r="O1643" s="1" t="str">
        <f>IF(I1643=0,"UNUSED",IF(A1643="","MISSING ID",IF(K1643=0,"UNEXPECTED ID",IF(N1643&lt;&gt;1,"ID / ORDER DIFFERENCE",IF('Source build'!U1643&lt;&gt;"INCLUDED","EXCLUDED SOURCE",IF(NOT(M1643),"INVALID AMOUNT",IF('Source build'!Y1643&lt;&gt;0,"CHANGED FIELDS","MATCH")))))))</f>
        <v>MATCH</v>
      </c>
      <c r="P1643" s="1" t="str">
        <f t="shared" si="129"/>
        <v>2026-02</v>
      </c>
    </row>
    <row r="1644" spans="1:16" ht="18.95" customHeight="1">
      <c r="A1644" s="7" t="s">
        <v>4288</v>
      </c>
      <c r="B1644" s="7" t="s">
        <v>4286</v>
      </c>
      <c r="C1644" s="7" t="s">
        <v>145</v>
      </c>
      <c r="D1644" s="7" t="s">
        <v>103</v>
      </c>
      <c r="E1644" s="7" t="s">
        <v>48</v>
      </c>
      <c r="F1644" s="7" t="s">
        <v>98</v>
      </c>
      <c r="G1644" s="7" t="s">
        <v>1147</v>
      </c>
      <c r="I1644" s="1">
        <f t="shared" si="125"/>
        <v>1</v>
      </c>
      <c r="J1644" s="1" t="str">
        <f>'Source build'!A1644</f>
        <v>L01638</v>
      </c>
      <c r="K1644" s="1">
        <f>1644</f>
        <v>1644</v>
      </c>
      <c r="L1644" s="10">
        <f t="shared" si="126"/>
        <v>5340</v>
      </c>
      <c r="M1644" s="1">
        <f t="shared" si="127"/>
        <v>1</v>
      </c>
      <c r="N1644" s="1">
        <f t="shared" si="128"/>
        <v>1</v>
      </c>
      <c r="O1644" s="1" t="str">
        <f>IF(I1644=0,"UNUSED",IF(A1644="","MISSING ID",IF(K1644=0,"UNEXPECTED ID",IF(N1644&lt;&gt;1,"ID / ORDER DIFFERENCE",IF('Source build'!U1644&lt;&gt;"INCLUDED","EXCLUDED SOURCE",IF(NOT(M1644),"INVALID AMOUNT",IF('Source build'!Y1644&lt;&gt;0,"CHANGED FIELDS","MATCH")))))))</f>
        <v>MATCH</v>
      </c>
      <c r="P1644" s="1" t="str">
        <f t="shared" si="129"/>
        <v>2026-02</v>
      </c>
    </row>
    <row r="1645" spans="1:16" ht="18.95" customHeight="1">
      <c r="A1645" s="7" t="s">
        <v>4289</v>
      </c>
      <c r="B1645" s="7" t="s">
        <v>4290</v>
      </c>
      <c r="C1645" s="7" t="s">
        <v>151</v>
      </c>
      <c r="D1645" s="7" t="s">
        <v>93</v>
      </c>
      <c r="E1645" s="7" t="s">
        <v>46</v>
      </c>
      <c r="F1645" s="7" t="s">
        <v>98</v>
      </c>
      <c r="G1645" s="7" t="s">
        <v>4291</v>
      </c>
      <c r="I1645" s="1">
        <f t="shared" si="125"/>
        <v>1</v>
      </c>
      <c r="J1645" s="1" t="str">
        <f>'Source build'!A1645</f>
        <v>L01639</v>
      </c>
      <c r="K1645" s="1">
        <f>1645</f>
        <v>1645</v>
      </c>
      <c r="L1645" s="10">
        <f t="shared" si="126"/>
        <v>2210</v>
      </c>
      <c r="M1645" s="1">
        <f t="shared" si="127"/>
        <v>1</v>
      </c>
      <c r="N1645" s="1">
        <f t="shared" si="128"/>
        <v>1</v>
      </c>
      <c r="O1645" s="1" t="str">
        <f>IF(I1645=0,"UNUSED",IF(A1645="","MISSING ID",IF(K1645=0,"UNEXPECTED ID",IF(N1645&lt;&gt;1,"ID / ORDER DIFFERENCE",IF('Source build'!U1645&lt;&gt;"INCLUDED","EXCLUDED SOURCE",IF(NOT(M1645),"INVALID AMOUNT",IF('Source build'!Y1645&lt;&gt;0,"CHANGED FIELDS","MATCH")))))))</f>
        <v>MATCH</v>
      </c>
      <c r="P1645" s="1" t="str">
        <f t="shared" si="129"/>
        <v>2026-03</v>
      </c>
    </row>
    <row r="1646" spans="1:16" ht="18.95" customHeight="1">
      <c r="A1646" s="7" t="s">
        <v>4292</v>
      </c>
      <c r="B1646" s="7" t="s">
        <v>4290</v>
      </c>
      <c r="C1646" s="7" t="s">
        <v>151</v>
      </c>
      <c r="D1646" s="7" t="s">
        <v>97</v>
      </c>
      <c r="E1646" s="7" t="s">
        <v>47</v>
      </c>
      <c r="F1646" s="7" t="s">
        <v>98</v>
      </c>
      <c r="G1646" s="7" t="s">
        <v>4293</v>
      </c>
      <c r="I1646" s="1">
        <f t="shared" si="125"/>
        <v>1</v>
      </c>
      <c r="J1646" s="1" t="str">
        <f>'Source build'!A1646</f>
        <v>L01640</v>
      </c>
      <c r="K1646" s="1">
        <f>1646</f>
        <v>1646</v>
      </c>
      <c r="L1646" s="10">
        <f t="shared" si="126"/>
        <v>4568</v>
      </c>
      <c r="M1646" s="1">
        <f t="shared" si="127"/>
        <v>1</v>
      </c>
      <c r="N1646" s="1">
        <f t="shared" si="128"/>
        <v>1</v>
      </c>
      <c r="O1646" s="1" t="str">
        <f>IF(I1646=0,"UNUSED",IF(A1646="","MISSING ID",IF(K1646=0,"UNEXPECTED ID",IF(N1646&lt;&gt;1,"ID / ORDER DIFFERENCE",IF('Source build'!U1646&lt;&gt;"INCLUDED","EXCLUDED SOURCE",IF(NOT(M1646),"INVALID AMOUNT",IF('Source build'!Y1646&lt;&gt;0,"CHANGED FIELDS","MATCH")))))))</f>
        <v>MATCH</v>
      </c>
      <c r="P1646" s="1" t="str">
        <f t="shared" si="129"/>
        <v>2026-03</v>
      </c>
    </row>
    <row r="1647" spans="1:16" ht="18.95" customHeight="1">
      <c r="A1647" s="7" t="s">
        <v>4294</v>
      </c>
      <c r="B1647" s="7" t="s">
        <v>4295</v>
      </c>
      <c r="C1647" s="7" t="s">
        <v>157</v>
      </c>
      <c r="D1647" s="7" t="s">
        <v>103</v>
      </c>
      <c r="E1647" s="7" t="s">
        <v>48</v>
      </c>
      <c r="F1647" s="7" t="s">
        <v>98</v>
      </c>
      <c r="G1647" s="7" t="s">
        <v>4296</v>
      </c>
      <c r="I1647" s="1">
        <f t="shared" si="125"/>
        <v>1</v>
      </c>
      <c r="J1647" s="1" t="str">
        <f>'Source build'!A1647</f>
        <v>L01641</v>
      </c>
      <c r="K1647" s="1">
        <f>1647</f>
        <v>1647</v>
      </c>
      <c r="L1647" s="10">
        <f t="shared" si="126"/>
        <v>1179</v>
      </c>
      <c r="M1647" s="1">
        <f t="shared" si="127"/>
        <v>1</v>
      </c>
      <c r="N1647" s="1">
        <f t="shared" si="128"/>
        <v>1</v>
      </c>
      <c r="O1647" s="1" t="str">
        <f>IF(I1647=0,"UNUSED",IF(A1647="","MISSING ID",IF(K1647=0,"UNEXPECTED ID",IF(N1647&lt;&gt;1,"ID / ORDER DIFFERENCE",IF('Source build'!U1647&lt;&gt;"INCLUDED","EXCLUDED SOURCE",IF(NOT(M1647),"INVALID AMOUNT",IF('Source build'!Y1647&lt;&gt;0,"CHANGED FIELDS","MATCH")))))))</f>
        <v>MATCH</v>
      </c>
      <c r="P1647" s="1" t="str">
        <f t="shared" si="129"/>
        <v>2026-03</v>
      </c>
    </row>
    <row r="1648" spans="1:16" ht="18.95" customHeight="1">
      <c r="A1648" s="7" t="s">
        <v>4297</v>
      </c>
      <c r="B1648" s="7" t="s">
        <v>4295</v>
      </c>
      <c r="C1648" s="7" t="s">
        <v>157</v>
      </c>
      <c r="D1648" s="7" t="s">
        <v>93</v>
      </c>
      <c r="E1648" s="7" t="s">
        <v>46</v>
      </c>
      <c r="F1648" s="7" t="s">
        <v>98</v>
      </c>
      <c r="G1648" s="7" t="s">
        <v>4298</v>
      </c>
      <c r="I1648" s="1">
        <f t="shared" si="125"/>
        <v>1</v>
      </c>
      <c r="J1648" s="1" t="str">
        <f>'Source build'!A1648</f>
        <v>L01642</v>
      </c>
      <c r="K1648" s="1">
        <f>1648</f>
        <v>1648</v>
      </c>
      <c r="L1648" s="10">
        <f t="shared" si="126"/>
        <v>3648</v>
      </c>
      <c r="M1648" s="1">
        <f t="shared" si="127"/>
        <v>1</v>
      </c>
      <c r="N1648" s="1">
        <f t="shared" si="128"/>
        <v>1</v>
      </c>
      <c r="O1648" s="1" t="str">
        <f>IF(I1648=0,"UNUSED",IF(A1648="","MISSING ID",IF(K1648=0,"UNEXPECTED ID",IF(N1648&lt;&gt;1,"ID / ORDER DIFFERENCE",IF('Source build'!U1648&lt;&gt;"INCLUDED","EXCLUDED SOURCE",IF(NOT(M1648),"INVALID AMOUNT",IF('Source build'!Y1648&lt;&gt;0,"CHANGED FIELDS","MATCH")))))))</f>
        <v>MATCH</v>
      </c>
      <c r="P1648" s="1" t="str">
        <f t="shared" si="129"/>
        <v>2026-03</v>
      </c>
    </row>
    <row r="1649" spans="1:16" ht="18.95" customHeight="1">
      <c r="A1649" s="7" t="s">
        <v>4299</v>
      </c>
      <c r="B1649" s="7" t="s">
        <v>4300</v>
      </c>
      <c r="C1649" s="7" t="s">
        <v>163</v>
      </c>
      <c r="D1649" s="7" t="s">
        <v>97</v>
      </c>
      <c r="E1649" s="7" t="s">
        <v>47</v>
      </c>
      <c r="F1649" s="7" t="s">
        <v>98</v>
      </c>
      <c r="G1649" s="7" t="s">
        <v>4301</v>
      </c>
      <c r="I1649" s="1">
        <f t="shared" si="125"/>
        <v>1</v>
      </c>
      <c r="J1649" s="1" t="str">
        <f>'Source build'!A1649</f>
        <v>L01643</v>
      </c>
      <c r="K1649" s="1">
        <f>1649</f>
        <v>1649</v>
      </c>
      <c r="L1649" s="10">
        <f t="shared" si="126"/>
        <v>6265</v>
      </c>
      <c r="M1649" s="1">
        <f t="shared" si="127"/>
        <v>1</v>
      </c>
      <c r="N1649" s="1">
        <f t="shared" si="128"/>
        <v>1</v>
      </c>
      <c r="O1649" s="1" t="str">
        <f>IF(I1649=0,"UNUSED",IF(A1649="","MISSING ID",IF(K1649=0,"UNEXPECTED ID",IF(N1649&lt;&gt;1,"ID / ORDER DIFFERENCE",IF('Source build'!U1649&lt;&gt;"INCLUDED","EXCLUDED SOURCE",IF(NOT(M1649),"INVALID AMOUNT",IF('Source build'!Y1649&lt;&gt;0,"CHANGED FIELDS","MATCH")))))))</f>
        <v>MATCH</v>
      </c>
      <c r="P1649" s="1" t="str">
        <f t="shared" si="129"/>
        <v>2026-03</v>
      </c>
    </row>
    <row r="1650" spans="1:16" ht="18.95" customHeight="1">
      <c r="A1650" s="7" t="s">
        <v>4302</v>
      </c>
      <c r="B1650" s="7" t="s">
        <v>4300</v>
      </c>
      <c r="C1650" s="7" t="s">
        <v>163</v>
      </c>
      <c r="D1650" s="7" t="s">
        <v>103</v>
      </c>
      <c r="E1650" s="7" t="s">
        <v>48</v>
      </c>
      <c r="F1650" s="7" t="s">
        <v>98</v>
      </c>
      <c r="G1650" s="7" t="s">
        <v>4303</v>
      </c>
      <c r="I1650" s="1">
        <f t="shared" si="125"/>
        <v>1</v>
      </c>
      <c r="J1650" s="1" t="str">
        <f>'Source build'!A1650</f>
        <v>L01644</v>
      </c>
      <c r="K1650" s="1">
        <f>1650</f>
        <v>1650</v>
      </c>
      <c r="L1650" s="10">
        <f t="shared" si="126"/>
        <v>2580</v>
      </c>
      <c r="M1650" s="1">
        <f t="shared" si="127"/>
        <v>1</v>
      </c>
      <c r="N1650" s="1">
        <f t="shared" si="128"/>
        <v>1</v>
      </c>
      <c r="O1650" s="1" t="str">
        <f>IF(I1650=0,"UNUSED",IF(A1650="","MISSING ID",IF(K1650=0,"UNEXPECTED ID",IF(N1650&lt;&gt;1,"ID / ORDER DIFFERENCE",IF('Source build'!U1650&lt;&gt;"INCLUDED","EXCLUDED SOURCE",IF(NOT(M1650),"INVALID AMOUNT",IF('Source build'!Y1650&lt;&gt;0,"CHANGED FIELDS","MATCH")))))))</f>
        <v>MATCH</v>
      </c>
      <c r="P1650" s="1" t="str">
        <f t="shared" si="129"/>
        <v>2026-03</v>
      </c>
    </row>
    <row r="1651" spans="1:16" ht="18.95" customHeight="1">
      <c r="A1651" s="7" t="s">
        <v>4304</v>
      </c>
      <c r="B1651" s="7" t="s">
        <v>4305</v>
      </c>
      <c r="C1651" s="7" t="s">
        <v>169</v>
      </c>
      <c r="D1651" s="7" t="s">
        <v>93</v>
      </c>
      <c r="E1651" s="7" t="s">
        <v>46</v>
      </c>
      <c r="F1651" s="7" t="s">
        <v>98</v>
      </c>
      <c r="G1651" s="7" t="s">
        <v>4306</v>
      </c>
      <c r="I1651" s="1">
        <f t="shared" si="125"/>
        <v>1</v>
      </c>
      <c r="J1651" s="1" t="str">
        <f>'Source build'!A1651</f>
        <v>L01645</v>
      </c>
      <c r="K1651" s="1">
        <f>1651</f>
        <v>1651</v>
      </c>
      <c r="L1651" s="10">
        <f t="shared" si="126"/>
        <v>5308</v>
      </c>
      <c r="M1651" s="1">
        <f t="shared" si="127"/>
        <v>1</v>
      </c>
      <c r="N1651" s="1">
        <f t="shared" si="128"/>
        <v>1</v>
      </c>
      <c r="O1651" s="1" t="str">
        <f>IF(I1651=0,"UNUSED",IF(A1651="","MISSING ID",IF(K1651=0,"UNEXPECTED ID",IF(N1651&lt;&gt;1,"ID / ORDER DIFFERENCE",IF('Source build'!U1651&lt;&gt;"INCLUDED","EXCLUDED SOURCE",IF(NOT(M1651),"INVALID AMOUNT",IF('Source build'!Y1651&lt;&gt;0,"CHANGED FIELDS","MATCH")))))))</f>
        <v>MATCH</v>
      </c>
      <c r="P1651" s="1" t="str">
        <f t="shared" si="129"/>
        <v>2026-03</v>
      </c>
    </row>
    <row r="1652" spans="1:16" ht="18.95" customHeight="1">
      <c r="A1652" s="7" t="s">
        <v>4307</v>
      </c>
      <c r="B1652" s="7" t="s">
        <v>4305</v>
      </c>
      <c r="C1652" s="7" t="s">
        <v>169</v>
      </c>
      <c r="D1652" s="7" t="s">
        <v>97</v>
      </c>
      <c r="E1652" s="7" t="s">
        <v>47</v>
      </c>
      <c r="F1652" s="7" t="s">
        <v>98</v>
      </c>
      <c r="G1652" s="7" t="s">
        <v>4308</v>
      </c>
      <c r="I1652" s="1">
        <f t="shared" si="125"/>
        <v>1</v>
      </c>
      <c r="J1652" s="1" t="str">
        <f>'Source build'!A1652</f>
        <v>L01646</v>
      </c>
      <c r="K1652" s="1">
        <f>1652</f>
        <v>1652</v>
      </c>
      <c r="L1652" s="10">
        <f t="shared" si="126"/>
        <v>1364</v>
      </c>
      <c r="M1652" s="1">
        <f t="shared" si="127"/>
        <v>1</v>
      </c>
      <c r="N1652" s="1">
        <f t="shared" si="128"/>
        <v>1</v>
      </c>
      <c r="O1652" s="1" t="str">
        <f>IF(I1652=0,"UNUSED",IF(A1652="","MISSING ID",IF(K1652=0,"UNEXPECTED ID",IF(N1652&lt;&gt;1,"ID / ORDER DIFFERENCE",IF('Source build'!U1652&lt;&gt;"INCLUDED","EXCLUDED SOURCE",IF(NOT(M1652),"INVALID AMOUNT",IF('Source build'!Y1652&lt;&gt;0,"CHANGED FIELDS","MATCH")))))))</f>
        <v>MATCH</v>
      </c>
      <c r="P1652" s="1" t="str">
        <f t="shared" si="129"/>
        <v>2026-03</v>
      </c>
    </row>
    <row r="1653" spans="1:16" ht="18.95" customHeight="1">
      <c r="A1653" s="7" t="s">
        <v>4309</v>
      </c>
      <c r="B1653" s="7" t="s">
        <v>4310</v>
      </c>
      <c r="C1653" s="7" t="s">
        <v>175</v>
      </c>
      <c r="D1653" s="7" t="s">
        <v>103</v>
      </c>
      <c r="E1653" s="7" t="s">
        <v>48</v>
      </c>
      <c r="F1653" s="7" t="s">
        <v>98</v>
      </c>
      <c r="G1653" s="7" t="s">
        <v>4311</v>
      </c>
      <c r="I1653" s="1">
        <f t="shared" si="125"/>
        <v>1</v>
      </c>
      <c r="J1653" s="1" t="str">
        <f>'Source build'!A1653</f>
        <v>L01647</v>
      </c>
      <c r="K1653" s="1">
        <f>1653</f>
        <v>1653</v>
      </c>
      <c r="L1653" s="10">
        <f t="shared" si="126"/>
        <v>4203</v>
      </c>
      <c r="M1653" s="1">
        <f t="shared" si="127"/>
        <v>1</v>
      </c>
      <c r="N1653" s="1">
        <f t="shared" si="128"/>
        <v>1</v>
      </c>
      <c r="O1653" s="1" t="str">
        <f>IF(I1653=0,"UNUSED",IF(A1653="","MISSING ID",IF(K1653=0,"UNEXPECTED ID",IF(N1653&lt;&gt;1,"ID / ORDER DIFFERENCE",IF('Source build'!U1653&lt;&gt;"INCLUDED","EXCLUDED SOURCE",IF(NOT(M1653),"INVALID AMOUNT",IF('Source build'!Y1653&lt;&gt;0,"CHANGED FIELDS","MATCH")))))))</f>
        <v>MATCH</v>
      </c>
      <c r="P1653" s="1" t="str">
        <f t="shared" si="129"/>
        <v>2026-01</v>
      </c>
    </row>
    <row r="1654" spans="1:16" ht="18.95" customHeight="1">
      <c r="A1654" s="7" t="s">
        <v>4312</v>
      </c>
      <c r="B1654" s="7" t="s">
        <v>4310</v>
      </c>
      <c r="C1654" s="7" t="s">
        <v>175</v>
      </c>
      <c r="D1654" s="7" t="s">
        <v>93</v>
      </c>
      <c r="E1654" s="7" t="s">
        <v>46</v>
      </c>
      <c r="F1654" s="7" t="s">
        <v>98</v>
      </c>
      <c r="G1654" s="7" t="s">
        <v>1210</v>
      </c>
      <c r="I1654" s="1">
        <f t="shared" si="125"/>
        <v>1</v>
      </c>
      <c r="J1654" s="1" t="str">
        <f>'Source build'!A1654</f>
        <v>L01648</v>
      </c>
      <c r="K1654" s="1">
        <f>1654</f>
        <v>1654</v>
      </c>
      <c r="L1654" s="10">
        <f t="shared" si="126"/>
        <v>7190</v>
      </c>
      <c r="M1654" s="1">
        <f t="shared" si="127"/>
        <v>1</v>
      </c>
      <c r="N1654" s="1">
        <f t="shared" si="128"/>
        <v>1</v>
      </c>
      <c r="O1654" s="1" t="str">
        <f>IF(I1654=0,"UNUSED",IF(A1654="","MISSING ID",IF(K1654=0,"UNEXPECTED ID",IF(N1654&lt;&gt;1,"ID / ORDER DIFFERENCE",IF('Source build'!U1654&lt;&gt;"INCLUDED","EXCLUDED SOURCE",IF(NOT(M1654),"INVALID AMOUNT",IF('Source build'!Y1654&lt;&gt;0,"CHANGED FIELDS","MATCH")))))))</f>
        <v>MATCH</v>
      </c>
      <c r="P1654" s="1" t="str">
        <f t="shared" si="129"/>
        <v>2026-01</v>
      </c>
    </row>
    <row r="1655" spans="1:16" ht="18.95" customHeight="1">
      <c r="A1655" s="7" t="s">
        <v>4313</v>
      </c>
      <c r="B1655" s="7" t="s">
        <v>4314</v>
      </c>
      <c r="C1655" s="7" t="s">
        <v>181</v>
      </c>
      <c r="D1655" s="7" t="s">
        <v>97</v>
      </c>
      <c r="E1655" s="7" t="s">
        <v>47</v>
      </c>
      <c r="F1655" s="7" t="s">
        <v>98</v>
      </c>
      <c r="G1655" s="7" t="s">
        <v>4315</v>
      </c>
      <c r="I1655" s="1">
        <f t="shared" si="125"/>
        <v>1</v>
      </c>
      <c r="J1655" s="1" t="str">
        <f>'Source build'!A1655</f>
        <v>L01649</v>
      </c>
      <c r="K1655" s="1">
        <f>1655</f>
        <v>1655</v>
      </c>
      <c r="L1655" s="10">
        <f t="shared" si="126"/>
        <v>2950</v>
      </c>
      <c r="M1655" s="1">
        <f t="shared" si="127"/>
        <v>1</v>
      </c>
      <c r="N1655" s="1">
        <f t="shared" si="128"/>
        <v>1</v>
      </c>
      <c r="O1655" s="1" t="str">
        <f>IF(I1655=0,"UNUSED",IF(A1655="","MISSING ID",IF(K1655=0,"UNEXPECTED ID",IF(N1655&lt;&gt;1,"ID / ORDER DIFFERENCE",IF('Source build'!U1655&lt;&gt;"INCLUDED","EXCLUDED SOURCE",IF(NOT(M1655),"INVALID AMOUNT",IF('Source build'!Y1655&lt;&gt;0,"CHANGED FIELDS","MATCH")))))))</f>
        <v>MATCH</v>
      </c>
      <c r="P1655" s="1" t="str">
        <f t="shared" si="129"/>
        <v>2026-01</v>
      </c>
    </row>
    <row r="1656" spans="1:16" ht="18.95" customHeight="1">
      <c r="A1656" s="7" t="s">
        <v>4316</v>
      </c>
      <c r="B1656" s="7" t="s">
        <v>4314</v>
      </c>
      <c r="C1656" s="7" t="s">
        <v>181</v>
      </c>
      <c r="D1656" s="7" t="s">
        <v>103</v>
      </c>
      <c r="E1656" s="7" t="s">
        <v>48</v>
      </c>
      <c r="F1656" s="7" t="s">
        <v>98</v>
      </c>
      <c r="G1656" s="7" t="s">
        <v>221</v>
      </c>
      <c r="I1656" s="1">
        <f t="shared" si="125"/>
        <v>1</v>
      </c>
      <c r="J1656" s="1" t="str">
        <f>'Source build'!A1656</f>
        <v>L01650</v>
      </c>
      <c r="K1656" s="1">
        <f>1656</f>
        <v>1656</v>
      </c>
      <c r="L1656" s="10">
        <f t="shared" si="126"/>
        <v>6048</v>
      </c>
      <c r="M1656" s="1">
        <f t="shared" si="127"/>
        <v>1</v>
      </c>
      <c r="N1656" s="1">
        <f t="shared" si="128"/>
        <v>1</v>
      </c>
      <c r="O1656" s="1" t="str">
        <f>IF(I1656=0,"UNUSED",IF(A1656="","MISSING ID",IF(K1656=0,"UNEXPECTED ID",IF(N1656&lt;&gt;1,"ID / ORDER DIFFERENCE",IF('Source build'!U1656&lt;&gt;"INCLUDED","EXCLUDED SOURCE",IF(NOT(M1656),"INVALID AMOUNT",IF('Source build'!Y1656&lt;&gt;0,"CHANGED FIELDS","MATCH")))))))</f>
        <v>MATCH</v>
      </c>
      <c r="P1656" s="1" t="str">
        <f t="shared" si="129"/>
        <v>2026-01</v>
      </c>
    </row>
    <row r="1657" spans="1:16" ht="18.95" customHeight="1">
      <c r="A1657" s="7" t="s">
        <v>4317</v>
      </c>
      <c r="B1657" s="7" t="s">
        <v>4318</v>
      </c>
      <c r="C1657" s="7" t="s">
        <v>187</v>
      </c>
      <c r="D1657" s="7" t="s">
        <v>93</v>
      </c>
      <c r="E1657" s="7" t="s">
        <v>46</v>
      </c>
      <c r="F1657" s="7" t="s">
        <v>98</v>
      </c>
      <c r="G1657" s="7" t="s">
        <v>4319</v>
      </c>
      <c r="I1657" s="1">
        <f t="shared" si="125"/>
        <v>1</v>
      </c>
      <c r="J1657" s="1" t="str">
        <f>'Source build'!A1657</f>
        <v>L01651</v>
      </c>
      <c r="K1657" s="1">
        <f>1657</f>
        <v>1657</v>
      </c>
      <c r="L1657" s="10">
        <f t="shared" si="126"/>
        <v>1549</v>
      </c>
      <c r="M1657" s="1">
        <f t="shared" si="127"/>
        <v>1</v>
      </c>
      <c r="N1657" s="1">
        <f t="shared" si="128"/>
        <v>1</v>
      </c>
      <c r="O1657" s="1" t="str">
        <f>IF(I1657=0,"UNUSED",IF(A1657="","MISSING ID",IF(K1657=0,"UNEXPECTED ID",IF(N1657&lt;&gt;1,"ID / ORDER DIFFERENCE",IF('Source build'!U1657&lt;&gt;"INCLUDED","EXCLUDED SOURCE",IF(NOT(M1657),"INVALID AMOUNT",IF('Source build'!Y1657&lt;&gt;0,"CHANGED FIELDS","MATCH")))))))</f>
        <v>MATCH</v>
      </c>
      <c r="P1657" s="1" t="str">
        <f t="shared" si="129"/>
        <v>2026-01</v>
      </c>
    </row>
    <row r="1658" spans="1:16" ht="18.95" customHeight="1">
      <c r="A1658" s="7" t="s">
        <v>4320</v>
      </c>
      <c r="B1658" s="7" t="s">
        <v>4318</v>
      </c>
      <c r="C1658" s="7" t="s">
        <v>187</v>
      </c>
      <c r="D1658" s="7" t="s">
        <v>97</v>
      </c>
      <c r="E1658" s="7" t="s">
        <v>47</v>
      </c>
      <c r="F1658" s="7" t="s">
        <v>98</v>
      </c>
      <c r="G1658" s="7" t="s">
        <v>4321</v>
      </c>
      <c r="I1658" s="1">
        <f t="shared" si="125"/>
        <v>1</v>
      </c>
      <c r="J1658" s="1" t="str">
        <f>'Source build'!A1658</f>
        <v>L01652</v>
      </c>
      <c r="K1658" s="1">
        <f>1658</f>
        <v>1658</v>
      </c>
      <c r="L1658" s="10">
        <f t="shared" si="126"/>
        <v>4758</v>
      </c>
      <c r="M1658" s="1">
        <f t="shared" si="127"/>
        <v>1</v>
      </c>
      <c r="N1658" s="1">
        <f t="shared" si="128"/>
        <v>1</v>
      </c>
      <c r="O1658" s="1" t="str">
        <f>IF(I1658=0,"UNUSED",IF(A1658="","MISSING ID",IF(K1658=0,"UNEXPECTED ID",IF(N1658&lt;&gt;1,"ID / ORDER DIFFERENCE",IF('Source build'!U1658&lt;&gt;"INCLUDED","EXCLUDED SOURCE",IF(NOT(M1658),"INVALID AMOUNT",IF('Source build'!Y1658&lt;&gt;0,"CHANGED FIELDS","MATCH")))))))</f>
        <v>MATCH</v>
      </c>
      <c r="P1658" s="1" t="str">
        <f t="shared" si="129"/>
        <v>2026-01</v>
      </c>
    </row>
    <row r="1659" spans="1:16" ht="18.95" customHeight="1">
      <c r="A1659" s="7" t="s">
        <v>4322</v>
      </c>
      <c r="B1659" s="7" t="s">
        <v>4323</v>
      </c>
      <c r="C1659" s="7" t="s">
        <v>193</v>
      </c>
      <c r="D1659" s="7" t="s">
        <v>103</v>
      </c>
      <c r="E1659" s="7" t="s">
        <v>48</v>
      </c>
      <c r="F1659" s="7" t="s">
        <v>98</v>
      </c>
      <c r="G1659" s="7" t="s">
        <v>4324</v>
      </c>
      <c r="I1659" s="1">
        <f t="shared" si="125"/>
        <v>1</v>
      </c>
      <c r="J1659" s="1" t="str">
        <f>'Source build'!A1659</f>
        <v>L01653</v>
      </c>
      <c r="K1659" s="1">
        <f>1659</f>
        <v>1659</v>
      </c>
      <c r="L1659" s="10">
        <f t="shared" si="126"/>
        <v>8115</v>
      </c>
      <c r="M1659" s="1">
        <f t="shared" si="127"/>
        <v>1</v>
      </c>
      <c r="N1659" s="1">
        <f t="shared" si="128"/>
        <v>1</v>
      </c>
      <c r="O1659" s="1" t="str">
        <f>IF(I1659=0,"UNUSED",IF(A1659="","MISSING ID",IF(K1659=0,"UNEXPECTED ID",IF(N1659&lt;&gt;1,"ID / ORDER DIFFERENCE",IF('Source build'!U1659&lt;&gt;"INCLUDED","EXCLUDED SOURCE",IF(NOT(M1659),"INVALID AMOUNT",IF('Source build'!Y1659&lt;&gt;0,"CHANGED FIELDS","MATCH")))))))</f>
        <v>MATCH</v>
      </c>
      <c r="P1659" s="1" t="str">
        <f t="shared" si="129"/>
        <v>2026-01</v>
      </c>
    </row>
    <row r="1660" spans="1:16" ht="18.95" customHeight="1">
      <c r="A1660" s="7" t="s">
        <v>4325</v>
      </c>
      <c r="B1660" s="7" t="s">
        <v>4323</v>
      </c>
      <c r="C1660" s="7" t="s">
        <v>193</v>
      </c>
      <c r="D1660" s="7" t="s">
        <v>93</v>
      </c>
      <c r="E1660" s="7" t="s">
        <v>46</v>
      </c>
      <c r="F1660" s="7" t="s">
        <v>98</v>
      </c>
      <c r="G1660" s="7" t="s">
        <v>4326</v>
      </c>
      <c r="I1660" s="1">
        <f t="shared" si="125"/>
        <v>1</v>
      </c>
      <c r="J1660" s="1" t="str">
        <f>'Source build'!A1660</f>
        <v>L01654</v>
      </c>
      <c r="K1660" s="1">
        <f>1660</f>
        <v>1660</v>
      </c>
      <c r="L1660" s="10">
        <f t="shared" si="126"/>
        <v>3320</v>
      </c>
      <c r="M1660" s="1">
        <f t="shared" si="127"/>
        <v>1</v>
      </c>
      <c r="N1660" s="1">
        <f t="shared" si="128"/>
        <v>1</v>
      </c>
      <c r="O1660" s="1" t="str">
        <f>IF(I1660=0,"UNUSED",IF(A1660="","MISSING ID",IF(K1660=0,"UNEXPECTED ID",IF(N1660&lt;&gt;1,"ID / ORDER DIFFERENCE",IF('Source build'!U1660&lt;&gt;"INCLUDED","EXCLUDED SOURCE",IF(NOT(M1660),"INVALID AMOUNT",IF('Source build'!Y1660&lt;&gt;0,"CHANGED FIELDS","MATCH")))))))</f>
        <v>MATCH</v>
      </c>
      <c r="P1660" s="1" t="str">
        <f t="shared" si="129"/>
        <v>2026-01</v>
      </c>
    </row>
    <row r="1661" spans="1:16" ht="18.95" customHeight="1">
      <c r="A1661" s="7" t="s">
        <v>4327</v>
      </c>
      <c r="B1661" s="7" t="s">
        <v>4328</v>
      </c>
      <c r="C1661" s="7" t="s">
        <v>200</v>
      </c>
      <c r="D1661" s="7" t="s">
        <v>97</v>
      </c>
      <c r="E1661" s="7" t="s">
        <v>47</v>
      </c>
      <c r="F1661" s="7" t="s">
        <v>98</v>
      </c>
      <c r="G1661" s="7" t="s">
        <v>4329</v>
      </c>
      <c r="I1661" s="1">
        <f t="shared" si="125"/>
        <v>1</v>
      </c>
      <c r="J1661" s="1" t="str">
        <f>'Source build'!A1661</f>
        <v>L01655</v>
      </c>
      <c r="K1661" s="1">
        <f>1661</f>
        <v>1661</v>
      </c>
      <c r="L1661" s="10">
        <f t="shared" si="126"/>
        <v>6788</v>
      </c>
      <c r="M1661" s="1">
        <f t="shared" si="127"/>
        <v>1</v>
      </c>
      <c r="N1661" s="1">
        <f t="shared" si="128"/>
        <v>1</v>
      </c>
      <c r="O1661" s="1" t="str">
        <f>IF(I1661=0,"UNUSED",IF(A1661="","MISSING ID",IF(K1661=0,"UNEXPECTED ID",IF(N1661&lt;&gt;1,"ID / ORDER DIFFERENCE",IF('Source build'!U1661&lt;&gt;"INCLUDED","EXCLUDED SOURCE",IF(NOT(M1661),"INVALID AMOUNT",IF('Source build'!Y1661&lt;&gt;0,"CHANGED FIELDS","MATCH")))))))</f>
        <v>MATCH</v>
      </c>
      <c r="P1661" s="1" t="str">
        <f t="shared" si="129"/>
        <v>2026-01</v>
      </c>
    </row>
    <row r="1662" spans="1:16" ht="18.95" customHeight="1">
      <c r="A1662" s="7" t="s">
        <v>4330</v>
      </c>
      <c r="B1662" s="7" t="s">
        <v>4328</v>
      </c>
      <c r="C1662" s="7" t="s">
        <v>200</v>
      </c>
      <c r="D1662" s="7" t="s">
        <v>103</v>
      </c>
      <c r="E1662" s="7" t="s">
        <v>48</v>
      </c>
      <c r="F1662" s="7" t="s">
        <v>98</v>
      </c>
      <c r="G1662" s="7" t="s">
        <v>4331</v>
      </c>
      <c r="I1662" s="1">
        <f t="shared" si="125"/>
        <v>1</v>
      </c>
      <c r="J1662" s="1" t="str">
        <f>'Source build'!A1662</f>
        <v>L01656</v>
      </c>
      <c r="K1662" s="1">
        <f>1662</f>
        <v>1662</v>
      </c>
      <c r="L1662" s="10">
        <f t="shared" si="126"/>
        <v>1734</v>
      </c>
      <c r="M1662" s="1">
        <f t="shared" si="127"/>
        <v>1</v>
      </c>
      <c r="N1662" s="1">
        <f t="shared" si="128"/>
        <v>1</v>
      </c>
      <c r="O1662" s="1" t="str">
        <f>IF(I1662=0,"UNUSED",IF(A1662="","MISSING ID",IF(K1662=0,"UNEXPECTED ID",IF(N1662&lt;&gt;1,"ID / ORDER DIFFERENCE",IF('Source build'!U1662&lt;&gt;"INCLUDED","EXCLUDED SOURCE",IF(NOT(M1662),"INVALID AMOUNT",IF('Source build'!Y1662&lt;&gt;0,"CHANGED FIELDS","MATCH")))))))</f>
        <v>MATCH</v>
      </c>
      <c r="P1662" s="1" t="str">
        <f t="shared" si="129"/>
        <v>2026-01</v>
      </c>
    </row>
    <row r="1663" spans="1:16" ht="18.95" customHeight="1">
      <c r="A1663" s="7" t="s">
        <v>4332</v>
      </c>
      <c r="B1663" s="7" t="s">
        <v>4333</v>
      </c>
      <c r="C1663" s="7" t="s">
        <v>206</v>
      </c>
      <c r="D1663" s="7" t="s">
        <v>93</v>
      </c>
      <c r="E1663" s="7" t="s">
        <v>46</v>
      </c>
      <c r="F1663" s="7" t="s">
        <v>94</v>
      </c>
      <c r="G1663" s="7" t="s">
        <v>4334</v>
      </c>
      <c r="I1663" s="1">
        <f t="shared" si="125"/>
        <v>1</v>
      </c>
      <c r="J1663" s="1" t="str">
        <f>'Source build'!A1663</f>
        <v>L01657</v>
      </c>
      <c r="K1663" s="1">
        <f>1663</f>
        <v>1663</v>
      </c>
      <c r="L1663" s="10">
        <f t="shared" si="126"/>
        <v>-5313</v>
      </c>
      <c r="M1663" s="1">
        <f t="shared" si="127"/>
        <v>1</v>
      </c>
      <c r="N1663" s="1">
        <f t="shared" si="128"/>
        <v>1</v>
      </c>
      <c r="O1663" s="1" t="str">
        <f>IF(I1663=0,"UNUSED",IF(A1663="","MISSING ID",IF(K1663=0,"UNEXPECTED ID",IF(N1663&lt;&gt;1,"ID / ORDER DIFFERENCE",IF('Source build'!U1663&lt;&gt;"INCLUDED","EXCLUDED SOURCE",IF(NOT(M1663),"INVALID AMOUNT",IF('Source build'!Y1663&lt;&gt;0,"CHANGED FIELDS","MATCH")))))))</f>
        <v>MATCH</v>
      </c>
      <c r="P1663" s="1" t="str">
        <f t="shared" si="129"/>
        <v>2026-02</v>
      </c>
    </row>
    <row r="1664" spans="1:16" ht="18.95" customHeight="1">
      <c r="A1664" s="7" t="s">
        <v>4335</v>
      </c>
      <c r="B1664" s="7" t="s">
        <v>4333</v>
      </c>
      <c r="C1664" s="7" t="s">
        <v>206</v>
      </c>
      <c r="D1664" s="7" t="s">
        <v>97</v>
      </c>
      <c r="E1664" s="7" t="s">
        <v>47</v>
      </c>
      <c r="F1664" s="7" t="s">
        <v>98</v>
      </c>
      <c r="G1664" s="7" t="s">
        <v>1272</v>
      </c>
      <c r="I1664" s="1">
        <f t="shared" si="125"/>
        <v>1</v>
      </c>
      <c r="J1664" s="1" t="str">
        <f>'Source build'!A1664</f>
        <v>L01658</v>
      </c>
      <c r="K1664" s="1">
        <f>1664</f>
        <v>1664</v>
      </c>
      <c r="L1664" s="10">
        <f t="shared" si="126"/>
        <v>9040</v>
      </c>
      <c r="M1664" s="1">
        <f t="shared" si="127"/>
        <v>1</v>
      </c>
      <c r="N1664" s="1">
        <f t="shared" si="128"/>
        <v>1</v>
      </c>
      <c r="O1664" s="1" t="str">
        <f>IF(I1664=0,"UNUSED",IF(A1664="","MISSING ID",IF(K1664=0,"UNEXPECTED ID",IF(N1664&lt;&gt;1,"ID / ORDER DIFFERENCE",IF('Source build'!U1664&lt;&gt;"INCLUDED","EXCLUDED SOURCE",IF(NOT(M1664),"INVALID AMOUNT",IF('Source build'!Y1664&lt;&gt;0,"CHANGED FIELDS","MATCH")))))))</f>
        <v>MATCH</v>
      </c>
      <c r="P1664" s="1" t="str">
        <f t="shared" si="129"/>
        <v>2026-02</v>
      </c>
    </row>
    <row r="1665" spans="1:16" ht="18.95" customHeight="1">
      <c r="A1665" s="7" t="s">
        <v>4336</v>
      </c>
      <c r="B1665" s="7" t="s">
        <v>4337</v>
      </c>
      <c r="C1665" s="7" t="s">
        <v>212</v>
      </c>
      <c r="D1665" s="7" t="s">
        <v>103</v>
      </c>
      <c r="E1665" s="7" t="s">
        <v>48</v>
      </c>
      <c r="F1665" s="7" t="s">
        <v>98</v>
      </c>
      <c r="G1665" s="7" t="s">
        <v>4338</v>
      </c>
      <c r="I1665" s="1">
        <f t="shared" si="125"/>
        <v>1</v>
      </c>
      <c r="J1665" s="1" t="str">
        <f>'Source build'!A1665</f>
        <v>L01659</v>
      </c>
      <c r="K1665" s="1">
        <f>1665</f>
        <v>1665</v>
      </c>
      <c r="L1665" s="10">
        <f t="shared" si="126"/>
        <v>3690</v>
      </c>
      <c r="M1665" s="1">
        <f t="shared" si="127"/>
        <v>1</v>
      </c>
      <c r="N1665" s="1">
        <f t="shared" si="128"/>
        <v>1</v>
      </c>
      <c r="O1665" s="1" t="str">
        <f>IF(I1665=0,"UNUSED",IF(A1665="","MISSING ID",IF(K1665=0,"UNEXPECTED ID",IF(N1665&lt;&gt;1,"ID / ORDER DIFFERENCE",IF('Source build'!U1665&lt;&gt;"INCLUDED","EXCLUDED SOURCE",IF(NOT(M1665),"INVALID AMOUNT",IF('Source build'!Y1665&lt;&gt;0,"CHANGED FIELDS","MATCH")))))))</f>
        <v>MATCH</v>
      </c>
      <c r="P1665" s="1" t="str">
        <f t="shared" si="129"/>
        <v>2026-02</v>
      </c>
    </row>
    <row r="1666" spans="1:16" ht="18.95" customHeight="1">
      <c r="A1666" s="7" t="s">
        <v>4339</v>
      </c>
      <c r="B1666" s="7" t="s">
        <v>4337</v>
      </c>
      <c r="C1666" s="7" t="s">
        <v>212</v>
      </c>
      <c r="D1666" s="7" t="s">
        <v>93</v>
      </c>
      <c r="E1666" s="7" t="s">
        <v>46</v>
      </c>
      <c r="F1666" s="7" t="s">
        <v>98</v>
      </c>
      <c r="G1666" s="7" t="s">
        <v>4340</v>
      </c>
      <c r="I1666" s="1">
        <f t="shared" si="125"/>
        <v>1</v>
      </c>
      <c r="J1666" s="1" t="str">
        <f>'Source build'!A1666</f>
        <v>L01660</v>
      </c>
      <c r="K1666" s="1">
        <f>1666</f>
        <v>1666</v>
      </c>
      <c r="L1666" s="10">
        <f t="shared" si="126"/>
        <v>7528</v>
      </c>
      <c r="M1666" s="1">
        <f t="shared" si="127"/>
        <v>1</v>
      </c>
      <c r="N1666" s="1">
        <f t="shared" si="128"/>
        <v>1</v>
      </c>
      <c r="O1666" s="1" t="str">
        <f>IF(I1666=0,"UNUSED",IF(A1666="","MISSING ID",IF(K1666=0,"UNEXPECTED ID",IF(N1666&lt;&gt;1,"ID / ORDER DIFFERENCE",IF('Source build'!U1666&lt;&gt;"INCLUDED","EXCLUDED SOURCE",IF(NOT(M1666),"INVALID AMOUNT",IF('Source build'!Y1666&lt;&gt;0,"CHANGED FIELDS","MATCH")))))))</f>
        <v>MATCH</v>
      </c>
      <c r="P1666" s="1" t="str">
        <f t="shared" si="129"/>
        <v>2026-02</v>
      </c>
    </row>
    <row r="1667" spans="1:16" ht="18.95" customHeight="1">
      <c r="A1667" s="7" t="s">
        <v>4341</v>
      </c>
      <c r="B1667" s="7" t="s">
        <v>4342</v>
      </c>
      <c r="C1667" s="7" t="s">
        <v>218</v>
      </c>
      <c r="D1667" s="7" t="s">
        <v>97</v>
      </c>
      <c r="E1667" s="7" t="s">
        <v>47</v>
      </c>
      <c r="F1667" s="7" t="s">
        <v>98</v>
      </c>
      <c r="G1667" s="7" t="s">
        <v>4343</v>
      </c>
      <c r="I1667" s="1">
        <f t="shared" si="125"/>
        <v>1</v>
      </c>
      <c r="J1667" s="1" t="str">
        <f>'Source build'!A1667</f>
        <v>L01661</v>
      </c>
      <c r="K1667" s="1">
        <f>1667</f>
        <v>1667</v>
      </c>
      <c r="L1667" s="10">
        <f t="shared" si="126"/>
        <v>1919</v>
      </c>
      <c r="M1667" s="1">
        <f t="shared" si="127"/>
        <v>1</v>
      </c>
      <c r="N1667" s="1">
        <f t="shared" si="128"/>
        <v>1</v>
      </c>
      <c r="O1667" s="1" t="str">
        <f>IF(I1667=0,"UNUSED",IF(A1667="","MISSING ID",IF(K1667=0,"UNEXPECTED ID",IF(N1667&lt;&gt;1,"ID / ORDER DIFFERENCE",IF('Source build'!U1667&lt;&gt;"INCLUDED","EXCLUDED SOURCE",IF(NOT(M1667),"INVALID AMOUNT",IF('Source build'!Y1667&lt;&gt;0,"CHANGED FIELDS","MATCH")))))))</f>
        <v>MATCH</v>
      </c>
      <c r="P1667" s="1" t="str">
        <f t="shared" si="129"/>
        <v>2026-02</v>
      </c>
    </row>
    <row r="1668" spans="1:16" ht="18.95" customHeight="1">
      <c r="A1668" s="7" t="s">
        <v>4344</v>
      </c>
      <c r="B1668" s="7" t="s">
        <v>4342</v>
      </c>
      <c r="C1668" s="7" t="s">
        <v>218</v>
      </c>
      <c r="D1668" s="7" t="s">
        <v>103</v>
      </c>
      <c r="E1668" s="7" t="s">
        <v>48</v>
      </c>
      <c r="F1668" s="7" t="s">
        <v>98</v>
      </c>
      <c r="G1668" s="7" t="s">
        <v>4345</v>
      </c>
      <c r="I1668" s="1">
        <f t="shared" si="125"/>
        <v>1</v>
      </c>
      <c r="J1668" s="1" t="str">
        <f>'Source build'!A1668</f>
        <v>L01662</v>
      </c>
      <c r="K1668" s="1">
        <f>1668</f>
        <v>1668</v>
      </c>
      <c r="L1668" s="10">
        <f t="shared" si="126"/>
        <v>5868</v>
      </c>
      <c r="M1668" s="1">
        <f t="shared" si="127"/>
        <v>1</v>
      </c>
      <c r="N1668" s="1">
        <f t="shared" si="128"/>
        <v>1</v>
      </c>
      <c r="O1668" s="1" t="str">
        <f>IF(I1668=0,"UNUSED",IF(A1668="","MISSING ID",IF(K1668=0,"UNEXPECTED ID",IF(N1668&lt;&gt;1,"ID / ORDER DIFFERENCE",IF('Source build'!U1668&lt;&gt;"INCLUDED","EXCLUDED SOURCE",IF(NOT(M1668),"INVALID AMOUNT",IF('Source build'!Y1668&lt;&gt;0,"CHANGED FIELDS","MATCH")))))))</f>
        <v>MATCH</v>
      </c>
      <c r="P1668" s="1" t="str">
        <f t="shared" si="129"/>
        <v>2026-02</v>
      </c>
    </row>
    <row r="1669" spans="1:16" ht="18.95" customHeight="1">
      <c r="A1669" s="7" t="s">
        <v>4346</v>
      </c>
      <c r="B1669" s="7" t="s">
        <v>4347</v>
      </c>
      <c r="C1669" s="7" t="s">
        <v>224</v>
      </c>
      <c r="D1669" s="7" t="s">
        <v>93</v>
      </c>
      <c r="E1669" s="7" t="s">
        <v>46</v>
      </c>
      <c r="F1669" s="7" t="s">
        <v>98</v>
      </c>
      <c r="G1669" s="7" t="s">
        <v>4348</v>
      </c>
      <c r="I1669" s="1">
        <f t="shared" si="125"/>
        <v>1</v>
      </c>
      <c r="J1669" s="1" t="str">
        <f>'Source build'!A1669</f>
        <v>L01663</v>
      </c>
      <c r="K1669" s="1">
        <f>1669</f>
        <v>1669</v>
      </c>
      <c r="L1669" s="10">
        <f t="shared" si="126"/>
        <v>9965</v>
      </c>
      <c r="M1669" s="1">
        <f t="shared" si="127"/>
        <v>1</v>
      </c>
      <c r="N1669" s="1">
        <f t="shared" si="128"/>
        <v>1</v>
      </c>
      <c r="O1669" s="1" t="str">
        <f>IF(I1669=0,"UNUSED",IF(A1669="","MISSING ID",IF(K1669=0,"UNEXPECTED ID",IF(N1669&lt;&gt;1,"ID / ORDER DIFFERENCE",IF('Source build'!U1669&lt;&gt;"INCLUDED","EXCLUDED SOURCE",IF(NOT(M1669),"INVALID AMOUNT",IF('Source build'!Y1669&lt;&gt;0,"CHANGED FIELDS","MATCH")))))))</f>
        <v>MATCH</v>
      </c>
      <c r="P1669" s="1" t="str">
        <f t="shared" si="129"/>
        <v>2026-02</v>
      </c>
    </row>
    <row r="1670" spans="1:16" ht="18.95" customHeight="1">
      <c r="A1670" s="7" t="s">
        <v>4349</v>
      </c>
      <c r="B1670" s="7" t="s">
        <v>4347</v>
      </c>
      <c r="C1670" s="7" t="s">
        <v>224</v>
      </c>
      <c r="D1670" s="7" t="s">
        <v>97</v>
      </c>
      <c r="E1670" s="7" t="s">
        <v>47</v>
      </c>
      <c r="F1670" s="7" t="s">
        <v>98</v>
      </c>
      <c r="G1670" s="7" t="s">
        <v>4350</v>
      </c>
      <c r="I1670" s="1">
        <f t="shared" si="125"/>
        <v>1</v>
      </c>
      <c r="J1670" s="1" t="str">
        <f>'Source build'!A1670</f>
        <v>L01664</v>
      </c>
      <c r="K1670" s="1">
        <f>1670</f>
        <v>1670</v>
      </c>
      <c r="L1670" s="10">
        <f t="shared" si="126"/>
        <v>4060</v>
      </c>
      <c r="M1670" s="1">
        <f t="shared" si="127"/>
        <v>1</v>
      </c>
      <c r="N1670" s="1">
        <f t="shared" si="128"/>
        <v>1</v>
      </c>
      <c r="O1670" s="1" t="str">
        <f>IF(I1670=0,"UNUSED",IF(A1670="","MISSING ID",IF(K1670=0,"UNEXPECTED ID",IF(N1670&lt;&gt;1,"ID / ORDER DIFFERENCE",IF('Source build'!U1670&lt;&gt;"INCLUDED","EXCLUDED SOURCE",IF(NOT(M1670),"INVALID AMOUNT",IF('Source build'!Y1670&lt;&gt;0,"CHANGED FIELDS","MATCH")))))))</f>
        <v>MATCH</v>
      </c>
      <c r="P1670" s="1" t="str">
        <f t="shared" si="129"/>
        <v>2026-02</v>
      </c>
    </row>
    <row r="1671" spans="1:16" ht="18.95" customHeight="1">
      <c r="A1671" s="7" t="s">
        <v>4351</v>
      </c>
      <c r="B1671" s="7" t="s">
        <v>4352</v>
      </c>
      <c r="C1671" s="7" t="s">
        <v>230</v>
      </c>
      <c r="D1671" s="7" t="s">
        <v>103</v>
      </c>
      <c r="E1671" s="7" t="s">
        <v>48</v>
      </c>
      <c r="F1671" s="7" t="s">
        <v>98</v>
      </c>
      <c r="G1671" s="7" t="s">
        <v>281</v>
      </c>
      <c r="I1671" s="1">
        <f t="shared" ref="I1671:I1734" si="130">IF(AND(A1671="",B1671="",C1671="",D1671="",E1671="",F1671="",G1671=""),0,1)</f>
        <v>1</v>
      </c>
      <c r="J1671" s="1" t="str">
        <f>'Source build'!A1671</f>
        <v>L01665</v>
      </c>
      <c r="K1671" s="1">
        <f>1671</f>
        <v>1671</v>
      </c>
      <c r="L1671" s="10">
        <f t="shared" ref="L1671:L1734" si="131">IFERROR(IF(ABS(VALUE(G1671)*100-ROUND(VALUE(G1671)*100,0))&lt;0.0000001,ROUND(VALUE(G1671)*100,0),0),0)</f>
        <v>8268</v>
      </c>
      <c r="M1671" s="1">
        <f t="shared" ref="M1671:M1734" si="132">--IF(I1671=0,TRUE,IF(TRIM(G1671)="",FALSE,IFERROR(AND(ISNUMBER(VALUE(G1671)),ABS(VALUE(G1671)*100-ROUND(VALUE(G1671)*100,0))&lt;0.0000001,OR(ISNUMBER(G1671),EXACT(G1671,TEXT(VALUE(G1671),"0.00"))),OR(AND(EXACT(F1671,"sale"),VALUE(G1671)&gt;0),AND(EXACT(F1671,"refund"),VALUE(G1671)&lt;0))),FALSE)))</f>
        <v>1</v>
      </c>
      <c r="N1671" s="1">
        <f t="shared" ref="N1671:N1734" si="133">IF(I1671=1,IF(EXACT(A1671,J1671),1,0),0)</f>
        <v>1</v>
      </c>
      <c r="O1671" s="1" t="str">
        <f>IF(I1671=0,"UNUSED",IF(A1671="","MISSING ID",IF(K1671=0,"UNEXPECTED ID",IF(N1671&lt;&gt;1,"ID / ORDER DIFFERENCE",IF('Source build'!U1671&lt;&gt;"INCLUDED","EXCLUDED SOURCE",IF(NOT(M1671),"INVALID AMOUNT",IF('Source build'!Y1671&lt;&gt;0,"CHANGED FIELDS","MATCH")))))))</f>
        <v>MATCH</v>
      </c>
      <c r="P1671" s="1" t="str">
        <f t="shared" ref="P1671:P1734" si="134">IF(I1671=1,LEFT(C1671,7),"")</f>
        <v>2026-03</v>
      </c>
    </row>
    <row r="1672" spans="1:16" ht="18.95" customHeight="1">
      <c r="A1672" s="7" t="s">
        <v>4353</v>
      </c>
      <c r="B1672" s="7" t="s">
        <v>4352</v>
      </c>
      <c r="C1672" s="7" t="s">
        <v>230</v>
      </c>
      <c r="D1672" s="7" t="s">
        <v>93</v>
      </c>
      <c r="E1672" s="7" t="s">
        <v>46</v>
      </c>
      <c r="F1672" s="7" t="s">
        <v>98</v>
      </c>
      <c r="G1672" s="7" t="s">
        <v>4354</v>
      </c>
      <c r="I1672" s="1">
        <f t="shared" si="130"/>
        <v>1</v>
      </c>
      <c r="J1672" s="1" t="str">
        <f>'Source build'!A1672</f>
        <v>L01666</v>
      </c>
      <c r="K1672" s="1">
        <f>1672</f>
        <v>1672</v>
      </c>
      <c r="L1672" s="10">
        <f t="shared" si="131"/>
        <v>2104</v>
      </c>
      <c r="M1672" s="1">
        <f t="shared" si="132"/>
        <v>1</v>
      </c>
      <c r="N1672" s="1">
        <f t="shared" si="133"/>
        <v>1</v>
      </c>
      <c r="O1672" s="1" t="str">
        <f>IF(I1672=0,"UNUSED",IF(A1672="","MISSING ID",IF(K1672=0,"UNEXPECTED ID",IF(N1672&lt;&gt;1,"ID / ORDER DIFFERENCE",IF('Source build'!U1672&lt;&gt;"INCLUDED","EXCLUDED SOURCE",IF(NOT(M1672),"INVALID AMOUNT",IF('Source build'!Y1672&lt;&gt;0,"CHANGED FIELDS","MATCH")))))))</f>
        <v>MATCH</v>
      </c>
      <c r="P1672" s="1" t="str">
        <f t="shared" si="134"/>
        <v>2026-03</v>
      </c>
    </row>
    <row r="1673" spans="1:16" ht="18.95" customHeight="1">
      <c r="A1673" s="7" t="s">
        <v>4355</v>
      </c>
      <c r="B1673" s="7" t="s">
        <v>4356</v>
      </c>
      <c r="C1673" s="7" t="s">
        <v>236</v>
      </c>
      <c r="D1673" s="7" t="s">
        <v>97</v>
      </c>
      <c r="E1673" s="7" t="s">
        <v>47</v>
      </c>
      <c r="F1673" s="7" t="s">
        <v>98</v>
      </c>
      <c r="G1673" s="7" t="s">
        <v>4357</v>
      </c>
      <c r="I1673" s="1">
        <f t="shared" si="130"/>
        <v>1</v>
      </c>
      <c r="J1673" s="1" t="str">
        <f>'Source build'!A1673</f>
        <v>L01667</v>
      </c>
      <c r="K1673" s="1">
        <f>1673</f>
        <v>1673</v>
      </c>
      <c r="L1673" s="10">
        <f t="shared" si="131"/>
        <v>6423</v>
      </c>
      <c r="M1673" s="1">
        <f t="shared" si="132"/>
        <v>1</v>
      </c>
      <c r="N1673" s="1">
        <f t="shared" si="133"/>
        <v>1</v>
      </c>
      <c r="O1673" s="1" t="str">
        <f>IF(I1673=0,"UNUSED",IF(A1673="","MISSING ID",IF(K1673=0,"UNEXPECTED ID",IF(N1673&lt;&gt;1,"ID / ORDER DIFFERENCE",IF('Source build'!U1673&lt;&gt;"INCLUDED","EXCLUDED SOURCE",IF(NOT(M1673),"INVALID AMOUNT",IF('Source build'!Y1673&lt;&gt;0,"CHANGED FIELDS","MATCH")))))))</f>
        <v>MATCH</v>
      </c>
      <c r="P1673" s="1" t="str">
        <f t="shared" si="134"/>
        <v>2026-03</v>
      </c>
    </row>
    <row r="1674" spans="1:16" ht="18.95" customHeight="1">
      <c r="A1674" s="7" t="s">
        <v>4358</v>
      </c>
      <c r="B1674" s="7" t="s">
        <v>4356</v>
      </c>
      <c r="C1674" s="7" t="s">
        <v>236</v>
      </c>
      <c r="D1674" s="7" t="s">
        <v>103</v>
      </c>
      <c r="E1674" s="7" t="s">
        <v>48</v>
      </c>
      <c r="F1674" s="7" t="s">
        <v>98</v>
      </c>
      <c r="G1674" s="7" t="s">
        <v>1336</v>
      </c>
      <c r="I1674" s="1">
        <f t="shared" si="130"/>
        <v>1</v>
      </c>
      <c r="J1674" s="1" t="str">
        <f>'Source build'!A1674</f>
        <v>L01668</v>
      </c>
      <c r="K1674" s="1">
        <f>1674</f>
        <v>1674</v>
      </c>
      <c r="L1674" s="10">
        <f t="shared" si="131"/>
        <v>10890</v>
      </c>
      <c r="M1674" s="1">
        <f t="shared" si="132"/>
        <v>1</v>
      </c>
      <c r="N1674" s="1">
        <f t="shared" si="133"/>
        <v>1</v>
      </c>
      <c r="O1674" s="1" t="str">
        <f>IF(I1674=0,"UNUSED",IF(A1674="","MISSING ID",IF(K1674=0,"UNEXPECTED ID",IF(N1674&lt;&gt;1,"ID / ORDER DIFFERENCE",IF('Source build'!U1674&lt;&gt;"INCLUDED","EXCLUDED SOURCE",IF(NOT(M1674),"INVALID AMOUNT",IF('Source build'!Y1674&lt;&gt;0,"CHANGED FIELDS","MATCH")))))))</f>
        <v>MATCH</v>
      </c>
      <c r="P1674" s="1" t="str">
        <f t="shared" si="134"/>
        <v>2026-03</v>
      </c>
    </row>
    <row r="1675" spans="1:16" ht="18.95" customHeight="1">
      <c r="A1675" s="7" t="s">
        <v>4359</v>
      </c>
      <c r="B1675" s="7" t="s">
        <v>4360</v>
      </c>
      <c r="C1675" s="7" t="s">
        <v>242</v>
      </c>
      <c r="D1675" s="7" t="s">
        <v>93</v>
      </c>
      <c r="E1675" s="7" t="s">
        <v>46</v>
      </c>
      <c r="F1675" s="7" t="s">
        <v>98</v>
      </c>
      <c r="G1675" s="7" t="s">
        <v>4361</v>
      </c>
      <c r="I1675" s="1">
        <f t="shared" si="130"/>
        <v>1</v>
      </c>
      <c r="J1675" s="1" t="str">
        <f>'Source build'!A1675</f>
        <v>L01669</v>
      </c>
      <c r="K1675" s="1">
        <f>1675</f>
        <v>1675</v>
      </c>
      <c r="L1675" s="10">
        <f t="shared" si="131"/>
        <v>4430</v>
      </c>
      <c r="M1675" s="1">
        <f t="shared" si="132"/>
        <v>1</v>
      </c>
      <c r="N1675" s="1">
        <f t="shared" si="133"/>
        <v>1</v>
      </c>
      <c r="O1675" s="1" t="str">
        <f>IF(I1675=0,"UNUSED",IF(A1675="","MISSING ID",IF(K1675=0,"UNEXPECTED ID",IF(N1675&lt;&gt;1,"ID / ORDER DIFFERENCE",IF('Source build'!U1675&lt;&gt;"INCLUDED","EXCLUDED SOURCE",IF(NOT(M1675),"INVALID AMOUNT",IF('Source build'!Y1675&lt;&gt;0,"CHANGED FIELDS","MATCH")))))))</f>
        <v>MATCH</v>
      </c>
      <c r="P1675" s="1" t="str">
        <f t="shared" si="134"/>
        <v>2026-03</v>
      </c>
    </row>
    <row r="1676" spans="1:16" ht="18.95" customHeight="1">
      <c r="A1676" s="7" t="s">
        <v>4362</v>
      </c>
      <c r="B1676" s="7" t="s">
        <v>4360</v>
      </c>
      <c r="C1676" s="7" t="s">
        <v>242</v>
      </c>
      <c r="D1676" s="7" t="s">
        <v>97</v>
      </c>
      <c r="E1676" s="7" t="s">
        <v>47</v>
      </c>
      <c r="F1676" s="7" t="s">
        <v>98</v>
      </c>
      <c r="G1676" s="7" t="s">
        <v>4363</v>
      </c>
      <c r="I1676" s="1">
        <f t="shared" si="130"/>
        <v>1</v>
      </c>
      <c r="J1676" s="1" t="str">
        <f>'Source build'!A1676</f>
        <v>L01670</v>
      </c>
      <c r="K1676" s="1">
        <f>1676</f>
        <v>1676</v>
      </c>
      <c r="L1676" s="10">
        <f t="shared" si="131"/>
        <v>9008</v>
      </c>
      <c r="M1676" s="1">
        <f t="shared" si="132"/>
        <v>1</v>
      </c>
      <c r="N1676" s="1">
        <f t="shared" si="133"/>
        <v>1</v>
      </c>
      <c r="O1676" s="1" t="str">
        <f>IF(I1676=0,"UNUSED",IF(A1676="","MISSING ID",IF(K1676=0,"UNEXPECTED ID",IF(N1676&lt;&gt;1,"ID / ORDER DIFFERENCE",IF('Source build'!U1676&lt;&gt;"INCLUDED","EXCLUDED SOURCE",IF(NOT(M1676),"INVALID AMOUNT",IF('Source build'!Y1676&lt;&gt;0,"CHANGED FIELDS","MATCH")))))))</f>
        <v>MATCH</v>
      </c>
      <c r="P1676" s="1" t="str">
        <f t="shared" si="134"/>
        <v>2026-03</v>
      </c>
    </row>
    <row r="1677" spans="1:16" ht="18.95" customHeight="1">
      <c r="A1677" s="7" t="s">
        <v>4364</v>
      </c>
      <c r="B1677" s="7" t="s">
        <v>4365</v>
      </c>
      <c r="C1677" s="7" t="s">
        <v>248</v>
      </c>
      <c r="D1677" s="7" t="s">
        <v>103</v>
      </c>
      <c r="E1677" s="7" t="s">
        <v>48</v>
      </c>
      <c r="F1677" s="7" t="s">
        <v>98</v>
      </c>
      <c r="G1677" s="7" t="s">
        <v>5147</v>
      </c>
      <c r="I1677" s="1">
        <f t="shared" si="130"/>
        <v>1</v>
      </c>
      <c r="J1677" s="1" t="str">
        <f>'Source build'!A1677</f>
        <v>L01671</v>
      </c>
      <c r="K1677" s="1">
        <f>1677</f>
        <v>1677</v>
      </c>
      <c r="L1677" s="10">
        <f t="shared" si="131"/>
        <v>2289</v>
      </c>
      <c r="M1677" s="1">
        <f t="shared" si="132"/>
        <v>1</v>
      </c>
      <c r="N1677" s="1">
        <f t="shared" si="133"/>
        <v>1</v>
      </c>
      <c r="O1677" s="1" t="str">
        <f>IF(I1677=0,"UNUSED",IF(A1677="","MISSING ID",IF(K1677=0,"UNEXPECTED ID",IF(N1677&lt;&gt;1,"ID / ORDER DIFFERENCE",IF('Source build'!U1677&lt;&gt;"INCLUDED","EXCLUDED SOURCE",IF(NOT(M1677),"INVALID AMOUNT",IF('Source build'!Y1677&lt;&gt;0,"CHANGED FIELDS","MATCH")))))))</f>
        <v>MATCH</v>
      </c>
      <c r="P1677" s="1" t="str">
        <f t="shared" si="134"/>
        <v>2026-03</v>
      </c>
    </row>
    <row r="1678" spans="1:16" ht="18.95" customHeight="1">
      <c r="A1678" s="7" t="s">
        <v>4367</v>
      </c>
      <c r="B1678" s="7" t="s">
        <v>4365</v>
      </c>
      <c r="C1678" s="7" t="s">
        <v>248</v>
      </c>
      <c r="D1678" s="7" t="s">
        <v>93</v>
      </c>
      <c r="E1678" s="7" t="s">
        <v>46</v>
      </c>
      <c r="F1678" s="7" t="s">
        <v>98</v>
      </c>
      <c r="G1678" s="7" t="s">
        <v>4368</v>
      </c>
      <c r="I1678" s="1">
        <f t="shared" si="130"/>
        <v>1</v>
      </c>
      <c r="J1678" s="1" t="str">
        <f>'Source build'!A1678</f>
        <v>L01672</v>
      </c>
      <c r="K1678" s="1">
        <f>1678</f>
        <v>1678</v>
      </c>
      <c r="L1678" s="10">
        <f t="shared" si="131"/>
        <v>6978</v>
      </c>
      <c r="M1678" s="1">
        <f t="shared" si="132"/>
        <v>1</v>
      </c>
      <c r="N1678" s="1">
        <f t="shared" si="133"/>
        <v>1</v>
      </c>
      <c r="O1678" s="1" t="str">
        <f>IF(I1678=0,"UNUSED",IF(A1678="","MISSING ID",IF(K1678=0,"UNEXPECTED ID",IF(N1678&lt;&gt;1,"ID / ORDER DIFFERENCE",IF('Source build'!U1678&lt;&gt;"INCLUDED","EXCLUDED SOURCE",IF(NOT(M1678),"INVALID AMOUNT",IF('Source build'!Y1678&lt;&gt;0,"CHANGED FIELDS","MATCH")))))))</f>
        <v>MATCH</v>
      </c>
      <c r="P1678" s="1" t="str">
        <f t="shared" si="134"/>
        <v>2026-03</v>
      </c>
    </row>
    <row r="1679" spans="1:16" ht="18.95" customHeight="1">
      <c r="A1679" s="7" t="s">
        <v>4369</v>
      </c>
      <c r="B1679" s="7" t="s">
        <v>4370</v>
      </c>
      <c r="C1679" s="7" t="s">
        <v>254</v>
      </c>
      <c r="D1679" s="7" t="s">
        <v>97</v>
      </c>
      <c r="E1679" s="7" t="s">
        <v>47</v>
      </c>
      <c r="F1679" s="7" t="s">
        <v>98</v>
      </c>
      <c r="G1679" s="7" t="s">
        <v>4371</v>
      </c>
      <c r="I1679" s="1">
        <f t="shared" si="130"/>
        <v>1</v>
      </c>
      <c r="J1679" s="1" t="str">
        <f>'Source build'!A1679</f>
        <v>L01673</v>
      </c>
      <c r="K1679" s="1">
        <f>1679</f>
        <v>1679</v>
      </c>
      <c r="L1679" s="10">
        <f t="shared" si="131"/>
        <v>11815</v>
      </c>
      <c r="M1679" s="1">
        <f t="shared" si="132"/>
        <v>1</v>
      </c>
      <c r="N1679" s="1">
        <f t="shared" si="133"/>
        <v>1</v>
      </c>
      <c r="O1679" s="1" t="str">
        <f>IF(I1679=0,"UNUSED",IF(A1679="","MISSING ID",IF(K1679=0,"UNEXPECTED ID",IF(N1679&lt;&gt;1,"ID / ORDER DIFFERENCE",IF('Source build'!U1679&lt;&gt;"INCLUDED","EXCLUDED SOURCE",IF(NOT(M1679),"INVALID AMOUNT",IF('Source build'!Y1679&lt;&gt;0,"CHANGED FIELDS","MATCH")))))))</f>
        <v>MATCH</v>
      </c>
      <c r="P1679" s="1" t="str">
        <f t="shared" si="134"/>
        <v>2026-01</v>
      </c>
    </row>
    <row r="1680" spans="1:16" ht="18.95" customHeight="1">
      <c r="A1680" s="7" t="s">
        <v>4372</v>
      </c>
      <c r="B1680" s="7" t="s">
        <v>4370</v>
      </c>
      <c r="C1680" s="7" t="s">
        <v>254</v>
      </c>
      <c r="D1680" s="7" t="s">
        <v>103</v>
      </c>
      <c r="E1680" s="7" t="s">
        <v>48</v>
      </c>
      <c r="F1680" s="7" t="s">
        <v>98</v>
      </c>
      <c r="G1680" s="7" t="s">
        <v>4373</v>
      </c>
      <c r="I1680" s="1">
        <f t="shared" si="130"/>
        <v>1</v>
      </c>
      <c r="J1680" s="1" t="str">
        <f>'Source build'!A1680</f>
        <v>L01674</v>
      </c>
      <c r="K1680" s="1">
        <f>1680</f>
        <v>1680</v>
      </c>
      <c r="L1680" s="10">
        <f t="shared" si="131"/>
        <v>4800</v>
      </c>
      <c r="M1680" s="1">
        <f t="shared" si="132"/>
        <v>1</v>
      </c>
      <c r="N1680" s="1">
        <f t="shared" si="133"/>
        <v>1</v>
      </c>
      <c r="O1680" s="1" t="str">
        <f>IF(I1680=0,"UNUSED",IF(A1680="","MISSING ID",IF(K1680=0,"UNEXPECTED ID",IF(N1680&lt;&gt;1,"ID / ORDER DIFFERENCE",IF('Source build'!U1680&lt;&gt;"INCLUDED","EXCLUDED SOURCE",IF(NOT(M1680),"INVALID AMOUNT",IF('Source build'!Y1680&lt;&gt;0,"CHANGED FIELDS","MATCH")))))))</f>
        <v>MATCH</v>
      </c>
      <c r="P1680" s="1" t="str">
        <f t="shared" si="134"/>
        <v>2026-01</v>
      </c>
    </row>
    <row r="1681" spans="1:16" ht="18.95" customHeight="1">
      <c r="A1681" s="7" t="s">
        <v>4374</v>
      </c>
      <c r="B1681" s="7" t="s">
        <v>4375</v>
      </c>
      <c r="C1681" s="7" t="s">
        <v>260</v>
      </c>
      <c r="D1681" s="7" t="s">
        <v>93</v>
      </c>
      <c r="E1681" s="7" t="s">
        <v>46</v>
      </c>
      <c r="F1681" s="7" t="s">
        <v>98</v>
      </c>
      <c r="G1681" s="7" t="s">
        <v>4376</v>
      </c>
      <c r="I1681" s="1">
        <f t="shared" si="130"/>
        <v>1</v>
      </c>
      <c r="J1681" s="1" t="str">
        <f>'Source build'!A1681</f>
        <v>L01675</v>
      </c>
      <c r="K1681" s="1">
        <f>1681</f>
        <v>1681</v>
      </c>
      <c r="L1681" s="10">
        <f t="shared" si="131"/>
        <v>9748</v>
      </c>
      <c r="M1681" s="1">
        <f t="shared" si="132"/>
        <v>1</v>
      </c>
      <c r="N1681" s="1">
        <f t="shared" si="133"/>
        <v>1</v>
      </c>
      <c r="O1681" s="1" t="str">
        <f>IF(I1681=0,"UNUSED",IF(A1681="","MISSING ID",IF(K1681=0,"UNEXPECTED ID",IF(N1681&lt;&gt;1,"ID / ORDER DIFFERENCE",IF('Source build'!U1681&lt;&gt;"INCLUDED","EXCLUDED SOURCE",IF(NOT(M1681),"INVALID AMOUNT",IF('Source build'!Y1681&lt;&gt;0,"CHANGED FIELDS","MATCH")))))))</f>
        <v>MATCH</v>
      </c>
      <c r="P1681" s="1" t="str">
        <f t="shared" si="134"/>
        <v>2026-01</v>
      </c>
    </row>
    <row r="1682" spans="1:16" ht="18.95" customHeight="1">
      <c r="A1682" s="7" t="s">
        <v>4377</v>
      </c>
      <c r="B1682" s="7" t="s">
        <v>4375</v>
      </c>
      <c r="C1682" s="7" t="s">
        <v>260</v>
      </c>
      <c r="D1682" s="7" t="s">
        <v>97</v>
      </c>
      <c r="E1682" s="7" t="s">
        <v>47</v>
      </c>
      <c r="F1682" s="7" t="s">
        <v>98</v>
      </c>
      <c r="G1682" s="7" t="s">
        <v>4378</v>
      </c>
      <c r="I1682" s="1">
        <f t="shared" si="130"/>
        <v>1</v>
      </c>
      <c r="J1682" s="1" t="str">
        <f>'Source build'!A1682</f>
        <v>L01676</v>
      </c>
      <c r="K1682" s="1">
        <f>1682</f>
        <v>1682</v>
      </c>
      <c r="L1682" s="10">
        <f t="shared" si="131"/>
        <v>2474</v>
      </c>
      <c r="M1682" s="1">
        <f t="shared" si="132"/>
        <v>1</v>
      </c>
      <c r="N1682" s="1">
        <f t="shared" si="133"/>
        <v>1</v>
      </c>
      <c r="O1682" s="1" t="str">
        <f>IF(I1682=0,"UNUSED",IF(A1682="","MISSING ID",IF(K1682=0,"UNEXPECTED ID",IF(N1682&lt;&gt;1,"ID / ORDER DIFFERENCE",IF('Source build'!U1682&lt;&gt;"INCLUDED","EXCLUDED SOURCE",IF(NOT(M1682),"INVALID AMOUNT",IF('Source build'!Y1682&lt;&gt;0,"CHANGED FIELDS","MATCH")))))))</f>
        <v>MATCH</v>
      </c>
      <c r="P1682" s="1" t="str">
        <f t="shared" si="134"/>
        <v>2026-01</v>
      </c>
    </row>
    <row r="1683" spans="1:16" ht="18.95" customHeight="1">
      <c r="A1683" s="7" t="s">
        <v>4379</v>
      </c>
      <c r="B1683" s="7" t="s">
        <v>4380</v>
      </c>
      <c r="C1683" s="7" t="s">
        <v>266</v>
      </c>
      <c r="D1683" s="7" t="s">
        <v>103</v>
      </c>
      <c r="E1683" s="7" t="s">
        <v>48</v>
      </c>
      <c r="F1683" s="7" t="s">
        <v>98</v>
      </c>
      <c r="G1683" s="7" t="s">
        <v>4381</v>
      </c>
      <c r="I1683" s="1">
        <f t="shared" si="130"/>
        <v>1</v>
      </c>
      <c r="J1683" s="1" t="str">
        <f>'Source build'!A1683</f>
        <v>L01677</v>
      </c>
      <c r="K1683" s="1">
        <f>1683</f>
        <v>1683</v>
      </c>
      <c r="L1683" s="10">
        <f t="shared" si="131"/>
        <v>7533</v>
      </c>
      <c r="M1683" s="1">
        <f t="shared" si="132"/>
        <v>1</v>
      </c>
      <c r="N1683" s="1">
        <f t="shared" si="133"/>
        <v>1</v>
      </c>
      <c r="O1683" s="1" t="str">
        <f>IF(I1683=0,"UNUSED",IF(A1683="","MISSING ID",IF(K1683=0,"UNEXPECTED ID",IF(N1683&lt;&gt;1,"ID / ORDER DIFFERENCE",IF('Source build'!U1683&lt;&gt;"INCLUDED","EXCLUDED SOURCE",IF(NOT(M1683),"INVALID AMOUNT",IF('Source build'!Y1683&lt;&gt;0,"CHANGED FIELDS","MATCH")))))))</f>
        <v>MATCH</v>
      </c>
      <c r="P1683" s="1" t="str">
        <f t="shared" si="134"/>
        <v>2026-01</v>
      </c>
    </row>
    <row r="1684" spans="1:16" ht="18.95" customHeight="1">
      <c r="A1684" s="7" t="s">
        <v>4382</v>
      </c>
      <c r="B1684" s="7" t="s">
        <v>4380</v>
      </c>
      <c r="C1684" s="7" t="s">
        <v>266</v>
      </c>
      <c r="D1684" s="7" t="s">
        <v>93</v>
      </c>
      <c r="E1684" s="7" t="s">
        <v>46</v>
      </c>
      <c r="F1684" s="7" t="s">
        <v>98</v>
      </c>
      <c r="G1684" s="7" t="s">
        <v>4383</v>
      </c>
      <c r="I1684" s="1">
        <f t="shared" si="130"/>
        <v>1</v>
      </c>
      <c r="J1684" s="1" t="str">
        <f>'Source build'!A1684</f>
        <v>L01678</v>
      </c>
      <c r="K1684" s="1">
        <f>1684</f>
        <v>1684</v>
      </c>
      <c r="L1684" s="10">
        <f t="shared" si="131"/>
        <v>12740</v>
      </c>
      <c r="M1684" s="1">
        <f t="shared" si="132"/>
        <v>1</v>
      </c>
      <c r="N1684" s="1">
        <f t="shared" si="133"/>
        <v>1</v>
      </c>
      <c r="O1684" s="1" t="str">
        <f>IF(I1684=0,"UNUSED",IF(A1684="","MISSING ID",IF(K1684=0,"UNEXPECTED ID",IF(N1684&lt;&gt;1,"ID / ORDER DIFFERENCE",IF('Source build'!U1684&lt;&gt;"INCLUDED","EXCLUDED SOURCE",IF(NOT(M1684),"INVALID AMOUNT",IF('Source build'!Y1684&lt;&gt;0,"CHANGED FIELDS","MATCH")))))))</f>
        <v>MATCH</v>
      </c>
      <c r="P1684" s="1" t="str">
        <f t="shared" si="134"/>
        <v>2026-01</v>
      </c>
    </row>
    <row r="1685" spans="1:16" ht="18.95" customHeight="1">
      <c r="A1685" s="7" t="s">
        <v>4384</v>
      </c>
      <c r="B1685" s="7" t="s">
        <v>4385</v>
      </c>
      <c r="C1685" s="7" t="s">
        <v>272</v>
      </c>
      <c r="D1685" s="7" t="s">
        <v>97</v>
      </c>
      <c r="E1685" s="7" t="s">
        <v>47</v>
      </c>
      <c r="F1685" s="7" t="s">
        <v>98</v>
      </c>
      <c r="G1685" s="7" t="s">
        <v>4386</v>
      </c>
      <c r="I1685" s="1">
        <f t="shared" si="130"/>
        <v>1</v>
      </c>
      <c r="J1685" s="1" t="str">
        <f>'Source build'!A1685</f>
        <v>L01679</v>
      </c>
      <c r="K1685" s="1">
        <f>1685</f>
        <v>1685</v>
      </c>
      <c r="L1685" s="10">
        <f t="shared" si="131"/>
        <v>5170</v>
      </c>
      <c r="M1685" s="1">
        <f t="shared" si="132"/>
        <v>1</v>
      </c>
      <c r="N1685" s="1">
        <f t="shared" si="133"/>
        <v>1</v>
      </c>
      <c r="O1685" s="1" t="str">
        <f>IF(I1685=0,"UNUSED",IF(A1685="","MISSING ID",IF(K1685=0,"UNEXPECTED ID",IF(N1685&lt;&gt;1,"ID / ORDER DIFFERENCE",IF('Source build'!U1685&lt;&gt;"INCLUDED","EXCLUDED SOURCE",IF(NOT(M1685),"INVALID AMOUNT",IF('Source build'!Y1685&lt;&gt;0,"CHANGED FIELDS","MATCH")))))))</f>
        <v>MATCH</v>
      </c>
      <c r="P1685" s="1" t="str">
        <f t="shared" si="134"/>
        <v>2026-01</v>
      </c>
    </row>
    <row r="1686" spans="1:16" ht="18.95" customHeight="1">
      <c r="A1686" s="7" t="s">
        <v>4387</v>
      </c>
      <c r="B1686" s="7" t="s">
        <v>4385</v>
      </c>
      <c r="C1686" s="7" t="s">
        <v>272</v>
      </c>
      <c r="D1686" s="7" t="s">
        <v>103</v>
      </c>
      <c r="E1686" s="7" t="s">
        <v>48</v>
      </c>
      <c r="F1686" s="7" t="s">
        <v>94</v>
      </c>
      <c r="G1686" s="7" t="s">
        <v>4388</v>
      </c>
      <c r="I1686" s="1">
        <f t="shared" si="130"/>
        <v>1</v>
      </c>
      <c r="J1686" s="1" t="str">
        <f>'Source build'!A1686</f>
        <v>L01680</v>
      </c>
      <c r="K1686" s="1">
        <f>1686</f>
        <v>1686</v>
      </c>
      <c r="L1686" s="10">
        <f t="shared" si="131"/>
        <v>-10488</v>
      </c>
      <c r="M1686" s="1">
        <f t="shared" si="132"/>
        <v>1</v>
      </c>
      <c r="N1686" s="1">
        <f t="shared" si="133"/>
        <v>1</v>
      </c>
      <c r="O1686" s="1" t="str">
        <f>IF(I1686=0,"UNUSED",IF(A1686="","MISSING ID",IF(K1686=0,"UNEXPECTED ID",IF(N1686&lt;&gt;1,"ID / ORDER DIFFERENCE",IF('Source build'!U1686&lt;&gt;"INCLUDED","EXCLUDED SOURCE",IF(NOT(M1686),"INVALID AMOUNT",IF('Source build'!Y1686&lt;&gt;0,"CHANGED FIELDS","MATCH")))))))</f>
        <v>MATCH</v>
      </c>
      <c r="P1686" s="1" t="str">
        <f t="shared" si="134"/>
        <v>2026-01</v>
      </c>
    </row>
    <row r="1687" spans="1:16" ht="18.95" customHeight="1">
      <c r="A1687" s="7" t="s">
        <v>4389</v>
      </c>
      <c r="B1687" s="7" t="s">
        <v>4390</v>
      </c>
      <c r="C1687" s="7" t="s">
        <v>278</v>
      </c>
      <c r="D1687" s="7" t="s">
        <v>93</v>
      </c>
      <c r="E1687" s="7" t="s">
        <v>46</v>
      </c>
      <c r="F1687" s="7" t="s">
        <v>98</v>
      </c>
      <c r="G1687" s="7" t="s">
        <v>4391</v>
      </c>
      <c r="I1687" s="1">
        <f t="shared" si="130"/>
        <v>1</v>
      </c>
      <c r="J1687" s="1" t="str">
        <f>'Source build'!A1687</f>
        <v>L01681</v>
      </c>
      <c r="K1687" s="1">
        <f>1687</f>
        <v>1687</v>
      </c>
      <c r="L1687" s="10">
        <f t="shared" si="131"/>
        <v>2659</v>
      </c>
      <c r="M1687" s="1">
        <f t="shared" si="132"/>
        <v>1</v>
      </c>
      <c r="N1687" s="1">
        <f t="shared" si="133"/>
        <v>1</v>
      </c>
      <c r="O1687" s="1" t="str">
        <f>IF(I1687=0,"UNUSED",IF(A1687="","MISSING ID",IF(K1687=0,"UNEXPECTED ID",IF(N1687&lt;&gt;1,"ID / ORDER DIFFERENCE",IF('Source build'!U1687&lt;&gt;"INCLUDED","EXCLUDED SOURCE",IF(NOT(M1687),"INVALID AMOUNT",IF('Source build'!Y1687&lt;&gt;0,"CHANGED FIELDS","MATCH")))))))</f>
        <v>MATCH</v>
      </c>
      <c r="P1687" s="1" t="str">
        <f t="shared" si="134"/>
        <v>2026-01</v>
      </c>
    </row>
    <row r="1688" spans="1:16" ht="18.95" customHeight="1">
      <c r="A1688" s="7" t="s">
        <v>4392</v>
      </c>
      <c r="B1688" s="7" t="s">
        <v>4390</v>
      </c>
      <c r="C1688" s="7" t="s">
        <v>278</v>
      </c>
      <c r="D1688" s="7" t="s">
        <v>97</v>
      </c>
      <c r="E1688" s="7" t="s">
        <v>47</v>
      </c>
      <c r="F1688" s="7" t="s">
        <v>98</v>
      </c>
      <c r="G1688" s="7" t="s">
        <v>4393</v>
      </c>
      <c r="I1688" s="1">
        <f t="shared" si="130"/>
        <v>1</v>
      </c>
      <c r="J1688" s="1" t="str">
        <f>'Source build'!A1688</f>
        <v>L01682</v>
      </c>
      <c r="K1688" s="1">
        <f>1688</f>
        <v>1688</v>
      </c>
      <c r="L1688" s="10">
        <f t="shared" si="131"/>
        <v>8088</v>
      </c>
      <c r="M1688" s="1">
        <f t="shared" si="132"/>
        <v>1</v>
      </c>
      <c r="N1688" s="1">
        <f t="shared" si="133"/>
        <v>1</v>
      </c>
      <c r="O1688" s="1" t="str">
        <f>IF(I1688=0,"UNUSED",IF(A1688="","MISSING ID",IF(K1688=0,"UNEXPECTED ID",IF(N1688&lt;&gt;1,"ID / ORDER DIFFERENCE",IF('Source build'!U1688&lt;&gt;"INCLUDED","EXCLUDED SOURCE",IF(NOT(M1688),"INVALID AMOUNT",IF('Source build'!Y1688&lt;&gt;0,"CHANGED FIELDS","MATCH")))))))</f>
        <v>MATCH</v>
      </c>
      <c r="P1688" s="1" t="str">
        <f t="shared" si="134"/>
        <v>2026-01</v>
      </c>
    </row>
    <row r="1689" spans="1:16" ht="18.95" customHeight="1">
      <c r="A1689" s="7" t="s">
        <v>4394</v>
      </c>
      <c r="B1689" s="7" t="s">
        <v>4395</v>
      </c>
      <c r="C1689" s="7" t="s">
        <v>284</v>
      </c>
      <c r="D1689" s="7" t="s">
        <v>103</v>
      </c>
      <c r="E1689" s="7" t="s">
        <v>48</v>
      </c>
      <c r="F1689" s="7" t="s">
        <v>98</v>
      </c>
      <c r="G1689" s="7" t="s">
        <v>4396</v>
      </c>
      <c r="I1689" s="1">
        <f t="shared" si="130"/>
        <v>1</v>
      </c>
      <c r="J1689" s="1" t="str">
        <f>'Source build'!A1689</f>
        <v>L01683</v>
      </c>
      <c r="K1689" s="1">
        <f>1689</f>
        <v>1689</v>
      </c>
      <c r="L1689" s="10">
        <f t="shared" si="131"/>
        <v>13665</v>
      </c>
      <c r="M1689" s="1">
        <f t="shared" si="132"/>
        <v>1</v>
      </c>
      <c r="N1689" s="1">
        <f t="shared" si="133"/>
        <v>1</v>
      </c>
      <c r="O1689" s="1" t="str">
        <f>IF(I1689=0,"UNUSED",IF(A1689="","MISSING ID",IF(K1689=0,"UNEXPECTED ID",IF(N1689&lt;&gt;1,"ID / ORDER DIFFERENCE",IF('Source build'!U1689&lt;&gt;"INCLUDED","EXCLUDED SOURCE",IF(NOT(M1689),"INVALID AMOUNT",IF('Source build'!Y1689&lt;&gt;0,"CHANGED FIELDS","MATCH")))))))</f>
        <v>MATCH</v>
      </c>
      <c r="P1689" s="1" t="str">
        <f t="shared" si="134"/>
        <v>2026-02</v>
      </c>
    </row>
    <row r="1690" spans="1:16" ht="18.95" customHeight="1">
      <c r="A1690" s="7" t="s">
        <v>4397</v>
      </c>
      <c r="B1690" s="7" t="s">
        <v>4395</v>
      </c>
      <c r="C1690" s="7" t="s">
        <v>284</v>
      </c>
      <c r="D1690" s="7" t="s">
        <v>93</v>
      </c>
      <c r="E1690" s="7" t="s">
        <v>46</v>
      </c>
      <c r="F1690" s="7" t="s">
        <v>98</v>
      </c>
      <c r="G1690" s="7" t="s">
        <v>4398</v>
      </c>
      <c r="I1690" s="1">
        <f t="shared" si="130"/>
        <v>1</v>
      </c>
      <c r="J1690" s="1" t="str">
        <f>'Source build'!A1690</f>
        <v>L01684</v>
      </c>
      <c r="K1690" s="1">
        <f>1690</f>
        <v>1690</v>
      </c>
      <c r="L1690" s="10">
        <f t="shared" si="131"/>
        <v>5540</v>
      </c>
      <c r="M1690" s="1">
        <f t="shared" si="132"/>
        <v>1</v>
      </c>
      <c r="N1690" s="1">
        <f t="shared" si="133"/>
        <v>1</v>
      </c>
      <c r="O1690" s="1" t="str">
        <f>IF(I1690=0,"UNUSED",IF(A1690="","MISSING ID",IF(K1690=0,"UNEXPECTED ID",IF(N1690&lt;&gt;1,"ID / ORDER DIFFERENCE",IF('Source build'!U1690&lt;&gt;"INCLUDED","EXCLUDED SOURCE",IF(NOT(M1690),"INVALID AMOUNT",IF('Source build'!Y1690&lt;&gt;0,"CHANGED FIELDS","MATCH")))))))</f>
        <v>MATCH</v>
      </c>
      <c r="P1690" s="1" t="str">
        <f t="shared" si="134"/>
        <v>2026-02</v>
      </c>
    </row>
    <row r="1691" spans="1:16" ht="18.95" customHeight="1">
      <c r="A1691" s="7" t="s">
        <v>4399</v>
      </c>
      <c r="B1691" s="7" t="s">
        <v>4400</v>
      </c>
      <c r="C1691" s="7" t="s">
        <v>290</v>
      </c>
      <c r="D1691" s="7" t="s">
        <v>97</v>
      </c>
      <c r="E1691" s="7" t="s">
        <v>47</v>
      </c>
      <c r="F1691" s="7" t="s">
        <v>98</v>
      </c>
      <c r="G1691" s="7" t="s">
        <v>4401</v>
      </c>
      <c r="I1691" s="1">
        <f t="shared" si="130"/>
        <v>1</v>
      </c>
      <c r="J1691" s="1" t="str">
        <f>'Source build'!A1691</f>
        <v>L01685</v>
      </c>
      <c r="K1691" s="1">
        <f>1691</f>
        <v>1691</v>
      </c>
      <c r="L1691" s="10">
        <f t="shared" si="131"/>
        <v>11228</v>
      </c>
      <c r="M1691" s="1">
        <f t="shared" si="132"/>
        <v>1</v>
      </c>
      <c r="N1691" s="1">
        <f t="shared" si="133"/>
        <v>1</v>
      </c>
      <c r="O1691" s="1" t="str">
        <f>IF(I1691=0,"UNUSED",IF(A1691="","MISSING ID",IF(K1691=0,"UNEXPECTED ID",IF(N1691&lt;&gt;1,"ID / ORDER DIFFERENCE",IF('Source build'!U1691&lt;&gt;"INCLUDED","EXCLUDED SOURCE",IF(NOT(M1691),"INVALID AMOUNT",IF('Source build'!Y1691&lt;&gt;0,"CHANGED FIELDS","MATCH")))))))</f>
        <v>MATCH</v>
      </c>
      <c r="P1691" s="1" t="str">
        <f t="shared" si="134"/>
        <v>2026-02</v>
      </c>
    </row>
    <row r="1692" spans="1:16" ht="18.95" customHeight="1">
      <c r="A1692" s="7" t="s">
        <v>4402</v>
      </c>
      <c r="B1692" s="7" t="s">
        <v>4400</v>
      </c>
      <c r="C1692" s="7" t="s">
        <v>290</v>
      </c>
      <c r="D1692" s="7" t="s">
        <v>103</v>
      </c>
      <c r="E1692" s="7" t="s">
        <v>48</v>
      </c>
      <c r="F1692" s="7" t="s">
        <v>98</v>
      </c>
      <c r="G1692" s="7" t="s">
        <v>4403</v>
      </c>
      <c r="I1692" s="1">
        <f t="shared" si="130"/>
        <v>1</v>
      </c>
      <c r="J1692" s="1" t="str">
        <f>'Source build'!A1692</f>
        <v>L01686</v>
      </c>
      <c r="K1692" s="1">
        <f>1692</f>
        <v>1692</v>
      </c>
      <c r="L1692" s="10">
        <f t="shared" si="131"/>
        <v>2844</v>
      </c>
      <c r="M1692" s="1">
        <f t="shared" si="132"/>
        <v>1</v>
      </c>
      <c r="N1692" s="1">
        <f t="shared" si="133"/>
        <v>1</v>
      </c>
      <c r="O1692" s="1" t="str">
        <f>IF(I1692=0,"UNUSED",IF(A1692="","MISSING ID",IF(K1692=0,"UNEXPECTED ID",IF(N1692&lt;&gt;1,"ID / ORDER DIFFERENCE",IF('Source build'!U1692&lt;&gt;"INCLUDED","EXCLUDED SOURCE",IF(NOT(M1692),"INVALID AMOUNT",IF('Source build'!Y1692&lt;&gt;0,"CHANGED FIELDS","MATCH")))))))</f>
        <v>MATCH</v>
      </c>
      <c r="P1692" s="1" t="str">
        <f t="shared" si="134"/>
        <v>2026-02</v>
      </c>
    </row>
    <row r="1693" spans="1:16" ht="18.95" customHeight="1">
      <c r="A1693" s="7" t="s">
        <v>4404</v>
      </c>
      <c r="B1693" s="7" t="s">
        <v>4405</v>
      </c>
      <c r="C1693" s="7" t="s">
        <v>296</v>
      </c>
      <c r="D1693" s="7" t="s">
        <v>93</v>
      </c>
      <c r="E1693" s="7" t="s">
        <v>46</v>
      </c>
      <c r="F1693" s="7" t="s">
        <v>98</v>
      </c>
      <c r="G1693" s="7" t="s">
        <v>4406</v>
      </c>
      <c r="I1693" s="1">
        <f t="shared" si="130"/>
        <v>1</v>
      </c>
      <c r="J1693" s="1" t="str">
        <f>'Source build'!A1693</f>
        <v>L01687</v>
      </c>
      <c r="K1693" s="1">
        <f>1693</f>
        <v>1693</v>
      </c>
      <c r="L1693" s="10">
        <f t="shared" si="131"/>
        <v>8643</v>
      </c>
      <c r="M1693" s="1">
        <f t="shared" si="132"/>
        <v>1</v>
      </c>
      <c r="N1693" s="1">
        <f t="shared" si="133"/>
        <v>1</v>
      </c>
      <c r="O1693" s="1" t="str">
        <f>IF(I1693=0,"UNUSED",IF(A1693="","MISSING ID",IF(K1693=0,"UNEXPECTED ID",IF(N1693&lt;&gt;1,"ID / ORDER DIFFERENCE",IF('Source build'!U1693&lt;&gt;"INCLUDED","EXCLUDED SOURCE",IF(NOT(M1693),"INVALID AMOUNT",IF('Source build'!Y1693&lt;&gt;0,"CHANGED FIELDS","MATCH")))))))</f>
        <v>MATCH</v>
      </c>
      <c r="P1693" s="1" t="str">
        <f t="shared" si="134"/>
        <v>2026-02</v>
      </c>
    </row>
    <row r="1694" spans="1:16" ht="18.95" customHeight="1">
      <c r="A1694" s="7" t="s">
        <v>4407</v>
      </c>
      <c r="B1694" s="7" t="s">
        <v>4405</v>
      </c>
      <c r="C1694" s="7" t="s">
        <v>296</v>
      </c>
      <c r="D1694" s="7" t="s">
        <v>97</v>
      </c>
      <c r="E1694" s="7" t="s">
        <v>47</v>
      </c>
      <c r="F1694" s="7" t="s">
        <v>98</v>
      </c>
      <c r="G1694" s="7" t="s">
        <v>1461</v>
      </c>
      <c r="I1694" s="1">
        <f t="shared" si="130"/>
        <v>1</v>
      </c>
      <c r="J1694" s="1" t="str">
        <f>'Source build'!A1694</f>
        <v>L01688</v>
      </c>
      <c r="K1694" s="1">
        <f>1694</f>
        <v>1694</v>
      </c>
      <c r="L1694" s="10">
        <f t="shared" si="131"/>
        <v>14590</v>
      </c>
      <c r="M1694" s="1">
        <f t="shared" si="132"/>
        <v>1</v>
      </c>
      <c r="N1694" s="1">
        <f t="shared" si="133"/>
        <v>1</v>
      </c>
      <c r="O1694" s="1" t="str">
        <f>IF(I1694=0,"UNUSED",IF(A1694="","MISSING ID",IF(K1694=0,"UNEXPECTED ID",IF(N1694&lt;&gt;1,"ID / ORDER DIFFERENCE",IF('Source build'!U1694&lt;&gt;"INCLUDED","EXCLUDED SOURCE",IF(NOT(M1694),"INVALID AMOUNT",IF('Source build'!Y1694&lt;&gt;0,"CHANGED FIELDS","MATCH")))))))</f>
        <v>MATCH</v>
      </c>
      <c r="P1694" s="1" t="str">
        <f t="shared" si="134"/>
        <v>2026-02</v>
      </c>
    </row>
    <row r="1695" spans="1:16" ht="18.95" customHeight="1">
      <c r="A1695" s="7" t="s">
        <v>4408</v>
      </c>
      <c r="B1695" s="7" t="s">
        <v>4409</v>
      </c>
      <c r="C1695" s="7" t="s">
        <v>302</v>
      </c>
      <c r="D1695" s="7" t="s">
        <v>103</v>
      </c>
      <c r="E1695" s="7" t="s">
        <v>48</v>
      </c>
      <c r="F1695" s="7" t="s">
        <v>98</v>
      </c>
      <c r="G1695" s="7" t="s">
        <v>4410</v>
      </c>
      <c r="I1695" s="1">
        <f t="shared" si="130"/>
        <v>1</v>
      </c>
      <c r="J1695" s="1" t="str">
        <f>'Source build'!A1695</f>
        <v>L01689</v>
      </c>
      <c r="K1695" s="1">
        <f>1695</f>
        <v>1695</v>
      </c>
      <c r="L1695" s="10">
        <f t="shared" si="131"/>
        <v>5910</v>
      </c>
      <c r="M1695" s="1">
        <f t="shared" si="132"/>
        <v>1</v>
      </c>
      <c r="N1695" s="1">
        <f t="shared" si="133"/>
        <v>1</v>
      </c>
      <c r="O1695" s="1" t="str">
        <f>IF(I1695=0,"UNUSED",IF(A1695="","MISSING ID",IF(K1695=0,"UNEXPECTED ID",IF(N1695&lt;&gt;1,"ID / ORDER DIFFERENCE",IF('Source build'!U1695&lt;&gt;"INCLUDED","EXCLUDED SOURCE",IF(NOT(M1695),"INVALID AMOUNT",IF('Source build'!Y1695&lt;&gt;0,"CHANGED FIELDS","MATCH")))))))</f>
        <v>MATCH</v>
      </c>
      <c r="P1695" s="1" t="str">
        <f t="shared" si="134"/>
        <v>2026-02</v>
      </c>
    </row>
    <row r="1696" spans="1:16" ht="18.95" customHeight="1">
      <c r="A1696" s="7" t="s">
        <v>4411</v>
      </c>
      <c r="B1696" s="7" t="s">
        <v>4409</v>
      </c>
      <c r="C1696" s="7" t="s">
        <v>302</v>
      </c>
      <c r="D1696" s="7" t="s">
        <v>93</v>
      </c>
      <c r="E1696" s="7" t="s">
        <v>46</v>
      </c>
      <c r="F1696" s="7" t="s">
        <v>98</v>
      </c>
      <c r="G1696" s="7" t="s">
        <v>4412</v>
      </c>
      <c r="I1696" s="1">
        <f t="shared" si="130"/>
        <v>1</v>
      </c>
      <c r="J1696" s="1" t="str">
        <f>'Source build'!A1696</f>
        <v>L01690</v>
      </c>
      <c r="K1696" s="1">
        <f>1696</f>
        <v>1696</v>
      </c>
      <c r="L1696" s="10">
        <f t="shared" si="131"/>
        <v>11968</v>
      </c>
      <c r="M1696" s="1">
        <f t="shared" si="132"/>
        <v>1</v>
      </c>
      <c r="N1696" s="1">
        <f t="shared" si="133"/>
        <v>1</v>
      </c>
      <c r="O1696" s="1" t="str">
        <f>IF(I1696=0,"UNUSED",IF(A1696="","MISSING ID",IF(K1696=0,"UNEXPECTED ID",IF(N1696&lt;&gt;1,"ID / ORDER DIFFERENCE",IF('Source build'!U1696&lt;&gt;"INCLUDED","EXCLUDED SOURCE",IF(NOT(M1696),"INVALID AMOUNT",IF('Source build'!Y1696&lt;&gt;0,"CHANGED FIELDS","MATCH")))))))</f>
        <v>MATCH</v>
      </c>
      <c r="P1696" s="1" t="str">
        <f t="shared" si="134"/>
        <v>2026-02</v>
      </c>
    </row>
    <row r="1697" spans="1:16" ht="18.95" customHeight="1">
      <c r="A1697" s="7" t="s">
        <v>4413</v>
      </c>
      <c r="B1697" s="7" t="s">
        <v>4414</v>
      </c>
      <c r="C1697" s="7" t="s">
        <v>308</v>
      </c>
      <c r="D1697" s="7" t="s">
        <v>97</v>
      </c>
      <c r="E1697" s="7" t="s">
        <v>47</v>
      </c>
      <c r="F1697" s="7" t="s">
        <v>98</v>
      </c>
      <c r="G1697" s="7" t="s">
        <v>4415</v>
      </c>
      <c r="I1697" s="1">
        <f t="shared" si="130"/>
        <v>1</v>
      </c>
      <c r="J1697" s="1" t="str">
        <f>'Source build'!A1697</f>
        <v>L01691</v>
      </c>
      <c r="K1697" s="1">
        <f>1697</f>
        <v>1697</v>
      </c>
      <c r="L1697" s="10">
        <f t="shared" si="131"/>
        <v>3029</v>
      </c>
      <c r="M1697" s="1">
        <f t="shared" si="132"/>
        <v>1</v>
      </c>
      <c r="N1697" s="1">
        <f t="shared" si="133"/>
        <v>1</v>
      </c>
      <c r="O1697" s="1" t="str">
        <f>IF(I1697=0,"UNUSED",IF(A1697="","MISSING ID",IF(K1697=0,"UNEXPECTED ID",IF(N1697&lt;&gt;1,"ID / ORDER DIFFERENCE",IF('Source build'!U1697&lt;&gt;"INCLUDED","EXCLUDED SOURCE",IF(NOT(M1697),"INVALID AMOUNT",IF('Source build'!Y1697&lt;&gt;0,"CHANGED FIELDS","MATCH")))))))</f>
        <v>MATCH</v>
      </c>
      <c r="P1697" s="1" t="str">
        <f t="shared" si="134"/>
        <v>2026-03</v>
      </c>
    </row>
    <row r="1698" spans="1:16" ht="18.95" customHeight="1">
      <c r="A1698" s="7" t="s">
        <v>4416</v>
      </c>
      <c r="B1698" s="7" t="s">
        <v>4414</v>
      </c>
      <c r="C1698" s="7" t="s">
        <v>308</v>
      </c>
      <c r="D1698" s="7" t="s">
        <v>103</v>
      </c>
      <c r="E1698" s="7" t="s">
        <v>48</v>
      </c>
      <c r="F1698" s="7" t="s">
        <v>98</v>
      </c>
      <c r="G1698" s="7" t="s">
        <v>4417</v>
      </c>
      <c r="I1698" s="1">
        <f t="shared" si="130"/>
        <v>1</v>
      </c>
      <c r="J1698" s="1" t="str">
        <f>'Source build'!A1698</f>
        <v>L01692</v>
      </c>
      <c r="K1698" s="1">
        <f>1698</f>
        <v>1698</v>
      </c>
      <c r="L1698" s="10">
        <f t="shared" si="131"/>
        <v>9198</v>
      </c>
      <c r="M1698" s="1">
        <f t="shared" si="132"/>
        <v>1</v>
      </c>
      <c r="N1698" s="1">
        <f t="shared" si="133"/>
        <v>1</v>
      </c>
      <c r="O1698" s="1" t="str">
        <f>IF(I1698=0,"UNUSED",IF(A1698="","MISSING ID",IF(K1698=0,"UNEXPECTED ID",IF(N1698&lt;&gt;1,"ID / ORDER DIFFERENCE",IF('Source build'!U1698&lt;&gt;"INCLUDED","EXCLUDED SOURCE",IF(NOT(M1698),"INVALID AMOUNT",IF('Source build'!Y1698&lt;&gt;0,"CHANGED FIELDS","MATCH")))))))</f>
        <v>MATCH</v>
      </c>
      <c r="P1698" s="1" t="str">
        <f t="shared" si="134"/>
        <v>2026-03</v>
      </c>
    </row>
    <row r="1699" spans="1:16" ht="18.95" customHeight="1">
      <c r="A1699" s="7" t="s">
        <v>4418</v>
      </c>
      <c r="B1699" s="7" t="s">
        <v>4419</v>
      </c>
      <c r="C1699" s="7" t="s">
        <v>314</v>
      </c>
      <c r="D1699" s="7" t="s">
        <v>93</v>
      </c>
      <c r="E1699" s="7" t="s">
        <v>46</v>
      </c>
      <c r="F1699" s="7" t="s">
        <v>98</v>
      </c>
      <c r="G1699" s="7" t="s">
        <v>4420</v>
      </c>
      <c r="I1699" s="1">
        <f t="shared" si="130"/>
        <v>1</v>
      </c>
      <c r="J1699" s="1" t="str">
        <f>'Source build'!A1699</f>
        <v>L01693</v>
      </c>
      <c r="K1699" s="1">
        <f>1699</f>
        <v>1699</v>
      </c>
      <c r="L1699" s="10">
        <f t="shared" si="131"/>
        <v>15515</v>
      </c>
      <c r="M1699" s="1">
        <f t="shared" si="132"/>
        <v>1</v>
      </c>
      <c r="N1699" s="1">
        <f t="shared" si="133"/>
        <v>1</v>
      </c>
      <c r="O1699" s="1" t="str">
        <f>IF(I1699=0,"UNUSED",IF(A1699="","MISSING ID",IF(K1699=0,"UNEXPECTED ID",IF(N1699&lt;&gt;1,"ID / ORDER DIFFERENCE",IF('Source build'!U1699&lt;&gt;"INCLUDED","EXCLUDED SOURCE",IF(NOT(M1699),"INVALID AMOUNT",IF('Source build'!Y1699&lt;&gt;0,"CHANGED FIELDS","MATCH")))))))</f>
        <v>MATCH</v>
      </c>
      <c r="P1699" s="1" t="str">
        <f t="shared" si="134"/>
        <v>2026-03</v>
      </c>
    </row>
    <row r="1700" spans="1:16" ht="18.95" customHeight="1">
      <c r="A1700" s="7" t="s">
        <v>4421</v>
      </c>
      <c r="B1700" s="7" t="s">
        <v>4419</v>
      </c>
      <c r="C1700" s="7" t="s">
        <v>314</v>
      </c>
      <c r="D1700" s="7" t="s">
        <v>97</v>
      </c>
      <c r="E1700" s="7" t="s">
        <v>47</v>
      </c>
      <c r="F1700" s="7" t="s">
        <v>98</v>
      </c>
      <c r="G1700" s="7" t="s">
        <v>4422</v>
      </c>
      <c r="I1700" s="1">
        <f t="shared" si="130"/>
        <v>1</v>
      </c>
      <c r="J1700" s="1" t="str">
        <f>'Source build'!A1700</f>
        <v>L01694</v>
      </c>
      <c r="K1700" s="1">
        <f>1700</f>
        <v>1700</v>
      </c>
      <c r="L1700" s="10">
        <f t="shared" si="131"/>
        <v>6280</v>
      </c>
      <c r="M1700" s="1">
        <f t="shared" si="132"/>
        <v>1</v>
      </c>
      <c r="N1700" s="1">
        <f t="shared" si="133"/>
        <v>1</v>
      </c>
      <c r="O1700" s="1" t="str">
        <f>IF(I1700=0,"UNUSED",IF(A1700="","MISSING ID",IF(K1700=0,"UNEXPECTED ID",IF(N1700&lt;&gt;1,"ID / ORDER DIFFERENCE",IF('Source build'!U1700&lt;&gt;"INCLUDED","EXCLUDED SOURCE",IF(NOT(M1700),"INVALID AMOUNT",IF('Source build'!Y1700&lt;&gt;0,"CHANGED FIELDS","MATCH")))))))</f>
        <v>MATCH</v>
      </c>
      <c r="P1700" s="1" t="str">
        <f t="shared" si="134"/>
        <v>2026-03</v>
      </c>
    </row>
    <row r="1701" spans="1:16" ht="18.95" customHeight="1">
      <c r="A1701" s="7" t="s">
        <v>4423</v>
      </c>
      <c r="B1701" s="7" t="s">
        <v>4424</v>
      </c>
      <c r="C1701" s="7" t="s">
        <v>320</v>
      </c>
      <c r="D1701" s="7" t="s">
        <v>103</v>
      </c>
      <c r="E1701" s="7" t="s">
        <v>48</v>
      </c>
      <c r="F1701" s="7" t="s">
        <v>98</v>
      </c>
      <c r="G1701" s="7" t="s">
        <v>401</v>
      </c>
      <c r="I1701" s="1">
        <f t="shared" si="130"/>
        <v>1</v>
      </c>
      <c r="J1701" s="1" t="str">
        <f>'Source build'!A1701</f>
        <v>L01695</v>
      </c>
      <c r="K1701" s="1">
        <f>1701</f>
        <v>1701</v>
      </c>
      <c r="L1701" s="10">
        <f t="shared" si="131"/>
        <v>12708</v>
      </c>
      <c r="M1701" s="1">
        <f t="shared" si="132"/>
        <v>1</v>
      </c>
      <c r="N1701" s="1">
        <f t="shared" si="133"/>
        <v>1</v>
      </c>
      <c r="O1701" s="1" t="str">
        <f>IF(I1701=0,"UNUSED",IF(A1701="","MISSING ID",IF(K1701=0,"UNEXPECTED ID",IF(N1701&lt;&gt;1,"ID / ORDER DIFFERENCE",IF('Source build'!U1701&lt;&gt;"INCLUDED","EXCLUDED SOURCE",IF(NOT(M1701),"INVALID AMOUNT",IF('Source build'!Y1701&lt;&gt;0,"CHANGED FIELDS","MATCH")))))))</f>
        <v>MATCH</v>
      </c>
      <c r="P1701" s="1" t="str">
        <f t="shared" si="134"/>
        <v>2026-03</v>
      </c>
    </row>
    <row r="1702" spans="1:16" ht="18.95" customHeight="1">
      <c r="A1702" s="7" t="s">
        <v>4425</v>
      </c>
      <c r="B1702" s="7" t="s">
        <v>4424</v>
      </c>
      <c r="C1702" s="7" t="s">
        <v>320</v>
      </c>
      <c r="D1702" s="7" t="s">
        <v>93</v>
      </c>
      <c r="E1702" s="7" t="s">
        <v>46</v>
      </c>
      <c r="F1702" s="7" t="s">
        <v>98</v>
      </c>
      <c r="G1702" s="7" t="s">
        <v>4426</v>
      </c>
      <c r="I1702" s="1">
        <f t="shared" si="130"/>
        <v>1</v>
      </c>
      <c r="J1702" s="1" t="str">
        <f>'Source build'!A1702</f>
        <v>L01696</v>
      </c>
      <c r="K1702" s="1">
        <f>1702</f>
        <v>1702</v>
      </c>
      <c r="L1702" s="10">
        <f t="shared" si="131"/>
        <v>3214</v>
      </c>
      <c r="M1702" s="1">
        <f t="shared" si="132"/>
        <v>1</v>
      </c>
      <c r="N1702" s="1">
        <f t="shared" si="133"/>
        <v>1</v>
      </c>
      <c r="O1702" s="1" t="str">
        <f>IF(I1702=0,"UNUSED",IF(A1702="","MISSING ID",IF(K1702=0,"UNEXPECTED ID",IF(N1702&lt;&gt;1,"ID / ORDER DIFFERENCE",IF('Source build'!U1702&lt;&gt;"INCLUDED","EXCLUDED SOURCE",IF(NOT(M1702),"INVALID AMOUNT",IF('Source build'!Y1702&lt;&gt;0,"CHANGED FIELDS","MATCH")))))))</f>
        <v>MATCH</v>
      </c>
      <c r="P1702" s="1" t="str">
        <f t="shared" si="134"/>
        <v>2026-03</v>
      </c>
    </row>
    <row r="1703" spans="1:16" ht="18.95" customHeight="1">
      <c r="A1703" s="7" t="s">
        <v>4427</v>
      </c>
      <c r="B1703" s="7" t="s">
        <v>4428</v>
      </c>
      <c r="C1703" s="7" t="s">
        <v>326</v>
      </c>
      <c r="D1703" s="7" t="s">
        <v>97</v>
      </c>
      <c r="E1703" s="7" t="s">
        <v>47</v>
      </c>
      <c r="F1703" s="7" t="s">
        <v>98</v>
      </c>
      <c r="G1703" s="7" t="s">
        <v>4429</v>
      </c>
      <c r="I1703" s="1">
        <f t="shared" si="130"/>
        <v>1</v>
      </c>
      <c r="J1703" s="1" t="str">
        <f>'Source build'!A1703</f>
        <v>L01697</v>
      </c>
      <c r="K1703" s="1">
        <f>1703</f>
        <v>1703</v>
      </c>
      <c r="L1703" s="10">
        <f t="shared" si="131"/>
        <v>9753</v>
      </c>
      <c r="M1703" s="1">
        <f t="shared" si="132"/>
        <v>1</v>
      </c>
      <c r="N1703" s="1">
        <f t="shared" si="133"/>
        <v>1</v>
      </c>
      <c r="O1703" s="1" t="str">
        <f>IF(I1703=0,"UNUSED",IF(A1703="","MISSING ID",IF(K1703=0,"UNEXPECTED ID",IF(N1703&lt;&gt;1,"ID / ORDER DIFFERENCE",IF('Source build'!U1703&lt;&gt;"INCLUDED","EXCLUDED SOURCE",IF(NOT(M1703),"INVALID AMOUNT",IF('Source build'!Y1703&lt;&gt;0,"CHANGED FIELDS","MATCH")))))))</f>
        <v>MATCH</v>
      </c>
      <c r="P1703" s="1" t="str">
        <f t="shared" si="134"/>
        <v>2026-03</v>
      </c>
    </row>
    <row r="1704" spans="1:16" ht="18.95" customHeight="1">
      <c r="A1704" s="7" t="s">
        <v>4430</v>
      </c>
      <c r="B1704" s="7" t="s">
        <v>4428</v>
      </c>
      <c r="C1704" s="7" t="s">
        <v>326</v>
      </c>
      <c r="D1704" s="7" t="s">
        <v>103</v>
      </c>
      <c r="E1704" s="7" t="s">
        <v>48</v>
      </c>
      <c r="F1704" s="7" t="s">
        <v>98</v>
      </c>
      <c r="G1704" s="7" t="s">
        <v>1523</v>
      </c>
      <c r="I1704" s="1">
        <f t="shared" si="130"/>
        <v>1</v>
      </c>
      <c r="J1704" s="1" t="str">
        <f>'Source build'!A1704</f>
        <v>L01698</v>
      </c>
      <c r="K1704" s="1">
        <f>1704</f>
        <v>1704</v>
      </c>
      <c r="L1704" s="10">
        <f t="shared" si="131"/>
        <v>16440</v>
      </c>
      <c r="M1704" s="1">
        <f t="shared" si="132"/>
        <v>1</v>
      </c>
      <c r="N1704" s="1">
        <f t="shared" si="133"/>
        <v>1</v>
      </c>
      <c r="O1704" s="1" t="str">
        <f>IF(I1704=0,"UNUSED",IF(A1704="","MISSING ID",IF(K1704=0,"UNEXPECTED ID",IF(N1704&lt;&gt;1,"ID / ORDER DIFFERENCE",IF('Source build'!U1704&lt;&gt;"INCLUDED","EXCLUDED SOURCE",IF(NOT(M1704),"INVALID AMOUNT",IF('Source build'!Y1704&lt;&gt;0,"CHANGED FIELDS","MATCH")))))))</f>
        <v>MATCH</v>
      </c>
      <c r="P1704" s="1" t="str">
        <f t="shared" si="134"/>
        <v>2026-03</v>
      </c>
    </row>
    <row r="1705" spans="1:16" ht="18.95" customHeight="1">
      <c r="A1705" s="7" t="s">
        <v>4431</v>
      </c>
      <c r="B1705" s="7" t="s">
        <v>4432</v>
      </c>
      <c r="C1705" s="7" t="s">
        <v>332</v>
      </c>
      <c r="D1705" s="7" t="s">
        <v>93</v>
      </c>
      <c r="E1705" s="7" t="s">
        <v>46</v>
      </c>
      <c r="F1705" s="7" t="s">
        <v>98</v>
      </c>
      <c r="G1705" s="7" t="s">
        <v>4433</v>
      </c>
      <c r="I1705" s="1">
        <f t="shared" si="130"/>
        <v>1</v>
      </c>
      <c r="J1705" s="1" t="str">
        <f>'Source build'!A1705</f>
        <v>L01699</v>
      </c>
      <c r="K1705" s="1">
        <f>1705</f>
        <v>1705</v>
      </c>
      <c r="L1705" s="10">
        <f t="shared" si="131"/>
        <v>6650</v>
      </c>
      <c r="M1705" s="1">
        <f t="shared" si="132"/>
        <v>1</v>
      </c>
      <c r="N1705" s="1">
        <f t="shared" si="133"/>
        <v>1</v>
      </c>
      <c r="O1705" s="1" t="str">
        <f>IF(I1705=0,"UNUSED",IF(A1705="","MISSING ID",IF(K1705=0,"UNEXPECTED ID",IF(N1705&lt;&gt;1,"ID / ORDER DIFFERENCE",IF('Source build'!U1705&lt;&gt;"INCLUDED","EXCLUDED SOURCE",IF(NOT(M1705),"INVALID AMOUNT",IF('Source build'!Y1705&lt;&gt;0,"CHANGED FIELDS","MATCH")))))))</f>
        <v>MATCH</v>
      </c>
      <c r="P1705" s="1" t="str">
        <f t="shared" si="134"/>
        <v>2026-01</v>
      </c>
    </row>
    <row r="1706" spans="1:16" ht="18.95" customHeight="1">
      <c r="A1706" s="7" t="s">
        <v>4434</v>
      </c>
      <c r="B1706" s="7" t="s">
        <v>4432</v>
      </c>
      <c r="C1706" s="7" t="s">
        <v>332</v>
      </c>
      <c r="D1706" s="7" t="s">
        <v>97</v>
      </c>
      <c r="E1706" s="7" t="s">
        <v>47</v>
      </c>
      <c r="F1706" s="7" t="s">
        <v>98</v>
      </c>
      <c r="G1706" s="7" t="s">
        <v>4435</v>
      </c>
      <c r="I1706" s="1">
        <f t="shared" si="130"/>
        <v>1</v>
      </c>
      <c r="J1706" s="1" t="str">
        <f>'Source build'!A1706</f>
        <v>L01700</v>
      </c>
      <c r="K1706" s="1">
        <f>1706</f>
        <v>1706</v>
      </c>
      <c r="L1706" s="10">
        <f t="shared" si="131"/>
        <v>13448</v>
      </c>
      <c r="M1706" s="1">
        <f t="shared" si="132"/>
        <v>1</v>
      </c>
      <c r="N1706" s="1">
        <f t="shared" si="133"/>
        <v>1</v>
      </c>
      <c r="O1706" s="1" t="str">
        <f>IF(I1706=0,"UNUSED",IF(A1706="","MISSING ID",IF(K1706=0,"UNEXPECTED ID",IF(N1706&lt;&gt;1,"ID / ORDER DIFFERENCE",IF('Source build'!U1706&lt;&gt;"INCLUDED","EXCLUDED SOURCE",IF(NOT(M1706),"INVALID AMOUNT",IF('Source build'!Y1706&lt;&gt;0,"CHANGED FIELDS","MATCH")))))))</f>
        <v>MATCH</v>
      </c>
      <c r="P1706" s="1" t="str">
        <f t="shared" si="134"/>
        <v>2026-01</v>
      </c>
    </row>
    <row r="1707" spans="1:16" ht="18.95" customHeight="1">
      <c r="A1707" s="7" t="s">
        <v>4436</v>
      </c>
      <c r="B1707" s="7" t="s">
        <v>4437</v>
      </c>
      <c r="C1707" s="7" t="s">
        <v>338</v>
      </c>
      <c r="D1707" s="7" t="s">
        <v>103</v>
      </c>
      <c r="E1707" s="7" t="s">
        <v>48</v>
      </c>
      <c r="F1707" s="7" t="s">
        <v>98</v>
      </c>
      <c r="G1707" s="7" t="s">
        <v>4438</v>
      </c>
      <c r="I1707" s="1">
        <f t="shared" si="130"/>
        <v>1</v>
      </c>
      <c r="J1707" s="1" t="str">
        <f>'Source build'!A1707</f>
        <v>L01701</v>
      </c>
      <c r="K1707" s="1">
        <f>1707</f>
        <v>1707</v>
      </c>
      <c r="L1707" s="10">
        <f t="shared" si="131"/>
        <v>3399</v>
      </c>
      <c r="M1707" s="1">
        <f t="shared" si="132"/>
        <v>1</v>
      </c>
      <c r="N1707" s="1">
        <f t="shared" si="133"/>
        <v>1</v>
      </c>
      <c r="O1707" s="1" t="str">
        <f>IF(I1707=0,"UNUSED",IF(A1707="","MISSING ID",IF(K1707=0,"UNEXPECTED ID",IF(N1707&lt;&gt;1,"ID / ORDER DIFFERENCE",IF('Source build'!U1707&lt;&gt;"INCLUDED","EXCLUDED SOURCE",IF(NOT(M1707),"INVALID AMOUNT",IF('Source build'!Y1707&lt;&gt;0,"CHANGED FIELDS","MATCH")))))))</f>
        <v>MATCH</v>
      </c>
      <c r="P1707" s="1" t="str">
        <f t="shared" si="134"/>
        <v>2026-01</v>
      </c>
    </row>
    <row r="1708" spans="1:16" ht="18.95" customHeight="1">
      <c r="A1708" s="7" t="s">
        <v>4439</v>
      </c>
      <c r="B1708" s="7" t="s">
        <v>4437</v>
      </c>
      <c r="C1708" s="7" t="s">
        <v>338</v>
      </c>
      <c r="D1708" s="7" t="s">
        <v>93</v>
      </c>
      <c r="E1708" s="7" t="s">
        <v>46</v>
      </c>
      <c r="F1708" s="7" t="s">
        <v>98</v>
      </c>
      <c r="G1708" s="7" t="s">
        <v>4440</v>
      </c>
      <c r="I1708" s="1">
        <f t="shared" si="130"/>
        <v>1</v>
      </c>
      <c r="J1708" s="1" t="str">
        <f>'Source build'!A1708</f>
        <v>L01702</v>
      </c>
      <c r="K1708" s="1">
        <f>1708</f>
        <v>1708</v>
      </c>
      <c r="L1708" s="10">
        <f t="shared" si="131"/>
        <v>10308</v>
      </c>
      <c r="M1708" s="1">
        <f t="shared" si="132"/>
        <v>1</v>
      </c>
      <c r="N1708" s="1">
        <f t="shared" si="133"/>
        <v>1</v>
      </c>
      <c r="O1708" s="1" t="str">
        <f>IF(I1708=0,"UNUSED",IF(A1708="","MISSING ID",IF(K1708=0,"UNEXPECTED ID",IF(N1708&lt;&gt;1,"ID / ORDER DIFFERENCE",IF('Source build'!U1708&lt;&gt;"INCLUDED","EXCLUDED SOURCE",IF(NOT(M1708),"INVALID AMOUNT",IF('Source build'!Y1708&lt;&gt;0,"CHANGED FIELDS","MATCH")))))))</f>
        <v>MATCH</v>
      </c>
      <c r="P1708" s="1" t="str">
        <f t="shared" si="134"/>
        <v>2026-01</v>
      </c>
    </row>
    <row r="1709" spans="1:16" ht="18.95" customHeight="1">
      <c r="A1709" s="7" t="s">
        <v>4441</v>
      </c>
      <c r="B1709" s="7" t="s">
        <v>4442</v>
      </c>
      <c r="C1709" s="7" t="s">
        <v>344</v>
      </c>
      <c r="D1709" s="7" t="s">
        <v>97</v>
      </c>
      <c r="E1709" s="7" t="s">
        <v>47</v>
      </c>
      <c r="F1709" s="7" t="s">
        <v>94</v>
      </c>
      <c r="G1709" s="7" t="s">
        <v>4443</v>
      </c>
      <c r="I1709" s="1">
        <f t="shared" si="130"/>
        <v>1</v>
      </c>
      <c r="J1709" s="1" t="str">
        <f>'Source build'!A1709</f>
        <v>L01703</v>
      </c>
      <c r="K1709" s="1">
        <f>1709</f>
        <v>1709</v>
      </c>
      <c r="L1709" s="10">
        <f t="shared" si="131"/>
        <v>-17365</v>
      </c>
      <c r="M1709" s="1">
        <f t="shared" si="132"/>
        <v>1</v>
      </c>
      <c r="N1709" s="1">
        <f t="shared" si="133"/>
        <v>1</v>
      </c>
      <c r="O1709" s="1" t="str">
        <f>IF(I1709=0,"UNUSED",IF(A1709="","MISSING ID",IF(K1709=0,"UNEXPECTED ID",IF(N1709&lt;&gt;1,"ID / ORDER DIFFERENCE",IF('Source build'!U1709&lt;&gt;"INCLUDED","EXCLUDED SOURCE",IF(NOT(M1709),"INVALID AMOUNT",IF('Source build'!Y1709&lt;&gt;0,"CHANGED FIELDS","MATCH")))))))</f>
        <v>MATCH</v>
      </c>
      <c r="P1709" s="1" t="str">
        <f t="shared" si="134"/>
        <v>2026-01</v>
      </c>
    </row>
    <row r="1710" spans="1:16" ht="18.95" customHeight="1">
      <c r="A1710" s="7" t="s">
        <v>4444</v>
      </c>
      <c r="B1710" s="7" t="s">
        <v>4442</v>
      </c>
      <c r="C1710" s="7" t="s">
        <v>344</v>
      </c>
      <c r="D1710" s="7" t="s">
        <v>103</v>
      </c>
      <c r="E1710" s="7" t="s">
        <v>48</v>
      </c>
      <c r="F1710" s="7" t="s">
        <v>98</v>
      </c>
      <c r="G1710" s="7" t="s">
        <v>4445</v>
      </c>
      <c r="I1710" s="1">
        <f t="shared" si="130"/>
        <v>1</v>
      </c>
      <c r="J1710" s="1" t="str">
        <f>'Source build'!A1710</f>
        <v>L01704</v>
      </c>
      <c r="K1710" s="1">
        <f>1710</f>
        <v>1710</v>
      </c>
      <c r="L1710" s="10">
        <f t="shared" si="131"/>
        <v>7020</v>
      </c>
      <c r="M1710" s="1">
        <f t="shared" si="132"/>
        <v>1</v>
      </c>
      <c r="N1710" s="1">
        <f t="shared" si="133"/>
        <v>1</v>
      </c>
      <c r="O1710" s="1" t="str">
        <f>IF(I1710=0,"UNUSED",IF(A1710="","MISSING ID",IF(K1710=0,"UNEXPECTED ID",IF(N1710&lt;&gt;1,"ID / ORDER DIFFERENCE",IF('Source build'!U1710&lt;&gt;"INCLUDED","EXCLUDED SOURCE",IF(NOT(M1710),"INVALID AMOUNT",IF('Source build'!Y1710&lt;&gt;0,"CHANGED FIELDS","MATCH")))))))</f>
        <v>MATCH</v>
      </c>
      <c r="P1710" s="1" t="str">
        <f t="shared" si="134"/>
        <v>2026-01</v>
      </c>
    </row>
    <row r="1711" spans="1:16" ht="18.95" customHeight="1">
      <c r="A1711" s="7" t="s">
        <v>4446</v>
      </c>
      <c r="B1711" s="7" t="s">
        <v>4447</v>
      </c>
      <c r="C1711" s="7" t="s">
        <v>350</v>
      </c>
      <c r="D1711" s="7" t="s">
        <v>93</v>
      </c>
      <c r="E1711" s="7" t="s">
        <v>46</v>
      </c>
      <c r="F1711" s="7" t="s">
        <v>98</v>
      </c>
      <c r="G1711" s="7" t="s">
        <v>4448</v>
      </c>
      <c r="I1711" s="1">
        <f t="shared" si="130"/>
        <v>1</v>
      </c>
      <c r="J1711" s="1" t="str">
        <f>'Source build'!A1711</f>
        <v>L01705</v>
      </c>
      <c r="K1711" s="1">
        <f>1711</f>
        <v>1711</v>
      </c>
      <c r="L1711" s="10">
        <f t="shared" si="131"/>
        <v>14188</v>
      </c>
      <c r="M1711" s="1">
        <f t="shared" si="132"/>
        <v>1</v>
      </c>
      <c r="N1711" s="1">
        <f t="shared" si="133"/>
        <v>1</v>
      </c>
      <c r="O1711" s="1" t="str">
        <f>IF(I1711=0,"UNUSED",IF(A1711="","MISSING ID",IF(K1711=0,"UNEXPECTED ID",IF(N1711&lt;&gt;1,"ID / ORDER DIFFERENCE",IF('Source build'!U1711&lt;&gt;"INCLUDED","EXCLUDED SOURCE",IF(NOT(M1711),"INVALID AMOUNT",IF('Source build'!Y1711&lt;&gt;0,"CHANGED FIELDS","MATCH")))))))</f>
        <v>MATCH</v>
      </c>
      <c r="P1711" s="1" t="str">
        <f t="shared" si="134"/>
        <v>2026-01</v>
      </c>
    </row>
    <row r="1712" spans="1:16" ht="18.95" customHeight="1">
      <c r="A1712" s="7" t="s">
        <v>4449</v>
      </c>
      <c r="B1712" s="7" t="s">
        <v>4447</v>
      </c>
      <c r="C1712" s="7" t="s">
        <v>350</v>
      </c>
      <c r="D1712" s="7" t="s">
        <v>97</v>
      </c>
      <c r="E1712" s="7" t="s">
        <v>47</v>
      </c>
      <c r="F1712" s="7" t="s">
        <v>98</v>
      </c>
      <c r="G1712" s="7" t="s">
        <v>4450</v>
      </c>
      <c r="I1712" s="1">
        <f t="shared" si="130"/>
        <v>1</v>
      </c>
      <c r="J1712" s="1" t="str">
        <f>'Source build'!A1712</f>
        <v>L01706</v>
      </c>
      <c r="K1712" s="1">
        <f>1712</f>
        <v>1712</v>
      </c>
      <c r="L1712" s="10">
        <f t="shared" si="131"/>
        <v>3584</v>
      </c>
      <c r="M1712" s="1">
        <f t="shared" si="132"/>
        <v>1</v>
      </c>
      <c r="N1712" s="1">
        <f t="shared" si="133"/>
        <v>1</v>
      </c>
      <c r="O1712" s="1" t="str">
        <f>IF(I1712=0,"UNUSED",IF(A1712="","MISSING ID",IF(K1712=0,"UNEXPECTED ID",IF(N1712&lt;&gt;1,"ID / ORDER DIFFERENCE",IF('Source build'!U1712&lt;&gt;"INCLUDED","EXCLUDED SOURCE",IF(NOT(M1712),"INVALID AMOUNT",IF('Source build'!Y1712&lt;&gt;0,"CHANGED FIELDS","MATCH")))))))</f>
        <v>MATCH</v>
      </c>
      <c r="P1712" s="1" t="str">
        <f t="shared" si="134"/>
        <v>2026-01</v>
      </c>
    </row>
    <row r="1713" spans="1:16" ht="18.95" customHeight="1">
      <c r="A1713" s="7" t="s">
        <v>4451</v>
      </c>
      <c r="B1713" s="7" t="s">
        <v>4452</v>
      </c>
      <c r="C1713" s="7" t="s">
        <v>356</v>
      </c>
      <c r="D1713" s="7" t="s">
        <v>103</v>
      </c>
      <c r="E1713" s="7" t="s">
        <v>48</v>
      </c>
      <c r="F1713" s="7" t="s">
        <v>98</v>
      </c>
      <c r="G1713" s="7" t="s">
        <v>4453</v>
      </c>
      <c r="I1713" s="1">
        <f t="shared" si="130"/>
        <v>1</v>
      </c>
      <c r="J1713" s="1" t="str">
        <f>'Source build'!A1713</f>
        <v>L01707</v>
      </c>
      <c r="K1713" s="1">
        <f>1713</f>
        <v>1713</v>
      </c>
      <c r="L1713" s="10">
        <f t="shared" si="131"/>
        <v>10863</v>
      </c>
      <c r="M1713" s="1">
        <f t="shared" si="132"/>
        <v>1</v>
      </c>
      <c r="N1713" s="1">
        <f t="shared" si="133"/>
        <v>1</v>
      </c>
      <c r="O1713" s="1" t="str">
        <f>IF(I1713=0,"UNUSED",IF(A1713="","MISSING ID",IF(K1713=0,"UNEXPECTED ID",IF(N1713&lt;&gt;1,"ID / ORDER DIFFERENCE",IF('Source build'!U1713&lt;&gt;"INCLUDED","EXCLUDED SOURCE",IF(NOT(M1713),"INVALID AMOUNT",IF('Source build'!Y1713&lt;&gt;0,"CHANGED FIELDS","MATCH")))))))</f>
        <v>MATCH</v>
      </c>
      <c r="P1713" s="1" t="str">
        <f t="shared" si="134"/>
        <v>2026-02</v>
      </c>
    </row>
    <row r="1714" spans="1:16" ht="18.95" customHeight="1">
      <c r="A1714" s="7" t="s">
        <v>4454</v>
      </c>
      <c r="B1714" s="7" t="s">
        <v>4452</v>
      </c>
      <c r="C1714" s="7" t="s">
        <v>356</v>
      </c>
      <c r="D1714" s="7" t="s">
        <v>93</v>
      </c>
      <c r="E1714" s="7" t="s">
        <v>46</v>
      </c>
      <c r="F1714" s="7" t="s">
        <v>98</v>
      </c>
      <c r="G1714" s="7" t="s">
        <v>1586</v>
      </c>
      <c r="I1714" s="1">
        <f t="shared" si="130"/>
        <v>1</v>
      </c>
      <c r="J1714" s="1" t="str">
        <f>'Source build'!A1714</f>
        <v>L01708</v>
      </c>
      <c r="K1714" s="1">
        <f>1714</f>
        <v>1714</v>
      </c>
      <c r="L1714" s="10">
        <f t="shared" si="131"/>
        <v>18290</v>
      </c>
      <c r="M1714" s="1">
        <f t="shared" si="132"/>
        <v>1</v>
      </c>
      <c r="N1714" s="1">
        <f t="shared" si="133"/>
        <v>1</v>
      </c>
      <c r="O1714" s="1" t="str">
        <f>IF(I1714=0,"UNUSED",IF(A1714="","MISSING ID",IF(K1714=0,"UNEXPECTED ID",IF(N1714&lt;&gt;1,"ID / ORDER DIFFERENCE",IF('Source build'!U1714&lt;&gt;"INCLUDED","EXCLUDED SOURCE",IF(NOT(M1714),"INVALID AMOUNT",IF('Source build'!Y1714&lt;&gt;0,"CHANGED FIELDS","MATCH")))))))</f>
        <v>MATCH</v>
      </c>
      <c r="P1714" s="1" t="str">
        <f t="shared" si="134"/>
        <v>2026-02</v>
      </c>
    </row>
    <row r="1715" spans="1:16" ht="18.95" customHeight="1">
      <c r="A1715" s="7" t="s">
        <v>4455</v>
      </c>
      <c r="B1715" s="7" t="s">
        <v>4456</v>
      </c>
      <c r="C1715" s="7" t="s">
        <v>362</v>
      </c>
      <c r="D1715" s="7" t="s">
        <v>97</v>
      </c>
      <c r="E1715" s="7" t="s">
        <v>47</v>
      </c>
      <c r="F1715" s="7" t="s">
        <v>98</v>
      </c>
      <c r="G1715" s="7" t="s">
        <v>4457</v>
      </c>
      <c r="I1715" s="1">
        <f t="shared" si="130"/>
        <v>1</v>
      </c>
      <c r="J1715" s="1" t="str">
        <f>'Source build'!A1715</f>
        <v>L01709</v>
      </c>
      <c r="K1715" s="1">
        <f>1715</f>
        <v>1715</v>
      </c>
      <c r="L1715" s="10">
        <f t="shared" si="131"/>
        <v>7390</v>
      </c>
      <c r="M1715" s="1">
        <f t="shared" si="132"/>
        <v>1</v>
      </c>
      <c r="N1715" s="1">
        <f t="shared" si="133"/>
        <v>1</v>
      </c>
      <c r="O1715" s="1" t="str">
        <f>IF(I1715=0,"UNUSED",IF(A1715="","MISSING ID",IF(K1715=0,"UNEXPECTED ID",IF(N1715&lt;&gt;1,"ID / ORDER DIFFERENCE",IF('Source build'!U1715&lt;&gt;"INCLUDED","EXCLUDED SOURCE",IF(NOT(M1715),"INVALID AMOUNT",IF('Source build'!Y1715&lt;&gt;0,"CHANGED FIELDS","MATCH")))))))</f>
        <v>MATCH</v>
      </c>
      <c r="P1715" s="1" t="str">
        <f t="shared" si="134"/>
        <v>2026-02</v>
      </c>
    </row>
    <row r="1716" spans="1:16" ht="18.95" customHeight="1">
      <c r="A1716" s="7" t="s">
        <v>4458</v>
      </c>
      <c r="B1716" s="7" t="s">
        <v>4456</v>
      </c>
      <c r="C1716" s="7" t="s">
        <v>362</v>
      </c>
      <c r="D1716" s="7" t="s">
        <v>103</v>
      </c>
      <c r="E1716" s="7" t="s">
        <v>48</v>
      </c>
      <c r="F1716" s="7" t="s">
        <v>98</v>
      </c>
      <c r="G1716" s="7" t="s">
        <v>461</v>
      </c>
      <c r="I1716" s="1">
        <f t="shared" si="130"/>
        <v>1</v>
      </c>
      <c r="J1716" s="1" t="str">
        <f>'Source build'!A1716</f>
        <v>L01710</v>
      </c>
      <c r="K1716" s="1">
        <f>1716</f>
        <v>1716</v>
      </c>
      <c r="L1716" s="10">
        <f t="shared" si="131"/>
        <v>14928</v>
      </c>
      <c r="M1716" s="1">
        <f t="shared" si="132"/>
        <v>1</v>
      </c>
      <c r="N1716" s="1">
        <f t="shared" si="133"/>
        <v>1</v>
      </c>
      <c r="O1716" s="1" t="str">
        <f>IF(I1716=0,"UNUSED",IF(A1716="","MISSING ID",IF(K1716=0,"UNEXPECTED ID",IF(N1716&lt;&gt;1,"ID / ORDER DIFFERENCE",IF('Source build'!U1716&lt;&gt;"INCLUDED","EXCLUDED SOURCE",IF(NOT(M1716),"INVALID AMOUNT",IF('Source build'!Y1716&lt;&gt;0,"CHANGED FIELDS","MATCH")))))))</f>
        <v>MATCH</v>
      </c>
      <c r="P1716" s="1" t="str">
        <f t="shared" si="134"/>
        <v>2026-02</v>
      </c>
    </row>
    <row r="1717" spans="1:16" ht="18.95" customHeight="1">
      <c r="A1717" s="7" t="s">
        <v>4459</v>
      </c>
      <c r="B1717" s="7" t="s">
        <v>4460</v>
      </c>
      <c r="C1717" s="7" t="s">
        <v>368</v>
      </c>
      <c r="D1717" s="7" t="s">
        <v>93</v>
      </c>
      <c r="E1717" s="7" t="s">
        <v>46</v>
      </c>
      <c r="F1717" s="7" t="s">
        <v>98</v>
      </c>
      <c r="G1717" s="7" t="s">
        <v>4461</v>
      </c>
      <c r="I1717" s="1">
        <f t="shared" si="130"/>
        <v>1</v>
      </c>
      <c r="J1717" s="1" t="str">
        <f>'Source build'!A1717</f>
        <v>L01711</v>
      </c>
      <c r="K1717" s="1">
        <f>1717</f>
        <v>1717</v>
      </c>
      <c r="L1717" s="10">
        <f t="shared" si="131"/>
        <v>3769</v>
      </c>
      <c r="M1717" s="1">
        <f t="shared" si="132"/>
        <v>1</v>
      </c>
      <c r="N1717" s="1">
        <f t="shared" si="133"/>
        <v>1</v>
      </c>
      <c r="O1717" s="1" t="str">
        <f>IF(I1717=0,"UNUSED",IF(A1717="","MISSING ID",IF(K1717=0,"UNEXPECTED ID",IF(N1717&lt;&gt;1,"ID / ORDER DIFFERENCE",IF('Source build'!U1717&lt;&gt;"INCLUDED","EXCLUDED SOURCE",IF(NOT(M1717),"INVALID AMOUNT",IF('Source build'!Y1717&lt;&gt;0,"CHANGED FIELDS","MATCH")))))))</f>
        <v>MATCH</v>
      </c>
      <c r="P1717" s="1" t="str">
        <f t="shared" si="134"/>
        <v>2026-02</v>
      </c>
    </row>
    <row r="1718" spans="1:16" ht="18.95" customHeight="1">
      <c r="A1718" s="7" t="s">
        <v>4462</v>
      </c>
      <c r="B1718" s="7" t="s">
        <v>4460</v>
      </c>
      <c r="C1718" s="7" t="s">
        <v>368</v>
      </c>
      <c r="D1718" s="7" t="s">
        <v>97</v>
      </c>
      <c r="E1718" s="7" t="s">
        <v>47</v>
      </c>
      <c r="F1718" s="7" t="s">
        <v>98</v>
      </c>
      <c r="G1718" s="7" t="s">
        <v>4463</v>
      </c>
      <c r="I1718" s="1">
        <f t="shared" si="130"/>
        <v>1</v>
      </c>
      <c r="J1718" s="1" t="str">
        <f>'Source build'!A1718</f>
        <v>L01712</v>
      </c>
      <c r="K1718" s="1">
        <f>1718</f>
        <v>1718</v>
      </c>
      <c r="L1718" s="10">
        <f t="shared" si="131"/>
        <v>11418</v>
      </c>
      <c r="M1718" s="1">
        <f t="shared" si="132"/>
        <v>1</v>
      </c>
      <c r="N1718" s="1">
        <f t="shared" si="133"/>
        <v>1</v>
      </c>
      <c r="O1718" s="1" t="str">
        <f>IF(I1718=0,"UNUSED",IF(A1718="","MISSING ID",IF(K1718=0,"UNEXPECTED ID",IF(N1718&lt;&gt;1,"ID / ORDER DIFFERENCE",IF('Source build'!U1718&lt;&gt;"INCLUDED","EXCLUDED SOURCE",IF(NOT(M1718),"INVALID AMOUNT",IF('Source build'!Y1718&lt;&gt;0,"CHANGED FIELDS","MATCH")))))))</f>
        <v>MATCH</v>
      </c>
      <c r="P1718" s="1" t="str">
        <f t="shared" si="134"/>
        <v>2026-02</v>
      </c>
    </row>
    <row r="1719" spans="1:16" ht="18.95" customHeight="1">
      <c r="A1719" s="7" t="s">
        <v>4464</v>
      </c>
      <c r="B1719" s="7" t="s">
        <v>4465</v>
      </c>
      <c r="C1719" s="7" t="s">
        <v>374</v>
      </c>
      <c r="D1719" s="7" t="s">
        <v>103</v>
      </c>
      <c r="E1719" s="7" t="s">
        <v>48</v>
      </c>
      <c r="F1719" s="7" t="s">
        <v>98</v>
      </c>
      <c r="G1719" s="7" t="s">
        <v>4466</v>
      </c>
      <c r="I1719" s="1">
        <f t="shared" si="130"/>
        <v>1</v>
      </c>
      <c r="J1719" s="1" t="str">
        <f>'Source build'!A1719</f>
        <v>L01713</v>
      </c>
      <c r="K1719" s="1">
        <f>1719</f>
        <v>1719</v>
      </c>
      <c r="L1719" s="10">
        <f t="shared" si="131"/>
        <v>19215</v>
      </c>
      <c r="M1719" s="1">
        <f t="shared" si="132"/>
        <v>1</v>
      </c>
      <c r="N1719" s="1">
        <f t="shared" si="133"/>
        <v>1</v>
      </c>
      <c r="O1719" s="1" t="str">
        <f>IF(I1719=0,"UNUSED",IF(A1719="","MISSING ID",IF(K1719=0,"UNEXPECTED ID",IF(N1719&lt;&gt;1,"ID / ORDER DIFFERENCE",IF('Source build'!U1719&lt;&gt;"INCLUDED","EXCLUDED SOURCE",IF(NOT(M1719),"INVALID AMOUNT",IF('Source build'!Y1719&lt;&gt;0,"CHANGED FIELDS","MATCH")))))))</f>
        <v>MATCH</v>
      </c>
      <c r="P1719" s="1" t="str">
        <f t="shared" si="134"/>
        <v>2026-02</v>
      </c>
    </row>
    <row r="1720" spans="1:16" ht="18.95" customHeight="1">
      <c r="A1720" s="7" t="s">
        <v>4467</v>
      </c>
      <c r="B1720" s="7" t="s">
        <v>4465</v>
      </c>
      <c r="C1720" s="7" t="s">
        <v>374</v>
      </c>
      <c r="D1720" s="7" t="s">
        <v>93</v>
      </c>
      <c r="E1720" s="7" t="s">
        <v>46</v>
      </c>
      <c r="F1720" s="7" t="s">
        <v>98</v>
      </c>
      <c r="G1720" s="7" t="s">
        <v>4468</v>
      </c>
      <c r="I1720" s="1">
        <f t="shared" si="130"/>
        <v>1</v>
      </c>
      <c r="J1720" s="1" t="str">
        <f>'Source build'!A1720</f>
        <v>L01714</v>
      </c>
      <c r="K1720" s="1">
        <f>1720</f>
        <v>1720</v>
      </c>
      <c r="L1720" s="10">
        <f t="shared" si="131"/>
        <v>7760</v>
      </c>
      <c r="M1720" s="1">
        <f t="shared" si="132"/>
        <v>1</v>
      </c>
      <c r="N1720" s="1">
        <f t="shared" si="133"/>
        <v>1</v>
      </c>
      <c r="O1720" s="1" t="str">
        <f>IF(I1720=0,"UNUSED",IF(A1720="","MISSING ID",IF(K1720=0,"UNEXPECTED ID",IF(N1720&lt;&gt;1,"ID / ORDER DIFFERENCE",IF('Source build'!U1720&lt;&gt;"INCLUDED","EXCLUDED SOURCE",IF(NOT(M1720),"INVALID AMOUNT",IF('Source build'!Y1720&lt;&gt;0,"CHANGED FIELDS","MATCH")))))))</f>
        <v>MATCH</v>
      </c>
      <c r="P1720" s="1" t="str">
        <f t="shared" si="134"/>
        <v>2026-02</v>
      </c>
    </row>
    <row r="1721" spans="1:16" ht="18.95" customHeight="1">
      <c r="A1721" s="7" t="s">
        <v>4469</v>
      </c>
      <c r="B1721" s="7" t="s">
        <v>4470</v>
      </c>
      <c r="C1721" s="7" t="s">
        <v>380</v>
      </c>
      <c r="D1721" s="7" t="s">
        <v>97</v>
      </c>
      <c r="E1721" s="7" t="s">
        <v>47</v>
      </c>
      <c r="F1721" s="7" t="s">
        <v>98</v>
      </c>
      <c r="G1721" s="7" t="s">
        <v>4471</v>
      </c>
      <c r="I1721" s="1">
        <f t="shared" si="130"/>
        <v>1</v>
      </c>
      <c r="J1721" s="1" t="str">
        <f>'Source build'!A1721</f>
        <v>L01715</v>
      </c>
      <c r="K1721" s="1">
        <f>1721</f>
        <v>1721</v>
      </c>
      <c r="L1721" s="10">
        <f t="shared" si="131"/>
        <v>15668</v>
      </c>
      <c r="M1721" s="1">
        <f t="shared" si="132"/>
        <v>1</v>
      </c>
      <c r="N1721" s="1">
        <f t="shared" si="133"/>
        <v>1</v>
      </c>
      <c r="O1721" s="1" t="str">
        <f>IF(I1721=0,"UNUSED",IF(A1721="","MISSING ID",IF(K1721=0,"UNEXPECTED ID",IF(N1721&lt;&gt;1,"ID / ORDER DIFFERENCE",IF('Source build'!U1721&lt;&gt;"INCLUDED","EXCLUDED SOURCE",IF(NOT(M1721),"INVALID AMOUNT",IF('Source build'!Y1721&lt;&gt;0,"CHANGED FIELDS","MATCH")))))))</f>
        <v>MATCH</v>
      </c>
      <c r="P1721" s="1" t="str">
        <f t="shared" si="134"/>
        <v>2026-03</v>
      </c>
    </row>
    <row r="1722" spans="1:16" ht="18.95" customHeight="1">
      <c r="A1722" s="7" t="s">
        <v>4472</v>
      </c>
      <c r="B1722" s="7" t="s">
        <v>4470</v>
      </c>
      <c r="C1722" s="7" t="s">
        <v>380</v>
      </c>
      <c r="D1722" s="7" t="s">
        <v>103</v>
      </c>
      <c r="E1722" s="7" t="s">
        <v>48</v>
      </c>
      <c r="F1722" s="7" t="s">
        <v>98</v>
      </c>
      <c r="G1722" s="7" t="s">
        <v>4473</v>
      </c>
      <c r="I1722" s="1">
        <f t="shared" si="130"/>
        <v>1</v>
      </c>
      <c r="J1722" s="1" t="str">
        <f>'Source build'!A1722</f>
        <v>L01716</v>
      </c>
      <c r="K1722" s="1">
        <f>1722</f>
        <v>1722</v>
      </c>
      <c r="L1722" s="10">
        <f t="shared" si="131"/>
        <v>3954</v>
      </c>
      <c r="M1722" s="1">
        <f t="shared" si="132"/>
        <v>1</v>
      </c>
      <c r="N1722" s="1">
        <f t="shared" si="133"/>
        <v>1</v>
      </c>
      <c r="O1722" s="1" t="str">
        <f>IF(I1722=0,"UNUSED",IF(A1722="","MISSING ID",IF(K1722=0,"UNEXPECTED ID",IF(N1722&lt;&gt;1,"ID / ORDER DIFFERENCE",IF('Source build'!U1722&lt;&gt;"INCLUDED","EXCLUDED SOURCE",IF(NOT(M1722),"INVALID AMOUNT",IF('Source build'!Y1722&lt;&gt;0,"CHANGED FIELDS","MATCH")))))))</f>
        <v>MATCH</v>
      </c>
      <c r="P1722" s="1" t="str">
        <f t="shared" si="134"/>
        <v>2026-03</v>
      </c>
    </row>
    <row r="1723" spans="1:16" ht="18.95" customHeight="1">
      <c r="A1723" s="7" t="s">
        <v>4474</v>
      </c>
      <c r="B1723" s="7" t="s">
        <v>4475</v>
      </c>
      <c r="C1723" s="7" t="s">
        <v>386</v>
      </c>
      <c r="D1723" s="7" t="s">
        <v>93</v>
      </c>
      <c r="E1723" s="7" t="s">
        <v>46</v>
      </c>
      <c r="F1723" s="7" t="s">
        <v>98</v>
      </c>
      <c r="G1723" s="7" t="s">
        <v>4476</v>
      </c>
      <c r="I1723" s="1">
        <f t="shared" si="130"/>
        <v>1</v>
      </c>
      <c r="J1723" s="1" t="str">
        <f>'Source build'!A1723</f>
        <v>L01717</v>
      </c>
      <c r="K1723" s="1">
        <f>1723</f>
        <v>1723</v>
      </c>
      <c r="L1723" s="10">
        <f t="shared" si="131"/>
        <v>11973</v>
      </c>
      <c r="M1723" s="1">
        <f t="shared" si="132"/>
        <v>1</v>
      </c>
      <c r="N1723" s="1">
        <f t="shared" si="133"/>
        <v>1</v>
      </c>
      <c r="O1723" s="1" t="str">
        <f>IF(I1723=0,"UNUSED",IF(A1723="","MISSING ID",IF(K1723=0,"UNEXPECTED ID",IF(N1723&lt;&gt;1,"ID / ORDER DIFFERENCE",IF('Source build'!U1723&lt;&gt;"INCLUDED","EXCLUDED SOURCE",IF(NOT(M1723),"INVALID AMOUNT",IF('Source build'!Y1723&lt;&gt;0,"CHANGED FIELDS","MATCH")))))))</f>
        <v>MATCH</v>
      </c>
      <c r="P1723" s="1" t="str">
        <f t="shared" si="134"/>
        <v>2026-03</v>
      </c>
    </row>
    <row r="1724" spans="1:16" ht="18.95" customHeight="1">
      <c r="A1724" s="7" t="s">
        <v>4477</v>
      </c>
      <c r="B1724" s="7" t="s">
        <v>4475</v>
      </c>
      <c r="C1724" s="7" t="s">
        <v>386</v>
      </c>
      <c r="D1724" s="7" t="s">
        <v>97</v>
      </c>
      <c r="E1724" s="7" t="s">
        <v>47</v>
      </c>
      <c r="F1724" s="7" t="s">
        <v>98</v>
      </c>
      <c r="G1724" s="7" t="s">
        <v>1649</v>
      </c>
      <c r="I1724" s="1">
        <f t="shared" si="130"/>
        <v>1</v>
      </c>
      <c r="J1724" s="1" t="str">
        <f>'Source build'!A1724</f>
        <v>L01718</v>
      </c>
      <c r="K1724" s="1">
        <f>1724</f>
        <v>1724</v>
      </c>
      <c r="L1724" s="10">
        <f t="shared" si="131"/>
        <v>20140</v>
      </c>
      <c r="M1724" s="1">
        <f t="shared" si="132"/>
        <v>1</v>
      </c>
      <c r="N1724" s="1">
        <f t="shared" si="133"/>
        <v>1</v>
      </c>
      <c r="O1724" s="1" t="str">
        <f>IF(I1724=0,"UNUSED",IF(A1724="","MISSING ID",IF(K1724=0,"UNEXPECTED ID",IF(N1724&lt;&gt;1,"ID / ORDER DIFFERENCE",IF('Source build'!U1724&lt;&gt;"INCLUDED","EXCLUDED SOURCE",IF(NOT(M1724),"INVALID AMOUNT",IF('Source build'!Y1724&lt;&gt;0,"CHANGED FIELDS","MATCH")))))))</f>
        <v>MATCH</v>
      </c>
      <c r="P1724" s="1" t="str">
        <f t="shared" si="134"/>
        <v>2026-03</v>
      </c>
    </row>
    <row r="1725" spans="1:16" ht="18.95" customHeight="1">
      <c r="A1725" s="7" t="s">
        <v>4478</v>
      </c>
      <c r="B1725" s="7" t="s">
        <v>4479</v>
      </c>
      <c r="C1725" s="7" t="s">
        <v>392</v>
      </c>
      <c r="D1725" s="7" t="s">
        <v>103</v>
      </c>
      <c r="E1725" s="7" t="s">
        <v>48</v>
      </c>
      <c r="F1725" s="7" t="s">
        <v>98</v>
      </c>
      <c r="G1725" s="7" t="s">
        <v>4480</v>
      </c>
      <c r="I1725" s="1">
        <f t="shared" si="130"/>
        <v>1</v>
      </c>
      <c r="J1725" s="1" t="str">
        <f>'Source build'!A1725</f>
        <v>L01719</v>
      </c>
      <c r="K1725" s="1">
        <f>1725</f>
        <v>1725</v>
      </c>
      <c r="L1725" s="10">
        <f t="shared" si="131"/>
        <v>8130</v>
      </c>
      <c r="M1725" s="1">
        <f t="shared" si="132"/>
        <v>1</v>
      </c>
      <c r="N1725" s="1">
        <f t="shared" si="133"/>
        <v>1</v>
      </c>
      <c r="O1725" s="1" t="str">
        <f>IF(I1725=0,"UNUSED",IF(A1725="","MISSING ID",IF(K1725=0,"UNEXPECTED ID",IF(N1725&lt;&gt;1,"ID / ORDER DIFFERENCE",IF('Source build'!U1725&lt;&gt;"INCLUDED","EXCLUDED SOURCE",IF(NOT(M1725),"INVALID AMOUNT",IF('Source build'!Y1725&lt;&gt;0,"CHANGED FIELDS","MATCH")))))))</f>
        <v>MATCH</v>
      </c>
      <c r="P1725" s="1" t="str">
        <f t="shared" si="134"/>
        <v>2026-03</v>
      </c>
    </row>
    <row r="1726" spans="1:16" ht="18.95" customHeight="1">
      <c r="A1726" s="7" t="s">
        <v>4481</v>
      </c>
      <c r="B1726" s="7" t="s">
        <v>4479</v>
      </c>
      <c r="C1726" s="7" t="s">
        <v>392</v>
      </c>
      <c r="D1726" s="7" t="s">
        <v>93</v>
      </c>
      <c r="E1726" s="7" t="s">
        <v>46</v>
      </c>
      <c r="F1726" s="7" t="s">
        <v>98</v>
      </c>
      <c r="G1726" s="7" t="s">
        <v>4482</v>
      </c>
      <c r="I1726" s="1">
        <f t="shared" si="130"/>
        <v>1</v>
      </c>
      <c r="J1726" s="1" t="str">
        <f>'Source build'!A1726</f>
        <v>L01720</v>
      </c>
      <c r="K1726" s="1">
        <f>1726</f>
        <v>1726</v>
      </c>
      <c r="L1726" s="10">
        <f t="shared" si="131"/>
        <v>16408</v>
      </c>
      <c r="M1726" s="1">
        <f t="shared" si="132"/>
        <v>1</v>
      </c>
      <c r="N1726" s="1">
        <f t="shared" si="133"/>
        <v>1</v>
      </c>
      <c r="O1726" s="1" t="str">
        <f>IF(I1726=0,"UNUSED",IF(A1726="","MISSING ID",IF(K1726=0,"UNEXPECTED ID",IF(N1726&lt;&gt;1,"ID / ORDER DIFFERENCE",IF('Source build'!U1726&lt;&gt;"INCLUDED","EXCLUDED SOURCE",IF(NOT(M1726),"INVALID AMOUNT",IF('Source build'!Y1726&lt;&gt;0,"CHANGED FIELDS","MATCH")))))))</f>
        <v>MATCH</v>
      </c>
      <c r="P1726" s="1" t="str">
        <f t="shared" si="134"/>
        <v>2026-03</v>
      </c>
    </row>
    <row r="1727" spans="1:16" ht="18.95" customHeight="1">
      <c r="A1727" s="7" t="s">
        <v>4483</v>
      </c>
      <c r="B1727" s="7" t="s">
        <v>4484</v>
      </c>
      <c r="C1727" s="7" t="s">
        <v>398</v>
      </c>
      <c r="D1727" s="7" t="s">
        <v>97</v>
      </c>
      <c r="E1727" s="7" t="s">
        <v>47</v>
      </c>
      <c r="F1727" s="7" t="s">
        <v>98</v>
      </c>
      <c r="G1727" s="7" t="s">
        <v>4485</v>
      </c>
      <c r="I1727" s="1">
        <f t="shared" si="130"/>
        <v>1</v>
      </c>
      <c r="J1727" s="1" t="str">
        <f>'Source build'!A1727</f>
        <v>L01721</v>
      </c>
      <c r="K1727" s="1">
        <f>1727</f>
        <v>1727</v>
      </c>
      <c r="L1727" s="10">
        <f t="shared" si="131"/>
        <v>4139</v>
      </c>
      <c r="M1727" s="1">
        <f t="shared" si="132"/>
        <v>1</v>
      </c>
      <c r="N1727" s="1">
        <f t="shared" si="133"/>
        <v>1</v>
      </c>
      <c r="O1727" s="1" t="str">
        <f>IF(I1727=0,"UNUSED",IF(A1727="","MISSING ID",IF(K1727=0,"UNEXPECTED ID",IF(N1727&lt;&gt;1,"ID / ORDER DIFFERENCE",IF('Source build'!U1727&lt;&gt;"INCLUDED","EXCLUDED SOURCE",IF(NOT(M1727),"INVALID AMOUNT",IF('Source build'!Y1727&lt;&gt;0,"CHANGED FIELDS","MATCH")))))))</f>
        <v>MATCH</v>
      </c>
      <c r="P1727" s="1" t="str">
        <f t="shared" si="134"/>
        <v>2026-03</v>
      </c>
    </row>
    <row r="1728" spans="1:16" ht="18.95" customHeight="1">
      <c r="A1728" s="7" t="s">
        <v>4486</v>
      </c>
      <c r="B1728" s="7" t="s">
        <v>4484</v>
      </c>
      <c r="C1728" s="7" t="s">
        <v>398</v>
      </c>
      <c r="D1728" s="7" t="s">
        <v>103</v>
      </c>
      <c r="E1728" s="7" t="s">
        <v>48</v>
      </c>
      <c r="F1728" s="7" t="s">
        <v>98</v>
      </c>
      <c r="G1728" s="7" t="s">
        <v>4487</v>
      </c>
      <c r="I1728" s="1">
        <f t="shared" si="130"/>
        <v>1</v>
      </c>
      <c r="J1728" s="1" t="str">
        <f>'Source build'!A1728</f>
        <v>L01722</v>
      </c>
      <c r="K1728" s="1">
        <f>1728</f>
        <v>1728</v>
      </c>
      <c r="L1728" s="10">
        <f t="shared" si="131"/>
        <v>12528</v>
      </c>
      <c r="M1728" s="1">
        <f t="shared" si="132"/>
        <v>1</v>
      </c>
      <c r="N1728" s="1">
        <f t="shared" si="133"/>
        <v>1</v>
      </c>
      <c r="O1728" s="1" t="str">
        <f>IF(I1728=0,"UNUSED",IF(A1728="","MISSING ID",IF(K1728=0,"UNEXPECTED ID",IF(N1728&lt;&gt;1,"ID / ORDER DIFFERENCE",IF('Source build'!U1728&lt;&gt;"INCLUDED","EXCLUDED SOURCE",IF(NOT(M1728),"INVALID AMOUNT",IF('Source build'!Y1728&lt;&gt;0,"CHANGED FIELDS","MATCH")))))))</f>
        <v>MATCH</v>
      </c>
      <c r="P1728" s="1" t="str">
        <f t="shared" si="134"/>
        <v>2026-03</v>
      </c>
    </row>
    <row r="1729" spans="1:16" ht="18.95" customHeight="1">
      <c r="A1729" s="7" t="s">
        <v>4488</v>
      </c>
      <c r="B1729" s="7" t="s">
        <v>4489</v>
      </c>
      <c r="C1729" s="7" t="s">
        <v>404</v>
      </c>
      <c r="D1729" s="7" t="s">
        <v>93</v>
      </c>
      <c r="E1729" s="7" t="s">
        <v>46</v>
      </c>
      <c r="F1729" s="7" t="s">
        <v>98</v>
      </c>
      <c r="G1729" s="7" t="s">
        <v>4490</v>
      </c>
      <c r="I1729" s="1">
        <f t="shared" si="130"/>
        <v>1</v>
      </c>
      <c r="J1729" s="1" t="str">
        <f>'Source build'!A1729</f>
        <v>L01723</v>
      </c>
      <c r="K1729" s="1">
        <f>1729</f>
        <v>1729</v>
      </c>
      <c r="L1729" s="10">
        <f t="shared" si="131"/>
        <v>21065</v>
      </c>
      <c r="M1729" s="1">
        <f t="shared" si="132"/>
        <v>1</v>
      </c>
      <c r="N1729" s="1">
        <f t="shared" si="133"/>
        <v>1</v>
      </c>
      <c r="O1729" s="1" t="str">
        <f>IF(I1729=0,"UNUSED",IF(A1729="","MISSING ID",IF(K1729=0,"UNEXPECTED ID",IF(N1729&lt;&gt;1,"ID / ORDER DIFFERENCE",IF('Source build'!U1729&lt;&gt;"INCLUDED","EXCLUDED SOURCE",IF(NOT(M1729),"INVALID AMOUNT",IF('Source build'!Y1729&lt;&gt;0,"CHANGED FIELDS","MATCH")))))))</f>
        <v>MATCH</v>
      </c>
      <c r="P1729" s="1" t="str">
        <f t="shared" si="134"/>
        <v>2026-03</v>
      </c>
    </row>
    <row r="1730" spans="1:16" ht="18.95" customHeight="1">
      <c r="A1730" s="7" t="s">
        <v>4491</v>
      </c>
      <c r="B1730" s="7" t="s">
        <v>4489</v>
      </c>
      <c r="C1730" s="7" t="s">
        <v>404</v>
      </c>
      <c r="D1730" s="7" t="s">
        <v>97</v>
      </c>
      <c r="E1730" s="7" t="s">
        <v>47</v>
      </c>
      <c r="F1730" s="7" t="s">
        <v>98</v>
      </c>
      <c r="G1730" s="7" t="s">
        <v>4492</v>
      </c>
      <c r="I1730" s="1">
        <f t="shared" si="130"/>
        <v>1</v>
      </c>
      <c r="J1730" s="1" t="str">
        <f>'Source build'!A1730</f>
        <v>L01724</v>
      </c>
      <c r="K1730" s="1">
        <f>1730</f>
        <v>1730</v>
      </c>
      <c r="L1730" s="10">
        <f t="shared" si="131"/>
        <v>8500</v>
      </c>
      <c r="M1730" s="1">
        <f t="shared" si="132"/>
        <v>1</v>
      </c>
      <c r="N1730" s="1">
        <f t="shared" si="133"/>
        <v>1</v>
      </c>
      <c r="O1730" s="1" t="str">
        <f>IF(I1730=0,"UNUSED",IF(A1730="","MISSING ID",IF(K1730=0,"UNEXPECTED ID",IF(N1730&lt;&gt;1,"ID / ORDER DIFFERENCE",IF('Source build'!U1730&lt;&gt;"INCLUDED","EXCLUDED SOURCE",IF(NOT(M1730),"INVALID AMOUNT",IF('Source build'!Y1730&lt;&gt;0,"CHANGED FIELDS","MATCH")))))))</f>
        <v>MATCH</v>
      </c>
      <c r="P1730" s="1" t="str">
        <f t="shared" si="134"/>
        <v>2026-03</v>
      </c>
    </row>
    <row r="1731" spans="1:16" ht="18.95" customHeight="1">
      <c r="A1731" s="7" t="s">
        <v>4493</v>
      </c>
      <c r="B1731" s="7" t="s">
        <v>4494</v>
      </c>
      <c r="C1731" s="7" t="s">
        <v>410</v>
      </c>
      <c r="D1731" s="7" t="s">
        <v>103</v>
      </c>
      <c r="E1731" s="7" t="s">
        <v>48</v>
      </c>
      <c r="F1731" s="7" t="s">
        <v>98</v>
      </c>
      <c r="G1731" s="7" t="s">
        <v>521</v>
      </c>
      <c r="I1731" s="1">
        <f t="shared" si="130"/>
        <v>1</v>
      </c>
      <c r="J1731" s="1" t="str">
        <f>'Source build'!A1731</f>
        <v>L01725</v>
      </c>
      <c r="K1731" s="1">
        <f>1731</f>
        <v>1731</v>
      </c>
      <c r="L1731" s="10">
        <f t="shared" si="131"/>
        <v>17148</v>
      </c>
      <c r="M1731" s="1">
        <f t="shared" si="132"/>
        <v>1</v>
      </c>
      <c r="N1731" s="1">
        <f t="shared" si="133"/>
        <v>1</v>
      </c>
      <c r="O1731" s="1" t="str">
        <f>IF(I1731=0,"UNUSED",IF(A1731="","MISSING ID",IF(K1731=0,"UNEXPECTED ID",IF(N1731&lt;&gt;1,"ID / ORDER DIFFERENCE",IF('Source build'!U1731&lt;&gt;"INCLUDED","EXCLUDED SOURCE",IF(NOT(M1731),"INVALID AMOUNT",IF('Source build'!Y1731&lt;&gt;0,"CHANGED FIELDS","MATCH")))))))</f>
        <v>MATCH</v>
      </c>
      <c r="P1731" s="1" t="str">
        <f t="shared" si="134"/>
        <v>2026-01</v>
      </c>
    </row>
    <row r="1732" spans="1:16" ht="18.95" customHeight="1">
      <c r="A1732" s="7" t="s">
        <v>4495</v>
      </c>
      <c r="B1732" s="7" t="s">
        <v>4494</v>
      </c>
      <c r="C1732" s="7" t="s">
        <v>410</v>
      </c>
      <c r="D1732" s="7" t="s">
        <v>93</v>
      </c>
      <c r="E1732" s="7" t="s">
        <v>46</v>
      </c>
      <c r="F1732" s="7" t="s">
        <v>94</v>
      </c>
      <c r="G1732" s="7" t="s">
        <v>4496</v>
      </c>
      <c r="I1732" s="1">
        <f t="shared" si="130"/>
        <v>1</v>
      </c>
      <c r="J1732" s="1" t="str">
        <f>'Source build'!A1732</f>
        <v>L01726</v>
      </c>
      <c r="K1732" s="1">
        <f>1732</f>
        <v>1732</v>
      </c>
      <c r="L1732" s="10">
        <f t="shared" si="131"/>
        <v>-4324</v>
      </c>
      <c r="M1732" s="1">
        <f t="shared" si="132"/>
        <v>1</v>
      </c>
      <c r="N1732" s="1">
        <f t="shared" si="133"/>
        <v>1</v>
      </c>
      <c r="O1732" s="1" t="str">
        <f>IF(I1732=0,"UNUSED",IF(A1732="","MISSING ID",IF(K1732=0,"UNEXPECTED ID",IF(N1732&lt;&gt;1,"ID / ORDER DIFFERENCE",IF('Source build'!U1732&lt;&gt;"INCLUDED","EXCLUDED SOURCE",IF(NOT(M1732),"INVALID AMOUNT",IF('Source build'!Y1732&lt;&gt;0,"CHANGED FIELDS","MATCH")))))))</f>
        <v>MATCH</v>
      </c>
      <c r="P1732" s="1" t="str">
        <f t="shared" si="134"/>
        <v>2026-01</v>
      </c>
    </row>
    <row r="1733" spans="1:16" ht="18.95" customHeight="1">
      <c r="A1733" s="7" t="s">
        <v>4497</v>
      </c>
      <c r="B1733" s="7" t="s">
        <v>4498</v>
      </c>
      <c r="C1733" s="7" t="s">
        <v>416</v>
      </c>
      <c r="D1733" s="7" t="s">
        <v>97</v>
      </c>
      <c r="E1733" s="7" t="s">
        <v>47</v>
      </c>
      <c r="F1733" s="7" t="s">
        <v>98</v>
      </c>
      <c r="G1733" s="7" t="s">
        <v>4499</v>
      </c>
      <c r="I1733" s="1">
        <f t="shared" si="130"/>
        <v>1</v>
      </c>
      <c r="J1733" s="1" t="str">
        <f>'Source build'!A1733</f>
        <v>L01727</v>
      </c>
      <c r="K1733" s="1">
        <f>1733</f>
        <v>1733</v>
      </c>
      <c r="L1733" s="10">
        <f t="shared" si="131"/>
        <v>13083</v>
      </c>
      <c r="M1733" s="1">
        <f t="shared" si="132"/>
        <v>1</v>
      </c>
      <c r="N1733" s="1">
        <f t="shared" si="133"/>
        <v>1</v>
      </c>
      <c r="O1733" s="1" t="str">
        <f>IF(I1733=0,"UNUSED",IF(A1733="","MISSING ID",IF(K1733=0,"UNEXPECTED ID",IF(N1733&lt;&gt;1,"ID / ORDER DIFFERENCE",IF('Source build'!U1733&lt;&gt;"INCLUDED","EXCLUDED SOURCE",IF(NOT(M1733),"INVALID AMOUNT",IF('Source build'!Y1733&lt;&gt;0,"CHANGED FIELDS","MATCH")))))))</f>
        <v>MATCH</v>
      </c>
      <c r="P1733" s="1" t="str">
        <f t="shared" si="134"/>
        <v>2026-01</v>
      </c>
    </row>
    <row r="1734" spans="1:16" ht="18.95" customHeight="1">
      <c r="A1734" s="7" t="s">
        <v>4500</v>
      </c>
      <c r="B1734" s="7" t="s">
        <v>4498</v>
      </c>
      <c r="C1734" s="7" t="s">
        <v>416</v>
      </c>
      <c r="D1734" s="7" t="s">
        <v>103</v>
      </c>
      <c r="E1734" s="7" t="s">
        <v>48</v>
      </c>
      <c r="F1734" s="7" t="s">
        <v>98</v>
      </c>
      <c r="G1734" s="7" t="s">
        <v>1712</v>
      </c>
      <c r="I1734" s="1">
        <f t="shared" si="130"/>
        <v>1</v>
      </c>
      <c r="J1734" s="1" t="str">
        <f>'Source build'!A1734</f>
        <v>L01728</v>
      </c>
      <c r="K1734" s="1">
        <f>1734</f>
        <v>1734</v>
      </c>
      <c r="L1734" s="10">
        <f t="shared" si="131"/>
        <v>21990</v>
      </c>
      <c r="M1734" s="1">
        <f t="shared" si="132"/>
        <v>1</v>
      </c>
      <c r="N1734" s="1">
        <f t="shared" si="133"/>
        <v>1</v>
      </c>
      <c r="O1734" s="1" t="str">
        <f>IF(I1734=0,"UNUSED",IF(A1734="","MISSING ID",IF(K1734=0,"UNEXPECTED ID",IF(N1734&lt;&gt;1,"ID / ORDER DIFFERENCE",IF('Source build'!U1734&lt;&gt;"INCLUDED","EXCLUDED SOURCE",IF(NOT(M1734),"INVALID AMOUNT",IF('Source build'!Y1734&lt;&gt;0,"CHANGED FIELDS","MATCH")))))))</f>
        <v>MATCH</v>
      </c>
      <c r="P1734" s="1" t="str">
        <f t="shared" si="134"/>
        <v>2026-01</v>
      </c>
    </row>
    <row r="1735" spans="1:16" ht="18.95" customHeight="1">
      <c r="A1735" s="7" t="s">
        <v>4501</v>
      </c>
      <c r="B1735" s="7" t="s">
        <v>4502</v>
      </c>
      <c r="C1735" s="7" t="s">
        <v>422</v>
      </c>
      <c r="D1735" s="7" t="s">
        <v>93</v>
      </c>
      <c r="E1735" s="7" t="s">
        <v>46</v>
      </c>
      <c r="F1735" s="7" t="s">
        <v>98</v>
      </c>
      <c r="G1735" s="7" t="s">
        <v>4503</v>
      </c>
      <c r="I1735" s="1">
        <f t="shared" ref="I1735:I1798" si="135">IF(AND(A1735="",B1735="",C1735="",D1735="",E1735="",F1735="",G1735=""),0,1)</f>
        <v>1</v>
      </c>
      <c r="J1735" s="1" t="str">
        <f>'Source build'!A1735</f>
        <v>L01729</v>
      </c>
      <c r="K1735" s="1">
        <f>1735</f>
        <v>1735</v>
      </c>
      <c r="L1735" s="10">
        <f t="shared" ref="L1735:L1798" si="136">IFERROR(IF(ABS(VALUE(G1735)*100-ROUND(VALUE(G1735)*100,0))&lt;0.0000001,ROUND(VALUE(G1735)*100,0),0),0)</f>
        <v>8870</v>
      </c>
      <c r="M1735" s="1">
        <f t="shared" ref="M1735:M1798" si="137">--IF(I1735=0,TRUE,IF(TRIM(G1735)="",FALSE,IFERROR(AND(ISNUMBER(VALUE(G1735)),ABS(VALUE(G1735)*100-ROUND(VALUE(G1735)*100,0))&lt;0.0000001,OR(ISNUMBER(G1735),EXACT(G1735,TEXT(VALUE(G1735),"0.00"))),OR(AND(EXACT(F1735,"sale"),VALUE(G1735)&gt;0),AND(EXACT(F1735,"refund"),VALUE(G1735)&lt;0))),FALSE)))</f>
        <v>1</v>
      </c>
      <c r="N1735" s="1">
        <f t="shared" ref="N1735:N1798" si="138">IF(I1735=1,IF(EXACT(A1735,J1735),1,0),0)</f>
        <v>1</v>
      </c>
      <c r="O1735" s="1" t="str">
        <f>IF(I1735=0,"UNUSED",IF(A1735="","MISSING ID",IF(K1735=0,"UNEXPECTED ID",IF(N1735&lt;&gt;1,"ID / ORDER DIFFERENCE",IF('Source build'!U1735&lt;&gt;"INCLUDED","EXCLUDED SOURCE",IF(NOT(M1735),"INVALID AMOUNT",IF('Source build'!Y1735&lt;&gt;0,"CHANGED FIELDS","MATCH")))))))</f>
        <v>MATCH</v>
      </c>
      <c r="P1735" s="1" t="str">
        <f t="shared" ref="P1735:P1798" si="139">IF(I1735=1,LEFT(C1735,7),"")</f>
        <v>2026-01</v>
      </c>
    </row>
    <row r="1736" spans="1:16" ht="18.95" customHeight="1">
      <c r="A1736" s="7" t="s">
        <v>4504</v>
      </c>
      <c r="B1736" s="7" t="s">
        <v>4502</v>
      </c>
      <c r="C1736" s="7" t="s">
        <v>422</v>
      </c>
      <c r="D1736" s="7" t="s">
        <v>97</v>
      </c>
      <c r="E1736" s="7" t="s">
        <v>47</v>
      </c>
      <c r="F1736" s="7" t="s">
        <v>98</v>
      </c>
      <c r="G1736" s="7" t="s">
        <v>4505</v>
      </c>
      <c r="I1736" s="1">
        <f t="shared" si="135"/>
        <v>1</v>
      </c>
      <c r="J1736" s="1" t="str">
        <f>'Source build'!A1736</f>
        <v>L01730</v>
      </c>
      <c r="K1736" s="1">
        <f>1736</f>
        <v>1736</v>
      </c>
      <c r="L1736" s="10">
        <f t="shared" si="136"/>
        <v>17888</v>
      </c>
      <c r="M1736" s="1">
        <f t="shared" si="137"/>
        <v>1</v>
      </c>
      <c r="N1736" s="1">
        <f t="shared" si="138"/>
        <v>1</v>
      </c>
      <c r="O1736" s="1" t="str">
        <f>IF(I1736=0,"UNUSED",IF(A1736="","MISSING ID",IF(K1736=0,"UNEXPECTED ID",IF(N1736&lt;&gt;1,"ID / ORDER DIFFERENCE",IF('Source build'!U1736&lt;&gt;"INCLUDED","EXCLUDED SOURCE",IF(NOT(M1736),"INVALID AMOUNT",IF('Source build'!Y1736&lt;&gt;0,"CHANGED FIELDS","MATCH")))))))</f>
        <v>MATCH</v>
      </c>
      <c r="P1736" s="1" t="str">
        <f t="shared" si="139"/>
        <v>2026-01</v>
      </c>
    </row>
    <row r="1737" spans="1:16" ht="18.95" customHeight="1">
      <c r="A1737" s="7" t="s">
        <v>4506</v>
      </c>
      <c r="B1737" s="7" t="s">
        <v>4507</v>
      </c>
      <c r="C1737" s="7" t="s">
        <v>428</v>
      </c>
      <c r="D1737" s="7" t="s">
        <v>103</v>
      </c>
      <c r="E1737" s="7" t="s">
        <v>48</v>
      </c>
      <c r="F1737" s="7" t="s">
        <v>98</v>
      </c>
      <c r="G1737" s="7" t="s">
        <v>4508</v>
      </c>
      <c r="I1737" s="1">
        <f t="shared" si="135"/>
        <v>1</v>
      </c>
      <c r="J1737" s="1" t="str">
        <f>'Source build'!A1737</f>
        <v>L01731</v>
      </c>
      <c r="K1737" s="1">
        <f>1737</f>
        <v>1737</v>
      </c>
      <c r="L1737" s="10">
        <f t="shared" si="136"/>
        <v>4509</v>
      </c>
      <c r="M1737" s="1">
        <f t="shared" si="137"/>
        <v>1</v>
      </c>
      <c r="N1737" s="1">
        <f t="shared" si="138"/>
        <v>1</v>
      </c>
      <c r="O1737" s="1" t="str">
        <f>IF(I1737=0,"UNUSED",IF(A1737="","MISSING ID",IF(K1737=0,"UNEXPECTED ID",IF(N1737&lt;&gt;1,"ID / ORDER DIFFERENCE",IF('Source build'!U1737&lt;&gt;"INCLUDED","EXCLUDED SOURCE",IF(NOT(M1737),"INVALID AMOUNT",IF('Source build'!Y1737&lt;&gt;0,"CHANGED FIELDS","MATCH")))))))</f>
        <v>MATCH</v>
      </c>
      <c r="P1737" s="1" t="str">
        <f t="shared" si="139"/>
        <v>2026-01</v>
      </c>
    </row>
    <row r="1738" spans="1:16" ht="18.95" customHeight="1">
      <c r="A1738" s="7" t="s">
        <v>4509</v>
      </c>
      <c r="B1738" s="7" t="s">
        <v>4507</v>
      </c>
      <c r="C1738" s="7" t="s">
        <v>428</v>
      </c>
      <c r="D1738" s="7" t="s">
        <v>93</v>
      </c>
      <c r="E1738" s="7" t="s">
        <v>46</v>
      </c>
      <c r="F1738" s="7" t="s">
        <v>98</v>
      </c>
      <c r="G1738" s="7" t="s">
        <v>4510</v>
      </c>
      <c r="I1738" s="1">
        <f t="shared" si="135"/>
        <v>1</v>
      </c>
      <c r="J1738" s="1" t="str">
        <f>'Source build'!A1738</f>
        <v>L01732</v>
      </c>
      <c r="K1738" s="1">
        <f>1738</f>
        <v>1738</v>
      </c>
      <c r="L1738" s="10">
        <f t="shared" si="136"/>
        <v>13638</v>
      </c>
      <c r="M1738" s="1">
        <f t="shared" si="137"/>
        <v>1</v>
      </c>
      <c r="N1738" s="1">
        <f t="shared" si="138"/>
        <v>1</v>
      </c>
      <c r="O1738" s="1" t="str">
        <f>IF(I1738=0,"UNUSED",IF(A1738="","MISSING ID",IF(K1738=0,"UNEXPECTED ID",IF(N1738&lt;&gt;1,"ID / ORDER DIFFERENCE",IF('Source build'!U1738&lt;&gt;"INCLUDED","EXCLUDED SOURCE",IF(NOT(M1738),"INVALID AMOUNT",IF('Source build'!Y1738&lt;&gt;0,"CHANGED FIELDS","MATCH")))))))</f>
        <v>MATCH</v>
      </c>
      <c r="P1738" s="1" t="str">
        <f t="shared" si="139"/>
        <v>2026-01</v>
      </c>
    </row>
    <row r="1739" spans="1:16" ht="18.95" customHeight="1">
      <c r="A1739" s="7" t="s">
        <v>4511</v>
      </c>
      <c r="B1739" s="7" t="s">
        <v>4512</v>
      </c>
      <c r="C1739" s="7" t="s">
        <v>434</v>
      </c>
      <c r="D1739" s="7" t="s">
        <v>97</v>
      </c>
      <c r="E1739" s="7" t="s">
        <v>47</v>
      </c>
      <c r="F1739" s="7" t="s">
        <v>98</v>
      </c>
      <c r="G1739" s="7" t="s">
        <v>4513</v>
      </c>
      <c r="I1739" s="1">
        <f t="shared" si="135"/>
        <v>1</v>
      </c>
      <c r="J1739" s="1" t="str">
        <f>'Source build'!A1739</f>
        <v>L01733</v>
      </c>
      <c r="K1739" s="1">
        <f>1739</f>
        <v>1739</v>
      </c>
      <c r="L1739" s="10">
        <f t="shared" si="136"/>
        <v>22915</v>
      </c>
      <c r="M1739" s="1">
        <f t="shared" si="137"/>
        <v>1</v>
      </c>
      <c r="N1739" s="1">
        <f t="shared" si="138"/>
        <v>1</v>
      </c>
      <c r="O1739" s="1" t="str">
        <f>IF(I1739=0,"UNUSED",IF(A1739="","MISSING ID",IF(K1739=0,"UNEXPECTED ID",IF(N1739&lt;&gt;1,"ID / ORDER DIFFERENCE",IF('Source build'!U1739&lt;&gt;"INCLUDED","EXCLUDED SOURCE",IF(NOT(M1739),"INVALID AMOUNT",IF('Source build'!Y1739&lt;&gt;0,"CHANGED FIELDS","MATCH")))))))</f>
        <v>MATCH</v>
      </c>
      <c r="P1739" s="1" t="str">
        <f t="shared" si="139"/>
        <v>2026-02</v>
      </c>
    </row>
    <row r="1740" spans="1:16" ht="18.95" customHeight="1">
      <c r="A1740" s="7" t="s">
        <v>4514</v>
      </c>
      <c r="B1740" s="7" t="s">
        <v>4512</v>
      </c>
      <c r="C1740" s="7" t="s">
        <v>434</v>
      </c>
      <c r="D1740" s="7" t="s">
        <v>103</v>
      </c>
      <c r="E1740" s="7" t="s">
        <v>48</v>
      </c>
      <c r="F1740" s="7" t="s">
        <v>98</v>
      </c>
      <c r="G1740" s="7" t="s">
        <v>4515</v>
      </c>
      <c r="I1740" s="1">
        <f t="shared" si="135"/>
        <v>1</v>
      </c>
      <c r="J1740" s="1" t="str">
        <f>'Source build'!A1740</f>
        <v>L01734</v>
      </c>
      <c r="K1740" s="1">
        <f>1740</f>
        <v>1740</v>
      </c>
      <c r="L1740" s="10">
        <f t="shared" si="136"/>
        <v>9240</v>
      </c>
      <c r="M1740" s="1">
        <f t="shared" si="137"/>
        <v>1</v>
      </c>
      <c r="N1740" s="1">
        <f t="shared" si="138"/>
        <v>1</v>
      </c>
      <c r="O1740" s="1" t="str">
        <f>IF(I1740=0,"UNUSED",IF(A1740="","MISSING ID",IF(K1740=0,"UNEXPECTED ID",IF(N1740&lt;&gt;1,"ID / ORDER DIFFERENCE",IF('Source build'!U1740&lt;&gt;"INCLUDED","EXCLUDED SOURCE",IF(NOT(M1740),"INVALID AMOUNT",IF('Source build'!Y1740&lt;&gt;0,"CHANGED FIELDS","MATCH")))))))</f>
        <v>MATCH</v>
      </c>
      <c r="P1740" s="1" t="str">
        <f t="shared" si="139"/>
        <v>2026-02</v>
      </c>
    </row>
    <row r="1741" spans="1:16" ht="18.95" customHeight="1">
      <c r="A1741" s="7" t="s">
        <v>4516</v>
      </c>
      <c r="B1741" s="7" t="s">
        <v>4517</v>
      </c>
      <c r="C1741" s="7" t="s">
        <v>440</v>
      </c>
      <c r="D1741" s="7" t="s">
        <v>93</v>
      </c>
      <c r="E1741" s="7" t="s">
        <v>46</v>
      </c>
      <c r="F1741" s="7" t="s">
        <v>98</v>
      </c>
      <c r="G1741" s="7" t="s">
        <v>4518</v>
      </c>
      <c r="I1741" s="1">
        <f t="shared" si="135"/>
        <v>1</v>
      </c>
      <c r="J1741" s="1" t="str">
        <f>'Source build'!A1741</f>
        <v>L01735</v>
      </c>
      <c r="K1741" s="1">
        <f>1741</f>
        <v>1741</v>
      </c>
      <c r="L1741" s="10">
        <f t="shared" si="136"/>
        <v>18628</v>
      </c>
      <c r="M1741" s="1">
        <f t="shared" si="137"/>
        <v>1</v>
      </c>
      <c r="N1741" s="1">
        <f t="shared" si="138"/>
        <v>1</v>
      </c>
      <c r="O1741" s="1" t="str">
        <f>IF(I1741=0,"UNUSED",IF(A1741="","MISSING ID",IF(K1741=0,"UNEXPECTED ID",IF(N1741&lt;&gt;1,"ID / ORDER DIFFERENCE",IF('Source build'!U1741&lt;&gt;"INCLUDED","EXCLUDED SOURCE",IF(NOT(M1741),"INVALID AMOUNT",IF('Source build'!Y1741&lt;&gt;0,"CHANGED FIELDS","MATCH")))))))</f>
        <v>MATCH</v>
      </c>
      <c r="P1741" s="1" t="str">
        <f t="shared" si="139"/>
        <v>2026-02</v>
      </c>
    </row>
    <row r="1742" spans="1:16" ht="18.95" customHeight="1">
      <c r="A1742" s="7" t="s">
        <v>4519</v>
      </c>
      <c r="B1742" s="7" t="s">
        <v>4517</v>
      </c>
      <c r="C1742" s="7" t="s">
        <v>440</v>
      </c>
      <c r="D1742" s="7" t="s">
        <v>97</v>
      </c>
      <c r="E1742" s="7" t="s">
        <v>47</v>
      </c>
      <c r="F1742" s="7" t="s">
        <v>98</v>
      </c>
      <c r="G1742" s="7" t="s">
        <v>4520</v>
      </c>
      <c r="I1742" s="1">
        <f t="shared" si="135"/>
        <v>1</v>
      </c>
      <c r="J1742" s="1" t="str">
        <f>'Source build'!A1742</f>
        <v>L01736</v>
      </c>
      <c r="K1742" s="1">
        <f>1742</f>
        <v>1742</v>
      </c>
      <c r="L1742" s="10">
        <f t="shared" si="136"/>
        <v>4694</v>
      </c>
      <c r="M1742" s="1">
        <f t="shared" si="137"/>
        <v>1</v>
      </c>
      <c r="N1742" s="1">
        <f t="shared" si="138"/>
        <v>1</v>
      </c>
      <c r="O1742" s="1" t="str">
        <f>IF(I1742=0,"UNUSED",IF(A1742="","MISSING ID",IF(K1742=0,"UNEXPECTED ID",IF(N1742&lt;&gt;1,"ID / ORDER DIFFERENCE",IF('Source build'!U1742&lt;&gt;"INCLUDED","EXCLUDED SOURCE",IF(NOT(M1742),"INVALID AMOUNT",IF('Source build'!Y1742&lt;&gt;0,"CHANGED FIELDS","MATCH")))))))</f>
        <v>MATCH</v>
      </c>
      <c r="P1742" s="1" t="str">
        <f t="shared" si="139"/>
        <v>2026-02</v>
      </c>
    </row>
    <row r="1743" spans="1:16" ht="18.95" customHeight="1">
      <c r="A1743" s="7" t="s">
        <v>4521</v>
      </c>
      <c r="B1743" s="7" t="s">
        <v>4522</v>
      </c>
      <c r="C1743" s="7" t="s">
        <v>446</v>
      </c>
      <c r="D1743" s="7" t="s">
        <v>103</v>
      </c>
      <c r="E1743" s="7" t="s">
        <v>48</v>
      </c>
      <c r="F1743" s="7" t="s">
        <v>98</v>
      </c>
      <c r="G1743" s="7" t="s">
        <v>4523</v>
      </c>
      <c r="I1743" s="1">
        <f t="shared" si="135"/>
        <v>1</v>
      </c>
      <c r="J1743" s="1" t="str">
        <f>'Source build'!A1743</f>
        <v>L01737</v>
      </c>
      <c r="K1743" s="1">
        <f>1743</f>
        <v>1743</v>
      </c>
      <c r="L1743" s="10">
        <f t="shared" si="136"/>
        <v>14193</v>
      </c>
      <c r="M1743" s="1">
        <f t="shared" si="137"/>
        <v>1</v>
      </c>
      <c r="N1743" s="1">
        <f t="shared" si="138"/>
        <v>1</v>
      </c>
      <c r="O1743" s="1" t="str">
        <f>IF(I1743=0,"UNUSED",IF(A1743="","MISSING ID",IF(K1743=0,"UNEXPECTED ID",IF(N1743&lt;&gt;1,"ID / ORDER DIFFERENCE",IF('Source build'!U1743&lt;&gt;"INCLUDED","EXCLUDED SOURCE",IF(NOT(M1743),"INVALID AMOUNT",IF('Source build'!Y1743&lt;&gt;0,"CHANGED FIELDS","MATCH")))))))</f>
        <v>MATCH</v>
      </c>
      <c r="P1743" s="1" t="str">
        <f t="shared" si="139"/>
        <v>2026-02</v>
      </c>
    </row>
    <row r="1744" spans="1:16" ht="18.95" customHeight="1">
      <c r="A1744" s="7" t="s">
        <v>4524</v>
      </c>
      <c r="B1744" s="7" t="s">
        <v>4522</v>
      </c>
      <c r="C1744" s="7" t="s">
        <v>446</v>
      </c>
      <c r="D1744" s="7" t="s">
        <v>93</v>
      </c>
      <c r="E1744" s="7" t="s">
        <v>46</v>
      </c>
      <c r="F1744" s="7" t="s">
        <v>98</v>
      </c>
      <c r="G1744" s="7" t="s">
        <v>1774</v>
      </c>
      <c r="I1744" s="1">
        <f t="shared" si="135"/>
        <v>1</v>
      </c>
      <c r="J1744" s="1" t="str">
        <f>'Source build'!A1744</f>
        <v>L01738</v>
      </c>
      <c r="K1744" s="1">
        <f>1744</f>
        <v>1744</v>
      </c>
      <c r="L1744" s="10">
        <f t="shared" si="136"/>
        <v>23840</v>
      </c>
      <c r="M1744" s="1">
        <f t="shared" si="137"/>
        <v>1</v>
      </c>
      <c r="N1744" s="1">
        <f t="shared" si="138"/>
        <v>1</v>
      </c>
      <c r="O1744" s="1" t="str">
        <f>IF(I1744=0,"UNUSED",IF(A1744="","MISSING ID",IF(K1744=0,"UNEXPECTED ID",IF(N1744&lt;&gt;1,"ID / ORDER DIFFERENCE",IF('Source build'!U1744&lt;&gt;"INCLUDED","EXCLUDED SOURCE",IF(NOT(M1744),"INVALID AMOUNT",IF('Source build'!Y1744&lt;&gt;0,"CHANGED FIELDS","MATCH")))))))</f>
        <v>MATCH</v>
      </c>
      <c r="P1744" s="1" t="str">
        <f t="shared" si="139"/>
        <v>2026-02</v>
      </c>
    </row>
    <row r="1745" spans="1:16" ht="18.95" customHeight="1">
      <c r="A1745" s="7" t="s">
        <v>4525</v>
      </c>
      <c r="B1745" s="7" t="s">
        <v>4526</v>
      </c>
      <c r="C1745" s="7" t="s">
        <v>452</v>
      </c>
      <c r="D1745" s="7" t="s">
        <v>97</v>
      </c>
      <c r="E1745" s="7" t="s">
        <v>47</v>
      </c>
      <c r="F1745" s="7" t="s">
        <v>98</v>
      </c>
      <c r="G1745" s="7" t="s">
        <v>4527</v>
      </c>
      <c r="I1745" s="1">
        <f t="shared" si="135"/>
        <v>1</v>
      </c>
      <c r="J1745" s="1" t="str">
        <f>'Source build'!A1745</f>
        <v>L01739</v>
      </c>
      <c r="K1745" s="1">
        <f>1745</f>
        <v>1745</v>
      </c>
      <c r="L1745" s="10">
        <f t="shared" si="136"/>
        <v>9610</v>
      </c>
      <c r="M1745" s="1">
        <f t="shared" si="137"/>
        <v>1</v>
      </c>
      <c r="N1745" s="1">
        <f t="shared" si="138"/>
        <v>1</v>
      </c>
      <c r="O1745" s="1" t="str">
        <f>IF(I1745=0,"UNUSED",IF(A1745="","MISSING ID",IF(K1745=0,"UNEXPECTED ID",IF(N1745&lt;&gt;1,"ID / ORDER DIFFERENCE",IF('Source build'!U1745&lt;&gt;"INCLUDED","EXCLUDED SOURCE",IF(NOT(M1745),"INVALID AMOUNT",IF('Source build'!Y1745&lt;&gt;0,"CHANGED FIELDS","MATCH")))))))</f>
        <v>MATCH</v>
      </c>
      <c r="P1745" s="1" t="str">
        <f t="shared" si="139"/>
        <v>2026-02</v>
      </c>
    </row>
    <row r="1746" spans="1:16" ht="18.95" customHeight="1">
      <c r="A1746" s="7" t="s">
        <v>4528</v>
      </c>
      <c r="B1746" s="7" t="s">
        <v>4526</v>
      </c>
      <c r="C1746" s="7" t="s">
        <v>452</v>
      </c>
      <c r="D1746" s="7" t="s">
        <v>103</v>
      </c>
      <c r="E1746" s="7" t="s">
        <v>48</v>
      </c>
      <c r="F1746" s="7" t="s">
        <v>98</v>
      </c>
      <c r="G1746" s="7" t="s">
        <v>4529</v>
      </c>
      <c r="I1746" s="1">
        <f t="shared" si="135"/>
        <v>1</v>
      </c>
      <c r="J1746" s="1" t="str">
        <f>'Source build'!A1746</f>
        <v>L01740</v>
      </c>
      <c r="K1746" s="1">
        <f>1746</f>
        <v>1746</v>
      </c>
      <c r="L1746" s="10">
        <f t="shared" si="136"/>
        <v>19368</v>
      </c>
      <c r="M1746" s="1">
        <f t="shared" si="137"/>
        <v>1</v>
      </c>
      <c r="N1746" s="1">
        <f t="shared" si="138"/>
        <v>1</v>
      </c>
      <c r="O1746" s="1" t="str">
        <f>IF(I1746=0,"UNUSED",IF(A1746="","MISSING ID",IF(K1746=0,"UNEXPECTED ID",IF(N1746&lt;&gt;1,"ID / ORDER DIFFERENCE",IF('Source build'!U1746&lt;&gt;"INCLUDED","EXCLUDED SOURCE",IF(NOT(M1746),"INVALID AMOUNT",IF('Source build'!Y1746&lt;&gt;0,"CHANGED FIELDS","MATCH")))))))</f>
        <v>MATCH</v>
      </c>
      <c r="P1746" s="1" t="str">
        <f t="shared" si="139"/>
        <v>2026-02</v>
      </c>
    </row>
    <row r="1747" spans="1:16" ht="18.95" customHeight="1">
      <c r="A1747" s="7" t="s">
        <v>4530</v>
      </c>
      <c r="B1747" s="7" t="s">
        <v>4531</v>
      </c>
      <c r="C1747" s="7" t="s">
        <v>458</v>
      </c>
      <c r="D1747" s="7" t="s">
        <v>93</v>
      </c>
      <c r="E1747" s="7" t="s">
        <v>46</v>
      </c>
      <c r="F1747" s="7" t="s">
        <v>98</v>
      </c>
      <c r="G1747" s="7" t="s">
        <v>4532</v>
      </c>
      <c r="I1747" s="1">
        <f t="shared" si="135"/>
        <v>1</v>
      </c>
      <c r="J1747" s="1" t="str">
        <f>'Source build'!A1747</f>
        <v>L01741</v>
      </c>
      <c r="K1747" s="1">
        <f>1747</f>
        <v>1747</v>
      </c>
      <c r="L1747" s="10">
        <f t="shared" si="136"/>
        <v>4879</v>
      </c>
      <c r="M1747" s="1">
        <f t="shared" si="137"/>
        <v>1</v>
      </c>
      <c r="N1747" s="1">
        <f t="shared" si="138"/>
        <v>1</v>
      </c>
      <c r="O1747" s="1" t="str">
        <f>IF(I1747=0,"UNUSED",IF(A1747="","MISSING ID",IF(K1747=0,"UNEXPECTED ID",IF(N1747&lt;&gt;1,"ID / ORDER DIFFERENCE",IF('Source build'!U1747&lt;&gt;"INCLUDED","EXCLUDED SOURCE",IF(NOT(M1747),"INVALID AMOUNT",IF('Source build'!Y1747&lt;&gt;0,"CHANGED FIELDS","MATCH")))))))</f>
        <v>MATCH</v>
      </c>
      <c r="P1747" s="1" t="str">
        <f t="shared" si="139"/>
        <v>2026-03</v>
      </c>
    </row>
    <row r="1748" spans="1:16" ht="18.95" customHeight="1">
      <c r="A1748" s="7" t="s">
        <v>4533</v>
      </c>
      <c r="B1748" s="7" t="s">
        <v>4531</v>
      </c>
      <c r="C1748" s="7" t="s">
        <v>458</v>
      </c>
      <c r="D1748" s="7" t="s">
        <v>97</v>
      </c>
      <c r="E1748" s="7" t="s">
        <v>47</v>
      </c>
      <c r="F1748" s="7" t="s">
        <v>98</v>
      </c>
      <c r="G1748" s="7" t="s">
        <v>4534</v>
      </c>
      <c r="I1748" s="1">
        <f t="shared" si="135"/>
        <v>1</v>
      </c>
      <c r="J1748" s="1" t="str">
        <f>'Source build'!A1748</f>
        <v>L01742</v>
      </c>
      <c r="K1748" s="1">
        <f>1748</f>
        <v>1748</v>
      </c>
      <c r="L1748" s="10">
        <f t="shared" si="136"/>
        <v>14748</v>
      </c>
      <c r="M1748" s="1">
        <f t="shared" si="137"/>
        <v>1</v>
      </c>
      <c r="N1748" s="1">
        <f t="shared" si="138"/>
        <v>1</v>
      </c>
      <c r="O1748" s="1" t="str">
        <f>IF(I1748=0,"UNUSED",IF(A1748="","MISSING ID",IF(K1748=0,"UNEXPECTED ID",IF(N1748&lt;&gt;1,"ID / ORDER DIFFERENCE",IF('Source build'!U1748&lt;&gt;"INCLUDED","EXCLUDED SOURCE",IF(NOT(M1748),"INVALID AMOUNT",IF('Source build'!Y1748&lt;&gt;0,"CHANGED FIELDS","MATCH")))))))</f>
        <v>MATCH</v>
      </c>
      <c r="P1748" s="1" t="str">
        <f t="shared" si="139"/>
        <v>2026-03</v>
      </c>
    </row>
    <row r="1749" spans="1:16" ht="18.95" customHeight="1">
      <c r="A1749" s="7" t="s">
        <v>4535</v>
      </c>
      <c r="B1749" s="7" t="s">
        <v>4536</v>
      </c>
      <c r="C1749" s="7" t="s">
        <v>464</v>
      </c>
      <c r="D1749" s="7" t="s">
        <v>103</v>
      </c>
      <c r="E1749" s="7" t="s">
        <v>48</v>
      </c>
      <c r="F1749" s="7" t="s">
        <v>98</v>
      </c>
      <c r="G1749" s="7" t="s">
        <v>4537</v>
      </c>
      <c r="I1749" s="1">
        <f t="shared" si="135"/>
        <v>1</v>
      </c>
      <c r="J1749" s="1" t="str">
        <f>'Source build'!A1749</f>
        <v>L01743</v>
      </c>
      <c r="K1749" s="1">
        <f>1749</f>
        <v>1749</v>
      </c>
      <c r="L1749" s="10">
        <f t="shared" si="136"/>
        <v>24765</v>
      </c>
      <c r="M1749" s="1">
        <f t="shared" si="137"/>
        <v>1</v>
      </c>
      <c r="N1749" s="1">
        <f t="shared" si="138"/>
        <v>1</v>
      </c>
      <c r="O1749" s="1" t="str">
        <f>IF(I1749=0,"UNUSED",IF(A1749="","MISSING ID",IF(K1749=0,"UNEXPECTED ID",IF(N1749&lt;&gt;1,"ID / ORDER DIFFERENCE",IF('Source build'!U1749&lt;&gt;"INCLUDED","EXCLUDED SOURCE",IF(NOT(M1749),"INVALID AMOUNT",IF('Source build'!Y1749&lt;&gt;0,"CHANGED FIELDS","MATCH")))))))</f>
        <v>MATCH</v>
      </c>
      <c r="P1749" s="1" t="str">
        <f t="shared" si="139"/>
        <v>2026-03</v>
      </c>
    </row>
    <row r="1750" spans="1:16" ht="18.95" customHeight="1">
      <c r="A1750" s="7" t="s">
        <v>4538</v>
      </c>
      <c r="B1750" s="7" t="s">
        <v>4536</v>
      </c>
      <c r="C1750" s="7" t="s">
        <v>464</v>
      </c>
      <c r="D1750" s="7" t="s">
        <v>93</v>
      </c>
      <c r="E1750" s="7" t="s">
        <v>46</v>
      </c>
      <c r="F1750" s="7" t="s">
        <v>98</v>
      </c>
      <c r="G1750" s="7" t="s">
        <v>4539</v>
      </c>
      <c r="I1750" s="1">
        <f t="shared" si="135"/>
        <v>1</v>
      </c>
      <c r="J1750" s="1" t="str">
        <f>'Source build'!A1750</f>
        <v>L01744</v>
      </c>
      <c r="K1750" s="1">
        <f>1750</f>
        <v>1750</v>
      </c>
      <c r="L1750" s="10">
        <f t="shared" si="136"/>
        <v>9980</v>
      </c>
      <c r="M1750" s="1">
        <f t="shared" si="137"/>
        <v>1</v>
      </c>
      <c r="N1750" s="1">
        <f t="shared" si="138"/>
        <v>1</v>
      </c>
      <c r="O1750" s="1" t="str">
        <f>IF(I1750=0,"UNUSED",IF(A1750="","MISSING ID",IF(K1750=0,"UNEXPECTED ID",IF(N1750&lt;&gt;1,"ID / ORDER DIFFERENCE",IF('Source build'!U1750&lt;&gt;"INCLUDED","EXCLUDED SOURCE",IF(NOT(M1750),"INVALID AMOUNT",IF('Source build'!Y1750&lt;&gt;0,"CHANGED FIELDS","MATCH")))))))</f>
        <v>MATCH</v>
      </c>
      <c r="P1750" s="1" t="str">
        <f t="shared" si="139"/>
        <v>2026-03</v>
      </c>
    </row>
    <row r="1751" spans="1:16" ht="18.95" customHeight="1">
      <c r="A1751" s="7" t="s">
        <v>4540</v>
      </c>
      <c r="B1751" s="7" t="s">
        <v>4541</v>
      </c>
      <c r="C1751" s="7" t="s">
        <v>470</v>
      </c>
      <c r="D1751" s="7" t="s">
        <v>97</v>
      </c>
      <c r="E1751" s="7" t="s">
        <v>47</v>
      </c>
      <c r="F1751" s="7" t="s">
        <v>98</v>
      </c>
      <c r="G1751" s="7" t="s">
        <v>4542</v>
      </c>
      <c r="I1751" s="1">
        <f t="shared" si="135"/>
        <v>1</v>
      </c>
      <c r="J1751" s="1" t="str">
        <f>'Source build'!A1751</f>
        <v>L01745</v>
      </c>
      <c r="K1751" s="1">
        <f>1751</f>
        <v>1751</v>
      </c>
      <c r="L1751" s="10">
        <f t="shared" si="136"/>
        <v>20108</v>
      </c>
      <c r="M1751" s="1">
        <f t="shared" si="137"/>
        <v>1</v>
      </c>
      <c r="N1751" s="1">
        <f t="shared" si="138"/>
        <v>1</v>
      </c>
      <c r="O1751" s="1" t="str">
        <f>IF(I1751=0,"UNUSED",IF(A1751="","MISSING ID",IF(K1751=0,"UNEXPECTED ID",IF(N1751&lt;&gt;1,"ID / ORDER DIFFERENCE",IF('Source build'!U1751&lt;&gt;"INCLUDED","EXCLUDED SOURCE",IF(NOT(M1751),"INVALID AMOUNT",IF('Source build'!Y1751&lt;&gt;0,"CHANGED FIELDS","MATCH")))))))</f>
        <v>MATCH</v>
      </c>
      <c r="P1751" s="1" t="str">
        <f t="shared" si="139"/>
        <v>2026-03</v>
      </c>
    </row>
    <row r="1752" spans="1:16" ht="18.95" customHeight="1">
      <c r="A1752" s="7" t="s">
        <v>4543</v>
      </c>
      <c r="B1752" s="7" t="s">
        <v>4541</v>
      </c>
      <c r="C1752" s="7" t="s">
        <v>470</v>
      </c>
      <c r="D1752" s="7" t="s">
        <v>103</v>
      </c>
      <c r="E1752" s="7" t="s">
        <v>48</v>
      </c>
      <c r="F1752" s="7" t="s">
        <v>98</v>
      </c>
      <c r="G1752" s="7" t="s">
        <v>4544</v>
      </c>
      <c r="I1752" s="1">
        <f t="shared" si="135"/>
        <v>1</v>
      </c>
      <c r="J1752" s="1" t="str">
        <f>'Source build'!A1752</f>
        <v>L01746</v>
      </c>
      <c r="K1752" s="1">
        <f>1752</f>
        <v>1752</v>
      </c>
      <c r="L1752" s="10">
        <f t="shared" si="136"/>
        <v>5064</v>
      </c>
      <c r="M1752" s="1">
        <f t="shared" si="137"/>
        <v>1</v>
      </c>
      <c r="N1752" s="1">
        <f t="shared" si="138"/>
        <v>1</v>
      </c>
      <c r="O1752" s="1" t="str">
        <f>IF(I1752=0,"UNUSED",IF(A1752="","MISSING ID",IF(K1752=0,"UNEXPECTED ID",IF(N1752&lt;&gt;1,"ID / ORDER DIFFERENCE",IF('Source build'!U1752&lt;&gt;"INCLUDED","EXCLUDED SOURCE",IF(NOT(M1752),"INVALID AMOUNT",IF('Source build'!Y1752&lt;&gt;0,"CHANGED FIELDS","MATCH")))))))</f>
        <v>MATCH</v>
      </c>
      <c r="P1752" s="1" t="str">
        <f t="shared" si="139"/>
        <v>2026-03</v>
      </c>
    </row>
    <row r="1753" spans="1:16" ht="18.95" customHeight="1">
      <c r="A1753" s="7" t="s">
        <v>4545</v>
      </c>
      <c r="B1753" s="7" t="s">
        <v>4546</v>
      </c>
      <c r="C1753" s="7" t="s">
        <v>476</v>
      </c>
      <c r="D1753" s="7" t="s">
        <v>93</v>
      </c>
      <c r="E1753" s="7" t="s">
        <v>46</v>
      </c>
      <c r="F1753" s="7" t="s">
        <v>98</v>
      </c>
      <c r="G1753" s="7" t="s">
        <v>4547</v>
      </c>
      <c r="I1753" s="1">
        <f t="shared" si="135"/>
        <v>1</v>
      </c>
      <c r="J1753" s="1" t="str">
        <f>'Source build'!A1753</f>
        <v>L01747</v>
      </c>
      <c r="K1753" s="1">
        <f>1753</f>
        <v>1753</v>
      </c>
      <c r="L1753" s="10">
        <f t="shared" si="136"/>
        <v>15303</v>
      </c>
      <c r="M1753" s="1">
        <f t="shared" si="137"/>
        <v>1</v>
      </c>
      <c r="N1753" s="1">
        <f t="shared" si="138"/>
        <v>1</v>
      </c>
      <c r="O1753" s="1" t="str">
        <f>IF(I1753=0,"UNUSED",IF(A1753="","MISSING ID",IF(K1753=0,"UNEXPECTED ID",IF(N1753&lt;&gt;1,"ID / ORDER DIFFERENCE",IF('Source build'!U1753&lt;&gt;"INCLUDED","EXCLUDED SOURCE",IF(NOT(M1753),"INVALID AMOUNT",IF('Source build'!Y1753&lt;&gt;0,"CHANGED FIELDS","MATCH")))))))</f>
        <v>MATCH</v>
      </c>
      <c r="P1753" s="1" t="str">
        <f t="shared" si="139"/>
        <v>2026-03</v>
      </c>
    </row>
    <row r="1754" spans="1:16" ht="18.95" customHeight="1">
      <c r="A1754" s="7" t="s">
        <v>4548</v>
      </c>
      <c r="B1754" s="7" t="s">
        <v>4546</v>
      </c>
      <c r="C1754" s="7" t="s">
        <v>476</v>
      </c>
      <c r="D1754" s="7" t="s">
        <v>97</v>
      </c>
      <c r="E1754" s="7" t="s">
        <v>47</v>
      </c>
      <c r="F1754" s="7" t="s">
        <v>98</v>
      </c>
      <c r="G1754" s="7" t="s">
        <v>4549</v>
      </c>
      <c r="I1754" s="1">
        <f t="shared" si="135"/>
        <v>1</v>
      </c>
      <c r="J1754" s="1" t="str">
        <f>'Source build'!A1754</f>
        <v>L01748</v>
      </c>
      <c r="K1754" s="1">
        <f>1754</f>
        <v>1754</v>
      </c>
      <c r="L1754" s="10">
        <f t="shared" si="136"/>
        <v>25690</v>
      </c>
      <c r="M1754" s="1">
        <f t="shared" si="137"/>
        <v>1</v>
      </c>
      <c r="N1754" s="1">
        <f t="shared" si="138"/>
        <v>1</v>
      </c>
      <c r="O1754" s="1" t="str">
        <f>IF(I1754=0,"UNUSED",IF(A1754="","MISSING ID",IF(K1754=0,"UNEXPECTED ID",IF(N1754&lt;&gt;1,"ID / ORDER DIFFERENCE",IF('Source build'!U1754&lt;&gt;"INCLUDED","EXCLUDED SOURCE",IF(NOT(M1754),"INVALID AMOUNT",IF('Source build'!Y1754&lt;&gt;0,"CHANGED FIELDS","MATCH")))))))</f>
        <v>MATCH</v>
      </c>
      <c r="P1754" s="1" t="str">
        <f t="shared" si="139"/>
        <v>2026-03</v>
      </c>
    </row>
    <row r="1755" spans="1:16" ht="18.95" customHeight="1">
      <c r="A1755" s="7" t="s">
        <v>4550</v>
      </c>
      <c r="B1755" s="7" t="s">
        <v>4551</v>
      </c>
      <c r="C1755" s="7" t="s">
        <v>482</v>
      </c>
      <c r="D1755" s="7" t="s">
        <v>103</v>
      </c>
      <c r="E1755" s="7" t="s">
        <v>48</v>
      </c>
      <c r="F1755" s="7" t="s">
        <v>94</v>
      </c>
      <c r="G1755" s="7" t="s">
        <v>4552</v>
      </c>
      <c r="I1755" s="1">
        <f t="shared" si="135"/>
        <v>1</v>
      </c>
      <c r="J1755" s="1" t="str">
        <f>'Source build'!A1755</f>
        <v>L01749</v>
      </c>
      <c r="K1755" s="1">
        <f>1755</f>
        <v>1755</v>
      </c>
      <c r="L1755" s="10">
        <f t="shared" si="136"/>
        <v>-10350</v>
      </c>
      <c r="M1755" s="1">
        <f t="shared" si="137"/>
        <v>1</v>
      </c>
      <c r="N1755" s="1">
        <f t="shared" si="138"/>
        <v>1</v>
      </c>
      <c r="O1755" s="1" t="str">
        <f>IF(I1755=0,"UNUSED",IF(A1755="","MISSING ID",IF(K1755=0,"UNEXPECTED ID",IF(N1755&lt;&gt;1,"ID / ORDER DIFFERENCE",IF('Source build'!U1755&lt;&gt;"INCLUDED","EXCLUDED SOURCE",IF(NOT(M1755),"INVALID AMOUNT",IF('Source build'!Y1755&lt;&gt;0,"CHANGED FIELDS","MATCH")))))))</f>
        <v>MATCH</v>
      </c>
      <c r="P1755" s="1" t="str">
        <f t="shared" si="139"/>
        <v>2026-03</v>
      </c>
    </row>
    <row r="1756" spans="1:16" ht="18.95" customHeight="1">
      <c r="A1756" s="7" t="s">
        <v>4553</v>
      </c>
      <c r="B1756" s="7" t="s">
        <v>4551</v>
      </c>
      <c r="C1756" s="7" t="s">
        <v>482</v>
      </c>
      <c r="D1756" s="7" t="s">
        <v>93</v>
      </c>
      <c r="E1756" s="7" t="s">
        <v>46</v>
      </c>
      <c r="F1756" s="7" t="s">
        <v>98</v>
      </c>
      <c r="G1756" s="7" t="s">
        <v>4554</v>
      </c>
      <c r="I1756" s="1">
        <f t="shared" si="135"/>
        <v>1</v>
      </c>
      <c r="J1756" s="1" t="str">
        <f>'Source build'!A1756</f>
        <v>L01750</v>
      </c>
      <c r="K1756" s="1">
        <f>1756</f>
        <v>1756</v>
      </c>
      <c r="L1756" s="10">
        <f t="shared" si="136"/>
        <v>20848</v>
      </c>
      <c r="M1756" s="1">
        <f t="shared" si="137"/>
        <v>1</v>
      </c>
      <c r="N1756" s="1">
        <f t="shared" si="138"/>
        <v>1</v>
      </c>
      <c r="O1756" s="1" t="str">
        <f>IF(I1756=0,"UNUSED",IF(A1756="","MISSING ID",IF(K1756=0,"UNEXPECTED ID",IF(N1756&lt;&gt;1,"ID / ORDER DIFFERENCE",IF('Source build'!U1756&lt;&gt;"INCLUDED","EXCLUDED SOURCE",IF(NOT(M1756),"INVALID AMOUNT",IF('Source build'!Y1756&lt;&gt;0,"CHANGED FIELDS","MATCH")))))))</f>
        <v>MATCH</v>
      </c>
      <c r="P1756" s="1" t="str">
        <f t="shared" si="139"/>
        <v>2026-03</v>
      </c>
    </row>
    <row r="1757" spans="1:16" ht="18.95" customHeight="1">
      <c r="A1757" s="7" t="s">
        <v>4555</v>
      </c>
      <c r="B1757" s="7" t="s">
        <v>4556</v>
      </c>
      <c r="C1757" s="7" t="s">
        <v>488</v>
      </c>
      <c r="D1757" s="7" t="s">
        <v>97</v>
      </c>
      <c r="E1757" s="7" t="s">
        <v>47</v>
      </c>
      <c r="F1757" s="7" t="s">
        <v>98</v>
      </c>
      <c r="G1757" s="7" t="s">
        <v>4557</v>
      </c>
      <c r="I1757" s="1">
        <f t="shared" si="135"/>
        <v>1</v>
      </c>
      <c r="J1757" s="1" t="str">
        <f>'Source build'!A1757</f>
        <v>L01751</v>
      </c>
      <c r="K1757" s="1">
        <f>1757</f>
        <v>1757</v>
      </c>
      <c r="L1757" s="10">
        <f t="shared" si="136"/>
        <v>5249</v>
      </c>
      <c r="M1757" s="1">
        <f t="shared" si="137"/>
        <v>1</v>
      </c>
      <c r="N1757" s="1">
        <f t="shared" si="138"/>
        <v>1</v>
      </c>
      <c r="O1757" s="1" t="str">
        <f>IF(I1757=0,"UNUSED",IF(A1757="","MISSING ID",IF(K1757=0,"UNEXPECTED ID",IF(N1757&lt;&gt;1,"ID / ORDER DIFFERENCE",IF('Source build'!U1757&lt;&gt;"INCLUDED","EXCLUDED SOURCE",IF(NOT(M1757),"INVALID AMOUNT",IF('Source build'!Y1757&lt;&gt;0,"CHANGED FIELDS","MATCH")))))))</f>
        <v>MATCH</v>
      </c>
      <c r="P1757" s="1" t="str">
        <f t="shared" si="139"/>
        <v>2026-01</v>
      </c>
    </row>
    <row r="1758" spans="1:16" ht="18.95" customHeight="1">
      <c r="A1758" s="7" t="s">
        <v>4558</v>
      </c>
      <c r="B1758" s="7" t="s">
        <v>4556</v>
      </c>
      <c r="C1758" s="7" t="s">
        <v>488</v>
      </c>
      <c r="D1758" s="7" t="s">
        <v>103</v>
      </c>
      <c r="E1758" s="7" t="s">
        <v>48</v>
      </c>
      <c r="F1758" s="7" t="s">
        <v>98</v>
      </c>
      <c r="G1758" s="7" t="s">
        <v>4559</v>
      </c>
      <c r="I1758" s="1">
        <f t="shared" si="135"/>
        <v>1</v>
      </c>
      <c r="J1758" s="1" t="str">
        <f>'Source build'!A1758</f>
        <v>L01752</v>
      </c>
      <c r="K1758" s="1">
        <f>1758</f>
        <v>1758</v>
      </c>
      <c r="L1758" s="10">
        <f t="shared" si="136"/>
        <v>15858</v>
      </c>
      <c r="M1758" s="1">
        <f t="shared" si="137"/>
        <v>1</v>
      </c>
      <c r="N1758" s="1">
        <f t="shared" si="138"/>
        <v>1</v>
      </c>
      <c r="O1758" s="1" t="str">
        <f>IF(I1758=0,"UNUSED",IF(A1758="","MISSING ID",IF(K1758=0,"UNEXPECTED ID",IF(N1758&lt;&gt;1,"ID / ORDER DIFFERENCE",IF('Source build'!U1758&lt;&gt;"INCLUDED","EXCLUDED SOURCE",IF(NOT(M1758),"INVALID AMOUNT",IF('Source build'!Y1758&lt;&gt;0,"CHANGED FIELDS","MATCH")))))))</f>
        <v>MATCH</v>
      </c>
      <c r="P1758" s="1" t="str">
        <f t="shared" si="139"/>
        <v>2026-01</v>
      </c>
    </row>
    <row r="1759" spans="1:16" ht="18.95" customHeight="1">
      <c r="A1759" s="7" t="s">
        <v>4560</v>
      </c>
      <c r="B1759" s="7" t="s">
        <v>4561</v>
      </c>
      <c r="C1759" s="7" t="s">
        <v>494</v>
      </c>
      <c r="D1759" s="7" t="s">
        <v>93</v>
      </c>
      <c r="E1759" s="7" t="s">
        <v>46</v>
      </c>
      <c r="F1759" s="7" t="s">
        <v>98</v>
      </c>
      <c r="G1759" s="7" t="s">
        <v>4562</v>
      </c>
      <c r="I1759" s="1">
        <f t="shared" si="135"/>
        <v>1</v>
      </c>
      <c r="J1759" s="1" t="str">
        <f>'Source build'!A1759</f>
        <v>L01753</v>
      </c>
      <c r="K1759" s="1">
        <f>1759</f>
        <v>1759</v>
      </c>
      <c r="L1759" s="10">
        <f t="shared" si="136"/>
        <v>26615</v>
      </c>
      <c r="M1759" s="1">
        <f t="shared" si="137"/>
        <v>1</v>
      </c>
      <c r="N1759" s="1">
        <f t="shared" si="138"/>
        <v>1</v>
      </c>
      <c r="O1759" s="1" t="str">
        <f>IF(I1759=0,"UNUSED",IF(A1759="","MISSING ID",IF(K1759=0,"UNEXPECTED ID",IF(N1759&lt;&gt;1,"ID / ORDER DIFFERENCE",IF('Source build'!U1759&lt;&gt;"INCLUDED","EXCLUDED SOURCE",IF(NOT(M1759),"INVALID AMOUNT",IF('Source build'!Y1759&lt;&gt;0,"CHANGED FIELDS","MATCH")))))))</f>
        <v>MATCH</v>
      </c>
      <c r="P1759" s="1" t="str">
        <f t="shared" si="139"/>
        <v>2026-01</v>
      </c>
    </row>
    <row r="1760" spans="1:16" ht="18.95" customHeight="1">
      <c r="A1760" s="7" t="s">
        <v>4563</v>
      </c>
      <c r="B1760" s="7" t="s">
        <v>4561</v>
      </c>
      <c r="C1760" s="7" t="s">
        <v>494</v>
      </c>
      <c r="D1760" s="7" t="s">
        <v>97</v>
      </c>
      <c r="E1760" s="7" t="s">
        <v>47</v>
      </c>
      <c r="F1760" s="7" t="s">
        <v>98</v>
      </c>
      <c r="G1760" s="7" t="s">
        <v>4564</v>
      </c>
      <c r="I1760" s="1">
        <f t="shared" si="135"/>
        <v>1</v>
      </c>
      <c r="J1760" s="1" t="str">
        <f>'Source build'!A1760</f>
        <v>L01754</v>
      </c>
      <c r="K1760" s="1">
        <f>1760</f>
        <v>1760</v>
      </c>
      <c r="L1760" s="10">
        <f t="shared" si="136"/>
        <v>10720</v>
      </c>
      <c r="M1760" s="1">
        <f t="shared" si="137"/>
        <v>1</v>
      </c>
      <c r="N1760" s="1">
        <f t="shared" si="138"/>
        <v>1</v>
      </c>
      <c r="O1760" s="1" t="str">
        <f>IF(I1760=0,"UNUSED",IF(A1760="","MISSING ID",IF(K1760=0,"UNEXPECTED ID",IF(N1760&lt;&gt;1,"ID / ORDER DIFFERENCE",IF('Source build'!U1760&lt;&gt;"INCLUDED","EXCLUDED SOURCE",IF(NOT(M1760),"INVALID AMOUNT",IF('Source build'!Y1760&lt;&gt;0,"CHANGED FIELDS","MATCH")))))))</f>
        <v>MATCH</v>
      </c>
      <c r="P1760" s="1" t="str">
        <f t="shared" si="139"/>
        <v>2026-01</v>
      </c>
    </row>
    <row r="1761" spans="1:16" ht="18.95" customHeight="1">
      <c r="A1761" s="7" t="s">
        <v>4565</v>
      </c>
      <c r="B1761" s="7" t="s">
        <v>4566</v>
      </c>
      <c r="C1761" s="7" t="s">
        <v>500</v>
      </c>
      <c r="D1761" s="7" t="s">
        <v>103</v>
      </c>
      <c r="E1761" s="7" t="s">
        <v>48</v>
      </c>
      <c r="F1761" s="7" t="s">
        <v>98</v>
      </c>
      <c r="G1761" s="7" t="s">
        <v>641</v>
      </c>
      <c r="I1761" s="1">
        <f t="shared" si="135"/>
        <v>1</v>
      </c>
      <c r="J1761" s="1" t="str">
        <f>'Source build'!A1761</f>
        <v>L01755</v>
      </c>
      <c r="K1761" s="1">
        <f>1761</f>
        <v>1761</v>
      </c>
      <c r="L1761" s="10">
        <f t="shared" si="136"/>
        <v>21588</v>
      </c>
      <c r="M1761" s="1">
        <f t="shared" si="137"/>
        <v>1</v>
      </c>
      <c r="N1761" s="1">
        <f t="shared" si="138"/>
        <v>1</v>
      </c>
      <c r="O1761" s="1" t="str">
        <f>IF(I1761=0,"UNUSED",IF(A1761="","MISSING ID",IF(K1761=0,"UNEXPECTED ID",IF(N1761&lt;&gt;1,"ID / ORDER DIFFERENCE",IF('Source build'!U1761&lt;&gt;"INCLUDED","EXCLUDED SOURCE",IF(NOT(M1761),"INVALID AMOUNT",IF('Source build'!Y1761&lt;&gt;0,"CHANGED FIELDS","MATCH")))))))</f>
        <v>MATCH</v>
      </c>
      <c r="P1761" s="1" t="str">
        <f t="shared" si="139"/>
        <v>2026-01</v>
      </c>
    </row>
    <row r="1762" spans="1:16" ht="18.95" customHeight="1">
      <c r="A1762" s="7" t="s">
        <v>4567</v>
      </c>
      <c r="B1762" s="7" t="s">
        <v>4566</v>
      </c>
      <c r="C1762" s="7" t="s">
        <v>500</v>
      </c>
      <c r="D1762" s="7" t="s">
        <v>93</v>
      </c>
      <c r="E1762" s="7" t="s">
        <v>46</v>
      </c>
      <c r="F1762" s="7" t="s">
        <v>98</v>
      </c>
      <c r="G1762" s="7" t="s">
        <v>4568</v>
      </c>
      <c r="I1762" s="1">
        <f t="shared" si="135"/>
        <v>1</v>
      </c>
      <c r="J1762" s="1" t="str">
        <f>'Source build'!A1762</f>
        <v>L01756</v>
      </c>
      <c r="K1762" s="1">
        <f>1762</f>
        <v>1762</v>
      </c>
      <c r="L1762" s="10">
        <f t="shared" si="136"/>
        <v>5434</v>
      </c>
      <c r="M1762" s="1">
        <f t="shared" si="137"/>
        <v>1</v>
      </c>
      <c r="N1762" s="1">
        <f t="shared" si="138"/>
        <v>1</v>
      </c>
      <c r="O1762" s="1" t="str">
        <f>IF(I1762=0,"UNUSED",IF(A1762="","MISSING ID",IF(K1762=0,"UNEXPECTED ID",IF(N1762&lt;&gt;1,"ID / ORDER DIFFERENCE",IF('Source build'!U1762&lt;&gt;"INCLUDED","EXCLUDED SOURCE",IF(NOT(M1762),"INVALID AMOUNT",IF('Source build'!Y1762&lt;&gt;0,"CHANGED FIELDS","MATCH")))))))</f>
        <v>MATCH</v>
      </c>
      <c r="P1762" s="1" t="str">
        <f t="shared" si="139"/>
        <v>2026-01</v>
      </c>
    </row>
    <row r="1763" spans="1:16" ht="18.95" customHeight="1">
      <c r="A1763" s="7" t="s">
        <v>4569</v>
      </c>
      <c r="B1763" s="7" t="s">
        <v>4570</v>
      </c>
      <c r="C1763" s="7" t="s">
        <v>506</v>
      </c>
      <c r="D1763" s="7" t="s">
        <v>97</v>
      </c>
      <c r="E1763" s="7" t="s">
        <v>47</v>
      </c>
      <c r="F1763" s="7" t="s">
        <v>98</v>
      </c>
      <c r="G1763" s="7" t="s">
        <v>4571</v>
      </c>
      <c r="I1763" s="1">
        <f t="shared" si="135"/>
        <v>1</v>
      </c>
      <c r="J1763" s="1" t="str">
        <f>'Source build'!A1763</f>
        <v>L01757</v>
      </c>
      <c r="K1763" s="1">
        <f>1763</f>
        <v>1763</v>
      </c>
      <c r="L1763" s="10">
        <f t="shared" si="136"/>
        <v>16413</v>
      </c>
      <c r="M1763" s="1">
        <f t="shared" si="137"/>
        <v>1</v>
      </c>
      <c r="N1763" s="1">
        <f t="shared" si="138"/>
        <v>1</v>
      </c>
      <c r="O1763" s="1" t="str">
        <f>IF(I1763=0,"UNUSED",IF(A1763="","MISSING ID",IF(K1763=0,"UNEXPECTED ID",IF(N1763&lt;&gt;1,"ID / ORDER DIFFERENCE",IF('Source build'!U1763&lt;&gt;"INCLUDED","EXCLUDED SOURCE",IF(NOT(M1763),"INVALID AMOUNT",IF('Source build'!Y1763&lt;&gt;0,"CHANGED FIELDS","MATCH")))))))</f>
        <v>MATCH</v>
      </c>
      <c r="P1763" s="1" t="str">
        <f t="shared" si="139"/>
        <v>2026-01</v>
      </c>
    </row>
    <row r="1764" spans="1:16" ht="18.95" customHeight="1">
      <c r="A1764" s="7" t="s">
        <v>4572</v>
      </c>
      <c r="B1764" s="7" t="s">
        <v>4570</v>
      </c>
      <c r="C1764" s="7" t="s">
        <v>506</v>
      </c>
      <c r="D1764" s="7" t="s">
        <v>103</v>
      </c>
      <c r="E1764" s="7" t="s">
        <v>48</v>
      </c>
      <c r="F1764" s="7" t="s">
        <v>98</v>
      </c>
      <c r="G1764" s="7" t="s">
        <v>4573</v>
      </c>
      <c r="I1764" s="1">
        <f t="shared" si="135"/>
        <v>1</v>
      </c>
      <c r="J1764" s="1" t="str">
        <f>'Source build'!A1764</f>
        <v>L01758</v>
      </c>
      <c r="K1764" s="1">
        <f>1764</f>
        <v>1764</v>
      </c>
      <c r="L1764" s="10">
        <f t="shared" si="136"/>
        <v>27540</v>
      </c>
      <c r="M1764" s="1">
        <f t="shared" si="137"/>
        <v>1</v>
      </c>
      <c r="N1764" s="1">
        <f t="shared" si="138"/>
        <v>1</v>
      </c>
      <c r="O1764" s="1" t="str">
        <f>IF(I1764=0,"UNUSED",IF(A1764="","MISSING ID",IF(K1764=0,"UNEXPECTED ID",IF(N1764&lt;&gt;1,"ID / ORDER DIFFERENCE",IF('Source build'!U1764&lt;&gt;"INCLUDED","EXCLUDED SOURCE",IF(NOT(M1764),"INVALID AMOUNT",IF('Source build'!Y1764&lt;&gt;0,"CHANGED FIELDS","MATCH")))))))</f>
        <v>MATCH</v>
      </c>
      <c r="P1764" s="1" t="str">
        <f t="shared" si="139"/>
        <v>2026-01</v>
      </c>
    </row>
    <row r="1765" spans="1:16" ht="18.95" customHeight="1">
      <c r="A1765" s="7" t="s">
        <v>4574</v>
      </c>
      <c r="B1765" s="7" t="s">
        <v>4575</v>
      </c>
      <c r="C1765" s="7" t="s">
        <v>512</v>
      </c>
      <c r="D1765" s="7" t="s">
        <v>93</v>
      </c>
      <c r="E1765" s="7" t="s">
        <v>46</v>
      </c>
      <c r="F1765" s="7" t="s">
        <v>98</v>
      </c>
      <c r="G1765" s="7" t="s">
        <v>4576</v>
      </c>
      <c r="I1765" s="1">
        <f t="shared" si="135"/>
        <v>1</v>
      </c>
      <c r="J1765" s="1" t="str">
        <f>'Source build'!A1765</f>
        <v>L01759</v>
      </c>
      <c r="K1765" s="1">
        <f>1765</f>
        <v>1765</v>
      </c>
      <c r="L1765" s="10">
        <f t="shared" si="136"/>
        <v>11090</v>
      </c>
      <c r="M1765" s="1">
        <f t="shared" si="137"/>
        <v>1</v>
      </c>
      <c r="N1765" s="1">
        <f t="shared" si="138"/>
        <v>1</v>
      </c>
      <c r="O1765" s="1" t="str">
        <f>IF(I1765=0,"UNUSED",IF(A1765="","MISSING ID",IF(K1765=0,"UNEXPECTED ID",IF(N1765&lt;&gt;1,"ID / ORDER DIFFERENCE",IF('Source build'!U1765&lt;&gt;"INCLUDED","EXCLUDED SOURCE",IF(NOT(M1765),"INVALID AMOUNT",IF('Source build'!Y1765&lt;&gt;0,"CHANGED FIELDS","MATCH")))))))</f>
        <v>MATCH</v>
      </c>
      <c r="P1765" s="1" t="str">
        <f t="shared" si="139"/>
        <v>2026-02</v>
      </c>
    </row>
    <row r="1766" spans="1:16" ht="18.95" customHeight="1">
      <c r="A1766" s="7" t="s">
        <v>4577</v>
      </c>
      <c r="B1766" s="7" t="s">
        <v>4575</v>
      </c>
      <c r="C1766" s="7" t="s">
        <v>512</v>
      </c>
      <c r="D1766" s="7" t="s">
        <v>97</v>
      </c>
      <c r="E1766" s="7" t="s">
        <v>47</v>
      </c>
      <c r="F1766" s="7" t="s">
        <v>98</v>
      </c>
      <c r="G1766" s="7" t="s">
        <v>4578</v>
      </c>
      <c r="I1766" s="1">
        <f t="shared" si="135"/>
        <v>1</v>
      </c>
      <c r="J1766" s="1" t="str">
        <f>'Source build'!A1766</f>
        <v>L01760</v>
      </c>
      <c r="K1766" s="1">
        <f>1766</f>
        <v>1766</v>
      </c>
      <c r="L1766" s="10">
        <f t="shared" si="136"/>
        <v>22328</v>
      </c>
      <c r="M1766" s="1">
        <f t="shared" si="137"/>
        <v>1</v>
      </c>
      <c r="N1766" s="1">
        <f t="shared" si="138"/>
        <v>1</v>
      </c>
      <c r="O1766" s="1" t="str">
        <f>IF(I1766=0,"UNUSED",IF(A1766="","MISSING ID",IF(K1766=0,"UNEXPECTED ID",IF(N1766&lt;&gt;1,"ID / ORDER DIFFERENCE",IF('Source build'!U1766&lt;&gt;"INCLUDED","EXCLUDED SOURCE",IF(NOT(M1766),"INVALID AMOUNT",IF('Source build'!Y1766&lt;&gt;0,"CHANGED FIELDS","MATCH")))))))</f>
        <v>MATCH</v>
      </c>
      <c r="P1766" s="1" t="str">
        <f t="shared" si="139"/>
        <v>2026-02</v>
      </c>
    </row>
    <row r="1767" spans="1:16" ht="18.95" customHeight="1">
      <c r="A1767" s="7" t="s">
        <v>4579</v>
      </c>
      <c r="B1767" s="7" t="s">
        <v>4580</v>
      </c>
      <c r="C1767" s="7" t="s">
        <v>518</v>
      </c>
      <c r="D1767" s="7" t="s">
        <v>103</v>
      </c>
      <c r="E1767" s="7" t="s">
        <v>48</v>
      </c>
      <c r="F1767" s="7" t="s">
        <v>98</v>
      </c>
      <c r="G1767" s="7" t="s">
        <v>4581</v>
      </c>
      <c r="I1767" s="1">
        <f t="shared" si="135"/>
        <v>1</v>
      </c>
      <c r="J1767" s="1" t="str">
        <f>'Source build'!A1767</f>
        <v>L01761</v>
      </c>
      <c r="K1767" s="1">
        <f>1767</f>
        <v>1767</v>
      </c>
      <c r="L1767" s="10">
        <f t="shared" si="136"/>
        <v>5619</v>
      </c>
      <c r="M1767" s="1">
        <f t="shared" si="137"/>
        <v>1</v>
      </c>
      <c r="N1767" s="1">
        <f t="shared" si="138"/>
        <v>1</v>
      </c>
      <c r="O1767" s="1" t="str">
        <f>IF(I1767=0,"UNUSED",IF(A1767="","MISSING ID",IF(K1767=0,"UNEXPECTED ID",IF(N1767&lt;&gt;1,"ID / ORDER DIFFERENCE",IF('Source build'!U1767&lt;&gt;"INCLUDED","EXCLUDED SOURCE",IF(NOT(M1767),"INVALID AMOUNT",IF('Source build'!Y1767&lt;&gt;0,"CHANGED FIELDS","MATCH")))))))</f>
        <v>MATCH</v>
      </c>
      <c r="P1767" s="1" t="str">
        <f t="shared" si="139"/>
        <v>2026-02</v>
      </c>
    </row>
    <row r="1768" spans="1:16" ht="18.95" customHeight="1">
      <c r="A1768" s="7" t="s">
        <v>4582</v>
      </c>
      <c r="B1768" s="7" t="s">
        <v>4580</v>
      </c>
      <c r="C1768" s="7" t="s">
        <v>518</v>
      </c>
      <c r="D1768" s="7" t="s">
        <v>93</v>
      </c>
      <c r="E1768" s="7" t="s">
        <v>46</v>
      </c>
      <c r="F1768" s="7" t="s">
        <v>98</v>
      </c>
      <c r="G1768" s="7" t="s">
        <v>4583</v>
      </c>
      <c r="I1768" s="1">
        <f t="shared" si="135"/>
        <v>1</v>
      </c>
      <c r="J1768" s="1" t="str">
        <f>'Source build'!A1768</f>
        <v>L01762</v>
      </c>
      <c r="K1768" s="1">
        <f>1768</f>
        <v>1768</v>
      </c>
      <c r="L1768" s="10">
        <f t="shared" si="136"/>
        <v>16968</v>
      </c>
      <c r="M1768" s="1">
        <f t="shared" si="137"/>
        <v>1</v>
      </c>
      <c r="N1768" s="1">
        <f t="shared" si="138"/>
        <v>1</v>
      </c>
      <c r="O1768" s="1" t="str">
        <f>IF(I1768=0,"UNUSED",IF(A1768="","MISSING ID",IF(K1768=0,"UNEXPECTED ID",IF(N1768&lt;&gt;1,"ID / ORDER DIFFERENCE",IF('Source build'!U1768&lt;&gt;"INCLUDED","EXCLUDED SOURCE",IF(NOT(M1768),"INVALID AMOUNT",IF('Source build'!Y1768&lt;&gt;0,"CHANGED FIELDS","MATCH")))))))</f>
        <v>MATCH</v>
      </c>
      <c r="P1768" s="1" t="str">
        <f t="shared" si="139"/>
        <v>2026-02</v>
      </c>
    </row>
    <row r="1769" spans="1:16" ht="18.95" customHeight="1">
      <c r="A1769" s="7" t="s">
        <v>4584</v>
      </c>
      <c r="B1769" s="7" t="s">
        <v>4585</v>
      </c>
      <c r="C1769" s="7" t="s">
        <v>524</v>
      </c>
      <c r="D1769" s="7" t="s">
        <v>97</v>
      </c>
      <c r="E1769" s="7" t="s">
        <v>47</v>
      </c>
      <c r="F1769" s="7" t="s">
        <v>98</v>
      </c>
      <c r="G1769" s="7" t="s">
        <v>4586</v>
      </c>
      <c r="I1769" s="1">
        <f t="shared" si="135"/>
        <v>1</v>
      </c>
      <c r="J1769" s="1" t="str">
        <f>'Source build'!A1769</f>
        <v>L01763</v>
      </c>
      <c r="K1769" s="1">
        <f>1769</f>
        <v>1769</v>
      </c>
      <c r="L1769" s="10">
        <f t="shared" si="136"/>
        <v>28465</v>
      </c>
      <c r="M1769" s="1">
        <f t="shared" si="137"/>
        <v>1</v>
      </c>
      <c r="N1769" s="1">
        <f t="shared" si="138"/>
        <v>1</v>
      </c>
      <c r="O1769" s="1" t="str">
        <f>IF(I1769=0,"UNUSED",IF(A1769="","MISSING ID",IF(K1769=0,"UNEXPECTED ID",IF(N1769&lt;&gt;1,"ID / ORDER DIFFERENCE",IF('Source build'!U1769&lt;&gt;"INCLUDED","EXCLUDED SOURCE",IF(NOT(M1769),"INVALID AMOUNT",IF('Source build'!Y1769&lt;&gt;0,"CHANGED FIELDS","MATCH")))))))</f>
        <v>MATCH</v>
      </c>
      <c r="P1769" s="1" t="str">
        <f t="shared" si="139"/>
        <v>2026-02</v>
      </c>
    </row>
    <row r="1770" spans="1:16" ht="18.95" customHeight="1">
      <c r="A1770" s="7" t="s">
        <v>4587</v>
      </c>
      <c r="B1770" s="7" t="s">
        <v>4585</v>
      </c>
      <c r="C1770" s="7" t="s">
        <v>524</v>
      </c>
      <c r="D1770" s="7" t="s">
        <v>103</v>
      </c>
      <c r="E1770" s="7" t="s">
        <v>48</v>
      </c>
      <c r="F1770" s="7" t="s">
        <v>98</v>
      </c>
      <c r="G1770" s="7" t="s">
        <v>4588</v>
      </c>
      <c r="I1770" s="1">
        <f t="shared" si="135"/>
        <v>1</v>
      </c>
      <c r="J1770" s="1" t="str">
        <f>'Source build'!A1770</f>
        <v>L01764</v>
      </c>
      <c r="K1770" s="1">
        <f>1770</f>
        <v>1770</v>
      </c>
      <c r="L1770" s="10">
        <f t="shared" si="136"/>
        <v>11460</v>
      </c>
      <c r="M1770" s="1">
        <f t="shared" si="137"/>
        <v>1</v>
      </c>
      <c r="N1770" s="1">
        <f t="shared" si="138"/>
        <v>1</v>
      </c>
      <c r="O1770" s="1" t="str">
        <f>IF(I1770=0,"UNUSED",IF(A1770="","MISSING ID",IF(K1770=0,"UNEXPECTED ID",IF(N1770&lt;&gt;1,"ID / ORDER DIFFERENCE",IF('Source build'!U1770&lt;&gt;"INCLUDED","EXCLUDED SOURCE",IF(NOT(M1770),"INVALID AMOUNT",IF('Source build'!Y1770&lt;&gt;0,"CHANGED FIELDS","MATCH")))))))</f>
        <v>MATCH</v>
      </c>
      <c r="P1770" s="1" t="str">
        <f t="shared" si="139"/>
        <v>2026-02</v>
      </c>
    </row>
    <row r="1771" spans="1:16" ht="18.95" customHeight="1">
      <c r="A1771" s="7" t="s">
        <v>4589</v>
      </c>
      <c r="B1771" s="7" t="s">
        <v>4590</v>
      </c>
      <c r="C1771" s="7" t="s">
        <v>530</v>
      </c>
      <c r="D1771" s="7" t="s">
        <v>93</v>
      </c>
      <c r="E1771" s="7" t="s">
        <v>46</v>
      </c>
      <c r="F1771" s="7" t="s">
        <v>98</v>
      </c>
      <c r="G1771" s="7" t="s">
        <v>4591</v>
      </c>
      <c r="I1771" s="1">
        <f t="shared" si="135"/>
        <v>1</v>
      </c>
      <c r="J1771" s="1" t="str">
        <f>'Source build'!A1771</f>
        <v>L01765</v>
      </c>
      <c r="K1771" s="1">
        <f>1771</f>
        <v>1771</v>
      </c>
      <c r="L1771" s="10">
        <f t="shared" si="136"/>
        <v>23068</v>
      </c>
      <c r="M1771" s="1">
        <f t="shared" si="137"/>
        <v>1</v>
      </c>
      <c r="N1771" s="1">
        <f t="shared" si="138"/>
        <v>1</v>
      </c>
      <c r="O1771" s="1" t="str">
        <f>IF(I1771=0,"UNUSED",IF(A1771="","MISSING ID",IF(K1771=0,"UNEXPECTED ID",IF(N1771&lt;&gt;1,"ID / ORDER DIFFERENCE",IF('Source build'!U1771&lt;&gt;"INCLUDED","EXCLUDED SOURCE",IF(NOT(M1771),"INVALID AMOUNT",IF('Source build'!Y1771&lt;&gt;0,"CHANGED FIELDS","MATCH")))))))</f>
        <v>MATCH</v>
      </c>
      <c r="P1771" s="1" t="str">
        <f t="shared" si="139"/>
        <v>2026-02</v>
      </c>
    </row>
    <row r="1772" spans="1:16" ht="18.95" customHeight="1">
      <c r="A1772" s="7" t="s">
        <v>4592</v>
      </c>
      <c r="B1772" s="7" t="s">
        <v>4590</v>
      </c>
      <c r="C1772" s="7" t="s">
        <v>530</v>
      </c>
      <c r="D1772" s="7" t="s">
        <v>97</v>
      </c>
      <c r="E1772" s="7" t="s">
        <v>47</v>
      </c>
      <c r="F1772" s="7" t="s">
        <v>98</v>
      </c>
      <c r="G1772" s="7" t="s">
        <v>4593</v>
      </c>
      <c r="I1772" s="1">
        <f t="shared" si="135"/>
        <v>1</v>
      </c>
      <c r="J1772" s="1" t="str">
        <f>'Source build'!A1772</f>
        <v>L01766</v>
      </c>
      <c r="K1772" s="1">
        <f>1772</f>
        <v>1772</v>
      </c>
      <c r="L1772" s="10">
        <f t="shared" si="136"/>
        <v>5804</v>
      </c>
      <c r="M1772" s="1">
        <f t="shared" si="137"/>
        <v>1</v>
      </c>
      <c r="N1772" s="1">
        <f t="shared" si="138"/>
        <v>1</v>
      </c>
      <c r="O1772" s="1" t="str">
        <f>IF(I1772=0,"UNUSED",IF(A1772="","MISSING ID",IF(K1772=0,"UNEXPECTED ID",IF(N1772&lt;&gt;1,"ID / ORDER DIFFERENCE",IF('Source build'!U1772&lt;&gt;"INCLUDED","EXCLUDED SOURCE",IF(NOT(M1772),"INVALID AMOUNT",IF('Source build'!Y1772&lt;&gt;0,"CHANGED FIELDS","MATCH")))))))</f>
        <v>MATCH</v>
      </c>
      <c r="P1772" s="1" t="str">
        <f t="shared" si="139"/>
        <v>2026-02</v>
      </c>
    </row>
    <row r="1773" spans="1:16" ht="18.95" customHeight="1">
      <c r="A1773" s="7" t="s">
        <v>4594</v>
      </c>
      <c r="B1773" s="7" t="s">
        <v>4595</v>
      </c>
      <c r="C1773" s="7" t="s">
        <v>536</v>
      </c>
      <c r="D1773" s="7" t="s">
        <v>103</v>
      </c>
      <c r="E1773" s="7" t="s">
        <v>48</v>
      </c>
      <c r="F1773" s="7" t="s">
        <v>98</v>
      </c>
      <c r="G1773" s="7" t="s">
        <v>4596</v>
      </c>
      <c r="I1773" s="1">
        <f t="shared" si="135"/>
        <v>1</v>
      </c>
      <c r="J1773" s="1" t="str">
        <f>'Source build'!A1773</f>
        <v>L01767</v>
      </c>
      <c r="K1773" s="1">
        <f>1773</f>
        <v>1773</v>
      </c>
      <c r="L1773" s="10">
        <f t="shared" si="136"/>
        <v>17523</v>
      </c>
      <c r="M1773" s="1">
        <f t="shared" si="137"/>
        <v>1</v>
      </c>
      <c r="N1773" s="1">
        <f t="shared" si="138"/>
        <v>1</v>
      </c>
      <c r="O1773" s="1" t="str">
        <f>IF(I1773=0,"UNUSED",IF(A1773="","MISSING ID",IF(K1773=0,"UNEXPECTED ID",IF(N1773&lt;&gt;1,"ID / ORDER DIFFERENCE",IF('Source build'!U1773&lt;&gt;"INCLUDED","EXCLUDED SOURCE",IF(NOT(M1773),"INVALID AMOUNT",IF('Source build'!Y1773&lt;&gt;0,"CHANGED FIELDS","MATCH")))))))</f>
        <v>MATCH</v>
      </c>
      <c r="P1773" s="1" t="str">
        <f t="shared" si="139"/>
        <v>2026-03</v>
      </c>
    </row>
    <row r="1774" spans="1:16" ht="18.95" customHeight="1">
      <c r="A1774" s="7" t="s">
        <v>4597</v>
      </c>
      <c r="B1774" s="7" t="s">
        <v>4595</v>
      </c>
      <c r="C1774" s="7" t="s">
        <v>536</v>
      </c>
      <c r="D1774" s="7" t="s">
        <v>93</v>
      </c>
      <c r="E1774" s="7" t="s">
        <v>46</v>
      </c>
      <c r="F1774" s="7" t="s">
        <v>98</v>
      </c>
      <c r="G1774" s="7" t="s">
        <v>4598</v>
      </c>
      <c r="I1774" s="1">
        <f t="shared" si="135"/>
        <v>1</v>
      </c>
      <c r="J1774" s="1" t="str">
        <f>'Source build'!A1774</f>
        <v>L01768</v>
      </c>
      <c r="K1774" s="1">
        <f>1774</f>
        <v>1774</v>
      </c>
      <c r="L1774" s="10">
        <f t="shared" si="136"/>
        <v>29390</v>
      </c>
      <c r="M1774" s="1">
        <f t="shared" si="137"/>
        <v>1</v>
      </c>
      <c r="N1774" s="1">
        <f t="shared" si="138"/>
        <v>1</v>
      </c>
      <c r="O1774" s="1" t="str">
        <f>IF(I1774=0,"UNUSED",IF(A1774="","MISSING ID",IF(K1774=0,"UNEXPECTED ID",IF(N1774&lt;&gt;1,"ID / ORDER DIFFERENCE",IF('Source build'!U1774&lt;&gt;"INCLUDED","EXCLUDED SOURCE",IF(NOT(M1774),"INVALID AMOUNT",IF('Source build'!Y1774&lt;&gt;0,"CHANGED FIELDS","MATCH")))))))</f>
        <v>MATCH</v>
      </c>
      <c r="P1774" s="1" t="str">
        <f t="shared" si="139"/>
        <v>2026-03</v>
      </c>
    </row>
    <row r="1775" spans="1:16" ht="18.95" customHeight="1">
      <c r="A1775" s="7" t="s">
        <v>4599</v>
      </c>
      <c r="B1775" s="7" t="s">
        <v>4600</v>
      </c>
      <c r="C1775" s="7" t="s">
        <v>542</v>
      </c>
      <c r="D1775" s="7" t="s">
        <v>97</v>
      </c>
      <c r="E1775" s="7" t="s">
        <v>47</v>
      </c>
      <c r="F1775" s="7" t="s">
        <v>98</v>
      </c>
      <c r="G1775" s="7" t="s">
        <v>4601</v>
      </c>
      <c r="I1775" s="1">
        <f t="shared" si="135"/>
        <v>1</v>
      </c>
      <c r="J1775" s="1" t="str">
        <f>'Source build'!A1775</f>
        <v>L01769</v>
      </c>
      <c r="K1775" s="1">
        <f>1775</f>
        <v>1775</v>
      </c>
      <c r="L1775" s="10">
        <f t="shared" si="136"/>
        <v>11830</v>
      </c>
      <c r="M1775" s="1">
        <f t="shared" si="137"/>
        <v>1</v>
      </c>
      <c r="N1775" s="1">
        <f t="shared" si="138"/>
        <v>1</v>
      </c>
      <c r="O1775" s="1" t="str">
        <f>IF(I1775=0,"UNUSED",IF(A1775="","MISSING ID",IF(K1775=0,"UNEXPECTED ID",IF(N1775&lt;&gt;1,"ID / ORDER DIFFERENCE",IF('Source build'!U1775&lt;&gt;"INCLUDED","EXCLUDED SOURCE",IF(NOT(M1775),"INVALID AMOUNT",IF('Source build'!Y1775&lt;&gt;0,"CHANGED FIELDS","MATCH")))))))</f>
        <v>MATCH</v>
      </c>
      <c r="P1775" s="1" t="str">
        <f t="shared" si="139"/>
        <v>2026-03</v>
      </c>
    </row>
    <row r="1776" spans="1:16" ht="18.95" customHeight="1">
      <c r="A1776" s="7" t="s">
        <v>4602</v>
      </c>
      <c r="B1776" s="7" t="s">
        <v>4600</v>
      </c>
      <c r="C1776" s="7" t="s">
        <v>542</v>
      </c>
      <c r="D1776" s="7" t="s">
        <v>103</v>
      </c>
      <c r="E1776" s="7" t="s">
        <v>48</v>
      </c>
      <c r="F1776" s="7" t="s">
        <v>98</v>
      </c>
      <c r="G1776" s="7" t="s">
        <v>691</v>
      </c>
      <c r="I1776" s="1">
        <f t="shared" si="135"/>
        <v>1</v>
      </c>
      <c r="J1776" s="1" t="str">
        <f>'Source build'!A1776</f>
        <v>L01770</v>
      </c>
      <c r="K1776" s="1">
        <f>1776</f>
        <v>1776</v>
      </c>
      <c r="L1776" s="10">
        <f t="shared" si="136"/>
        <v>23808</v>
      </c>
      <c r="M1776" s="1">
        <f t="shared" si="137"/>
        <v>1</v>
      </c>
      <c r="N1776" s="1">
        <f t="shared" si="138"/>
        <v>1</v>
      </c>
      <c r="O1776" s="1" t="str">
        <f>IF(I1776=0,"UNUSED",IF(A1776="","MISSING ID",IF(K1776=0,"UNEXPECTED ID",IF(N1776&lt;&gt;1,"ID / ORDER DIFFERENCE",IF('Source build'!U1776&lt;&gt;"INCLUDED","EXCLUDED SOURCE",IF(NOT(M1776),"INVALID AMOUNT",IF('Source build'!Y1776&lt;&gt;0,"CHANGED FIELDS","MATCH")))))))</f>
        <v>MATCH</v>
      </c>
      <c r="P1776" s="1" t="str">
        <f t="shared" si="139"/>
        <v>2026-03</v>
      </c>
    </row>
    <row r="1777" spans="1:16" ht="18.95" customHeight="1">
      <c r="A1777" s="7" t="s">
        <v>4603</v>
      </c>
      <c r="B1777" s="7" t="s">
        <v>4604</v>
      </c>
      <c r="C1777" s="7" t="s">
        <v>548</v>
      </c>
      <c r="D1777" s="7" t="s">
        <v>93</v>
      </c>
      <c r="E1777" s="7" t="s">
        <v>46</v>
      </c>
      <c r="F1777" s="7" t="s">
        <v>98</v>
      </c>
      <c r="G1777" s="7" t="s">
        <v>4605</v>
      </c>
      <c r="I1777" s="1">
        <f t="shared" si="135"/>
        <v>1</v>
      </c>
      <c r="J1777" s="1" t="str">
        <f>'Source build'!A1777</f>
        <v>L01771</v>
      </c>
      <c r="K1777" s="1">
        <f>1777</f>
        <v>1777</v>
      </c>
      <c r="L1777" s="10">
        <f t="shared" si="136"/>
        <v>5989</v>
      </c>
      <c r="M1777" s="1">
        <f t="shared" si="137"/>
        <v>1</v>
      </c>
      <c r="N1777" s="1">
        <f t="shared" si="138"/>
        <v>1</v>
      </c>
      <c r="O1777" s="1" t="str">
        <f>IF(I1777=0,"UNUSED",IF(A1777="","MISSING ID",IF(K1777=0,"UNEXPECTED ID",IF(N1777&lt;&gt;1,"ID / ORDER DIFFERENCE",IF('Source build'!U1777&lt;&gt;"INCLUDED","EXCLUDED SOURCE",IF(NOT(M1777),"INVALID AMOUNT",IF('Source build'!Y1777&lt;&gt;0,"CHANGED FIELDS","MATCH")))))))</f>
        <v>MATCH</v>
      </c>
      <c r="P1777" s="1" t="str">
        <f t="shared" si="139"/>
        <v>2026-03</v>
      </c>
    </row>
    <row r="1778" spans="1:16" ht="18.95" customHeight="1">
      <c r="A1778" s="7" t="s">
        <v>4606</v>
      </c>
      <c r="B1778" s="7" t="s">
        <v>4604</v>
      </c>
      <c r="C1778" s="7" t="s">
        <v>548</v>
      </c>
      <c r="D1778" s="7" t="s">
        <v>97</v>
      </c>
      <c r="E1778" s="7" t="s">
        <v>47</v>
      </c>
      <c r="F1778" s="7" t="s">
        <v>94</v>
      </c>
      <c r="G1778" s="7" t="s">
        <v>4607</v>
      </c>
      <c r="I1778" s="1">
        <f t="shared" si="135"/>
        <v>1</v>
      </c>
      <c r="J1778" s="1" t="str">
        <f>'Source build'!A1778</f>
        <v>L01772</v>
      </c>
      <c r="K1778" s="1">
        <f>1778</f>
        <v>1778</v>
      </c>
      <c r="L1778" s="10">
        <f t="shared" si="136"/>
        <v>-18078</v>
      </c>
      <c r="M1778" s="1">
        <f t="shared" si="137"/>
        <v>1</v>
      </c>
      <c r="N1778" s="1">
        <f t="shared" si="138"/>
        <v>1</v>
      </c>
      <c r="O1778" s="1" t="str">
        <f>IF(I1778=0,"UNUSED",IF(A1778="","MISSING ID",IF(K1778=0,"UNEXPECTED ID",IF(N1778&lt;&gt;1,"ID / ORDER DIFFERENCE",IF('Source build'!U1778&lt;&gt;"INCLUDED","EXCLUDED SOURCE",IF(NOT(M1778),"INVALID AMOUNT",IF('Source build'!Y1778&lt;&gt;0,"CHANGED FIELDS","MATCH")))))))</f>
        <v>MATCH</v>
      </c>
      <c r="P1778" s="1" t="str">
        <f t="shared" si="139"/>
        <v>2026-03</v>
      </c>
    </row>
    <row r="1779" spans="1:16" ht="18.95" customHeight="1">
      <c r="A1779" s="7" t="s">
        <v>4608</v>
      </c>
      <c r="B1779" s="7" t="s">
        <v>4609</v>
      </c>
      <c r="C1779" s="7" t="s">
        <v>554</v>
      </c>
      <c r="D1779" s="7" t="s">
        <v>103</v>
      </c>
      <c r="E1779" s="7" t="s">
        <v>48</v>
      </c>
      <c r="F1779" s="7" t="s">
        <v>98</v>
      </c>
      <c r="G1779" s="7" t="s">
        <v>4610</v>
      </c>
      <c r="I1779" s="1">
        <f t="shared" si="135"/>
        <v>1</v>
      </c>
      <c r="J1779" s="1" t="str">
        <f>'Source build'!A1779</f>
        <v>L01773</v>
      </c>
      <c r="K1779" s="1">
        <f>1779</f>
        <v>1779</v>
      </c>
      <c r="L1779" s="10">
        <f t="shared" si="136"/>
        <v>30315</v>
      </c>
      <c r="M1779" s="1">
        <f t="shared" si="137"/>
        <v>1</v>
      </c>
      <c r="N1779" s="1">
        <f t="shared" si="138"/>
        <v>1</v>
      </c>
      <c r="O1779" s="1" t="str">
        <f>IF(I1779=0,"UNUSED",IF(A1779="","MISSING ID",IF(K1779=0,"UNEXPECTED ID",IF(N1779&lt;&gt;1,"ID / ORDER DIFFERENCE",IF('Source build'!U1779&lt;&gt;"INCLUDED","EXCLUDED SOURCE",IF(NOT(M1779),"INVALID AMOUNT",IF('Source build'!Y1779&lt;&gt;0,"CHANGED FIELDS","MATCH")))))))</f>
        <v>MATCH</v>
      </c>
      <c r="P1779" s="1" t="str">
        <f t="shared" si="139"/>
        <v>2026-03</v>
      </c>
    </row>
    <row r="1780" spans="1:16" ht="18.95" customHeight="1">
      <c r="A1780" s="7" t="s">
        <v>4611</v>
      </c>
      <c r="B1780" s="7" t="s">
        <v>4609</v>
      </c>
      <c r="C1780" s="7" t="s">
        <v>554</v>
      </c>
      <c r="D1780" s="7" t="s">
        <v>93</v>
      </c>
      <c r="E1780" s="7" t="s">
        <v>46</v>
      </c>
      <c r="F1780" s="7" t="s">
        <v>98</v>
      </c>
      <c r="G1780" s="7" t="s">
        <v>5148</v>
      </c>
      <c r="I1780" s="1">
        <f t="shared" si="135"/>
        <v>1</v>
      </c>
      <c r="J1780" s="1" t="str">
        <f>'Source build'!A1780</f>
        <v>L01774</v>
      </c>
      <c r="K1780" s="1">
        <f>1780</f>
        <v>1780</v>
      </c>
      <c r="L1780" s="10">
        <f t="shared" si="136"/>
        <v>12200</v>
      </c>
      <c r="M1780" s="1">
        <f t="shared" si="137"/>
        <v>1</v>
      </c>
      <c r="N1780" s="1">
        <f t="shared" si="138"/>
        <v>1</v>
      </c>
      <c r="O1780" s="1" t="str">
        <f>IF(I1780=0,"UNUSED",IF(A1780="","MISSING ID",IF(K1780=0,"UNEXPECTED ID",IF(N1780&lt;&gt;1,"ID / ORDER DIFFERENCE",IF('Source build'!U1780&lt;&gt;"INCLUDED","EXCLUDED SOURCE",IF(NOT(M1780),"INVALID AMOUNT",IF('Source build'!Y1780&lt;&gt;0,"CHANGED FIELDS","MATCH")))))))</f>
        <v>MATCH</v>
      </c>
      <c r="P1780" s="1" t="str">
        <f t="shared" si="139"/>
        <v>2026-03</v>
      </c>
    </row>
    <row r="1781" spans="1:16" ht="18.95" customHeight="1">
      <c r="A1781" s="7" t="s">
        <v>4613</v>
      </c>
      <c r="B1781" s="7" t="s">
        <v>4614</v>
      </c>
      <c r="C1781" s="7" t="s">
        <v>560</v>
      </c>
      <c r="D1781" s="7" t="s">
        <v>97</v>
      </c>
      <c r="E1781" s="7" t="s">
        <v>47</v>
      </c>
      <c r="F1781" s="7" t="s">
        <v>98</v>
      </c>
      <c r="G1781" s="7" t="s">
        <v>4615</v>
      </c>
      <c r="I1781" s="1">
        <f t="shared" si="135"/>
        <v>1</v>
      </c>
      <c r="J1781" s="1" t="str">
        <f>'Source build'!A1781</f>
        <v>L01775</v>
      </c>
      <c r="K1781" s="1">
        <f>1781</f>
        <v>1781</v>
      </c>
      <c r="L1781" s="10">
        <f t="shared" si="136"/>
        <v>24548</v>
      </c>
      <c r="M1781" s="1">
        <f t="shared" si="137"/>
        <v>1</v>
      </c>
      <c r="N1781" s="1">
        <f t="shared" si="138"/>
        <v>1</v>
      </c>
      <c r="O1781" s="1" t="str">
        <f>IF(I1781=0,"UNUSED",IF(A1781="","MISSING ID",IF(K1781=0,"UNEXPECTED ID",IF(N1781&lt;&gt;1,"ID / ORDER DIFFERENCE",IF('Source build'!U1781&lt;&gt;"INCLUDED","EXCLUDED SOURCE",IF(NOT(M1781),"INVALID AMOUNT",IF('Source build'!Y1781&lt;&gt;0,"CHANGED FIELDS","MATCH")))))))</f>
        <v>MATCH</v>
      </c>
      <c r="P1781" s="1" t="str">
        <f t="shared" si="139"/>
        <v>2026-03</v>
      </c>
    </row>
    <row r="1782" spans="1:16" ht="18.95" customHeight="1">
      <c r="A1782" s="7" t="s">
        <v>4616</v>
      </c>
      <c r="B1782" s="7" t="s">
        <v>4614</v>
      </c>
      <c r="C1782" s="7" t="s">
        <v>560</v>
      </c>
      <c r="D1782" s="7" t="s">
        <v>103</v>
      </c>
      <c r="E1782" s="7" t="s">
        <v>48</v>
      </c>
      <c r="F1782" s="7" t="s">
        <v>98</v>
      </c>
      <c r="G1782" s="7" t="s">
        <v>4617</v>
      </c>
      <c r="I1782" s="1">
        <f t="shared" si="135"/>
        <v>1</v>
      </c>
      <c r="J1782" s="1" t="str">
        <f>'Source build'!A1782</f>
        <v>L01776</v>
      </c>
      <c r="K1782" s="1">
        <f>1782</f>
        <v>1782</v>
      </c>
      <c r="L1782" s="10">
        <f t="shared" si="136"/>
        <v>6174</v>
      </c>
      <c r="M1782" s="1">
        <f t="shared" si="137"/>
        <v>1</v>
      </c>
      <c r="N1782" s="1">
        <f t="shared" si="138"/>
        <v>1</v>
      </c>
      <c r="O1782" s="1" t="str">
        <f>IF(I1782=0,"UNUSED",IF(A1782="","MISSING ID",IF(K1782=0,"UNEXPECTED ID",IF(N1782&lt;&gt;1,"ID / ORDER DIFFERENCE",IF('Source build'!U1782&lt;&gt;"INCLUDED","EXCLUDED SOURCE",IF(NOT(M1782),"INVALID AMOUNT",IF('Source build'!Y1782&lt;&gt;0,"CHANGED FIELDS","MATCH")))))))</f>
        <v>MATCH</v>
      </c>
      <c r="P1782" s="1" t="str">
        <f t="shared" si="139"/>
        <v>2026-03</v>
      </c>
    </row>
    <row r="1783" spans="1:16" ht="18.95" customHeight="1">
      <c r="A1783" s="7" t="s">
        <v>4618</v>
      </c>
      <c r="B1783" s="7" t="s">
        <v>4619</v>
      </c>
      <c r="C1783" s="7" t="s">
        <v>566</v>
      </c>
      <c r="D1783" s="7" t="s">
        <v>93</v>
      </c>
      <c r="E1783" s="7" t="s">
        <v>46</v>
      </c>
      <c r="F1783" s="7" t="s">
        <v>98</v>
      </c>
      <c r="G1783" s="7" t="s">
        <v>4620</v>
      </c>
      <c r="I1783" s="1">
        <f t="shared" si="135"/>
        <v>1</v>
      </c>
      <c r="J1783" s="1" t="str">
        <f>'Source build'!A1783</f>
        <v>L01777</v>
      </c>
      <c r="K1783" s="1">
        <f>1783</f>
        <v>1783</v>
      </c>
      <c r="L1783" s="10">
        <f t="shared" si="136"/>
        <v>18633</v>
      </c>
      <c r="M1783" s="1">
        <f t="shared" si="137"/>
        <v>1</v>
      </c>
      <c r="N1783" s="1">
        <f t="shared" si="138"/>
        <v>1</v>
      </c>
      <c r="O1783" s="1" t="str">
        <f>IF(I1783=0,"UNUSED",IF(A1783="","MISSING ID",IF(K1783=0,"UNEXPECTED ID",IF(N1783&lt;&gt;1,"ID / ORDER DIFFERENCE",IF('Source build'!U1783&lt;&gt;"INCLUDED","EXCLUDED SOURCE",IF(NOT(M1783),"INVALID AMOUNT",IF('Source build'!Y1783&lt;&gt;0,"CHANGED FIELDS","MATCH")))))))</f>
        <v>MATCH</v>
      </c>
      <c r="P1783" s="1" t="str">
        <f t="shared" si="139"/>
        <v>2026-01</v>
      </c>
    </row>
    <row r="1784" spans="1:16" ht="18.95" customHeight="1">
      <c r="A1784" s="7" t="s">
        <v>4621</v>
      </c>
      <c r="B1784" s="7" t="s">
        <v>4619</v>
      </c>
      <c r="C1784" s="7" t="s">
        <v>566</v>
      </c>
      <c r="D1784" s="7" t="s">
        <v>97</v>
      </c>
      <c r="E1784" s="7" t="s">
        <v>47</v>
      </c>
      <c r="F1784" s="7" t="s">
        <v>98</v>
      </c>
      <c r="G1784" s="7" t="s">
        <v>4622</v>
      </c>
      <c r="I1784" s="1">
        <f t="shared" si="135"/>
        <v>1</v>
      </c>
      <c r="J1784" s="1" t="str">
        <f>'Source build'!A1784</f>
        <v>L01778</v>
      </c>
      <c r="K1784" s="1">
        <f>1784</f>
        <v>1784</v>
      </c>
      <c r="L1784" s="10">
        <f t="shared" si="136"/>
        <v>31240</v>
      </c>
      <c r="M1784" s="1">
        <f t="shared" si="137"/>
        <v>1</v>
      </c>
      <c r="N1784" s="1">
        <f t="shared" si="138"/>
        <v>1</v>
      </c>
      <c r="O1784" s="1" t="str">
        <f>IF(I1784=0,"UNUSED",IF(A1784="","MISSING ID",IF(K1784=0,"UNEXPECTED ID",IF(N1784&lt;&gt;1,"ID / ORDER DIFFERENCE",IF('Source build'!U1784&lt;&gt;"INCLUDED","EXCLUDED SOURCE",IF(NOT(M1784),"INVALID AMOUNT",IF('Source build'!Y1784&lt;&gt;0,"CHANGED FIELDS","MATCH")))))))</f>
        <v>MATCH</v>
      </c>
      <c r="P1784" s="1" t="str">
        <f t="shared" si="139"/>
        <v>2026-01</v>
      </c>
    </row>
    <row r="1785" spans="1:16" ht="18.95" customHeight="1">
      <c r="A1785" s="7" t="s">
        <v>4623</v>
      </c>
      <c r="B1785" s="7" t="s">
        <v>4624</v>
      </c>
      <c r="C1785" s="7" t="s">
        <v>572</v>
      </c>
      <c r="D1785" s="7" t="s">
        <v>103</v>
      </c>
      <c r="E1785" s="7" t="s">
        <v>48</v>
      </c>
      <c r="F1785" s="7" t="s">
        <v>98</v>
      </c>
      <c r="G1785" s="7" t="s">
        <v>4625</v>
      </c>
      <c r="I1785" s="1">
        <f t="shared" si="135"/>
        <v>1</v>
      </c>
      <c r="J1785" s="1" t="str">
        <f>'Source build'!A1785</f>
        <v>L01779</v>
      </c>
      <c r="K1785" s="1">
        <f>1785</f>
        <v>1785</v>
      </c>
      <c r="L1785" s="10">
        <f t="shared" si="136"/>
        <v>12570</v>
      </c>
      <c r="M1785" s="1">
        <f t="shared" si="137"/>
        <v>1</v>
      </c>
      <c r="N1785" s="1">
        <f t="shared" si="138"/>
        <v>1</v>
      </c>
      <c r="O1785" s="1" t="str">
        <f>IF(I1785=0,"UNUSED",IF(A1785="","MISSING ID",IF(K1785=0,"UNEXPECTED ID",IF(N1785&lt;&gt;1,"ID / ORDER DIFFERENCE",IF('Source build'!U1785&lt;&gt;"INCLUDED","EXCLUDED SOURCE",IF(NOT(M1785),"INVALID AMOUNT",IF('Source build'!Y1785&lt;&gt;0,"CHANGED FIELDS","MATCH")))))))</f>
        <v>MATCH</v>
      </c>
      <c r="P1785" s="1" t="str">
        <f t="shared" si="139"/>
        <v>2026-01</v>
      </c>
    </row>
    <row r="1786" spans="1:16" ht="18.95" customHeight="1">
      <c r="A1786" s="7" t="s">
        <v>4626</v>
      </c>
      <c r="B1786" s="7" t="s">
        <v>4624</v>
      </c>
      <c r="C1786" s="7" t="s">
        <v>572</v>
      </c>
      <c r="D1786" s="7" t="s">
        <v>93</v>
      </c>
      <c r="E1786" s="7" t="s">
        <v>46</v>
      </c>
      <c r="F1786" s="7" t="s">
        <v>98</v>
      </c>
      <c r="G1786" s="7" t="s">
        <v>4627</v>
      </c>
      <c r="I1786" s="1">
        <f t="shared" si="135"/>
        <v>1</v>
      </c>
      <c r="J1786" s="1" t="str">
        <f>'Source build'!A1786</f>
        <v>L01780</v>
      </c>
      <c r="K1786" s="1">
        <f>1786</f>
        <v>1786</v>
      </c>
      <c r="L1786" s="10">
        <f t="shared" si="136"/>
        <v>25288</v>
      </c>
      <c r="M1786" s="1">
        <f t="shared" si="137"/>
        <v>1</v>
      </c>
      <c r="N1786" s="1">
        <f t="shared" si="138"/>
        <v>1</v>
      </c>
      <c r="O1786" s="1" t="str">
        <f>IF(I1786=0,"UNUSED",IF(A1786="","MISSING ID",IF(K1786=0,"UNEXPECTED ID",IF(N1786&lt;&gt;1,"ID / ORDER DIFFERENCE",IF('Source build'!U1786&lt;&gt;"INCLUDED","EXCLUDED SOURCE",IF(NOT(M1786),"INVALID AMOUNT",IF('Source build'!Y1786&lt;&gt;0,"CHANGED FIELDS","MATCH")))))))</f>
        <v>MATCH</v>
      </c>
      <c r="P1786" s="1" t="str">
        <f t="shared" si="139"/>
        <v>2026-01</v>
      </c>
    </row>
    <row r="1787" spans="1:16" ht="18.95" customHeight="1">
      <c r="A1787" s="7" t="s">
        <v>4628</v>
      </c>
      <c r="B1787" s="7" t="s">
        <v>4629</v>
      </c>
      <c r="C1787" s="7" t="s">
        <v>578</v>
      </c>
      <c r="D1787" s="7" t="s">
        <v>97</v>
      </c>
      <c r="E1787" s="7" t="s">
        <v>47</v>
      </c>
      <c r="F1787" s="7" t="s">
        <v>98</v>
      </c>
      <c r="G1787" s="7" t="s">
        <v>4630</v>
      </c>
      <c r="I1787" s="1">
        <f t="shared" si="135"/>
        <v>1</v>
      </c>
      <c r="J1787" s="1" t="str">
        <f>'Source build'!A1787</f>
        <v>L01781</v>
      </c>
      <c r="K1787" s="1">
        <f>1787</f>
        <v>1787</v>
      </c>
      <c r="L1787" s="10">
        <f t="shared" si="136"/>
        <v>6359</v>
      </c>
      <c r="M1787" s="1">
        <f t="shared" si="137"/>
        <v>1</v>
      </c>
      <c r="N1787" s="1">
        <f t="shared" si="138"/>
        <v>1</v>
      </c>
      <c r="O1787" s="1" t="str">
        <f>IF(I1787=0,"UNUSED",IF(A1787="","MISSING ID",IF(K1787=0,"UNEXPECTED ID",IF(N1787&lt;&gt;1,"ID / ORDER DIFFERENCE",IF('Source build'!U1787&lt;&gt;"INCLUDED","EXCLUDED SOURCE",IF(NOT(M1787),"INVALID AMOUNT",IF('Source build'!Y1787&lt;&gt;0,"CHANGED FIELDS","MATCH")))))))</f>
        <v>MATCH</v>
      </c>
      <c r="P1787" s="1" t="str">
        <f t="shared" si="139"/>
        <v>2026-01</v>
      </c>
    </row>
    <row r="1788" spans="1:16" ht="18.95" customHeight="1">
      <c r="A1788" s="7" t="s">
        <v>4631</v>
      </c>
      <c r="B1788" s="7" t="s">
        <v>4629</v>
      </c>
      <c r="C1788" s="7" t="s">
        <v>578</v>
      </c>
      <c r="D1788" s="7" t="s">
        <v>103</v>
      </c>
      <c r="E1788" s="7" t="s">
        <v>48</v>
      </c>
      <c r="F1788" s="7" t="s">
        <v>98</v>
      </c>
      <c r="G1788" s="7" t="s">
        <v>4632</v>
      </c>
      <c r="I1788" s="1">
        <f t="shared" si="135"/>
        <v>1</v>
      </c>
      <c r="J1788" s="1" t="str">
        <f>'Source build'!A1788</f>
        <v>L01782</v>
      </c>
      <c r="K1788" s="1">
        <f>1788</f>
        <v>1788</v>
      </c>
      <c r="L1788" s="10">
        <f t="shared" si="136"/>
        <v>19188</v>
      </c>
      <c r="M1788" s="1">
        <f t="shared" si="137"/>
        <v>1</v>
      </c>
      <c r="N1788" s="1">
        <f t="shared" si="138"/>
        <v>1</v>
      </c>
      <c r="O1788" s="1" t="str">
        <f>IF(I1788=0,"UNUSED",IF(A1788="","MISSING ID",IF(K1788=0,"UNEXPECTED ID",IF(N1788&lt;&gt;1,"ID / ORDER DIFFERENCE",IF('Source build'!U1788&lt;&gt;"INCLUDED","EXCLUDED SOURCE",IF(NOT(M1788),"INVALID AMOUNT",IF('Source build'!Y1788&lt;&gt;0,"CHANGED FIELDS","MATCH")))))))</f>
        <v>MATCH</v>
      </c>
      <c r="P1788" s="1" t="str">
        <f t="shared" si="139"/>
        <v>2026-01</v>
      </c>
    </row>
    <row r="1789" spans="1:16" ht="18.95" customHeight="1">
      <c r="A1789" s="7" t="s">
        <v>4633</v>
      </c>
      <c r="B1789" s="7" t="s">
        <v>4634</v>
      </c>
      <c r="C1789" s="7" t="s">
        <v>584</v>
      </c>
      <c r="D1789" s="7" t="s">
        <v>93</v>
      </c>
      <c r="E1789" s="7" t="s">
        <v>46</v>
      </c>
      <c r="F1789" s="7" t="s">
        <v>98</v>
      </c>
      <c r="G1789" s="7" t="s">
        <v>4635</v>
      </c>
      <c r="I1789" s="1">
        <f t="shared" si="135"/>
        <v>1</v>
      </c>
      <c r="J1789" s="1" t="str">
        <f>'Source build'!A1789</f>
        <v>L01783</v>
      </c>
      <c r="K1789" s="1">
        <f>1789</f>
        <v>1789</v>
      </c>
      <c r="L1789" s="10">
        <f t="shared" si="136"/>
        <v>32165</v>
      </c>
      <c r="M1789" s="1">
        <f t="shared" si="137"/>
        <v>1</v>
      </c>
      <c r="N1789" s="1">
        <f t="shared" si="138"/>
        <v>1</v>
      </c>
      <c r="O1789" s="1" t="str">
        <f>IF(I1789=0,"UNUSED",IF(A1789="","MISSING ID",IF(K1789=0,"UNEXPECTED ID",IF(N1789&lt;&gt;1,"ID / ORDER DIFFERENCE",IF('Source build'!U1789&lt;&gt;"INCLUDED","EXCLUDED SOURCE",IF(NOT(M1789),"INVALID AMOUNT",IF('Source build'!Y1789&lt;&gt;0,"CHANGED FIELDS","MATCH")))))))</f>
        <v>MATCH</v>
      </c>
      <c r="P1789" s="1" t="str">
        <f t="shared" si="139"/>
        <v>2026-01</v>
      </c>
    </row>
    <row r="1790" spans="1:16" ht="18.95" customHeight="1">
      <c r="A1790" s="7" t="s">
        <v>4636</v>
      </c>
      <c r="B1790" s="7" t="s">
        <v>4634</v>
      </c>
      <c r="C1790" s="7" t="s">
        <v>584</v>
      </c>
      <c r="D1790" s="7" t="s">
        <v>97</v>
      </c>
      <c r="E1790" s="7" t="s">
        <v>47</v>
      </c>
      <c r="F1790" s="7" t="s">
        <v>98</v>
      </c>
      <c r="G1790" s="7" t="s">
        <v>4637</v>
      </c>
      <c r="I1790" s="1">
        <f t="shared" si="135"/>
        <v>1</v>
      </c>
      <c r="J1790" s="1" t="str">
        <f>'Source build'!A1790</f>
        <v>L01784</v>
      </c>
      <c r="K1790" s="1">
        <f>1790</f>
        <v>1790</v>
      </c>
      <c r="L1790" s="10">
        <f t="shared" si="136"/>
        <v>12940</v>
      </c>
      <c r="M1790" s="1">
        <f t="shared" si="137"/>
        <v>1</v>
      </c>
      <c r="N1790" s="1">
        <f t="shared" si="138"/>
        <v>1</v>
      </c>
      <c r="O1790" s="1" t="str">
        <f>IF(I1790=0,"UNUSED",IF(A1790="","MISSING ID",IF(K1790=0,"UNEXPECTED ID",IF(N1790&lt;&gt;1,"ID / ORDER DIFFERENCE",IF('Source build'!U1790&lt;&gt;"INCLUDED","EXCLUDED SOURCE",IF(NOT(M1790),"INVALID AMOUNT",IF('Source build'!Y1790&lt;&gt;0,"CHANGED FIELDS","MATCH")))))))</f>
        <v>MATCH</v>
      </c>
      <c r="P1790" s="1" t="str">
        <f t="shared" si="139"/>
        <v>2026-01</v>
      </c>
    </row>
    <row r="1791" spans="1:16" ht="18.95" customHeight="1">
      <c r="A1791" s="7" t="s">
        <v>4638</v>
      </c>
      <c r="B1791" s="7" t="s">
        <v>4639</v>
      </c>
      <c r="C1791" s="7" t="s">
        <v>590</v>
      </c>
      <c r="D1791" s="7" t="s">
        <v>103</v>
      </c>
      <c r="E1791" s="7" t="s">
        <v>48</v>
      </c>
      <c r="F1791" s="7" t="s">
        <v>98</v>
      </c>
      <c r="G1791" s="7" t="s">
        <v>741</v>
      </c>
      <c r="I1791" s="1">
        <f t="shared" si="135"/>
        <v>1</v>
      </c>
      <c r="J1791" s="1" t="str">
        <f>'Source build'!A1791</f>
        <v>L01785</v>
      </c>
      <c r="K1791" s="1">
        <f>1791</f>
        <v>1791</v>
      </c>
      <c r="L1791" s="10">
        <f t="shared" si="136"/>
        <v>26028</v>
      </c>
      <c r="M1791" s="1">
        <f t="shared" si="137"/>
        <v>1</v>
      </c>
      <c r="N1791" s="1">
        <f t="shared" si="138"/>
        <v>1</v>
      </c>
      <c r="O1791" s="1" t="str">
        <f>IF(I1791=0,"UNUSED",IF(A1791="","MISSING ID",IF(K1791=0,"UNEXPECTED ID",IF(N1791&lt;&gt;1,"ID / ORDER DIFFERENCE",IF('Source build'!U1791&lt;&gt;"INCLUDED","EXCLUDED SOURCE",IF(NOT(M1791),"INVALID AMOUNT",IF('Source build'!Y1791&lt;&gt;0,"CHANGED FIELDS","MATCH")))))))</f>
        <v>MATCH</v>
      </c>
      <c r="P1791" s="1" t="str">
        <f t="shared" si="139"/>
        <v>2026-02</v>
      </c>
    </row>
    <row r="1792" spans="1:16" ht="18.95" customHeight="1">
      <c r="A1792" s="7" t="s">
        <v>4640</v>
      </c>
      <c r="B1792" s="7" t="s">
        <v>4639</v>
      </c>
      <c r="C1792" s="7" t="s">
        <v>590</v>
      </c>
      <c r="D1792" s="7" t="s">
        <v>93</v>
      </c>
      <c r="E1792" s="7" t="s">
        <v>46</v>
      </c>
      <c r="F1792" s="7" t="s">
        <v>98</v>
      </c>
      <c r="G1792" s="7" t="s">
        <v>4641</v>
      </c>
      <c r="I1792" s="1">
        <f t="shared" si="135"/>
        <v>1</v>
      </c>
      <c r="J1792" s="1" t="str">
        <f>'Source build'!A1792</f>
        <v>L01786</v>
      </c>
      <c r="K1792" s="1">
        <f>1792</f>
        <v>1792</v>
      </c>
      <c r="L1792" s="10">
        <f t="shared" si="136"/>
        <v>6544</v>
      </c>
      <c r="M1792" s="1">
        <f t="shared" si="137"/>
        <v>1</v>
      </c>
      <c r="N1792" s="1">
        <f t="shared" si="138"/>
        <v>1</v>
      </c>
      <c r="O1792" s="1" t="str">
        <f>IF(I1792=0,"UNUSED",IF(A1792="","MISSING ID",IF(K1792=0,"UNEXPECTED ID",IF(N1792&lt;&gt;1,"ID / ORDER DIFFERENCE",IF('Source build'!U1792&lt;&gt;"INCLUDED","EXCLUDED SOURCE",IF(NOT(M1792),"INVALID AMOUNT",IF('Source build'!Y1792&lt;&gt;0,"CHANGED FIELDS","MATCH")))))))</f>
        <v>MATCH</v>
      </c>
      <c r="P1792" s="1" t="str">
        <f t="shared" si="139"/>
        <v>2026-02</v>
      </c>
    </row>
    <row r="1793" spans="1:16" ht="18.95" customHeight="1">
      <c r="A1793" s="7" t="s">
        <v>4642</v>
      </c>
      <c r="B1793" s="7" t="s">
        <v>4643</v>
      </c>
      <c r="C1793" s="7" t="s">
        <v>596</v>
      </c>
      <c r="D1793" s="7" t="s">
        <v>97</v>
      </c>
      <c r="E1793" s="7" t="s">
        <v>47</v>
      </c>
      <c r="F1793" s="7" t="s">
        <v>98</v>
      </c>
      <c r="G1793" s="7" t="s">
        <v>4644</v>
      </c>
      <c r="I1793" s="1">
        <f t="shared" si="135"/>
        <v>1</v>
      </c>
      <c r="J1793" s="1" t="str">
        <f>'Source build'!A1793</f>
        <v>L01787</v>
      </c>
      <c r="K1793" s="1">
        <f>1793</f>
        <v>1793</v>
      </c>
      <c r="L1793" s="10">
        <f t="shared" si="136"/>
        <v>19743</v>
      </c>
      <c r="M1793" s="1">
        <f t="shared" si="137"/>
        <v>1</v>
      </c>
      <c r="N1793" s="1">
        <f t="shared" si="138"/>
        <v>1</v>
      </c>
      <c r="O1793" s="1" t="str">
        <f>IF(I1793=0,"UNUSED",IF(A1793="","MISSING ID",IF(K1793=0,"UNEXPECTED ID",IF(N1793&lt;&gt;1,"ID / ORDER DIFFERENCE",IF('Source build'!U1793&lt;&gt;"INCLUDED","EXCLUDED SOURCE",IF(NOT(M1793),"INVALID AMOUNT",IF('Source build'!Y1793&lt;&gt;0,"CHANGED FIELDS","MATCH")))))))</f>
        <v>MATCH</v>
      </c>
      <c r="P1793" s="1" t="str">
        <f t="shared" si="139"/>
        <v>2026-02</v>
      </c>
    </row>
    <row r="1794" spans="1:16" ht="18.95" customHeight="1">
      <c r="A1794" s="7" t="s">
        <v>4645</v>
      </c>
      <c r="B1794" s="7" t="s">
        <v>4643</v>
      </c>
      <c r="C1794" s="7" t="s">
        <v>596</v>
      </c>
      <c r="D1794" s="7" t="s">
        <v>103</v>
      </c>
      <c r="E1794" s="7" t="s">
        <v>48</v>
      </c>
      <c r="F1794" s="7" t="s">
        <v>98</v>
      </c>
      <c r="G1794" s="7" t="s">
        <v>4646</v>
      </c>
      <c r="I1794" s="1">
        <f t="shared" si="135"/>
        <v>1</v>
      </c>
      <c r="J1794" s="1" t="str">
        <f>'Source build'!A1794</f>
        <v>L01788</v>
      </c>
      <c r="K1794" s="1">
        <f>1794</f>
        <v>1794</v>
      </c>
      <c r="L1794" s="10">
        <f t="shared" si="136"/>
        <v>33090</v>
      </c>
      <c r="M1794" s="1">
        <f t="shared" si="137"/>
        <v>1</v>
      </c>
      <c r="N1794" s="1">
        <f t="shared" si="138"/>
        <v>1</v>
      </c>
      <c r="O1794" s="1" t="str">
        <f>IF(I1794=0,"UNUSED",IF(A1794="","MISSING ID",IF(K1794=0,"UNEXPECTED ID",IF(N1794&lt;&gt;1,"ID / ORDER DIFFERENCE",IF('Source build'!U1794&lt;&gt;"INCLUDED","EXCLUDED SOURCE",IF(NOT(M1794),"INVALID AMOUNT",IF('Source build'!Y1794&lt;&gt;0,"CHANGED FIELDS","MATCH")))))))</f>
        <v>MATCH</v>
      </c>
      <c r="P1794" s="1" t="str">
        <f t="shared" si="139"/>
        <v>2026-02</v>
      </c>
    </row>
    <row r="1795" spans="1:16" ht="18.95" customHeight="1">
      <c r="A1795" s="7" t="s">
        <v>4647</v>
      </c>
      <c r="B1795" s="7" t="s">
        <v>4648</v>
      </c>
      <c r="C1795" s="7" t="s">
        <v>602</v>
      </c>
      <c r="D1795" s="7" t="s">
        <v>93</v>
      </c>
      <c r="E1795" s="7" t="s">
        <v>46</v>
      </c>
      <c r="F1795" s="7" t="s">
        <v>98</v>
      </c>
      <c r="G1795" s="7" t="s">
        <v>4649</v>
      </c>
      <c r="I1795" s="1">
        <f t="shared" si="135"/>
        <v>1</v>
      </c>
      <c r="J1795" s="1" t="str">
        <f>'Source build'!A1795</f>
        <v>L01789</v>
      </c>
      <c r="K1795" s="1">
        <f>1795</f>
        <v>1795</v>
      </c>
      <c r="L1795" s="10">
        <f t="shared" si="136"/>
        <v>13310</v>
      </c>
      <c r="M1795" s="1">
        <f t="shared" si="137"/>
        <v>1</v>
      </c>
      <c r="N1795" s="1">
        <f t="shared" si="138"/>
        <v>1</v>
      </c>
      <c r="O1795" s="1" t="str">
        <f>IF(I1795=0,"UNUSED",IF(A1795="","MISSING ID",IF(K1795=0,"UNEXPECTED ID",IF(N1795&lt;&gt;1,"ID / ORDER DIFFERENCE",IF('Source build'!U1795&lt;&gt;"INCLUDED","EXCLUDED SOURCE",IF(NOT(M1795),"INVALID AMOUNT",IF('Source build'!Y1795&lt;&gt;0,"CHANGED FIELDS","MATCH")))))))</f>
        <v>MATCH</v>
      </c>
      <c r="P1795" s="1" t="str">
        <f t="shared" si="139"/>
        <v>2026-02</v>
      </c>
    </row>
    <row r="1796" spans="1:16" ht="18.95" customHeight="1">
      <c r="A1796" s="7" t="s">
        <v>4650</v>
      </c>
      <c r="B1796" s="7" t="s">
        <v>4648</v>
      </c>
      <c r="C1796" s="7" t="s">
        <v>602</v>
      </c>
      <c r="D1796" s="7" t="s">
        <v>97</v>
      </c>
      <c r="E1796" s="7" t="s">
        <v>47</v>
      </c>
      <c r="F1796" s="7" t="s">
        <v>98</v>
      </c>
      <c r="G1796" s="7" t="s">
        <v>4651</v>
      </c>
      <c r="I1796" s="1">
        <f t="shared" si="135"/>
        <v>1</v>
      </c>
      <c r="J1796" s="1" t="str">
        <f>'Source build'!A1796</f>
        <v>L01790</v>
      </c>
      <c r="K1796" s="1">
        <f>1796</f>
        <v>1796</v>
      </c>
      <c r="L1796" s="10">
        <f t="shared" si="136"/>
        <v>26768</v>
      </c>
      <c r="M1796" s="1">
        <f t="shared" si="137"/>
        <v>1</v>
      </c>
      <c r="N1796" s="1">
        <f t="shared" si="138"/>
        <v>1</v>
      </c>
      <c r="O1796" s="1" t="str">
        <f>IF(I1796=0,"UNUSED",IF(A1796="","MISSING ID",IF(K1796=0,"UNEXPECTED ID",IF(N1796&lt;&gt;1,"ID / ORDER DIFFERENCE",IF('Source build'!U1796&lt;&gt;"INCLUDED","EXCLUDED SOURCE",IF(NOT(M1796),"INVALID AMOUNT",IF('Source build'!Y1796&lt;&gt;0,"CHANGED FIELDS","MATCH")))))))</f>
        <v>MATCH</v>
      </c>
      <c r="P1796" s="1" t="str">
        <f t="shared" si="139"/>
        <v>2026-02</v>
      </c>
    </row>
    <row r="1797" spans="1:16" ht="18.95" customHeight="1">
      <c r="A1797" s="7" t="s">
        <v>4652</v>
      </c>
      <c r="B1797" s="7" t="s">
        <v>4653</v>
      </c>
      <c r="C1797" s="7" t="s">
        <v>611</v>
      </c>
      <c r="D1797" s="7" t="s">
        <v>103</v>
      </c>
      <c r="E1797" s="7" t="s">
        <v>48</v>
      </c>
      <c r="F1797" s="7" t="s">
        <v>98</v>
      </c>
      <c r="G1797" s="7" t="s">
        <v>4654</v>
      </c>
      <c r="I1797" s="1">
        <f t="shared" si="135"/>
        <v>1</v>
      </c>
      <c r="J1797" s="1" t="str">
        <f>'Source build'!A1797</f>
        <v>L01791</v>
      </c>
      <c r="K1797" s="1">
        <f>1797</f>
        <v>1797</v>
      </c>
      <c r="L1797" s="10">
        <f t="shared" si="136"/>
        <v>6729</v>
      </c>
      <c r="M1797" s="1">
        <f t="shared" si="137"/>
        <v>1</v>
      </c>
      <c r="N1797" s="1">
        <f t="shared" si="138"/>
        <v>1</v>
      </c>
      <c r="O1797" s="1" t="str">
        <f>IF(I1797=0,"UNUSED",IF(A1797="","MISSING ID",IF(K1797=0,"UNEXPECTED ID",IF(N1797&lt;&gt;1,"ID / ORDER DIFFERENCE",IF('Source build'!U1797&lt;&gt;"INCLUDED","EXCLUDED SOURCE",IF(NOT(M1797),"INVALID AMOUNT",IF('Source build'!Y1797&lt;&gt;0,"CHANGED FIELDS","MATCH")))))))</f>
        <v>MATCH</v>
      </c>
      <c r="P1797" s="1" t="str">
        <f t="shared" si="139"/>
        <v>2026-02</v>
      </c>
    </row>
    <row r="1798" spans="1:16" ht="18.95" customHeight="1">
      <c r="A1798" s="7" t="s">
        <v>4655</v>
      </c>
      <c r="B1798" s="7" t="s">
        <v>4653</v>
      </c>
      <c r="C1798" s="7" t="s">
        <v>611</v>
      </c>
      <c r="D1798" s="7" t="s">
        <v>93</v>
      </c>
      <c r="E1798" s="7" t="s">
        <v>46</v>
      </c>
      <c r="F1798" s="7" t="s">
        <v>98</v>
      </c>
      <c r="G1798" s="7" t="s">
        <v>4656</v>
      </c>
      <c r="I1798" s="1">
        <f t="shared" si="135"/>
        <v>1</v>
      </c>
      <c r="J1798" s="1" t="str">
        <f>'Source build'!A1798</f>
        <v>L01792</v>
      </c>
      <c r="K1798" s="1">
        <f>1798</f>
        <v>1798</v>
      </c>
      <c r="L1798" s="10">
        <f t="shared" si="136"/>
        <v>20298</v>
      </c>
      <c r="M1798" s="1">
        <f t="shared" si="137"/>
        <v>1</v>
      </c>
      <c r="N1798" s="1">
        <f t="shared" si="138"/>
        <v>1</v>
      </c>
      <c r="O1798" s="1" t="str">
        <f>IF(I1798=0,"UNUSED",IF(A1798="","MISSING ID",IF(K1798=0,"UNEXPECTED ID",IF(N1798&lt;&gt;1,"ID / ORDER DIFFERENCE",IF('Source build'!U1798&lt;&gt;"INCLUDED","EXCLUDED SOURCE",IF(NOT(M1798),"INVALID AMOUNT",IF('Source build'!Y1798&lt;&gt;0,"CHANGED FIELDS","MATCH")))))))</f>
        <v>MATCH</v>
      </c>
      <c r="P1798" s="1" t="str">
        <f t="shared" si="139"/>
        <v>2026-02</v>
      </c>
    </row>
    <row r="1799" spans="1:16" ht="18.95" customHeight="1">
      <c r="A1799" s="7" t="s">
        <v>4657</v>
      </c>
      <c r="B1799" s="7" t="s">
        <v>4658</v>
      </c>
      <c r="C1799" s="7" t="s">
        <v>615</v>
      </c>
      <c r="D1799" s="7" t="s">
        <v>97</v>
      </c>
      <c r="E1799" s="7" t="s">
        <v>47</v>
      </c>
      <c r="F1799" s="7" t="s">
        <v>98</v>
      </c>
      <c r="G1799" s="7" t="s">
        <v>4659</v>
      </c>
      <c r="I1799" s="1">
        <f t="shared" ref="I1799:I1862" si="140">IF(AND(A1799="",B1799="",C1799="",D1799="",E1799="",F1799="",G1799=""),0,1)</f>
        <v>1</v>
      </c>
      <c r="J1799" s="1" t="str">
        <f>'Source build'!A1799</f>
        <v>L01793</v>
      </c>
      <c r="K1799" s="1">
        <f>1799</f>
        <v>1799</v>
      </c>
      <c r="L1799" s="10">
        <f t="shared" ref="L1799:L1862" si="141">IFERROR(IF(ABS(VALUE(G1799)*100-ROUND(VALUE(G1799)*100,0))&lt;0.0000001,ROUND(VALUE(G1799)*100,0),0),0)</f>
        <v>34015</v>
      </c>
      <c r="M1799" s="1">
        <f t="shared" ref="M1799:M1862" si="142">--IF(I1799=0,TRUE,IF(TRIM(G1799)="",FALSE,IFERROR(AND(ISNUMBER(VALUE(G1799)),ABS(VALUE(G1799)*100-ROUND(VALUE(G1799)*100,0))&lt;0.0000001,OR(ISNUMBER(G1799),EXACT(G1799,TEXT(VALUE(G1799),"0.00"))),OR(AND(EXACT(F1799,"sale"),VALUE(G1799)&gt;0),AND(EXACT(F1799,"refund"),VALUE(G1799)&lt;0))),FALSE)))</f>
        <v>1</v>
      </c>
      <c r="N1799" s="1">
        <f t="shared" ref="N1799:N1862" si="143">IF(I1799=1,IF(EXACT(A1799,J1799),1,0),0)</f>
        <v>1</v>
      </c>
      <c r="O1799" s="1" t="str">
        <f>IF(I1799=0,"UNUSED",IF(A1799="","MISSING ID",IF(K1799=0,"UNEXPECTED ID",IF(N1799&lt;&gt;1,"ID / ORDER DIFFERENCE",IF('Source build'!U1799&lt;&gt;"INCLUDED","EXCLUDED SOURCE",IF(NOT(M1799),"INVALID AMOUNT",IF('Source build'!Y1799&lt;&gt;0,"CHANGED FIELDS","MATCH")))))))</f>
        <v>MATCH</v>
      </c>
      <c r="P1799" s="1" t="str">
        <f t="shared" ref="P1799:P1862" si="144">IF(I1799=1,LEFT(C1799,7),"")</f>
        <v>2026-03</v>
      </c>
    </row>
    <row r="1800" spans="1:16" ht="18.95" customHeight="1">
      <c r="A1800" s="7" t="s">
        <v>4660</v>
      </c>
      <c r="B1800" s="7" t="s">
        <v>4658</v>
      </c>
      <c r="C1800" s="7" t="s">
        <v>615</v>
      </c>
      <c r="D1800" s="7" t="s">
        <v>103</v>
      </c>
      <c r="E1800" s="7" t="s">
        <v>48</v>
      </c>
      <c r="F1800" s="7" t="s">
        <v>98</v>
      </c>
      <c r="G1800" s="7" t="s">
        <v>4661</v>
      </c>
      <c r="I1800" s="1">
        <f t="shared" si="140"/>
        <v>1</v>
      </c>
      <c r="J1800" s="1" t="str">
        <f>'Source build'!A1800</f>
        <v>L01794</v>
      </c>
      <c r="K1800" s="1">
        <f>1800</f>
        <v>1800</v>
      </c>
      <c r="L1800" s="10">
        <f t="shared" si="141"/>
        <v>13680</v>
      </c>
      <c r="M1800" s="1">
        <f t="shared" si="142"/>
        <v>1</v>
      </c>
      <c r="N1800" s="1">
        <f t="shared" si="143"/>
        <v>1</v>
      </c>
      <c r="O1800" s="1" t="str">
        <f>IF(I1800=0,"UNUSED",IF(A1800="","MISSING ID",IF(K1800=0,"UNEXPECTED ID",IF(N1800&lt;&gt;1,"ID / ORDER DIFFERENCE",IF('Source build'!U1800&lt;&gt;"INCLUDED","EXCLUDED SOURCE",IF(NOT(M1800),"INVALID AMOUNT",IF('Source build'!Y1800&lt;&gt;0,"CHANGED FIELDS","MATCH")))))))</f>
        <v>MATCH</v>
      </c>
      <c r="P1800" s="1" t="str">
        <f t="shared" si="144"/>
        <v>2026-03</v>
      </c>
    </row>
    <row r="1801" spans="1:16" ht="18.95" customHeight="1">
      <c r="A1801" s="7" t="s">
        <v>4662</v>
      </c>
      <c r="B1801" s="7" t="s">
        <v>4663</v>
      </c>
      <c r="C1801" s="7" t="s">
        <v>621</v>
      </c>
      <c r="D1801" s="7" t="s">
        <v>93</v>
      </c>
      <c r="E1801" s="7" t="s">
        <v>46</v>
      </c>
      <c r="F1801" s="7" t="s">
        <v>94</v>
      </c>
      <c r="G1801" s="7" t="s">
        <v>4664</v>
      </c>
      <c r="I1801" s="1">
        <f t="shared" si="140"/>
        <v>1</v>
      </c>
      <c r="J1801" s="1" t="str">
        <f>'Source build'!A1801</f>
        <v>L01795</v>
      </c>
      <c r="K1801" s="1">
        <f>1801</f>
        <v>1801</v>
      </c>
      <c r="L1801" s="10">
        <f t="shared" si="141"/>
        <v>-27508</v>
      </c>
      <c r="M1801" s="1">
        <f t="shared" si="142"/>
        <v>1</v>
      </c>
      <c r="N1801" s="1">
        <f t="shared" si="143"/>
        <v>1</v>
      </c>
      <c r="O1801" s="1" t="str">
        <f>IF(I1801=0,"UNUSED",IF(A1801="","MISSING ID",IF(K1801=0,"UNEXPECTED ID",IF(N1801&lt;&gt;1,"ID / ORDER DIFFERENCE",IF('Source build'!U1801&lt;&gt;"INCLUDED","EXCLUDED SOURCE",IF(NOT(M1801),"INVALID AMOUNT",IF('Source build'!Y1801&lt;&gt;0,"CHANGED FIELDS","MATCH")))))))</f>
        <v>MATCH</v>
      </c>
      <c r="P1801" s="1" t="str">
        <f t="shared" si="144"/>
        <v>2026-03</v>
      </c>
    </row>
    <row r="1802" spans="1:16" ht="18.95" customHeight="1">
      <c r="A1802" s="7" t="s">
        <v>4665</v>
      </c>
      <c r="B1802" s="7" t="s">
        <v>4663</v>
      </c>
      <c r="C1802" s="7" t="s">
        <v>621</v>
      </c>
      <c r="D1802" s="7" t="s">
        <v>97</v>
      </c>
      <c r="E1802" s="7" t="s">
        <v>47</v>
      </c>
      <c r="F1802" s="7" t="s">
        <v>98</v>
      </c>
      <c r="G1802" s="7" t="s">
        <v>4666</v>
      </c>
      <c r="I1802" s="1">
        <f t="shared" si="140"/>
        <v>1</v>
      </c>
      <c r="J1802" s="1" t="str">
        <f>'Source build'!A1802</f>
        <v>L01796</v>
      </c>
      <c r="K1802" s="1">
        <f>1802</f>
        <v>1802</v>
      </c>
      <c r="L1802" s="10">
        <f t="shared" si="141"/>
        <v>6914</v>
      </c>
      <c r="M1802" s="1">
        <f t="shared" si="142"/>
        <v>1</v>
      </c>
      <c r="N1802" s="1">
        <f t="shared" si="143"/>
        <v>1</v>
      </c>
      <c r="O1802" s="1" t="str">
        <f>IF(I1802=0,"UNUSED",IF(A1802="","MISSING ID",IF(K1802=0,"UNEXPECTED ID",IF(N1802&lt;&gt;1,"ID / ORDER DIFFERENCE",IF('Source build'!U1802&lt;&gt;"INCLUDED","EXCLUDED SOURCE",IF(NOT(M1802),"INVALID AMOUNT",IF('Source build'!Y1802&lt;&gt;0,"CHANGED FIELDS","MATCH")))))))</f>
        <v>MATCH</v>
      </c>
      <c r="P1802" s="1" t="str">
        <f t="shared" si="144"/>
        <v>2026-03</v>
      </c>
    </row>
    <row r="1803" spans="1:16" ht="18.95" customHeight="1">
      <c r="A1803" s="7" t="s">
        <v>4667</v>
      </c>
      <c r="B1803" s="7" t="s">
        <v>4668</v>
      </c>
      <c r="C1803" s="7" t="s">
        <v>627</v>
      </c>
      <c r="D1803" s="7" t="s">
        <v>103</v>
      </c>
      <c r="E1803" s="7" t="s">
        <v>48</v>
      </c>
      <c r="F1803" s="7" t="s">
        <v>98</v>
      </c>
      <c r="G1803" s="7" t="s">
        <v>4669</v>
      </c>
      <c r="I1803" s="1">
        <f t="shared" si="140"/>
        <v>1</v>
      </c>
      <c r="J1803" s="1" t="str">
        <f>'Source build'!A1803</f>
        <v>L01797</v>
      </c>
      <c r="K1803" s="1">
        <f>1803</f>
        <v>1803</v>
      </c>
      <c r="L1803" s="10">
        <f t="shared" si="141"/>
        <v>20853</v>
      </c>
      <c r="M1803" s="1">
        <f t="shared" si="142"/>
        <v>1</v>
      </c>
      <c r="N1803" s="1">
        <f t="shared" si="143"/>
        <v>1</v>
      </c>
      <c r="O1803" s="1" t="str">
        <f>IF(I1803=0,"UNUSED",IF(A1803="","MISSING ID",IF(K1803=0,"UNEXPECTED ID",IF(N1803&lt;&gt;1,"ID / ORDER DIFFERENCE",IF('Source build'!U1803&lt;&gt;"INCLUDED","EXCLUDED SOURCE",IF(NOT(M1803),"INVALID AMOUNT",IF('Source build'!Y1803&lt;&gt;0,"CHANGED FIELDS","MATCH")))))))</f>
        <v>MATCH</v>
      </c>
      <c r="P1803" s="1" t="str">
        <f t="shared" si="144"/>
        <v>2026-03</v>
      </c>
    </row>
    <row r="1804" spans="1:16" ht="18.95" customHeight="1">
      <c r="A1804" s="7" t="s">
        <v>4670</v>
      </c>
      <c r="B1804" s="7" t="s">
        <v>4668</v>
      </c>
      <c r="C1804" s="7" t="s">
        <v>627</v>
      </c>
      <c r="D1804" s="7" t="s">
        <v>93</v>
      </c>
      <c r="E1804" s="7" t="s">
        <v>46</v>
      </c>
      <c r="F1804" s="7" t="s">
        <v>98</v>
      </c>
      <c r="G1804" s="7" t="s">
        <v>4671</v>
      </c>
      <c r="I1804" s="1">
        <f t="shared" si="140"/>
        <v>1</v>
      </c>
      <c r="J1804" s="1" t="str">
        <f>'Source build'!A1804</f>
        <v>L01798</v>
      </c>
      <c r="K1804" s="1">
        <f>1804</f>
        <v>1804</v>
      </c>
      <c r="L1804" s="10">
        <f t="shared" si="141"/>
        <v>34940</v>
      </c>
      <c r="M1804" s="1">
        <f t="shared" si="142"/>
        <v>1</v>
      </c>
      <c r="N1804" s="1">
        <f t="shared" si="143"/>
        <v>1</v>
      </c>
      <c r="O1804" s="1" t="str">
        <f>IF(I1804=0,"UNUSED",IF(A1804="","MISSING ID",IF(K1804=0,"UNEXPECTED ID",IF(N1804&lt;&gt;1,"ID / ORDER DIFFERENCE",IF('Source build'!U1804&lt;&gt;"INCLUDED","EXCLUDED SOURCE",IF(NOT(M1804),"INVALID AMOUNT",IF('Source build'!Y1804&lt;&gt;0,"CHANGED FIELDS","MATCH")))))))</f>
        <v>MATCH</v>
      </c>
      <c r="P1804" s="1" t="str">
        <f t="shared" si="144"/>
        <v>2026-03</v>
      </c>
    </row>
    <row r="1805" spans="1:16" ht="18.95" customHeight="1">
      <c r="A1805" s="7" t="s">
        <v>4672</v>
      </c>
      <c r="B1805" s="7" t="s">
        <v>4673</v>
      </c>
      <c r="C1805" s="7" t="s">
        <v>633</v>
      </c>
      <c r="D1805" s="7" t="s">
        <v>97</v>
      </c>
      <c r="E1805" s="7" t="s">
        <v>47</v>
      </c>
      <c r="F1805" s="7" t="s">
        <v>98</v>
      </c>
      <c r="G1805" s="7" t="s">
        <v>4674</v>
      </c>
      <c r="I1805" s="1">
        <f t="shared" si="140"/>
        <v>1</v>
      </c>
      <c r="J1805" s="1" t="str">
        <f>'Source build'!A1805</f>
        <v>L01799</v>
      </c>
      <c r="K1805" s="1">
        <f>1805</f>
        <v>1805</v>
      </c>
      <c r="L1805" s="10">
        <f t="shared" si="141"/>
        <v>14050</v>
      </c>
      <c r="M1805" s="1">
        <f t="shared" si="142"/>
        <v>1</v>
      </c>
      <c r="N1805" s="1">
        <f t="shared" si="143"/>
        <v>1</v>
      </c>
      <c r="O1805" s="1" t="str">
        <f>IF(I1805=0,"UNUSED",IF(A1805="","MISSING ID",IF(K1805=0,"UNEXPECTED ID",IF(N1805&lt;&gt;1,"ID / ORDER DIFFERENCE",IF('Source build'!U1805&lt;&gt;"INCLUDED","EXCLUDED SOURCE",IF(NOT(M1805),"INVALID AMOUNT",IF('Source build'!Y1805&lt;&gt;0,"CHANGED FIELDS","MATCH")))))))</f>
        <v>MATCH</v>
      </c>
      <c r="P1805" s="1" t="str">
        <f t="shared" si="144"/>
        <v>2026-03</v>
      </c>
    </row>
    <row r="1806" spans="1:16" ht="18.95" customHeight="1">
      <c r="A1806" s="7" t="s">
        <v>4675</v>
      </c>
      <c r="B1806" s="7" t="s">
        <v>4673</v>
      </c>
      <c r="C1806" s="7" t="s">
        <v>633</v>
      </c>
      <c r="D1806" s="7" t="s">
        <v>103</v>
      </c>
      <c r="E1806" s="7" t="s">
        <v>48</v>
      </c>
      <c r="F1806" s="7" t="s">
        <v>98</v>
      </c>
      <c r="G1806" s="7" t="s">
        <v>791</v>
      </c>
      <c r="I1806" s="1">
        <f t="shared" si="140"/>
        <v>1</v>
      </c>
      <c r="J1806" s="1" t="str">
        <f>'Source build'!A1806</f>
        <v>L01800</v>
      </c>
      <c r="K1806" s="1">
        <f>1806</f>
        <v>1806</v>
      </c>
      <c r="L1806" s="10">
        <f t="shared" si="141"/>
        <v>28248</v>
      </c>
      <c r="M1806" s="1">
        <f t="shared" si="142"/>
        <v>1</v>
      </c>
      <c r="N1806" s="1">
        <f t="shared" si="143"/>
        <v>1</v>
      </c>
      <c r="O1806" s="1" t="str">
        <f>IF(I1806=0,"UNUSED",IF(A1806="","MISSING ID",IF(K1806=0,"UNEXPECTED ID",IF(N1806&lt;&gt;1,"ID / ORDER DIFFERENCE",IF('Source build'!U1806&lt;&gt;"INCLUDED","EXCLUDED SOURCE",IF(NOT(M1806),"INVALID AMOUNT",IF('Source build'!Y1806&lt;&gt;0,"CHANGED FIELDS","MATCH")))))))</f>
        <v>MATCH</v>
      </c>
      <c r="P1806" s="1" t="str">
        <f t="shared" si="144"/>
        <v>2026-03</v>
      </c>
    </row>
    <row r="1807" spans="1:16" ht="18.95" customHeight="1">
      <c r="A1807" s="7" t="s">
        <v>4676</v>
      </c>
      <c r="B1807" s="7" t="s">
        <v>4677</v>
      </c>
      <c r="C1807" s="7" t="s">
        <v>92</v>
      </c>
      <c r="D1807" s="7" t="s">
        <v>93</v>
      </c>
      <c r="E1807" s="7" t="s">
        <v>46</v>
      </c>
      <c r="F1807" s="7" t="s">
        <v>98</v>
      </c>
      <c r="G1807" s="7" t="s">
        <v>4678</v>
      </c>
      <c r="I1807" s="1">
        <f t="shared" si="140"/>
        <v>1</v>
      </c>
      <c r="J1807" s="1" t="str">
        <f>'Source build'!A1807</f>
        <v>L01801</v>
      </c>
      <c r="K1807" s="1">
        <f>1807</f>
        <v>1807</v>
      </c>
      <c r="L1807" s="10">
        <f t="shared" si="141"/>
        <v>7099</v>
      </c>
      <c r="M1807" s="1">
        <f t="shared" si="142"/>
        <v>1</v>
      </c>
      <c r="N1807" s="1">
        <f t="shared" si="143"/>
        <v>1</v>
      </c>
      <c r="O1807" s="1" t="str">
        <f>IF(I1807=0,"UNUSED",IF(A1807="","MISSING ID",IF(K1807=0,"UNEXPECTED ID",IF(N1807&lt;&gt;1,"ID / ORDER DIFFERENCE",IF('Source build'!U1807&lt;&gt;"INCLUDED","EXCLUDED SOURCE",IF(NOT(M1807),"INVALID AMOUNT",IF('Source build'!Y1807&lt;&gt;0,"CHANGED FIELDS","MATCH")))))))</f>
        <v>MATCH</v>
      </c>
      <c r="P1807" s="1" t="str">
        <f t="shared" si="144"/>
        <v>2026-01</v>
      </c>
    </row>
    <row r="1808" spans="1:16" ht="18.95" customHeight="1">
      <c r="A1808" s="7" t="s">
        <v>4679</v>
      </c>
      <c r="B1808" s="7" t="s">
        <v>4677</v>
      </c>
      <c r="C1808" s="7" t="s">
        <v>92</v>
      </c>
      <c r="D1808" s="7" t="s">
        <v>97</v>
      </c>
      <c r="E1808" s="7" t="s">
        <v>47</v>
      </c>
      <c r="F1808" s="7" t="s">
        <v>98</v>
      </c>
      <c r="G1808" s="7" t="s">
        <v>4680</v>
      </c>
      <c r="I1808" s="1">
        <f t="shared" si="140"/>
        <v>1</v>
      </c>
      <c r="J1808" s="1" t="str">
        <f>'Source build'!A1808</f>
        <v>L01802</v>
      </c>
      <c r="K1808" s="1">
        <f>1808</f>
        <v>1808</v>
      </c>
      <c r="L1808" s="10">
        <f t="shared" si="141"/>
        <v>21408</v>
      </c>
      <c r="M1808" s="1">
        <f t="shared" si="142"/>
        <v>1</v>
      </c>
      <c r="N1808" s="1">
        <f t="shared" si="143"/>
        <v>1</v>
      </c>
      <c r="O1808" s="1" t="str">
        <f>IF(I1808=0,"UNUSED",IF(A1808="","MISSING ID",IF(K1808=0,"UNEXPECTED ID",IF(N1808&lt;&gt;1,"ID / ORDER DIFFERENCE",IF('Source build'!U1808&lt;&gt;"INCLUDED","EXCLUDED SOURCE",IF(NOT(M1808),"INVALID AMOUNT",IF('Source build'!Y1808&lt;&gt;0,"CHANGED FIELDS","MATCH")))))))</f>
        <v>MATCH</v>
      </c>
      <c r="P1808" s="1" t="str">
        <f t="shared" si="144"/>
        <v>2026-01</v>
      </c>
    </row>
    <row r="1809" spans="1:16" ht="18.95" customHeight="1">
      <c r="A1809" s="7" t="s">
        <v>4681</v>
      </c>
      <c r="B1809" s="7" t="s">
        <v>4682</v>
      </c>
      <c r="C1809" s="7" t="s">
        <v>102</v>
      </c>
      <c r="D1809" s="7" t="s">
        <v>103</v>
      </c>
      <c r="E1809" s="7" t="s">
        <v>48</v>
      </c>
      <c r="F1809" s="7" t="s">
        <v>98</v>
      </c>
      <c r="G1809" s="7" t="s">
        <v>4683</v>
      </c>
      <c r="I1809" s="1">
        <f t="shared" si="140"/>
        <v>1</v>
      </c>
      <c r="J1809" s="1" t="str">
        <f>'Source build'!A1809</f>
        <v>L01803</v>
      </c>
      <c r="K1809" s="1">
        <f>1809</f>
        <v>1809</v>
      </c>
      <c r="L1809" s="10">
        <f t="shared" si="141"/>
        <v>35865</v>
      </c>
      <c r="M1809" s="1">
        <f t="shared" si="142"/>
        <v>1</v>
      </c>
      <c r="N1809" s="1">
        <f t="shared" si="143"/>
        <v>1</v>
      </c>
      <c r="O1809" s="1" t="str">
        <f>IF(I1809=0,"UNUSED",IF(A1809="","MISSING ID",IF(K1809=0,"UNEXPECTED ID",IF(N1809&lt;&gt;1,"ID / ORDER DIFFERENCE",IF('Source build'!U1809&lt;&gt;"INCLUDED","EXCLUDED SOURCE",IF(NOT(M1809),"INVALID AMOUNT",IF('Source build'!Y1809&lt;&gt;0,"CHANGED FIELDS","MATCH")))))))</f>
        <v>MATCH</v>
      </c>
      <c r="P1809" s="1" t="str">
        <f t="shared" si="144"/>
        <v>2026-01</v>
      </c>
    </row>
    <row r="1810" spans="1:16" ht="18.95" customHeight="1">
      <c r="A1810" s="7" t="s">
        <v>4684</v>
      </c>
      <c r="B1810" s="7" t="s">
        <v>4682</v>
      </c>
      <c r="C1810" s="7" t="s">
        <v>102</v>
      </c>
      <c r="D1810" s="7" t="s">
        <v>93</v>
      </c>
      <c r="E1810" s="7" t="s">
        <v>46</v>
      </c>
      <c r="F1810" s="7" t="s">
        <v>98</v>
      </c>
      <c r="G1810" s="7" t="s">
        <v>4685</v>
      </c>
      <c r="I1810" s="1">
        <f t="shared" si="140"/>
        <v>1</v>
      </c>
      <c r="J1810" s="1" t="str">
        <f>'Source build'!A1810</f>
        <v>L01804</v>
      </c>
      <c r="K1810" s="1">
        <f>1810</f>
        <v>1810</v>
      </c>
      <c r="L1810" s="10">
        <f t="shared" si="141"/>
        <v>14420</v>
      </c>
      <c r="M1810" s="1">
        <f t="shared" si="142"/>
        <v>1</v>
      </c>
      <c r="N1810" s="1">
        <f t="shared" si="143"/>
        <v>1</v>
      </c>
      <c r="O1810" s="1" t="str">
        <f>IF(I1810=0,"UNUSED",IF(A1810="","MISSING ID",IF(K1810=0,"UNEXPECTED ID",IF(N1810&lt;&gt;1,"ID / ORDER DIFFERENCE",IF('Source build'!U1810&lt;&gt;"INCLUDED","EXCLUDED SOURCE",IF(NOT(M1810),"INVALID AMOUNT",IF('Source build'!Y1810&lt;&gt;0,"CHANGED FIELDS","MATCH")))))))</f>
        <v>MATCH</v>
      </c>
      <c r="P1810" s="1" t="str">
        <f t="shared" si="144"/>
        <v>2026-01</v>
      </c>
    </row>
    <row r="1811" spans="1:16" ht="18.95" customHeight="1">
      <c r="A1811" s="7" t="s">
        <v>4686</v>
      </c>
      <c r="B1811" s="7" t="s">
        <v>4687</v>
      </c>
      <c r="C1811" s="7" t="s">
        <v>109</v>
      </c>
      <c r="D1811" s="7" t="s">
        <v>97</v>
      </c>
      <c r="E1811" s="7" t="s">
        <v>47</v>
      </c>
      <c r="F1811" s="7" t="s">
        <v>98</v>
      </c>
      <c r="G1811" s="7" t="s">
        <v>4688</v>
      </c>
      <c r="I1811" s="1">
        <f t="shared" si="140"/>
        <v>1</v>
      </c>
      <c r="J1811" s="1" t="str">
        <f>'Source build'!A1811</f>
        <v>L01805</v>
      </c>
      <c r="K1811" s="1">
        <f>1811</f>
        <v>1811</v>
      </c>
      <c r="L1811" s="10">
        <f t="shared" si="141"/>
        <v>28988</v>
      </c>
      <c r="M1811" s="1">
        <f t="shared" si="142"/>
        <v>1</v>
      </c>
      <c r="N1811" s="1">
        <f t="shared" si="143"/>
        <v>1</v>
      </c>
      <c r="O1811" s="1" t="str">
        <f>IF(I1811=0,"UNUSED",IF(A1811="","MISSING ID",IF(K1811=0,"UNEXPECTED ID",IF(N1811&lt;&gt;1,"ID / ORDER DIFFERENCE",IF('Source build'!U1811&lt;&gt;"INCLUDED","EXCLUDED SOURCE",IF(NOT(M1811),"INVALID AMOUNT",IF('Source build'!Y1811&lt;&gt;0,"CHANGED FIELDS","MATCH")))))))</f>
        <v>MATCH</v>
      </c>
      <c r="P1811" s="1" t="str">
        <f t="shared" si="144"/>
        <v>2026-01</v>
      </c>
    </row>
    <row r="1812" spans="1:16" ht="18.95" customHeight="1">
      <c r="A1812" s="7" t="s">
        <v>4689</v>
      </c>
      <c r="B1812" s="7" t="s">
        <v>4687</v>
      </c>
      <c r="C1812" s="7" t="s">
        <v>109</v>
      </c>
      <c r="D1812" s="7" t="s">
        <v>103</v>
      </c>
      <c r="E1812" s="7" t="s">
        <v>48</v>
      </c>
      <c r="F1812" s="7" t="s">
        <v>98</v>
      </c>
      <c r="G1812" s="7" t="s">
        <v>4690</v>
      </c>
      <c r="I1812" s="1">
        <f t="shared" si="140"/>
        <v>1</v>
      </c>
      <c r="J1812" s="1" t="str">
        <f>'Source build'!A1812</f>
        <v>L01806</v>
      </c>
      <c r="K1812" s="1">
        <f>1812</f>
        <v>1812</v>
      </c>
      <c r="L1812" s="10">
        <f t="shared" si="141"/>
        <v>7284</v>
      </c>
      <c r="M1812" s="1">
        <f t="shared" si="142"/>
        <v>1</v>
      </c>
      <c r="N1812" s="1">
        <f t="shared" si="143"/>
        <v>1</v>
      </c>
      <c r="O1812" s="1" t="str">
        <f>IF(I1812=0,"UNUSED",IF(A1812="","MISSING ID",IF(K1812=0,"UNEXPECTED ID",IF(N1812&lt;&gt;1,"ID / ORDER DIFFERENCE",IF('Source build'!U1812&lt;&gt;"INCLUDED","EXCLUDED SOURCE",IF(NOT(M1812),"INVALID AMOUNT",IF('Source build'!Y1812&lt;&gt;0,"CHANGED FIELDS","MATCH")))))))</f>
        <v>MATCH</v>
      </c>
      <c r="P1812" s="1" t="str">
        <f t="shared" si="144"/>
        <v>2026-01</v>
      </c>
    </row>
    <row r="1813" spans="1:16" ht="18.95" customHeight="1">
      <c r="A1813" s="7" t="s">
        <v>4691</v>
      </c>
      <c r="B1813" s="7" t="s">
        <v>4692</v>
      </c>
      <c r="C1813" s="7" t="s">
        <v>115</v>
      </c>
      <c r="D1813" s="7" t="s">
        <v>93</v>
      </c>
      <c r="E1813" s="7" t="s">
        <v>46</v>
      </c>
      <c r="F1813" s="7" t="s">
        <v>98</v>
      </c>
      <c r="G1813" s="7" t="s">
        <v>4693</v>
      </c>
      <c r="I1813" s="1">
        <f t="shared" si="140"/>
        <v>1</v>
      </c>
      <c r="J1813" s="1" t="str">
        <f>'Source build'!A1813</f>
        <v>L01807</v>
      </c>
      <c r="K1813" s="1">
        <f>1813</f>
        <v>1813</v>
      </c>
      <c r="L1813" s="10">
        <f t="shared" si="141"/>
        <v>21963</v>
      </c>
      <c r="M1813" s="1">
        <f t="shared" si="142"/>
        <v>1</v>
      </c>
      <c r="N1813" s="1">
        <f t="shared" si="143"/>
        <v>1</v>
      </c>
      <c r="O1813" s="1" t="str">
        <f>IF(I1813=0,"UNUSED",IF(A1813="","MISSING ID",IF(K1813=0,"UNEXPECTED ID",IF(N1813&lt;&gt;1,"ID / ORDER DIFFERENCE",IF('Source build'!U1813&lt;&gt;"INCLUDED","EXCLUDED SOURCE",IF(NOT(M1813),"INVALID AMOUNT",IF('Source build'!Y1813&lt;&gt;0,"CHANGED FIELDS","MATCH")))))))</f>
        <v>MATCH</v>
      </c>
      <c r="P1813" s="1" t="str">
        <f t="shared" si="144"/>
        <v>2026-01</v>
      </c>
    </row>
    <row r="1814" spans="1:16" ht="18.95" customHeight="1">
      <c r="A1814" s="7" t="s">
        <v>4694</v>
      </c>
      <c r="B1814" s="7" t="s">
        <v>4692</v>
      </c>
      <c r="C1814" s="7" t="s">
        <v>115</v>
      </c>
      <c r="D1814" s="7" t="s">
        <v>97</v>
      </c>
      <c r="E1814" s="7" t="s">
        <v>47</v>
      </c>
      <c r="F1814" s="7" t="s">
        <v>98</v>
      </c>
      <c r="G1814" s="7" t="s">
        <v>4695</v>
      </c>
      <c r="I1814" s="1">
        <f t="shared" si="140"/>
        <v>1</v>
      </c>
      <c r="J1814" s="1" t="str">
        <f>'Source build'!A1814</f>
        <v>L01808</v>
      </c>
      <c r="K1814" s="1">
        <f>1814</f>
        <v>1814</v>
      </c>
      <c r="L1814" s="10">
        <f t="shared" si="141"/>
        <v>36790</v>
      </c>
      <c r="M1814" s="1">
        <f t="shared" si="142"/>
        <v>1</v>
      </c>
      <c r="N1814" s="1">
        <f t="shared" si="143"/>
        <v>1</v>
      </c>
      <c r="O1814" s="1" t="str">
        <f>IF(I1814=0,"UNUSED",IF(A1814="","MISSING ID",IF(K1814=0,"UNEXPECTED ID",IF(N1814&lt;&gt;1,"ID / ORDER DIFFERENCE",IF('Source build'!U1814&lt;&gt;"INCLUDED","EXCLUDED SOURCE",IF(NOT(M1814),"INVALID AMOUNT",IF('Source build'!Y1814&lt;&gt;0,"CHANGED FIELDS","MATCH")))))))</f>
        <v>MATCH</v>
      </c>
      <c r="P1814" s="1" t="str">
        <f t="shared" si="144"/>
        <v>2026-01</v>
      </c>
    </row>
    <row r="1815" spans="1:16" ht="18.95" customHeight="1">
      <c r="A1815" s="7" t="s">
        <v>4696</v>
      </c>
      <c r="B1815" s="7" t="s">
        <v>4697</v>
      </c>
      <c r="C1815" s="7" t="s">
        <v>121</v>
      </c>
      <c r="D1815" s="7" t="s">
        <v>103</v>
      </c>
      <c r="E1815" s="7" t="s">
        <v>48</v>
      </c>
      <c r="F1815" s="7" t="s">
        <v>98</v>
      </c>
      <c r="G1815" s="7" t="s">
        <v>4698</v>
      </c>
      <c r="I1815" s="1">
        <f t="shared" si="140"/>
        <v>1</v>
      </c>
      <c r="J1815" s="1" t="str">
        <f>'Source build'!A1815</f>
        <v>L01809</v>
      </c>
      <c r="K1815" s="1">
        <f>1815</f>
        <v>1815</v>
      </c>
      <c r="L1815" s="10">
        <f t="shared" si="141"/>
        <v>14790</v>
      </c>
      <c r="M1815" s="1">
        <f t="shared" si="142"/>
        <v>1</v>
      </c>
      <c r="N1815" s="1">
        <f t="shared" si="143"/>
        <v>1</v>
      </c>
      <c r="O1815" s="1" t="str">
        <f>IF(I1815=0,"UNUSED",IF(A1815="","MISSING ID",IF(K1815=0,"UNEXPECTED ID",IF(N1815&lt;&gt;1,"ID / ORDER DIFFERENCE",IF('Source build'!U1815&lt;&gt;"INCLUDED","EXCLUDED SOURCE",IF(NOT(M1815),"INVALID AMOUNT",IF('Source build'!Y1815&lt;&gt;0,"CHANGED FIELDS","MATCH")))))))</f>
        <v>MATCH</v>
      </c>
      <c r="P1815" s="1" t="str">
        <f t="shared" si="144"/>
        <v>2026-01</v>
      </c>
    </row>
    <row r="1816" spans="1:16" ht="18.95" customHeight="1">
      <c r="A1816" s="7" t="s">
        <v>4699</v>
      </c>
      <c r="B1816" s="7" t="s">
        <v>4697</v>
      </c>
      <c r="C1816" s="7" t="s">
        <v>121</v>
      </c>
      <c r="D1816" s="7" t="s">
        <v>93</v>
      </c>
      <c r="E1816" s="7" t="s">
        <v>46</v>
      </c>
      <c r="F1816" s="7" t="s">
        <v>98</v>
      </c>
      <c r="G1816" s="7" t="s">
        <v>4700</v>
      </c>
      <c r="I1816" s="1">
        <f t="shared" si="140"/>
        <v>1</v>
      </c>
      <c r="J1816" s="1" t="str">
        <f>'Source build'!A1816</f>
        <v>L01810</v>
      </c>
      <c r="K1816" s="1">
        <f>1816</f>
        <v>1816</v>
      </c>
      <c r="L1816" s="10">
        <f t="shared" si="141"/>
        <v>29728</v>
      </c>
      <c r="M1816" s="1">
        <f t="shared" si="142"/>
        <v>1</v>
      </c>
      <c r="N1816" s="1">
        <f t="shared" si="143"/>
        <v>1</v>
      </c>
      <c r="O1816" s="1" t="str">
        <f>IF(I1816=0,"UNUSED",IF(A1816="","MISSING ID",IF(K1816=0,"UNEXPECTED ID",IF(N1816&lt;&gt;1,"ID / ORDER DIFFERENCE",IF('Source build'!U1816&lt;&gt;"INCLUDED","EXCLUDED SOURCE",IF(NOT(M1816),"INVALID AMOUNT",IF('Source build'!Y1816&lt;&gt;0,"CHANGED FIELDS","MATCH")))))))</f>
        <v>MATCH</v>
      </c>
      <c r="P1816" s="1" t="str">
        <f t="shared" si="144"/>
        <v>2026-01</v>
      </c>
    </row>
    <row r="1817" spans="1:16" ht="18.95" customHeight="1">
      <c r="A1817" s="7" t="s">
        <v>4701</v>
      </c>
      <c r="B1817" s="7" t="s">
        <v>4702</v>
      </c>
      <c r="C1817" s="7" t="s">
        <v>127</v>
      </c>
      <c r="D1817" s="7" t="s">
        <v>97</v>
      </c>
      <c r="E1817" s="7" t="s">
        <v>47</v>
      </c>
      <c r="F1817" s="7" t="s">
        <v>98</v>
      </c>
      <c r="G1817" s="7" t="s">
        <v>4703</v>
      </c>
      <c r="I1817" s="1">
        <f t="shared" si="140"/>
        <v>1</v>
      </c>
      <c r="J1817" s="1" t="str">
        <f>'Source build'!A1817</f>
        <v>L01811</v>
      </c>
      <c r="K1817" s="1">
        <f>1817</f>
        <v>1817</v>
      </c>
      <c r="L1817" s="10">
        <f t="shared" si="141"/>
        <v>7469</v>
      </c>
      <c r="M1817" s="1">
        <f t="shared" si="142"/>
        <v>1</v>
      </c>
      <c r="N1817" s="1">
        <f t="shared" si="143"/>
        <v>1</v>
      </c>
      <c r="O1817" s="1" t="str">
        <f>IF(I1817=0,"UNUSED",IF(A1817="","MISSING ID",IF(K1817=0,"UNEXPECTED ID",IF(N1817&lt;&gt;1,"ID / ORDER DIFFERENCE",IF('Source build'!U1817&lt;&gt;"INCLUDED","EXCLUDED SOURCE",IF(NOT(M1817),"INVALID AMOUNT",IF('Source build'!Y1817&lt;&gt;0,"CHANGED FIELDS","MATCH")))))))</f>
        <v>MATCH</v>
      </c>
      <c r="P1817" s="1" t="str">
        <f t="shared" si="144"/>
        <v>2026-02</v>
      </c>
    </row>
    <row r="1818" spans="1:16" ht="18.95" customHeight="1">
      <c r="A1818" s="7" t="s">
        <v>4704</v>
      </c>
      <c r="B1818" s="7" t="s">
        <v>4702</v>
      </c>
      <c r="C1818" s="7" t="s">
        <v>127</v>
      </c>
      <c r="D1818" s="7" t="s">
        <v>103</v>
      </c>
      <c r="E1818" s="7" t="s">
        <v>48</v>
      </c>
      <c r="F1818" s="7" t="s">
        <v>98</v>
      </c>
      <c r="G1818" s="7" t="s">
        <v>4705</v>
      </c>
      <c r="I1818" s="1">
        <f t="shared" si="140"/>
        <v>1</v>
      </c>
      <c r="J1818" s="1" t="str">
        <f>'Source build'!A1818</f>
        <v>L01812</v>
      </c>
      <c r="K1818" s="1">
        <f>1818</f>
        <v>1818</v>
      </c>
      <c r="L1818" s="10">
        <f t="shared" si="141"/>
        <v>22518</v>
      </c>
      <c r="M1818" s="1">
        <f t="shared" si="142"/>
        <v>1</v>
      </c>
      <c r="N1818" s="1">
        <f t="shared" si="143"/>
        <v>1</v>
      </c>
      <c r="O1818" s="1" t="str">
        <f>IF(I1818=0,"UNUSED",IF(A1818="","MISSING ID",IF(K1818=0,"UNEXPECTED ID",IF(N1818&lt;&gt;1,"ID / ORDER DIFFERENCE",IF('Source build'!U1818&lt;&gt;"INCLUDED","EXCLUDED SOURCE",IF(NOT(M1818),"INVALID AMOUNT",IF('Source build'!Y1818&lt;&gt;0,"CHANGED FIELDS","MATCH")))))))</f>
        <v>MATCH</v>
      </c>
      <c r="P1818" s="1" t="str">
        <f t="shared" si="144"/>
        <v>2026-02</v>
      </c>
    </row>
    <row r="1819" spans="1:16" ht="18.95" customHeight="1">
      <c r="A1819" s="7" t="s">
        <v>4706</v>
      </c>
      <c r="B1819" s="7" t="s">
        <v>4707</v>
      </c>
      <c r="C1819" s="7" t="s">
        <v>133</v>
      </c>
      <c r="D1819" s="7" t="s">
        <v>93</v>
      </c>
      <c r="E1819" s="7" t="s">
        <v>46</v>
      </c>
      <c r="F1819" s="7" t="s">
        <v>98</v>
      </c>
      <c r="G1819" s="7" t="s">
        <v>4708</v>
      </c>
      <c r="I1819" s="1">
        <f t="shared" si="140"/>
        <v>1</v>
      </c>
      <c r="J1819" s="1" t="str">
        <f>'Source build'!A1819</f>
        <v>L01813</v>
      </c>
      <c r="K1819" s="1">
        <f>1819</f>
        <v>1819</v>
      </c>
      <c r="L1819" s="10">
        <f t="shared" si="141"/>
        <v>37715</v>
      </c>
      <c r="M1819" s="1">
        <f t="shared" si="142"/>
        <v>1</v>
      </c>
      <c r="N1819" s="1">
        <f t="shared" si="143"/>
        <v>1</v>
      </c>
      <c r="O1819" s="1" t="str">
        <f>IF(I1819=0,"UNUSED",IF(A1819="","MISSING ID",IF(K1819=0,"UNEXPECTED ID",IF(N1819&lt;&gt;1,"ID / ORDER DIFFERENCE",IF('Source build'!U1819&lt;&gt;"INCLUDED","EXCLUDED SOURCE",IF(NOT(M1819),"INVALID AMOUNT",IF('Source build'!Y1819&lt;&gt;0,"CHANGED FIELDS","MATCH")))))))</f>
        <v>MATCH</v>
      </c>
      <c r="P1819" s="1" t="str">
        <f t="shared" si="144"/>
        <v>2026-02</v>
      </c>
    </row>
    <row r="1820" spans="1:16" ht="18.95" customHeight="1">
      <c r="A1820" s="7" t="s">
        <v>4709</v>
      </c>
      <c r="B1820" s="7" t="s">
        <v>4707</v>
      </c>
      <c r="C1820" s="7" t="s">
        <v>133</v>
      </c>
      <c r="D1820" s="7" t="s">
        <v>97</v>
      </c>
      <c r="E1820" s="7" t="s">
        <v>47</v>
      </c>
      <c r="F1820" s="7" t="s">
        <v>98</v>
      </c>
      <c r="G1820" s="7" t="s">
        <v>4710</v>
      </c>
      <c r="I1820" s="1">
        <f t="shared" si="140"/>
        <v>1</v>
      </c>
      <c r="J1820" s="1" t="str">
        <f>'Source build'!A1820</f>
        <v>L01814</v>
      </c>
      <c r="K1820" s="1">
        <f>1820</f>
        <v>1820</v>
      </c>
      <c r="L1820" s="10">
        <f t="shared" si="141"/>
        <v>15160</v>
      </c>
      <c r="M1820" s="1">
        <f t="shared" si="142"/>
        <v>1</v>
      </c>
      <c r="N1820" s="1">
        <f t="shared" si="143"/>
        <v>1</v>
      </c>
      <c r="O1820" s="1" t="str">
        <f>IF(I1820=0,"UNUSED",IF(A1820="","MISSING ID",IF(K1820=0,"UNEXPECTED ID",IF(N1820&lt;&gt;1,"ID / ORDER DIFFERENCE",IF('Source build'!U1820&lt;&gt;"INCLUDED","EXCLUDED SOURCE",IF(NOT(M1820),"INVALID AMOUNT",IF('Source build'!Y1820&lt;&gt;0,"CHANGED FIELDS","MATCH")))))))</f>
        <v>MATCH</v>
      </c>
      <c r="P1820" s="1" t="str">
        <f t="shared" si="144"/>
        <v>2026-02</v>
      </c>
    </row>
    <row r="1821" spans="1:16" ht="18.95" customHeight="1">
      <c r="A1821" s="7" t="s">
        <v>4711</v>
      </c>
      <c r="B1821" s="7" t="s">
        <v>4712</v>
      </c>
      <c r="C1821" s="7" t="s">
        <v>139</v>
      </c>
      <c r="D1821" s="7" t="s">
        <v>103</v>
      </c>
      <c r="E1821" s="7" t="s">
        <v>48</v>
      </c>
      <c r="F1821" s="7" t="s">
        <v>98</v>
      </c>
      <c r="G1821" s="7" t="s">
        <v>841</v>
      </c>
      <c r="I1821" s="1">
        <f t="shared" si="140"/>
        <v>1</v>
      </c>
      <c r="J1821" s="1" t="str">
        <f>'Source build'!A1821</f>
        <v>L01815</v>
      </c>
      <c r="K1821" s="1">
        <f>1821</f>
        <v>1821</v>
      </c>
      <c r="L1821" s="10">
        <f t="shared" si="141"/>
        <v>30468</v>
      </c>
      <c r="M1821" s="1">
        <f t="shared" si="142"/>
        <v>1</v>
      </c>
      <c r="N1821" s="1">
        <f t="shared" si="143"/>
        <v>1</v>
      </c>
      <c r="O1821" s="1" t="str">
        <f>IF(I1821=0,"UNUSED",IF(A1821="","MISSING ID",IF(K1821=0,"UNEXPECTED ID",IF(N1821&lt;&gt;1,"ID / ORDER DIFFERENCE",IF('Source build'!U1821&lt;&gt;"INCLUDED","EXCLUDED SOURCE",IF(NOT(M1821),"INVALID AMOUNT",IF('Source build'!Y1821&lt;&gt;0,"CHANGED FIELDS","MATCH")))))))</f>
        <v>MATCH</v>
      </c>
      <c r="P1821" s="1" t="str">
        <f t="shared" si="144"/>
        <v>2026-02</v>
      </c>
    </row>
    <row r="1822" spans="1:16" ht="18.95" customHeight="1">
      <c r="A1822" s="7" t="s">
        <v>4713</v>
      </c>
      <c r="B1822" s="7" t="s">
        <v>4712</v>
      </c>
      <c r="C1822" s="7" t="s">
        <v>139</v>
      </c>
      <c r="D1822" s="7" t="s">
        <v>93</v>
      </c>
      <c r="E1822" s="7" t="s">
        <v>46</v>
      </c>
      <c r="F1822" s="7" t="s">
        <v>98</v>
      </c>
      <c r="G1822" s="7" t="s">
        <v>4714</v>
      </c>
      <c r="I1822" s="1">
        <f t="shared" si="140"/>
        <v>1</v>
      </c>
      <c r="J1822" s="1" t="str">
        <f>'Source build'!A1822</f>
        <v>L01816</v>
      </c>
      <c r="K1822" s="1">
        <f>1822</f>
        <v>1822</v>
      </c>
      <c r="L1822" s="10">
        <f t="shared" si="141"/>
        <v>7654</v>
      </c>
      <c r="M1822" s="1">
        <f t="shared" si="142"/>
        <v>1</v>
      </c>
      <c r="N1822" s="1">
        <f t="shared" si="143"/>
        <v>1</v>
      </c>
      <c r="O1822" s="1" t="str">
        <f>IF(I1822=0,"UNUSED",IF(A1822="","MISSING ID",IF(K1822=0,"UNEXPECTED ID",IF(N1822&lt;&gt;1,"ID / ORDER DIFFERENCE",IF('Source build'!U1822&lt;&gt;"INCLUDED","EXCLUDED SOURCE",IF(NOT(M1822),"INVALID AMOUNT",IF('Source build'!Y1822&lt;&gt;0,"CHANGED FIELDS","MATCH")))))))</f>
        <v>MATCH</v>
      </c>
      <c r="P1822" s="1" t="str">
        <f t="shared" si="144"/>
        <v>2026-02</v>
      </c>
    </row>
    <row r="1823" spans="1:16" ht="18.95" customHeight="1">
      <c r="A1823" s="7" t="s">
        <v>4715</v>
      </c>
      <c r="B1823" s="7" t="s">
        <v>4716</v>
      </c>
      <c r="C1823" s="7" t="s">
        <v>145</v>
      </c>
      <c r="D1823" s="7" t="s">
        <v>97</v>
      </c>
      <c r="E1823" s="7" t="s">
        <v>47</v>
      </c>
      <c r="F1823" s="7" t="s">
        <v>98</v>
      </c>
      <c r="G1823" s="7" t="s">
        <v>4717</v>
      </c>
      <c r="I1823" s="1">
        <f t="shared" si="140"/>
        <v>1</v>
      </c>
      <c r="J1823" s="1" t="str">
        <f>'Source build'!A1823</f>
        <v>L01817</v>
      </c>
      <c r="K1823" s="1">
        <f>1823</f>
        <v>1823</v>
      </c>
      <c r="L1823" s="10">
        <f t="shared" si="141"/>
        <v>23073</v>
      </c>
      <c r="M1823" s="1">
        <f t="shared" si="142"/>
        <v>1</v>
      </c>
      <c r="N1823" s="1">
        <f t="shared" si="143"/>
        <v>1</v>
      </c>
      <c r="O1823" s="1" t="str">
        <f>IF(I1823=0,"UNUSED",IF(A1823="","MISSING ID",IF(K1823=0,"UNEXPECTED ID",IF(N1823&lt;&gt;1,"ID / ORDER DIFFERENCE",IF('Source build'!U1823&lt;&gt;"INCLUDED","EXCLUDED SOURCE",IF(NOT(M1823),"INVALID AMOUNT",IF('Source build'!Y1823&lt;&gt;0,"CHANGED FIELDS","MATCH")))))))</f>
        <v>MATCH</v>
      </c>
      <c r="P1823" s="1" t="str">
        <f t="shared" si="144"/>
        <v>2026-02</v>
      </c>
    </row>
    <row r="1824" spans="1:16" ht="18.95" customHeight="1">
      <c r="A1824" s="7" t="s">
        <v>4718</v>
      </c>
      <c r="B1824" s="7" t="s">
        <v>4716</v>
      </c>
      <c r="C1824" s="7" t="s">
        <v>145</v>
      </c>
      <c r="D1824" s="7" t="s">
        <v>103</v>
      </c>
      <c r="E1824" s="7" t="s">
        <v>48</v>
      </c>
      <c r="F1824" s="7" t="s">
        <v>94</v>
      </c>
      <c r="G1824" s="7" t="s">
        <v>4719</v>
      </c>
      <c r="I1824" s="1">
        <f t="shared" si="140"/>
        <v>1</v>
      </c>
      <c r="J1824" s="1" t="str">
        <f>'Source build'!A1824</f>
        <v>L01818</v>
      </c>
      <c r="K1824" s="1">
        <f>1824</f>
        <v>1824</v>
      </c>
      <c r="L1824" s="10">
        <f t="shared" si="141"/>
        <v>-38640</v>
      </c>
      <c r="M1824" s="1">
        <f t="shared" si="142"/>
        <v>1</v>
      </c>
      <c r="N1824" s="1">
        <f t="shared" si="143"/>
        <v>1</v>
      </c>
      <c r="O1824" s="1" t="str">
        <f>IF(I1824=0,"UNUSED",IF(A1824="","MISSING ID",IF(K1824=0,"UNEXPECTED ID",IF(N1824&lt;&gt;1,"ID / ORDER DIFFERENCE",IF('Source build'!U1824&lt;&gt;"INCLUDED","EXCLUDED SOURCE",IF(NOT(M1824),"INVALID AMOUNT",IF('Source build'!Y1824&lt;&gt;0,"CHANGED FIELDS","MATCH")))))))</f>
        <v>MATCH</v>
      </c>
      <c r="P1824" s="1" t="str">
        <f t="shared" si="144"/>
        <v>2026-02</v>
      </c>
    </row>
    <row r="1825" spans="1:16" ht="18.95" customHeight="1">
      <c r="A1825" s="7" t="s">
        <v>4720</v>
      </c>
      <c r="B1825" s="7" t="s">
        <v>4721</v>
      </c>
      <c r="C1825" s="7" t="s">
        <v>151</v>
      </c>
      <c r="D1825" s="7" t="s">
        <v>93</v>
      </c>
      <c r="E1825" s="7" t="s">
        <v>46</v>
      </c>
      <c r="F1825" s="7" t="s">
        <v>98</v>
      </c>
      <c r="G1825" s="7" t="s">
        <v>4722</v>
      </c>
      <c r="I1825" s="1">
        <f t="shared" si="140"/>
        <v>1</v>
      </c>
      <c r="J1825" s="1" t="str">
        <f>'Source build'!A1825</f>
        <v>L01819</v>
      </c>
      <c r="K1825" s="1">
        <f>1825</f>
        <v>1825</v>
      </c>
      <c r="L1825" s="10">
        <f t="shared" si="141"/>
        <v>15530</v>
      </c>
      <c r="M1825" s="1">
        <f t="shared" si="142"/>
        <v>1</v>
      </c>
      <c r="N1825" s="1">
        <f t="shared" si="143"/>
        <v>1</v>
      </c>
      <c r="O1825" s="1" t="str">
        <f>IF(I1825=0,"UNUSED",IF(A1825="","MISSING ID",IF(K1825=0,"UNEXPECTED ID",IF(N1825&lt;&gt;1,"ID / ORDER DIFFERENCE",IF('Source build'!U1825&lt;&gt;"INCLUDED","EXCLUDED SOURCE",IF(NOT(M1825),"INVALID AMOUNT",IF('Source build'!Y1825&lt;&gt;0,"CHANGED FIELDS","MATCH")))))))</f>
        <v>MATCH</v>
      </c>
      <c r="P1825" s="1" t="str">
        <f t="shared" si="144"/>
        <v>2026-03</v>
      </c>
    </row>
    <row r="1826" spans="1:16" ht="18.95" customHeight="1">
      <c r="A1826" s="7" t="s">
        <v>4723</v>
      </c>
      <c r="B1826" s="7" t="s">
        <v>4721</v>
      </c>
      <c r="C1826" s="7" t="s">
        <v>151</v>
      </c>
      <c r="D1826" s="7" t="s">
        <v>97</v>
      </c>
      <c r="E1826" s="7" t="s">
        <v>47</v>
      </c>
      <c r="F1826" s="7" t="s">
        <v>98</v>
      </c>
      <c r="G1826" s="7" t="s">
        <v>4724</v>
      </c>
      <c r="I1826" s="1">
        <f t="shared" si="140"/>
        <v>1</v>
      </c>
      <c r="J1826" s="1" t="str">
        <f>'Source build'!A1826</f>
        <v>L01820</v>
      </c>
      <c r="K1826" s="1">
        <f>1826</f>
        <v>1826</v>
      </c>
      <c r="L1826" s="10">
        <f t="shared" si="141"/>
        <v>31208</v>
      </c>
      <c r="M1826" s="1">
        <f t="shared" si="142"/>
        <v>1</v>
      </c>
      <c r="N1826" s="1">
        <f t="shared" si="143"/>
        <v>1</v>
      </c>
      <c r="O1826" s="1" t="str">
        <f>IF(I1826=0,"UNUSED",IF(A1826="","MISSING ID",IF(K1826=0,"UNEXPECTED ID",IF(N1826&lt;&gt;1,"ID / ORDER DIFFERENCE",IF('Source build'!U1826&lt;&gt;"INCLUDED","EXCLUDED SOURCE",IF(NOT(M1826),"INVALID AMOUNT",IF('Source build'!Y1826&lt;&gt;0,"CHANGED FIELDS","MATCH")))))))</f>
        <v>MATCH</v>
      </c>
      <c r="P1826" s="1" t="str">
        <f t="shared" si="144"/>
        <v>2026-03</v>
      </c>
    </row>
    <row r="1827" spans="1:16" ht="18.95" customHeight="1">
      <c r="A1827" s="7" t="s">
        <v>4725</v>
      </c>
      <c r="B1827" s="7" t="s">
        <v>4726</v>
      </c>
      <c r="C1827" s="7" t="s">
        <v>157</v>
      </c>
      <c r="D1827" s="7" t="s">
        <v>103</v>
      </c>
      <c r="E1827" s="7" t="s">
        <v>48</v>
      </c>
      <c r="F1827" s="7" t="s">
        <v>98</v>
      </c>
      <c r="G1827" s="7" t="s">
        <v>4727</v>
      </c>
      <c r="I1827" s="1">
        <f t="shared" si="140"/>
        <v>1</v>
      </c>
      <c r="J1827" s="1" t="str">
        <f>'Source build'!A1827</f>
        <v>L01821</v>
      </c>
      <c r="K1827" s="1">
        <f>1827</f>
        <v>1827</v>
      </c>
      <c r="L1827" s="10">
        <f t="shared" si="141"/>
        <v>7839</v>
      </c>
      <c r="M1827" s="1">
        <f t="shared" si="142"/>
        <v>1</v>
      </c>
      <c r="N1827" s="1">
        <f t="shared" si="143"/>
        <v>1</v>
      </c>
      <c r="O1827" s="1" t="str">
        <f>IF(I1827=0,"UNUSED",IF(A1827="","MISSING ID",IF(K1827=0,"UNEXPECTED ID",IF(N1827&lt;&gt;1,"ID / ORDER DIFFERENCE",IF('Source build'!U1827&lt;&gt;"INCLUDED","EXCLUDED SOURCE",IF(NOT(M1827),"INVALID AMOUNT",IF('Source build'!Y1827&lt;&gt;0,"CHANGED FIELDS","MATCH")))))))</f>
        <v>MATCH</v>
      </c>
      <c r="P1827" s="1" t="str">
        <f t="shared" si="144"/>
        <v>2026-03</v>
      </c>
    </row>
    <row r="1828" spans="1:16" ht="18.95" customHeight="1">
      <c r="A1828" s="7" t="s">
        <v>4728</v>
      </c>
      <c r="B1828" s="7" t="s">
        <v>4726</v>
      </c>
      <c r="C1828" s="7" t="s">
        <v>157</v>
      </c>
      <c r="D1828" s="7" t="s">
        <v>93</v>
      </c>
      <c r="E1828" s="7" t="s">
        <v>46</v>
      </c>
      <c r="F1828" s="7" t="s">
        <v>98</v>
      </c>
      <c r="G1828" s="7" t="s">
        <v>4729</v>
      </c>
      <c r="I1828" s="1">
        <f t="shared" si="140"/>
        <v>1</v>
      </c>
      <c r="J1828" s="1" t="str">
        <f>'Source build'!A1828</f>
        <v>L01822</v>
      </c>
      <c r="K1828" s="1">
        <f>1828</f>
        <v>1828</v>
      </c>
      <c r="L1828" s="10">
        <f t="shared" si="141"/>
        <v>23628</v>
      </c>
      <c r="M1828" s="1">
        <f t="shared" si="142"/>
        <v>1</v>
      </c>
      <c r="N1828" s="1">
        <f t="shared" si="143"/>
        <v>1</v>
      </c>
      <c r="O1828" s="1" t="str">
        <f>IF(I1828=0,"UNUSED",IF(A1828="","MISSING ID",IF(K1828=0,"UNEXPECTED ID",IF(N1828&lt;&gt;1,"ID / ORDER DIFFERENCE",IF('Source build'!U1828&lt;&gt;"INCLUDED","EXCLUDED SOURCE",IF(NOT(M1828),"INVALID AMOUNT",IF('Source build'!Y1828&lt;&gt;0,"CHANGED FIELDS","MATCH")))))))</f>
        <v>MATCH</v>
      </c>
      <c r="P1828" s="1" t="str">
        <f t="shared" si="144"/>
        <v>2026-03</v>
      </c>
    </row>
    <row r="1829" spans="1:16" ht="18.95" customHeight="1">
      <c r="A1829" s="7" t="s">
        <v>4730</v>
      </c>
      <c r="B1829" s="7" t="s">
        <v>4731</v>
      </c>
      <c r="C1829" s="7" t="s">
        <v>163</v>
      </c>
      <c r="D1829" s="7" t="s">
        <v>97</v>
      </c>
      <c r="E1829" s="7" t="s">
        <v>47</v>
      </c>
      <c r="F1829" s="7" t="s">
        <v>98</v>
      </c>
      <c r="G1829" s="7" t="s">
        <v>4732</v>
      </c>
      <c r="I1829" s="1">
        <f t="shared" si="140"/>
        <v>1</v>
      </c>
      <c r="J1829" s="1" t="str">
        <f>'Source build'!A1829</f>
        <v>L01823</v>
      </c>
      <c r="K1829" s="1">
        <f>1829</f>
        <v>1829</v>
      </c>
      <c r="L1829" s="10">
        <f t="shared" si="141"/>
        <v>39565</v>
      </c>
      <c r="M1829" s="1">
        <f t="shared" si="142"/>
        <v>1</v>
      </c>
      <c r="N1829" s="1">
        <f t="shared" si="143"/>
        <v>1</v>
      </c>
      <c r="O1829" s="1" t="str">
        <f>IF(I1829=0,"UNUSED",IF(A1829="","MISSING ID",IF(K1829=0,"UNEXPECTED ID",IF(N1829&lt;&gt;1,"ID / ORDER DIFFERENCE",IF('Source build'!U1829&lt;&gt;"INCLUDED","EXCLUDED SOURCE",IF(NOT(M1829),"INVALID AMOUNT",IF('Source build'!Y1829&lt;&gt;0,"CHANGED FIELDS","MATCH")))))))</f>
        <v>MATCH</v>
      </c>
      <c r="P1829" s="1" t="str">
        <f t="shared" si="144"/>
        <v>2026-03</v>
      </c>
    </row>
    <row r="1830" spans="1:16" ht="18.95" customHeight="1">
      <c r="A1830" s="7" t="s">
        <v>4733</v>
      </c>
      <c r="B1830" s="7" t="s">
        <v>4731</v>
      </c>
      <c r="C1830" s="7" t="s">
        <v>163</v>
      </c>
      <c r="D1830" s="7" t="s">
        <v>103</v>
      </c>
      <c r="E1830" s="7" t="s">
        <v>48</v>
      </c>
      <c r="F1830" s="7" t="s">
        <v>98</v>
      </c>
      <c r="G1830" s="7" t="s">
        <v>4734</v>
      </c>
      <c r="I1830" s="1">
        <f t="shared" si="140"/>
        <v>1</v>
      </c>
      <c r="J1830" s="1" t="str">
        <f>'Source build'!A1830</f>
        <v>L01824</v>
      </c>
      <c r="K1830" s="1">
        <f>1830</f>
        <v>1830</v>
      </c>
      <c r="L1830" s="10">
        <f t="shared" si="141"/>
        <v>15900</v>
      </c>
      <c r="M1830" s="1">
        <f t="shared" si="142"/>
        <v>1</v>
      </c>
      <c r="N1830" s="1">
        <f t="shared" si="143"/>
        <v>1</v>
      </c>
      <c r="O1830" s="1" t="str">
        <f>IF(I1830=0,"UNUSED",IF(A1830="","MISSING ID",IF(K1830=0,"UNEXPECTED ID",IF(N1830&lt;&gt;1,"ID / ORDER DIFFERENCE",IF('Source build'!U1830&lt;&gt;"INCLUDED","EXCLUDED SOURCE",IF(NOT(M1830),"INVALID AMOUNT",IF('Source build'!Y1830&lt;&gt;0,"CHANGED FIELDS","MATCH")))))))</f>
        <v>MATCH</v>
      </c>
      <c r="P1830" s="1" t="str">
        <f t="shared" si="144"/>
        <v>2026-03</v>
      </c>
    </row>
    <row r="1831" spans="1:16" ht="18.95" customHeight="1">
      <c r="A1831" s="7" t="s">
        <v>4735</v>
      </c>
      <c r="B1831" s="7" t="s">
        <v>4736</v>
      </c>
      <c r="C1831" s="7" t="s">
        <v>169</v>
      </c>
      <c r="D1831" s="7" t="s">
        <v>93</v>
      </c>
      <c r="E1831" s="7" t="s">
        <v>46</v>
      </c>
      <c r="F1831" s="7" t="s">
        <v>98</v>
      </c>
      <c r="G1831" s="7" t="s">
        <v>4737</v>
      </c>
      <c r="I1831" s="1">
        <f t="shared" si="140"/>
        <v>1</v>
      </c>
      <c r="J1831" s="1" t="str">
        <f>'Source build'!A1831</f>
        <v>L01825</v>
      </c>
      <c r="K1831" s="1">
        <f>1831</f>
        <v>1831</v>
      </c>
      <c r="L1831" s="10">
        <f t="shared" si="141"/>
        <v>31948</v>
      </c>
      <c r="M1831" s="1">
        <f t="shared" si="142"/>
        <v>1</v>
      </c>
      <c r="N1831" s="1">
        <f t="shared" si="143"/>
        <v>1</v>
      </c>
      <c r="O1831" s="1" t="str">
        <f>IF(I1831=0,"UNUSED",IF(A1831="","MISSING ID",IF(K1831=0,"UNEXPECTED ID",IF(N1831&lt;&gt;1,"ID / ORDER DIFFERENCE",IF('Source build'!U1831&lt;&gt;"INCLUDED","EXCLUDED SOURCE",IF(NOT(M1831),"INVALID AMOUNT",IF('Source build'!Y1831&lt;&gt;0,"CHANGED FIELDS","MATCH")))))))</f>
        <v>MATCH</v>
      </c>
      <c r="P1831" s="1" t="str">
        <f t="shared" si="144"/>
        <v>2026-03</v>
      </c>
    </row>
    <row r="1832" spans="1:16" ht="18.95" customHeight="1">
      <c r="A1832" s="7" t="s">
        <v>4738</v>
      </c>
      <c r="B1832" s="7" t="s">
        <v>4736</v>
      </c>
      <c r="C1832" s="7" t="s">
        <v>169</v>
      </c>
      <c r="D1832" s="7" t="s">
        <v>97</v>
      </c>
      <c r="E1832" s="7" t="s">
        <v>47</v>
      </c>
      <c r="F1832" s="7" t="s">
        <v>98</v>
      </c>
      <c r="G1832" s="7" t="s">
        <v>4739</v>
      </c>
      <c r="I1832" s="1">
        <f t="shared" si="140"/>
        <v>1</v>
      </c>
      <c r="J1832" s="1" t="str">
        <f>'Source build'!A1832</f>
        <v>L01826</v>
      </c>
      <c r="K1832" s="1">
        <f>1832</f>
        <v>1832</v>
      </c>
      <c r="L1832" s="10">
        <f t="shared" si="141"/>
        <v>8024</v>
      </c>
      <c r="M1832" s="1">
        <f t="shared" si="142"/>
        <v>1</v>
      </c>
      <c r="N1832" s="1">
        <f t="shared" si="143"/>
        <v>1</v>
      </c>
      <c r="O1832" s="1" t="str">
        <f>IF(I1832=0,"UNUSED",IF(A1832="","MISSING ID",IF(K1832=0,"UNEXPECTED ID",IF(N1832&lt;&gt;1,"ID / ORDER DIFFERENCE",IF('Source build'!U1832&lt;&gt;"INCLUDED","EXCLUDED SOURCE",IF(NOT(M1832),"INVALID AMOUNT",IF('Source build'!Y1832&lt;&gt;0,"CHANGED FIELDS","MATCH")))))))</f>
        <v>MATCH</v>
      </c>
      <c r="P1832" s="1" t="str">
        <f t="shared" si="144"/>
        <v>2026-03</v>
      </c>
    </row>
    <row r="1833" spans="1:16" ht="18.95" customHeight="1">
      <c r="A1833" s="7" t="s">
        <v>4740</v>
      </c>
      <c r="B1833" s="7" t="s">
        <v>4741</v>
      </c>
      <c r="C1833" s="7" t="s">
        <v>175</v>
      </c>
      <c r="D1833" s="7" t="s">
        <v>103</v>
      </c>
      <c r="E1833" s="7" t="s">
        <v>48</v>
      </c>
      <c r="F1833" s="7" t="s">
        <v>98</v>
      </c>
      <c r="G1833" s="7" t="s">
        <v>4742</v>
      </c>
      <c r="I1833" s="1">
        <f t="shared" si="140"/>
        <v>1</v>
      </c>
      <c r="J1833" s="1" t="str">
        <f>'Source build'!A1833</f>
        <v>L01827</v>
      </c>
      <c r="K1833" s="1">
        <f>1833</f>
        <v>1833</v>
      </c>
      <c r="L1833" s="10">
        <f t="shared" si="141"/>
        <v>24183</v>
      </c>
      <c r="M1833" s="1">
        <f t="shared" si="142"/>
        <v>1</v>
      </c>
      <c r="N1833" s="1">
        <f t="shared" si="143"/>
        <v>1</v>
      </c>
      <c r="O1833" s="1" t="str">
        <f>IF(I1833=0,"UNUSED",IF(A1833="","MISSING ID",IF(K1833=0,"UNEXPECTED ID",IF(N1833&lt;&gt;1,"ID / ORDER DIFFERENCE",IF('Source build'!U1833&lt;&gt;"INCLUDED","EXCLUDED SOURCE",IF(NOT(M1833),"INVALID AMOUNT",IF('Source build'!Y1833&lt;&gt;0,"CHANGED FIELDS","MATCH")))))))</f>
        <v>MATCH</v>
      </c>
      <c r="P1833" s="1" t="str">
        <f t="shared" si="144"/>
        <v>2026-01</v>
      </c>
    </row>
    <row r="1834" spans="1:16" ht="18.95" customHeight="1">
      <c r="A1834" s="7" t="s">
        <v>4743</v>
      </c>
      <c r="B1834" s="7" t="s">
        <v>4741</v>
      </c>
      <c r="C1834" s="7" t="s">
        <v>175</v>
      </c>
      <c r="D1834" s="7" t="s">
        <v>93</v>
      </c>
      <c r="E1834" s="7" t="s">
        <v>46</v>
      </c>
      <c r="F1834" s="7" t="s">
        <v>98</v>
      </c>
      <c r="G1834" s="7" t="s">
        <v>4744</v>
      </c>
      <c r="I1834" s="1">
        <f t="shared" si="140"/>
        <v>1</v>
      </c>
      <c r="J1834" s="1" t="str">
        <f>'Source build'!A1834</f>
        <v>L01828</v>
      </c>
      <c r="K1834" s="1">
        <f>1834</f>
        <v>1834</v>
      </c>
      <c r="L1834" s="10">
        <f t="shared" si="141"/>
        <v>40490</v>
      </c>
      <c r="M1834" s="1">
        <f t="shared" si="142"/>
        <v>1</v>
      </c>
      <c r="N1834" s="1">
        <f t="shared" si="143"/>
        <v>1</v>
      </c>
      <c r="O1834" s="1" t="str">
        <f>IF(I1834=0,"UNUSED",IF(A1834="","MISSING ID",IF(K1834=0,"UNEXPECTED ID",IF(N1834&lt;&gt;1,"ID / ORDER DIFFERENCE",IF('Source build'!U1834&lt;&gt;"INCLUDED","EXCLUDED SOURCE",IF(NOT(M1834),"INVALID AMOUNT",IF('Source build'!Y1834&lt;&gt;0,"CHANGED FIELDS","MATCH")))))))</f>
        <v>MATCH</v>
      </c>
      <c r="P1834" s="1" t="str">
        <f t="shared" si="144"/>
        <v>2026-01</v>
      </c>
    </row>
    <row r="1835" spans="1:16" ht="18.95" customHeight="1">
      <c r="A1835" s="7" t="s">
        <v>4745</v>
      </c>
      <c r="B1835" s="7" t="s">
        <v>4746</v>
      </c>
      <c r="C1835" s="7" t="s">
        <v>181</v>
      </c>
      <c r="D1835" s="7" t="s">
        <v>97</v>
      </c>
      <c r="E1835" s="7" t="s">
        <v>47</v>
      </c>
      <c r="F1835" s="7" t="s">
        <v>98</v>
      </c>
      <c r="G1835" s="7" t="s">
        <v>4747</v>
      </c>
      <c r="I1835" s="1">
        <f t="shared" si="140"/>
        <v>1</v>
      </c>
      <c r="J1835" s="1" t="str">
        <f>'Source build'!A1835</f>
        <v>L01829</v>
      </c>
      <c r="K1835" s="1">
        <f>1835</f>
        <v>1835</v>
      </c>
      <c r="L1835" s="10">
        <f t="shared" si="141"/>
        <v>16270</v>
      </c>
      <c r="M1835" s="1">
        <f t="shared" si="142"/>
        <v>1</v>
      </c>
      <c r="N1835" s="1">
        <f t="shared" si="143"/>
        <v>1</v>
      </c>
      <c r="O1835" s="1" t="str">
        <f>IF(I1835=0,"UNUSED",IF(A1835="","MISSING ID",IF(K1835=0,"UNEXPECTED ID",IF(N1835&lt;&gt;1,"ID / ORDER DIFFERENCE",IF('Source build'!U1835&lt;&gt;"INCLUDED","EXCLUDED SOURCE",IF(NOT(M1835),"INVALID AMOUNT",IF('Source build'!Y1835&lt;&gt;0,"CHANGED FIELDS","MATCH")))))))</f>
        <v>MATCH</v>
      </c>
      <c r="P1835" s="1" t="str">
        <f t="shared" si="144"/>
        <v>2026-01</v>
      </c>
    </row>
    <row r="1836" spans="1:16" ht="18.95" customHeight="1">
      <c r="A1836" s="7" t="s">
        <v>4748</v>
      </c>
      <c r="B1836" s="7" t="s">
        <v>4746</v>
      </c>
      <c r="C1836" s="7" t="s">
        <v>181</v>
      </c>
      <c r="D1836" s="7" t="s">
        <v>103</v>
      </c>
      <c r="E1836" s="7" t="s">
        <v>48</v>
      </c>
      <c r="F1836" s="7" t="s">
        <v>98</v>
      </c>
      <c r="G1836" s="7" t="s">
        <v>891</v>
      </c>
      <c r="I1836" s="1">
        <f t="shared" si="140"/>
        <v>1</v>
      </c>
      <c r="J1836" s="1" t="str">
        <f>'Source build'!A1836</f>
        <v>L01830</v>
      </c>
      <c r="K1836" s="1">
        <f>1836</f>
        <v>1836</v>
      </c>
      <c r="L1836" s="10">
        <f t="shared" si="141"/>
        <v>32688</v>
      </c>
      <c r="M1836" s="1">
        <f t="shared" si="142"/>
        <v>1</v>
      </c>
      <c r="N1836" s="1">
        <f t="shared" si="143"/>
        <v>1</v>
      </c>
      <c r="O1836" s="1" t="str">
        <f>IF(I1836=0,"UNUSED",IF(A1836="","MISSING ID",IF(K1836=0,"UNEXPECTED ID",IF(N1836&lt;&gt;1,"ID / ORDER DIFFERENCE",IF('Source build'!U1836&lt;&gt;"INCLUDED","EXCLUDED SOURCE",IF(NOT(M1836),"INVALID AMOUNT",IF('Source build'!Y1836&lt;&gt;0,"CHANGED FIELDS","MATCH")))))))</f>
        <v>MATCH</v>
      </c>
      <c r="P1836" s="1" t="str">
        <f t="shared" si="144"/>
        <v>2026-01</v>
      </c>
    </row>
    <row r="1837" spans="1:16" ht="18.95" customHeight="1">
      <c r="A1837" s="7" t="s">
        <v>4749</v>
      </c>
      <c r="B1837" s="7" t="s">
        <v>4750</v>
      </c>
      <c r="C1837" s="7" t="s">
        <v>187</v>
      </c>
      <c r="D1837" s="7" t="s">
        <v>93</v>
      </c>
      <c r="E1837" s="7" t="s">
        <v>46</v>
      </c>
      <c r="F1837" s="7" t="s">
        <v>98</v>
      </c>
      <c r="G1837" s="7" t="s">
        <v>4751</v>
      </c>
      <c r="I1837" s="1">
        <f t="shared" si="140"/>
        <v>1</v>
      </c>
      <c r="J1837" s="1" t="str">
        <f>'Source build'!A1837</f>
        <v>L01831</v>
      </c>
      <c r="K1837" s="1">
        <f>1837</f>
        <v>1837</v>
      </c>
      <c r="L1837" s="10">
        <f t="shared" si="141"/>
        <v>8209</v>
      </c>
      <c r="M1837" s="1">
        <f t="shared" si="142"/>
        <v>1</v>
      </c>
      <c r="N1837" s="1">
        <f t="shared" si="143"/>
        <v>1</v>
      </c>
      <c r="O1837" s="1" t="str">
        <f>IF(I1837=0,"UNUSED",IF(A1837="","MISSING ID",IF(K1837=0,"UNEXPECTED ID",IF(N1837&lt;&gt;1,"ID / ORDER DIFFERENCE",IF('Source build'!U1837&lt;&gt;"INCLUDED","EXCLUDED SOURCE",IF(NOT(M1837),"INVALID AMOUNT",IF('Source build'!Y1837&lt;&gt;0,"CHANGED FIELDS","MATCH")))))))</f>
        <v>MATCH</v>
      </c>
      <c r="P1837" s="1" t="str">
        <f t="shared" si="144"/>
        <v>2026-01</v>
      </c>
    </row>
    <row r="1838" spans="1:16" ht="18.95" customHeight="1">
      <c r="A1838" s="7" t="s">
        <v>4752</v>
      </c>
      <c r="B1838" s="7" t="s">
        <v>4750</v>
      </c>
      <c r="C1838" s="7" t="s">
        <v>187</v>
      </c>
      <c r="D1838" s="7" t="s">
        <v>97</v>
      </c>
      <c r="E1838" s="7" t="s">
        <v>47</v>
      </c>
      <c r="F1838" s="7" t="s">
        <v>98</v>
      </c>
      <c r="G1838" s="7" t="s">
        <v>4753</v>
      </c>
      <c r="I1838" s="1">
        <f t="shared" si="140"/>
        <v>1</v>
      </c>
      <c r="J1838" s="1" t="str">
        <f>'Source build'!A1838</f>
        <v>L01832</v>
      </c>
      <c r="K1838" s="1">
        <f>1838</f>
        <v>1838</v>
      </c>
      <c r="L1838" s="10">
        <f t="shared" si="141"/>
        <v>24738</v>
      </c>
      <c r="M1838" s="1">
        <f t="shared" si="142"/>
        <v>1</v>
      </c>
      <c r="N1838" s="1">
        <f t="shared" si="143"/>
        <v>1</v>
      </c>
      <c r="O1838" s="1" t="str">
        <f>IF(I1838=0,"UNUSED",IF(A1838="","MISSING ID",IF(K1838=0,"UNEXPECTED ID",IF(N1838&lt;&gt;1,"ID / ORDER DIFFERENCE",IF('Source build'!U1838&lt;&gt;"INCLUDED","EXCLUDED SOURCE",IF(NOT(M1838),"INVALID AMOUNT",IF('Source build'!Y1838&lt;&gt;0,"CHANGED FIELDS","MATCH")))))))</f>
        <v>MATCH</v>
      </c>
      <c r="P1838" s="1" t="str">
        <f t="shared" si="144"/>
        <v>2026-01</v>
      </c>
    </row>
    <row r="1839" spans="1:16" ht="18.95" customHeight="1">
      <c r="A1839" s="7" t="s">
        <v>4754</v>
      </c>
      <c r="B1839" s="7" t="s">
        <v>4755</v>
      </c>
      <c r="C1839" s="7" t="s">
        <v>193</v>
      </c>
      <c r="D1839" s="7" t="s">
        <v>103</v>
      </c>
      <c r="E1839" s="7" t="s">
        <v>48</v>
      </c>
      <c r="F1839" s="7" t="s">
        <v>98</v>
      </c>
      <c r="G1839" s="7" t="s">
        <v>4756</v>
      </c>
      <c r="I1839" s="1">
        <f t="shared" si="140"/>
        <v>1</v>
      </c>
      <c r="J1839" s="1" t="str">
        <f>'Source build'!A1839</f>
        <v>L01833</v>
      </c>
      <c r="K1839" s="1">
        <f>1839</f>
        <v>1839</v>
      </c>
      <c r="L1839" s="10">
        <f t="shared" si="141"/>
        <v>41415</v>
      </c>
      <c r="M1839" s="1">
        <f t="shared" si="142"/>
        <v>1</v>
      </c>
      <c r="N1839" s="1">
        <f t="shared" si="143"/>
        <v>1</v>
      </c>
      <c r="O1839" s="1" t="str">
        <f>IF(I1839=0,"UNUSED",IF(A1839="","MISSING ID",IF(K1839=0,"UNEXPECTED ID",IF(N1839&lt;&gt;1,"ID / ORDER DIFFERENCE",IF('Source build'!U1839&lt;&gt;"INCLUDED","EXCLUDED SOURCE",IF(NOT(M1839),"INVALID AMOUNT",IF('Source build'!Y1839&lt;&gt;0,"CHANGED FIELDS","MATCH")))))))</f>
        <v>MATCH</v>
      </c>
      <c r="P1839" s="1" t="str">
        <f t="shared" si="144"/>
        <v>2026-01</v>
      </c>
    </row>
    <row r="1840" spans="1:16" ht="18.95" customHeight="1">
      <c r="A1840" s="7" t="s">
        <v>4757</v>
      </c>
      <c r="B1840" s="7" t="s">
        <v>4755</v>
      </c>
      <c r="C1840" s="7" t="s">
        <v>193</v>
      </c>
      <c r="D1840" s="7" t="s">
        <v>93</v>
      </c>
      <c r="E1840" s="7" t="s">
        <v>46</v>
      </c>
      <c r="F1840" s="7" t="s">
        <v>98</v>
      </c>
      <c r="G1840" s="7" t="s">
        <v>4758</v>
      </c>
      <c r="I1840" s="1">
        <f t="shared" si="140"/>
        <v>1</v>
      </c>
      <c r="J1840" s="1" t="str">
        <f>'Source build'!A1840</f>
        <v>L01834</v>
      </c>
      <c r="K1840" s="1">
        <f>1840</f>
        <v>1840</v>
      </c>
      <c r="L1840" s="10">
        <f t="shared" si="141"/>
        <v>16640</v>
      </c>
      <c r="M1840" s="1">
        <f t="shared" si="142"/>
        <v>1</v>
      </c>
      <c r="N1840" s="1">
        <f t="shared" si="143"/>
        <v>1</v>
      </c>
      <c r="O1840" s="1" t="str">
        <f>IF(I1840=0,"UNUSED",IF(A1840="","MISSING ID",IF(K1840=0,"UNEXPECTED ID",IF(N1840&lt;&gt;1,"ID / ORDER DIFFERENCE",IF('Source build'!U1840&lt;&gt;"INCLUDED","EXCLUDED SOURCE",IF(NOT(M1840),"INVALID AMOUNT",IF('Source build'!Y1840&lt;&gt;0,"CHANGED FIELDS","MATCH")))))))</f>
        <v>MATCH</v>
      </c>
      <c r="P1840" s="1" t="str">
        <f t="shared" si="144"/>
        <v>2026-01</v>
      </c>
    </row>
    <row r="1841" spans="1:16" ht="18.95" customHeight="1">
      <c r="A1841" s="7" t="s">
        <v>4759</v>
      </c>
      <c r="B1841" s="7" t="s">
        <v>4760</v>
      </c>
      <c r="C1841" s="7" t="s">
        <v>200</v>
      </c>
      <c r="D1841" s="7" t="s">
        <v>97</v>
      </c>
      <c r="E1841" s="7" t="s">
        <v>47</v>
      </c>
      <c r="F1841" s="7" t="s">
        <v>98</v>
      </c>
      <c r="G1841" s="7" t="s">
        <v>4761</v>
      </c>
      <c r="I1841" s="1">
        <f t="shared" si="140"/>
        <v>1</v>
      </c>
      <c r="J1841" s="1" t="str">
        <f>'Source build'!A1841</f>
        <v>L01835</v>
      </c>
      <c r="K1841" s="1">
        <f>1841</f>
        <v>1841</v>
      </c>
      <c r="L1841" s="10">
        <f t="shared" si="141"/>
        <v>33428</v>
      </c>
      <c r="M1841" s="1">
        <f t="shared" si="142"/>
        <v>1</v>
      </c>
      <c r="N1841" s="1">
        <f t="shared" si="143"/>
        <v>1</v>
      </c>
      <c r="O1841" s="1" t="str">
        <f>IF(I1841=0,"UNUSED",IF(A1841="","MISSING ID",IF(K1841=0,"UNEXPECTED ID",IF(N1841&lt;&gt;1,"ID / ORDER DIFFERENCE",IF('Source build'!U1841&lt;&gt;"INCLUDED","EXCLUDED SOURCE",IF(NOT(M1841),"INVALID AMOUNT",IF('Source build'!Y1841&lt;&gt;0,"CHANGED FIELDS","MATCH")))))))</f>
        <v>MATCH</v>
      </c>
      <c r="P1841" s="1" t="str">
        <f t="shared" si="144"/>
        <v>2026-01</v>
      </c>
    </row>
    <row r="1842" spans="1:16" ht="18.95" customHeight="1">
      <c r="A1842" s="7" t="s">
        <v>4762</v>
      </c>
      <c r="B1842" s="7" t="s">
        <v>4760</v>
      </c>
      <c r="C1842" s="7" t="s">
        <v>200</v>
      </c>
      <c r="D1842" s="7" t="s">
        <v>103</v>
      </c>
      <c r="E1842" s="7" t="s">
        <v>48</v>
      </c>
      <c r="F1842" s="7" t="s">
        <v>98</v>
      </c>
      <c r="G1842" s="7" t="s">
        <v>4763</v>
      </c>
      <c r="I1842" s="1">
        <f t="shared" si="140"/>
        <v>1</v>
      </c>
      <c r="J1842" s="1" t="str">
        <f>'Source build'!A1842</f>
        <v>L01836</v>
      </c>
      <c r="K1842" s="1">
        <f>1842</f>
        <v>1842</v>
      </c>
      <c r="L1842" s="10">
        <f t="shared" si="141"/>
        <v>8394</v>
      </c>
      <c r="M1842" s="1">
        <f t="shared" si="142"/>
        <v>1</v>
      </c>
      <c r="N1842" s="1">
        <f t="shared" si="143"/>
        <v>1</v>
      </c>
      <c r="O1842" s="1" t="str">
        <f>IF(I1842=0,"UNUSED",IF(A1842="","MISSING ID",IF(K1842=0,"UNEXPECTED ID",IF(N1842&lt;&gt;1,"ID / ORDER DIFFERENCE",IF('Source build'!U1842&lt;&gt;"INCLUDED","EXCLUDED SOURCE",IF(NOT(M1842),"INVALID AMOUNT",IF('Source build'!Y1842&lt;&gt;0,"CHANGED FIELDS","MATCH")))))))</f>
        <v>MATCH</v>
      </c>
      <c r="P1842" s="1" t="str">
        <f t="shared" si="144"/>
        <v>2026-01</v>
      </c>
    </row>
    <row r="1843" spans="1:16" ht="18.95" customHeight="1">
      <c r="A1843" s="7" t="s">
        <v>4764</v>
      </c>
      <c r="B1843" s="7" t="s">
        <v>4765</v>
      </c>
      <c r="C1843" s="7" t="s">
        <v>206</v>
      </c>
      <c r="D1843" s="7" t="s">
        <v>93</v>
      </c>
      <c r="E1843" s="7" t="s">
        <v>46</v>
      </c>
      <c r="F1843" s="7" t="s">
        <v>98</v>
      </c>
      <c r="G1843" s="7" t="s">
        <v>4766</v>
      </c>
      <c r="I1843" s="1">
        <f t="shared" si="140"/>
        <v>1</v>
      </c>
      <c r="J1843" s="1" t="str">
        <f>'Source build'!A1843</f>
        <v>L01837</v>
      </c>
      <c r="K1843" s="1">
        <f>1843</f>
        <v>1843</v>
      </c>
      <c r="L1843" s="10">
        <f t="shared" si="141"/>
        <v>25293</v>
      </c>
      <c r="M1843" s="1">
        <f t="shared" si="142"/>
        <v>1</v>
      </c>
      <c r="N1843" s="1">
        <f t="shared" si="143"/>
        <v>1</v>
      </c>
      <c r="O1843" s="1" t="str">
        <f>IF(I1843=0,"UNUSED",IF(A1843="","MISSING ID",IF(K1843=0,"UNEXPECTED ID",IF(N1843&lt;&gt;1,"ID / ORDER DIFFERENCE",IF('Source build'!U1843&lt;&gt;"INCLUDED","EXCLUDED SOURCE",IF(NOT(M1843),"INVALID AMOUNT",IF('Source build'!Y1843&lt;&gt;0,"CHANGED FIELDS","MATCH")))))))</f>
        <v>MATCH</v>
      </c>
      <c r="P1843" s="1" t="str">
        <f t="shared" si="144"/>
        <v>2026-02</v>
      </c>
    </row>
    <row r="1844" spans="1:16" ht="18.95" customHeight="1">
      <c r="A1844" s="7" t="s">
        <v>4767</v>
      </c>
      <c r="B1844" s="7" t="s">
        <v>4765</v>
      </c>
      <c r="C1844" s="7" t="s">
        <v>206</v>
      </c>
      <c r="D1844" s="7" t="s">
        <v>97</v>
      </c>
      <c r="E1844" s="7" t="s">
        <v>47</v>
      </c>
      <c r="F1844" s="7" t="s">
        <v>98</v>
      </c>
      <c r="G1844" s="7" t="s">
        <v>4768</v>
      </c>
      <c r="I1844" s="1">
        <f t="shared" si="140"/>
        <v>1</v>
      </c>
      <c r="J1844" s="1" t="str">
        <f>'Source build'!A1844</f>
        <v>L01838</v>
      </c>
      <c r="K1844" s="1">
        <f>1844</f>
        <v>1844</v>
      </c>
      <c r="L1844" s="10">
        <f t="shared" si="141"/>
        <v>42340</v>
      </c>
      <c r="M1844" s="1">
        <f t="shared" si="142"/>
        <v>1</v>
      </c>
      <c r="N1844" s="1">
        <f t="shared" si="143"/>
        <v>1</v>
      </c>
      <c r="O1844" s="1" t="str">
        <f>IF(I1844=0,"UNUSED",IF(A1844="","MISSING ID",IF(K1844=0,"UNEXPECTED ID",IF(N1844&lt;&gt;1,"ID / ORDER DIFFERENCE",IF('Source build'!U1844&lt;&gt;"INCLUDED","EXCLUDED SOURCE",IF(NOT(M1844),"INVALID AMOUNT",IF('Source build'!Y1844&lt;&gt;0,"CHANGED FIELDS","MATCH")))))))</f>
        <v>MATCH</v>
      </c>
      <c r="P1844" s="1" t="str">
        <f t="shared" si="144"/>
        <v>2026-02</v>
      </c>
    </row>
    <row r="1845" spans="1:16" ht="18.95" customHeight="1">
      <c r="A1845" s="7" t="s">
        <v>4769</v>
      </c>
      <c r="B1845" s="7" t="s">
        <v>4770</v>
      </c>
      <c r="C1845" s="7" t="s">
        <v>212</v>
      </c>
      <c r="D1845" s="7" t="s">
        <v>103</v>
      </c>
      <c r="E1845" s="7" t="s">
        <v>48</v>
      </c>
      <c r="F1845" s="7" t="s">
        <v>98</v>
      </c>
      <c r="G1845" s="7" t="s">
        <v>4771</v>
      </c>
      <c r="I1845" s="1">
        <f t="shared" si="140"/>
        <v>1</v>
      </c>
      <c r="J1845" s="1" t="str">
        <f>'Source build'!A1845</f>
        <v>L01839</v>
      </c>
      <c r="K1845" s="1">
        <f>1845</f>
        <v>1845</v>
      </c>
      <c r="L1845" s="10">
        <f t="shared" si="141"/>
        <v>17010</v>
      </c>
      <c r="M1845" s="1">
        <f t="shared" si="142"/>
        <v>1</v>
      </c>
      <c r="N1845" s="1">
        <f t="shared" si="143"/>
        <v>1</v>
      </c>
      <c r="O1845" s="1" t="str">
        <f>IF(I1845=0,"UNUSED",IF(A1845="","MISSING ID",IF(K1845=0,"UNEXPECTED ID",IF(N1845&lt;&gt;1,"ID / ORDER DIFFERENCE",IF('Source build'!U1845&lt;&gt;"INCLUDED","EXCLUDED SOURCE",IF(NOT(M1845),"INVALID AMOUNT",IF('Source build'!Y1845&lt;&gt;0,"CHANGED FIELDS","MATCH")))))))</f>
        <v>MATCH</v>
      </c>
      <c r="P1845" s="1" t="str">
        <f t="shared" si="144"/>
        <v>2026-02</v>
      </c>
    </row>
    <row r="1846" spans="1:16" ht="18.95" customHeight="1">
      <c r="A1846" s="7" t="s">
        <v>4772</v>
      </c>
      <c r="B1846" s="7" t="s">
        <v>4770</v>
      </c>
      <c r="C1846" s="7" t="s">
        <v>212</v>
      </c>
      <c r="D1846" s="7" t="s">
        <v>93</v>
      </c>
      <c r="E1846" s="7" t="s">
        <v>46</v>
      </c>
      <c r="F1846" s="7" t="s">
        <v>98</v>
      </c>
      <c r="G1846" s="7" t="s">
        <v>4773</v>
      </c>
      <c r="I1846" s="1">
        <f t="shared" si="140"/>
        <v>1</v>
      </c>
      <c r="J1846" s="1" t="str">
        <f>'Source build'!A1846</f>
        <v>L01840</v>
      </c>
      <c r="K1846" s="1">
        <f>1846</f>
        <v>1846</v>
      </c>
      <c r="L1846" s="10">
        <f t="shared" si="141"/>
        <v>34168</v>
      </c>
      <c r="M1846" s="1">
        <f t="shared" si="142"/>
        <v>1</v>
      </c>
      <c r="N1846" s="1">
        <f t="shared" si="143"/>
        <v>1</v>
      </c>
      <c r="O1846" s="1" t="str">
        <f>IF(I1846=0,"UNUSED",IF(A1846="","MISSING ID",IF(K1846=0,"UNEXPECTED ID",IF(N1846&lt;&gt;1,"ID / ORDER DIFFERENCE",IF('Source build'!U1846&lt;&gt;"INCLUDED","EXCLUDED SOURCE",IF(NOT(M1846),"INVALID AMOUNT",IF('Source build'!Y1846&lt;&gt;0,"CHANGED FIELDS","MATCH")))))))</f>
        <v>MATCH</v>
      </c>
      <c r="P1846" s="1" t="str">
        <f t="shared" si="144"/>
        <v>2026-02</v>
      </c>
    </row>
    <row r="1847" spans="1:16" ht="18.95" customHeight="1">
      <c r="A1847" s="7" t="s">
        <v>4774</v>
      </c>
      <c r="B1847" s="7" t="s">
        <v>4775</v>
      </c>
      <c r="C1847" s="7" t="s">
        <v>218</v>
      </c>
      <c r="D1847" s="7" t="s">
        <v>97</v>
      </c>
      <c r="E1847" s="7" t="s">
        <v>47</v>
      </c>
      <c r="F1847" s="7" t="s">
        <v>94</v>
      </c>
      <c r="G1847" s="7" t="s">
        <v>4776</v>
      </c>
      <c r="I1847" s="1">
        <f t="shared" si="140"/>
        <v>1</v>
      </c>
      <c r="J1847" s="1" t="str">
        <f>'Source build'!A1847</f>
        <v>L01841</v>
      </c>
      <c r="K1847" s="1">
        <f>1847</f>
        <v>1847</v>
      </c>
      <c r="L1847" s="10">
        <f t="shared" si="141"/>
        <v>-8579</v>
      </c>
      <c r="M1847" s="1">
        <f t="shared" si="142"/>
        <v>1</v>
      </c>
      <c r="N1847" s="1">
        <f t="shared" si="143"/>
        <v>1</v>
      </c>
      <c r="O1847" s="1" t="str">
        <f>IF(I1847=0,"UNUSED",IF(A1847="","MISSING ID",IF(K1847=0,"UNEXPECTED ID",IF(N1847&lt;&gt;1,"ID / ORDER DIFFERENCE",IF('Source build'!U1847&lt;&gt;"INCLUDED","EXCLUDED SOURCE",IF(NOT(M1847),"INVALID AMOUNT",IF('Source build'!Y1847&lt;&gt;0,"CHANGED FIELDS","MATCH")))))))</f>
        <v>MATCH</v>
      </c>
      <c r="P1847" s="1" t="str">
        <f t="shared" si="144"/>
        <v>2026-02</v>
      </c>
    </row>
    <row r="1848" spans="1:16" ht="18.95" customHeight="1">
      <c r="A1848" s="7" t="s">
        <v>4777</v>
      </c>
      <c r="B1848" s="7" t="s">
        <v>4775</v>
      </c>
      <c r="C1848" s="7" t="s">
        <v>218</v>
      </c>
      <c r="D1848" s="7" t="s">
        <v>103</v>
      </c>
      <c r="E1848" s="7" t="s">
        <v>48</v>
      </c>
      <c r="F1848" s="7" t="s">
        <v>98</v>
      </c>
      <c r="G1848" s="7" t="s">
        <v>4778</v>
      </c>
      <c r="I1848" s="1">
        <f t="shared" si="140"/>
        <v>1</v>
      </c>
      <c r="J1848" s="1" t="str">
        <f>'Source build'!A1848</f>
        <v>L01842</v>
      </c>
      <c r="K1848" s="1">
        <f>1848</f>
        <v>1848</v>
      </c>
      <c r="L1848" s="10">
        <f t="shared" si="141"/>
        <v>25848</v>
      </c>
      <c r="M1848" s="1">
        <f t="shared" si="142"/>
        <v>1</v>
      </c>
      <c r="N1848" s="1">
        <f t="shared" si="143"/>
        <v>1</v>
      </c>
      <c r="O1848" s="1" t="str">
        <f>IF(I1848=0,"UNUSED",IF(A1848="","MISSING ID",IF(K1848=0,"UNEXPECTED ID",IF(N1848&lt;&gt;1,"ID / ORDER DIFFERENCE",IF('Source build'!U1848&lt;&gt;"INCLUDED","EXCLUDED SOURCE",IF(NOT(M1848),"INVALID AMOUNT",IF('Source build'!Y1848&lt;&gt;0,"CHANGED FIELDS","MATCH")))))))</f>
        <v>MATCH</v>
      </c>
      <c r="P1848" s="1" t="str">
        <f t="shared" si="144"/>
        <v>2026-02</v>
      </c>
    </row>
    <row r="1849" spans="1:16" ht="18.95" customHeight="1">
      <c r="A1849" s="7" t="s">
        <v>4779</v>
      </c>
      <c r="B1849" s="7" t="s">
        <v>4780</v>
      </c>
      <c r="C1849" s="7" t="s">
        <v>224</v>
      </c>
      <c r="D1849" s="7" t="s">
        <v>93</v>
      </c>
      <c r="E1849" s="7" t="s">
        <v>46</v>
      </c>
      <c r="F1849" s="7" t="s">
        <v>98</v>
      </c>
      <c r="G1849" s="7" t="s">
        <v>4781</v>
      </c>
      <c r="I1849" s="1">
        <f t="shared" si="140"/>
        <v>1</v>
      </c>
      <c r="J1849" s="1" t="str">
        <f>'Source build'!A1849</f>
        <v>L01843</v>
      </c>
      <c r="K1849" s="1">
        <f>1849</f>
        <v>1849</v>
      </c>
      <c r="L1849" s="10">
        <f t="shared" si="141"/>
        <v>43265</v>
      </c>
      <c r="M1849" s="1">
        <f t="shared" si="142"/>
        <v>1</v>
      </c>
      <c r="N1849" s="1">
        <f t="shared" si="143"/>
        <v>1</v>
      </c>
      <c r="O1849" s="1" t="str">
        <f>IF(I1849=0,"UNUSED",IF(A1849="","MISSING ID",IF(K1849=0,"UNEXPECTED ID",IF(N1849&lt;&gt;1,"ID / ORDER DIFFERENCE",IF('Source build'!U1849&lt;&gt;"INCLUDED","EXCLUDED SOURCE",IF(NOT(M1849),"INVALID AMOUNT",IF('Source build'!Y1849&lt;&gt;0,"CHANGED FIELDS","MATCH")))))))</f>
        <v>MATCH</v>
      </c>
      <c r="P1849" s="1" t="str">
        <f t="shared" si="144"/>
        <v>2026-02</v>
      </c>
    </row>
    <row r="1850" spans="1:16" ht="18.95" customHeight="1">
      <c r="A1850" s="7" t="s">
        <v>4782</v>
      </c>
      <c r="B1850" s="7" t="s">
        <v>4780</v>
      </c>
      <c r="C1850" s="7" t="s">
        <v>224</v>
      </c>
      <c r="D1850" s="7" t="s">
        <v>97</v>
      </c>
      <c r="E1850" s="7" t="s">
        <v>47</v>
      </c>
      <c r="F1850" s="7" t="s">
        <v>98</v>
      </c>
      <c r="G1850" s="7" t="s">
        <v>4783</v>
      </c>
      <c r="I1850" s="1">
        <f t="shared" si="140"/>
        <v>1</v>
      </c>
      <c r="J1850" s="1" t="str">
        <f>'Source build'!A1850</f>
        <v>L01844</v>
      </c>
      <c r="K1850" s="1">
        <f>1850</f>
        <v>1850</v>
      </c>
      <c r="L1850" s="10">
        <f t="shared" si="141"/>
        <v>17380</v>
      </c>
      <c r="M1850" s="1">
        <f t="shared" si="142"/>
        <v>1</v>
      </c>
      <c r="N1850" s="1">
        <f t="shared" si="143"/>
        <v>1</v>
      </c>
      <c r="O1850" s="1" t="str">
        <f>IF(I1850=0,"UNUSED",IF(A1850="","MISSING ID",IF(K1850=0,"UNEXPECTED ID",IF(N1850&lt;&gt;1,"ID / ORDER DIFFERENCE",IF('Source build'!U1850&lt;&gt;"INCLUDED","EXCLUDED SOURCE",IF(NOT(M1850),"INVALID AMOUNT",IF('Source build'!Y1850&lt;&gt;0,"CHANGED FIELDS","MATCH")))))))</f>
        <v>MATCH</v>
      </c>
      <c r="P1850" s="1" t="str">
        <f t="shared" si="144"/>
        <v>2026-02</v>
      </c>
    </row>
    <row r="1851" spans="1:16" ht="18.95" customHeight="1">
      <c r="A1851" s="7" t="s">
        <v>4784</v>
      </c>
      <c r="B1851" s="7" t="s">
        <v>4785</v>
      </c>
      <c r="C1851" s="7" t="s">
        <v>230</v>
      </c>
      <c r="D1851" s="7" t="s">
        <v>103</v>
      </c>
      <c r="E1851" s="7" t="s">
        <v>48</v>
      </c>
      <c r="F1851" s="7" t="s">
        <v>98</v>
      </c>
      <c r="G1851" s="7" t="s">
        <v>941</v>
      </c>
      <c r="I1851" s="1">
        <f t="shared" si="140"/>
        <v>1</v>
      </c>
      <c r="J1851" s="1" t="str">
        <f>'Source build'!A1851</f>
        <v>L01845</v>
      </c>
      <c r="K1851" s="1">
        <f>1851</f>
        <v>1851</v>
      </c>
      <c r="L1851" s="10">
        <f t="shared" si="141"/>
        <v>34908</v>
      </c>
      <c r="M1851" s="1">
        <f t="shared" si="142"/>
        <v>1</v>
      </c>
      <c r="N1851" s="1">
        <f t="shared" si="143"/>
        <v>1</v>
      </c>
      <c r="O1851" s="1" t="str">
        <f>IF(I1851=0,"UNUSED",IF(A1851="","MISSING ID",IF(K1851=0,"UNEXPECTED ID",IF(N1851&lt;&gt;1,"ID / ORDER DIFFERENCE",IF('Source build'!U1851&lt;&gt;"INCLUDED","EXCLUDED SOURCE",IF(NOT(M1851),"INVALID AMOUNT",IF('Source build'!Y1851&lt;&gt;0,"CHANGED FIELDS","MATCH")))))))</f>
        <v>MATCH</v>
      </c>
      <c r="P1851" s="1" t="str">
        <f t="shared" si="144"/>
        <v>2026-03</v>
      </c>
    </row>
    <row r="1852" spans="1:16" ht="18.95" customHeight="1">
      <c r="A1852" s="7" t="s">
        <v>4786</v>
      </c>
      <c r="B1852" s="7" t="s">
        <v>4785</v>
      </c>
      <c r="C1852" s="7" t="s">
        <v>230</v>
      </c>
      <c r="D1852" s="7" t="s">
        <v>93</v>
      </c>
      <c r="E1852" s="7" t="s">
        <v>46</v>
      </c>
      <c r="F1852" s="7" t="s">
        <v>98</v>
      </c>
      <c r="G1852" s="7" t="s">
        <v>4787</v>
      </c>
      <c r="I1852" s="1">
        <f t="shared" si="140"/>
        <v>1</v>
      </c>
      <c r="J1852" s="1" t="str">
        <f>'Source build'!A1852</f>
        <v>L01846</v>
      </c>
      <c r="K1852" s="1">
        <f>1852</f>
        <v>1852</v>
      </c>
      <c r="L1852" s="10">
        <f t="shared" si="141"/>
        <v>8764</v>
      </c>
      <c r="M1852" s="1">
        <f t="shared" si="142"/>
        <v>1</v>
      </c>
      <c r="N1852" s="1">
        <f t="shared" si="143"/>
        <v>1</v>
      </c>
      <c r="O1852" s="1" t="str">
        <f>IF(I1852=0,"UNUSED",IF(A1852="","MISSING ID",IF(K1852=0,"UNEXPECTED ID",IF(N1852&lt;&gt;1,"ID / ORDER DIFFERENCE",IF('Source build'!U1852&lt;&gt;"INCLUDED","EXCLUDED SOURCE",IF(NOT(M1852),"INVALID AMOUNT",IF('Source build'!Y1852&lt;&gt;0,"CHANGED FIELDS","MATCH")))))))</f>
        <v>MATCH</v>
      </c>
      <c r="P1852" s="1" t="str">
        <f t="shared" si="144"/>
        <v>2026-03</v>
      </c>
    </row>
    <row r="1853" spans="1:16" ht="18.95" customHeight="1">
      <c r="A1853" s="7" t="s">
        <v>4788</v>
      </c>
      <c r="B1853" s="7" t="s">
        <v>4789</v>
      </c>
      <c r="C1853" s="7" t="s">
        <v>236</v>
      </c>
      <c r="D1853" s="7" t="s">
        <v>97</v>
      </c>
      <c r="E1853" s="7" t="s">
        <v>47</v>
      </c>
      <c r="F1853" s="7" t="s">
        <v>98</v>
      </c>
      <c r="G1853" s="7" t="s">
        <v>4790</v>
      </c>
      <c r="I1853" s="1">
        <f t="shared" si="140"/>
        <v>1</v>
      </c>
      <c r="J1853" s="1" t="str">
        <f>'Source build'!A1853</f>
        <v>L01847</v>
      </c>
      <c r="K1853" s="1">
        <f>1853</f>
        <v>1853</v>
      </c>
      <c r="L1853" s="10">
        <f t="shared" si="141"/>
        <v>26403</v>
      </c>
      <c r="M1853" s="1">
        <f t="shared" si="142"/>
        <v>1</v>
      </c>
      <c r="N1853" s="1">
        <f t="shared" si="143"/>
        <v>1</v>
      </c>
      <c r="O1853" s="1" t="str">
        <f>IF(I1853=0,"UNUSED",IF(A1853="","MISSING ID",IF(K1853=0,"UNEXPECTED ID",IF(N1853&lt;&gt;1,"ID / ORDER DIFFERENCE",IF('Source build'!U1853&lt;&gt;"INCLUDED","EXCLUDED SOURCE",IF(NOT(M1853),"INVALID AMOUNT",IF('Source build'!Y1853&lt;&gt;0,"CHANGED FIELDS","MATCH")))))))</f>
        <v>MATCH</v>
      </c>
      <c r="P1853" s="1" t="str">
        <f t="shared" si="144"/>
        <v>2026-03</v>
      </c>
    </row>
    <row r="1854" spans="1:16" ht="18.95" customHeight="1">
      <c r="A1854" s="7" t="s">
        <v>4791</v>
      </c>
      <c r="B1854" s="7" t="s">
        <v>4789</v>
      </c>
      <c r="C1854" s="7" t="s">
        <v>236</v>
      </c>
      <c r="D1854" s="7" t="s">
        <v>103</v>
      </c>
      <c r="E1854" s="7" t="s">
        <v>48</v>
      </c>
      <c r="F1854" s="7" t="s">
        <v>98</v>
      </c>
      <c r="G1854" s="7" t="s">
        <v>4792</v>
      </c>
      <c r="I1854" s="1">
        <f t="shared" si="140"/>
        <v>1</v>
      </c>
      <c r="J1854" s="1" t="str">
        <f>'Source build'!A1854</f>
        <v>L01848</v>
      </c>
      <c r="K1854" s="1">
        <f>1854</f>
        <v>1854</v>
      </c>
      <c r="L1854" s="10">
        <f t="shared" si="141"/>
        <v>44190</v>
      </c>
      <c r="M1854" s="1">
        <f t="shared" si="142"/>
        <v>1</v>
      </c>
      <c r="N1854" s="1">
        <f t="shared" si="143"/>
        <v>1</v>
      </c>
      <c r="O1854" s="1" t="str">
        <f>IF(I1854=0,"UNUSED",IF(A1854="","MISSING ID",IF(K1854=0,"UNEXPECTED ID",IF(N1854&lt;&gt;1,"ID / ORDER DIFFERENCE",IF('Source build'!U1854&lt;&gt;"INCLUDED","EXCLUDED SOURCE",IF(NOT(M1854),"INVALID AMOUNT",IF('Source build'!Y1854&lt;&gt;0,"CHANGED FIELDS","MATCH")))))))</f>
        <v>MATCH</v>
      </c>
      <c r="P1854" s="1" t="str">
        <f t="shared" si="144"/>
        <v>2026-03</v>
      </c>
    </row>
    <row r="1855" spans="1:16" ht="18.95" customHeight="1">
      <c r="A1855" s="7" t="s">
        <v>4793</v>
      </c>
      <c r="B1855" s="7" t="s">
        <v>4794</v>
      </c>
      <c r="C1855" s="7" t="s">
        <v>242</v>
      </c>
      <c r="D1855" s="7" t="s">
        <v>93</v>
      </c>
      <c r="E1855" s="7" t="s">
        <v>46</v>
      </c>
      <c r="F1855" s="7" t="s">
        <v>98</v>
      </c>
      <c r="G1855" s="7" t="s">
        <v>4795</v>
      </c>
      <c r="I1855" s="1">
        <f t="shared" si="140"/>
        <v>1</v>
      </c>
      <c r="J1855" s="1" t="str">
        <f>'Source build'!A1855</f>
        <v>L01849</v>
      </c>
      <c r="K1855" s="1">
        <f>1855</f>
        <v>1855</v>
      </c>
      <c r="L1855" s="10">
        <f t="shared" si="141"/>
        <v>17750</v>
      </c>
      <c r="M1855" s="1">
        <f t="shared" si="142"/>
        <v>1</v>
      </c>
      <c r="N1855" s="1">
        <f t="shared" si="143"/>
        <v>1</v>
      </c>
      <c r="O1855" s="1" t="str">
        <f>IF(I1855=0,"UNUSED",IF(A1855="","MISSING ID",IF(K1855=0,"UNEXPECTED ID",IF(N1855&lt;&gt;1,"ID / ORDER DIFFERENCE",IF('Source build'!U1855&lt;&gt;"INCLUDED","EXCLUDED SOURCE",IF(NOT(M1855),"INVALID AMOUNT",IF('Source build'!Y1855&lt;&gt;0,"CHANGED FIELDS","MATCH")))))))</f>
        <v>MATCH</v>
      </c>
      <c r="P1855" s="1" t="str">
        <f t="shared" si="144"/>
        <v>2026-03</v>
      </c>
    </row>
    <row r="1856" spans="1:16" ht="18.95" customHeight="1">
      <c r="A1856" s="7" t="s">
        <v>4796</v>
      </c>
      <c r="B1856" s="7" t="s">
        <v>4794</v>
      </c>
      <c r="C1856" s="7" t="s">
        <v>242</v>
      </c>
      <c r="D1856" s="7" t="s">
        <v>97</v>
      </c>
      <c r="E1856" s="7" t="s">
        <v>47</v>
      </c>
      <c r="F1856" s="7" t="s">
        <v>98</v>
      </c>
      <c r="G1856" s="7" t="s">
        <v>4797</v>
      </c>
      <c r="I1856" s="1">
        <f t="shared" si="140"/>
        <v>1</v>
      </c>
      <c r="J1856" s="1" t="str">
        <f>'Source build'!A1856</f>
        <v>L01850</v>
      </c>
      <c r="K1856" s="1">
        <f>1856</f>
        <v>1856</v>
      </c>
      <c r="L1856" s="10">
        <f t="shared" si="141"/>
        <v>35648</v>
      </c>
      <c r="M1856" s="1">
        <f t="shared" si="142"/>
        <v>1</v>
      </c>
      <c r="N1856" s="1">
        <f t="shared" si="143"/>
        <v>1</v>
      </c>
      <c r="O1856" s="1" t="str">
        <f>IF(I1856=0,"UNUSED",IF(A1856="","MISSING ID",IF(K1856=0,"UNEXPECTED ID",IF(N1856&lt;&gt;1,"ID / ORDER DIFFERENCE",IF('Source build'!U1856&lt;&gt;"INCLUDED","EXCLUDED SOURCE",IF(NOT(M1856),"INVALID AMOUNT",IF('Source build'!Y1856&lt;&gt;0,"CHANGED FIELDS","MATCH")))))))</f>
        <v>MATCH</v>
      </c>
      <c r="P1856" s="1" t="str">
        <f t="shared" si="144"/>
        <v>2026-03</v>
      </c>
    </row>
    <row r="1857" spans="1:16" ht="18.95" customHeight="1">
      <c r="A1857" s="7" t="s">
        <v>4798</v>
      </c>
      <c r="B1857" s="7" t="s">
        <v>4799</v>
      </c>
      <c r="C1857" s="7" t="s">
        <v>248</v>
      </c>
      <c r="D1857" s="7" t="s">
        <v>103</v>
      </c>
      <c r="E1857" s="7" t="s">
        <v>48</v>
      </c>
      <c r="F1857" s="7" t="s">
        <v>98</v>
      </c>
      <c r="G1857" s="7" t="s">
        <v>4800</v>
      </c>
      <c r="I1857" s="1">
        <f t="shared" si="140"/>
        <v>1</v>
      </c>
      <c r="J1857" s="1" t="str">
        <f>'Source build'!A1857</f>
        <v>L01851</v>
      </c>
      <c r="K1857" s="1">
        <f>1857</f>
        <v>1857</v>
      </c>
      <c r="L1857" s="10">
        <f t="shared" si="141"/>
        <v>8949</v>
      </c>
      <c r="M1857" s="1">
        <f t="shared" si="142"/>
        <v>1</v>
      </c>
      <c r="N1857" s="1">
        <f t="shared" si="143"/>
        <v>1</v>
      </c>
      <c r="O1857" s="1" t="str">
        <f>IF(I1857=0,"UNUSED",IF(A1857="","MISSING ID",IF(K1857=0,"UNEXPECTED ID",IF(N1857&lt;&gt;1,"ID / ORDER DIFFERENCE",IF('Source build'!U1857&lt;&gt;"INCLUDED","EXCLUDED SOURCE",IF(NOT(M1857),"INVALID AMOUNT",IF('Source build'!Y1857&lt;&gt;0,"CHANGED FIELDS","MATCH")))))))</f>
        <v>MATCH</v>
      </c>
      <c r="P1857" s="1" t="str">
        <f t="shared" si="144"/>
        <v>2026-03</v>
      </c>
    </row>
    <row r="1858" spans="1:16" ht="18.95" customHeight="1">
      <c r="A1858" s="7" t="s">
        <v>4801</v>
      </c>
      <c r="B1858" s="7" t="s">
        <v>4799</v>
      </c>
      <c r="C1858" s="7" t="s">
        <v>248</v>
      </c>
      <c r="D1858" s="7" t="s">
        <v>93</v>
      </c>
      <c r="E1858" s="7" t="s">
        <v>46</v>
      </c>
      <c r="F1858" s="7" t="s">
        <v>98</v>
      </c>
      <c r="G1858" s="7" t="s">
        <v>4802</v>
      </c>
      <c r="I1858" s="1">
        <f t="shared" si="140"/>
        <v>1</v>
      </c>
      <c r="J1858" s="1" t="str">
        <f>'Source build'!A1858</f>
        <v>L01852</v>
      </c>
      <c r="K1858" s="1">
        <f>1858</f>
        <v>1858</v>
      </c>
      <c r="L1858" s="10">
        <f t="shared" si="141"/>
        <v>26958</v>
      </c>
      <c r="M1858" s="1">
        <f t="shared" si="142"/>
        <v>1</v>
      </c>
      <c r="N1858" s="1">
        <f t="shared" si="143"/>
        <v>1</v>
      </c>
      <c r="O1858" s="1" t="str">
        <f>IF(I1858=0,"UNUSED",IF(A1858="","MISSING ID",IF(K1858=0,"UNEXPECTED ID",IF(N1858&lt;&gt;1,"ID / ORDER DIFFERENCE",IF('Source build'!U1858&lt;&gt;"INCLUDED","EXCLUDED SOURCE",IF(NOT(M1858),"INVALID AMOUNT",IF('Source build'!Y1858&lt;&gt;0,"CHANGED FIELDS","MATCH")))))))</f>
        <v>MATCH</v>
      </c>
      <c r="P1858" s="1" t="str">
        <f t="shared" si="144"/>
        <v>2026-03</v>
      </c>
    </row>
    <row r="1859" spans="1:16" ht="18.95" customHeight="1">
      <c r="A1859" s="7" t="s">
        <v>4803</v>
      </c>
      <c r="B1859" s="7" t="s">
        <v>4804</v>
      </c>
      <c r="C1859" s="7" t="s">
        <v>254</v>
      </c>
      <c r="D1859" s="7" t="s">
        <v>97</v>
      </c>
      <c r="E1859" s="7" t="s">
        <v>47</v>
      </c>
      <c r="F1859" s="7" t="s">
        <v>98</v>
      </c>
      <c r="G1859" s="7" t="s">
        <v>4805</v>
      </c>
      <c r="I1859" s="1">
        <f t="shared" si="140"/>
        <v>1</v>
      </c>
      <c r="J1859" s="1" t="str">
        <f>'Source build'!A1859</f>
        <v>L01853</v>
      </c>
      <c r="K1859" s="1">
        <f>1859</f>
        <v>1859</v>
      </c>
      <c r="L1859" s="10">
        <f t="shared" si="141"/>
        <v>45115</v>
      </c>
      <c r="M1859" s="1">
        <f t="shared" si="142"/>
        <v>1</v>
      </c>
      <c r="N1859" s="1">
        <f t="shared" si="143"/>
        <v>1</v>
      </c>
      <c r="O1859" s="1" t="str">
        <f>IF(I1859=0,"UNUSED",IF(A1859="","MISSING ID",IF(K1859=0,"UNEXPECTED ID",IF(N1859&lt;&gt;1,"ID / ORDER DIFFERENCE",IF('Source build'!U1859&lt;&gt;"INCLUDED","EXCLUDED SOURCE",IF(NOT(M1859),"INVALID AMOUNT",IF('Source build'!Y1859&lt;&gt;0,"CHANGED FIELDS","MATCH")))))))</f>
        <v>MATCH</v>
      </c>
      <c r="P1859" s="1" t="str">
        <f t="shared" si="144"/>
        <v>2026-01</v>
      </c>
    </row>
    <row r="1860" spans="1:16" ht="18.95" customHeight="1">
      <c r="A1860" s="7" t="s">
        <v>4806</v>
      </c>
      <c r="B1860" s="7" t="s">
        <v>4804</v>
      </c>
      <c r="C1860" s="7" t="s">
        <v>254</v>
      </c>
      <c r="D1860" s="7" t="s">
        <v>103</v>
      </c>
      <c r="E1860" s="7" t="s">
        <v>48</v>
      </c>
      <c r="F1860" s="7" t="s">
        <v>98</v>
      </c>
      <c r="G1860" s="7" t="s">
        <v>4807</v>
      </c>
      <c r="I1860" s="1">
        <f t="shared" si="140"/>
        <v>1</v>
      </c>
      <c r="J1860" s="1" t="str">
        <f>'Source build'!A1860</f>
        <v>L01854</v>
      </c>
      <c r="K1860" s="1">
        <f>1860</f>
        <v>1860</v>
      </c>
      <c r="L1860" s="10">
        <f t="shared" si="141"/>
        <v>18120</v>
      </c>
      <c r="M1860" s="1">
        <f t="shared" si="142"/>
        <v>1</v>
      </c>
      <c r="N1860" s="1">
        <f t="shared" si="143"/>
        <v>1</v>
      </c>
      <c r="O1860" s="1" t="str">
        <f>IF(I1860=0,"UNUSED",IF(A1860="","MISSING ID",IF(K1860=0,"UNEXPECTED ID",IF(N1860&lt;&gt;1,"ID / ORDER DIFFERENCE",IF('Source build'!U1860&lt;&gt;"INCLUDED","EXCLUDED SOURCE",IF(NOT(M1860),"INVALID AMOUNT",IF('Source build'!Y1860&lt;&gt;0,"CHANGED FIELDS","MATCH")))))))</f>
        <v>MATCH</v>
      </c>
      <c r="P1860" s="1" t="str">
        <f t="shared" si="144"/>
        <v>2026-01</v>
      </c>
    </row>
    <row r="1861" spans="1:16" ht="18.95" customHeight="1">
      <c r="A1861" s="7" t="s">
        <v>4808</v>
      </c>
      <c r="B1861" s="7" t="s">
        <v>4809</v>
      </c>
      <c r="C1861" s="7" t="s">
        <v>260</v>
      </c>
      <c r="D1861" s="7" t="s">
        <v>93</v>
      </c>
      <c r="E1861" s="7" t="s">
        <v>46</v>
      </c>
      <c r="F1861" s="7" t="s">
        <v>98</v>
      </c>
      <c r="G1861" s="7" t="s">
        <v>4810</v>
      </c>
      <c r="I1861" s="1">
        <f t="shared" si="140"/>
        <v>1</v>
      </c>
      <c r="J1861" s="1" t="str">
        <f>'Source build'!A1861</f>
        <v>L01855</v>
      </c>
      <c r="K1861" s="1">
        <f>1861</f>
        <v>1861</v>
      </c>
      <c r="L1861" s="10">
        <f t="shared" si="141"/>
        <v>36388</v>
      </c>
      <c r="M1861" s="1">
        <f t="shared" si="142"/>
        <v>1</v>
      </c>
      <c r="N1861" s="1">
        <f t="shared" si="143"/>
        <v>1</v>
      </c>
      <c r="O1861" s="1" t="str">
        <f>IF(I1861=0,"UNUSED",IF(A1861="","MISSING ID",IF(K1861=0,"UNEXPECTED ID",IF(N1861&lt;&gt;1,"ID / ORDER DIFFERENCE",IF('Source build'!U1861&lt;&gt;"INCLUDED","EXCLUDED SOURCE",IF(NOT(M1861),"INVALID AMOUNT",IF('Source build'!Y1861&lt;&gt;0,"CHANGED FIELDS","MATCH")))))))</f>
        <v>MATCH</v>
      </c>
      <c r="P1861" s="1" t="str">
        <f t="shared" si="144"/>
        <v>2026-01</v>
      </c>
    </row>
    <row r="1862" spans="1:16" ht="18.95" customHeight="1">
      <c r="A1862" s="7" t="s">
        <v>4811</v>
      </c>
      <c r="B1862" s="7" t="s">
        <v>4809</v>
      </c>
      <c r="C1862" s="7" t="s">
        <v>260</v>
      </c>
      <c r="D1862" s="7" t="s">
        <v>97</v>
      </c>
      <c r="E1862" s="7" t="s">
        <v>47</v>
      </c>
      <c r="F1862" s="7" t="s">
        <v>98</v>
      </c>
      <c r="G1862" s="7" t="s">
        <v>4812</v>
      </c>
      <c r="I1862" s="1">
        <f t="shared" si="140"/>
        <v>1</v>
      </c>
      <c r="J1862" s="1" t="str">
        <f>'Source build'!A1862</f>
        <v>L01856</v>
      </c>
      <c r="K1862" s="1">
        <f>1862</f>
        <v>1862</v>
      </c>
      <c r="L1862" s="10">
        <f t="shared" si="141"/>
        <v>9134</v>
      </c>
      <c r="M1862" s="1">
        <f t="shared" si="142"/>
        <v>1</v>
      </c>
      <c r="N1862" s="1">
        <f t="shared" si="143"/>
        <v>1</v>
      </c>
      <c r="O1862" s="1" t="str">
        <f>IF(I1862=0,"UNUSED",IF(A1862="","MISSING ID",IF(K1862=0,"UNEXPECTED ID",IF(N1862&lt;&gt;1,"ID / ORDER DIFFERENCE",IF('Source build'!U1862&lt;&gt;"INCLUDED","EXCLUDED SOURCE",IF(NOT(M1862),"INVALID AMOUNT",IF('Source build'!Y1862&lt;&gt;0,"CHANGED FIELDS","MATCH")))))))</f>
        <v>MATCH</v>
      </c>
      <c r="P1862" s="1" t="str">
        <f t="shared" si="144"/>
        <v>2026-01</v>
      </c>
    </row>
    <row r="1863" spans="1:16" ht="18.95" customHeight="1">
      <c r="A1863" s="7" t="s">
        <v>4813</v>
      </c>
      <c r="B1863" s="7" t="s">
        <v>4814</v>
      </c>
      <c r="C1863" s="7" t="s">
        <v>266</v>
      </c>
      <c r="D1863" s="7" t="s">
        <v>103</v>
      </c>
      <c r="E1863" s="7" t="s">
        <v>48</v>
      </c>
      <c r="F1863" s="7" t="s">
        <v>98</v>
      </c>
      <c r="G1863" s="7" t="s">
        <v>4815</v>
      </c>
      <c r="I1863" s="1">
        <f t="shared" ref="I1863:I1926" si="145">IF(AND(A1863="",B1863="",C1863="",D1863="",E1863="",F1863="",G1863=""),0,1)</f>
        <v>1</v>
      </c>
      <c r="J1863" s="1" t="str">
        <f>'Source build'!A1863</f>
        <v>L01857</v>
      </c>
      <c r="K1863" s="1">
        <f>1863</f>
        <v>1863</v>
      </c>
      <c r="L1863" s="10">
        <f t="shared" ref="L1863:L1926" si="146">IFERROR(IF(ABS(VALUE(G1863)*100-ROUND(VALUE(G1863)*100,0))&lt;0.0000001,ROUND(VALUE(G1863)*100,0),0),0)</f>
        <v>27513</v>
      </c>
      <c r="M1863" s="1">
        <f t="shared" ref="M1863:M1926" si="147">--IF(I1863=0,TRUE,IF(TRIM(G1863)="",FALSE,IFERROR(AND(ISNUMBER(VALUE(G1863)),ABS(VALUE(G1863)*100-ROUND(VALUE(G1863)*100,0))&lt;0.0000001,OR(ISNUMBER(G1863),EXACT(G1863,TEXT(VALUE(G1863),"0.00"))),OR(AND(EXACT(F1863,"sale"),VALUE(G1863)&gt;0),AND(EXACT(F1863,"refund"),VALUE(G1863)&lt;0))),FALSE)))</f>
        <v>1</v>
      </c>
      <c r="N1863" s="1">
        <f t="shared" ref="N1863:N1926" si="148">IF(I1863=1,IF(EXACT(A1863,J1863),1,0),0)</f>
        <v>1</v>
      </c>
      <c r="O1863" s="1" t="str">
        <f>IF(I1863=0,"UNUSED",IF(A1863="","MISSING ID",IF(K1863=0,"UNEXPECTED ID",IF(N1863&lt;&gt;1,"ID / ORDER DIFFERENCE",IF('Source build'!U1863&lt;&gt;"INCLUDED","EXCLUDED SOURCE",IF(NOT(M1863),"INVALID AMOUNT",IF('Source build'!Y1863&lt;&gt;0,"CHANGED FIELDS","MATCH")))))))</f>
        <v>MATCH</v>
      </c>
      <c r="P1863" s="1" t="str">
        <f t="shared" ref="P1863:P1926" si="149">IF(I1863=1,LEFT(C1863,7),"")</f>
        <v>2026-01</v>
      </c>
    </row>
    <row r="1864" spans="1:16" ht="18.95" customHeight="1">
      <c r="A1864" s="7" t="s">
        <v>4816</v>
      </c>
      <c r="B1864" s="7" t="s">
        <v>4814</v>
      </c>
      <c r="C1864" s="7" t="s">
        <v>266</v>
      </c>
      <c r="D1864" s="7" t="s">
        <v>93</v>
      </c>
      <c r="E1864" s="7" t="s">
        <v>46</v>
      </c>
      <c r="F1864" s="7" t="s">
        <v>98</v>
      </c>
      <c r="G1864" s="7" t="s">
        <v>4817</v>
      </c>
      <c r="I1864" s="1">
        <f t="shared" si="145"/>
        <v>1</v>
      </c>
      <c r="J1864" s="1" t="str">
        <f>'Source build'!A1864</f>
        <v>L01858</v>
      </c>
      <c r="K1864" s="1">
        <f>1864</f>
        <v>1864</v>
      </c>
      <c r="L1864" s="10">
        <f t="shared" si="146"/>
        <v>46040</v>
      </c>
      <c r="M1864" s="1">
        <f t="shared" si="147"/>
        <v>1</v>
      </c>
      <c r="N1864" s="1">
        <f t="shared" si="148"/>
        <v>1</v>
      </c>
      <c r="O1864" s="1" t="str">
        <f>IF(I1864=0,"UNUSED",IF(A1864="","MISSING ID",IF(K1864=0,"UNEXPECTED ID",IF(N1864&lt;&gt;1,"ID / ORDER DIFFERENCE",IF('Source build'!U1864&lt;&gt;"INCLUDED","EXCLUDED SOURCE",IF(NOT(M1864),"INVALID AMOUNT",IF('Source build'!Y1864&lt;&gt;0,"CHANGED FIELDS","MATCH")))))))</f>
        <v>MATCH</v>
      </c>
      <c r="P1864" s="1" t="str">
        <f t="shared" si="149"/>
        <v>2026-01</v>
      </c>
    </row>
    <row r="1865" spans="1:16" ht="18.95" customHeight="1">
      <c r="A1865" s="7" t="s">
        <v>4818</v>
      </c>
      <c r="B1865" s="7" t="s">
        <v>4819</v>
      </c>
      <c r="C1865" s="7" t="s">
        <v>272</v>
      </c>
      <c r="D1865" s="7" t="s">
        <v>97</v>
      </c>
      <c r="E1865" s="7" t="s">
        <v>47</v>
      </c>
      <c r="F1865" s="7" t="s">
        <v>98</v>
      </c>
      <c r="G1865" s="7" t="s">
        <v>4820</v>
      </c>
      <c r="I1865" s="1">
        <f t="shared" si="145"/>
        <v>1</v>
      </c>
      <c r="J1865" s="1" t="str">
        <f>'Source build'!A1865</f>
        <v>L01859</v>
      </c>
      <c r="K1865" s="1">
        <f>1865</f>
        <v>1865</v>
      </c>
      <c r="L1865" s="10">
        <f t="shared" si="146"/>
        <v>18490</v>
      </c>
      <c r="M1865" s="1">
        <f t="shared" si="147"/>
        <v>1</v>
      </c>
      <c r="N1865" s="1">
        <f t="shared" si="148"/>
        <v>1</v>
      </c>
      <c r="O1865" s="1" t="str">
        <f>IF(I1865=0,"UNUSED",IF(A1865="","MISSING ID",IF(K1865=0,"UNEXPECTED ID",IF(N1865&lt;&gt;1,"ID / ORDER DIFFERENCE",IF('Source build'!U1865&lt;&gt;"INCLUDED","EXCLUDED SOURCE",IF(NOT(M1865),"INVALID AMOUNT",IF('Source build'!Y1865&lt;&gt;0,"CHANGED FIELDS","MATCH")))))))</f>
        <v>MATCH</v>
      </c>
      <c r="P1865" s="1" t="str">
        <f t="shared" si="149"/>
        <v>2026-01</v>
      </c>
    </row>
    <row r="1866" spans="1:16" ht="18.95" customHeight="1">
      <c r="A1866" s="7" t="s">
        <v>4821</v>
      </c>
      <c r="B1866" s="7" t="s">
        <v>4819</v>
      </c>
      <c r="C1866" s="7" t="s">
        <v>272</v>
      </c>
      <c r="D1866" s="7" t="s">
        <v>103</v>
      </c>
      <c r="E1866" s="7" t="s">
        <v>48</v>
      </c>
      <c r="F1866" s="7" t="s">
        <v>98</v>
      </c>
      <c r="G1866" s="7" t="s">
        <v>992</v>
      </c>
      <c r="I1866" s="1">
        <f t="shared" si="145"/>
        <v>1</v>
      </c>
      <c r="J1866" s="1" t="str">
        <f>'Source build'!A1866</f>
        <v>L01860</v>
      </c>
      <c r="K1866" s="1">
        <f>1866</f>
        <v>1866</v>
      </c>
      <c r="L1866" s="10">
        <f t="shared" si="146"/>
        <v>37128</v>
      </c>
      <c r="M1866" s="1">
        <f t="shared" si="147"/>
        <v>1</v>
      </c>
      <c r="N1866" s="1">
        <f t="shared" si="148"/>
        <v>1</v>
      </c>
      <c r="O1866" s="1" t="str">
        <f>IF(I1866=0,"UNUSED",IF(A1866="","MISSING ID",IF(K1866=0,"UNEXPECTED ID",IF(N1866&lt;&gt;1,"ID / ORDER DIFFERENCE",IF('Source build'!U1866&lt;&gt;"INCLUDED","EXCLUDED SOURCE",IF(NOT(M1866),"INVALID AMOUNT",IF('Source build'!Y1866&lt;&gt;0,"CHANGED FIELDS","MATCH")))))))</f>
        <v>MATCH</v>
      </c>
      <c r="P1866" s="1" t="str">
        <f t="shared" si="149"/>
        <v>2026-01</v>
      </c>
    </row>
    <row r="1867" spans="1:16" ht="18.95" customHeight="1">
      <c r="A1867" s="7" t="s">
        <v>4822</v>
      </c>
      <c r="B1867" s="7" t="s">
        <v>4823</v>
      </c>
      <c r="C1867" s="7" t="s">
        <v>278</v>
      </c>
      <c r="D1867" s="7" t="s">
        <v>93</v>
      </c>
      <c r="E1867" s="7" t="s">
        <v>46</v>
      </c>
      <c r="F1867" s="7" t="s">
        <v>98</v>
      </c>
      <c r="G1867" s="7" t="s">
        <v>4824</v>
      </c>
      <c r="I1867" s="1">
        <f t="shared" si="145"/>
        <v>1</v>
      </c>
      <c r="J1867" s="1" t="str">
        <f>'Source build'!A1867</f>
        <v>L01861</v>
      </c>
      <c r="K1867" s="1">
        <f>1867</f>
        <v>1867</v>
      </c>
      <c r="L1867" s="10">
        <f t="shared" si="146"/>
        <v>9319</v>
      </c>
      <c r="M1867" s="1">
        <f t="shared" si="147"/>
        <v>1</v>
      </c>
      <c r="N1867" s="1">
        <f t="shared" si="148"/>
        <v>1</v>
      </c>
      <c r="O1867" s="1" t="str">
        <f>IF(I1867=0,"UNUSED",IF(A1867="","MISSING ID",IF(K1867=0,"UNEXPECTED ID",IF(N1867&lt;&gt;1,"ID / ORDER DIFFERENCE",IF('Source build'!U1867&lt;&gt;"INCLUDED","EXCLUDED SOURCE",IF(NOT(M1867),"INVALID AMOUNT",IF('Source build'!Y1867&lt;&gt;0,"CHANGED FIELDS","MATCH")))))))</f>
        <v>MATCH</v>
      </c>
      <c r="P1867" s="1" t="str">
        <f t="shared" si="149"/>
        <v>2026-01</v>
      </c>
    </row>
    <row r="1868" spans="1:16" ht="18.95" customHeight="1">
      <c r="A1868" s="7" t="s">
        <v>4825</v>
      </c>
      <c r="B1868" s="7" t="s">
        <v>4823</v>
      </c>
      <c r="C1868" s="7" t="s">
        <v>278</v>
      </c>
      <c r="D1868" s="7" t="s">
        <v>97</v>
      </c>
      <c r="E1868" s="7" t="s">
        <v>47</v>
      </c>
      <c r="F1868" s="7" t="s">
        <v>98</v>
      </c>
      <c r="G1868" s="7" t="s">
        <v>4826</v>
      </c>
      <c r="I1868" s="1">
        <f t="shared" si="145"/>
        <v>1</v>
      </c>
      <c r="J1868" s="1" t="str">
        <f>'Source build'!A1868</f>
        <v>L01862</v>
      </c>
      <c r="K1868" s="1">
        <f>1868</f>
        <v>1868</v>
      </c>
      <c r="L1868" s="10">
        <f t="shared" si="146"/>
        <v>28068</v>
      </c>
      <c r="M1868" s="1">
        <f t="shared" si="147"/>
        <v>1</v>
      </c>
      <c r="N1868" s="1">
        <f t="shared" si="148"/>
        <v>1</v>
      </c>
      <c r="O1868" s="1" t="str">
        <f>IF(I1868=0,"UNUSED",IF(A1868="","MISSING ID",IF(K1868=0,"UNEXPECTED ID",IF(N1868&lt;&gt;1,"ID / ORDER DIFFERENCE",IF('Source build'!U1868&lt;&gt;"INCLUDED","EXCLUDED SOURCE",IF(NOT(M1868),"INVALID AMOUNT",IF('Source build'!Y1868&lt;&gt;0,"CHANGED FIELDS","MATCH")))))))</f>
        <v>MATCH</v>
      </c>
      <c r="P1868" s="1" t="str">
        <f t="shared" si="149"/>
        <v>2026-01</v>
      </c>
    </row>
    <row r="1869" spans="1:16" ht="18.95" customHeight="1">
      <c r="A1869" s="7" t="s">
        <v>4827</v>
      </c>
      <c r="B1869" s="7" t="s">
        <v>4828</v>
      </c>
      <c r="C1869" s="7" t="s">
        <v>284</v>
      </c>
      <c r="D1869" s="7" t="s">
        <v>103</v>
      </c>
      <c r="E1869" s="7" t="s">
        <v>48</v>
      </c>
      <c r="F1869" s="7" t="s">
        <v>98</v>
      </c>
      <c r="G1869" s="7" t="s">
        <v>4829</v>
      </c>
      <c r="I1869" s="1">
        <f t="shared" si="145"/>
        <v>1</v>
      </c>
      <c r="J1869" s="1" t="str">
        <f>'Source build'!A1869</f>
        <v>L01863</v>
      </c>
      <c r="K1869" s="1">
        <f>1869</f>
        <v>1869</v>
      </c>
      <c r="L1869" s="10">
        <f t="shared" si="146"/>
        <v>46965</v>
      </c>
      <c r="M1869" s="1">
        <f t="shared" si="147"/>
        <v>1</v>
      </c>
      <c r="N1869" s="1">
        <f t="shared" si="148"/>
        <v>1</v>
      </c>
      <c r="O1869" s="1" t="str">
        <f>IF(I1869=0,"UNUSED",IF(A1869="","MISSING ID",IF(K1869=0,"UNEXPECTED ID",IF(N1869&lt;&gt;1,"ID / ORDER DIFFERENCE",IF('Source build'!U1869&lt;&gt;"INCLUDED","EXCLUDED SOURCE",IF(NOT(M1869),"INVALID AMOUNT",IF('Source build'!Y1869&lt;&gt;0,"CHANGED FIELDS","MATCH")))))))</f>
        <v>MATCH</v>
      </c>
      <c r="P1869" s="1" t="str">
        <f t="shared" si="149"/>
        <v>2026-02</v>
      </c>
    </row>
    <row r="1870" spans="1:16" ht="18.95" customHeight="1">
      <c r="A1870" s="7" t="s">
        <v>4830</v>
      </c>
      <c r="B1870" s="7" t="s">
        <v>4828</v>
      </c>
      <c r="C1870" s="7" t="s">
        <v>284</v>
      </c>
      <c r="D1870" s="7" t="s">
        <v>93</v>
      </c>
      <c r="E1870" s="7" t="s">
        <v>46</v>
      </c>
      <c r="F1870" s="7" t="s">
        <v>94</v>
      </c>
      <c r="G1870" s="7" t="s">
        <v>4831</v>
      </c>
      <c r="I1870" s="1">
        <f t="shared" si="145"/>
        <v>1</v>
      </c>
      <c r="J1870" s="1" t="str">
        <f>'Source build'!A1870</f>
        <v>L01864</v>
      </c>
      <c r="K1870" s="1">
        <f>1870</f>
        <v>1870</v>
      </c>
      <c r="L1870" s="10">
        <f t="shared" si="146"/>
        <v>-18860</v>
      </c>
      <c r="M1870" s="1">
        <f t="shared" si="147"/>
        <v>1</v>
      </c>
      <c r="N1870" s="1">
        <f t="shared" si="148"/>
        <v>1</v>
      </c>
      <c r="O1870" s="1" t="str">
        <f>IF(I1870=0,"UNUSED",IF(A1870="","MISSING ID",IF(K1870=0,"UNEXPECTED ID",IF(N1870&lt;&gt;1,"ID / ORDER DIFFERENCE",IF('Source build'!U1870&lt;&gt;"INCLUDED","EXCLUDED SOURCE",IF(NOT(M1870),"INVALID AMOUNT",IF('Source build'!Y1870&lt;&gt;0,"CHANGED FIELDS","MATCH")))))))</f>
        <v>MATCH</v>
      </c>
      <c r="P1870" s="1" t="str">
        <f t="shared" si="149"/>
        <v>2026-02</v>
      </c>
    </row>
    <row r="1871" spans="1:16" ht="18.95" customHeight="1">
      <c r="A1871" s="7" t="s">
        <v>4832</v>
      </c>
      <c r="B1871" s="7" t="s">
        <v>4833</v>
      </c>
      <c r="C1871" s="7" t="s">
        <v>290</v>
      </c>
      <c r="D1871" s="7" t="s">
        <v>97</v>
      </c>
      <c r="E1871" s="7" t="s">
        <v>47</v>
      </c>
      <c r="F1871" s="7" t="s">
        <v>98</v>
      </c>
      <c r="G1871" s="7" t="s">
        <v>4834</v>
      </c>
      <c r="I1871" s="1">
        <f t="shared" si="145"/>
        <v>1</v>
      </c>
      <c r="J1871" s="1" t="str">
        <f>'Source build'!A1871</f>
        <v>L01865</v>
      </c>
      <c r="K1871" s="1">
        <f>1871</f>
        <v>1871</v>
      </c>
      <c r="L1871" s="10">
        <f t="shared" si="146"/>
        <v>37868</v>
      </c>
      <c r="M1871" s="1">
        <f t="shared" si="147"/>
        <v>1</v>
      </c>
      <c r="N1871" s="1">
        <f t="shared" si="148"/>
        <v>1</v>
      </c>
      <c r="O1871" s="1" t="str">
        <f>IF(I1871=0,"UNUSED",IF(A1871="","MISSING ID",IF(K1871=0,"UNEXPECTED ID",IF(N1871&lt;&gt;1,"ID / ORDER DIFFERENCE",IF('Source build'!U1871&lt;&gt;"INCLUDED","EXCLUDED SOURCE",IF(NOT(M1871),"INVALID AMOUNT",IF('Source build'!Y1871&lt;&gt;0,"CHANGED FIELDS","MATCH")))))))</f>
        <v>MATCH</v>
      </c>
      <c r="P1871" s="1" t="str">
        <f t="shared" si="149"/>
        <v>2026-02</v>
      </c>
    </row>
    <row r="1872" spans="1:16" ht="18.95" customHeight="1">
      <c r="A1872" s="7" t="s">
        <v>4835</v>
      </c>
      <c r="B1872" s="7" t="s">
        <v>4833</v>
      </c>
      <c r="C1872" s="7" t="s">
        <v>290</v>
      </c>
      <c r="D1872" s="7" t="s">
        <v>103</v>
      </c>
      <c r="E1872" s="7" t="s">
        <v>48</v>
      </c>
      <c r="F1872" s="7" t="s">
        <v>98</v>
      </c>
      <c r="G1872" s="7" t="s">
        <v>4836</v>
      </c>
      <c r="I1872" s="1">
        <f t="shared" si="145"/>
        <v>1</v>
      </c>
      <c r="J1872" s="1" t="str">
        <f>'Source build'!A1872</f>
        <v>L01866</v>
      </c>
      <c r="K1872" s="1">
        <f>1872</f>
        <v>1872</v>
      </c>
      <c r="L1872" s="10">
        <f t="shared" si="146"/>
        <v>9504</v>
      </c>
      <c r="M1872" s="1">
        <f t="shared" si="147"/>
        <v>1</v>
      </c>
      <c r="N1872" s="1">
        <f t="shared" si="148"/>
        <v>1</v>
      </c>
      <c r="O1872" s="1" t="str">
        <f>IF(I1872=0,"UNUSED",IF(A1872="","MISSING ID",IF(K1872=0,"UNEXPECTED ID",IF(N1872&lt;&gt;1,"ID / ORDER DIFFERENCE",IF('Source build'!U1872&lt;&gt;"INCLUDED","EXCLUDED SOURCE",IF(NOT(M1872),"INVALID AMOUNT",IF('Source build'!Y1872&lt;&gt;0,"CHANGED FIELDS","MATCH")))))))</f>
        <v>MATCH</v>
      </c>
      <c r="P1872" s="1" t="str">
        <f t="shared" si="149"/>
        <v>2026-02</v>
      </c>
    </row>
    <row r="1873" spans="1:16" ht="18.95" customHeight="1">
      <c r="A1873" s="7" t="s">
        <v>4837</v>
      </c>
      <c r="B1873" s="7" t="s">
        <v>4838</v>
      </c>
      <c r="C1873" s="7" t="s">
        <v>296</v>
      </c>
      <c r="D1873" s="7" t="s">
        <v>93</v>
      </c>
      <c r="E1873" s="7" t="s">
        <v>46</v>
      </c>
      <c r="F1873" s="7" t="s">
        <v>98</v>
      </c>
      <c r="G1873" s="7" t="s">
        <v>4839</v>
      </c>
      <c r="I1873" s="1">
        <f t="shared" si="145"/>
        <v>1</v>
      </c>
      <c r="J1873" s="1" t="str">
        <f>'Source build'!A1873</f>
        <v>L01867</v>
      </c>
      <c r="K1873" s="1">
        <f>1873</f>
        <v>1873</v>
      </c>
      <c r="L1873" s="10">
        <f t="shared" si="146"/>
        <v>28623</v>
      </c>
      <c r="M1873" s="1">
        <f t="shared" si="147"/>
        <v>1</v>
      </c>
      <c r="N1873" s="1">
        <f t="shared" si="148"/>
        <v>1</v>
      </c>
      <c r="O1873" s="1" t="str">
        <f>IF(I1873=0,"UNUSED",IF(A1873="","MISSING ID",IF(K1873=0,"UNEXPECTED ID",IF(N1873&lt;&gt;1,"ID / ORDER DIFFERENCE",IF('Source build'!U1873&lt;&gt;"INCLUDED","EXCLUDED SOURCE",IF(NOT(M1873),"INVALID AMOUNT",IF('Source build'!Y1873&lt;&gt;0,"CHANGED FIELDS","MATCH")))))))</f>
        <v>MATCH</v>
      </c>
      <c r="P1873" s="1" t="str">
        <f t="shared" si="149"/>
        <v>2026-02</v>
      </c>
    </row>
    <row r="1874" spans="1:16" ht="18.95" customHeight="1">
      <c r="A1874" s="7" t="s">
        <v>4840</v>
      </c>
      <c r="B1874" s="7" t="s">
        <v>4838</v>
      </c>
      <c r="C1874" s="7" t="s">
        <v>296</v>
      </c>
      <c r="D1874" s="7" t="s">
        <v>97</v>
      </c>
      <c r="E1874" s="7" t="s">
        <v>47</v>
      </c>
      <c r="F1874" s="7" t="s">
        <v>98</v>
      </c>
      <c r="G1874" s="7" t="s">
        <v>4841</v>
      </c>
      <c r="I1874" s="1">
        <f t="shared" si="145"/>
        <v>1</v>
      </c>
      <c r="J1874" s="1" t="str">
        <f>'Source build'!A1874</f>
        <v>L01868</v>
      </c>
      <c r="K1874" s="1">
        <f>1874</f>
        <v>1874</v>
      </c>
      <c r="L1874" s="10">
        <f t="shared" si="146"/>
        <v>47890</v>
      </c>
      <c r="M1874" s="1">
        <f t="shared" si="147"/>
        <v>1</v>
      </c>
      <c r="N1874" s="1">
        <f t="shared" si="148"/>
        <v>1</v>
      </c>
      <c r="O1874" s="1" t="str">
        <f>IF(I1874=0,"UNUSED",IF(A1874="","MISSING ID",IF(K1874=0,"UNEXPECTED ID",IF(N1874&lt;&gt;1,"ID / ORDER DIFFERENCE",IF('Source build'!U1874&lt;&gt;"INCLUDED","EXCLUDED SOURCE",IF(NOT(M1874),"INVALID AMOUNT",IF('Source build'!Y1874&lt;&gt;0,"CHANGED FIELDS","MATCH")))))))</f>
        <v>MATCH</v>
      </c>
      <c r="P1874" s="1" t="str">
        <f t="shared" si="149"/>
        <v>2026-02</v>
      </c>
    </row>
    <row r="1875" spans="1:16" ht="18.95" customHeight="1">
      <c r="A1875" s="7" t="s">
        <v>4842</v>
      </c>
      <c r="B1875" s="7" t="s">
        <v>4843</v>
      </c>
      <c r="C1875" s="7" t="s">
        <v>302</v>
      </c>
      <c r="D1875" s="7" t="s">
        <v>103</v>
      </c>
      <c r="E1875" s="7" t="s">
        <v>48</v>
      </c>
      <c r="F1875" s="7" t="s">
        <v>98</v>
      </c>
      <c r="G1875" s="7" t="s">
        <v>4844</v>
      </c>
      <c r="I1875" s="1">
        <f t="shared" si="145"/>
        <v>1</v>
      </c>
      <c r="J1875" s="1" t="str">
        <f>'Source build'!A1875</f>
        <v>L01869</v>
      </c>
      <c r="K1875" s="1">
        <f>1875</f>
        <v>1875</v>
      </c>
      <c r="L1875" s="10">
        <f t="shared" si="146"/>
        <v>19230</v>
      </c>
      <c r="M1875" s="1">
        <f t="shared" si="147"/>
        <v>1</v>
      </c>
      <c r="N1875" s="1">
        <f t="shared" si="148"/>
        <v>1</v>
      </c>
      <c r="O1875" s="1" t="str">
        <f>IF(I1875=0,"UNUSED",IF(A1875="","MISSING ID",IF(K1875=0,"UNEXPECTED ID",IF(N1875&lt;&gt;1,"ID / ORDER DIFFERENCE",IF('Source build'!U1875&lt;&gt;"INCLUDED","EXCLUDED SOURCE",IF(NOT(M1875),"INVALID AMOUNT",IF('Source build'!Y1875&lt;&gt;0,"CHANGED FIELDS","MATCH")))))))</f>
        <v>MATCH</v>
      </c>
      <c r="P1875" s="1" t="str">
        <f t="shared" si="149"/>
        <v>2026-02</v>
      </c>
    </row>
    <row r="1876" spans="1:16" ht="18.95" customHeight="1">
      <c r="A1876" s="7" t="s">
        <v>4845</v>
      </c>
      <c r="B1876" s="7" t="s">
        <v>4843</v>
      </c>
      <c r="C1876" s="7" t="s">
        <v>302</v>
      </c>
      <c r="D1876" s="7" t="s">
        <v>93</v>
      </c>
      <c r="E1876" s="7" t="s">
        <v>46</v>
      </c>
      <c r="F1876" s="7" t="s">
        <v>98</v>
      </c>
      <c r="G1876" s="7" t="s">
        <v>4846</v>
      </c>
      <c r="I1876" s="1">
        <f t="shared" si="145"/>
        <v>1</v>
      </c>
      <c r="J1876" s="1" t="str">
        <f>'Source build'!A1876</f>
        <v>L01870</v>
      </c>
      <c r="K1876" s="1">
        <f>1876</f>
        <v>1876</v>
      </c>
      <c r="L1876" s="10">
        <f t="shared" si="146"/>
        <v>38608</v>
      </c>
      <c r="M1876" s="1">
        <f t="shared" si="147"/>
        <v>1</v>
      </c>
      <c r="N1876" s="1">
        <f t="shared" si="148"/>
        <v>1</v>
      </c>
      <c r="O1876" s="1" t="str">
        <f>IF(I1876=0,"UNUSED",IF(A1876="","MISSING ID",IF(K1876=0,"UNEXPECTED ID",IF(N1876&lt;&gt;1,"ID / ORDER DIFFERENCE",IF('Source build'!U1876&lt;&gt;"INCLUDED","EXCLUDED SOURCE",IF(NOT(M1876),"INVALID AMOUNT",IF('Source build'!Y1876&lt;&gt;0,"CHANGED FIELDS","MATCH")))))))</f>
        <v>MATCH</v>
      </c>
      <c r="P1876" s="1" t="str">
        <f t="shared" si="149"/>
        <v>2026-02</v>
      </c>
    </row>
    <row r="1877" spans="1:16" ht="18.95" customHeight="1">
      <c r="A1877" s="7" t="s">
        <v>4847</v>
      </c>
      <c r="B1877" s="7" t="s">
        <v>4848</v>
      </c>
      <c r="C1877" s="7" t="s">
        <v>308</v>
      </c>
      <c r="D1877" s="7" t="s">
        <v>97</v>
      </c>
      <c r="E1877" s="7" t="s">
        <v>47</v>
      </c>
      <c r="F1877" s="7" t="s">
        <v>98</v>
      </c>
      <c r="G1877" s="7" t="s">
        <v>4849</v>
      </c>
      <c r="I1877" s="1">
        <f t="shared" si="145"/>
        <v>1</v>
      </c>
      <c r="J1877" s="1" t="str">
        <f>'Source build'!A1877</f>
        <v>L01871</v>
      </c>
      <c r="K1877" s="1">
        <f>1877</f>
        <v>1877</v>
      </c>
      <c r="L1877" s="10">
        <f t="shared" si="146"/>
        <v>9689</v>
      </c>
      <c r="M1877" s="1">
        <f t="shared" si="147"/>
        <v>1</v>
      </c>
      <c r="N1877" s="1">
        <f t="shared" si="148"/>
        <v>1</v>
      </c>
      <c r="O1877" s="1" t="str">
        <f>IF(I1877=0,"UNUSED",IF(A1877="","MISSING ID",IF(K1877=0,"UNEXPECTED ID",IF(N1877&lt;&gt;1,"ID / ORDER DIFFERENCE",IF('Source build'!U1877&lt;&gt;"INCLUDED","EXCLUDED SOURCE",IF(NOT(M1877),"INVALID AMOUNT",IF('Source build'!Y1877&lt;&gt;0,"CHANGED FIELDS","MATCH")))))))</f>
        <v>MATCH</v>
      </c>
      <c r="P1877" s="1" t="str">
        <f t="shared" si="149"/>
        <v>2026-03</v>
      </c>
    </row>
    <row r="1878" spans="1:16" ht="18.95" customHeight="1">
      <c r="A1878" s="7" t="s">
        <v>4850</v>
      </c>
      <c r="B1878" s="7" t="s">
        <v>4848</v>
      </c>
      <c r="C1878" s="7" t="s">
        <v>308</v>
      </c>
      <c r="D1878" s="7" t="s">
        <v>103</v>
      </c>
      <c r="E1878" s="7" t="s">
        <v>48</v>
      </c>
      <c r="F1878" s="7" t="s">
        <v>98</v>
      </c>
      <c r="G1878" s="7" t="s">
        <v>4851</v>
      </c>
      <c r="I1878" s="1">
        <f t="shared" si="145"/>
        <v>1</v>
      </c>
      <c r="J1878" s="1" t="str">
        <f>'Source build'!A1878</f>
        <v>L01872</v>
      </c>
      <c r="K1878" s="1">
        <f>1878</f>
        <v>1878</v>
      </c>
      <c r="L1878" s="10">
        <f t="shared" si="146"/>
        <v>29178</v>
      </c>
      <c r="M1878" s="1">
        <f t="shared" si="147"/>
        <v>1</v>
      </c>
      <c r="N1878" s="1">
        <f t="shared" si="148"/>
        <v>1</v>
      </c>
      <c r="O1878" s="1" t="str">
        <f>IF(I1878=0,"UNUSED",IF(A1878="","MISSING ID",IF(K1878=0,"UNEXPECTED ID",IF(N1878&lt;&gt;1,"ID / ORDER DIFFERENCE",IF('Source build'!U1878&lt;&gt;"INCLUDED","EXCLUDED SOURCE",IF(NOT(M1878),"INVALID AMOUNT",IF('Source build'!Y1878&lt;&gt;0,"CHANGED FIELDS","MATCH")))))))</f>
        <v>MATCH</v>
      </c>
      <c r="P1878" s="1" t="str">
        <f t="shared" si="149"/>
        <v>2026-03</v>
      </c>
    </row>
    <row r="1879" spans="1:16" ht="18.95" customHeight="1">
      <c r="A1879" s="7" t="s">
        <v>4852</v>
      </c>
      <c r="B1879" s="7" t="s">
        <v>4853</v>
      </c>
      <c r="C1879" s="7" t="s">
        <v>314</v>
      </c>
      <c r="D1879" s="7" t="s">
        <v>93</v>
      </c>
      <c r="E1879" s="7" t="s">
        <v>46</v>
      </c>
      <c r="F1879" s="7" t="s">
        <v>98</v>
      </c>
      <c r="G1879" s="7" t="s">
        <v>4854</v>
      </c>
      <c r="I1879" s="1">
        <f t="shared" si="145"/>
        <v>1</v>
      </c>
      <c r="J1879" s="1" t="str">
        <f>'Source build'!A1879</f>
        <v>L01873</v>
      </c>
      <c r="K1879" s="1">
        <f>1879</f>
        <v>1879</v>
      </c>
      <c r="L1879" s="10">
        <f t="shared" si="146"/>
        <v>48815</v>
      </c>
      <c r="M1879" s="1">
        <f t="shared" si="147"/>
        <v>1</v>
      </c>
      <c r="N1879" s="1">
        <f t="shared" si="148"/>
        <v>1</v>
      </c>
      <c r="O1879" s="1" t="str">
        <f>IF(I1879=0,"UNUSED",IF(A1879="","MISSING ID",IF(K1879=0,"UNEXPECTED ID",IF(N1879&lt;&gt;1,"ID / ORDER DIFFERENCE",IF('Source build'!U1879&lt;&gt;"INCLUDED","EXCLUDED SOURCE",IF(NOT(M1879),"INVALID AMOUNT",IF('Source build'!Y1879&lt;&gt;0,"CHANGED FIELDS","MATCH")))))))</f>
        <v>MATCH</v>
      </c>
      <c r="P1879" s="1" t="str">
        <f t="shared" si="149"/>
        <v>2026-03</v>
      </c>
    </row>
    <row r="1880" spans="1:16" ht="18.95" customHeight="1">
      <c r="A1880" s="7" t="s">
        <v>4855</v>
      </c>
      <c r="B1880" s="7" t="s">
        <v>4853</v>
      </c>
      <c r="C1880" s="7" t="s">
        <v>314</v>
      </c>
      <c r="D1880" s="7" t="s">
        <v>97</v>
      </c>
      <c r="E1880" s="7" t="s">
        <v>47</v>
      </c>
      <c r="F1880" s="7" t="s">
        <v>98</v>
      </c>
      <c r="G1880" s="7" t="s">
        <v>4856</v>
      </c>
      <c r="I1880" s="1">
        <f t="shared" si="145"/>
        <v>1</v>
      </c>
      <c r="J1880" s="1" t="str">
        <f>'Source build'!A1880</f>
        <v>L01874</v>
      </c>
      <c r="K1880" s="1">
        <f>1880</f>
        <v>1880</v>
      </c>
      <c r="L1880" s="10">
        <f t="shared" si="146"/>
        <v>19600</v>
      </c>
      <c r="M1880" s="1">
        <f t="shared" si="147"/>
        <v>1</v>
      </c>
      <c r="N1880" s="1">
        <f t="shared" si="148"/>
        <v>1</v>
      </c>
      <c r="O1880" s="1" t="str">
        <f>IF(I1880=0,"UNUSED",IF(A1880="","MISSING ID",IF(K1880=0,"UNEXPECTED ID",IF(N1880&lt;&gt;1,"ID / ORDER DIFFERENCE",IF('Source build'!U1880&lt;&gt;"INCLUDED","EXCLUDED SOURCE",IF(NOT(M1880),"INVALID AMOUNT",IF('Source build'!Y1880&lt;&gt;0,"CHANGED FIELDS","MATCH")))))))</f>
        <v>MATCH</v>
      </c>
      <c r="P1880" s="1" t="str">
        <f t="shared" si="149"/>
        <v>2026-03</v>
      </c>
    </row>
    <row r="1881" spans="1:16" ht="18.95" customHeight="1">
      <c r="A1881" s="7" t="s">
        <v>4857</v>
      </c>
      <c r="B1881" s="7" t="s">
        <v>4858</v>
      </c>
      <c r="C1881" s="7" t="s">
        <v>320</v>
      </c>
      <c r="D1881" s="7" t="s">
        <v>103</v>
      </c>
      <c r="E1881" s="7" t="s">
        <v>48</v>
      </c>
      <c r="F1881" s="7" t="s">
        <v>98</v>
      </c>
      <c r="G1881" s="7" t="s">
        <v>4859</v>
      </c>
      <c r="I1881" s="1">
        <f t="shared" si="145"/>
        <v>1</v>
      </c>
      <c r="J1881" s="1" t="str">
        <f>'Source build'!A1881</f>
        <v>L01875</v>
      </c>
      <c r="K1881" s="1">
        <f>1881</f>
        <v>1881</v>
      </c>
      <c r="L1881" s="10">
        <f t="shared" si="146"/>
        <v>39348</v>
      </c>
      <c r="M1881" s="1">
        <f t="shared" si="147"/>
        <v>1</v>
      </c>
      <c r="N1881" s="1">
        <f t="shared" si="148"/>
        <v>1</v>
      </c>
      <c r="O1881" s="1" t="str">
        <f>IF(I1881=0,"UNUSED",IF(A1881="","MISSING ID",IF(K1881=0,"UNEXPECTED ID",IF(N1881&lt;&gt;1,"ID / ORDER DIFFERENCE",IF('Source build'!U1881&lt;&gt;"INCLUDED","EXCLUDED SOURCE",IF(NOT(M1881),"INVALID AMOUNT",IF('Source build'!Y1881&lt;&gt;0,"CHANGED FIELDS","MATCH")))))))</f>
        <v>MATCH</v>
      </c>
      <c r="P1881" s="1" t="str">
        <f t="shared" si="149"/>
        <v>2026-03</v>
      </c>
    </row>
    <row r="1882" spans="1:16" ht="18.95" customHeight="1">
      <c r="A1882" s="7" t="s">
        <v>4860</v>
      </c>
      <c r="B1882" s="7" t="s">
        <v>4858</v>
      </c>
      <c r="C1882" s="7" t="s">
        <v>320</v>
      </c>
      <c r="D1882" s="7" t="s">
        <v>93</v>
      </c>
      <c r="E1882" s="7" t="s">
        <v>46</v>
      </c>
      <c r="F1882" s="7" t="s">
        <v>98</v>
      </c>
      <c r="G1882" s="7" t="s">
        <v>4861</v>
      </c>
      <c r="I1882" s="1">
        <f t="shared" si="145"/>
        <v>1</v>
      </c>
      <c r="J1882" s="1" t="str">
        <f>'Source build'!A1882</f>
        <v>L01876</v>
      </c>
      <c r="K1882" s="1">
        <f>1882</f>
        <v>1882</v>
      </c>
      <c r="L1882" s="10">
        <f t="shared" si="146"/>
        <v>9874</v>
      </c>
      <c r="M1882" s="1">
        <f t="shared" si="147"/>
        <v>1</v>
      </c>
      <c r="N1882" s="1">
        <f t="shared" si="148"/>
        <v>1</v>
      </c>
      <c r="O1882" s="1" t="str">
        <f>IF(I1882=0,"UNUSED",IF(A1882="","MISSING ID",IF(K1882=0,"UNEXPECTED ID",IF(N1882&lt;&gt;1,"ID / ORDER DIFFERENCE",IF('Source build'!U1882&lt;&gt;"INCLUDED","EXCLUDED SOURCE",IF(NOT(M1882),"INVALID AMOUNT",IF('Source build'!Y1882&lt;&gt;0,"CHANGED FIELDS","MATCH")))))))</f>
        <v>MATCH</v>
      </c>
      <c r="P1882" s="1" t="str">
        <f t="shared" si="149"/>
        <v>2026-03</v>
      </c>
    </row>
    <row r="1883" spans="1:16" ht="18.95" customHeight="1">
      <c r="A1883" s="7" t="s">
        <v>4862</v>
      </c>
      <c r="B1883" s="7" t="s">
        <v>4863</v>
      </c>
      <c r="C1883" s="7" t="s">
        <v>326</v>
      </c>
      <c r="D1883" s="7" t="s">
        <v>97</v>
      </c>
      <c r="E1883" s="7" t="s">
        <v>47</v>
      </c>
      <c r="F1883" s="7" t="s">
        <v>98</v>
      </c>
      <c r="G1883" s="7" t="s">
        <v>4864</v>
      </c>
      <c r="I1883" s="1">
        <f t="shared" si="145"/>
        <v>1</v>
      </c>
      <c r="J1883" s="1" t="str">
        <f>'Source build'!A1883</f>
        <v>L01877</v>
      </c>
      <c r="K1883" s="1">
        <f>1883</f>
        <v>1883</v>
      </c>
      <c r="L1883" s="10">
        <f t="shared" si="146"/>
        <v>29733</v>
      </c>
      <c r="M1883" s="1">
        <f t="shared" si="147"/>
        <v>1</v>
      </c>
      <c r="N1883" s="1">
        <f t="shared" si="148"/>
        <v>1</v>
      </c>
      <c r="O1883" s="1" t="str">
        <f>IF(I1883=0,"UNUSED",IF(A1883="","MISSING ID",IF(K1883=0,"UNEXPECTED ID",IF(N1883&lt;&gt;1,"ID / ORDER DIFFERENCE",IF('Source build'!U1883&lt;&gt;"INCLUDED","EXCLUDED SOURCE",IF(NOT(M1883),"INVALID AMOUNT",IF('Source build'!Y1883&lt;&gt;0,"CHANGED FIELDS","MATCH")))))))</f>
        <v>MATCH</v>
      </c>
      <c r="P1883" s="1" t="str">
        <f t="shared" si="149"/>
        <v>2026-03</v>
      </c>
    </row>
    <row r="1884" spans="1:16" ht="18.95" customHeight="1">
      <c r="A1884" s="7" t="s">
        <v>4865</v>
      </c>
      <c r="B1884" s="7" t="s">
        <v>4863</v>
      </c>
      <c r="C1884" s="7" t="s">
        <v>326</v>
      </c>
      <c r="D1884" s="7" t="s">
        <v>103</v>
      </c>
      <c r="E1884" s="7" t="s">
        <v>48</v>
      </c>
      <c r="F1884" s="7" t="s">
        <v>98</v>
      </c>
      <c r="G1884" s="7" t="s">
        <v>4866</v>
      </c>
      <c r="I1884" s="1">
        <f t="shared" si="145"/>
        <v>1</v>
      </c>
      <c r="J1884" s="1" t="str">
        <f>'Source build'!A1884</f>
        <v>L01878</v>
      </c>
      <c r="K1884" s="1">
        <f>1884</f>
        <v>1884</v>
      </c>
      <c r="L1884" s="10">
        <f t="shared" si="146"/>
        <v>49740</v>
      </c>
      <c r="M1884" s="1">
        <f t="shared" si="147"/>
        <v>1</v>
      </c>
      <c r="N1884" s="1">
        <f t="shared" si="148"/>
        <v>1</v>
      </c>
      <c r="O1884" s="1" t="str">
        <f>IF(I1884=0,"UNUSED",IF(A1884="","MISSING ID",IF(K1884=0,"UNEXPECTED ID",IF(N1884&lt;&gt;1,"ID / ORDER DIFFERENCE",IF('Source build'!U1884&lt;&gt;"INCLUDED","EXCLUDED SOURCE",IF(NOT(M1884),"INVALID AMOUNT",IF('Source build'!Y1884&lt;&gt;0,"CHANGED FIELDS","MATCH")))))))</f>
        <v>MATCH</v>
      </c>
      <c r="P1884" s="1" t="str">
        <f t="shared" si="149"/>
        <v>2026-03</v>
      </c>
    </row>
    <row r="1885" spans="1:16" ht="18.95" customHeight="1">
      <c r="A1885" s="7" t="s">
        <v>4867</v>
      </c>
      <c r="B1885" s="7" t="s">
        <v>4868</v>
      </c>
      <c r="C1885" s="7" t="s">
        <v>332</v>
      </c>
      <c r="D1885" s="7" t="s">
        <v>93</v>
      </c>
      <c r="E1885" s="7" t="s">
        <v>46</v>
      </c>
      <c r="F1885" s="7" t="s">
        <v>98</v>
      </c>
      <c r="G1885" s="7" t="s">
        <v>4869</v>
      </c>
      <c r="I1885" s="1">
        <f t="shared" si="145"/>
        <v>1</v>
      </c>
      <c r="J1885" s="1" t="str">
        <f>'Source build'!A1885</f>
        <v>L01879</v>
      </c>
      <c r="K1885" s="1">
        <f>1885</f>
        <v>1885</v>
      </c>
      <c r="L1885" s="10">
        <f t="shared" si="146"/>
        <v>19970</v>
      </c>
      <c r="M1885" s="1">
        <f t="shared" si="147"/>
        <v>1</v>
      </c>
      <c r="N1885" s="1">
        <f t="shared" si="148"/>
        <v>1</v>
      </c>
      <c r="O1885" s="1" t="str">
        <f>IF(I1885=0,"UNUSED",IF(A1885="","MISSING ID",IF(K1885=0,"UNEXPECTED ID",IF(N1885&lt;&gt;1,"ID / ORDER DIFFERENCE",IF('Source build'!U1885&lt;&gt;"INCLUDED","EXCLUDED SOURCE",IF(NOT(M1885),"INVALID AMOUNT",IF('Source build'!Y1885&lt;&gt;0,"CHANGED FIELDS","MATCH")))))))</f>
        <v>MATCH</v>
      </c>
      <c r="P1885" s="1" t="str">
        <f t="shared" si="149"/>
        <v>2026-01</v>
      </c>
    </row>
    <row r="1886" spans="1:16" ht="18.95" customHeight="1">
      <c r="A1886" s="7" t="s">
        <v>4870</v>
      </c>
      <c r="B1886" s="7" t="s">
        <v>4868</v>
      </c>
      <c r="C1886" s="7" t="s">
        <v>332</v>
      </c>
      <c r="D1886" s="7" t="s">
        <v>97</v>
      </c>
      <c r="E1886" s="7" t="s">
        <v>47</v>
      </c>
      <c r="F1886" s="7" t="s">
        <v>98</v>
      </c>
      <c r="G1886" s="7" t="s">
        <v>4871</v>
      </c>
      <c r="I1886" s="1">
        <f t="shared" si="145"/>
        <v>1</v>
      </c>
      <c r="J1886" s="1" t="str">
        <f>'Source build'!A1886</f>
        <v>L01880</v>
      </c>
      <c r="K1886" s="1">
        <f>1886</f>
        <v>1886</v>
      </c>
      <c r="L1886" s="10">
        <f t="shared" si="146"/>
        <v>40088</v>
      </c>
      <c r="M1886" s="1">
        <f t="shared" si="147"/>
        <v>1</v>
      </c>
      <c r="N1886" s="1">
        <f t="shared" si="148"/>
        <v>1</v>
      </c>
      <c r="O1886" s="1" t="str">
        <f>IF(I1886=0,"UNUSED",IF(A1886="","MISSING ID",IF(K1886=0,"UNEXPECTED ID",IF(N1886&lt;&gt;1,"ID / ORDER DIFFERENCE",IF('Source build'!U1886&lt;&gt;"INCLUDED","EXCLUDED SOURCE",IF(NOT(M1886),"INVALID AMOUNT",IF('Source build'!Y1886&lt;&gt;0,"CHANGED FIELDS","MATCH")))))))</f>
        <v>MATCH</v>
      </c>
      <c r="P1886" s="1" t="str">
        <f t="shared" si="149"/>
        <v>2026-01</v>
      </c>
    </row>
    <row r="1887" spans="1:16" ht="18.95" customHeight="1">
      <c r="A1887" s="7" t="s">
        <v>4872</v>
      </c>
      <c r="B1887" s="7" t="s">
        <v>4873</v>
      </c>
      <c r="C1887" s="7" t="s">
        <v>338</v>
      </c>
      <c r="D1887" s="7" t="s">
        <v>103</v>
      </c>
      <c r="E1887" s="7" t="s">
        <v>48</v>
      </c>
      <c r="F1887" s="7" t="s">
        <v>98</v>
      </c>
      <c r="G1887" s="7" t="s">
        <v>4874</v>
      </c>
      <c r="I1887" s="1">
        <f t="shared" si="145"/>
        <v>1</v>
      </c>
      <c r="J1887" s="1" t="str">
        <f>'Source build'!A1887</f>
        <v>L01881</v>
      </c>
      <c r="K1887" s="1">
        <f>1887</f>
        <v>1887</v>
      </c>
      <c r="L1887" s="10">
        <f t="shared" si="146"/>
        <v>10059</v>
      </c>
      <c r="M1887" s="1">
        <f t="shared" si="147"/>
        <v>1</v>
      </c>
      <c r="N1887" s="1">
        <f t="shared" si="148"/>
        <v>1</v>
      </c>
      <c r="O1887" s="1" t="str">
        <f>IF(I1887=0,"UNUSED",IF(A1887="","MISSING ID",IF(K1887=0,"UNEXPECTED ID",IF(N1887&lt;&gt;1,"ID / ORDER DIFFERENCE",IF('Source build'!U1887&lt;&gt;"INCLUDED","EXCLUDED SOURCE",IF(NOT(M1887),"INVALID AMOUNT",IF('Source build'!Y1887&lt;&gt;0,"CHANGED FIELDS","MATCH")))))))</f>
        <v>MATCH</v>
      </c>
      <c r="P1887" s="1" t="str">
        <f t="shared" si="149"/>
        <v>2026-01</v>
      </c>
    </row>
    <row r="1888" spans="1:16" ht="18.95" customHeight="1">
      <c r="A1888" s="7" t="s">
        <v>4875</v>
      </c>
      <c r="B1888" s="7" t="s">
        <v>4873</v>
      </c>
      <c r="C1888" s="7" t="s">
        <v>338</v>
      </c>
      <c r="D1888" s="7" t="s">
        <v>93</v>
      </c>
      <c r="E1888" s="7" t="s">
        <v>46</v>
      </c>
      <c r="F1888" s="7" t="s">
        <v>98</v>
      </c>
      <c r="G1888" s="7" t="s">
        <v>4876</v>
      </c>
      <c r="I1888" s="1">
        <f t="shared" si="145"/>
        <v>1</v>
      </c>
      <c r="J1888" s="1" t="str">
        <f>'Source build'!A1888</f>
        <v>L01882</v>
      </c>
      <c r="K1888" s="1">
        <f>1888</f>
        <v>1888</v>
      </c>
      <c r="L1888" s="10">
        <f t="shared" si="146"/>
        <v>30288</v>
      </c>
      <c r="M1888" s="1">
        <f t="shared" si="147"/>
        <v>1</v>
      </c>
      <c r="N1888" s="1">
        <f t="shared" si="148"/>
        <v>1</v>
      </c>
      <c r="O1888" s="1" t="str">
        <f>IF(I1888=0,"UNUSED",IF(A1888="","MISSING ID",IF(K1888=0,"UNEXPECTED ID",IF(N1888&lt;&gt;1,"ID / ORDER DIFFERENCE",IF('Source build'!U1888&lt;&gt;"INCLUDED","EXCLUDED SOURCE",IF(NOT(M1888),"INVALID AMOUNT",IF('Source build'!Y1888&lt;&gt;0,"CHANGED FIELDS","MATCH")))))))</f>
        <v>MATCH</v>
      </c>
      <c r="P1888" s="1" t="str">
        <f t="shared" si="149"/>
        <v>2026-01</v>
      </c>
    </row>
    <row r="1889" spans="1:16" ht="18.95" customHeight="1">
      <c r="A1889" s="7" t="s">
        <v>4877</v>
      </c>
      <c r="B1889" s="7" t="s">
        <v>4878</v>
      </c>
      <c r="C1889" s="7" t="s">
        <v>344</v>
      </c>
      <c r="D1889" s="7" t="s">
        <v>97</v>
      </c>
      <c r="E1889" s="7" t="s">
        <v>47</v>
      </c>
      <c r="F1889" s="7" t="s">
        <v>98</v>
      </c>
      <c r="G1889" s="7" t="s">
        <v>4879</v>
      </c>
      <c r="I1889" s="1">
        <f t="shared" si="145"/>
        <v>1</v>
      </c>
      <c r="J1889" s="1" t="str">
        <f>'Source build'!A1889</f>
        <v>L01883</v>
      </c>
      <c r="K1889" s="1">
        <f>1889</f>
        <v>1889</v>
      </c>
      <c r="L1889" s="10">
        <f t="shared" si="146"/>
        <v>50665</v>
      </c>
      <c r="M1889" s="1">
        <f t="shared" si="147"/>
        <v>1</v>
      </c>
      <c r="N1889" s="1">
        <f t="shared" si="148"/>
        <v>1</v>
      </c>
      <c r="O1889" s="1" t="str">
        <f>IF(I1889=0,"UNUSED",IF(A1889="","MISSING ID",IF(K1889=0,"UNEXPECTED ID",IF(N1889&lt;&gt;1,"ID / ORDER DIFFERENCE",IF('Source build'!U1889&lt;&gt;"INCLUDED","EXCLUDED SOURCE",IF(NOT(M1889),"INVALID AMOUNT",IF('Source build'!Y1889&lt;&gt;0,"CHANGED FIELDS","MATCH")))))))</f>
        <v>MATCH</v>
      </c>
      <c r="P1889" s="1" t="str">
        <f t="shared" si="149"/>
        <v>2026-01</v>
      </c>
    </row>
    <row r="1890" spans="1:16" ht="18.95" customHeight="1">
      <c r="A1890" s="7" t="s">
        <v>4880</v>
      </c>
      <c r="B1890" s="7" t="s">
        <v>4878</v>
      </c>
      <c r="C1890" s="7" t="s">
        <v>344</v>
      </c>
      <c r="D1890" s="7" t="s">
        <v>103</v>
      </c>
      <c r="E1890" s="7" t="s">
        <v>48</v>
      </c>
      <c r="F1890" s="7" t="s">
        <v>98</v>
      </c>
      <c r="G1890" s="7" t="s">
        <v>4881</v>
      </c>
      <c r="I1890" s="1">
        <f t="shared" si="145"/>
        <v>1</v>
      </c>
      <c r="J1890" s="1" t="str">
        <f>'Source build'!A1890</f>
        <v>L01884</v>
      </c>
      <c r="K1890" s="1">
        <f>1890</f>
        <v>1890</v>
      </c>
      <c r="L1890" s="10">
        <f t="shared" si="146"/>
        <v>20340</v>
      </c>
      <c r="M1890" s="1">
        <f t="shared" si="147"/>
        <v>1</v>
      </c>
      <c r="N1890" s="1">
        <f t="shared" si="148"/>
        <v>1</v>
      </c>
      <c r="O1890" s="1" t="str">
        <f>IF(I1890=0,"UNUSED",IF(A1890="","MISSING ID",IF(K1890=0,"UNEXPECTED ID",IF(N1890&lt;&gt;1,"ID / ORDER DIFFERENCE",IF('Source build'!U1890&lt;&gt;"INCLUDED","EXCLUDED SOURCE",IF(NOT(M1890),"INVALID AMOUNT",IF('Source build'!Y1890&lt;&gt;0,"CHANGED FIELDS","MATCH")))))))</f>
        <v>MATCH</v>
      </c>
      <c r="P1890" s="1" t="str">
        <f t="shared" si="149"/>
        <v>2026-01</v>
      </c>
    </row>
    <row r="1891" spans="1:16" ht="18.95" customHeight="1">
      <c r="A1891" s="7" t="s">
        <v>4882</v>
      </c>
      <c r="B1891" s="7" t="s">
        <v>4883</v>
      </c>
      <c r="C1891" s="7" t="s">
        <v>350</v>
      </c>
      <c r="D1891" s="7" t="s">
        <v>93</v>
      </c>
      <c r="E1891" s="7" t="s">
        <v>46</v>
      </c>
      <c r="F1891" s="7" t="s">
        <v>98</v>
      </c>
      <c r="G1891" s="7" t="s">
        <v>4884</v>
      </c>
      <c r="I1891" s="1">
        <f t="shared" si="145"/>
        <v>1</v>
      </c>
      <c r="J1891" s="1" t="str">
        <f>'Source build'!A1891</f>
        <v>L01885</v>
      </c>
      <c r="K1891" s="1">
        <f>1891</f>
        <v>1891</v>
      </c>
      <c r="L1891" s="10">
        <f t="shared" si="146"/>
        <v>40828</v>
      </c>
      <c r="M1891" s="1">
        <f t="shared" si="147"/>
        <v>1</v>
      </c>
      <c r="N1891" s="1">
        <f t="shared" si="148"/>
        <v>1</v>
      </c>
      <c r="O1891" s="1" t="str">
        <f>IF(I1891=0,"UNUSED",IF(A1891="","MISSING ID",IF(K1891=0,"UNEXPECTED ID",IF(N1891&lt;&gt;1,"ID / ORDER DIFFERENCE",IF('Source build'!U1891&lt;&gt;"INCLUDED","EXCLUDED SOURCE",IF(NOT(M1891),"INVALID AMOUNT",IF('Source build'!Y1891&lt;&gt;0,"CHANGED FIELDS","MATCH")))))))</f>
        <v>MATCH</v>
      </c>
      <c r="P1891" s="1" t="str">
        <f t="shared" si="149"/>
        <v>2026-01</v>
      </c>
    </row>
    <row r="1892" spans="1:16" ht="18.95" customHeight="1">
      <c r="A1892" s="7" t="s">
        <v>4885</v>
      </c>
      <c r="B1892" s="7" t="s">
        <v>4883</v>
      </c>
      <c r="C1892" s="7" t="s">
        <v>350</v>
      </c>
      <c r="D1892" s="7" t="s">
        <v>97</v>
      </c>
      <c r="E1892" s="7" t="s">
        <v>47</v>
      </c>
      <c r="F1892" s="7" t="s">
        <v>98</v>
      </c>
      <c r="G1892" s="7" t="s">
        <v>4886</v>
      </c>
      <c r="I1892" s="1">
        <f t="shared" si="145"/>
        <v>1</v>
      </c>
      <c r="J1892" s="1" t="str">
        <f>'Source build'!A1892</f>
        <v>L01886</v>
      </c>
      <c r="K1892" s="1">
        <f>1892</f>
        <v>1892</v>
      </c>
      <c r="L1892" s="10">
        <f t="shared" si="146"/>
        <v>10244</v>
      </c>
      <c r="M1892" s="1">
        <f t="shared" si="147"/>
        <v>1</v>
      </c>
      <c r="N1892" s="1">
        <f t="shared" si="148"/>
        <v>1</v>
      </c>
      <c r="O1892" s="1" t="str">
        <f>IF(I1892=0,"UNUSED",IF(A1892="","MISSING ID",IF(K1892=0,"UNEXPECTED ID",IF(N1892&lt;&gt;1,"ID / ORDER DIFFERENCE",IF('Source build'!U1892&lt;&gt;"INCLUDED","EXCLUDED SOURCE",IF(NOT(M1892),"INVALID AMOUNT",IF('Source build'!Y1892&lt;&gt;0,"CHANGED FIELDS","MATCH")))))))</f>
        <v>MATCH</v>
      </c>
      <c r="P1892" s="1" t="str">
        <f t="shared" si="149"/>
        <v>2026-01</v>
      </c>
    </row>
    <row r="1893" spans="1:16" ht="18.95" customHeight="1">
      <c r="A1893" s="7" t="s">
        <v>4887</v>
      </c>
      <c r="B1893" s="7" t="s">
        <v>4888</v>
      </c>
      <c r="C1893" s="7" t="s">
        <v>356</v>
      </c>
      <c r="D1893" s="7" t="s">
        <v>103</v>
      </c>
      <c r="E1893" s="7" t="s">
        <v>48</v>
      </c>
      <c r="F1893" s="7" t="s">
        <v>94</v>
      </c>
      <c r="G1893" s="7" t="s">
        <v>4889</v>
      </c>
      <c r="I1893" s="1">
        <f t="shared" si="145"/>
        <v>1</v>
      </c>
      <c r="J1893" s="1" t="str">
        <f>'Source build'!A1893</f>
        <v>L01887</v>
      </c>
      <c r="K1893" s="1">
        <f>1893</f>
        <v>1893</v>
      </c>
      <c r="L1893" s="10">
        <f t="shared" si="146"/>
        <v>-30843</v>
      </c>
      <c r="M1893" s="1">
        <f t="shared" si="147"/>
        <v>1</v>
      </c>
      <c r="N1893" s="1">
        <f t="shared" si="148"/>
        <v>1</v>
      </c>
      <c r="O1893" s="1" t="str">
        <f>IF(I1893=0,"UNUSED",IF(A1893="","MISSING ID",IF(K1893=0,"UNEXPECTED ID",IF(N1893&lt;&gt;1,"ID / ORDER DIFFERENCE",IF('Source build'!U1893&lt;&gt;"INCLUDED","EXCLUDED SOURCE",IF(NOT(M1893),"INVALID AMOUNT",IF('Source build'!Y1893&lt;&gt;0,"CHANGED FIELDS","MATCH")))))))</f>
        <v>MATCH</v>
      </c>
      <c r="P1893" s="1" t="str">
        <f t="shared" si="149"/>
        <v>2026-02</v>
      </c>
    </row>
    <row r="1894" spans="1:16" ht="18.95" customHeight="1">
      <c r="A1894" s="7" t="s">
        <v>4890</v>
      </c>
      <c r="B1894" s="7" t="s">
        <v>4888</v>
      </c>
      <c r="C1894" s="7" t="s">
        <v>356</v>
      </c>
      <c r="D1894" s="7" t="s">
        <v>93</v>
      </c>
      <c r="E1894" s="7" t="s">
        <v>46</v>
      </c>
      <c r="F1894" s="7" t="s">
        <v>98</v>
      </c>
      <c r="G1894" s="7" t="s">
        <v>4891</v>
      </c>
      <c r="I1894" s="1">
        <f t="shared" si="145"/>
        <v>1</v>
      </c>
      <c r="J1894" s="1" t="str">
        <f>'Source build'!A1894</f>
        <v>L01888</v>
      </c>
      <c r="K1894" s="1">
        <f>1894</f>
        <v>1894</v>
      </c>
      <c r="L1894" s="10">
        <f t="shared" si="146"/>
        <v>51590</v>
      </c>
      <c r="M1894" s="1">
        <f t="shared" si="147"/>
        <v>1</v>
      </c>
      <c r="N1894" s="1">
        <f t="shared" si="148"/>
        <v>1</v>
      </c>
      <c r="O1894" s="1" t="str">
        <f>IF(I1894=0,"UNUSED",IF(A1894="","MISSING ID",IF(K1894=0,"UNEXPECTED ID",IF(N1894&lt;&gt;1,"ID / ORDER DIFFERENCE",IF('Source build'!U1894&lt;&gt;"INCLUDED","EXCLUDED SOURCE",IF(NOT(M1894),"INVALID AMOUNT",IF('Source build'!Y1894&lt;&gt;0,"CHANGED FIELDS","MATCH")))))))</f>
        <v>MATCH</v>
      </c>
      <c r="P1894" s="1" t="str">
        <f t="shared" si="149"/>
        <v>2026-02</v>
      </c>
    </row>
    <row r="1895" spans="1:16" ht="18.95" customHeight="1">
      <c r="A1895" s="7" t="s">
        <v>4892</v>
      </c>
      <c r="B1895" s="7" t="s">
        <v>4893</v>
      </c>
      <c r="C1895" s="7" t="s">
        <v>362</v>
      </c>
      <c r="D1895" s="7" t="s">
        <v>97</v>
      </c>
      <c r="E1895" s="7" t="s">
        <v>47</v>
      </c>
      <c r="F1895" s="7" t="s">
        <v>98</v>
      </c>
      <c r="G1895" s="7" t="s">
        <v>4894</v>
      </c>
      <c r="I1895" s="1">
        <f t="shared" si="145"/>
        <v>1</v>
      </c>
      <c r="J1895" s="1" t="str">
        <f>'Source build'!A1895</f>
        <v>L01889</v>
      </c>
      <c r="K1895" s="1">
        <f>1895</f>
        <v>1895</v>
      </c>
      <c r="L1895" s="10">
        <f t="shared" si="146"/>
        <v>20710</v>
      </c>
      <c r="M1895" s="1">
        <f t="shared" si="147"/>
        <v>1</v>
      </c>
      <c r="N1895" s="1">
        <f t="shared" si="148"/>
        <v>1</v>
      </c>
      <c r="O1895" s="1" t="str">
        <f>IF(I1895=0,"UNUSED",IF(A1895="","MISSING ID",IF(K1895=0,"UNEXPECTED ID",IF(N1895&lt;&gt;1,"ID / ORDER DIFFERENCE",IF('Source build'!U1895&lt;&gt;"INCLUDED","EXCLUDED SOURCE",IF(NOT(M1895),"INVALID AMOUNT",IF('Source build'!Y1895&lt;&gt;0,"CHANGED FIELDS","MATCH")))))))</f>
        <v>MATCH</v>
      </c>
      <c r="P1895" s="1" t="str">
        <f t="shared" si="149"/>
        <v>2026-02</v>
      </c>
    </row>
    <row r="1896" spans="1:16" ht="18.95" customHeight="1">
      <c r="A1896" s="7" t="s">
        <v>4895</v>
      </c>
      <c r="B1896" s="7" t="s">
        <v>4893</v>
      </c>
      <c r="C1896" s="7" t="s">
        <v>362</v>
      </c>
      <c r="D1896" s="7" t="s">
        <v>103</v>
      </c>
      <c r="E1896" s="7" t="s">
        <v>48</v>
      </c>
      <c r="F1896" s="7" t="s">
        <v>98</v>
      </c>
      <c r="G1896" s="7" t="s">
        <v>4896</v>
      </c>
      <c r="I1896" s="1">
        <f t="shared" si="145"/>
        <v>1</v>
      </c>
      <c r="J1896" s="1" t="str">
        <f>'Source build'!A1896</f>
        <v>L01890</v>
      </c>
      <c r="K1896" s="1">
        <f>1896</f>
        <v>1896</v>
      </c>
      <c r="L1896" s="10">
        <f t="shared" si="146"/>
        <v>41568</v>
      </c>
      <c r="M1896" s="1">
        <f t="shared" si="147"/>
        <v>1</v>
      </c>
      <c r="N1896" s="1">
        <f t="shared" si="148"/>
        <v>1</v>
      </c>
      <c r="O1896" s="1" t="str">
        <f>IF(I1896=0,"UNUSED",IF(A1896="","MISSING ID",IF(K1896=0,"UNEXPECTED ID",IF(N1896&lt;&gt;1,"ID / ORDER DIFFERENCE",IF('Source build'!U1896&lt;&gt;"INCLUDED","EXCLUDED SOURCE",IF(NOT(M1896),"INVALID AMOUNT",IF('Source build'!Y1896&lt;&gt;0,"CHANGED FIELDS","MATCH")))))))</f>
        <v>MATCH</v>
      </c>
      <c r="P1896" s="1" t="str">
        <f t="shared" si="149"/>
        <v>2026-02</v>
      </c>
    </row>
    <row r="1897" spans="1:16" ht="18.95" customHeight="1">
      <c r="A1897" s="7" t="s">
        <v>4897</v>
      </c>
      <c r="B1897" s="7" t="s">
        <v>4898</v>
      </c>
      <c r="C1897" s="7" t="s">
        <v>368</v>
      </c>
      <c r="D1897" s="7" t="s">
        <v>93</v>
      </c>
      <c r="E1897" s="7" t="s">
        <v>46</v>
      </c>
      <c r="F1897" s="7" t="s">
        <v>98</v>
      </c>
      <c r="G1897" s="7" t="s">
        <v>4899</v>
      </c>
      <c r="I1897" s="1">
        <f t="shared" si="145"/>
        <v>1</v>
      </c>
      <c r="J1897" s="1" t="str">
        <f>'Source build'!A1897</f>
        <v>L01891</v>
      </c>
      <c r="K1897" s="1">
        <f>1897</f>
        <v>1897</v>
      </c>
      <c r="L1897" s="10">
        <f t="shared" si="146"/>
        <v>10429</v>
      </c>
      <c r="M1897" s="1">
        <f t="shared" si="147"/>
        <v>1</v>
      </c>
      <c r="N1897" s="1">
        <f t="shared" si="148"/>
        <v>1</v>
      </c>
      <c r="O1897" s="1" t="str">
        <f>IF(I1897=0,"UNUSED",IF(A1897="","MISSING ID",IF(K1897=0,"UNEXPECTED ID",IF(N1897&lt;&gt;1,"ID / ORDER DIFFERENCE",IF('Source build'!U1897&lt;&gt;"INCLUDED","EXCLUDED SOURCE",IF(NOT(M1897),"INVALID AMOUNT",IF('Source build'!Y1897&lt;&gt;0,"CHANGED FIELDS","MATCH")))))))</f>
        <v>MATCH</v>
      </c>
      <c r="P1897" s="1" t="str">
        <f t="shared" si="149"/>
        <v>2026-02</v>
      </c>
    </row>
    <row r="1898" spans="1:16" ht="18.95" customHeight="1">
      <c r="A1898" s="7" t="s">
        <v>4900</v>
      </c>
      <c r="B1898" s="7" t="s">
        <v>4898</v>
      </c>
      <c r="C1898" s="7" t="s">
        <v>368</v>
      </c>
      <c r="D1898" s="7" t="s">
        <v>97</v>
      </c>
      <c r="E1898" s="7" t="s">
        <v>47</v>
      </c>
      <c r="F1898" s="7" t="s">
        <v>98</v>
      </c>
      <c r="G1898" s="7" t="s">
        <v>4901</v>
      </c>
      <c r="I1898" s="1">
        <f t="shared" si="145"/>
        <v>1</v>
      </c>
      <c r="J1898" s="1" t="str">
        <f>'Source build'!A1898</f>
        <v>L01892</v>
      </c>
      <c r="K1898" s="1">
        <f>1898</f>
        <v>1898</v>
      </c>
      <c r="L1898" s="10">
        <f t="shared" si="146"/>
        <v>31398</v>
      </c>
      <c r="M1898" s="1">
        <f t="shared" si="147"/>
        <v>1</v>
      </c>
      <c r="N1898" s="1">
        <f t="shared" si="148"/>
        <v>1</v>
      </c>
      <c r="O1898" s="1" t="str">
        <f>IF(I1898=0,"UNUSED",IF(A1898="","MISSING ID",IF(K1898=0,"UNEXPECTED ID",IF(N1898&lt;&gt;1,"ID / ORDER DIFFERENCE",IF('Source build'!U1898&lt;&gt;"INCLUDED","EXCLUDED SOURCE",IF(NOT(M1898),"INVALID AMOUNT",IF('Source build'!Y1898&lt;&gt;0,"CHANGED FIELDS","MATCH")))))))</f>
        <v>MATCH</v>
      </c>
      <c r="P1898" s="1" t="str">
        <f t="shared" si="149"/>
        <v>2026-02</v>
      </c>
    </row>
    <row r="1899" spans="1:16" ht="18.95" customHeight="1">
      <c r="A1899" s="7" t="s">
        <v>4902</v>
      </c>
      <c r="B1899" s="7" t="s">
        <v>4903</v>
      </c>
      <c r="C1899" s="7" t="s">
        <v>374</v>
      </c>
      <c r="D1899" s="7" t="s">
        <v>103</v>
      </c>
      <c r="E1899" s="7" t="s">
        <v>48</v>
      </c>
      <c r="F1899" s="7" t="s">
        <v>98</v>
      </c>
      <c r="G1899" s="7" t="s">
        <v>4904</v>
      </c>
      <c r="I1899" s="1">
        <f t="shared" si="145"/>
        <v>1</v>
      </c>
      <c r="J1899" s="1" t="str">
        <f>'Source build'!A1899</f>
        <v>L01893</v>
      </c>
      <c r="K1899" s="1">
        <f>1899</f>
        <v>1899</v>
      </c>
      <c r="L1899" s="10">
        <f t="shared" si="146"/>
        <v>52515</v>
      </c>
      <c r="M1899" s="1">
        <f t="shared" si="147"/>
        <v>1</v>
      </c>
      <c r="N1899" s="1">
        <f t="shared" si="148"/>
        <v>1</v>
      </c>
      <c r="O1899" s="1" t="str">
        <f>IF(I1899=0,"UNUSED",IF(A1899="","MISSING ID",IF(K1899=0,"UNEXPECTED ID",IF(N1899&lt;&gt;1,"ID / ORDER DIFFERENCE",IF('Source build'!U1899&lt;&gt;"INCLUDED","EXCLUDED SOURCE",IF(NOT(M1899),"INVALID AMOUNT",IF('Source build'!Y1899&lt;&gt;0,"CHANGED FIELDS","MATCH")))))))</f>
        <v>MATCH</v>
      </c>
      <c r="P1899" s="1" t="str">
        <f t="shared" si="149"/>
        <v>2026-02</v>
      </c>
    </row>
    <row r="1900" spans="1:16" ht="18.95" customHeight="1">
      <c r="A1900" s="7" t="s">
        <v>4905</v>
      </c>
      <c r="B1900" s="7" t="s">
        <v>4903</v>
      </c>
      <c r="C1900" s="7" t="s">
        <v>374</v>
      </c>
      <c r="D1900" s="7" t="s">
        <v>93</v>
      </c>
      <c r="E1900" s="7" t="s">
        <v>46</v>
      </c>
      <c r="F1900" s="7" t="s">
        <v>98</v>
      </c>
      <c r="G1900" s="7" t="s">
        <v>4906</v>
      </c>
      <c r="I1900" s="1">
        <f t="shared" si="145"/>
        <v>1</v>
      </c>
      <c r="J1900" s="1" t="str">
        <f>'Source build'!A1900</f>
        <v>L01894</v>
      </c>
      <c r="K1900" s="1">
        <f>1900</f>
        <v>1900</v>
      </c>
      <c r="L1900" s="10">
        <f t="shared" si="146"/>
        <v>21080</v>
      </c>
      <c r="M1900" s="1">
        <f t="shared" si="147"/>
        <v>1</v>
      </c>
      <c r="N1900" s="1">
        <f t="shared" si="148"/>
        <v>1</v>
      </c>
      <c r="O1900" s="1" t="str">
        <f>IF(I1900=0,"UNUSED",IF(A1900="","MISSING ID",IF(K1900=0,"UNEXPECTED ID",IF(N1900&lt;&gt;1,"ID / ORDER DIFFERENCE",IF('Source build'!U1900&lt;&gt;"INCLUDED","EXCLUDED SOURCE",IF(NOT(M1900),"INVALID AMOUNT",IF('Source build'!Y1900&lt;&gt;0,"CHANGED FIELDS","MATCH")))))))</f>
        <v>MATCH</v>
      </c>
      <c r="P1900" s="1" t="str">
        <f t="shared" si="149"/>
        <v>2026-02</v>
      </c>
    </row>
    <row r="1901" spans="1:16" ht="18.95" customHeight="1">
      <c r="A1901" s="7" t="s">
        <v>4907</v>
      </c>
      <c r="B1901" s="7" t="s">
        <v>4908</v>
      </c>
      <c r="C1901" s="7" t="s">
        <v>380</v>
      </c>
      <c r="D1901" s="7" t="s">
        <v>97</v>
      </c>
      <c r="E1901" s="7" t="s">
        <v>47</v>
      </c>
      <c r="F1901" s="7" t="s">
        <v>98</v>
      </c>
      <c r="G1901" s="7" t="s">
        <v>4909</v>
      </c>
      <c r="I1901" s="1">
        <f t="shared" si="145"/>
        <v>1</v>
      </c>
      <c r="J1901" s="1" t="str">
        <f>'Source build'!A1901</f>
        <v>L01895</v>
      </c>
      <c r="K1901" s="1">
        <f>1901</f>
        <v>1901</v>
      </c>
      <c r="L1901" s="10">
        <f t="shared" si="146"/>
        <v>42308</v>
      </c>
      <c r="M1901" s="1">
        <f t="shared" si="147"/>
        <v>1</v>
      </c>
      <c r="N1901" s="1">
        <f t="shared" si="148"/>
        <v>1</v>
      </c>
      <c r="O1901" s="1" t="str">
        <f>IF(I1901=0,"UNUSED",IF(A1901="","MISSING ID",IF(K1901=0,"UNEXPECTED ID",IF(N1901&lt;&gt;1,"ID / ORDER DIFFERENCE",IF('Source build'!U1901&lt;&gt;"INCLUDED","EXCLUDED SOURCE",IF(NOT(M1901),"INVALID AMOUNT",IF('Source build'!Y1901&lt;&gt;0,"CHANGED FIELDS","MATCH")))))))</f>
        <v>MATCH</v>
      </c>
      <c r="P1901" s="1" t="str">
        <f t="shared" si="149"/>
        <v>2026-03</v>
      </c>
    </row>
    <row r="1902" spans="1:16" ht="18.95" customHeight="1">
      <c r="A1902" s="7" t="s">
        <v>4910</v>
      </c>
      <c r="B1902" s="7" t="s">
        <v>4908</v>
      </c>
      <c r="C1902" s="7" t="s">
        <v>380</v>
      </c>
      <c r="D1902" s="7" t="s">
        <v>103</v>
      </c>
      <c r="E1902" s="7" t="s">
        <v>48</v>
      </c>
      <c r="F1902" s="7" t="s">
        <v>98</v>
      </c>
      <c r="G1902" s="7" t="s">
        <v>4911</v>
      </c>
      <c r="I1902" s="1">
        <f t="shared" si="145"/>
        <v>1</v>
      </c>
      <c r="J1902" s="1" t="str">
        <f>'Source build'!A1902</f>
        <v>L01896</v>
      </c>
      <c r="K1902" s="1">
        <f>1902</f>
        <v>1902</v>
      </c>
      <c r="L1902" s="10">
        <f t="shared" si="146"/>
        <v>10614</v>
      </c>
      <c r="M1902" s="1">
        <f t="shared" si="147"/>
        <v>1</v>
      </c>
      <c r="N1902" s="1">
        <f t="shared" si="148"/>
        <v>1</v>
      </c>
      <c r="O1902" s="1" t="str">
        <f>IF(I1902=0,"UNUSED",IF(A1902="","MISSING ID",IF(K1902=0,"UNEXPECTED ID",IF(N1902&lt;&gt;1,"ID / ORDER DIFFERENCE",IF('Source build'!U1902&lt;&gt;"INCLUDED","EXCLUDED SOURCE",IF(NOT(M1902),"INVALID AMOUNT",IF('Source build'!Y1902&lt;&gt;0,"CHANGED FIELDS","MATCH")))))))</f>
        <v>MATCH</v>
      </c>
      <c r="P1902" s="1" t="str">
        <f t="shared" si="149"/>
        <v>2026-03</v>
      </c>
    </row>
    <row r="1903" spans="1:16" ht="18.95" customHeight="1">
      <c r="A1903" s="7" t="s">
        <v>4912</v>
      </c>
      <c r="B1903" s="7" t="s">
        <v>4913</v>
      </c>
      <c r="C1903" s="7" t="s">
        <v>386</v>
      </c>
      <c r="D1903" s="7" t="s">
        <v>93</v>
      </c>
      <c r="E1903" s="7" t="s">
        <v>46</v>
      </c>
      <c r="F1903" s="7" t="s">
        <v>98</v>
      </c>
      <c r="G1903" s="7" t="s">
        <v>4914</v>
      </c>
      <c r="I1903" s="1">
        <f t="shared" si="145"/>
        <v>1</v>
      </c>
      <c r="J1903" s="1" t="str">
        <f>'Source build'!A1903</f>
        <v>L01897</v>
      </c>
      <c r="K1903" s="1">
        <f>1903</f>
        <v>1903</v>
      </c>
      <c r="L1903" s="10">
        <f t="shared" si="146"/>
        <v>31953</v>
      </c>
      <c r="M1903" s="1">
        <f t="shared" si="147"/>
        <v>1</v>
      </c>
      <c r="N1903" s="1">
        <f t="shared" si="148"/>
        <v>1</v>
      </c>
      <c r="O1903" s="1" t="str">
        <f>IF(I1903=0,"UNUSED",IF(A1903="","MISSING ID",IF(K1903=0,"UNEXPECTED ID",IF(N1903&lt;&gt;1,"ID / ORDER DIFFERENCE",IF('Source build'!U1903&lt;&gt;"INCLUDED","EXCLUDED SOURCE",IF(NOT(M1903),"INVALID AMOUNT",IF('Source build'!Y1903&lt;&gt;0,"CHANGED FIELDS","MATCH")))))))</f>
        <v>MATCH</v>
      </c>
      <c r="P1903" s="1" t="str">
        <f t="shared" si="149"/>
        <v>2026-03</v>
      </c>
    </row>
    <row r="1904" spans="1:16" ht="18.95" customHeight="1">
      <c r="A1904" s="7" t="s">
        <v>4915</v>
      </c>
      <c r="B1904" s="7" t="s">
        <v>4913</v>
      </c>
      <c r="C1904" s="7" t="s">
        <v>386</v>
      </c>
      <c r="D1904" s="7" t="s">
        <v>97</v>
      </c>
      <c r="E1904" s="7" t="s">
        <v>47</v>
      </c>
      <c r="F1904" s="7" t="s">
        <v>98</v>
      </c>
      <c r="G1904" s="7" t="s">
        <v>4916</v>
      </c>
      <c r="I1904" s="1">
        <f t="shared" si="145"/>
        <v>1</v>
      </c>
      <c r="J1904" s="1" t="str">
        <f>'Source build'!A1904</f>
        <v>L01898</v>
      </c>
      <c r="K1904" s="1">
        <f>1904</f>
        <v>1904</v>
      </c>
      <c r="L1904" s="10">
        <f t="shared" si="146"/>
        <v>53440</v>
      </c>
      <c r="M1904" s="1">
        <f t="shared" si="147"/>
        <v>1</v>
      </c>
      <c r="N1904" s="1">
        <f t="shared" si="148"/>
        <v>1</v>
      </c>
      <c r="O1904" s="1" t="str">
        <f>IF(I1904=0,"UNUSED",IF(A1904="","MISSING ID",IF(K1904=0,"UNEXPECTED ID",IF(N1904&lt;&gt;1,"ID / ORDER DIFFERENCE",IF('Source build'!U1904&lt;&gt;"INCLUDED","EXCLUDED SOURCE",IF(NOT(M1904),"INVALID AMOUNT",IF('Source build'!Y1904&lt;&gt;0,"CHANGED FIELDS","MATCH")))))))</f>
        <v>MATCH</v>
      </c>
      <c r="P1904" s="1" t="str">
        <f t="shared" si="149"/>
        <v>2026-03</v>
      </c>
    </row>
    <row r="1905" spans="1:16" ht="18.95" customHeight="1">
      <c r="A1905" s="7" t="s">
        <v>4917</v>
      </c>
      <c r="B1905" s="7" t="s">
        <v>4918</v>
      </c>
      <c r="C1905" s="7" t="s">
        <v>392</v>
      </c>
      <c r="D1905" s="7" t="s">
        <v>103</v>
      </c>
      <c r="E1905" s="7" t="s">
        <v>48</v>
      </c>
      <c r="F1905" s="7" t="s">
        <v>98</v>
      </c>
      <c r="G1905" s="7" t="s">
        <v>4919</v>
      </c>
      <c r="I1905" s="1">
        <f t="shared" si="145"/>
        <v>1</v>
      </c>
      <c r="J1905" s="1" t="str">
        <f>'Source build'!A1905</f>
        <v>L01899</v>
      </c>
      <c r="K1905" s="1">
        <f>1905</f>
        <v>1905</v>
      </c>
      <c r="L1905" s="10">
        <f t="shared" si="146"/>
        <v>21450</v>
      </c>
      <c r="M1905" s="1">
        <f t="shared" si="147"/>
        <v>1</v>
      </c>
      <c r="N1905" s="1">
        <f t="shared" si="148"/>
        <v>1</v>
      </c>
      <c r="O1905" s="1" t="str">
        <f>IF(I1905=0,"UNUSED",IF(A1905="","MISSING ID",IF(K1905=0,"UNEXPECTED ID",IF(N1905&lt;&gt;1,"ID / ORDER DIFFERENCE",IF('Source build'!U1905&lt;&gt;"INCLUDED","EXCLUDED SOURCE",IF(NOT(M1905),"INVALID AMOUNT",IF('Source build'!Y1905&lt;&gt;0,"CHANGED FIELDS","MATCH")))))))</f>
        <v>MATCH</v>
      </c>
      <c r="P1905" s="1" t="str">
        <f t="shared" si="149"/>
        <v>2026-03</v>
      </c>
    </row>
    <row r="1906" spans="1:16" ht="18.95" customHeight="1">
      <c r="A1906" s="7" t="s">
        <v>4920</v>
      </c>
      <c r="B1906" s="7" t="s">
        <v>4918</v>
      </c>
      <c r="C1906" s="7" t="s">
        <v>392</v>
      </c>
      <c r="D1906" s="7" t="s">
        <v>93</v>
      </c>
      <c r="E1906" s="7" t="s">
        <v>46</v>
      </c>
      <c r="F1906" s="7" t="s">
        <v>98</v>
      </c>
      <c r="G1906" s="7" t="s">
        <v>4921</v>
      </c>
      <c r="I1906" s="1">
        <f t="shared" si="145"/>
        <v>1</v>
      </c>
      <c r="J1906" s="1" t="str">
        <f>'Source build'!A1906</f>
        <v>L01900</v>
      </c>
      <c r="K1906" s="1">
        <f>1906</f>
        <v>1906</v>
      </c>
      <c r="L1906" s="10">
        <f t="shared" si="146"/>
        <v>43048</v>
      </c>
      <c r="M1906" s="1">
        <f t="shared" si="147"/>
        <v>1</v>
      </c>
      <c r="N1906" s="1">
        <f t="shared" si="148"/>
        <v>1</v>
      </c>
      <c r="O1906" s="1" t="str">
        <f>IF(I1906=0,"UNUSED",IF(A1906="","MISSING ID",IF(K1906=0,"UNEXPECTED ID",IF(N1906&lt;&gt;1,"ID / ORDER DIFFERENCE",IF('Source build'!U1906&lt;&gt;"INCLUDED","EXCLUDED SOURCE",IF(NOT(M1906),"INVALID AMOUNT",IF('Source build'!Y1906&lt;&gt;0,"CHANGED FIELDS","MATCH")))))))</f>
        <v>MATCH</v>
      </c>
      <c r="P1906" s="1" t="str">
        <f t="shared" si="149"/>
        <v>2026-03</v>
      </c>
    </row>
    <row r="1907" spans="1:16" ht="18.95" customHeight="1">
      <c r="A1907" s="7" t="s">
        <v>4922</v>
      </c>
      <c r="B1907" s="7" t="s">
        <v>4923</v>
      </c>
      <c r="C1907" s="7" t="s">
        <v>398</v>
      </c>
      <c r="D1907" s="7" t="s">
        <v>97</v>
      </c>
      <c r="E1907" s="7" t="s">
        <v>47</v>
      </c>
      <c r="F1907" s="7" t="s">
        <v>98</v>
      </c>
      <c r="G1907" s="7" t="s">
        <v>4924</v>
      </c>
      <c r="I1907" s="1">
        <f t="shared" si="145"/>
        <v>1</v>
      </c>
      <c r="J1907" s="1" t="str">
        <f>'Source build'!A1907</f>
        <v>L01901</v>
      </c>
      <c r="K1907" s="1">
        <f>1907</f>
        <v>1907</v>
      </c>
      <c r="L1907" s="10">
        <f t="shared" si="146"/>
        <v>10799</v>
      </c>
      <c r="M1907" s="1">
        <f t="shared" si="147"/>
        <v>1</v>
      </c>
      <c r="N1907" s="1">
        <f t="shared" si="148"/>
        <v>1</v>
      </c>
      <c r="O1907" s="1" t="str">
        <f>IF(I1907=0,"UNUSED",IF(A1907="","MISSING ID",IF(K1907=0,"UNEXPECTED ID",IF(N1907&lt;&gt;1,"ID / ORDER DIFFERENCE",IF('Source build'!U1907&lt;&gt;"INCLUDED","EXCLUDED SOURCE",IF(NOT(M1907),"INVALID AMOUNT",IF('Source build'!Y1907&lt;&gt;0,"CHANGED FIELDS","MATCH")))))))</f>
        <v>MATCH</v>
      </c>
      <c r="P1907" s="1" t="str">
        <f t="shared" si="149"/>
        <v>2026-03</v>
      </c>
    </row>
    <row r="1908" spans="1:16" ht="18.95" customHeight="1">
      <c r="A1908" s="7" t="s">
        <v>4925</v>
      </c>
      <c r="B1908" s="7" t="s">
        <v>4923</v>
      </c>
      <c r="C1908" s="7" t="s">
        <v>398</v>
      </c>
      <c r="D1908" s="7" t="s">
        <v>103</v>
      </c>
      <c r="E1908" s="7" t="s">
        <v>48</v>
      </c>
      <c r="F1908" s="7" t="s">
        <v>98</v>
      </c>
      <c r="G1908" s="7" t="s">
        <v>4926</v>
      </c>
      <c r="I1908" s="1">
        <f t="shared" si="145"/>
        <v>1</v>
      </c>
      <c r="J1908" s="1" t="str">
        <f>'Source build'!A1908</f>
        <v>L01902</v>
      </c>
      <c r="K1908" s="1">
        <f>1908</f>
        <v>1908</v>
      </c>
      <c r="L1908" s="10">
        <f t="shared" si="146"/>
        <v>32508</v>
      </c>
      <c r="M1908" s="1">
        <f t="shared" si="147"/>
        <v>1</v>
      </c>
      <c r="N1908" s="1">
        <f t="shared" si="148"/>
        <v>1</v>
      </c>
      <c r="O1908" s="1" t="str">
        <f>IF(I1908=0,"UNUSED",IF(A1908="","MISSING ID",IF(K1908=0,"UNEXPECTED ID",IF(N1908&lt;&gt;1,"ID / ORDER DIFFERENCE",IF('Source build'!U1908&lt;&gt;"INCLUDED","EXCLUDED SOURCE",IF(NOT(M1908),"INVALID AMOUNT",IF('Source build'!Y1908&lt;&gt;0,"CHANGED FIELDS","MATCH")))))))</f>
        <v>MATCH</v>
      </c>
      <c r="P1908" s="1" t="str">
        <f t="shared" si="149"/>
        <v>2026-03</v>
      </c>
    </row>
    <row r="1909" spans="1:16" ht="18.95" customHeight="1">
      <c r="A1909" s="7" t="s">
        <v>4927</v>
      </c>
      <c r="B1909" s="7" t="s">
        <v>4928</v>
      </c>
      <c r="C1909" s="7" t="s">
        <v>404</v>
      </c>
      <c r="D1909" s="7" t="s">
        <v>93</v>
      </c>
      <c r="E1909" s="7" t="s">
        <v>46</v>
      </c>
      <c r="F1909" s="7" t="s">
        <v>98</v>
      </c>
      <c r="G1909" s="7" t="s">
        <v>4929</v>
      </c>
      <c r="I1909" s="1">
        <f t="shared" si="145"/>
        <v>1</v>
      </c>
      <c r="J1909" s="1" t="str">
        <f>'Source build'!A1909</f>
        <v>L01903</v>
      </c>
      <c r="K1909" s="1">
        <f>1909</f>
        <v>1909</v>
      </c>
      <c r="L1909" s="10">
        <f t="shared" si="146"/>
        <v>54365</v>
      </c>
      <c r="M1909" s="1">
        <f t="shared" si="147"/>
        <v>1</v>
      </c>
      <c r="N1909" s="1">
        <f t="shared" si="148"/>
        <v>1</v>
      </c>
      <c r="O1909" s="1" t="str">
        <f>IF(I1909=0,"UNUSED",IF(A1909="","MISSING ID",IF(K1909=0,"UNEXPECTED ID",IF(N1909&lt;&gt;1,"ID / ORDER DIFFERENCE",IF('Source build'!U1909&lt;&gt;"INCLUDED","EXCLUDED SOURCE",IF(NOT(M1909),"INVALID AMOUNT",IF('Source build'!Y1909&lt;&gt;0,"CHANGED FIELDS","MATCH")))))))</f>
        <v>MATCH</v>
      </c>
      <c r="P1909" s="1" t="str">
        <f t="shared" si="149"/>
        <v>2026-03</v>
      </c>
    </row>
    <row r="1910" spans="1:16" ht="18.95" customHeight="1">
      <c r="A1910" s="7" t="s">
        <v>4930</v>
      </c>
      <c r="B1910" s="7" t="s">
        <v>4928</v>
      </c>
      <c r="C1910" s="7" t="s">
        <v>404</v>
      </c>
      <c r="D1910" s="7" t="s">
        <v>97</v>
      </c>
      <c r="E1910" s="7" t="s">
        <v>47</v>
      </c>
      <c r="F1910" s="7" t="s">
        <v>98</v>
      </c>
      <c r="G1910" s="7" t="s">
        <v>4931</v>
      </c>
      <c r="I1910" s="1">
        <f t="shared" si="145"/>
        <v>1</v>
      </c>
      <c r="J1910" s="1" t="str">
        <f>'Source build'!A1910</f>
        <v>L01904</v>
      </c>
      <c r="K1910" s="1">
        <f>1910</f>
        <v>1910</v>
      </c>
      <c r="L1910" s="10">
        <f t="shared" si="146"/>
        <v>21820</v>
      </c>
      <c r="M1910" s="1">
        <f t="shared" si="147"/>
        <v>1</v>
      </c>
      <c r="N1910" s="1">
        <f t="shared" si="148"/>
        <v>1</v>
      </c>
      <c r="O1910" s="1" t="str">
        <f>IF(I1910=0,"UNUSED",IF(A1910="","MISSING ID",IF(K1910=0,"UNEXPECTED ID",IF(N1910&lt;&gt;1,"ID / ORDER DIFFERENCE",IF('Source build'!U1910&lt;&gt;"INCLUDED","EXCLUDED SOURCE",IF(NOT(M1910),"INVALID AMOUNT",IF('Source build'!Y1910&lt;&gt;0,"CHANGED FIELDS","MATCH")))))))</f>
        <v>MATCH</v>
      </c>
      <c r="P1910" s="1" t="str">
        <f t="shared" si="149"/>
        <v>2026-03</v>
      </c>
    </row>
    <row r="1911" spans="1:16" ht="18.95" customHeight="1">
      <c r="A1911" s="7" t="s">
        <v>4932</v>
      </c>
      <c r="B1911" s="7" t="s">
        <v>4933</v>
      </c>
      <c r="C1911" s="7" t="s">
        <v>410</v>
      </c>
      <c r="D1911" s="7" t="s">
        <v>103</v>
      </c>
      <c r="E1911" s="7" t="s">
        <v>48</v>
      </c>
      <c r="F1911" s="7" t="s">
        <v>98</v>
      </c>
      <c r="G1911" s="7" t="s">
        <v>4934</v>
      </c>
      <c r="I1911" s="1">
        <f t="shared" si="145"/>
        <v>1</v>
      </c>
      <c r="J1911" s="1" t="str">
        <f>'Source build'!A1911</f>
        <v>L01905</v>
      </c>
      <c r="K1911" s="1">
        <f>1911</f>
        <v>1911</v>
      </c>
      <c r="L1911" s="10">
        <f t="shared" si="146"/>
        <v>43788</v>
      </c>
      <c r="M1911" s="1">
        <f t="shared" si="147"/>
        <v>1</v>
      </c>
      <c r="N1911" s="1">
        <f t="shared" si="148"/>
        <v>1</v>
      </c>
      <c r="O1911" s="1" t="str">
        <f>IF(I1911=0,"UNUSED",IF(A1911="","MISSING ID",IF(K1911=0,"UNEXPECTED ID",IF(N1911&lt;&gt;1,"ID / ORDER DIFFERENCE",IF('Source build'!U1911&lt;&gt;"INCLUDED","EXCLUDED SOURCE",IF(NOT(M1911),"INVALID AMOUNT",IF('Source build'!Y1911&lt;&gt;0,"CHANGED FIELDS","MATCH")))))))</f>
        <v>MATCH</v>
      </c>
      <c r="P1911" s="1" t="str">
        <f t="shared" si="149"/>
        <v>2026-01</v>
      </c>
    </row>
    <row r="1912" spans="1:16" ht="18.95" customHeight="1">
      <c r="A1912" s="7" t="s">
        <v>4935</v>
      </c>
      <c r="B1912" s="7" t="s">
        <v>4933</v>
      </c>
      <c r="C1912" s="7" t="s">
        <v>410</v>
      </c>
      <c r="D1912" s="7" t="s">
        <v>93</v>
      </c>
      <c r="E1912" s="7" t="s">
        <v>46</v>
      </c>
      <c r="F1912" s="7" t="s">
        <v>98</v>
      </c>
      <c r="G1912" s="7" t="s">
        <v>4936</v>
      </c>
      <c r="I1912" s="1">
        <f t="shared" si="145"/>
        <v>1</v>
      </c>
      <c r="J1912" s="1" t="str">
        <f>'Source build'!A1912</f>
        <v>L01906</v>
      </c>
      <c r="K1912" s="1">
        <f>1912</f>
        <v>1912</v>
      </c>
      <c r="L1912" s="10">
        <f t="shared" si="146"/>
        <v>10984</v>
      </c>
      <c r="M1912" s="1">
        <f t="shared" si="147"/>
        <v>1</v>
      </c>
      <c r="N1912" s="1">
        <f t="shared" si="148"/>
        <v>1</v>
      </c>
      <c r="O1912" s="1" t="str">
        <f>IF(I1912=0,"UNUSED",IF(A1912="","MISSING ID",IF(K1912=0,"UNEXPECTED ID",IF(N1912&lt;&gt;1,"ID / ORDER DIFFERENCE",IF('Source build'!U1912&lt;&gt;"INCLUDED","EXCLUDED SOURCE",IF(NOT(M1912),"INVALID AMOUNT",IF('Source build'!Y1912&lt;&gt;0,"CHANGED FIELDS","MATCH")))))))</f>
        <v>MATCH</v>
      </c>
      <c r="P1912" s="1" t="str">
        <f t="shared" si="149"/>
        <v>2026-01</v>
      </c>
    </row>
    <row r="1913" spans="1:16" ht="18.95" customHeight="1">
      <c r="A1913" s="7" t="s">
        <v>4937</v>
      </c>
      <c r="B1913" s="7" t="s">
        <v>4938</v>
      </c>
      <c r="C1913" s="7" t="s">
        <v>416</v>
      </c>
      <c r="D1913" s="7" t="s">
        <v>97</v>
      </c>
      <c r="E1913" s="7" t="s">
        <v>47</v>
      </c>
      <c r="F1913" s="7" t="s">
        <v>98</v>
      </c>
      <c r="G1913" s="7" t="s">
        <v>4939</v>
      </c>
      <c r="I1913" s="1">
        <f t="shared" si="145"/>
        <v>1</v>
      </c>
      <c r="J1913" s="1" t="str">
        <f>'Source build'!A1913</f>
        <v>L01907</v>
      </c>
      <c r="K1913" s="1">
        <f>1913</f>
        <v>1913</v>
      </c>
      <c r="L1913" s="10">
        <f t="shared" si="146"/>
        <v>33063</v>
      </c>
      <c r="M1913" s="1">
        <f t="shared" si="147"/>
        <v>1</v>
      </c>
      <c r="N1913" s="1">
        <f t="shared" si="148"/>
        <v>1</v>
      </c>
      <c r="O1913" s="1" t="str">
        <f>IF(I1913=0,"UNUSED",IF(A1913="","MISSING ID",IF(K1913=0,"UNEXPECTED ID",IF(N1913&lt;&gt;1,"ID / ORDER DIFFERENCE",IF('Source build'!U1913&lt;&gt;"INCLUDED","EXCLUDED SOURCE",IF(NOT(M1913),"INVALID AMOUNT",IF('Source build'!Y1913&lt;&gt;0,"CHANGED FIELDS","MATCH")))))))</f>
        <v>MATCH</v>
      </c>
      <c r="P1913" s="1" t="str">
        <f t="shared" si="149"/>
        <v>2026-01</v>
      </c>
    </row>
    <row r="1914" spans="1:16" ht="18.95" customHeight="1">
      <c r="A1914" s="7" t="s">
        <v>4940</v>
      </c>
      <c r="B1914" s="7" t="s">
        <v>4938</v>
      </c>
      <c r="C1914" s="7" t="s">
        <v>416</v>
      </c>
      <c r="D1914" s="7" t="s">
        <v>103</v>
      </c>
      <c r="E1914" s="7" t="s">
        <v>48</v>
      </c>
      <c r="F1914" s="7" t="s">
        <v>98</v>
      </c>
      <c r="G1914" s="7" t="s">
        <v>4941</v>
      </c>
      <c r="I1914" s="1">
        <f t="shared" si="145"/>
        <v>1</v>
      </c>
      <c r="J1914" s="1" t="str">
        <f>'Source build'!A1914</f>
        <v>L01908</v>
      </c>
      <c r="K1914" s="1">
        <f>1914</f>
        <v>1914</v>
      </c>
      <c r="L1914" s="10">
        <f t="shared" si="146"/>
        <v>55290</v>
      </c>
      <c r="M1914" s="1">
        <f t="shared" si="147"/>
        <v>1</v>
      </c>
      <c r="N1914" s="1">
        <f t="shared" si="148"/>
        <v>1</v>
      </c>
      <c r="O1914" s="1" t="str">
        <f>IF(I1914=0,"UNUSED",IF(A1914="","MISSING ID",IF(K1914=0,"UNEXPECTED ID",IF(N1914&lt;&gt;1,"ID / ORDER DIFFERENCE",IF('Source build'!U1914&lt;&gt;"INCLUDED","EXCLUDED SOURCE",IF(NOT(M1914),"INVALID AMOUNT",IF('Source build'!Y1914&lt;&gt;0,"CHANGED FIELDS","MATCH")))))))</f>
        <v>MATCH</v>
      </c>
      <c r="P1914" s="1" t="str">
        <f t="shared" si="149"/>
        <v>2026-01</v>
      </c>
    </row>
    <row r="1915" spans="1:16" ht="18.95" customHeight="1">
      <c r="A1915" s="7" t="s">
        <v>4942</v>
      </c>
      <c r="B1915" s="7" t="s">
        <v>4943</v>
      </c>
      <c r="C1915" s="7" t="s">
        <v>422</v>
      </c>
      <c r="D1915" s="7" t="s">
        <v>93</v>
      </c>
      <c r="E1915" s="7" t="s">
        <v>46</v>
      </c>
      <c r="F1915" s="7" t="s">
        <v>98</v>
      </c>
      <c r="G1915" s="7" t="s">
        <v>4944</v>
      </c>
      <c r="I1915" s="1">
        <f t="shared" si="145"/>
        <v>1</v>
      </c>
      <c r="J1915" s="1" t="str">
        <f>'Source build'!A1915</f>
        <v>L01909</v>
      </c>
      <c r="K1915" s="1">
        <f>1915</f>
        <v>1915</v>
      </c>
      <c r="L1915" s="10">
        <f t="shared" si="146"/>
        <v>22190</v>
      </c>
      <c r="M1915" s="1">
        <f t="shared" si="147"/>
        <v>1</v>
      </c>
      <c r="N1915" s="1">
        <f t="shared" si="148"/>
        <v>1</v>
      </c>
      <c r="O1915" s="1" t="str">
        <f>IF(I1915=0,"UNUSED",IF(A1915="","MISSING ID",IF(K1915=0,"UNEXPECTED ID",IF(N1915&lt;&gt;1,"ID / ORDER DIFFERENCE",IF('Source build'!U1915&lt;&gt;"INCLUDED","EXCLUDED SOURCE",IF(NOT(M1915),"INVALID AMOUNT",IF('Source build'!Y1915&lt;&gt;0,"CHANGED FIELDS","MATCH")))))))</f>
        <v>MATCH</v>
      </c>
      <c r="P1915" s="1" t="str">
        <f t="shared" si="149"/>
        <v>2026-01</v>
      </c>
    </row>
    <row r="1916" spans="1:16" ht="18.95" customHeight="1">
      <c r="A1916" s="7" t="s">
        <v>4945</v>
      </c>
      <c r="B1916" s="7" t="s">
        <v>4943</v>
      </c>
      <c r="C1916" s="7" t="s">
        <v>422</v>
      </c>
      <c r="D1916" s="7" t="s">
        <v>97</v>
      </c>
      <c r="E1916" s="7" t="s">
        <v>47</v>
      </c>
      <c r="F1916" s="7" t="s">
        <v>94</v>
      </c>
      <c r="G1916" s="7" t="s">
        <v>4946</v>
      </c>
      <c r="I1916" s="1">
        <f t="shared" si="145"/>
        <v>1</v>
      </c>
      <c r="J1916" s="1" t="str">
        <f>'Source build'!A1916</f>
        <v>L01910</v>
      </c>
      <c r="K1916" s="1">
        <f>1916</f>
        <v>1916</v>
      </c>
      <c r="L1916" s="10">
        <f t="shared" si="146"/>
        <v>-44528</v>
      </c>
      <c r="M1916" s="1">
        <f t="shared" si="147"/>
        <v>1</v>
      </c>
      <c r="N1916" s="1">
        <f t="shared" si="148"/>
        <v>1</v>
      </c>
      <c r="O1916" s="1" t="str">
        <f>IF(I1916=0,"UNUSED",IF(A1916="","MISSING ID",IF(K1916=0,"UNEXPECTED ID",IF(N1916&lt;&gt;1,"ID / ORDER DIFFERENCE",IF('Source build'!U1916&lt;&gt;"INCLUDED","EXCLUDED SOURCE",IF(NOT(M1916),"INVALID AMOUNT",IF('Source build'!Y1916&lt;&gt;0,"CHANGED FIELDS","MATCH")))))))</f>
        <v>MATCH</v>
      </c>
      <c r="P1916" s="1" t="str">
        <f t="shared" si="149"/>
        <v>2026-01</v>
      </c>
    </row>
    <row r="1917" spans="1:16" ht="18.95" customHeight="1">
      <c r="A1917" s="7" t="s">
        <v>4947</v>
      </c>
      <c r="B1917" s="7" t="s">
        <v>4948</v>
      </c>
      <c r="C1917" s="7" t="s">
        <v>428</v>
      </c>
      <c r="D1917" s="7" t="s">
        <v>103</v>
      </c>
      <c r="E1917" s="7" t="s">
        <v>48</v>
      </c>
      <c r="F1917" s="7" t="s">
        <v>98</v>
      </c>
      <c r="G1917" s="7" t="s">
        <v>4949</v>
      </c>
      <c r="I1917" s="1">
        <f t="shared" si="145"/>
        <v>1</v>
      </c>
      <c r="J1917" s="1" t="str">
        <f>'Source build'!A1917</f>
        <v>L01911</v>
      </c>
      <c r="K1917" s="1">
        <f>1917</f>
        <v>1917</v>
      </c>
      <c r="L1917" s="10">
        <f t="shared" si="146"/>
        <v>11169</v>
      </c>
      <c r="M1917" s="1">
        <f t="shared" si="147"/>
        <v>1</v>
      </c>
      <c r="N1917" s="1">
        <f t="shared" si="148"/>
        <v>1</v>
      </c>
      <c r="O1917" s="1" t="str">
        <f>IF(I1917=0,"UNUSED",IF(A1917="","MISSING ID",IF(K1917=0,"UNEXPECTED ID",IF(N1917&lt;&gt;1,"ID / ORDER DIFFERENCE",IF('Source build'!U1917&lt;&gt;"INCLUDED","EXCLUDED SOURCE",IF(NOT(M1917),"INVALID AMOUNT",IF('Source build'!Y1917&lt;&gt;0,"CHANGED FIELDS","MATCH")))))))</f>
        <v>MATCH</v>
      </c>
      <c r="P1917" s="1" t="str">
        <f t="shared" si="149"/>
        <v>2026-01</v>
      </c>
    </row>
    <row r="1918" spans="1:16" ht="18.95" customHeight="1">
      <c r="A1918" s="7" t="s">
        <v>4950</v>
      </c>
      <c r="B1918" s="7" t="s">
        <v>4948</v>
      </c>
      <c r="C1918" s="7" t="s">
        <v>428</v>
      </c>
      <c r="D1918" s="7" t="s">
        <v>93</v>
      </c>
      <c r="E1918" s="7" t="s">
        <v>46</v>
      </c>
      <c r="F1918" s="7" t="s">
        <v>98</v>
      </c>
      <c r="G1918" s="7" t="s">
        <v>4951</v>
      </c>
      <c r="I1918" s="1">
        <f t="shared" si="145"/>
        <v>1</v>
      </c>
      <c r="J1918" s="1" t="str">
        <f>'Source build'!A1918</f>
        <v>L01912</v>
      </c>
      <c r="K1918" s="1">
        <f>1918</f>
        <v>1918</v>
      </c>
      <c r="L1918" s="10">
        <f t="shared" si="146"/>
        <v>33618</v>
      </c>
      <c r="M1918" s="1">
        <f t="shared" si="147"/>
        <v>1</v>
      </c>
      <c r="N1918" s="1">
        <f t="shared" si="148"/>
        <v>1</v>
      </c>
      <c r="O1918" s="1" t="str">
        <f>IF(I1918=0,"UNUSED",IF(A1918="","MISSING ID",IF(K1918=0,"UNEXPECTED ID",IF(N1918&lt;&gt;1,"ID / ORDER DIFFERENCE",IF('Source build'!U1918&lt;&gt;"INCLUDED","EXCLUDED SOURCE",IF(NOT(M1918),"INVALID AMOUNT",IF('Source build'!Y1918&lt;&gt;0,"CHANGED FIELDS","MATCH")))))))</f>
        <v>MATCH</v>
      </c>
      <c r="P1918" s="1" t="str">
        <f t="shared" si="149"/>
        <v>2026-01</v>
      </c>
    </row>
    <row r="1919" spans="1:16" ht="18.95" customHeight="1">
      <c r="A1919" s="7" t="s">
        <v>4952</v>
      </c>
      <c r="B1919" s="7" t="s">
        <v>4953</v>
      </c>
      <c r="C1919" s="7" t="s">
        <v>434</v>
      </c>
      <c r="D1919" s="7" t="s">
        <v>97</v>
      </c>
      <c r="E1919" s="7" t="s">
        <v>47</v>
      </c>
      <c r="F1919" s="7" t="s">
        <v>98</v>
      </c>
      <c r="G1919" s="7" t="s">
        <v>4954</v>
      </c>
      <c r="I1919" s="1">
        <f t="shared" si="145"/>
        <v>1</v>
      </c>
      <c r="J1919" s="1" t="str">
        <f>'Source build'!A1919</f>
        <v>L01913</v>
      </c>
      <c r="K1919" s="1">
        <f>1919</f>
        <v>1919</v>
      </c>
      <c r="L1919" s="10">
        <f t="shared" si="146"/>
        <v>56215</v>
      </c>
      <c r="M1919" s="1">
        <f t="shared" si="147"/>
        <v>1</v>
      </c>
      <c r="N1919" s="1">
        <f t="shared" si="148"/>
        <v>1</v>
      </c>
      <c r="O1919" s="1" t="str">
        <f>IF(I1919=0,"UNUSED",IF(A1919="","MISSING ID",IF(K1919=0,"UNEXPECTED ID",IF(N1919&lt;&gt;1,"ID / ORDER DIFFERENCE",IF('Source build'!U1919&lt;&gt;"INCLUDED","EXCLUDED SOURCE",IF(NOT(M1919),"INVALID AMOUNT",IF('Source build'!Y1919&lt;&gt;0,"CHANGED FIELDS","MATCH")))))))</f>
        <v>MATCH</v>
      </c>
      <c r="P1919" s="1" t="str">
        <f t="shared" si="149"/>
        <v>2026-02</v>
      </c>
    </row>
    <row r="1920" spans="1:16" ht="18.95" customHeight="1">
      <c r="A1920" s="7" t="s">
        <v>4955</v>
      </c>
      <c r="B1920" s="7" t="s">
        <v>4953</v>
      </c>
      <c r="C1920" s="7" t="s">
        <v>434</v>
      </c>
      <c r="D1920" s="7" t="s">
        <v>103</v>
      </c>
      <c r="E1920" s="7" t="s">
        <v>48</v>
      </c>
      <c r="F1920" s="7" t="s">
        <v>98</v>
      </c>
      <c r="G1920" s="7" t="s">
        <v>4956</v>
      </c>
      <c r="I1920" s="1">
        <f t="shared" si="145"/>
        <v>1</v>
      </c>
      <c r="J1920" s="1" t="str">
        <f>'Source build'!A1920</f>
        <v>L01914</v>
      </c>
      <c r="K1920" s="1">
        <f>1920</f>
        <v>1920</v>
      </c>
      <c r="L1920" s="10">
        <f t="shared" si="146"/>
        <v>22560</v>
      </c>
      <c r="M1920" s="1">
        <f t="shared" si="147"/>
        <v>1</v>
      </c>
      <c r="N1920" s="1">
        <f t="shared" si="148"/>
        <v>1</v>
      </c>
      <c r="O1920" s="1" t="str">
        <f>IF(I1920=0,"UNUSED",IF(A1920="","MISSING ID",IF(K1920=0,"UNEXPECTED ID",IF(N1920&lt;&gt;1,"ID / ORDER DIFFERENCE",IF('Source build'!U1920&lt;&gt;"INCLUDED","EXCLUDED SOURCE",IF(NOT(M1920),"INVALID AMOUNT",IF('Source build'!Y1920&lt;&gt;0,"CHANGED FIELDS","MATCH")))))))</f>
        <v>MATCH</v>
      </c>
      <c r="P1920" s="1" t="str">
        <f t="shared" si="149"/>
        <v>2026-02</v>
      </c>
    </row>
    <row r="1921" spans="1:16" ht="18.95" customHeight="1">
      <c r="A1921" s="7" t="s">
        <v>4957</v>
      </c>
      <c r="B1921" s="7" t="s">
        <v>4958</v>
      </c>
      <c r="C1921" s="7" t="s">
        <v>440</v>
      </c>
      <c r="D1921" s="7" t="s">
        <v>93</v>
      </c>
      <c r="E1921" s="7" t="s">
        <v>46</v>
      </c>
      <c r="F1921" s="7" t="s">
        <v>98</v>
      </c>
      <c r="G1921" s="7" t="s">
        <v>4959</v>
      </c>
      <c r="I1921" s="1">
        <f t="shared" si="145"/>
        <v>1</v>
      </c>
      <c r="J1921" s="1" t="str">
        <f>'Source build'!A1921</f>
        <v>L01915</v>
      </c>
      <c r="K1921" s="1">
        <f>1921</f>
        <v>1921</v>
      </c>
      <c r="L1921" s="10">
        <f t="shared" si="146"/>
        <v>45268</v>
      </c>
      <c r="M1921" s="1">
        <f t="shared" si="147"/>
        <v>1</v>
      </c>
      <c r="N1921" s="1">
        <f t="shared" si="148"/>
        <v>1</v>
      </c>
      <c r="O1921" s="1" t="str">
        <f>IF(I1921=0,"UNUSED",IF(A1921="","MISSING ID",IF(K1921=0,"UNEXPECTED ID",IF(N1921&lt;&gt;1,"ID / ORDER DIFFERENCE",IF('Source build'!U1921&lt;&gt;"INCLUDED","EXCLUDED SOURCE",IF(NOT(M1921),"INVALID AMOUNT",IF('Source build'!Y1921&lt;&gt;0,"CHANGED FIELDS","MATCH")))))))</f>
        <v>MATCH</v>
      </c>
      <c r="P1921" s="1" t="str">
        <f t="shared" si="149"/>
        <v>2026-02</v>
      </c>
    </row>
    <row r="1922" spans="1:16" ht="18.95" customHeight="1">
      <c r="A1922" s="7" t="s">
        <v>4960</v>
      </c>
      <c r="B1922" s="7" t="s">
        <v>4958</v>
      </c>
      <c r="C1922" s="7" t="s">
        <v>440</v>
      </c>
      <c r="D1922" s="7" t="s">
        <v>97</v>
      </c>
      <c r="E1922" s="7" t="s">
        <v>47</v>
      </c>
      <c r="F1922" s="7" t="s">
        <v>98</v>
      </c>
      <c r="G1922" s="7" t="s">
        <v>4961</v>
      </c>
      <c r="I1922" s="1">
        <f t="shared" si="145"/>
        <v>1</v>
      </c>
      <c r="J1922" s="1" t="str">
        <f>'Source build'!A1922</f>
        <v>L01916</v>
      </c>
      <c r="K1922" s="1">
        <f>1922</f>
        <v>1922</v>
      </c>
      <c r="L1922" s="10">
        <f t="shared" si="146"/>
        <v>11354</v>
      </c>
      <c r="M1922" s="1">
        <f t="shared" si="147"/>
        <v>1</v>
      </c>
      <c r="N1922" s="1">
        <f t="shared" si="148"/>
        <v>1</v>
      </c>
      <c r="O1922" s="1" t="str">
        <f>IF(I1922=0,"UNUSED",IF(A1922="","MISSING ID",IF(K1922=0,"UNEXPECTED ID",IF(N1922&lt;&gt;1,"ID / ORDER DIFFERENCE",IF('Source build'!U1922&lt;&gt;"INCLUDED","EXCLUDED SOURCE",IF(NOT(M1922),"INVALID AMOUNT",IF('Source build'!Y1922&lt;&gt;0,"CHANGED FIELDS","MATCH")))))))</f>
        <v>MATCH</v>
      </c>
      <c r="P1922" s="1" t="str">
        <f t="shared" si="149"/>
        <v>2026-02</v>
      </c>
    </row>
    <row r="1923" spans="1:16" ht="18.95" customHeight="1">
      <c r="A1923" s="7" t="s">
        <v>4962</v>
      </c>
      <c r="B1923" s="7" t="s">
        <v>4963</v>
      </c>
      <c r="C1923" s="7" t="s">
        <v>446</v>
      </c>
      <c r="D1923" s="7" t="s">
        <v>103</v>
      </c>
      <c r="E1923" s="7" t="s">
        <v>48</v>
      </c>
      <c r="F1923" s="7" t="s">
        <v>98</v>
      </c>
      <c r="G1923" s="7" t="s">
        <v>4964</v>
      </c>
      <c r="I1923" s="1">
        <f t="shared" si="145"/>
        <v>1</v>
      </c>
      <c r="J1923" s="1" t="str">
        <f>'Source build'!A1923</f>
        <v>L01917</v>
      </c>
      <c r="K1923" s="1">
        <f>1923</f>
        <v>1923</v>
      </c>
      <c r="L1923" s="10">
        <f t="shared" si="146"/>
        <v>34173</v>
      </c>
      <c r="M1923" s="1">
        <f t="shared" si="147"/>
        <v>1</v>
      </c>
      <c r="N1923" s="1">
        <f t="shared" si="148"/>
        <v>1</v>
      </c>
      <c r="O1923" s="1" t="str">
        <f>IF(I1923=0,"UNUSED",IF(A1923="","MISSING ID",IF(K1923=0,"UNEXPECTED ID",IF(N1923&lt;&gt;1,"ID / ORDER DIFFERENCE",IF('Source build'!U1923&lt;&gt;"INCLUDED","EXCLUDED SOURCE",IF(NOT(M1923),"INVALID AMOUNT",IF('Source build'!Y1923&lt;&gt;0,"CHANGED FIELDS","MATCH")))))))</f>
        <v>MATCH</v>
      </c>
      <c r="P1923" s="1" t="str">
        <f t="shared" si="149"/>
        <v>2026-02</v>
      </c>
    </row>
    <row r="1924" spans="1:16" ht="18.95" customHeight="1">
      <c r="A1924" s="7" t="s">
        <v>4965</v>
      </c>
      <c r="B1924" s="7" t="s">
        <v>4963</v>
      </c>
      <c r="C1924" s="7" t="s">
        <v>446</v>
      </c>
      <c r="D1924" s="7" t="s">
        <v>93</v>
      </c>
      <c r="E1924" s="7" t="s">
        <v>46</v>
      </c>
      <c r="F1924" s="7" t="s">
        <v>98</v>
      </c>
      <c r="G1924" s="7" t="s">
        <v>4966</v>
      </c>
      <c r="I1924" s="1">
        <f t="shared" si="145"/>
        <v>1</v>
      </c>
      <c r="J1924" s="1" t="str">
        <f>'Source build'!A1924</f>
        <v>L01918</v>
      </c>
      <c r="K1924" s="1">
        <f>1924</f>
        <v>1924</v>
      </c>
      <c r="L1924" s="10">
        <f t="shared" si="146"/>
        <v>57140</v>
      </c>
      <c r="M1924" s="1">
        <f t="shared" si="147"/>
        <v>1</v>
      </c>
      <c r="N1924" s="1">
        <f t="shared" si="148"/>
        <v>1</v>
      </c>
      <c r="O1924" s="1" t="str">
        <f>IF(I1924=0,"UNUSED",IF(A1924="","MISSING ID",IF(K1924=0,"UNEXPECTED ID",IF(N1924&lt;&gt;1,"ID / ORDER DIFFERENCE",IF('Source build'!U1924&lt;&gt;"INCLUDED","EXCLUDED SOURCE",IF(NOT(M1924),"INVALID AMOUNT",IF('Source build'!Y1924&lt;&gt;0,"CHANGED FIELDS","MATCH")))))))</f>
        <v>MATCH</v>
      </c>
      <c r="P1924" s="1" t="str">
        <f t="shared" si="149"/>
        <v>2026-02</v>
      </c>
    </row>
    <row r="1925" spans="1:16" ht="18.95" customHeight="1">
      <c r="A1925" s="7" t="s">
        <v>4967</v>
      </c>
      <c r="B1925" s="7" t="s">
        <v>4968</v>
      </c>
      <c r="C1925" s="7" t="s">
        <v>452</v>
      </c>
      <c r="D1925" s="7" t="s">
        <v>97</v>
      </c>
      <c r="E1925" s="7" t="s">
        <v>47</v>
      </c>
      <c r="F1925" s="7" t="s">
        <v>98</v>
      </c>
      <c r="G1925" s="7" t="s">
        <v>4969</v>
      </c>
      <c r="I1925" s="1">
        <f t="shared" si="145"/>
        <v>1</v>
      </c>
      <c r="J1925" s="1" t="str">
        <f>'Source build'!A1925</f>
        <v>L01919</v>
      </c>
      <c r="K1925" s="1">
        <f>1925</f>
        <v>1925</v>
      </c>
      <c r="L1925" s="10">
        <f t="shared" si="146"/>
        <v>22930</v>
      </c>
      <c r="M1925" s="1">
        <f t="shared" si="147"/>
        <v>1</v>
      </c>
      <c r="N1925" s="1">
        <f t="shared" si="148"/>
        <v>1</v>
      </c>
      <c r="O1925" s="1" t="str">
        <f>IF(I1925=0,"UNUSED",IF(A1925="","MISSING ID",IF(K1925=0,"UNEXPECTED ID",IF(N1925&lt;&gt;1,"ID / ORDER DIFFERENCE",IF('Source build'!U1925&lt;&gt;"INCLUDED","EXCLUDED SOURCE",IF(NOT(M1925),"INVALID AMOUNT",IF('Source build'!Y1925&lt;&gt;0,"CHANGED FIELDS","MATCH")))))))</f>
        <v>MATCH</v>
      </c>
      <c r="P1925" s="1" t="str">
        <f t="shared" si="149"/>
        <v>2026-02</v>
      </c>
    </row>
    <row r="1926" spans="1:16" ht="18.95" customHeight="1">
      <c r="A1926" s="7" t="s">
        <v>4970</v>
      </c>
      <c r="B1926" s="7" t="s">
        <v>4968</v>
      </c>
      <c r="C1926" s="7" t="s">
        <v>452</v>
      </c>
      <c r="D1926" s="7" t="s">
        <v>103</v>
      </c>
      <c r="E1926" s="7" t="s">
        <v>48</v>
      </c>
      <c r="F1926" s="7" t="s">
        <v>98</v>
      </c>
      <c r="G1926" s="7" t="s">
        <v>4971</v>
      </c>
      <c r="I1926" s="1">
        <f t="shared" si="145"/>
        <v>1</v>
      </c>
      <c r="J1926" s="1" t="str">
        <f>'Source build'!A1926</f>
        <v>L01920</v>
      </c>
      <c r="K1926" s="1">
        <f>1926</f>
        <v>1926</v>
      </c>
      <c r="L1926" s="10">
        <f t="shared" si="146"/>
        <v>46008</v>
      </c>
      <c r="M1926" s="1">
        <f t="shared" si="147"/>
        <v>1</v>
      </c>
      <c r="N1926" s="1">
        <f t="shared" si="148"/>
        <v>1</v>
      </c>
      <c r="O1926" s="1" t="str">
        <f>IF(I1926=0,"UNUSED",IF(A1926="","MISSING ID",IF(K1926=0,"UNEXPECTED ID",IF(N1926&lt;&gt;1,"ID / ORDER DIFFERENCE",IF('Source build'!U1926&lt;&gt;"INCLUDED","EXCLUDED SOURCE",IF(NOT(M1926),"INVALID AMOUNT",IF('Source build'!Y1926&lt;&gt;0,"CHANGED FIELDS","MATCH")))))))</f>
        <v>MATCH</v>
      </c>
      <c r="P1926" s="1" t="str">
        <f t="shared" si="149"/>
        <v>2026-02</v>
      </c>
    </row>
    <row r="1927" spans="1:16" ht="18.95" customHeight="1">
      <c r="A1927" s="7" t="s">
        <v>4972</v>
      </c>
      <c r="B1927" s="7" t="s">
        <v>4973</v>
      </c>
      <c r="C1927" s="7" t="s">
        <v>458</v>
      </c>
      <c r="D1927" s="7" t="s">
        <v>93</v>
      </c>
      <c r="E1927" s="7" t="s">
        <v>46</v>
      </c>
      <c r="F1927" s="7" t="s">
        <v>98</v>
      </c>
      <c r="G1927" s="7" t="s">
        <v>4974</v>
      </c>
      <c r="I1927" s="1">
        <f t="shared" ref="I1927:I1990" si="150">IF(AND(A1927="",B1927="",C1927="",D1927="",E1927="",F1927="",G1927=""),0,1)</f>
        <v>1</v>
      </c>
      <c r="J1927" s="1" t="str">
        <f>'Source build'!A1927</f>
        <v>L01921</v>
      </c>
      <c r="K1927" s="1">
        <f>1927</f>
        <v>1927</v>
      </c>
      <c r="L1927" s="10">
        <f t="shared" ref="L1927:L1990" si="151">IFERROR(IF(ABS(VALUE(G1927)*100-ROUND(VALUE(G1927)*100,0))&lt;0.0000001,ROUND(VALUE(G1927)*100,0),0),0)</f>
        <v>11539</v>
      </c>
      <c r="M1927" s="1">
        <f t="shared" ref="M1927:M1990" si="152">--IF(I1927=0,TRUE,IF(TRIM(G1927)="",FALSE,IFERROR(AND(ISNUMBER(VALUE(G1927)),ABS(VALUE(G1927)*100-ROUND(VALUE(G1927)*100,0))&lt;0.0000001,OR(ISNUMBER(G1927),EXACT(G1927,TEXT(VALUE(G1927),"0.00"))),OR(AND(EXACT(F1927,"sale"),VALUE(G1927)&gt;0),AND(EXACT(F1927,"refund"),VALUE(G1927)&lt;0))),FALSE)))</f>
        <v>1</v>
      </c>
      <c r="N1927" s="1">
        <f t="shared" ref="N1927:N1990" si="153">IF(I1927=1,IF(EXACT(A1927,J1927),1,0),0)</f>
        <v>1</v>
      </c>
      <c r="O1927" s="1" t="str">
        <f>IF(I1927=0,"UNUSED",IF(A1927="","MISSING ID",IF(K1927=0,"UNEXPECTED ID",IF(N1927&lt;&gt;1,"ID / ORDER DIFFERENCE",IF('Source build'!U1927&lt;&gt;"INCLUDED","EXCLUDED SOURCE",IF(NOT(M1927),"INVALID AMOUNT",IF('Source build'!Y1927&lt;&gt;0,"CHANGED FIELDS","MATCH")))))))</f>
        <v>MATCH</v>
      </c>
      <c r="P1927" s="1" t="str">
        <f t="shared" ref="P1927:P1990" si="154">IF(I1927=1,LEFT(C1927,7),"")</f>
        <v>2026-03</v>
      </c>
    </row>
    <row r="1928" spans="1:16" ht="18.95" customHeight="1">
      <c r="A1928" s="7" t="s">
        <v>4975</v>
      </c>
      <c r="B1928" s="7" t="s">
        <v>4973</v>
      </c>
      <c r="C1928" s="7" t="s">
        <v>458</v>
      </c>
      <c r="D1928" s="7" t="s">
        <v>97</v>
      </c>
      <c r="E1928" s="7" t="s">
        <v>47</v>
      </c>
      <c r="F1928" s="7" t="s">
        <v>98</v>
      </c>
      <c r="G1928" s="7" t="s">
        <v>4976</v>
      </c>
      <c r="I1928" s="1">
        <f t="shared" si="150"/>
        <v>1</v>
      </c>
      <c r="J1928" s="1" t="str">
        <f>'Source build'!A1928</f>
        <v>L01922</v>
      </c>
      <c r="K1928" s="1">
        <f>1928</f>
        <v>1928</v>
      </c>
      <c r="L1928" s="10">
        <f t="shared" si="151"/>
        <v>34728</v>
      </c>
      <c r="M1928" s="1">
        <f t="shared" si="152"/>
        <v>1</v>
      </c>
      <c r="N1928" s="1">
        <f t="shared" si="153"/>
        <v>1</v>
      </c>
      <c r="O1928" s="1" t="str">
        <f>IF(I1928=0,"UNUSED",IF(A1928="","MISSING ID",IF(K1928=0,"UNEXPECTED ID",IF(N1928&lt;&gt;1,"ID / ORDER DIFFERENCE",IF('Source build'!U1928&lt;&gt;"INCLUDED","EXCLUDED SOURCE",IF(NOT(M1928),"INVALID AMOUNT",IF('Source build'!Y1928&lt;&gt;0,"CHANGED FIELDS","MATCH")))))))</f>
        <v>MATCH</v>
      </c>
      <c r="P1928" s="1" t="str">
        <f t="shared" si="154"/>
        <v>2026-03</v>
      </c>
    </row>
    <row r="1929" spans="1:16" ht="18.95" customHeight="1">
      <c r="A1929" s="7" t="s">
        <v>4977</v>
      </c>
      <c r="B1929" s="7" t="s">
        <v>4978</v>
      </c>
      <c r="C1929" s="7" t="s">
        <v>464</v>
      </c>
      <c r="D1929" s="7" t="s">
        <v>103</v>
      </c>
      <c r="E1929" s="7" t="s">
        <v>48</v>
      </c>
      <c r="F1929" s="7" t="s">
        <v>98</v>
      </c>
      <c r="G1929" s="7" t="s">
        <v>4979</v>
      </c>
      <c r="I1929" s="1">
        <f t="shared" si="150"/>
        <v>1</v>
      </c>
      <c r="J1929" s="1" t="str">
        <f>'Source build'!A1929</f>
        <v>L01923</v>
      </c>
      <c r="K1929" s="1">
        <f>1929</f>
        <v>1929</v>
      </c>
      <c r="L1929" s="10">
        <f t="shared" si="151"/>
        <v>58065</v>
      </c>
      <c r="M1929" s="1">
        <f t="shared" si="152"/>
        <v>1</v>
      </c>
      <c r="N1929" s="1">
        <f t="shared" si="153"/>
        <v>1</v>
      </c>
      <c r="O1929" s="1" t="str">
        <f>IF(I1929=0,"UNUSED",IF(A1929="","MISSING ID",IF(K1929=0,"UNEXPECTED ID",IF(N1929&lt;&gt;1,"ID / ORDER DIFFERENCE",IF('Source build'!U1929&lt;&gt;"INCLUDED","EXCLUDED SOURCE",IF(NOT(M1929),"INVALID AMOUNT",IF('Source build'!Y1929&lt;&gt;0,"CHANGED FIELDS","MATCH")))))))</f>
        <v>MATCH</v>
      </c>
      <c r="P1929" s="1" t="str">
        <f t="shared" si="154"/>
        <v>2026-03</v>
      </c>
    </row>
    <row r="1930" spans="1:16" ht="18.95" customHeight="1">
      <c r="A1930" s="7" t="s">
        <v>4980</v>
      </c>
      <c r="B1930" s="7" t="s">
        <v>4978</v>
      </c>
      <c r="C1930" s="7" t="s">
        <v>464</v>
      </c>
      <c r="D1930" s="7" t="s">
        <v>93</v>
      </c>
      <c r="E1930" s="7" t="s">
        <v>46</v>
      </c>
      <c r="F1930" s="7" t="s">
        <v>98</v>
      </c>
      <c r="G1930" s="7" t="s">
        <v>4981</v>
      </c>
      <c r="I1930" s="1">
        <f t="shared" si="150"/>
        <v>1</v>
      </c>
      <c r="J1930" s="1" t="str">
        <f>'Source build'!A1930</f>
        <v>L01924</v>
      </c>
      <c r="K1930" s="1">
        <f>1930</f>
        <v>1930</v>
      </c>
      <c r="L1930" s="10">
        <f t="shared" si="151"/>
        <v>23300</v>
      </c>
      <c r="M1930" s="1">
        <f t="shared" si="152"/>
        <v>1</v>
      </c>
      <c r="N1930" s="1">
        <f t="shared" si="153"/>
        <v>1</v>
      </c>
      <c r="O1930" s="1" t="str">
        <f>IF(I1930=0,"UNUSED",IF(A1930="","MISSING ID",IF(K1930=0,"UNEXPECTED ID",IF(N1930&lt;&gt;1,"ID / ORDER DIFFERENCE",IF('Source build'!U1930&lt;&gt;"INCLUDED","EXCLUDED SOURCE",IF(NOT(M1930),"INVALID AMOUNT",IF('Source build'!Y1930&lt;&gt;0,"CHANGED FIELDS","MATCH")))))))</f>
        <v>MATCH</v>
      </c>
      <c r="P1930" s="1" t="str">
        <f t="shared" si="154"/>
        <v>2026-03</v>
      </c>
    </row>
    <row r="1931" spans="1:16" ht="18.95" customHeight="1">
      <c r="A1931" s="7" t="s">
        <v>4982</v>
      </c>
      <c r="B1931" s="7" t="s">
        <v>4983</v>
      </c>
      <c r="C1931" s="7" t="s">
        <v>470</v>
      </c>
      <c r="D1931" s="7" t="s">
        <v>97</v>
      </c>
      <c r="E1931" s="7" t="s">
        <v>47</v>
      </c>
      <c r="F1931" s="7" t="s">
        <v>98</v>
      </c>
      <c r="G1931" s="7" t="s">
        <v>4984</v>
      </c>
      <c r="I1931" s="1">
        <f t="shared" si="150"/>
        <v>1</v>
      </c>
      <c r="J1931" s="1" t="str">
        <f>'Source build'!A1931</f>
        <v>L01925</v>
      </c>
      <c r="K1931" s="1">
        <f>1931</f>
        <v>1931</v>
      </c>
      <c r="L1931" s="10">
        <f t="shared" si="151"/>
        <v>46748</v>
      </c>
      <c r="M1931" s="1">
        <f t="shared" si="152"/>
        <v>1</v>
      </c>
      <c r="N1931" s="1">
        <f t="shared" si="153"/>
        <v>1</v>
      </c>
      <c r="O1931" s="1" t="str">
        <f>IF(I1931=0,"UNUSED",IF(A1931="","MISSING ID",IF(K1931=0,"UNEXPECTED ID",IF(N1931&lt;&gt;1,"ID / ORDER DIFFERENCE",IF('Source build'!U1931&lt;&gt;"INCLUDED","EXCLUDED SOURCE",IF(NOT(M1931),"INVALID AMOUNT",IF('Source build'!Y1931&lt;&gt;0,"CHANGED FIELDS","MATCH")))))))</f>
        <v>MATCH</v>
      </c>
      <c r="P1931" s="1" t="str">
        <f t="shared" si="154"/>
        <v>2026-03</v>
      </c>
    </row>
    <row r="1932" spans="1:16" ht="18.95" customHeight="1">
      <c r="A1932" s="7" t="s">
        <v>4985</v>
      </c>
      <c r="B1932" s="7" t="s">
        <v>4983</v>
      </c>
      <c r="C1932" s="7" t="s">
        <v>470</v>
      </c>
      <c r="D1932" s="7" t="s">
        <v>103</v>
      </c>
      <c r="E1932" s="7" t="s">
        <v>48</v>
      </c>
      <c r="F1932" s="7" t="s">
        <v>98</v>
      </c>
      <c r="G1932" s="7" t="s">
        <v>4986</v>
      </c>
      <c r="I1932" s="1">
        <f t="shared" si="150"/>
        <v>1</v>
      </c>
      <c r="J1932" s="1" t="str">
        <f>'Source build'!A1932</f>
        <v>L01926</v>
      </c>
      <c r="K1932" s="1">
        <f>1932</f>
        <v>1932</v>
      </c>
      <c r="L1932" s="10">
        <f t="shared" si="151"/>
        <v>11724</v>
      </c>
      <c r="M1932" s="1">
        <f t="shared" si="152"/>
        <v>1</v>
      </c>
      <c r="N1932" s="1">
        <f t="shared" si="153"/>
        <v>1</v>
      </c>
      <c r="O1932" s="1" t="str">
        <f>IF(I1932=0,"UNUSED",IF(A1932="","MISSING ID",IF(K1932=0,"UNEXPECTED ID",IF(N1932&lt;&gt;1,"ID / ORDER DIFFERENCE",IF('Source build'!U1932&lt;&gt;"INCLUDED","EXCLUDED SOURCE",IF(NOT(M1932),"INVALID AMOUNT",IF('Source build'!Y1932&lt;&gt;0,"CHANGED FIELDS","MATCH")))))))</f>
        <v>MATCH</v>
      </c>
      <c r="P1932" s="1" t="str">
        <f t="shared" si="154"/>
        <v>2026-03</v>
      </c>
    </row>
    <row r="1933" spans="1:16" ht="18.95" customHeight="1">
      <c r="A1933" s="7" t="s">
        <v>4987</v>
      </c>
      <c r="B1933" s="7" t="s">
        <v>4988</v>
      </c>
      <c r="C1933" s="7" t="s">
        <v>476</v>
      </c>
      <c r="D1933" s="7" t="s">
        <v>93</v>
      </c>
      <c r="E1933" s="7" t="s">
        <v>46</v>
      </c>
      <c r="F1933" s="7" t="s">
        <v>98</v>
      </c>
      <c r="G1933" s="7" t="s">
        <v>4989</v>
      </c>
      <c r="I1933" s="1">
        <f t="shared" si="150"/>
        <v>1</v>
      </c>
      <c r="J1933" s="1" t="str">
        <f>'Source build'!A1933</f>
        <v>L01927</v>
      </c>
      <c r="K1933" s="1">
        <f>1933</f>
        <v>1933</v>
      </c>
      <c r="L1933" s="10">
        <f t="shared" si="151"/>
        <v>35283</v>
      </c>
      <c r="M1933" s="1">
        <f t="shared" si="152"/>
        <v>1</v>
      </c>
      <c r="N1933" s="1">
        <f t="shared" si="153"/>
        <v>1</v>
      </c>
      <c r="O1933" s="1" t="str">
        <f>IF(I1933=0,"UNUSED",IF(A1933="","MISSING ID",IF(K1933=0,"UNEXPECTED ID",IF(N1933&lt;&gt;1,"ID / ORDER DIFFERENCE",IF('Source build'!U1933&lt;&gt;"INCLUDED","EXCLUDED SOURCE",IF(NOT(M1933),"INVALID AMOUNT",IF('Source build'!Y1933&lt;&gt;0,"CHANGED FIELDS","MATCH")))))))</f>
        <v>MATCH</v>
      </c>
      <c r="P1933" s="1" t="str">
        <f t="shared" si="154"/>
        <v>2026-03</v>
      </c>
    </row>
    <row r="1934" spans="1:16" ht="18.95" customHeight="1">
      <c r="A1934" s="7" t="s">
        <v>4990</v>
      </c>
      <c r="B1934" s="7" t="s">
        <v>4988</v>
      </c>
      <c r="C1934" s="7" t="s">
        <v>476</v>
      </c>
      <c r="D1934" s="7" t="s">
        <v>97</v>
      </c>
      <c r="E1934" s="7" t="s">
        <v>47</v>
      </c>
      <c r="F1934" s="7" t="s">
        <v>98</v>
      </c>
      <c r="G1934" s="7" t="s">
        <v>4991</v>
      </c>
      <c r="I1934" s="1">
        <f t="shared" si="150"/>
        <v>1</v>
      </c>
      <c r="J1934" s="1" t="str">
        <f>'Source build'!A1934</f>
        <v>L01928</v>
      </c>
      <c r="K1934" s="1">
        <f>1934</f>
        <v>1934</v>
      </c>
      <c r="L1934" s="10">
        <f t="shared" si="151"/>
        <v>58990</v>
      </c>
      <c r="M1934" s="1">
        <f t="shared" si="152"/>
        <v>1</v>
      </c>
      <c r="N1934" s="1">
        <f t="shared" si="153"/>
        <v>1</v>
      </c>
      <c r="O1934" s="1" t="str">
        <f>IF(I1934=0,"UNUSED",IF(A1934="","MISSING ID",IF(K1934=0,"UNEXPECTED ID",IF(N1934&lt;&gt;1,"ID / ORDER DIFFERENCE",IF('Source build'!U1934&lt;&gt;"INCLUDED","EXCLUDED SOURCE",IF(NOT(M1934),"INVALID AMOUNT",IF('Source build'!Y1934&lt;&gt;0,"CHANGED FIELDS","MATCH")))))))</f>
        <v>MATCH</v>
      </c>
      <c r="P1934" s="1" t="str">
        <f t="shared" si="154"/>
        <v>2026-03</v>
      </c>
    </row>
    <row r="1935" spans="1:16" ht="18.95" customHeight="1">
      <c r="A1935" s="7" t="s">
        <v>4992</v>
      </c>
      <c r="B1935" s="7" t="s">
        <v>4993</v>
      </c>
      <c r="C1935" s="7" t="s">
        <v>482</v>
      </c>
      <c r="D1935" s="7" t="s">
        <v>103</v>
      </c>
      <c r="E1935" s="7" t="s">
        <v>48</v>
      </c>
      <c r="F1935" s="7" t="s">
        <v>98</v>
      </c>
      <c r="G1935" s="7" t="s">
        <v>4994</v>
      </c>
      <c r="I1935" s="1">
        <f t="shared" si="150"/>
        <v>1</v>
      </c>
      <c r="J1935" s="1" t="str">
        <f>'Source build'!A1935</f>
        <v>L01929</v>
      </c>
      <c r="K1935" s="1">
        <f>1935</f>
        <v>1935</v>
      </c>
      <c r="L1935" s="10">
        <f t="shared" si="151"/>
        <v>23670</v>
      </c>
      <c r="M1935" s="1">
        <f t="shared" si="152"/>
        <v>1</v>
      </c>
      <c r="N1935" s="1">
        <f t="shared" si="153"/>
        <v>1</v>
      </c>
      <c r="O1935" s="1" t="str">
        <f>IF(I1935=0,"UNUSED",IF(A1935="","MISSING ID",IF(K1935=0,"UNEXPECTED ID",IF(N1935&lt;&gt;1,"ID / ORDER DIFFERENCE",IF('Source build'!U1935&lt;&gt;"INCLUDED","EXCLUDED SOURCE",IF(NOT(M1935),"INVALID AMOUNT",IF('Source build'!Y1935&lt;&gt;0,"CHANGED FIELDS","MATCH")))))))</f>
        <v>MATCH</v>
      </c>
      <c r="P1935" s="1" t="str">
        <f t="shared" si="154"/>
        <v>2026-03</v>
      </c>
    </row>
    <row r="1936" spans="1:16" ht="18.95" customHeight="1">
      <c r="A1936" s="7" t="s">
        <v>4995</v>
      </c>
      <c r="B1936" s="7" t="s">
        <v>4993</v>
      </c>
      <c r="C1936" s="7" t="s">
        <v>482</v>
      </c>
      <c r="D1936" s="7" t="s">
        <v>93</v>
      </c>
      <c r="E1936" s="7" t="s">
        <v>46</v>
      </c>
      <c r="F1936" s="7" t="s">
        <v>98</v>
      </c>
      <c r="G1936" s="7" t="s">
        <v>4996</v>
      </c>
      <c r="I1936" s="1">
        <f t="shared" si="150"/>
        <v>1</v>
      </c>
      <c r="J1936" s="1" t="str">
        <f>'Source build'!A1936</f>
        <v>L01930</v>
      </c>
      <c r="K1936" s="1">
        <f>1936</f>
        <v>1936</v>
      </c>
      <c r="L1936" s="10">
        <f t="shared" si="151"/>
        <v>47488</v>
      </c>
      <c r="M1936" s="1">
        <f t="shared" si="152"/>
        <v>1</v>
      </c>
      <c r="N1936" s="1">
        <f t="shared" si="153"/>
        <v>1</v>
      </c>
      <c r="O1936" s="1" t="str">
        <f>IF(I1936=0,"UNUSED",IF(A1936="","MISSING ID",IF(K1936=0,"UNEXPECTED ID",IF(N1936&lt;&gt;1,"ID / ORDER DIFFERENCE",IF('Source build'!U1936&lt;&gt;"INCLUDED","EXCLUDED SOURCE",IF(NOT(M1936),"INVALID AMOUNT",IF('Source build'!Y1936&lt;&gt;0,"CHANGED FIELDS","MATCH")))))))</f>
        <v>MATCH</v>
      </c>
      <c r="P1936" s="1" t="str">
        <f t="shared" si="154"/>
        <v>2026-03</v>
      </c>
    </row>
    <row r="1937" spans="1:16" ht="18.95" customHeight="1">
      <c r="A1937" s="7" t="s">
        <v>4997</v>
      </c>
      <c r="B1937" s="7" t="s">
        <v>4998</v>
      </c>
      <c r="C1937" s="7" t="s">
        <v>488</v>
      </c>
      <c r="D1937" s="7" t="s">
        <v>97</v>
      </c>
      <c r="E1937" s="7" t="s">
        <v>47</v>
      </c>
      <c r="F1937" s="7" t="s">
        <v>98</v>
      </c>
      <c r="G1937" s="7" t="s">
        <v>4999</v>
      </c>
      <c r="I1937" s="1">
        <f t="shared" si="150"/>
        <v>1</v>
      </c>
      <c r="J1937" s="1" t="str">
        <f>'Source build'!A1937</f>
        <v>L01931</v>
      </c>
      <c r="K1937" s="1">
        <f>1937</f>
        <v>1937</v>
      </c>
      <c r="L1937" s="10">
        <f t="shared" si="151"/>
        <v>11909</v>
      </c>
      <c r="M1937" s="1">
        <f t="shared" si="152"/>
        <v>1</v>
      </c>
      <c r="N1937" s="1">
        <f t="shared" si="153"/>
        <v>1</v>
      </c>
      <c r="O1937" s="1" t="str">
        <f>IF(I1937=0,"UNUSED",IF(A1937="","MISSING ID",IF(K1937=0,"UNEXPECTED ID",IF(N1937&lt;&gt;1,"ID / ORDER DIFFERENCE",IF('Source build'!U1937&lt;&gt;"INCLUDED","EXCLUDED SOURCE",IF(NOT(M1937),"INVALID AMOUNT",IF('Source build'!Y1937&lt;&gt;0,"CHANGED FIELDS","MATCH")))))))</f>
        <v>MATCH</v>
      </c>
      <c r="P1937" s="1" t="str">
        <f t="shared" si="154"/>
        <v>2026-01</v>
      </c>
    </row>
    <row r="1938" spans="1:16" ht="18.95" customHeight="1">
      <c r="A1938" s="7" t="s">
        <v>5000</v>
      </c>
      <c r="B1938" s="7" t="s">
        <v>4998</v>
      </c>
      <c r="C1938" s="7" t="s">
        <v>488</v>
      </c>
      <c r="D1938" s="7" t="s">
        <v>103</v>
      </c>
      <c r="E1938" s="7" t="s">
        <v>48</v>
      </c>
      <c r="F1938" s="7" t="s">
        <v>98</v>
      </c>
      <c r="G1938" s="7" t="s">
        <v>5001</v>
      </c>
      <c r="I1938" s="1">
        <f t="shared" si="150"/>
        <v>1</v>
      </c>
      <c r="J1938" s="1" t="str">
        <f>'Source build'!A1938</f>
        <v>L01932</v>
      </c>
      <c r="K1938" s="1">
        <f>1938</f>
        <v>1938</v>
      </c>
      <c r="L1938" s="10">
        <f t="shared" si="151"/>
        <v>35838</v>
      </c>
      <c r="M1938" s="1">
        <f t="shared" si="152"/>
        <v>1</v>
      </c>
      <c r="N1938" s="1">
        <f t="shared" si="153"/>
        <v>1</v>
      </c>
      <c r="O1938" s="1" t="str">
        <f>IF(I1938=0,"UNUSED",IF(A1938="","MISSING ID",IF(K1938=0,"UNEXPECTED ID",IF(N1938&lt;&gt;1,"ID / ORDER DIFFERENCE",IF('Source build'!U1938&lt;&gt;"INCLUDED","EXCLUDED SOURCE",IF(NOT(M1938),"INVALID AMOUNT",IF('Source build'!Y1938&lt;&gt;0,"CHANGED FIELDS","MATCH")))))))</f>
        <v>MATCH</v>
      </c>
      <c r="P1938" s="1" t="str">
        <f t="shared" si="154"/>
        <v>2026-01</v>
      </c>
    </row>
    <row r="1939" spans="1:16" ht="18.95" customHeight="1">
      <c r="A1939" s="7" t="s">
        <v>5002</v>
      </c>
      <c r="B1939" s="7" t="s">
        <v>5003</v>
      </c>
      <c r="C1939" s="7" t="s">
        <v>494</v>
      </c>
      <c r="D1939" s="7" t="s">
        <v>93</v>
      </c>
      <c r="E1939" s="7" t="s">
        <v>46</v>
      </c>
      <c r="F1939" s="7" t="s">
        <v>94</v>
      </c>
      <c r="G1939" s="7" t="s">
        <v>5004</v>
      </c>
      <c r="I1939" s="1">
        <f t="shared" si="150"/>
        <v>1</v>
      </c>
      <c r="J1939" s="1" t="str">
        <f>'Source build'!A1939</f>
        <v>L01933</v>
      </c>
      <c r="K1939" s="1">
        <f>1939</f>
        <v>1939</v>
      </c>
      <c r="L1939" s="10">
        <f t="shared" si="151"/>
        <v>-59915</v>
      </c>
      <c r="M1939" s="1">
        <f t="shared" si="152"/>
        <v>1</v>
      </c>
      <c r="N1939" s="1">
        <f t="shared" si="153"/>
        <v>1</v>
      </c>
      <c r="O1939" s="1" t="str">
        <f>IF(I1939=0,"UNUSED",IF(A1939="","MISSING ID",IF(K1939=0,"UNEXPECTED ID",IF(N1939&lt;&gt;1,"ID / ORDER DIFFERENCE",IF('Source build'!U1939&lt;&gt;"INCLUDED","EXCLUDED SOURCE",IF(NOT(M1939),"INVALID AMOUNT",IF('Source build'!Y1939&lt;&gt;0,"CHANGED FIELDS","MATCH")))))))</f>
        <v>MATCH</v>
      </c>
      <c r="P1939" s="1" t="str">
        <f t="shared" si="154"/>
        <v>2026-01</v>
      </c>
    </row>
    <row r="1940" spans="1:16" ht="18.95" customHeight="1">
      <c r="A1940" s="7" t="s">
        <v>5005</v>
      </c>
      <c r="B1940" s="7" t="s">
        <v>5003</v>
      </c>
      <c r="C1940" s="7" t="s">
        <v>494</v>
      </c>
      <c r="D1940" s="7" t="s">
        <v>97</v>
      </c>
      <c r="E1940" s="7" t="s">
        <v>47</v>
      </c>
      <c r="F1940" s="7" t="s">
        <v>98</v>
      </c>
      <c r="G1940" s="7" t="s">
        <v>5006</v>
      </c>
      <c r="I1940" s="1">
        <f t="shared" si="150"/>
        <v>1</v>
      </c>
      <c r="J1940" s="1" t="str">
        <f>'Source build'!A1940</f>
        <v>L01934</v>
      </c>
      <c r="K1940" s="1">
        <f>1940</f>
        <v>1940</v>
      </c>
      <c r="L1940" s="10">
        <f t="shared" si="151"/>
        <v>24040</v>
      </c>
      <c r="M1940" s="1">
        <f t="shared" si="152"/>
        <v>1</v>
      </c>
      <c r="N1940" s="1">
        <f t="shared" si="153"/>
        <v>1</v>
      </c>
      <c r="O1940" s="1" t="str">
        <f>IF(I1940=0,"UNUSED",IF(A1940="","MISSING ID",IF(K1940=0,"UNEXPECTED ID",IF(N1940&lt;&gt;1,"ID / ORDER DIFFERENCE",IF('Source build'!U1940&lt;&gt;"INCLUDED","EXCLUDED SOURCE",IF(NOT(M1940),"INVALID AMOUNT",IF('Source build'!Y1940&lt;&gt;0,"CHANGED FIELDS","MATCH")))))))</f>
        <v>MATCH</v>
      </c>
      <c r="P1940" s="1" t="str">
        <f t="shared" si="154"/>
        <v>2026-01</v>
      </c>
    </row>
    <row r="1941" spans="1:16" ht="18.95" customHeight="1">
      <c r="A1941" s="7" t="s">
        <v>5007</v>
      </c>
      <c r="B1941" s="7" t="s">
        <v>5008</v>
      </c>
      <c r="C1941" s="7" t="s">
        <v>500</v>
      </c>
      <c r="D1941" s="7" t="s">
        <v>103</v>
      </c>
      <c r="E1941" s="7" t="s">
        <v>48</v>
      </c>
      <c r="F1941" s="7" t="s">
        <v>98</v>
      </c>
      <c r="G1941" s="7" t="s">
        <v>5009</v>
      </c>
      <c r="I1941" s="1">
        <f t="shared" si="150"/>
        <v>1</v>
      </c>
      <c r="J1941" s="1" t="str">
        <f>'Source build'!A1941</f>
        <v>L01935</v>
      </c>
      <c r="K1941" s="1">
        <f>1941</f>
        <v>1941</v>
      </c>
      <c r="L1941" s="10">
        <f t="shared" si="151"/>
        <v>48228</v>
      </c>
      <c r="M1941" s="1">
        <f t="shared" si="152"/>
        <v>1</v>
      </c>
      <c r="N1941" s="1">
        <f t="shared" si="153"/>
        <v>1</v>
      </c>
      <c r="O1941" s="1" t="str">
        <f>IF(I1941=0,"UNUSED",IF(A1941="","MISSING ID",IF(K1941=0,"UNEXPECTED ID",IF(N1941&lt;&gt;1,"ID / ORDER DIFFERENCE",IF('Source build'!U1941&lt;&gt;"INCLUDED","EXCLUDED SOURCE",IF(NOT(M1941),"INVALID AMOUNT",IF('Source build'!Y1941&lt;&gt;0,"CHANGED FIELDS","MATCH")))))))</f>
        <v>MATCH</v>
      </c>
      <c r="P1941" s="1" t="str">
        <f t="shared" si="154"/>
        <v>2026-01</v>
      </c>
    </row>
    <row r="1942" spans="1:16" ht="18.95" customHeight="1">
      <c r="A1942" s="7" t="s">
        <v>5010</v>
      </c>
      <c r="B1942" s="7" t="s">
        <v>5008</v>
      </c>
      <c r="C1942" s="7" t="s">
        <v>500</v>
      </c>
      <c r="D1942" s="7" t="s">
        <v>93</v>
      </c>
      <c r="E1942" s="7" t="s">
        <v>46</v>
      </c>
      <c r="F1942" s="7" t="s">
        <v>98</v>
      </c>
      <c r="G1942" s="7" t="s">
        <v>5011</v>
      </c>
      <c r="I1942" s="1">
        <f t="shared" si="150"/>
        <v>1</v>
      </c>
      <c r="J1942" s="1" t="str">
        <f>'Source build'!A1942</f>
        <v>L01936</v>
      </c>
      <c r="K1942" s="1">
        <f>1942</f>
        <v>1942</v>
      </c>
      <c r="L1942" s="10">
        <f t="shared" si="151"/>
        <v>12094</v>
      </c>
      <c r="M1942" s="1">
        <f t="shared" si="152"/>
        <v>1</v>
      </c>
      <c r="N1942" s="1">
        <f t="shared" si="153"/>
        <v>1</v>
      </c>
      <c r="O1942" s="1" t="str">
        <f>IF(I1942=0,"UNUSED",IF(A1942="","MISSING ID",IF(K1942=0,"UNEXPECTED ID",IF(N1942&lt;&gt;1,"ID / ORDER DIFFERENCE",IF('Source build'!U1942&lt;&gt;"INCLUDED","EXCLUDED SOURCE",IF(NOT(M1942),"INVALID AMOUNT",IF('Source build'!Y1942&lt;&gt;0,"CHANGED FIELDS","MATCH")))))))</f>
        <v>MATCH</v>
      </c>
      <c r="P1942" s="1" t="str">
        <f t="shared" si="154"/>
        <v>2026-01</v>
      </c>
    </row>
    <row r="1943" spans="1:16" ht="18.95" customHeight="1">
      <c r="A1943" s="7" t="s">
        <v>5012</v>
      </c>
      <c r="B1943" s="7" t="s">
        <v>5013</v>
      </c>
      <c r="C1943" s="7" t="s">
        <v>506</v>
      </c>
      <c r="D1943" s="7" t="s">
        <v>97</v>
      </c>
      <c r="E1943" s="7" t="s">
        <v>47</v>
      </c>
      <c r="F1943" s="7" t="s">
        <v>98</v>
      </c>
      <c r="G1943" s="7" t="s">
        <v>5014</v>
      </c>
      <c r="I1943" s="1">
        <f t="shared" si="150"/>
        <v>1</v>
      </c>
      <c r="J1943" s="1" t="str">
        <f>'Source build'!A1943</f>
        <v>L01937</v>
      </c>
      <c r="K1943" s="1">
        <f>1943</f>
        <v>1943</v>
      </c>
      <c r="L1943" s="10">
        <f t="shared" si="151"/>
        <v>36393</v>
      </c>
      <c r="M1943" s="1">
        <f t="shared" si="152"/>
        <v>1</v>
      </c>
      <c r="N1943" s="1">
        <f t="shared" si="153"/>
        <v>1</v>
      </c>
      <c r="O1943" s="1" t="str">
        <f>IF(I1943=0,"UNUSED",IF(A1943="","MISSING ID",IF(K1943=0,"UNEXPECTED ID",IF(N1943&lt;&gt;1,"ID / ORDER DIFFERENCE",IF('Source build'!U1943&lt;&gt;"INCLUDED","EXCLUDED SOURCE",IF(NOT(M1943),"INVALID AMOUNT",IF('Source build'!Y1943&lt;&gt;0,"CHANGED FIELDS","MATCH")))))))</f>
        <v>MATCH</v>
      </c>
      <c r="P1943" s="1" t="str">
        <f t="shared" si="154"/>
        <v>2026-01</v>
      </c>
    </row>
    <row r="1944" spans="1:16" ht="18.95" customHeight="1">
      <c r="A1944" s="7" t="s">
        <v>5015</v>
      </c>
      <c r="B1944" s="7" t="s">
        <v>5013</v>
      </c>
      <c r="C1944" s="7" t="s">
        <v>506</v>
      </c>
      <c r="D1944" s="7" t="s">
        <v>103</v>
      </c>
      <c r="E1944" s="7" t="s">
        <v>48</v>
      </c>
      <c r="F1944" s="7" t="s">
        <v>98</v>
      </c>
      <c r="G1944" s="7" t="s">
        <v>5016</v>
      </c>
      <c r="I1944" s="1">
        <f t="shared" si="150"/>
        <v>1</v>
      </c>
      <c r="J1944" s="1" t="str">
        <f>'Source build'!A1944</f>
        <v>L01938</v>
      </c>
      <c r="K1944" s="1">
        <f>1944</f>
        <v>1944</v>
      </c>
      <c r="L1944" s="10">
        <f t="shared" si="151"/>
        <v>60840</v>
      </c>
      <c r="M1944" s="1">
        <f t="shared" si="152"/>
        <v>1</v>
      </c>
      <c r="N1944" s="1">
        <f t="shared" si="153"/>
        <v>1</v>
      </c>
      <c r="O1944" s="1" t="str">
        <f>IF(I1944=0,"UNUSED",IF(A1944="","MISSING ID",IF(K1944=0,"UNEXPECTED ID",IF(N1944&lt;&gt;1,"ID / ORDER DIFFERENCE",IF('Source build'!U1944&lt;&gt;"INCLUDED","EXCLUDED SOURCE",IF(NOT(M1944),"INVALID AMOUNT",IF('Source build'!Y1944&lt;&gt;0,"CHANGED FIELDS","MATCH")))))))</f>
        <v>MATCH</v>
      </c>
      <c r="P1944" s="1" t="str">
        <f t="shared" si="154"/>
        <v>2026-01</v>
      </c>
    </row>
    <row r="1945" spans="1:16" ht="18.95" customHeight="1">
      <c r="A1945" s="7" t="s">
        <v>5017</v>
      </c>
      <c r="B1945" s="7" t="s">
        <v>5018</v>
      </c>
      <c r="C1945" s="7" t="s">
        <v>512</v>
      </c>
      <c r="D1945" s="7" t="s">
        <v>93</v>
      </c>
      <c r="E1945" s="7" t="s">
        <v>46</v>
      </c>
      <c r="F1945" s="7" t="s">
        <v>98</v>
      </c>
      <c r="G1945" s="7" t="s">
        <v>5019</v>
      </c>
      <c r="I1945" s="1">
        <f t="shared" si="150"/>
        <v>1</v>
      </c>
      <c r="J1945" s="1" t="str">
        <f>'Source build'!A1945</f>
        <v>L01939</v>
      </c>
      <c r="K1945" s="1">
        <f>1945</f>
        <v>1945</v>
      </c>
      <c r="L1945" s="10">
        <f t="shared" si="151"/>
        <v>24410</v>
      </c>
      <c r="M1945" s="1">
        <f t="shared" si="152"/>
        <v>1</v>
      </c>
      <c r="N1945" s="1">
        <f t="shared" si="153"/>
        <v>1</v>
      </c>
      <c r="O1945" s="1" t="str">
        <f>IF(I1945=0,"UNUSED",IF(A1945="","MISSING ID",IF(K1945=0,"UNEXPECTED ID",IF(N1945&lt;&gt;1,"ID / ORDER DIFFERENCE",IF('Source build'!U1945&lt;&gt;"INCLUDED","EXCLUDED SOURCE",IF(NOT(M1945),"INVALID AMOUNT",IF('Source build'!Y1945&lt;&gt;0,"CHANGED FIELDS","MATCH")))))))</f>
        <v>MATCH</v>
      </c>
      <c r="P1945" s="1" t="str">
        <f t="shared" si="154"/>
        <v>2026-02</v>
      </c>
    </row>
    <row r="1946" spans="1:16" ht="18.95" customHeight="1">
      <c r="A1946" s="7" t="s">
        <v>5020</v>
      </c>
      <c r="B1946" s="7" t="s">
        <v>5018</v>
      </c>
      <c r="C1946" s="7" t="s">
        <v>512</v>
      </c>
      <c r="D1946" s="7" t="s">
        <v>97</v>
      </c>
      <c r="E1946" s="7" t="s">
        <v>47</v>
      </c>
      <c r="F1946" s="7" t="s">
        <v>98</v>
      </c>
      <c r="G1946" s="7" t="s">
        <v>5021</v>
      </c>
      <c r="I1946" s="1">
        <f t="shared" si="150"/>
        <v>1</v>
      </c>
      <c r="J1946" s="1" t="str">
        <f>'Source build'!A1946</f>
        <v>L01940</v>
      </c>
      <c r="K1946" s="1">
        <f>1946</f>
        <v>1946</v>
      </c>
      <c r="L1946" s="10">
        <f t="shared" si="151"/>
        <v>48968</v>
      </c>
      <c r="M1946" s="1">
        <f t="shared" si="152"/>
        <v>1</v>
      </c>
      <c r="N1946" s="1">
        <f t="shared" si="153"/>
        <v>1</v>
      </c>
      <c r="O1946" s="1" t="str">
        <f>IF(I1946=0,"UNUSED",IF(A1946="","MISSING ID",IF(K1946=0,"UNEXPECTED ID",IF(N1946&lt;&gt;1,"ID / ORDER DIFFERENCE",IF('Source build'!U1946&lt;&gt;"INCLUDED","EXCLUDED SOURCE",IF(NOT(M1946),"INVALID AMOUNT",IF('Source build'!Y1946&lt;&gt;0,"CHANGED FIELDS","MATCH")))))))</f>
        <v>MATCH</v>
      </c>
      <c r="P1946" s="1" t="str">
        <f t="shared" si="154"/>
        <v>2026-02</v>
      </c>
    </row>
    <row r="1947" spans="1:16" ht="18.95" customHeight="1">
      <c r="A1947" s="7" t="s">
        <v>5022</v>
      </c>
      <c r="B1947" s="7" t="s">
        <v>5023</v>
      </c>
      <c r="C1947" s="7" t="s">
        <v>518</v>
      </c>
      <c r="D1947" s="7" t="s">
        <v>103</v>
      </c>
      <c r="E1947" s="7" t="s">
        <v>48</v>
      </c>
      <c r="F1947" s="7" t="s">
        <v>98</v>
      </c>
      <c r="G1947" s="7" t="s">
        <v>5024</v>
      </c>
      <c r="I1947" s="1">
        <f t="shared" si="150"/>
        <v>1</v>
      </c>
      <c r="J1947" s="1" t="str">
        <f>'Source build'!A1947</f>
        <v>L01941</v>
      </c>
      <c r="K1947" s="1">
        <f>1947</f>
        <v>1947</v>
      </c>
      <c r="L1947" s="10">
        <f t="shared" si="151"/>
        <v>12279</v>
      </c>
      <c r="M1947" s="1">
        <f t="shared" si="152"/>
        <v>1</v>
      </c>
      <c r="N1947" s="1">
        <f t="shared" si="153"/>
        <v>1</v>
      </c>
      <c r="O1947" s="1" t="str">
        <f>IF(I1947=0,"UNUSED",IF(A1947="","MISSING ID",IF(K1947=0,"UNEXPECTED ID",IF(N1947&lt;&gt;1,"ID / ORDER DIFFERENCE",IF('Source build'!U1947&lt;&gt;"INCLUDED","EXCLUDED SOURCE",IF(NOT(M1947),"INVALID AMOUNT",IF('Source build'!Y1947&lt;&gt;0,"CHANGED FIELDS","MATCH")))))))</f>
        <v>MATCH</v>
      </c>
      <c r="P1947" s="1" t="str">
        <f t="shared" si="154"/>
        <v>2026-02</v>
      </c>
    </row>
    <row r="1948" spans="1:16" ht="18.95" customHeight="1">
      <c r="A1948" s="7" t="s">
        <v>5025</v>
      </c>
      <c r="B1948" s="7" t="s">
        <v>5023</v>
      </c>
      <c r="C1948" s="7" t="s">
        <v>518</v>
      </c>
      <c r="D1948" s="7" t="s">
        <v>93</v>
      </c>
      <c r="E1948" s="7" t="s">
        <v>46</v>
      </c>
      <c r="F1948" s="7" t="s">
        <v>98</v>
      </c>
      <c r="G1948" s="7" t="s">
        <v>5026</v>
      </c>
      <c r="I1948" s="1">
        <f t="shared" si="150"/>
        <v>1</v>
      </c>
      <c r="J1948" s="1" t="str">
        <f>'Source build'!A1948</f>
        <v>L01942</v>
      </c>
      <c r="K1948" s="1">
        <f>1948</f>
        <v>1948</v>
      </c>
      <c r="L1948" s="10">
        <f t="shared" si="151"/>
        <v>36948</v>
      </c>
      <c r="M1948" s="1">
        <f t="shared" si="152"/>
        <v>1</v>
      </c>
      <c r="N1948" s="1">
        <f t="shared" si="153"/>
        <v>1</v>
      </c>
      <c r="O1948" s="1" t="str">
        <f>IF(I1948=0,"UNUSED",IF(A1948="","MISSING ID",IF(K1948=0,"UNEXPECTED ID",IF(N1948&lt;&gt;1,"ID / ORDER DIFFERENCE",IF('Source build'!U1948&lt;&gt;"INCLUDED","EXCLUDED SOURCE",IF(NOT(M1948),"INVALID AMOUNT",IF('Source build'!Y1948&lt;&gt;0,"CHANGED FIELDS","MATCH")))))))</f>
        <v>MATCH</v>
      </c>
      <c r="P1948" s="1" t="str">
        <f t="shared" si="154"/>
        <v>2026-02</v>
      </c>
    </row>
    <row r="1949" spans="1:16" ht="18.95" customHeight="1">
      <c r="A1949" s="7" t="s">
        <v>5027</v>
      </c>
      <c r="B1949" s="7" t="s">
        <v>5028</v>
      </c>
      <c r="C1949" s="7" t="s">
        <v>524</v>
      </c>
      <c r="D1949" s="7" t="s">
        <v>97</v>
      </c>
      <c r="E1949" s="7" t="s">
        <v>47</v>
      </c>
      <c r="F1949" s="7" t="s">
        <v>98</v>
      </c>
      <c r="G1949" s="7" t="s">
        <v>5029</v>
      </c>
      <c r="I1949" s="1">
        <f t="shared" si="150"/>
        <v>1</v>
      </c>
      <c r="J1949" s="1" t="str">
        <f>'Source build'!A1949</f>
        <v>L01943</v>
      </c>
      <c r="K1949" s="1">
        <f>1949</f>
        <v>1949</v>
      </c>
      <c r="L1949" s="10">
        <f t="shared" si="151"/>
        <v>61765</v>
      </c>
      <c r="M1949" s="1">
        <f t="shared" si="152"/>
        <v>1</v>
      </c>
      <c r="N1949" s="1">
        <f t="shared" si="153"/>
        <v>1</v>
      </c>
      <c r="O1949" s="1" t="str">
        <f>IF(I1949=0,"UNUSED",IF(A1949="","MISSING ID",IF(K1949=0,"UNEXPECTED ID",IF(N1949&lt;&gt;1,"ID / ORDER DIFFERENCE",IF('Source build'!U1949&lt;&gt;"INCLUDED","EXCLUDED SOURCE",IF(NOT(M1949),"INVALID AMOUNT",IF('Source build'!Y1949&lt;&gt;0,"CHANGED FIELDS","MATCH")))))))</f>
        <v>MATCH</v>
      </c>
      <c r="P1949" s="1" t="str">
        <f t="shared" si="154"/>
        <v>2026-02</v>
      </c>
    </row>
    <row r="1950" spans="1:16" ht="18.95" customHeight="1">
      <c r="A1950" s="7" t="s">
        <v>5030</v>
      </c>
      <c r="B1950" s="7" t="s">
        <v>5028</v>
      </c>
      <c r="C1950" s="7" t="s">
        <v>524</v>
      </c>
      <c r="D1950" s="7" t="s">
        <v>103</v>
      </c>
      <c r="E1950" s="7" t="s">
        <v>48</v>
      </c>
      <c r="F1950" s="7" t="s">
        <v>98</v>
      </c>
      <c r="G1950" s="7" t="s">
        <v>5031</v>
      </c>
      <c r="I1950" s="1">
        <f t="shared" si="150"/>
        <v>1</v>
      </c>
      <c r="J1950" s="1" t="str">
        <f>'Source build'!A1950</f>
        <v>L01944</v>
      </c>
      <c r="K1950" s="1">
        <f>1950</f>
        <v>1950</v>
      </c>
      <c r="L1950" s="10">
        <f t="shared" si="151"/>
        <v>24780</v>
      </c>
      <c r="M1950" s="1">
        <f t="shared" si="152"/>
        <v>1</v>
      </c>
      <c r="N1950" s="1">
        <f t="shared" si="153"/>
        <v>1</v>
      </c>
      <c r="O1950" s="1" t="str">
        <f>IF(I1950=0,"UNUSED",IF(A1950="","MISSING ID",IF(K1950=0,"UNEXPECTED ID",IF(N1950&lt;&gt;1,"ID / ORDER DIFFERENCE",IF('Source build'!U1950&lt;&gt;"INCLUDED","EXCLUDED SOURCE",IF(NOT(M1950),"INVALID AMOUNT",IF('Source build'!Y1950&lt;&gt;0,"CHANGED FIELDS","MATCH")))))))</f>
        <v>MATCH</v>
      </c>
      <c r="P1950" s="1" t="str">
        <f t="shared" si="154"/>
        <v>2026-02</v>
      </c>
    </row>
    <row r="1951" spans="1:16" ht="18.95" customHeight="1">
      <c r="A1951" s="7" t="s">
        <v>5032</v>
      </c>
      <c r="B1951" s="7" t="s">
        <v>5033</v>
      </c>
      <c r="C1951" s="7" t="s">
        <v>530</v>
      </c>
      <c r="D1951" s="7" t="s">
        <v>93</v>
      </c>
      <c r="E1951" s="7" t="s">
        <v>46</v>
      </c>
      <c r="F1951" s="7" t="s">
        <v>98</v>
      </c>
      <c r="G1951" s="7" t="s">
        <v>5034</v>
      </c>
      <c r="I1951" s="1">
        <f t="shared" si="150"/>
        <v>1</v>
      </c>
      <c r="J1951" s="1" t="str">
        <f>'Source build'!A1951</f>
        <v>L01945</v>
      </c>
      <c r="K1951" s="1">
        <f>1951</f>
        <v>1951</v>
      </c>
      <c r="L1951" s="10">
        <f t="shared" si="151"/>
        <v>49708</v>
      </c>
      <c r="M1951" s="1">
        <f t="shared" si="152"/>
        <v>1</v>
      </c>
      <c r="N1951" s="1">
        <f t="shared" si="153"/>
        <v>1</v>
      </c>
      <c r="O1951" s="1" t="str">
        <f>IF(I1951=0,"UNUSED",IF(A1951="","MISSING ID",IF(K1951=0,"UNEXPECTED ID",IF(N1951&lt;&gt;1,"ID / ORDER DIFFERENCE",IF('Source build'!U1951&lt;&gt;"INCLUDED","EXCLUDED SOURCE",IF(NOT(M1951),"INVALID AMOUNT",IF('Source build'!Y1951&lt;&gt;0,"CHANGED FIELDS","MATCH")))))))</f>
        <v>MATCH</v>
      </c>
      <c r="P1951" s="1" t="str">
        <f t="shared" si="154"/>
        <v>2026-02</v>
      </c>
    </row>
    <row r="1952" spans="1:16" ht="18.95" customHeight="1">
      <c r="A1952" s="7" t="s">
        <v>5035</v>
      </c>
      <c r="B1952" s="7" t="s">
        <v>5033</v>
      </c>
      <c r="C1952" s="7" t="s">
        <v>530</v>
      </c>
      <c r="D1952" s="7" t="s">
        <v>97</v>
      </c>
      <c r="E1952" s="7" t="s">
        <v>47</v>
      </c>
      <c r="F1952" s="7" t="s">
        <v>98</v>
      </c>
      <c r="G1952" s="7" t="s">
        <v>5036</v>
      </c>
      <c r="I1952" s="1">
        <f t="shared" si="150"/>
        <v>1</v>
      </c>
      <c r="J1952" s="1" t="str">
        <f>'Source build'!A1952</f>
        <v>L01946</v>
      </c>
      <c r="K1952" s="1">
        <f>1952</f>
        <v>1952</v>
      </c>
      <c r="L1952" s="10">
        <f t="shared" si="151"/>
        <v>12464</v>
      </c>
      <c r="M1952" s="1">
        <f t="shared" si="152"/>
        <v>1</v>
      </c>
      <c r="N1952" s="1">
        <f t="shared" si="153"/>
        <v>1</v>
      </c>
      <c r="O1952" s="1" t="str">
        <f>IF(I1952=0,"UNUSED",IF(A1952="","MISSING ID",IF(K1952=0,"UNEXPECTED ID",IF(N1952&lt;&gt;1,"ID / ORDER DIFFERENCE",IF('Source build'!U1952&lt;&gt;"INCLUDED","EXCLUDED SOURCE",IF(NOT(M1952),"INVALID AMOUNT",IF('Source build'!Y1952&lt;&gt;0,"CHANGED FIELDS","MATCH")))))))</f>
        <v>MATCH</v>
      </c>
      <c r="P1952" s="1" t="str">
        <f t="shared" si="154"/>
        <v>2026-02</v>
      </c>
    </row>
    <row r="1953" spans="1:16" ht="18.95" customHeight="1">
      <c r="A1953" s="7" t="s">
        <v>5037</v>
      </c>
      <c r="B1953" s="7" t="s">
        <v>5038</v>
      </c>
      <c r="C1953" s="7" t="s">
        <v>536</v>
      </c>
      <c r="D1953" s="7" t="s">
        <v>103</v>
      </c>
      <c r="E1953" s="7" t="s">
        <v>48</v>
      </c>
      <c r="F1953" s="7" t="s">
        <v>98</v>
      </c>
      <c r="G1953" s="7" t="s">
        <v>5039</v>
      </c>
      <c r="I1953" s="1">
        <f t="shared" si="150"/>
        <v>1</v>
      </c>
      <c r="J1953" s="1" t="str">
        <f>'Source build'!A1953</f>
        <v>L01947</v>
      </c>
      <c r="K1953" s="1">
        <f>1953</f>
        <v>1953</v>
      </c>
      <c r="L1953" s="10">
        <f t="shared" si="151"/>
        <v>1503</v>
      </c>
      <c r="M1953" s="1">
        <f t="shared" si="152"/>
        <v>1</v>
      </c>
      <c r="N1953" s="1">
        <f t="shared" si="153"/>
        <v>1</v>
      </c>
      <c r="O1953" s="1" t="str">
        <f>IF(I1953=0,"UNUSED",IF(A1953="","MISSING ID",IF(K1953=0,"UNEXPECTED ID",IF(N1953&lt;&gt;1,"ID / ORDER DIFFERENCE",IF('Source build'!U1953&lt;&gt;"INCLUDED","EXCLUDED SOURCE",IF(NOT(M1953),"INVALID AMOUNT",IF('Source build'!Y1953&lt;&gt;0,"CHANGED FIELDS","MATCH")))))))</f>
        <v>MATCH</v>
      </c>
      <c r="P1953" s="1" t="str">
        <f t="shared" si="154"/>
        <v>2026-03</v>
      </c>
    </row>
    <row r="1954" spans="1:16" ht="18.95" customHeight="1">
      <c r="A1954" s="7" t="s">
        <v>5040</v>
      </c>
      <c r="B1954" s="7" t="s">
        <v>5038</v>
      </c>
      <c r="C1954" s="7" t="s">
        <v>536</v>
      </c>
      <c r="D1954" s="7" t="s">
        <v>93</v>
      </c>
      <c r="E1954" s="7" t="s">
        <v>46</v>
      </c>
      <c r="F1954" s="7" t="s">
        <v>98</v>
      </c>
      <c r="G1954" s="7" t="s">
        <v>5041</v>
      </c>
      <c r="I1954" s="1">
        <f t="shared" si="150"/>
        <v>1</v>
      </c>
      <c r="J1954" s="1" t="str">
        <f>'Source build'!A1954</f>
        <v>L01948</v>
      </c>
      <c r="K1954" s="1">
        <f>1954</f>
        <v>1954</v>
      </c>
      <c r="L1954" s="10">
        <f t="shared" si="151"/>
        <v>2690</v>
      </c>
      <c r="M1954" s="1">
        <f t="shared" si="152"/>
        <v>1</v>
      </c>
      <c r="N1954" s="1">
        <f t="shared" si="153"/>
        <v>1</v>
      </c>
      <c r="O1954" s="1" t="str">
        <f>IF(I1954=0,"UNUSED",IF(A1954="","MISSING ID",IF(K1954=0,"UNEXPECTED ID",IF(N1954&lt;&gt;1,"ID / ORDER DIFFERENCE",IF('Source build'!U1954&lt;&gt;"INCLUDED","EXCLUDED SOURCE",IF(NOT(M1954),"INVALID AMOUNT",IF('Source build'!Y1954&lt;&gt;0,"CHANGED FIELDS","MATCH")))))))</f>
        <v>MATCH</v>
      </c>
      <c r="P1954" s="1" t="str">
        <f t="shared" si="154"/>
        <v>2026-03</v>
      </c>
    </row>
    <row r="1955" spans="1:16" ht="18.95" customHeight="1">
      <c r="A1955" s="7" t="s">
        <v>5042</v>
      </c>
      <c r="B1955" s="7" t="s">
        <v>5043</v>
      </c>
      <c r="C1955" s="7" t="s">
        <v>542</v>
      </c>
      <c r="D1955" s="7" t="s">
        <v>97</v>
      </c>
      <c r="E1955" s="7" t="s">
        <v>47</v>
      </c>
      <c r="F1955" s="7" t="s">
        <v>98</v>
      </c>
      <c r="G1955" s="7" t="s">
        <v>5044</v>
      </c>
      <c r="I1955" s="1">
        <f t="shared" si="150"/>
        <v>1</v>
      </c>
      <c r="J1955" s="1" t="str">
        <f>'Source build'!A1955</f>
        <v>L01949</v>
      </c>
      <c r="K1955" s="1">
        <f>1955</f>
        <v>1955</v>
      </c>
      <c r="L1955" s="10">
        <f t="shared" si="151"/>
        <v>1150</v>
      </c>
      <c r="M1955" s="1">
        <f t="shared" si="152"/>
        <v>1</v>
      </c>
      <c r="N1955" s="1">
        <f t="shared" si="153"/>
        <v>1</v>
      </c>
      <c r="O1955" s="1" t="str">
        <f>IF(I1955=0,"UNUSED",IF(A1955="","MISSING ID",IF(K1955=0,"UNEXPECTED ID",IF(N1955&lt;&gt;1,"ID / ORDER DIFFERENCE",IF('Source build'!U1955&lt;&gt;"INCLUDED","EXCLUDED SOURCE",IF(NOT(M1955),"INVALID AMOUNT",IF('Source build'!Y1955&lt;&gt;0,"CHANGED FIELDS","MATCH")))))))</f>
        <v>MATCH</v>
      </c>
      <c r="P1955" s="1" t="str">
        <f t="shared" si="154"/>
        <v>2026-03</v>
      </c>
    </row>
    <row r="1956" spans="1:16" ht="18.95" customHeight="1">
      <c r="A1956" s="7" t="s">
        <v>5045</v>
      </c>
      <c r="B1956" s="7" t="s">
        <v>5043</v>
      </c>
      <c r="C1956" s="7" t="s">
        <v>542</v>
      </c>
      <c r="D1956" s="7" t="s">
        <v>103</v>
      </c>
      <c r="E1956" s="7" t="s">
        <v>48</v>
      </c>
      <c r="F1956" s="7" t="s">
        <v>98</v>
      </c>
      <c r="G1956" s="7" t="s">
        <v>5046</v>
      </c>
      <c r="I1956" s="1">
        <f t="shared" si="150"/>
        <v>1</v>
      </c>
      <c r="J1956" s="1" t="str">
        <f>'Source build'!A1956</f>
        <v>L01950</v>
      </c>
      <c r="K1956" s="1">
        <f>1956</f>
        <v>1956</v>
      </c>
      <c r="L1956" s="10">
        <f t="shared" si="151"/>
        <v>2448</v>
      </c>
      <c r="M1956" s="1">
        <f t="shared" si="152"/>
        <v>1</v>
      </c>
      <c r="N1956" s="1">
        <f t="shared" si="153"/>
        <v>1</v>
      </c>
      <c r="O1956" s="1" t="str">
        <f>IF(I1956=0,"UNUSED",IF(A1956="","MISSING ID",IF(K1956=0,"UNEXPECTED ID",IF(N1956&lt;&gt;1,"ID / ORDER DIFFERENCE",IF('Source build'!U1956&lt;&gt;"INCLUDED","EXCLUDED SOURCE",IF(NOT(M1956),"INVALID AMOUNT",IF('Source build'!Y1956&lt;&gt;0,"CHANGED FIELDS","MATCH")))))))</f>
        <v>MATCH</v>
      </c>
      <c r="P1956" s="1" t="str">
        <f t="shared" si="154"/>
        <v>2026-03</v>
      </c>
    </row>
    <row r="1957" spans="1:16" ht="18.95" customHeight="1">
      <c r="A1957" s="7" t="s">
        <v>5047</v>
      </c>
      <c r="B1957" s="7" t="s">
        <v>5048</v>
      </c>
      <c r="C1957" s="7" t="s">
        <v>548</v>
      </c>
      <c r="D1957" s="7" t="s">
        <v>93</v>
      </c>
      <c r="E1957" s="7" t="s">
        <v>46</v>
      </c>
      <c r="F1957" s="7" t="s">
        <v>98</v>
      </c>
      <c r="G1957" s="7" t="s">
        <v>5049</v>
      </c>
      <c r="I1957" s="1">
        <f t="shared" si="150"/>
        <v>1</v>
      </c>
      <c r="J1957" s="1" t="str">
        <f>'Source build'!A1957</f>
        <v>L01951</v>
      </c>
      <c r="K1957" s="1">
        <f>1957</f>
        <v>1957</v>
      </c>
      <c r="L1957" s="10">
        <f t="shared" si="151"/>
        <v>649</v>
      </c>
      <c r="M1957" s="1">
        <f t="shared" si="152"/>
        <v>1</v>
      </c>
      <c r="N1957" s="1">
        <f t="shared" si="153"/>
        <v>1</v>
      </c>
      <c r="O1957" s="1" t="str">
        <f>IF(I1957=0,"UNUSED",IF(A1957="","MISSING ID",IF(K1957=0,"UNEXPECTED ID",IF(N1957&lt;&gt;1,"ID / ORDER DIFFERENCE",IF('Source build'!U1957&lt;&gt;"INCLUDED","EXCLUDED SOURCE",IF(NOT(M1957),"INVALID AMOUNT",IF('Source build'!Y1957&lt;&gt;0,"CHANGED FIELDS","MATCH")))))))</f>
        <v>MATCH</v>
      </c>
      <c r="P1957" s="1" t="str">
        <f t="shared" si="154"/>
        <v>2026-03</v>
      </c>
    </row>
    <row r="1958" spans="1:16" ht="18.95" customHeight="1">
      <c r="A1958" s="7" t="s">
        <v>5050</v>
      </c>
      <c r="B1958" s="7" t="s">
        <v>5048</v>
      </c>
      <c r="C1958" s="7" t="s">
        <v>548</v>
      </c>
      <c r="D1958" s="7" t="s">
        <v>97</v>
      </c>
      <c r="E1958" s="7" t="s">
        <v>47</v>
      </c>
      <c r="F1958" s="7" t="s">
        <v>98</v>
      </c>
      <c r="G1958" s="7" t="s">
        <v>5051</v>
      </c>
      <c r="I1958" s="1">
        <f t="shared" si="150"/>
        <v>1</v>
      </c>
      <c r="J1958" s="1" t="str">
        <f>'Source build'!A1958</f>
        <v>L01952</v>
      </c>
      <c r="K1958" s="1">
        <f>1958</f>
        <v>1958</v>
      </c>
      <c r="L1958" s="10">
        <f t="shared" si="151"/>
        <v>2058</v>
      </c>
      <c r="M1958" s="1">
        <f t="shared" si="152"/>
        <v>1</v>
      </c>
      <c r="N1958" s="1">
        <f t="shared" si="153"/>
        <v>1</v>
      </c>
      <c r="O1958" s="1" t="str">
        <f>IF(I1958=0,"UNUSED",IF(A1958="","MISSING ID",IF(K1958=0,"UNEXPECTED ID",IF(N1958&lt;&gt;1,"ID / ORDER DIFFERENCE",IF('Source build'!U1958&lt;&gt;"INCLUDED","EXCLUDED SOURCE",IF(NOT(M1958),"INVALID AMOUNT",IF('Source build'!Y1958&lt;&gt;0,"CHANGED FIELDS","MATCH")))))))</f>
        <v>MATCH</v>
      </c>
      <c r="P1958" s="1" t="str">
        <f t="shared" si="154"/>
        <v>2026-03</v>
      </c>
    </row>
    <row r="1959" spans="1:16" ht="18.95" customHeight="1">
      <c r="A1959" s="7" t="s">
        <v>5052</v>
      </c>
      <c r="B1959" s="7" t="s">
        <v>5053</v>
      </c>
      <c r="C1959" s="7" t="s">
        <v>554</v>
      </c>
      <c r="D1959" s="7" t="s">
        <v>103</v>
      </c>
      <c r="E1959" s="7" t="s">
        <v>48</v>
      </c>
      <c r="F1959" s="7" t="s">
        <v>98</v>
      </c>
      <c r="G1959" s="7" t="s">
        <v>5054</v>
      </c>
      <c r="I1959" s="1">
        <f t="shared" si="150"/>
        <v>1</v>
      </c>
      <c r="J1959" s="1" t="str">
        <f>'Source build'!A1959</f>
        <v>L01953</v>
      </c>
      <c r="K1959" s="1">
        <f>1959</f>
        <v>1959</v>
      </c>
      <c r="L1959" s="10">
        <f t="shared" si="151"/>
        <v>3615</v>
      </c>
      <c r="M1959" s="1">
        <f t="shared" si="152"/>
        <v>1</v>
      </c>
      <c r="N1959" s="1">
        <f t="shared" si="153"/>
        <v>1</v>
      </c>
      <c r="O1959" s="1" t="str">
        <f>IF(I1959=0,"UNUSED",IF(A1959="","MISSING ID",IF(K1959=0,"UNEXPECTED ID",IF(N1959&lt;&gt;1,"ID / ORDER DIFFERENCE",IF('Source build'!U1959&lt;&gt;"INCLUDED","EXCLUDED SOURCE",IF(NOT(M1959),"INVALID AMOUNT",IF('Source build'!Y1959&lt;&gt;0,"CHANGED FIELDS","MATCH")))))))</f>
        <v>MATCH</v>
      </c>
      <c r="P1959" s="1" t="str">
        <f t="shared" si="154"/>
        <v>2026-03</v>
      </c>
    </row>
    <row r="1960" spans="1:16" ht="18.95" customHeight="1">
      <c r="A1960" s="7" t="s">
        <v>5055</v>
      </c>
      <c r="B1960" s="7" t="s">
        <v>5053</v>
      </c>
      <c r="C1960" s="7" t="s">
        <v>554</v>
      </c>
      <c r="D1960" s="7" t="s">
        <v>93</v>
      </c>
      <c r="E1960" s="7" t="s">
        <v>46</v>
      </c>
      <c r="F1960" s="7" t="s">
        <v>98</v>
      </c>
      <c r="G1960" s="7" t="s">
        <v>5056</v>
      </c>
      <c r="I1960" s="1">
        <f t="shared" si="150"/>
        <v>1</v>
      </c>
      <c r="J1960" s="1" t="str">
        <f>'Source build'!A1960</f>
        <v>L01954</v>
      </c>
      <c r="K1960" s="1">
        <f>1960</f>
        <v>1960</v>
      </c>
      <c r="L1960" s="10">
        <f t="shared" si="151"/>
        <v>1520</v>
      </c>
      <c r="M1960" s="1">
        <f t="shared" si="152"/>
        <v>1</v>
      </c>
      <c r="N1960" s="1">
        <f t="shared" si="153"/>
        <v>1</v>
      </c>
      <c r="O1960" s="1" t="str">
        <f>IF(I1960=0,"UNUSED",IF(A1960="","MISSING ID",IF(K1960=0,"UNEXPECTED ID",IF(N1960&lt;&gt;1,"ID / ORDER DIFFERENCE",IF('Source build'!U1960&lt;&gt;"INCLUDED","EXCLUDED SOURCE",IF(NOT(M1960),"INVALID AMOUNT",IF('Source build'!Y1960&lt;&gt;0,"CHANGED FIELDS","MATCH")))))))</f>
        <v>MATCH</v>
      </c>
      <c r="P1960" s="1" t="str">
        <f t="shared" si="154"/>
        <v>2026-03</v>
      </c>
    </row>
    <row r="1961" spans="1:16" ht="18.95" customHeight="1">
      <c r="A1961" s="7" t="s">
        <v>5057</v>
      </c>
      <c r="B1961" s="7" t="s">
        <v>5058</v>
      </c>
      <c r="C1961" s="7" t="s">
        <v>560</v>
      </c>
      <c r="D1961" s="7" t="s">
        <v>97</v>
      </c>
      <c r="E1961" s="7" t="s">
        <v>47</v>
      </c>
      <c r="F1961" s="7" t="s">
        <v>98</v>
      </c>
      <c r="G1961" s="7" t="s">
        <v>5059</v>
      </c>
      <c r="I1961" s="1">
        <f t="shared" si="150"/>
        <v>1</v>
      </c>
      <c r="J1961" s="1" t="str">
        <f>'Source build'!A1961</f>
        <v>L01955</v>
      </c>
      <c r="K1961" s="1">
        <f>1961</f>
        <v>1961</v>
      </c>
      <c r="L1961" s="10">
        <f t="shared" si="151"/>
        <v>3188</v>
      </c>
      <c r="M1961" s="1">
        <f t="shared" si="152"/>
        <v>1</v>
      </c>
      <c r="N1961" s="1">
        <f t="shared" si="153"/>
        <v>1</v>
      </c>
      <c r="O1961" s="1" t="str">
        <f>IF(I1961=0,"UNUSED",IF(A1961="","MISSING ID",IF(K1961=0,"UNEXPECTED ID",IF(N1961&lt;&gt;1,"ID / ORDER DIFFERENCE",IF('Source build'!U1961&lt;&gt;"INCLUDED","EXCLUDED SOURCE",IF(NOT(M1961),"INVALID AMOUNT",IF('Source build'!Y1961&lt;&gt;0,"CHANGED FIELDS","MATCH")))))))</f>
        <v>MATCH</v>
      </c>
      <c r="P1961" s="1" t="str">
        <f t="shared" si="154"/>
        <v>2026-03</v>
      </c>
    </row>
    <row r="1962" spans="1:16" ht="18.95" customHeight="1">
      <c r="A1962" s="7" t="s">
        <v>5060</v>
      </c>
      <c r="B1962" s="7" t="s">
        <v>5058</v>
      </c>
      <c r="C1962" s="7" t="s">
        <v>560</v>
      </c>
      <c r="D1962" s="7" t="s">
        <v>103</v>
      </c>
      <c r="E1962" s="7" t="s">
        <v>48</v>
      </c>
      <c r="F1962" s="7" t="s">
        <v>94</v>
      </c>
      <c r="G1962" s="7" t="s">
        <v>5061</v>
      </c>
      <c r="I1962" s="1">
        <f t="shared" si="150"/>
        <v>1</v>
      </c>
      <c r="J1962" s="1" t="str">
        <f>'Source build'!A1962</f>
        <v>L01956</v>
      </c>
      <c r="K1962" s="1">
        <f>1962</f>
        <v>1962</v>
      </c>
      <c r="L1962" s="10">
        <f t="shared" si="151"/>
        <v>-834</v>
      </c>
      <c r="M1962" s="1">
        <f t="shared" si="152"/>
        <v>1</v>
      </c>
      <c r="N1962" s="1">
        <f t="shared" si="153"/>
        <v>1</v>
      </c>
      <c r="O1962" s="1" t="str">
        <f>IF(I1962=0,"UNUSED",IF(A1962="","MISSING ID",IF(K1962=0,"UNEXPECTED ID",IF(N1962&lt;&gt;1,"ID / ORDER DIFFERENCE",IF('Source build'!U1962&lt;&gt;"INCLUDED","EXCLUDED SOURCE",IF(NOT(M1962),"INVALID AMOUNT",IF('Source build'!Y1962&lt;&gt;0,"CHANGED FIELDS","MATCH")))))))</f>
        <v>MATCH</v>
      </c>
      <c r="P1962" s="1" t="str">
        <f t="shared" si="154"/>
        <v>2026-03</v>
      </c>
    </row>
    <row r="1963" spans="1:16" ht="18.95" customHeight="1">
      <c r="A1963" s="7" t="s">
        <v>5062</v>
      </c>
      <c r="B1963" s="7" t="s">
        <v>5063</v>
      </c>
      <c r="C1963" s="7" t="s">
        <v>566</v>
      </c>
      <c r="D1963" s="7" t="s">
        <v>93</v>
      </c>
      <c r="E1963" s="7" t="s">
        <v>46</v>
      </c>
      <c r="F1963" s="7" t="s">
        <v>98</v>
      </c>
      <c r="G1963" s="7" t="s">
        <v>5064</v>
      </c>
      <c r="I1963" s="1">
        <f t="shared" si="150"/>
        <v>1</v>
      </c>
      <c r="J1963" s="1" t="str">
        <f>'Source build'!A1963</f>
        <v>L01957</v>
      </c>
      <c r="K1963" s="1">
        <f>1963</f>
        <v>1963</v>
      </c>
      <c r="L1963" s="10">
        <f t="shared" si="151"/>
        <v>2613</v>
      </c>
      <c r="M1963" s="1">
        <f t="shared" si="152"/>
        <v>1</v>
      </c>
      <c r="N1963" s="1">
        <f t="shared" si="153"/>
        <v>1</v>
      </c>
      <c r="O1963" s="1" t="str">
        <f>IF(I1963=0,"UNUSED",IF(A1963="","MISSING ID",IF(K1963=0,"UNEXPECTED ID",IF(N1963&lt;&gt;1,"ID / ORDER DIFFERENCE",IF('Source build'!U1963&lt;&gt;"INCLUDED","EXCLUDED SOURCE",IF(NOT(M1963),"INVALID AMOUNT",IF('Source build'!Y1963&lt;&gt;0,"CHANGED FIELDS","MATCH")))))))</f>
        <v>MATCH</v>
      </c>
      <c r="P1963" s="1" t="str">
        <f t="shared" si="154"/>
        <v>2026-01</v>
      </c>
    </row>
    <row r="1964" spans="1:16" ht="18.95" customHeight="1">
      <c r="A1964" s="7" t="s">
        <v>5065</v>
      </c>
      <c r="B1964" s="7" t="s">
        <v>5063</v>
      </c>
      <c r="C1964" s="7" t="s">
        <v>566</v>
      </c>
      <c r="D1964" s="7" t="s">
        <v>97</v>
      </c>
      <c r="E1964" s="7" t="s">
        <v>47</v>
      </c>
      <c r="F1964" s="7" t="s">
        <v>98</v>
      </c>
      <c r="G1964" s="7" t="s">
        <v>5066</v>
      </c>
      <c r="I1964" s="1">
        <f t="shared" si="150"/>
        <v>1</v>
      </c>
      <c r="J1964" s="1" t="str">
        <f>'Source build'!A1964</f>
        <v>L01958</v>
      </c>
      <c r="K1964" s="1">
        <f>1964</f>
        <v>1964</v>
      </c>
      <c r="L1964" s="10">
        <f t="shared" si="151"/>
        <v>4540</v>
      </c>
      <c r="M1964" s="1">
        <f t="shared" si="152"/>
        <v>1</v>
      </c>
      <c r="N1964" s="1">
        <f t="shared" si="153"/>
        <v>1</v>
      </c>
      <c r="O1964" s="1" t="str">
        <f>IF(I1964=0,"UNUSED",IF(A1964="","MISSING ID",IF(K1964=0,"UNEXPECTED ID",IF(N1964&lt;&gt;1,"ID / ORDER DIFFERENCE",IF('Source build'!U1964&lt;&gt;"INCLUDED","EXCLUDED SOURCE",IF(NOT(M1964),"INVALID AMOUNT",IF('Source build'!Y1964&lt;&gt;0,"CHANGED FIELDS","MATCH")))))))</f>
        <v>MATCH</v>
      </c>
      <c r="P1964" s="1" t="str">
        <f t="shared" si="154"/>
        <v>2026-01</v>
      </c>
    </row>
    <row r="1965" spans="1:16" ht="18.95" customHeight="1">
      <c r="A1965" s="7" t="s">
        <v>5067</v>
      </c>
      <c r="B1965" s="7" t="s">
        <v>5068</v>
      </c>
      <c r="C1965" s="7" t="s">
        <v>572</v>
      </c>
      <c r="D1965" s="7" t="s">
        <v>103</v>
      </c>
      <c r="E1965" s="7" t="s">
        <v>48</v>
      </c>
      <c r="F1965" s="7" t="s">
        <v>98</v>
      </c>
      <c r="G1965" s="7" t="s">
        <v>5069</v>
      </c>
      <c r="I1965" s="1">
        <f t="shared" si="150"/>
        <v>1</v>
      </c>
      <c r="J1965" s="1" t="str">
        <f>'Source build'!A1965</f>
        <v>L01959</v>
      </c>
      <c r="K1965" s="1">
        <f>1965</f>
        <v>1965</v>
      </c>
      <c r="L1965" s="10">
        <f t="shared" si="151"/>
        <v>1890</v>
      </c>
      <c r="M1965" s="1">
        <f t="shared" si="152"/>
        <v>1</v>
      </c>
      <c r="N1965" s="1">
        <f t="shared" si="153"/>
        <v>1</v>
      </c>
      <c r="O1965" s="1" t="str">
        <f>IF(I1965=0,"UNUSED",IF(A1965="","MISSING ID",IF(K1965=0,"UNEXPECTED ID",IF(N1965&lt;&gt;1,"ID / ORDER DIFFERENCE",IF('Source build'!U1965&lt;&gt;"INCLUDED","EXCLUDED SOURCE",IF(NOT(M1965),"INVALID AMOUNT",IF('Source build'!Y1965&lt;&gt;0,"CHANGED FIELDS","MATCH")))))))</f>
        <v>MATCH</v>
      </c>
      <c r="P1965" s="1" t="str">
        <f t="shared" si="154"/>
        <v>2026-01</v>
      </c>
    </row>
    <row r="1966" spans="1:16" ht="18.95" customHeight="1">
      <c r="A1966" s="7" t="s">
        <v>5070</v>
      </c>
      <c r="B1966" s="7" t="s">
        <v>5068</v>
      </c>
      <c r="C1966" s="7" t="s">
        <v>572</v>
      </c>
      <c r="D1966" s="7" t="s">
        <v>93</v>
      </c>
      <c r="E1966" s="7" t="s">
        <v>46</v>
      </c>
      <c r="F1966" s="7" t="s">
        <v>98</v>
      </c>
      <c r="G1966" s="7" t="s">
        <v>5071</v>
      </c>
      <c r="I1966" s="1">
        <f t="shared" si="150"/>
        <v>1</v>
      </c>
      <c r="J1966" s="1" t="str">
        <f>'Source build'!A1966</f>
        <v>L01960</v>
      </c>
      <c r="K1966" s="1">
        <f>1966</f>
        <v>1966</v>
      </c>
      <c r="L1966" s="10">
        <f t="shared" si="151"/>
        <v>3928</v>
      </c>
      <c r="M1966" s="1">
        <f t="shared" si="152"/>
        <v>1</v>
      </c>
      <c r="N1966" s="1">
        <f t="shared" si="153"/>
        <v>1</v>
      </c>
      <c r="O1966" s="1" t="str">
        <f>IF(I1966=0,"UNUSED",IF(A1966="","MISSING ID",IF(K1966=0,"UNEXPECTED ID",IF(N1966&lt;&gt;1,"ID / ORDER DIFFERENCE",IF('Source build'!U1966&lt;&gt;"INCLUDED","EXCLUDED SOURCE",IF(NOT(M1966),"INVALID AMOUNT",IF('Source build'!Y1966&lt;&gt;0,"CHANGED FIELDS","MATCH")))))))</f>
        <v>MATCH</v>
      </c>
      <c r="P1966" s="1" t="str">
        <f t="shared" si="154"/>
        <v>2026-01</v>
      </c>
    </row>
    <row r="1967" spans="1:16" ht="18.95" customHeight="1">
      <c r="A1967" s="7" t="s">
        <v>5072</v>
      </c>
      <c r="B1967" s="7" t="s">
        <v>5073</v>
      </c>
      <c r="C1967" s="7" t="s">
        <v>578</v>
      </c>
      <c r="D1967" s="7" t="s">
        <v>97</v>
      </c>
      <c r="E1967" s="7" t="s">
        <v>47</v>
      </c>
      <c r="F1967" s="7" t="s">
        <v>98</v>
      </c>
      <c r="G1967" s="7" t="s">
        <v>5074</v>
      </c>
      <c r="I1967" s="1">
        <f t="shared" si="150"/>
        <v>1</v>
      </c>
      <c r="J1967" s="1" t="str">
        <f>'Source build'!A1967</f>
        <v>L01961</v>
      </c>
      <c r="K1967" s="1">
        <f>1967</f>
        <v>1967</v>
      </c>
      <c r="L1967" s="10">
        <f t="shared" si="151"/>
        <v>1019</v>
      </c>
      <c r="M1967" s="1">
        <f t="shared" si="152"/>
        <v>1</v>
      </c>
      <c r="N1967" s="1">
        <f t="shared" si="153"/>
        <v>1</v>
      </c>
      <c r="O1967" s="1" t="str">
        <f>IF(I1967=0,"UNUSED",IF(A1967="","MISSING ID",IF(K1967=0,"UNEXPECTED ID",IF(N1967&lt;&gt;1,"ID / ORDER DIFFERENCE",IF('Source build'!U1967&lt;&gt;"INCLUDED","EXCLUDED SOURCE",IF(NOT(M1967),"INVALID AMOUNT",IF('Source build'!Y1967&lt;&gt;0,"CHANGED FIELDS","MATCH")))))))</f>
        <v>MATCH</v>
      </c>
      <c r="P1967" s="1" t="str">
        <f t="shared" si="154"/>
        <v>2026-01</v>
      </c>
    </row>
    <row r="1968" spans="1:16" ht="18.95" customHeight="1">
      <c r="A1968" s="7" t="s">
        <v>5075</v>
      </c>
      <c r="B1968" s="7" t="s">
        <v>5073</v>
      </c>
      <c r="C1968" s="7" t="s">
        <v>578</v>
      </c>
      <c r="D1968" s="7" t="s">
        <v>103</v>
      </c>
      <c r="E1968" s="7" t="s">
        <v>48</v>
      </c>
      <c r="F1968" s="7" t="s">
        <v>98</v>
      </c>
      <c r="G1968" s="7" t="s">
        <v>5076</v>
      </c>
      <c r="I1968" s="1">
        <f t="shared" si="150"/>
        <v>1</v>
      </c>
      <c r="J1968" s="1" t="str">
        <f>'Source build'!A1968</f>
        <v>L01962</v>
      </c>
      <c r="K1968" s="1">
        <f>1968</f>
        <v>1968</v>
      </c>
      <c r="L1968" s="10">
        <f t="shared" si="151"/>
        <v>3168</v>
      </c>
      <c r="M1968" s="1">
        <f t="shared" si="152"/>
        <v>1</v>
      </c>
      <c r="N1968" s="1">
        <f t="shared" si="153"/>
        <v>1</v>
      </c>
      <c r="O1968" s="1" t="str">
        <f>IF(I1968=0,"UNUSED",IF(A1968="","MISSING ID",IF(K1968=0,"UNEXPECTED ID",IF(N1968&lt;&gt;1,"ID / ORDER DIFFERENCE",IF('Source build'!U1968&lt;&gt;"INCLUDED","EXCLUDED SOURCE",IF(NOT(M1968),"INVALID AMOUNT",IF('Source build'!Y1968&lt;&gt;0,"CHANGED FIELDS","MATCH")))))))</f>
        <v>MATCH</v>
      </c>
      <c r="P1968" s="1" t="str">
        <f t="shared" si="154"/>
        <v>2026-01</v>
      </c>
    </row>
    <row r="1969" spans="1:16" ht="18.95" customHeight="1">
      <c r="A1969" s="7" t="s">
        <v>5077</v>
      </c>
      <c r="B1969" s="7" t="s">
        <v>5078</v>
      </c>
      <c r="C1969" s="7" t="s">
        <v>584</v>
      </c>
      <c r="D1969" s="7" t="s">
        <v>93</v>
      </c>
      <c r="E1969" s="7" t="s">
        <v>46</v>
      </c>
      <c r="F1969" s="7" t="s">
        <v>98</v>
      </c>
      <c r="G1969" s="7" t="s">
        <v>5079</v>
      </c>
      <c r="I1969" s="1">
        <f t="shared" si="150"/>
        <v>1</v>
      </c>
      <c r="J1969" s="1" t="str">
        <f>'Source build'!A1969</f>
        <v>L01963</v>
      </c>
      <c r="K1969" s="1">
        <f>1969</f>
        <v>1969</v>
      </c>
      <c r="L1969" s="10">
        <f t="shared" si="151"/>
        <v>5465</v>
      </c>
      <c r="M1969" s="1">
        <f t="shared" si="152"/>
        <v>1</v>
      </c>
      <c r="N1969" s="1">
        <f t="shared" si="153"/>
        <v>1</v>
      </c>
      <c r="O1969" s="1" t="str">
        <f>IF(I1969=0,"UNUSED",IF(A1969="","MISSING ID",IF(K1969=0,"UNEXPECTED ID",IF(N1969&lt;&gt;1,"ID / ORDER DIFFERENCE",IF('Source build'!U1969&lt;&gt;"INCLUDED","EXCLUDED SOURCE",IF(NOT(M1969),"INVALID AMOUNT",IF('Source build'!Y1969&lt;&gt;0,"CHANGED FIELDS","MATCH")))))))</f>
        <v>MATCH</v>
      </c>
      <c r="P1969" s="1" t="str">
        <f t="shared" si="154"/>
        <v>2026-01</v>
      </c>
    </row>
    <row r="1970" spans="1:16" ht="18.95" customHeight="1">
      <c r="A1970" s="7" t="s">
        <v>5080</v>
      </c>
      <c r="B1970" s="7" t="s">
        <v>5078</v>
      </c>
      <c r="C1970" s="7" t="s">
        <v>584</v>
      </c>
      <c r="D1970" s="7" t="s">
        <v>97</v>
      </c>
      <c r="E1970" s="7" t="s">
        <v>47</v>
      </c>
      <c r="F1970" s="7" t="s">
        <v>98</v>
      </c>
      <c r="G1970" s="7" t="s">
        <v>5081</v>
      </c>
      <c r="I1970" s="1">
        <f t="shared" si="150"/>
        <v>1</v>
      </c>
      <c r="J1970" s="1" t="str">
        <f>'Source build'!A1970</f>
        <v>L01964</v>
      </c>
      <c r="K1970" s="1">
        <f>1970</f>
        <v>1970</v>
      </c>
      <c r="L1970" s="10">
        <f t="shared" si="151"/>
        <v>2260</v>
      </c>
      <c r="M1970" s="1">
        <f t="shared" si="152"/>
        <v>1</v>
      </c>
      <c r="N1970" s="1">
        <f t="shared" si="153"/>
        <v>1</v>
      </c>
      <c r="O1970" s="1" t="str">
        <f>IF(I1970=0,"UNUSED",IF(A1970="","MISSING ID",IF(K1970=0,"UNEXPECTED ID",IF(N1970&lt;&gt;1,"ID / ORDER DIFFERENCE",IF('Source build'!U1970&lt;&gt;"INCLUDED","EXCLUDED SOURCE",IF(NOT(M1970),"INVALID AMOUNT",IF('Source build'!Y1970&lt;&gt;0,"CHANGED FIELDS","MATCH")))))))</f>
        <v>MATCH</v>
      </c>
      <c r="P1970" s="1" t="str">
        <f t="shared" si="154"/>
        <v>2026-01</v>
      </c>
    </row>
    <row r="1971" spans="1:16" ht="18.95" customHeight="1">
      <c r="A1971" s="7" t="s">
        <v>5082</v>
      </c>
      <c r="B1971" s="7" t="s">
        <v>5083</v>
      </c>
      <c r="C1971" s="7" t="s">
        <v>590</v>
      </c>
      <c r="D1971" s="7" t="s">
        <v>103</v>
      </c>
      <c r="E1971" s="7" t="s">
        <v>48</v>
      </c>
      <c r="F1971" s="7" t="s">
        <v>98</v>
      </c>
      <c r="G1971" s="7" t="s">
        <v>5084</v>
      </c>
      <c r="I1971" s="1">
        <f t="shared" si="150"/>
        <v>1</v>
      </c>
      <c r="J1971" s="1" t="str">
        <f>'Source build'!A1971</f>
        <v>L01965</v>
      </c>
      <c r="K1971" s="1">
        <f>1971</f>
        <v>1971</v>
      </c>
      <c r="L1971" s="10">
        <f t="shared" si="151"/>
        <v>4668</v>
      </c>
      <c r="M1971" s="1">
        <f t="shared" si="152"/>
        <v>1</v>
      </c>
      <c r="N1971" s="1">
        <f t="shared" si="153"/>
        <v>1</v>
      </c>
      <c r="O1971" s="1" t="str">
        <f>IF(I1971=0,"UNUSED",IF(A1971="","MISSING ID",IF(K1971=0,"UNEXPECTED ID",IF(N1971&lt;&gt;1,"ID / ORDER DIFFERENCE",IF('Source build'!U1971&lt;&gt;"INCLUDED","EXCLUDED SOURCE",IF(NOT(M1971),"INVALID AMOUNT",IF('Source build'!Y1971&lt;&gt;0,"CHANGED FIELDS","MATCH")))))))</f>
        <v>MATCH</v>
      </c>
      <c r="P1971" s="1" t="str">
        <f t="shared" si="154"/>
        <v>2026-02</v>
      </c>
    </row>
    <row r="1972" spans="1:16" ht="18.95" customHeight="1">
      <c r="A1972" s="7" t="s">
        <v>5085</v>
      </c>
      <c r="B1972" s="7" t="s">
        <v>5083</v>
      </c>
      <c r="C1972" s="7" t="s">
        <v>590</v>
      </c>
      <c r="D1972" s="7" t="s">
        <v>93</v>
      </c>
      <c r="E1972" s="7" t="s">
        <v>46</v>
      </c>
      <c r="F1972" s="7" t="s">
        <v>98</v>
      </c>
      <c r="G1972" s="7" t="s">
        <v>5086</v>
      </c>
      <c r="I1972" s="1">
        <f t="shared" si="150"/>
        <v>1</v>
      </c>
      <c r="J1972" s="1" t="str">
        <f>'Source build'!A1972</f>
        <v>L01966</v>
      </c>
      <c r="K1972" s="1">
        <f>1972</f>
        <v>1972</v>
      </c>
      <c r="L1972" s="10">
        <f t="shared" si="151"/>
        <v>1204</v>
      </c>
      <c r="M1972" s="1">
        <f t="shared" si="152"/>
        <v>1</v>
      </c>
      <c r="N1972" s="1">
        <f t="shared" si="153"/>
        <v>1</v>
      </c>
      <c r="O1972" s="1" t="str">
        <f>IF(I1972=0,"UNUSED",IF(A1972="","MISSING ID",IF(K1972=0,"UNEXPECTED ID",IF(N1972&lt;&gt;1,"ID / ORDER DIFFERENCE",IF('Source build'!U1972&lt;&gt;"INCLUDED","EXCLUDED SOURCE",IF(NOT(M1972),"INVALID AMOUNT",IF('Source build'!Y1972&lt;&gt;0,"CHANGED FIELDS","MATCH")))))))</f>
        <v>MATCH</v>
      </c>
      <c r="P1972" s="1" t="str">
        <f t="shared" si="154"/>
        <v>2026-02</v>
      </c>
    </row>
    <row r="1973" spans="1:16" ht="18.95" customHeight="1">
      <c r="A1973" s="7" t="s">
        <v>5087</v>
      </c>
      <c r="B1973" s="7" t="s">
        <v>5088</v>
      </c>
      <c r="C1973" s="7" t="s">
        <v>596</v>
      </c>
      <c r="D1973" s="7" t="s">
        <v>97</v>
      </c>
      <c r="E1973" s="7" t="s">
        <v>47</v>
      </c>
      <c r="F1973" s="7" t="s">
        <v>98</v>
      </c>
      <c r="G1973" s="7" t="s">
        <v>5089</v>
      </c>
      <c r="I1973" s="1">
        <f t="shared" si="150"/>
        <v>1</v>
      </c>
      <c r="J1973" s="1" t="str">
        <f>'Source build'!A1973</f>
        <v>L01967</v>
      </c>
      <c r="K1973" s="1">
        <f>1973</f>
        <v>1973</v>
      </c>
      <c r="L1973" s="10">
        <f t="shared" si="151"/>
        <v>3723</v>
      </c>
      <c r="M1973" s="1">
        <f t="shared" si="152"/>
        <v>1</v>
      </c>
      <c r="N1973" s="1">
        <f t="shared" si="153"/>
        <v>1</v>
      </c>
      <c r="O1973" s="1" t="str">
        <f>IF(I1973=0,"UNUSED",IF(A1973="","MISSING ID",IF(K1973=0,"UNEXPECTED ID",IF(N1973&lt;&gt;1,"ID / ORDER DIFFERENCE",IF('Source build'!U1973&lt;&gt;"INCLUDED","EXCLUDED SOURCE",IF(NOT(M1973),"INVALID AMOUNT",IF('Source build'!Y1973&lt;&gt;0,"CHANGED FIELDS","MATCH")))))))</f>
        <v>MATCH</v>
      </c>
      <c r="P1973" s="1" t="str">
        <f t="shared" si="154"/>
        <v>2026-02</v>
      </c>
    </row>
    <row r="1974" spans="1:16" ht="18.95" customHeight="1">
      <c r="A1974" s="7" t="s">
        <v>5090</v>
      </c>
      <c r="B1974" s="7" t="s">
        <v>5088</v>
      </c>
      <c r="C1974" s="7" t="s">
        <v>596</v>
      </c>
      <c r="D1974" s="7" t="s">
        <v>103</v>
      </c>
      <c r="E1974" s="7" t="s">
        <v>48</v>
      </c>
      <c r="F1974" s="7" t="s">
        <v>98</v>
      </c>
      <c r="G1974" s="7" t="s">
        <v>5091</v>
      </c>
      <c r="I1974" s="1">
        <f t="shared" si="150"/>
        <v>1</v>
      </c>
      <c r="J1974" s="1" t="str">
        <f>'Source build'!A1974</f>
        <v>L01968</v>
      </c>
      <c r="K1974" s="1">
        <f>1974</f>
        <v>1974</v>
      </c>
      <c r="L1974" s="10">
        <f t="shared" si="151"/>
        <v>6390</v>
      </c>
      <c r="M1974" s="1">
        <f t="shared" si="152"/>
        <v>1</v>
      </c>
      <c r="N1974" s="1">
        <f t="shared" si="153"/>
        <v>1</v>
      </c>
      <c r="O1974" s="1" t="str">
        <f>IF(I1974=0,"UNUSED",IF(A1974="","MISSING ID",IF(K1974=0,"UNEXPECTED ID",IF(N1974&lt;&gt;1,"ID / ORDER DIFFERENCE",IF('Source build'!U1974&lt;&gt;"INCLUDED","EXCLUDED SOURCE",IF(NOT(M1974),"INVALID AMOUNT",IF('Source build'!Y1974&lt;&gt;0,"CHANGED FIELDS","MATCH")))))))</f>
        <v>MATCH</v>
      </c>
      <c r="P1974" s="1" t="str">
        <f t="shared" si="154"/>
        <v>2026-02</v>
      </c>
    </row>
    <row r="1975" spans="1:16" ht="18.95" customHeight="1">
      <c r="A1975" s="7" t="s">
        <v>5092</v>
      </c>
      <c r="B1975" s="7" t="s">
        <v>5093</v>
      </c>
      <c r="C1975" s="7" t="s">
        <v>602</v>
      </c>
      <c r="D1975" s="7" t="s">
        <v>93</v>
      </c>
      <c r="E1975" s="7" t="s">
        <v>46</v>
      </c>
      <c r="F1975" s="7" t="s">
        <v>98</v>
      </c>
      <c r="G1975" s="7" t="s">
        <v>5094</v>
      </c>
      <c r="I1975" s="1">
        <f t="shared" si="150"/>
        <v>1</v>
      </c>
      <c r="J1975" s="1" t="str">
        <f>'Source build'!A1975</f>
        <v>L01969</v>
      </c>
      <c r="K1975" s="1">
        <f>1975</f>
        <v>1975</v>
      </c>
      <c r="L1975" s="10">
        <f t="shared" si="151"/>
        <v>2630</v>
      </c>
      <c r="M1975" s="1">
        <f t="shared" si="152"/>
        <v>1</v>
      </c>
      <c r="N1975" s="1">
        <f t="shared" si="153"/>
        <v>1</v>
      </c>
      <c r="O1975" s="1" t="str">
        <f>IF(I1975=0,"UNUSED",IF(A1975="","MISSING ID",IF(K1975=0,"UNEXPECTED ID",IF(N1975&lt;&gt;1,"ID / ORDER DIFFERENCE",IF('Source build'!U1975&lt;&gt;"INCLUDED","EXCLUDED SOURCE",IF(NOT(M1975),"INVALID AMOUNT",IF('Source build'!Y1975&lt;&gt;0,"CHANGED FIELDS","MATCH")))))))</f>
        <v>MATCH</v>
      </c>
      <c r="P1975" s="1" t="str">
        <f t="shared" si="154"/>
        <v>2026-02</v>
      </c>
    </row>
    <row r="1976" spans="1:16" ht="18.95" customHeight="1">
      <c r="A1976" s="7" t="s">
        <v>5095</v>
      </c>
      <c r="B1976" s="7" t="s">
        <v>5093</v>
      </c>
      <c r="C1976" s="7" t="s">
        <v>602</v>
      </c>
      <c r="D1976" s="7" t="s">
        <v>97</v>
      </c>
      <c r="E1976" s="7" t="s">
        <v>47</v>
      </c>
      <c r="F1976" s="7" t="s">
        <v>98</v>
      </c>
      <c r="G1976" s="7" t="s">
        <v>5096</v>
      </c>
      <c r="I1976" s="1">
        <f t="shared" si="150"/>
        <v>1</v>
      </c>
      <c r="J1976" s="1" t="str">
        <f>'Source build'!A1976</f>
        <v>L01970</v>
      </c>
      <c r="K1976" s="1">
        <f>1976</f>
        <v>1976</v>
      </c>
      <c r="L1976" s="10">
        <f t="shared" si="151"/>
        <v>5408</v>
      </c>
      <c r="M1976" s="1">
        <f t="shared" si="152"/>
        <v>1</v>
      </c>
      <c r="N1976" s="1">
        <f t="shared" si="153"/>
        <v>1</v>
      </c>
      <c r="O1976" s="1" t="str">
        <f>IF(I1976=0,"UNUSED",IF(A1976="","MISSING ID",IF(K1976=0,"UNEXPECTED ID",IF(N1976&lt;&gt;1,"ID / ORDER DIFFERENCE",IF('Source build'!U1976&lt;&gt;"INCLUDED","EXCLUDED SOURCE",IF(NOT(M1976),"INVALID AMOUNT",IF('Source build'!Y1976&lt;&gt;0,"CHANGED FIELDS","MATCH")))))))</f>
        <v>MATCH</v>
      </c>
      <c r="P1976" s="1" t="str">
        <f t="shared" si="154"/>
        <v>2026-02</v>
      </c>
    </row>
    <row r="1977" spans="1:16" ht="18.95" customHeight="1">
      <c r="A1977" s="7" t="s">
        <v>5097</v>
      </c>
      <c r="B1977" s="7" t="s">
        <v>5098</v>
      </c>
      <c r="C1977" s="7" t="s">
        <v>611</v>
      </c>
      <c r="D1977" s="7" t="s">
        <v>103</v>
      </c>
      <c r="E1977" s="7" t="s">
        <v>48</v>
      </c>
      <c r="F1977" s="7" t="s">
        <v>98</v>
      </c>
      <c r="G1977" s="7" t="s">
        <v>5099</v>
      </c>
      <c r="I1977" s="1">
        <f t="shared" si="150"/>
        <v>1</v>
      </c>
      <c r="J1977" s="1" t="str">
        <f>'Source build'!A1977</f>
        <v>L01971</v>
      </c>
      <c r="K1977" s="1">
        <f>1977</f>
        <v>1977</v>
      </c>
      <c r="L1977" s="10">
        <f t="shared" si="151"/>
        <v>1389</v>
      </c>
      <c r="M1977" s="1">
        <f t="shared" si="152"/>
        <v>1</v>
      </c>
      <c r="N1977" s="1">
        <f t="shared" si="153"/>
        <v>1</v>
      </c>
      <c r="O1977" s="1" t="str">
        <f>IF(I1977=0,"UNUSED",IF(A1977="","MISSING ID",IF(K1977=0,"UNEXPECTED ID",IF(N1977&lt;&gt;1,"ID / ORDER DIFFERENCE",IF('Source build'!U1977&lt;&gt;"INCLUDED","EXCLUDED SOURCE",IF(NOT(M1977),"INVALID AMOUNT",IF('Source build'!Y1977&lt;&gt;0,"CHANGED FIELDS","MATCH")))))))</f>
        <v>MATCH</v>
      </c>
      <c r="P1977" s="1" t="str">
        <f t="shared" si="154"/>
        <v>2026-02</v>
      </c>
    </row>
    <row r="1978" spans="1:16" ht="18.95" customHeight="1">
      <c r="A1978" s="7" t="s">
        <v>5100</v>
      </c>
      <c r="B1978" s="7" t="s">
        <v>5098</v>
      </c>
      <c r="C1978" s="7" t="s">
        <v>611</v>
      </c>
      <c r="D1978" s="7" t="s">
        <v>93</v>
      </c>
      <c r="E1978" s="7" t="s">
        <v>46</v>
      </c>
      <c r="F1978" s="7" t="s">
        <v>98</v>
      </c>
      <c r="G1978" s="7" t="s">
        <v>5101</v>
      </c>
      <c r="I1978" s="1">
        <f t="shared" si="150"/>
        <v>1</v>
      </c>
      <c r="J1978" s="1" t="str">
        <f>'Source build'!A1978</f>
        <v>L01972</v>
      </c>
      <c r="K1978" s="1">
        <f>1978</f>
        <v>1978</v>
      </c>
      <c r="L1978" s="10">
        <f t="shared" si="151"/>
        <v>4278</v>
      </c>
      <c r="M1978" s="1">
        <f t="shared" si="152"/>
        <v>1</v>
      </c>
      <c r="N1978" s="1">
        <f t="shared" si="153"/>
        <v>1</v>
      </c>
      <c r="O1978" s="1" t="str">
        <f>IF(I1978=0,"UNUSED",IF(A1978="","MISSING ID",IF(K1978=0,"UNEXPECTED ID",IF(N1978&lt;&gt;1,"ID / ORDER DIFFERENCE",IF('Source build'!U1978&lt;&gt;"INCLUDED","EXCLUDED SOURCE",IF(NOT(M1978),"INVALID AMOUNT",IF('Source build'!Y1978&lt;&gt;0,"CHANGED FIELDS","MATCH")))))))</f>
        <v>MATCH</v>
      </c>
      <c r="P1978" s="1" t="str">
        <f t="shared" si="154"/>
        <v>2026-02</v>
      </c>
    </row>
    <row r="1979" spans="1:16" ht="18.95" customHeight="1">
      <c r="A1979" s="7" t="s">
        <v>5102</v>
      </c>
      <c r="B1979" s="7" t="s">
        <v>5103</v>
      </c>
      <c r="C1979" s="7" t="s">
        <v>615</v>
      </c>
      <c r="D1979" s="7" t="s">
        <v>97</v>
      </c>
      <c r="E1979" s="7" t="s">
        <v>47</v>
      </c>
      <c r="F1979" s="7" t="s">
        <v>98</v>
      </c>
      <c r="G1979" s="7" t="s">
        <v>5104</v>
      </c>
      <c r="I1979" s="1">
        <f t="shared" si="150"/>
        <v>1</v>
      </c>
      <c r="J1979" s="1" t="str">
        <f>'Source build'!A1979</f>
        <v>L01973</v>
      </c>
      <c r="K1979" s="1">
        <f>1979</f>
        <v>1979</v>
      </c>
      <c r="L1979" s="10">
        <f t="shared" si="151"/>
        <v>7315</v>
      </c>
      <c r="M1979" s="1">
        <f t="shared" si="152"/>
        <v>1</v>
      </c>
      <c r="N1979" s="1">
        <f t="shared" si="153"/>
        <v>1</v>
      </c>
      <c r="O1979" s="1" t="str">
        <f>IF(I1979=0,"UNUSED",IF(A1979="","MISSING ID",IF(K1979=0,"UNEXPECTED ID",IF(N1979&lt;&gt;1,"ID / ORDER DIFFERENCE",IF('Source build'!U1979&lt;&gt;"INCLUDED","EXCLUDED SOURCE",IF(NOT(M1979),"INVALID AMOUNT",IF('Source build'!Y1979&lt;&gt;0,"CHANGED FIELDS","MATCH")))))))</f>
        <v>MATCH</v>
      </c>
      <c r="P1979" s="1" t="str">
        <f t="shared" si="154"/>
        <v>2026-03</v>
      </c>
    </row>
    <row r="1980" spans="1:16" ht="18.95" customHeight="1">
      <c r="A1980" s="7" t="s">
        <v>5105</v>
      </c>
      <c r="B1980" s="7" t="s">
        <v>5103</v>
      </c>
      <c r="C1980" s="7" t="s">
        <v>615</v>
      </c>
      <c r="D1980" s="7" t="s">
        <v>103</v>
      </c>
      <c r="E1980" s="7" t="s">
        <v>48</v>
      </c>
      <c r="F1980" s="7" t="s">
        <v>98</v>
      </c>
      <c r="G1980" s="7" t="s">
        <v>5106</v>
      </c>
      <c r="I1980" s="1">
        <f t="shared" si="150"/>
        <v>1</v>
      </c>
      <c r="J1980" s="1" t="str">
        <f>'Source build'!A1980</f>
        <v>L01974</v>
      </c>
      <c r="K1980" s="1">
        <f>1980</f>
        <v>1980</v>
      </c>
      <c r="L1980" s="10">
        <f t="shared" si="151"/>
        <v>3000</v>
      </c>
      <c r="M1980" s="1">
        <f t="shared" si="152"/>
        <v>1</v>
      </c>
      <c r="N1980" s="1">
        <f t="shared" si="153"/>
        <v>1</v>
      </c>
      <c r="O1980" s="1" t="str">
        <f>IF(I1980=0,"UNUSED",IF(A1980="","MISSING ID",IF(K1980=0,"UNEXPECTED ID",IF(N1980&lt;&gt;1,"ID / ORDER DIFFERENCE",IF('Source build'!U1980&lt;&gt;"INCLUDED","EXCLUDED SOURCE",IF(NOT(M1980),"INVALID AMOUNT",IF('Source build'!Y1980&lt;&gt;0,"CHANGED FIELDS","MATCH")))))))</f>
        <v>MATCH</v>
      </c>
      <c r="P1980" s="1" t="str">
        <f t="shared" si="154"/>
        <v>2026-03</v>
      </c>
    </row>
    <row r="1981" spans="1:16" ht="18.95" customHeight="1">
      <c r="A1981" s="7" t="s">
        <v>5107</v>
      </c>
      <c r="B1981" s="7" t="s">
        <v>5108</v>
      </c>
      <c r="C1981" s="7" t="s">
        <v>621</v>
      </c>
      <c r="D1981" s="7" t="s">
        <v>93</v>
      </c>
      <c r="E1981" s="7" t="s">
        <v>46</v>
      </c>
      <c r="F1981" s="7" t="s">
        <v>98</v>
      </c>
      <c r="G1981" s="7" t="s">
        <v>5109</v>
      </c>
      <c r="I1981" s="1">
        <f t="shared" si="150"/>
        <v>1</v>
      </c>
      <c r="J1981" s="1" t="str">
        <f>'Source build'!A1981</f>
        <v>L01975</v>
      </c>
      <c r="K1981" s="1">
        <f>1981</f>
        <v>1981</v>
      </c>
      <c r="L1981" s="10">
        <f t="shared" si="151"/>
        <v>6148</v>
      </c>
      <c r="M1981" s="1">
        <f t="shared" si="152"/>
        <v>1</v>
      </c>
      <c r="N1981" s="1">
        <f t="shared" si="153"/>
        <v>1</v>
      </c>
      <c r="O1981" s="1" t="str">
        <f>IF(I1981=0,"UNUSED",IF(A1981="","MISSING ID",IF(K1981=0,"UNEXPECTED ID",IF(N1981&lt;&gt;1,"ID / ORDER DIFFERENCE",IF('Source build'!U1981&lt;&gt;"INCLUDED","EXCLUDED SOURCE",IF(NOT(M1981),"INVALID AMOUNT",IF('Source build'!Y1981&lt;&gt;0,"CHANGED FIELDS","MATCH")))))))</f>
        <v>MATCH</v>
      </c>
      <c r="P1981" s="1" t="str">
        <f t="shared" si="154"/>
        <v>2026-03</v>
      </c>
    </row>
    <row r="1982" spans="1:16" ht="18.95" customHeight="1">
      <c r="A1982" s="7" t="s">
        <v>5110</v>
      </c>
      <c r="B1982" s="7" t="s">
        <v>5108</v>
      </c>
      <c r="C1982" s="7" t="s">
        <v>621</v>
      </c>
      <c r="D1982" s="7" t="s">
        <v>97</v>
      </c>
      <c r="E1982" s="7" t="s">
        <v>47</v>
      </c>
      <c r="F1982" s="7" t="s">
        <v>98</v>
      </c>
      <c r="G1982" s="7" t="s">
        <v>5111</v>
      </c>
      <c r="I1982" s="1">
        <f t="shared" si="150"/>
        <v>1</v>
      </c>
      <c r="J1982" s="1" t="str">
        <f>'Source build'!A1982</f>
        <v>L01976</v>
      </c>
      <c r="K1982" s="1">
        <f>1982</f>
        <v>1982</v>
      </c>
      <c r="L1982" s="10">
        <f t="shared" si="151"/>
        <v>1574</v>
      </c>
      <c r="M1982" s="1">
        <f t="shared" si="152"/>
        <v>1</v>
      </c>
      <c r="N1982" s="1">
        <f t="shared" si="153"/>
        <v>1</v>
      </c>
      <c r="O1982" s="1" t="str">
        <f>IF(I1982=0,"UNUSED",IF(A1982="","MISSING ID",IF(K1982=0,"UNEXPECTED ID",IF(N1982&lt;&gt;1,"ID / ORDER DIFFERENCE",IF('Source build'!U1982&lt;&gt;"INCLUDED","EXCLUDED SOURCE",IF(NOT(M1982),"INVALID AMOUNT",IF('Source build'!Y1982&lt;&gt;0,"CHANGED FIELDS","MATCH")))))))</f>
        <v>MATCH</v>
      </c>
      <c r="P1982" s="1" t="str">
        <f t="shared" si="154"/>
        <v>2026-03</v>
      </c>
    </row>
    <row r="1983" spans="1:16" ht="18.95" customHeight="1">
      <c r="A1983" s="7" t="s">
        <v>5112</v>
      </c>
      <c r="B1983" s="7" t="s">
        <v>5113</v>
      </c>
      <c r="C1983" s="7" t="s">
        <v>627</v>
      </c>
      <c r="D1983" s="7" t="s">
        <v>103</v>
      </c>
      <c r="E1983" s="7" t="s">
        <v>48</v>
      </c>
      <c r="F1983" s="7" t="s">
        <v>98</v>
      </c>
      <c r="G1983" s="7" t="s">
        <v>5114</v>
      </c>
      <c r="I1983" s="1">
        <f t="shared" si="150"/>
        <v>1</v>
      </c>
      <c r="J1983" s="1" t="str">
        <f>'Source build'!A1983</f>
        <v>L01977</v>
      </c>
      <c r="K1983" s="1">
        <f>1983</f>
        <v>1983</v>
      </c>
      <c r="L1983" s="10">
        <f t="shared" si="151"/>
        <v>4833</v>
      </c>
      <c r="M1983" s="1">
        <f t="shared" si="152"/>
        <v>1</v>
      </c>
      <c r="N1983" s="1">
        <f t="shared" si="153"/>
        <v>1</v>
      </c>
      <c r="O1983" s="1" t="str">
        <f>IF(I1983=0,"UNUSED",IF(A1983="","MISSING ID",IF(K1983=0,"UNEXPECTED ID",IF(N1983&lt;&gt;1,"ID / ORDER DIFFERENCE",IF('Source build'!U1983&lt;&gt;"INCLUDED","EXCLUDED SOURCE",IF(NOT(M1983),"INVALID AMOUNT",IF('Source build'!Y1983&lt;&gt;0,"CHANGED FIELDS","MATCH")))))))</f>
        <v>MATCH</v>
      </c>
      <c r="P1983" s="1" t="str">
        <f t="shared" si="154"/>
        <v>2026-03</v>
      </c>
    </row>
    <row r="1984" spans="1:16" ht="18.95" customHeight="1">
      <c r="A1984" s="7" t="s">
        <v>5120</v>
      </c>
      <c r="B1984" s="7" t="s">
        <v>5118</v>
      </c>
      <c r="C1984" s="7" t="s">
        <v>633</v>
      </c>
      <c r="D1984" s="7" t="s">
        <v>103</v>
      </c>
      <c r="E1984" s="7" t="s">
        <v>48</v>
      </c>
      <c r="F1984" s="7" t="s">
        <v>98</v>
      </c>
      <c r="G1984" s="7" t="s">
        <v>5121</v>
      </c>
      <c r="I1984" s="1">
        <f t="shared" si="150"/>
        <v>1</v>
      </c>
      <c r="J1984" s="1" t="str">
        <f>'Source build'!A1986</f>
        <v>L01980</v>
      </c>
      <c r="K1984" s="1">
        <f>1986</f>
        <v>1986</v>
      </c>
      <c r="L1984" s="10">
        <f t="shared" si="151"/>
        <v>6888</v>
      </c>
      <c r="M1984" s="1">
        <f t="shared" si="152"/>
        <v>1</v>
      </c>
      <c r="N1984" s="1">
        <f t="shared" si="153"/>
        <v>1</v>
      </c>
      <c r="O1984" s="1" t="str">
        <f>IF(I1984=0,"UNUSED",IF(A1984="","MISSING ID",IF(K1984=0,"UNEXPECTED ID",IF(N1984&lt;&gt;1,"ID / ORDER DIFFERENCE",IF('Source build'!U1986&lt;&gt;"INCLUDED","EXCLUDED SOURCE",IF(NOT(M1984),"INVALID AMOUNT",IF('Source build'!Y1986&lt;&gt;0,"CHANGED FIELDS","MATCH")))))))</f>
        <v>MATCH</v>
      </c>
      <c r="P1984" s="1" t="str">
        <f t="shared" si="154"/>
        <v>2026-03</v>
      </c>
    </row>
    <row r="1985" spans="1:16" ht="18.95" customHeight="1">
      <c r="A1985" s="7"/>
      <c r="B1985" s="7"/>
      <c r="C1985" s="7"/>
      <c r="D1985" s="7"/>
      <c r="E1985" s="7"/>
      <c r="F1985" s="7"/>
      <c r="G1985" s="7"/>
      <c r="I1985" s="1">
        <f t="shared" si="150"/>
        <v>0</v>
      </c>
      <c r="J1985" s="1" t="str">
        <f>""</f>
        <v/>
      </c>
      <c r="K1985" s="1">
        <f>0</f>
        <v>0</v>
      </c>
      <c r="L1985" s="10">
        <f t="shared" si="151"/>
        <v>0</v>
      </c>
      <c r="M1985" s="1">
        <f t="shared" si="152"/>
        <v>1</v>
      </c>
      <c r="N1985" s="1">
        <f t="shared" si="153"/>
        <v>0</v>
      </c>
      <c r="O1985" s="1" t="str">
        <f t="shared" ref="O1985:O2006" si="155">IF(I1985=0,"UNUSED",IF(A1985="","MISSING ID",IF(K1985=0,"UNEXPECTED ID",IF(N1985&lt;&gt;1,"ID / ORDER DIFFERENCE",IF(""&lt;&gt;"INCLUDED","EXCLUDED SOURCE",IF(NOT(M1985),"INVALID AMOUNT",IF(""&lt;&gt;0,"CHANGED FIELDS","MATCH")))))))</f>
        <v>UNUSED</v>
      </c>
      <c r="P1985" s="1" t="str">
        <f t="shared" si="154"/>
        <v/>
      </c>
    </row>
    <row r="1986" spans="1:16" ht="18.95" customHeight="1">
      <c r="A1986" s="7"/>
      <c r="B1986" s="7"/>
      <c r="C1986" s="7"/>
      <c r="D1986" s="7"/>
      <c r="E1986" s="7"/>
      <c r="F1986" s="7"/>
      <c r="G1986" s="7"/>
      <c r="I1986" s="1">
        <f t="shared" si="150"/>
        <v>0</v>
      </c>
      <c r="J1986" s="1" t="str">
        <f>""</f>
        <v/>
      </c>
      <c r="K1986" s="1">
        <f>0</f>
        <v>0</v>
      </c>
      <c r="L1986" s="10">
        <f t="shared" si="151"/>
        <v>0</v>
      </c>
      <c r="M1986" s="1">
        <f t="shared" si="152"/>
        <v>1</v>
      </c>
      <c r="N1986" s="1">
        <f t="shared" si="153"/>
        <v>0</v>
      </c>
      <c r="O1986" s="1" t="str">
        <f t="shared" si="155"/>
        <v>UNUSED</v>
      </c>
      <c r="P1986" s="1" t="str">
        <f t="shared" si="154"/>
        <v/>
      </c>
    </row>
    <row r="1987" spans="1:16" ht="18.95" customHeight="1">
      <c r="A1987" s="7"/>
      <c r="B1987" s="7"/>
      <c r="C1987" s="7"/>
      <c r="D1987" s="7"/>
      <c r="E1987" s="7"/>
      <c r="F1987" s="7"/>
      <c r="G1987" s="7"/>
      <c r="I1987" s="1">
        <f t="shared" si="150"/>
        <v>0</v>
      </c>
      <c r="J1987" s="1" t="str">
        <f>""</f>
        <v/>
      </c>
      <c r="K1987" s="1">
        <f>0</f>
        <v>0</v>
      </c>
      <c r="L1987" s="10">
        <f t="shared" si="151"/>
        <v>0</v>
      </c>
      <c r="M1987" s="1">
        <f t="shared" si="152"/>
        <v>1</v>
      </c>
      <c r="N1987" s="1">
        <f t="shared" si="153"/>
        <v>0</v>
      </c>
      <c r="O1987" s="1" t="str">
        <f t="shared" si="155"/>
        <v>UNUSED</v>
      </c>
      <c r="P1987" s="1" t="str">
        <f t="shared" si="154"/>
        <v/>
      </c>
    </row>
    <row r="1988" spans="1:16" ht="18.95" customHeight="1">
      <c r="A1988" s="7"/>
      <c r="B1988" s="7"/>
      <c r="C1988" s="7"/>
      <c r="D1988" s="7"/>
      <c r="E1988" s="7"/>
      <c r="F1988" s="7"/>
      <c r="G1988" s="7"/>
      <c r="I1988" s="1">
        <f t="shared" si="150"/>
        <v>0</v>
      </c>
      <c r="J1988" s="1" t="str">
        <f>""</f>
        <v/>
      </c>
      <c r="K1988" s="1">
        <f>0</f>
        <v>0</v>
      </c>
      <c r="L1988" s="10">
        <f t="shared" si="151"/>
        <v>0</v>
      </c>
      <c r="M1988" s="1">
        <f t="shared" si="152"/>
        <v>1</v>
      </c>
      <c r="N1988" s="1">
        <f t="shared" si="153"/>
        <v>0</v>
      </c>
      <c r="O1988" s="1" t="str">
        <f t="shared" si="155"/>
        <v>UNUSED</v>
      </c>
      <c r="P1988" s="1" t="str">
        <f t="shared" si="154"/>
        <v/>
      </c>
    </row>
    <row r="1989" spans="1:16" ht="18.95" customHeight="1">
      <c r="A1989" s="7"/>
      <c r="B1989" s="7"/>
      <c r="C1989" s="7"/>
      <c r="D1989" s="7"/>
      <c r="E1989" s="7"/>
      <c r="F1989" s="7"/>
      <c r="G1989" s="7"/>
      <c r="I1989" s="1">
        <f t="shared" si="150"/>
        <v>0</v>
      </c>
      <c r="J1989" s="1" t="str">
        <f>""</f>
        <v/>
      </c>
      <c r="K1989" s="1">
        <f>0</f>
        <v>0</v>
      </c>
      <c r="L1989" s="10">
        <f t="shared" si="151"/>
        <v>0</v>
      </c>
      <c r="M1989" s="1">
        <f t="shared" si="152"/>
        <v>1</v>
      </c>
      <c r="N1989" s="1">
        <f t="shared" si="153"/>
        <v>0</v>
      </c>
      <c r="O1989" s="1" t="str">
        <f t="shared" si="155"/>
        <v>UNUSED</v>
      </c>
      <c r="P1989" s="1" t="str">
        <f t="shared" si="154"/>
        <v/>
      </c>
    </row>
    <row r="1990" spans="1:16" ht="18.95" customHeight="1">
      <c r="A1990" s="7"/>
      <c r="B1990" s="7"/>
      <c r="C1990" s="7"/>
      <c r="D1990" s="7"/>
      <c r="E1990" s="7"/>
      <c r="F1990" s="7"/>
      <c r="G1990" s="7"/>
      <c r="I1990" s="1">
        <f t="shared" si="150"/>
        <v>0</v>
      </c>
      <c r="J1990" s="1" t="str">
        <f>""</f>
        <v/>
      </c>
      <c r="K1990" s="1">
        <f>0</f>
        <v>0</v>
      </c>
      <c r="L1990" s="10">
        <f t="shared" si="151"/>
        <v>0</v>
      </c>
      <c r="M1990" s="1">
        <f t="shared" si="152"/>
        <v>1</v>
      </c>
      <c r="N1990" s="1">
        <f t="shared" si="153"/>
        <v>0</v>
      </c>
      <c r="O1990" s="1" t="str">
        <f t="shared" si="155"/>
        <v>UNUSED</v>
      </c>
      <c r="P1990" s="1" t="str">
        <f t="shared" si="154"/>
        <v/>
      </c>
    </row>
    <row r="1991" spans="1:16" ht="18.95" customHeight="1">
      <c r="A1991" s="7"/>
      <c r="B1991" s="7"/>
      <c r="C1991" s="7"/>
      <c r="D1991" s="7"/>
      <c r="E1991" s="7"/>
      <c r="F1991" s="7"/>
      <c r="G1991" s="7"/>
      <c r="I1991" s="1">
        <f t="shared" ref="I1991:I2006" si="156">IF(AND(A1991="",B1991="",C1991="",D1991="",E1991="",F1991="",G1991=""),0,1)</f>
        <v>0</v>
      </c>
      <c r="J1991" s="1" t="str">
        <f>""</f>
        <v/>
      </c>
      <c r="K1991" s="1">
        <f>0</f>
        <v>0</v>
      </c>
      <c r="L1991" s="10">
        <f t="shared" ref="L1991:L2006" si="157">IFERROR(IF(ABS(VALUE(G1991)*100-ROUND(VALUE(G1991)*100,0))&lt;0.0000001,ROUND(VALUE(G1991)*100,0),0),0)</f>
        <v>0</v>
      </c>
      <c r="M1991" s="1">
        <f t="shared" ref="M1991:M2006" si="158">--IF(I1991=0,TRUE,IF(TRIM(G1991)="",FALSE,IFERROR(AND(ISNUMBER(VALUE(G1991)),ABS(VALUE(G1991)*100-ROUND(VALUE(G1991)*100,0))&lt;0.0000001,OR(ISNUMBER(G1991),EXACT(G1991,TEXT(VALUE(G1991),"0.00"))),OR(AND(EXACT(F1991,"sale"),VALUE(G1991)&gt;0),AND(EXACT(F1991,"refund"),VALUE(G1991)&lt;0))),FALSE)))</f>
        <v>1</v>
      </c>
      <c r="N1991" s="1">
        <f t="shared" ref="N1991:N2006" si="159">IF(I1991=1,IF(EXACT(A1991,J1991),1,0),0)</f>
        <v>0</v>
      </c>
      <c r="O1991" s="1" t="str">
        <f t="shared" si="155"/>
        <v>UNUSED</v>
      </c>
      <c r="P1991" s="1" t="str">
        <f t="shared" ref="P1991:P2006" si="160">IF(I1991=1,LEFT(C1991,7),"")</f>
        <v/>
      </c>
    </row>
    <row r="1992" spans="1:16" ht="18.95" customHeight="1">
      <c r="A1992" s="7"/>
      <c r="B1992" s="7"/>
      <c r="C1992" s="7"/>
      <c r="D1992" s="7"/>
      <c r="E1992" s="7"/>
      <c r="F1992" s="7"/>
      <c r="G1992" s="7"/>
      <c r="I1992" s="1">
        <f t="shared" si="156"/>
        <v>0</v>
      </c>
      <c r="J1992" s="1" t="str">
        <f>""</f>
        <v/>
      </c>
      <c r="K1992" s="1">
        <f>0</f>
        <v>0</v>
      </c>
      <c r="L1992" s="10">
        <f t="shared" si="157"/>
        <v>0</v>
      </c>
      <c r="M1992" s="1">
        <f t="shared" si="158"/>
        <v>1</v>
      </c>
      <c r="N1992" s="1">
        <f t="shared" si="159"/>
        <v>0</v>
      </c>
      <c r="O1992" s="1" t="str">
        <f t="shared" si="155"/>
        <v>UNUSED</v>
      </c>
      <c r="P1992" s="1" t="str">
        <f t="shared" si="160"/>
        <v/>
      </c>
    </row>
    <row r="1993" spans="1:16" ht="18.95" customHeight="1">
      <c r="A1993" s="7"/>
      <c r="B1993" s="7"/>
      <c r="C1993" s="7"/>
      <c r="D1993" s="7"/>
      <c r="E1993" s="7"/>
      <c r="F1993" s="7"/>
      <c r="G1993" s="7"/>
      <c r="I1993" s="1">
        <f t="shared" si="156"/>
        <v>0</v>
      </c>
      <c r="J1993" s="1" t="str">
        <f>""</f>
        <v/>
      </c>
      <c r="K1993" s="1">
        <f>0</f>
        <v>0</v>
      </c>
      <c r="L1993" s="10">
        <f t="shared" si="157"/>
        <v>0</v>
      </c>
      <c r="M1993" s="1">
        <f t="shared" si="158"/>
        <v>1</v>
      </c>
      <c r="N1993" s="1">
        <f t="shared" si="159"/>
        <v>0</v>
      </c>
      <c r="O1993" s="1" t="str">
        <f t="shared" si="155"/>
        <v>UNUSED</v>
      </c>
      <c r="P1993" s="1" t="str">
        <f t="shared" si="160"/>
        <v/>
      </c>
    </row>
    <row r="1994" spans="1:16" ht="18.95" customHeight="1">
      <c r="A1994" s="7"/>
      <c r="B1994" s="7"/>
      <c r="C1994" s="7"/>
      <c r="D1994" s="7"/>
      <c r="E1994" s="7"/>
      <c r="F1994" s="7"/>
      <c r="G1994" s="7"/>
      <c r="I1994" s="1">
        <f t="shared" si="156"/>
        <v>0</v>
      </c>
      <c r="J1994" s="1" t="str">
        <f>""</f>
        <v/>
      </c>
      <c r="K1994" s="1">
        <f>0</f>
        <v>0</v>
      </c>
      <c r="L1994" s="10">
        <f t="shared" si="157"/>
        <v>0</v>
      </c>
      <c r="M1994" s="1">
        <f t="shared" si="158"/>
        <v>1</v>
      </c>
      <c r="N1994" s="1">
        <f t="shared" si="159"/>
        <v>0</v>
      </c>
      <c r="O1994" s="1" t="str">
        <f t="shared" si="155"/>
        <v>UNUSED</v>
      </c>
      <c r="P1994" s="1" t="str">
        <f t="shared" si="160"/>
        <v/>
      </c>
    </row>
    <row r="1995" spans="1:16" ht="18.95" customHeight="1">
      <c r="A1995" s="7"/>
      <c r="B1995" s="7"/>
      <c r="C1995" s="7"/>
      <c r="D1995" s="7"/>
      <c r="E1995" s="7"/>
      <c r="F1995" s="7"/>
      <c r="G1995" s="7"/>
      <c r="I1995" s="1">
        <f t="shared" si="156"/>
        <v>0</v>
      </c>
      <c r="J1995" s="1" t="str">
        <f>""</f>
        <v/>
      </c>
      <c r="K1995" s="1">
        <f>0</f>
        <v>0</v>
      </c>
      <c r="L1995" s="10">
        <f t="shared" si="157"/>
        <v>0</v>
      </c>
      <c r="M1995" s="1">
        <f t="shared" si="158"/>
        <v>1</v>
      </c>
      <c r="N1995" s="1">
        <f t="shared" si="159"/>
        <v>0</v>
      </c>
      <c r="O1995" s="1" t="str">
        <f t="shared" si="155"/>
        <v>UNUSED</v>
      </c>
      <c r="P1995" s="1" t="str">
        <f t="shared" si="160"/>
        <v/>
      </c>
    </row>
    <row r="1996" spans="1:16" ht="18.95" customHeight="1">
      <c r="A1996" s="7"/>
      <c r="B1996" s="7"/>
      <c r="C1996" s="7"/>
      <c r="D1996" s="7"/>
      <c r="E1996" s="7"/>
      <c r="F1996" s="7"/>
      <c r="G1996" s="7"/>
      <c r="I1996" s="1">
        <f t="shared" si="156"/>
        <v>0</v>
      </c>
      <c r="J1996" s="1" t="str">
        <f>""</f>
        <v/>
      </c>
      <c r="K1996" s="1">
        <f>0</f>
        <v>0</v>
      </c>
      <c r="L1996" s="10">
        <f t="shared" si="157"/>
        <v>0</v>
      </c>
      <c r="M1996" s="1">
        <f t="shared" si="158"/>
        <v>1</v>
      </c>
      <c r="N1996" s="1">
        <f t="shared" si="159"/>
        <v>0</v>
      </c>
      <c r="O1996" s="1" t="str">
        <f t="shared" si="155"/>
        <v>UNUSED</v>
      </c>
      <c r="P1996" s="1" t="str">
        <f t="shared" si="160"/>
        <v/>
      </c>
    </row>
    <row r="1997" spans="1:16" ht="18.95" customHeight="1">
      <c r="A1997" s="7"/>
      <c r="B1997" s="7"/>
      <c r="C1997" s="7"/>
      <c r="D1997" s="7"/>
      <c r="E1997" s="7"/>
      <c r="F1997" s="7"/>
      <c r="G1997" s="7"/>
      <c r="I1997" s="1">
        <f t="shared" si="156"/>
        <v>0</v>
      </c>
      <c r="J1997" s="1" t="str">
        <f>""</f>
        <v/>
      </c>
      <c r="K1997" s="1">
        <f>0</f>
        <v>0</v>
      </c>
      <c r="L1997" s="10">
        <f t="shared" si="157"/>
        <v>0</v>
      </c>
      <c r="M1997" s="1">
        <f t="shared" si="158"/>
        <v>1</v>
      </c>
      <c r="N1997" s="1">
        <f t="shared" si="159"/>
        <v>0</v>
      </c>
      <c r="O1997" s="1" t="str">
        <f t="shared" si="155"/>
        <v>UNUSED</v>
      </c>
      <c r="P1997" s="1" t="str">
        <f t="shared" si="160"/>
        <v/>
      </c>
    </row>
    <row r="1998" spans="1:16" ht="18.95" customHeight="1">
      <c r="A1998" s="7"/>
      <c r="B1998" s="7"/>
      <c r="C1998" s="7"/>
      <c r="D1998" s="7"/>
      <c r="E1998" s="7"/>
      <c r="F1998" s="7"/>
      <c r="G1998" s="7"/>
      <c r="I1998" s="1">
        <f t="shared" si="156"/>
        <v>0</v>
      </c>
      <c r="J1998" s="1" t="str">
        <f>""</f>
        <v/>
      </c>
      <c r="K1998" s="1">
        <f>0</f>
        <v>0</v>
      </c>
      <c r="L1998" s="10">
        <f t="shared" si="157"/>
        <v>0</v>
      </c>
      <c r="M1998" s="1">
        <f t="shared" si="158"/>
        <v>1</v>
      </c>
      <c r="N1998" s="1">
        <f t="shared" si="159"/>
        <v>0</v>
      </c>
      <c r="O1998" s="1" t="str">
        <f t="shared" si="155"/>
        <v>UNUSED</v>
      </c>
      <c r="P1998" s="1" t="str">
        <f t="shared" si="160"/>
        <v/>
      </c>
    </row>
    <row r="1999" spans="1:16" ht="18.95" customHeight="1">
      <c r="A1999" s="7"/>
      <c r="B1999" s="7"/>
      <c r="C1999" s="7"/>
      <c r="D1999" s="7"/>
      <c r="E1999" s="7"/>
      <c r="F1999" s="7"/>
      <c r="G1999" s="7"/>
      <c r="I1999" s="1">
        <f t="shared" si="156"/>
        <v>0</v>
      </c>
      <c r="J1999" s="1" t="str">
        <f>""</f>
        <v/>
      </c>
      <c r="K1999" s="1">
        <f>0</f>
        <v>0</v>
      </c>
      <c r="L1999" s="10">
        <f t="shared" si="157"/>
        <v>0</v>
      </c>
      <c r="M1999" s="1">
        <f t="shared" si="158"/>
        <v>1</v>
      </c>
      <c r="N1999" s="1">
        <f t="shared" si="159"/>
        <v>0</v>
      </c>
      <c r="O1999" s="1" t="str">
        <f t="shared" si="155"/>
        <v>UNUSED</v>
      </c>
      <c r="P1999" s="1" t="str">
        <f t="shared" si="160"/>
        <v/>
      </c>
    </row>
    <row r="2000" spans="1:16" ht="18.95" customHeight="1">
      <c r="A2000" s="7"/>
      <c r="B2000" s="7"/>
      <c r="C2000" s="7"/>
      <c r="D2000" s="7"/>
      <c r="E2000" s="7"/>
      <c r="F2000" s="7"/>
      <c r="G2000" s="7"/>
      <c r="I2000" s="1">
        <f t="shared" si="156"/>
        <v>0</v>
      </c>
      <c r="J2000" s="1" t="str">
        <f>""</f>
        <v/>
      </c>
      <c r="K2000" s="1">
        <f>0</f>
        <v>0</v>
      </c>
      <c r="L2000" s="10">
        <f t="shared" si="157"/>
        <v>0</v>
      </c>
      <c r="M2000" s="1">
        <f t="shared" si="158"/>
        <v>1</v>
      </c>
      <c r="N2000" s="1">
        <f t="shared" si="159"/>
        <v>0</v>
      </c>
      <c r="O2000" s="1" t="str">
        <f t="shared" si="155"/>
        <v>UNUSED</v>
      </c>
      <c r="P2000" s="1" t="str">
        <f t="shared" si="160"/>
        <v/>
      </c>
    </row>
    <row r="2001" spans="1:16" ht="18.95" customHeight="1">
      <c r="A2001" s="7"/>
      <c r="B2001" s="7"/>
      <c r="C2001" s="7"/>
      <c r="D2001" s="7"/>
      <c r="E2001" s="7"/>
      <c r="F2001" s="7"/>
      <c r="G2001" s="7"/>
      <c r="I2001" s="1">
        <f t="shared" si="156"/>
        <v>0</v>
      </c>
      <c r="J2001" s="1" t="str">
        <f>""</f>
        <v/>
      </c>
      <c r="K2001" s="1">
        <f>0</f>
        <v>0</v>
      </c>
      <c r="L2001" s="10">
        <f t="shared" si="157"/>
        <v>0</v>
      </c>
      <c r="M2001" s="1">
        <f t="shared" si="158"/>
        <v>1</v>
      </c>
      <c r="N2001" s="1">
        <f t="shared" si="159"/>
        <v>0</v>
      </c>
      <c r="O2001" s="1" t="str">
        <f t="shared" si="155"/>
        <v>UNUSED</v>
      </c>
      <c r="P2001" s="1" t="str">
        <f t="shared" si="160"/>
        <v/>
      </c>
    </row>
    <row r="2002" spans="1:16" ht="18.95" customHeight="1">
      <c r="A2002" s="7"/>
      <c r="B2002" s="7"/>
      <c r="C2002" s="7"/>
      <c r="D2002" s="7"/>
      <c r="E2002" s="7"/>
      <c r="F2002" s="7"/>
      <c r="G2002" s="7"/>
      <c r="I2002" s="1">
        <f t="shared" si="156"/>
        <v>0</v>
      </c>
      <c r="J2002" s="1" t="str">
        <f>""</f>
        <v/>
      </c>
      <c r="K2002" s="1">
        <f>0</f>
        <v>0</v>
      </c>
      <c r="L2002" s="10">
        <f t="shared" si="157"/>
        <v>0</v>
      </c>
      <c r="M2002" s="1">
        <f t="shared" si="158"/>
        <v>1</v>
      </c>
      <c r="N2002" s="1">
        <f t="shared" si="159"/>
        <v>0</v>
      </c>
      <c r="O2002" s="1" t="str">
        <f t="shared" si="155"/>
        <v>UNUSED</v>
      </c>
      <c r="P2002" s="1" t="str">
        <f t="shared" si="160"/>
        <v/>
      </c>
    </row>
    <row r="2003" spans="1:16" ht="18.95" customHeight="1">
      <c r="A2003" s="7"/>
      <c r="B2003" s="7"/>
      <c r="C2003" s="7"/>
      <c r="D2003" s="7"/>
      <c r="E2003" s="7"/>
      <c r="F2003" s="7"/>
      <c r="G2003" s="7"/>
      <c r="I2003" s="1">
        <f t="shared" si="156"/>
        <v>0</v>
      </c>
      <c r="J2003" s="1" t="str">
        <f>""</f>
        <v/>
      </c>
      <c r="K2003" s="1">
        <f>0</f>
        <v>0</v>
      </c>
      <c r="L2003" s="10">
        <f t="shared" si="157"/>
        <v>0</v>
      </c>
      <c r="M2003" s="1">
        <f t="shared" si="158"/>
        <v>1</v>
      </c>
      <c r="N2003" s="1">
        <f t="shared" si="159"/>
        <v>0</v>
      </c>
      <c r="O2003" s="1" t="str">
        <f t="shared" si="155"/>
        <v>UNUSED</v>
      </c>
      <c r="P2003" s="1" t="str">
        <f t="shared" si="160"/>
        <v/>
      </c>
    </row>
    <row r="2004" spans="1:16" ht="18.95" customHeight="1">
      <c r="A2004" s="7"/>
      <c r="B2004" s="7"/>
      <c r="C2004" s="7"/>
      <c r="D2004" s="7"/>
      <c r="E2004" s="7"/>
      <c r="F2004" s="7"/>
      <c r="G2004" s="7"/>
      <c r="I2004" s="1">
        <f t="shared" si="156"/>
        <v>0</v>
      </c>
      <c r="J2004" s="1" t="str">
        <f>""</f>
        <v/>
      </c>
      <c r="K2004" s="1">
        <f>0</f>
        <v>0</v>
      </c>
      <c r="L2004" s="10">
        <f t="shared" si="157"/>
        <v>0</v>
      </c>
      <c r="M2004" s="1">
        <f t="shared" si="158"/>
        <v>1</v>
      </c>
      <c r="N2004" s="1">
        <f t="shared" si="159"/>
        <v>0</v>
      </c>
      <c r="O2004" s="1" t="str">
        <f t="shared" si="155"/>
        <v>UNUSED</v>
      </c>
      <c r="P2004" s="1" t="str">
        <f t="shared" si="160"/>
        <v/>
      </c>
    </row>
    <row r="2005" spans="1:16" ht="18.95" customHeight="1">
      <c r="A2005" s="7"/>
      <c r="B2005" s="7"/>
      <c r="C2005" s="7"/>
      <c r="D2005" s="7"/>
      <c r="E2005" s="7"/>
      <c r="F2005" s="7"/>
      <c r="G2005" s="7"/>
      <c r="I2005" s="1">
        <f t="shared" si="156"/>
        <v>0</v>
      </c>
      <c r="J2005" s="1" t="str">
        <f>""</f>
        <v/>
      </c>
      <c r="K2005" s="1">
        <f>0</f>
        <v>0</v>
      </c>
      <c r="L2005" s="10">
        <f t="shared" si="157"/>
        <v>0</v>
      </c>
      <c r="M2005" s="1">
        <f t="shared" si="158"/>
        <v>1</v>
      </c>
      <c r="N2005" s="1">
        <f t="shared" si="159"/>
        <v>0</v>
      </c>
      <c r="O2005" s="1" t="str">
        <f t="shared" si="155"/>
        <v>UNUSED</v>
      </c>
      <c r="P2005" s="1" t="str">
        <f t="shared" si="160"/>
        <v/>
      </c>
    </row>
    <row r="2006" spans="1:16" ht="18.95" customHeight="1">
      <c r="A2006" s="7"/>
      <c r="B2006" s="7"/>
      <c r="C2006" s="7"/>
      <c r="D2006" s="7"/>
      <c r="E2006" s="7"/>
      <c r="F2006" s="7"/>
      <c r="G2006" s="7"/>
      <c r="I2006" s="1">
        <f t="shared" si="156"/>
        <v>0</v>
      </c>
      <c r="J2006" s="1" t="str">
        <f>""</f>
        <v/>
      </c>
      <c r="K2006" s="1">
        <f>0</f>
        <v>0</v>
      </c>
      <c r="L2006" s="10">
        <f t="shared" si="157"/>
        <v>0</v>
      </c>
      <c r="M2006" s="1">
        <f t="shared" si="158"/>
        <v>1</v>
      </c>
      <c r="N2006" s="1">
        <f t="shared" si="159"/>
        <v>0</v>
      </c>
      <c r="O2006" s="1" t="str">
        <f t="shared" si="155"/>
        <v>UNUSED</v>
      </c>
      <c r="P2006" s="1" t="str">
        <f t="shared" si="160"/>
        <v/>
      </c>
    </row>
  </sheetData>
  <conditionalFormatting sqref="O7:O2006">
    <cfRule type="expression" dxfId="0" priority="1">
      <formula>AND($I7=1,$O7&lt;&gt;"MATCH")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CA7B0"/>
  </sheetPr>
  <dimension ref="A1:Z54"/>
  <sheetViews>
    <sheetView showGridLines="0" workbookViewId="0"/>
  </sheetViews>
  <sheetFormatPr defaultRowHeight="14.25"/>
  <cols>
    <col min="1" max="1" width="24" customWidth="1"/>
    <col min="2" max="2" width="32" customWidth="1"/>
    <col min="4" max="5" width="19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3" t="s">
        <v>5149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5150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1" customHeight="1">
      <c r="A6" s="5" t="s">
        <v>62</v>
      </c>
      <c r="B6" s="5" t="s">
        <v>5151</v>
      </c>
      <c r="C6" s="1"/>
      <c r="D6" s="5" t="s">
        <v>5152</v>
      </c>
      <c r="E6" s="5" t="s">
        <v>5153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 t="s">
        <v>93</v>
      </c>
      <c r="B7" s="1" t="s">
        <v>46</v>
      </c>
      <c r="C7" s="1"/>
      <c r="D7" s="1" t="s">
        <v>5154</v>
      </c>
      <c r="E7" s="1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 t="s">
        <v>97</v>
      </c>
      <c r="B8" s="1" t="s">
        <v>47</v>
      </c>
      <c r="C8" s="1"/>
      <c r="D8" s="1" t="s">
        <v>5155</v>
      </c>
      <c r="E8" s="1">
        <v>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103</v>
      </c>
      <c r="B9" s="1" t="s">
        <v>48</v>
      </c>
      <c r="C9" s="1"/>
      <c r="D9" s="1" t="s">
        <v>5156</v>
      </c>
      <c r="E9" s="1">
        <v>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 t="s">
        <v>5157</v>
      </c>
      <c r="E10" s="1">
        <v>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 t="s">
        <v>5158</v>
      </c>
      <c r="E11" s="1">
        <v>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8"/>
      <c r="B12" s="1"/>
      <c r="C12" s="1"/>
      <c r="D12" s="1" t="s">
        <v>5159</v>
      </c>
      <c r="E12" s="1">
        <v>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 t="s">
        <v>5160</v>
      </c>
      <c r="E13" s="1">
        <v>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1" customHeight="1">
      <c r="A14" s="1"/>
      <c r="B14" s="1"/>
      <c r="C14" s="1"/>
      <c r="D14" s="1" t="s">
        <v>5161</v>
      </c>
      <c r="E14" s="1">
        <v>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1" customHeight="1">
      <c r="A15" s="1"/>
      <c r="B15" s="1"/>
      <c r="C15" s="1"/>
      <c r="D15" s="1" t="s">
        <v>5162</v>
      </c>
      <c r="E15" s="1">
        <v>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1" customHeight="1">
      <c r="A16" s="1"/>
      <c r="B16" s="1"/>
      <c r="C16" s="1"/>
      <c r="D16" s="1" t="s">
        <v>5163</v>
      </c>
      <c r="E16" s="1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1" customHeight="1">
      <c r="A17" s="1"/>
      <c r="B17" s="1"/>
      <c r="C17" s="1"/>
      <c r="D17" s="1" t="s">
        <v>5164</v>
      </c>
      <c r="E17" s="1">
        <v>11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1" customHeight="1">
      <c r="A18" s="1"/>
      <c r="B18" s="1"/>
      <c r="C18" s="1"/>
      <c r="D18" s="1" t="s">
        <v>5165</v>
      </c>
      <c r="E18" s="1">
        <v>12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1" customHeight="1">
      <c r="A20" s="8" t="s">
        <v>5166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95" customHeight="1">
      <c r="A22" s="17" t="s">
        <v>5167</v>
      </c>
      <c r="B22" s="17"/>
      <c r="C22" s="17"/>
      <c r="D22" s="17"/>
      <c r="E22" s="17"/>
      <c r="F22" s="17"/>
      <c r="G22" s="1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.95" customHeight="1">
      <c r="A23" s="17" t="s">
        <v>5168</v>
      </c>
      <c r="B23" s="17"/>
      <c r="C23" s="17"/>
      <c r="D23" s="17"/>
      <c r="E23" s="17"/>
      <c r="F23" s="17"/>
      <c r="G23" s="1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95" customHeight="1">
      <c r="A24" s="17" t="s">
        <v>5169</v>
      </c>
      <c r="B24" s="17"/>
      <c r="C24" s="17"/>
      <c r="D24" s="17"/>
      <c r="E24" s="17"/>
      <c r="F24" s="17"/>
      <c r="G24" s="1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.95" customHeight="1">
      <c r="A25" s="17" t="s">
        <v>5170</v>
      </c>
      <c r="B25" s="17"/>
      <c r="C25" s="17"/>
      <c r="D25" s="17"/>
      <c r="E25" s="17"/>
      <c r="F25" s="17"/>
      <c r="G25" s="1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.95" customHeight="1">
      <c r="A26" s="18" t="s">
        <v>5171</v>
      </c>
      <c r="B26" s="17"/>
      <c r="C26" s="17"/>
      <c r="D26" s="17"/>
      <c r="E26" s="17"/>
      <c r="F26" s="17"/>
      <c r="G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.95" customHeight="1">
      <c r="A27" s="17" t="s">
        <v>5172</v>
      </c>
      <c r="B27" s="17"/>
      <c r="C27" s="17"/>
      <c r="D27" s="17"/>
      <c r="E27" s="17"/>
      <c r="F27" s="17"/>
      <c r="G27" s="1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.95" customHeight="1">
      <c r="A28" s="17" t="s">
        <v>5173</v>
      </c>
      <c r="B28" s="17"/>
      <c r="C28" s="17"/>
      <c r="D28" s="17"/>
      <c r="E28" s="17"/>
      <c r="F28" s="17"/>
      <c r="G28" s="1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.95" customHeight="1">
      <c r="A29" s="17" t="s">
        <v>5174</v>
      </c>
      <c r="B29" s="17"/>
      <c r="C29" s="17"/>
      <c r="D29" s="17"/>
      <c r="E29" s="17"/>
      <c r="F29" s="17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.95" customHeight="1">
      <c r="A30" s="17" t="s">
        <v>5175</v>
      </c>
      <c r="B30" s="17"/>
      <c r="C30" s="17"/>
      <c r="D30" s="17"/>
      <c r="E30" s="17"/>
      <c r="F30" s="17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95" customHeight="1">
      <c r="A31" s="17" t="s">
        <v>5176</v>
      </c>
      <c r="B31" s="17"/>
      <c r="C31" s="17"/>
      <c r="D31" s="17"/>
      <c r="E31" s="17"/>
      <c r="F31" s="17"/>
      <c r="G31" s="1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.95" customHeight="1">
      <c r="A32" s="13"/>
      <c r="B32" s="13"/>
      <c r="C32" s="13"/>
      <c r="D32" s="13"/>
      <c r="E32" s="13"/>
      <c r="F32" s="13"/>
      <c r="G32" s="1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.95" customHeight="1">
      <c r="A33" s="13"/>
      <c r="B33" s="13"/>
      <c r="C33" s="13"/>
      <c r="D33" s="13"/>
      <c r="E33" s="13"/>
      <c r="F33" s="13"/>
      <c r="G33" s="1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.95" customHeight="1">
      <c r="A34" s="14" t="s">
        <v>5177</v>
      </c>
      <c r="B34" s="13"/>
      <c r="C34" s="13"/>
      <c r="D34" s="13"/>
      <c r="E34" s="13"/>
      <c r="F34" s="13"/>
      <c r="G34" s="1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.95" customHeight="1">
      <c r="A35" s="13"/>
      <c r="B35" s="13"/>
      <c r="C35" s="13"/>
      <c r="D35" s="13"/>
      <c r="E35" s="13"/>
      <c r="F35" s="13"/>
      <c r="G35" s="1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.95" customHeight="1">
      <c r="A36" s="16" t="s">
        <v>5178</v>
      </c>
      <c r="B36" s="16"/>
      <c r="C36" s="16"/>
      <c r="D36" s="16"/>
      <c r="E36" s="16"/>
      <c r="F36" s="16"/>
      <c r="G36" s="16"/>
    </row>
    <row r="37" spans="1:26" ht="30.95" customHeight="1">
      <c r="A37" s="16" t="s">
        <v>5179</v>
      </c>
      <c r="B37" s="16"/>
      <c r="C37" s="16"/>
      <c r="D37" s="16"/>
      <c r="E37" s="16"/>
      <c r="F37" s="16"/>
      <c r="G37" s="16"/>
    </row>
    <row r="38" spans="1:26" ht="30.95" customHeight="1">
      <c r="A38" s="16" t="s">
        <v>5180</v>
      </c>
      <c r="B38" s="16"/>
      <c r="C38" s="16"/>
      <c r="D38" s="16"/>
      <c r="E38" s="16"/>
      <c r="F38" s="16"/>
      <c r="G38" s="16"/>
    </row>
    <row r="39" spans="1:26" ht="30.95" customHeight="1">
      <c r="A39" s="16" t="s">
        <v>5181</v>
      </c>
      <c r="B39" s="16"/>
      <c r="C39" s="16"/>
      <c r="D39" s="16"/>
      <c r="E39" s="16"/>
      <c r="F39" s="16"/>
      <c r="G39" s="16"/>
    </row>
    <row r="40" spans="1:26" ht="30.95" customHeight="1">
      <c r="A40" s="16" t="s">
        <v>5182</v>
      </c>
      <c r="B40" s="16"/>
      <c r="C40" s="16"/>
      <c r="D40" s="16"/>
      <c r="E40" s="16"/>
      <c r="F40" s="16"/>
      <c r="G40" s="16"/>
    </row>
    <row r="41" spans="1:26" ht="30.95" customHeight="1">
      <c r="A41" s="16" t="s">
        <v>5183</v>
      </c>
      <c r="B41" s="16"/>
      <c r="C41" s="16"/>
      <c r="D41" s="16"/>
      <c r="E41" s="16"/>
      <c r="F41" s="16"/>
      <c r="G41" s="16"/>
    </row>
    <row r="42" spans="1:26" ht="30.95" customHeight="1">
      <c r="A42" s="16" t="s">
        <v>5184</v>
      </c>
      <c r="B42" s="16"/>
      <c r="C42" s="16"/>
      <c r="D42" s="16"/>
      <c r="E42" s="16"/>
      <c r="F42" s="16"/>
      <c r="G42" s="16"/>
    </row>
    <row r="43" spans="1:26" ht="30.95" customHeight="1">
      <c r="A43" s="16" t="s">
        <v>5185</v>
      </c>
      <c r="B43" s="16"/>
      <c r="C43" s="16"/>
      <c r="D43" s="16"/>
      <c r="E43" s="16"/>
      <c r="F43" s="16"/>
      <c r="G43" s="16"/>
    </row>
    <row r="44" spans="1:26" ht="30.95" customHeight="1">
      <c r="A44" s="15"/>
      <c r="B44" s="15"/>
      <c r="C44" s="15"/>
      <c r="D44" s="15"/>
      <c r="E44" s="15"/>
      <c r="F44" s="15"/>
      <c r="G44" s="15"/>
    </row>
    <row r="45" spans="1:26" ht="30.95" customHeight="1">
      <c r="A45" s="15"/>
      <c r="B45" s="15"/>
      <c r="C45" s="15"/>
      <c r="D45" s="15"/>
      <c r="E45" s="15"/>
      <c r="F45" s="15"/>
      <c r="G45" s="15"/>
    </row>
    <row r="46" spans="1:26" ht="30.95" customHeight="1">
      <c r="A46" s="16" t="s">
        <v>5190</v>
      </c>
      <c r="B46" s="16"/>
      <c r="C46" s="16"/>
      <c r="D46" s="16"/>
      <c r="E46" s="16"/>
      <c r="F46" s="16"/>
      <c r="G46" s="16"/>
    </row>
    <row r="47" spans="1:26" ht="30.95" customHeight="1">
      <c r="A47" s="15"/>
      <c r="B47" s="15"/>
      <c r="C47" s="15"/>
      <c r="D47" s="15"/>
      <c r="E47" s="15"/>
      <c r="F47" s="15"/>
      <c r="G47" s="15"/>
    </row>
    <row r="48" spans="1:26" ht="30.95" customHeight="1">
      <c r="A48" s="16" t="s">
        <v>5186</v>
      </c>
      <c r="B48" s="16"/>
      <c r="C48" s="16"/>
      <c r="D48" s="16"/>
      <c r="E48" s="16"/>
      <c r="F48" s="16"/>
      <c r="G48" s="16"/>
    </row>
    <row r="49" spans="1:7" ht="30.95" customHeight="1">
      <c r="A49" s="15"/>
      <c r="B49" s="15"/>
      <c r="C49" s="15"/>
      <c r="D49" s="15"/>
      <c r="E49" s="15"/>
      <c r="F49" s="15"/>
      <c r="G49" s="15"/>
    </row>
    <row r="50" spans="1:7" ht="30.95" customHeight="1">
      <c r="A50" s="16" t="s">
        <v>5187</v>
      </c>
      <c r="B50" s="16"/>
      <c r="C50" s="16"/>
      <c r="D50" s="16"/>
      <c r="E50" s="16"/>
      <c r="F50" s="16"/>
      <c r="G50" s="16"/>
    </row>
    <row r="51" spans="1:7" ht="30.95" customHeight="1">
      <c r="A51" s="15"/>
      <c r="B51" s="15"/>
      <c r="C51" s="15"/>
      <c r="D51" s="15"/>
      <c r="E51" s="15"/>
      <c r="F51" s="15"/>
      <c r="G51" s="15"/>
    </row>
    <row r="52" spans="1:7" ht="30.95" customHeight="1">
      <c r="A52" s="16" t="s">
        <v>5188</v>
      </c>
      <c r="B52" s="16"/>
      <c r="C52" s="16"/>
      <c r="D52" s="16"/>
      <c r="E52" s="16"/>
      <c r="F52" s="16"/>
      <c r="G52" s="16"/>
    </row>
    <row r="54" spans="1:7" ht="30.95" customHeight="1">
      <c r="A54" s="16" t="s">
        <v>5189</v>
      </c>
      <c r="B54" s="16"/>
      <c r="C54" s="16"/>
      <c r="D54" s="16"/>
      <c r="E54" s="16"/>
      <c r="F54" s="16"/>
      <c r="G54" s="16"/>
    </row>
  </sheetData>
  <mergeCells count="23"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6:G36"/>
    <mergeCell ref="A37:G37"/>
    <mergeCell ref="A38:G38"/>
    <mergeCell ref="A39:G39"/>
    <mergeCell ref="A40:G40"/>
    <mergeCell ref="A50:G50"/>
    <mergeCell ref="A52:G52"/>
    <mergeCell ref="A54:G54"/>
    <mergeCell ref="A41:G41"/>
    <mergeCell ref="A42:G42"/>
    <mergeCell ref="A43:G43"/>
    <mergeCell ref="A46:G46"/>
    <mergeCell ref="A48:G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Checks</vt:lpstr>
      <vt:lpstr>Source build</vt:lpstr>
      <vt:lpstr>Raw</vt:lpstr>
      <vt:lpstr>AI output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FindSuccess4u</cp:lastModifiedBy>
  <dcterms:modified xsi:type="dcterms:W3CDTF">2026-10-31T14:51:42Z</dcterms:modified>
</cp:coreProperties>
</file>